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0" yWindow="135" windowWidth="19035" windowHeight="7530" tabRatio="846"/>
  </bookViews>
  <sheets>
    <sheet name="CONTROL" sheetId="1" r:id="rId1"/>
    <sheet name="RAP-SOLID FUEL PRICES" sheetId="2" r:id="rId2"/>
    <sheet name="RAP-LIGHT OIL" sheetId="3" r:id="rId3"/>
    <sheet name="RAP-HEAVY OIL&amp;WTI" sheetId="4" r:id="rId4"/>
    <sheet name="RAP-NATURAL GAS PRICES" sheetId="5" r:id="rId5"/>
    <sheet name="RAP TEMPLATE-GAS AVAILABILITY" sheetId="6" r:id="rId6"/>
  </sheets>
  <externalReferences>
    <externalReference r:id="rId7"/>
    <externalReference r:id="rId8"/>
    <externalReference r:id="rId9"/>
    <externalReference r:id="rId10"/>
  </externalReferences>
  <definedNames>
    <definedName name="__123Graph_A" hidden="1">'[1]FPL MOST LIKELY GAS BACKUP 1'!#REF!</definedName>
    <definedName name="__123Graph_B" hidden="1">'[1]FPL MOST LIKELY GAS BACKUP 1'!#REF!</definedName>
    <definedName name="__123Graph_X" hidden="1">'[1]FPL MOST LIKELY GAS BACKUP 1'!#REF!</definedName>
    <definedName name="_1">#REF!</definedName>
    <definedName name="_1A">#REF!</definedName>
    <definedName name="_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9394GAS">#REF!</definedName>
    <definedName name="_9394OIL">#REF!</definedName>
    <definedName name="_C1">#REF!</definedName>
    <definedName name="_GIP1">#REF!</definedName>
    <definedName name="_SYP1">#REF!</definedName>
    <definedName name="C_">#REF!</definedName>
    <definedName name="CC1_">#REF!</definedName>
    <definedName name="COMPET">#REF!</definedName>
    <definedName name="CopyXC">#REF!</definedName>
    <definedName name="DatabaseNameCopy">#REF!</definedName>
    <definedName name="DatabaseNameDG">#REF!</definedName>
    <definedName name="DateColumn">[2]_Setup_!#REF!</definedName>
    <definedName name="DestColRowXC">#REF!</definedName>
    <definedName name="DestDBname">#REF!</definedName>
    <definedName name="DestHdrRowColXC">#REF!</definedName>
    <definedName name="DestLayoutXC">#REF!</definedName>
    <definedName name="DestRowColXC">#REF!</definedName>
    <definedName name="DestStudyName">#REF!</definedName>
    <definedName name="DestStudyNameCopy">#REF!</definedName>
    <definedName name="DestUserName">#REF!</definedName>
    <definedName name="DestWorksheetXC">#REF!</definedName>
    <definedName name="EffectiveDate">[2]_Setup_!#REF!</definedName>
    <definedName name="FIRM">#REF!</definedName>
    <definedName name="FIRM1">#REF!</definedName>
    <definedName name="GAS">#REF!</definedName>
    <definedName name="GASAVAIL">#REF!</definedName>
    <definedName name="GIP">#REF!</definedName>
    <definedName name="HeaderXC">#REF!</definedName>
    <definedName name="I5_">#REF!</definedName>
    <definedName name="I6_">#REF!</definedName>
    <definedName name="I7_">#REF!</definedName>
    <definedName name="ImportListDG">#REF!</definedName>
    <definedName name="INDEXDATA">'[3]Index-Data'!$A$2:$CG$68</definedName>
    <definedName name="INFLAT">#REF!</definedName>
    <definedName name="LayoutXC">#REF!</definedName>
    <definedName name="Messages">[4]_UnregulatedCurves_!#REF!</definedName>
    <definedName name="MessagesDG">#REF!</definedName>
    <definedName name="MessagesDW">[4]_UnregulatedCurves_!#REF!</definedName>
    <definedName name="MONTH">#REF!</definedName>
    <definedName name="MONTH1">#REF!</definedName>
    <definedName name="MONTHID">'[3]Misc-Data'!$A$2:$F$85</definedName>
    <definedName name="MONTHS2">#REF!</definedName>
    <definedName name="MONTHS3">#REF!</definedName>
    <definedName name="MONTHS4">#REF!</definedName>
    <definedName name="MONTHS5">#REF!</definedName>
    <definedName name="MONTHS6">#REF!</definedName>
    <definedName name="MONTHS7">#REF!</definedName>
    <definedName name="OIPBBL">#REF!</definedName>
    <definedName name="OIPBBL1">#REF!</definedName>
    <definedName name="PasswordCopy">#REF!</definedName>
    <definedName name="PasswordDG">#REF!</definedName>
    <definedName name="PHASEII">#REF!</definedName>
    <definedName name="PHASEII1">#REF!</definedName>
    <definedName name="PHASEIII">#REF!</definedName>
    <definedName name="PHASEIII1">#REF!</definedName>
    <definedName name="pipedes">'[3]Misc-Data'!$D$2:$F$69</definedName>
    <definedName name="_xlnm.Print_Area" localSheetId="5">'RAP TEMPLATE-GAS AVAILABILITY'!$A$12:$T$1158</definedName>
    <definedName name="_xlnm.Print_Area" localSheetId="3">'RAP-HEAVY OIL&amp;WTI'!$A$12:$J$1158</definedName>
    <definedName name="_xlnm.Print_Area" localSheetId="2">'RAP-LIGHT OIL'!$A$12:$K$1157</definedName>
    <definedName name="_xlnm.Print_Area" localSheetId="4">'RAP-NATURAL GAS PRICES'!$A$13:$AC$1159</definedName>
    <definedName name="_xlnm.Print_Area" localSheetId="1">'RAP-SOLID FUEL PRICES'!$A$14:$O$1159</definedName>
    <definedName name="_xlnm.Print_Titles" localSheetId="5">'RAP TEMPLATE-GAS AVAILABILITY'!$1:$11</definedName>
    <definedName name="_xlnm.Print_Titles" localSheetId="3">'RAP-HEAVY OIL&amp;WTI'!$1:$11</definedName>
    <definedName name="_xlnm.Print_Titles" localSheetId="2">'RAP-LIGHT OIL'!$1:$11</definedName>
    <definedName name="_xlnm.Print_Titles" localSheetId="4">'RAP-NATURAL GAS PRICES'!$1:$12</definedName>
    <definedName name="_xlnm.Print_Titles" localSheetId="1">'RAP-SOLID FUEL PRICES'!$1:$13</definedName>
    <definedName name="RESULTS">#REF!</definedName>
    <definedName name="RESULTS1">#REF!</definedName>
    <definedName name="RESULTS2">#REF!</definedName>
    <definedName name="RESULTS3">#REF!</definedName>
    <definedName name="RESULTS4">#REF!</definedName>
    <definedName name="RESULTSA">#REF!</definedName>
    <definedName name="RowStart">[2]_Setup_!#REF!</definedName>
    <definedName name="SelectListCopy">#REF!</definedName>
    <definedName name="SFOR">#REF!</definedName>
    <definedName name="SFOR1">#REF!</definedName>
    <definedName name="SourceDBname">#REF!</definedName>
    <definedName name="SourceStudyName">#REF!</definedName>
    <definedName name="SourceStudyNameCopy">#REF!</definedName>
    <definedName name="SourceUserName">#REF!</definedName>
    <definedName name="SrcColRowXC">#REF!</definedName>
    <definedName name="SrcFileXC">#REF!</definedName>
    <definedName name="SrcStartRowColXC">#REF!</definedName>
    <definedName name="SrcWorksheetXC">#REF!</definedName>
    <definedName name="StatusCopy">#REF!</definedName>
    <definedName name="StatusDG">#REF!</definedName>
    <definedName name="StatusXC">#REF!</definedName>
    <definedName name="StudyNameDG">#REF!</definedName>
    <definedName name="SYP">#REF!</definedName>
    <definedName name="SYSGAS">#REF!</definedName>
    <definedName name="TITLES">#REF!</definedName>
    <definedName name="TOBBL">#REF!</definedName>
    <definedName name="TotalRowColXC">#REF!</definedName>
    <definedName name="TransferListDG">#REF!</definedName>
    <definedName name="TTG">#REF!</definedName>
    <definedName name="UserNameCopy">#REF!</definedName>
    <definedName name="UserNameDG">#REF!</definedName>
    <definedName name="VOLUMES">#REF!</definedName>
    <definedName name="VOLUMES1">#REF!</definedName>
    <definedName name="YEAR">#REF!</definedName>
    <definedName name="YEARS">#REF!</definedName>
  </definedNames>
  <calcPr calcId="145621" calcMode="manual"/>
</workbook>
</file>

<file path=xl/calcChain.xml><?xml version="1.0" encoding="utf-8"?>
<calcChain xmlns="http://schemas.openxmlformats.org/spreadsheetml/2006/main">
  <c r="C17" i="6" l="1"/>
  <c r="D17" i="6"/>
  <c r="E17" i="6"/>
  <c r="F17" i="6"/>
  <c r="L17" i="6"/>
  <c r="N17" i="6"/>
  <c r="P17" i="6"/>
  <c r="R17" i="6"/>
  <c r="Q17" i="6" s="1"/>
  <c r="S17" i="6" s="1"/>
  <c r="T17" i="6"/>
  <c r="C18" i="6"/>
  <c r="D18" i="6"/>
  <c r="E18" i="6"/>
  <c r="F18" i="6"/>
  <c r="L18" i="6"/>
  <c r="N18" i="6"/>
  <c r="P18" i="6"/>
  <c r="S18" i="6" s="1"/>
  <c r="R18" i="6"/>
  <c r="Q18" i="6" s="1"/>
  <c r="T18" i="6"/>
  <c r="C19" i="6"/>
  <c r="D19" i="6"/>
  <c r="L19" i="6" s="1"/>
  <c r="E19" i="6"/>
  <c r="F19" i="6"/>
  <c r="N19" i="6"/>
  <c r="P19" i="6"/>
  <c r="Q19" i="6"/>
  <c r="R19" i="6"/>
  <c r="S19" i="6"/>
  <c r="T19" i="6"/>
  <c r="C20" i="6"/>
  <c r="D20" i="6"/>
  <c r="E20" i="6"/>
  <c r="F20" i="6"/>
  <c r="L20" i="6"/>
  <c r="N20" i="6"/>
  <c r="P20" i="6"/>
  <c r="R20" i="6"/>
  <c r="Q20" i="6" s="1"/>
  <c r="T20" i="6"/>
  <c r="C21" i="6"/>
  <c r="D21" i="6"/>
  <c r="L21" i="6" s="1"/>
  <c r="E21" i="6"/>
  <c r="F21" i="6"/>
  <c r="N21" i="6"/>
  <c r="P21" i="6"/>
  <c r="Q21" i="6"/>
  <c r="R21" i="6"/>
  <c r="S21" i="6"/>
  <c r="T21" i="6"/>
  <c r="C22" i="6"/>
  <c r="D22" i="6"/>
  <c r="E22" i="6"/>
  <c r="F22" i="6"/>
  <c r="L22" i="6"/>
  <c r="N22" i="6"/>
  <c r="Q22" i="6"/>
  <c r="R22" i="6"/>
  <c r="S22" i="6"/>
  <c r="T22" i="6"/>
  <c r="C23" i="6"/>
  <c r="D23" i="6"/>
  <c r="E23" i="6"/>
  <c r="F23" i="6"/>
  <c r="L23" i="6"/>
  <c r="N23" i="6"/>
  <c r="Q23" i="6"/>
  <c r="R23" i="6"/>
  <c r="S23" i="6"/>
  <c r="T23" i="6"/>
  <c r="C24" i="6"/>
  <c r="D24" i="6"/>
  <c r="E24" i="6"/>
  <c r="F24" i="6"/>
  <c r="L24" i="6"/>
  <c r="N24" i="6"/>
  <c r="Q24" i="6"/>
  <c r="R24" i="6"/>
  <c r="S24" i="6"/>
  <c r="T24" i="6"/>
  <c r="C25" i="6"/>
  <c r="D25" i="6"/>
  <c r="E25" i="6"/>
  <c r="F25" i="6"/>
  <c r="L25" i="6"/>
  <c r="N25" i="6"/>
  <c r="Q25" i="6"/>
  <c r="R25" i="6"/>
  <c r="S25" i="6"/>
  <c r="T25" i="6"/>
  <c r="C26" i="6"/>
  <c r="D26" i="6"/>
  <c r="E26" i="6"/>
  <c r="F26" i="6"/>
  <c r="L26" i="6"/>
  <c r="N26" i="6"/>
  <c r="Q26" i="6"/>
  <c r="R26" i="6"/>
  <c r="S26" i="6"/>
  <c r="T26" i="6"/>
  <c r="C27" i="6"/>
  <c r="D27" i="6"/>
  <c r="E27" i="6"/>
  <c r="F27" i="6"/>
  <c r="L27" i="6"/>
  <c r="N27" i="6"/>
  <c r="P27" i="6"/>
  <c r="S27" i="6" s="1"/>
  <c r="R27" i="6"/>
  <c r="Q27" i="6" s="1"/>
  <c r="T27" i="6"/>
  <c r="C28" i="6"/>
  <c r="D28" i="6"/>
  <c r="L28" i="6" s="1"/>
  <c r="E28" i="6"/>
  <c r="F28" i="6"/>
  <c r="N28" i="6"/>
  <c r="P28" i="6"/>
  <c r="Q28" i="6"/>
  <c r="R28" i="6"/>
  <c r="S28" i="6"/>
  <c r="T28" i="6"/>
  <c r="C29" i="6"/>
  <c r="D29" i="6"/>
  <c r="E29" i="6"/>
  <c r="F29" i="6"/>
  <c r="L29" i="6"/>
  <c r="N29" i="6"/>
  <c r="P29" i="6"/>
  <c r="R29" i="6"/>
  <c r="Q29" i="6" s="1"/>
  <c r="T29" i="6"/>
  <c r="C30" i="6"/>
  <c r="D30" i="6"/>
  <c r="L30" i="6" s="1"/>
  <c r="E30" i="6"/>
  <c r="F30" i="6"/>
  <c r="N30" i="6"/>
  <c r="P30" i="6"/>
  <c r="Q30" i="6"/>
  <c r="R30" i="6"/>
  <c r="S30" i="6"/>
  <c r="T30" i="6"/>
  <c r="C31" i="6"/>
  <c r="D31" i="6"/>
  <c r="E31" i="6"/>
  <c r="F31" i="6"/>
  <c r="L31" i="6"/>
  <c r="N31" i="6"/>
  <c r="P31" i="6"/>
  <c r="S31" i="6" s="1"/>
  <c r="R31" i="6"/>
  <c r="Q31" i="6" s="1"/>
  <c r="T31" i="6"/>
  <c r="C32" i="6"/>
  <c r="D32" i="6"/>
  <c r="L32" i="6" s="1"/>
  <c r="E32" i="6"/>
  <c r="F32" i="6"/>
  <c r="N32" i="6"/>
  <c r="P32" i="6"/>
  <c r="Q32" i="6"/>
  <c r="R32" i="6"/>
  <c r="S32" i="6"/>
  <c r="T32" i="6"/>
  <c r="C33" i="6"/>
  <c r="D33" i="6"/>
  <c r="E33" i="6"/>
  <c r="F33" i="6"/>
  <c r="L33" i="6"/>
  <c r="N33" i="6"/>
  <c r="P33" i="6"/>
  <c r="R33" i="6"/>
  <c r="Q33" i="6" s="1"/>
  <c r="T33" i="6"/>
  <c r="C34" i="6"/>
  <c r="D34" i="6"/>
  <c r="L34" i="6" s="1"/>
  <c r="E34" i="6"/>
  <c r="F34" i="6"/>
  <c r="N34" i="6"/>
  <c r="R34" i="6"/>
  <c r="Q34" i="6" s="1"/>
  <c r="S34" i="6" s="1"/>
  <c r="T34" i="6"/>
  <c r="C35" i="6"/>
  <c r="D35" i="6"/>
  <c r="L35" i="6" s="1"/>
  <c r="E35" i="6"/>
  <c r="F35" i="6"/>
  <c r="N35" i="6"/>
  <c r="R35" i="6"/>
  <c r="Q35" i="6" s="1"/>
  <c r="S35" i="6" s="1"/>
  <c r="T35" i="6"/>
  <c r="C36" i="6"/>
  <c r="D36" i="6"/>
  <c r="L36" i="6" s="1"/>
  <c r="E36" i="6"/>
  <c r="F36" i="6"/>
  <c r="N36" i="6"/>
  <c r="R36" i="6"/>
  <c r="Q36" i="6" s="1"/>
  <c r="S36" i="6" s="1"/>
  <c r="T36" i="6"/>
  <c r="C37" i="6"/>
  <c r="D37" i="6"/>
  <c r="L37" i="6" s="1"/>
  <c r="E37" i="6"/>
  <c r="F37" i="6"/>
  <c r="N37" i="6"/>
  <c r="R37" i="6"/>
  <c r="Q37" i="6" s="1"/>
  <c r="S37" i="6" s="1"/>
  <c r="T37" i="6"/>
  <c r="C38" i="6"/>
  <c r="D38" i="6"/>
  <c r="L38" i="6" s="1"/>
  <c r="E38" i="6"/>
  <c r="F38" i="6"/>
  <c r="N38" i="6"/>
  <c r="R38" i="6"/>
  <c r="Q38" i="6" s="1"/>
  <c r="S38" i="6" s="1"/>
  <c r="T38" i="6"/>
  <c r="C39" i="6"/>
  <c r="D39" i="6"/>
  <c r="E39" i="6"/>
  <c r="F39" i="6"/>
  <c r="H39" i="6"/>
  <c r="L39" i="6"/>
  <c r="N39" i="6"/>
  <c r="P39" i="6"/>
  <c r="S39" i="6" s="1"/>
  <c r="R39" i="6"/>
  <c r="Q39" i="6" s="1"/>
  <c r="T39" i="6"/>
  <c r="C40" i="6"/>
  <c r="D40" i="6"/>
  <c r="E40" i="6"/>
  <c r="F40" i="6"/>
  <c r="H40" i="6"/>
  <c r="L40" i="6"/>
  <c r="N40" i="6"/>
  <c r="P40" i="6"/>
  <c r="S40" i="6" s="1"/>
  <c r="R40" i="6"/>
  <c r="Q40" i="6" s="1"/>
  <c r="T40" i="6"/>
  <c r="C41" i="6"/>
  <c r="D41" i="6"/>
  <c r="E41" i="6"/>
  <c r="F41" i="6"/>
  <c r="H41" i="6"/>
  <c r="L41" i="6"/>
  <c r="N41" i="6"/>
  <c r="P41" i="6"/>
  <c r="S41" i="6" s="1"/>
  <c r="R41" i="6"/>
  <c r="Q41" i="6" s="1"/>
  <c r="T41" i="6"/>
  <c r="C42" i="6"/>
  <c r="D42" i="6"/>
  <c r="E42" i="6"/>
  <c r="F42" i="6"/>
  <c r="H42" i="6"/>
  <c r="L42" i="6"/>
  <c r="N42" i="6"/>
  <c r="P42" i="6"/>
  <c r="S42" i="6" s="1"/>
  <c r="R42" i="6"/>
  <c r="Q42" i="6" s="1"/>
  <c r="T42" i="6"/>
  <c r="C43" i="6"/>
  <c r="D43" i="6"/>
  <c r="E43" i="6"/>
  <c r="F43" i="6"/>
  <c r="H43" i="6"/>
  <c r="L43" i="6"/>
  <c r="N43" i="6"/>
  <c r="P43" i="6"/>
  <c r="S43" i="6" s="1"/>
  <c r="R43" i="6"/>
  <c r="Q43" i="6" s="1"/>
  <c r="T43" i="6"/>
  <c r="C44" i="6"/>
  <c r="D44" i="6"/>
  <c r="E44" i="6"/>
  <c r="F44" i="6"/>
  <c r="H44" i="6"/>
  <c r="L44" i="6"/>
  <c r="N44" i="6"/>
  <c r="P44" i="6"/>
  <c r="S44" i="6" s="1"/>
  <c r="R44" i="6"/>
  <c r="Q44" i="6" s="1"/>
  <c r="T44" i="6"/>
  <c r="C45" i="6"/>
  <c r="D45" i="6"/>
  <c r="E45" i="6"/>
  <c r="F45" i="6"/>
  <c r="H45" i="6"/>
  <c r="L45" i="6"/>
  <c r="N45" i="6"/>
  <c r="P45" i="6"/>
  <c r="S45" i="6" s="1"/>
  <c r="R45" i="6"/>
  <c r="Q45" i="6" s="1"/>
  <c r="T45" i="6"/>
  <c r="C46" i="6"/>
  <c r="D46" i="6"/>
  <c r="E46" i="6"/>
  <c r="F46" i="6"/>
  <c r="H46" i="6"/>
  <c r="L46" i="6"/>
  <c r="N46" i="6"/>
  <c r="Q46" i="6"/>
  <c r="R46" i="6"/>
  <c r="S46" i="6"/>
  <c r="T46" i="6"/>
  <c r="C47" i="6"/>
  <c r="D47" i="6"/>
  <c r="E47" i="6"/>
  <c r="F47" i="6"/>
  <c r="H47" i="6"/>
  <c r="N47" i="6"/>
  <c r="R47" i="6"/>
  <c r="Q47" i="6" s="1"/>
  <c r="S47" i="6" s="1"/>
  <c r="T47" i="6"/>
  <c r="C48" i="6"/>
  <c r="D48" i="6"/>
  <c r="E48" i="6"/>
  <c r="F48" i="6"/>
  <c r="H48" i="6"/>
  <c r="L48" i="6"/>
  <c r="N48" i="6"/>
  <c r="Q48" i="6"/>
  <c r="R48" i="6"/>
  <c r="S48" i="6"/>
  <c r="T48" i="6"/>
  <c r="C49" i="6"/>
  <c r="D49" i="6"/>
  <c r="E49" i="6"/>
  <c r="F49" i="6"/>
  <c r="H49" i="6"/>
  <c r="N49" i="6"/>
  <c r="R49" i="6"/>
  <c r="Q49" i="6" s="1"/>
  <c r="S49" i="6" s="1"/>
  <c r="T49" i="6"/>
  <c r="C50" i="6"/>
  <c r="D50" i="6"/>
  <c r="E50" i="6"/>
  <c r="F50" i="6"/>
  <c r="H50" i="6"/>
  <c r="L50" i="6"/>
  <c r="N50" i="6"/>
  <c r="Q50" i="6"/>
  <c r="R50" i="6"/>
  <c r="S50" i="6"/>
  <c r="T50" i="6"/>
  <c r="C51" i="6"/>
  <c r="D51" i="6"/>
  <c r="E51" i="6"/>
  <c r="F51" i="6"/>
  <c r="H51" i="6"/>
  <c r="N51" i="6"/>
  <c r="R51" i="6"/>
  <c r="Q51" i="6" s="1"/>
  <c r="S51" i="6" s="1"/>
  <c r="T51" i="6"/>
  <c r="C52" i="6"/>
  <c r="D52" i="6"/>
  <c r="E52" i="6"/>
  <c r="F52" i="6"/>
  <c r="H52" i="6"/>
  <c r="I52" i="6"/>
  <c r="N52" i="6"/>
  <c r="R52" i="6"/>
  <c r="Q52" i="6" s="1"/>
  <c r="S52" i="6" s="1"/>
  <c r="T52" i="6"/>
  <c r="C53" i="6"/>
  <c r="D53" i="6"/>
  <c r="E53" i="6"/>
  <c r="F53" i="6"/>
  <c r="H53" i="6"/>
  <c r="I53" i="6"/>
  <c r="N53" i="6"/>
  <c r="R53" i="6"/>
  <c r="Q53" i="6" s="1"/>
  <c r="S53" i="6" s="1"/>
  <c r="T53" i="6"/>
  <c r="C54" i="6"/>
  <c r="D54" i="6"/>
  <c r="E54" i="6"/>
  <c r="F54" i="6"/>
  <c r="H54" i="6"/>
  <c r="I54" i="6"/>
  <c r="N54" i="6"/>
  <c r="R54" i="6"/>
  <c r="Q54" i="6" s="1"/>
  <c r="S54" i="6" s="1"/>
  <c r="T54" i="6"/>
  <c r="C55" i="6"/>
  <c r="D55" i="6"/>
  <c r="E55" i="6"/>
  <c r="F55" i="6"/>
  <c r="H55" i="6"/>
  <c r="I55" i="6"/>
  <c r="N55" i="6"/>
  <c r="R55" i="6"/>
  <c r="Q55" i="6" s="1"/>
  <c r="S55" i="6" s="1"/>
  <c r="T55" i="6"/>
  <c r="C56" i="6"/>
  <c r="D56" i="6"/>
  <c r="E56" i="6"/>
  <c r="F56" i="6"/>
  <c r="H56" i="6"/>
  <c r="I56" i="6"/>
  <c r="N56" i="6"/>
  <c r="R56" i="6"/>
  <c r="Q56" i="6" s="1"/>
  <c r="S56" i="6" s="1"/>
  <c r="T56" i="6"/>
  <c r="C57" i="6"/>
  <c r="D57" i="6"/>
  <c r="E57" i="6"/>
  <c r="F57" i="6"/>
  <c r="H57" i="6"/>
  <c r="I57" i="6"/>
  <c r="N57" i="6"/>
  <c r="R57" i="6"/>
  <c r="Q57" i="6" s="1"/>
  <c r="S57" i="6" s="1"/>
  <c r="T57" i="6"/>
  <c r="C58" i="6"/>
  <c r="D58" i="6"/>
  <c r="E58" i="6"/>
  <c r="F58" i="6"/>
  <c r="H58" i="6"/>
  <c r="I58" i="6"/>
  <c r="N58" i="6"/>
  <c r="R58" i="6"/>
  <c r="Q58" i="6" s="1"/>
  <c r="S58" i="6" s="1"/>
  <c r="T58" i="6"/>
  <c r="C59" i="6"/>
  <c r="D59" i="6"/>
  <c r="E59" i="6"/>
  <c r="F59" i="6"/>
  <c r="H59" i="6"/>
  <c r="I59" i="6"/>
  <c r="N59" i="6"/>
  <c r="R59" i="6"/>
  <c r="Q59" i="6" s="1"/>
  <c r="S59" i="6" s="1"/>
  <c r="T59" i="6"/>
  <c r="C60" i="6"/>
  <c r="D60" i="6"/>
  <c r="E60" i="6"/>
  <c r="F60" i="6"/>
  <c r="H60" i="6"/>
  <c r="I60" i="6"/>
  <c r="N60" i="6"/>
  <c r="R60" i="6"/>
  <c r="Q60" i="6" s="1"/>
  <c r="S60" i="6" s="1"/>
  <c r="T60" i="6"/>
  <c r="C61" i="6"/>
  <c r="D61" i="6"/>
  <c r="E61" i="6"/>
  <c r="F61" i="6"/>
  <c r="H61" i="6"/>
  <c r="I61" i="6"/>
  <c r="N61" i="6"/>
  <c r="R61" i="6"/>
  <c r="Q61" i="6" s="1"/>
  <c r="S61" i="6" s="1"/>
  <c r="T61" i="6"/>
  <c r="C62" i="6"/>
  <c r="D62" i="6"/>
  <c r="E62" i="6"/>
  <c r="F62" i="6"/>
  <c r="H62" i="6"/>
  <c r="I62" i="6"/>
  <c r="L62" i="6"/>
  <c r="N62" i="6"/>
  <c r="Q62" i="6"/>
  <c r="R62" i="6"/>
  <c r="S62" i="6"/>
  <c r="T62" i="6"/>
  <c r="C63" i="6"/>
  <c r="D63" i="6"/>
  <c r="E63" i="6"/>
  <c r="F63" i="6"/>
  <c r="H63" i="6"/>
  <c r="I63" i="6"/>
  <c r="L63" i="6"/>
  <c r="N63" i="6"/>
  <c r="Q63" i="6"/>
  <c r="R63" i="6"/>
  <c r="S63" i="6"/>
  <c r="T63" i="6"/>
  <c r="C64" i="6"/>
  <c r="D64" i="6"/>
  <c r="E64" i="6"/>
  <c r="F64" i="6"/>
  <c r="H64" i="6"/>
  <c r="I64" i="6"/>
  <c r="L64" i="6"/>
  <c r="N64" i="6"/>
  <c r="Q64" i="6"/>
  <c r="R64" i="6"/>
  <c r="S64" i="6"/>
  <c r="T64" i="6"/>
  <c r="C65" i="6"/>
  <c r="D65" i="6"/>
  <c r="E65" i="6"/>
  <c r="F65" i="6"/>
  <c r="H65" i="6"/>
  <c r="I65" i="6"/>
  <c r="L65" i="6"/>
  <c r="N65" i="6"/>
  <c r="Q65" i="6"/>
  <c r="R65" i="6"/>
  <c r="S65" i="6"/>
  <c r="T65" i="6"/>
  <c r="C66" i="6"/>
  <c r="D66" i="6"/>
  <c r="E66" i="6"/>
  <c r="F66" i="6"/>
  <c r="H66" i="6"/>
  <c r="I66" i="6"/>
  <c r="L66" i="6"/>
  <c r="N66" i="6"/>
  <c r="Q66" i="6"/>
  <c r="R66" i="6"/>
  <c r="S66" i="6"/>
  <c r="T66" i="6"/>
  <c r="C67" i="6"/>
  <c r="D67" i="6"/>
  <c r="E67" i="6"/>
  <c r="F67" i="6"/>
  <c r="H67" i="6"/>
  <c r="I67" i="6"/>
  <c r="L67" i="6"/>
  <c r="N67" i="6"/>
  <c r="Q67" i="6"/>
  <c r="R67" i="6"/>
  <c r="S67" i="6"/>
  <c r="T67" i="6"/>
  <c r="C68" i="6"/>
  <c r="D68" i="6"/>
  <c r="E68" i="6"/>
  <c r="F68" i="6"/>
  <c r="H68" i="6"/>
  <c r="I68" i="6"/>
  <c r="L68" i="6"/>
  <c r="N68" i="6"/>
  <c r="Q68" i="6"/>
  <c r="R68" i="6"/>
  <c r="S68" i="6"/>
  <c r="T68" i="6"/>
  <c r="C69" i="6"/>
  <c r="D69" i="6"/>
  <c r="E69" i="6"/>
  <c r="F69" i="6"/>
  <c r="H69" i="6"/>
  <c r="I69" i="6"/>
  <c r="L69" i="6"/>
  <c r="N69" i="6"/>
  <c r="Q69" i="6"/>
  <c r="R69" i="6"/>
  <c r="S69" i="6"/>
  <c r="T69" i="6"/>
  <c r="C70" i="6"/>
  <c r="D70" i="6"/>
  <c r="E70" i="6"/>
  <c r="F70" i="6"/>
  <c r="H70" i="6"/>
  <c r="I70" i="6"/>
  <c r="L70" i="6"/>
  <c r="N70" i="6"/>
  <c r="Q70" i="6"/>
  <c r="R70" i="6"/>
  <c r="S70" i="6"/>
  <c r="T70" i="6"/>
  <c r="C71" i="6"/>
  <c r="D71" i="6"/>
  <c r="E71" i="6"/>
  <c r="F71" i="6"/>
  <c r="H71" i="6"/>
  <c r="I71" i="6"/>
  <c r="L71" i="6"/>
  <c r="N71" i="6"/>
  <c r="Q71" i="6"/>
  <c r="R71" i="6"/>
  <c r="S71" i="6"/>
  <c r="T71" i="6"/>
  <c r="C72" i="6"/>
  <c r="D72" i="6"/>
  <c r="E72" i="6"/>
  <c r="F72" i="6"/>
  <c r="H72" i="6"/>
  <c r="I72" i="6"/>
  <c r="L72" i="6"/>
  <c r="N72" i="6"/>
  <c r="Q72" i="6"/>
  <c r="R72" i="6"/>
  <c r="S72" i="6"/>
  <c r="T72" i="6"/>
  <c r="C73" i="6"/>
  <c r="D73" i="6"/>
  <c r="E73" i="6"/>
  <c r="F73" i="6"/>
  <c r="H73" i="6"/>
  <c r="I73" i="6"/>
  <c r="L73" i="6"/>
  <c r="N73" i="6"/>
  <c r="Q73" i="6"/>
  <c r="R73" i="6"/>
  <c r="S73" i="6"/>
  <c r="T73" i="6"/>
  <c r="C74" i="6"/>
  <c r="D74" i="6"/>
  <c r="E74" i="6"/>
  <c r="F74" i="6"/>
  <c r="H74" i="6"/>
  <c r="I74" i="6"/>
  <c r="L74" i="6"/>
  <c r="N74" i="6"/>
  <c r="Q74" i="6"/>
  <c r="R74" i="6"/>
  <c r="S74" i="6"/>
  <c r="T74" i="6"/>
  <c r="C75" i="6"/>
  <c r="D75" i="6"/>
  <c r="E75" i="6"/>
  <c r="F75" i="6"/>
  <c r="H75" i="6"/>
  <c r="I75" i="6"/>
  <c r="L75" i="6"/>
  <c r="N75" i="6"/>
  <c r="Q75" i="6"/>
  <c r="R75" i="6"/>
  <c r="S75" i="6"/>
  <c r="T75" i="6"/>
  <c r="C76" i="6"/>
  <c r="D76" i="6"/>
  <c r="E76" i="6"/>
  <c r="F76" i="6"/>
  <c r="H76" i="6"/>
  <c r="I76" i="6"/>
  <c r="L76" i="6"/>
  <c r="N76" i="6"/>
  <c r="Q76" i="6"/>
  <c r="R76" i="6"/>
  <c r="S76" i="6"/>
  <c r="T76" i="6"/>
  <c r="C77" i="6"/>
  <c r="D77" i="6"/>
  <c r="E77" i="6"/>
  <c r="F77" i="6"/>
  <c r="H77" i="6"/>
  <c r="I77" i="6"/>
  <c r="L77" i="6"/>
  <c r="N77" i="6"/>
  <c r="Q77" i="6"/>
  <c r="R77" i="6"/>
  <c r="S77" i="6"/>
  <c r="T77" i="6"/>
  <c r="C78" i="6"/>
  <c r="D78" i="6"/>
  <c r="E78" i="6"/>
  <c r="F78" i="6"/>
  <c r="H78" i="6"/>
  <c r="I78" i="6"/>
  <c r="L78" i="6"/>
  <c r="N78" i="6"/>
  <c r="Q78" i="6"/>
  <c r="R78" i="6"/>
  <c r="S78" i="6"/>
  <c r="T78" i="6"/>
  <c r="C79" i="6"/>
  <c r="D79" i="6"/>
  <c r="E79" i="6"/>
  <c r="F79" i="6"/>
  <c r="H79" i="6"/>
  <c r="I79" i="6"/>
  <c r="L79" i="6"/>
  <c r="N79" i="6"/>
  <c r="Q79" i="6"/>
  <c r="R79" i="6"/>
  <c r="S79" i="6"/>
  <c r="T79" i="6"/>
  <c r="C80" i="6"/>
  <c r="D80" i="6"/>
  <c r="E80" i="6"/>
  <c r="F80" i="6"/>
  <c r="H80" i="6"/>
  <c r="I80" i="6"/>
  <c r="L80" i="6"/>
  <c r="N80" i="6"/>
  <c r="Q80" i="6"/>
  <c r="R80" i="6"/>
  <c r="S80" i="6"/>
  <c r="T80" i="6"/>
  <c r="C81" i="6"/>
  <c r="D81" i="6"/>
  <c r="E81" i="6"/>
  <c r="F81" i="6"/>
  <c r="H81" i="6"/>
  <c r="I81" i="6"/>
  <c r="L81" i="6"/>
  <c r="N81" i="6"/>
  <c r="Q81" i="6"/>
  <c r="R81" i="6"/>
  <c r="S81" i="6"/>
  <c r="T81" i="6"/>
  <c r="C82" i="6"/>
  <c r="D82" i="6"/>
  <c r="E82" i="6"/>
  <c r="F82" i="6"/>
  <c r="H82" i="6"/>
  <c r="I82" i="6"/>
  <c r="L82" i="6"/>
  <c r="N82" i="6"/>
  <c r="Q82" i="6"/>
  <c r="R82" i="6"/>
  <c r="S82" i="6"/>
  <c r="T82" i="6"/>
  <c r="C83" i="6"/>
  <c r="D83" i="6"/>
  <c r="E83" i="6"/>
  <c r="F83" i="6"/>
  <c r="H83" i="6"/>
  <c r="I83" i="6"/>
  <c r="L83" i="6"/>
  <c r="N83" i="6"/>
  <c r="Q83" i="6"/>
  <c r="R83" i="6"/>
  <c r="S83" i="6"/>
  <c r="T83" i="6"/>
  <c r="C84" i="6"/>
  <c r="D84" i="6"/>
  <c r="E84" i="6"/>
  <c r="F84" i="6"/>
  <c r="H84" i="6"/>
  <c r="I84" i="6"/>
  <c r="L84" i="6"/>
  <c r="N84" i="6"/>
  <c r="Q84" i="6"/>
  <c r="R84" i="6"/>
  <c r="S84" i="6"/>
  <c r="T84" i="6"/>
  <c r="C85" i="6"/>
  <c r="D85" i="6"/>
  <c r="E85" i="6"/>
  <c r="F85" i="6"/>
  <c r="H85" i="6"/>
  <c r="I85" i="6"/>
  <c r="L85" i="6"/>
  <c r="N85" i="6"/>
  <c r="Q85" i="6"/>
  <c r="R85" i="6"/>
  <c r="S85" i="6"/>
  <c r="T85" i="6"/>
  <c r="C86" i="6"/>
  <c r="D86" i="6"/>
  <c r="E86" i="6"/>
  <c r="F86" i="6"/>
  <c r="H86" i="6"/>
  <c r="I86" i="6"/>
  <c r="L86" i="6"/>
  <c r="N86" i="6"/>
  <c r="Q86" i="6"/>
  <c r="R86" i="6"/>
  <c r="S86" i="6"/>
  <c r="T86" i="6"/>
  <c r="C87" i="6"/>
  <c r="D87" i="6"/>
  <c r="E87" i="6"/>
  <c r="F87" i="6"/>
  <c r="H87" i="6"/>
  <c r="I87" i="6"/>
  <c r="L87" i="6"/>
  <c r="N87" i="6"/>
  <c r="Q87" i="6"/>
  <c r="R87" i="6"/>
  <c r="S87" i="6"/>
  <c r="T87" i="6"/>
  <c r="C88" i="6"/>
  <c r="D88" i="6"/>
  <c r="E88" i="6"/>
  <c r="F88" i="6"/>
  <c r="H88" i="6"/>
  <c r="I88" i="6"/>
  <c r="L88" i="6"/>
  <c r="N88" i="6"/>
  <c r="Q88" i="6"/>
  <c r="R88" i="6"/>
  <c r="S88" i="6"/>
  <c r="T88" i="6"/>
  <c r="C89" i="6"/>
  <c r="D89" i="6"/>
  <c r="E89" i="6"/>
  <c r="F89" i="6"/>
  <c r="H89" i="6"/>
  <c r="I89" i="6"/>
  <c r="L89" i="6"/>
  <c r="N89" i="6"/>
  <c r="Q89" i="6"/>
  <c r="R89" i="6"/>
  <c r="S89" i="6"/>
  <c r="T89" i="6"/>
  <c r="C90" i="6"/>
  <c r="D90" i="6"/>
  <c r="E90" i="6"/>
  <c r="F90" i="6"/>
  <c r="H90" i="6"/>
  <c r="I90" i="6"/>
  <c r="L90" i="6"/>
  <c r="N90" i="6"/>
  <c r="Q90" i="6"/>
  <c r="R90" i="6"/>
  <c r="S90" i="6"/>
  <c r="T90" i="6"/>
  <c r="C91" i="6"/>
  <c r="D91" i="6"/>
  <c r="E91" i="6"/>
  <c r="F91" i="6"/>
  <c r="H91" i="6"/>
  <c r="I91" i="6"/>
  <c r="L91" i="6"/>
  <c r="N91" i="6"/>
  <c r="Q91" i="6"/>
  <c r="R91" i="6"/>
  <c r="S91" i="6"/>
  <c r="T91" i="6"/>
  <c r="C92" i="6"/>
  <c r="D92" i="6"/>
  <c r="E92" i="6"/>
  <c r="F92" i="6"/>
  <c r="H92" i="6"/>
  <c r="I92" i="6"/>
  <c r="L92" i="6"/>
  <c r="N92" i="6"/>
  <c r="Q92" i="6"/>
  <c r="R92" i="6"/>
  <c r="S92" i="6"/>
  <c r="T92" i="6"/>
  <c r="C93" i="6"/>
  <c r="D93" i="6"/>
  <c r="E93" i="6"/>
  <c r="F93" i="6"/>
  <c r="H93" i="6"/>
  <c r="I93" i="6"/>
  <c r="L93" i="6"/>
  <c r="N93" i="6"/>
  <c r="Q93" i="6"/>
  <c r="R93" i="6"/>
  <c r="S93" i="6"/>
  <c r="T93" i="6"/>
  <c r="C94" i="6"/>
  <c r="D94" i="6"/>
  <c r="E94" i="6"/>
  <c r="F94" i="6"/>
  <c r="H94" i="6"/>
  <c r="I94" i="6"/>
  <c r="L94" i="6"/>
  <c r="N94" i="6"/>
  <c r="Q94" i="6"/>
  <c r="R94" i="6"/>
  <c r="S94" i="6"/>
  <c r="T94" i="6"/>
  <c r="C95" i="6"/>
  <c r="D95" i="6"/>
  <c r="E95" i="6"/>
  <c r="F95" i="6"/>
  <c r="H95" i="6"/>
  <c r="I95" i="6"/>
  <c r="L95" i="6"/>
  <c r="N95" i="6"/>
  <c r="Q95" i="6"/>
  <c r="R95" i="6"/>
  <c r="S95" i="6"/>
  <c r="T95" i="6"/>
  <c r="C96" i="6"/>
  <c r="D96" i="6"/>
  <c r="E96" i="6"/>
  <c r="F96" i="6"/>
  <c r="H96" i="6"/>
  <c r="I96" i="6"/>
  <c r="L96" i="6"/>
  <c r="N96" i="6"/>
  <c r="Q96" i="6"/>
  <c r="R96" i="6"/>
  <c r="S96" i="6"/>
  <c r="T96" i="6"/>
  <c r="C97" i="6"/>
  <c r="D97" i="6"/>
  <c r="E97" i="6"/>
  <c r="F97" i="6"/>
  <c r="H97" i="6"/>
  <c r="I97" i="6"/>
  <c r="L97" i="6"/>
  <c r="N97" i="6"/>
  <c r="Q97" i="6"/>
  <c r="R97" i="6"/>
  <c r="S97" i="6"/>
  <c r="T97" i="6"/>
  <c r="C98" i="6"/>
  <c r="D98" i="6"/>
  <c r="E98" i="6"/>
  <c r="F98" i="6"/>
  <c r="H98" i="6"/>
  <c r="I98" i="6"/>
  <c r="L98" i="6"/>
  <c r="N98" i="6"/>
  <c r="Q98" i="6"/>
  <c r="R98" i="6"/>
  <c r="S98" i="6"/>
  <c r="T98" i="6"/>
  <c r="C99" i="6"/>
  <c r="D99" i="6"/>
  <c r="E99" i="6"/>
  <c r="F99" i="6"/>
  <c r="H99" i="6"/>
  <c r="I99" i="6"/>
  <c r="L99" i="6"/>
  <c r="N99" i="6"/>
  <c r="Q99" i="6"/>
  <c r="R99" i="6"/>
  <c r="S99" i="6"/>
  <c r="T99" i="6"/>
  <c r="C100" i="6"/>
  <c r="D100" i="6"/>
  <c r="E100" i="6"/>
  <c r="F100" i="6"/>
  <c r="H100" i="6"/>
  <c r="I100" i="6"/>
  <c r="L100" i="6"/>
  <c r="N100" i="6"/>
  <c r="Q100" i="6"/>
  <c r="R100" i="6"/>
  <c r="S100" i="6"/>
  <c r="T100" i="6"/>
  <c r="C101" i="6"/>
  <c r="D101" i="6"/>
  <c r="E101" i="6"/>
  <c r="F101" i="6"/>
  <c r="H101" i="6"/>
  <c r="I101" i="6"/>
  <c r="L101" i="6"/>
  <c r="N101" i="6"/>
  <c r="Q101" i="6"/>
  <c r="R101" i="6"/>
  <c r="S101" i="6"/>
  <c r="T101" i="6"/>
  <c r="C102" i="6"/>
  <c r="D102" i="6"/>
  <c r="E102" i="6"/>
  <c r="F102" i="6"/>
  <c r="H102" i="6"/>
  <c r="I102" i="6"/>
  <c r="L102" i="6"/>
  <c r="N102" i="6"/>
  <c r="Q102" i="6"/>
  <c r="R102" i="6"/>
  <c r="S102" i="6"/>
  <c r="T102" i="6"/>
  <c r="C103" i="6"/>
  <c r="D103" i="6"/>
  <c r="E103" i="6"/>
  <c r="F103" i="6"/>
  <c r="H103" i="6"/>
  <c r="I103" i="6"/>
  <c r="L103" i="6"/>
  <c r="N103" i="6"/>
  <c r="Q103" i="6"/>
  <c r="R103" i="6"/>
  <c r="S103" i="6"/>
  <c r="T103" i="6"/>
  <c r="C104" i="6"/>
  <c r="D104" i="6"/>
  <c r="E104" i="6"/>
  <c r="F104" i="6"/>
  <c r="H104" i="6"/>
  <c r="I104" i="6"/>
  <c r="L104" i="6"/>
  <c r="N104" i="6"/>
  <c r="Q104" i="6"/>
  <c r="R104" i="6"/>
  <c r="S104" i="6"/>
  <c r="T104" i="6"/>
  <c r="C105" i="6"/>
  <c r="D105" i="6"/>
  <c r="E105" i="6"/>
  <c r="F105" i="6"/>
  <c r="H105" i="6"/>
  <c r="I105" i="6"/>
  <c r="L105" i="6"/>
  <c r="N105" i="6"/>
  <c r="Q105" i="6"/>
  <c r="R105" i="6"/>
  <c r="S105" i="6"/>
  <c r="T105" i="6"/>
  <c r="C106" i="6"/>
  <c r="D106" i="6"/>
  <c r="E106" i="6"/>
  <c r="F106" i="6"/>
  <c r="H106" i="6"/>
  <c r="I106" i="6"/>
  <c r="L106" i="6"/>
  <c r="N106" i="6"/>
  <c r="Q106" i="6"/>
  <c r="R106" i="6"/>
  <c r="S106" i="6"/>
  <c r="T106" i="6"/>
  <c r="C107" i="6"/>
  <c r="D107" i="6"/>
  <c r="E107" i="6"/>
  <c r="F107" i="6"/>
  <c r="H107" i="6"/>
  <c r="I107" i="6"/>
  <c r="L107" i="6"/>
  <c r="N107" i="6"/>
  <c r="Q107" i="6"/>
  <c r="R107" i="6"/>
  <c r="S107" i="6"/>
  <c r="T107" i="6"/>
  <c r="C108" i="6"/>
  <c r="D108" i="6"/>
  <c r="E108" i="6"/>
  <c r="F108" i="6"/>
  <c r="H108" i="6"/>
  <c r="I108" i="6"/>
  <c r="L108" i="6"/>
  <c r="N108" i="6"/>
  <c r="Q108" i="6"/>
  <c r="R108" i="6"/>
  <c r="S108" i="6"/>
  <c r="T108" i="6"/>
  <c r="C109" i="6"/>
  <c r="D109" i="6"/>
  <c r="E109" i="6"/>
  <c r="F109" i="6"/>
  <c r="H109" i="6"/>
  <c r="I109" i="6"/>
  <c r="L109" i="6"/>
  <c r="N109" i="6"/>
  <c r="Q109" i="6"/>
  <c r="R109" i="6"/>
  <c r="S109" i="6"/>
  <c r="T109" i="6"/>
  <c r="C110" i="6"/>
  <c r="D110" i="6"/>
  <c r="E110" i="6"/>
  <c r="F110" i="6"/>
  <c r="H110" i="6"/>
  <c r="I110" i="6"/>
  <c r="L110" i="6"/>
  <c r="N110" i="6"/>
  <c r="Q110" i="6"/>
  <c r="R110" i="6"/>
  <c r="S110" i="6"/>
  <c r="T110" i="6"/>
  <c r="C111" i="6"/>
  <c r="D111" i="6"/>
  <c r="E111" i="6"/>
  <c r="F111" i="6"/>
  <c r="H111" i="6"/>
  <c r="I111" i="6"/>
  <c r="L111" i="6"/>
  <c r="N111" i="6"/>
  <c r="Q111" i="6"/>
  <c r="R111" i="6"/>
  <c r="S111" i="6"/>
  <c r="T111" i="6"/>
  <c r="C112" i="6"/>
  <c r="D112" i="6"/>
  <c r="E112" i="6"/>
  <c r="F112" i="6"/>
  <c r="H112" i="6"/>
  <c r="I112" i="6"/>
  <c r="L112" i="6"/>
  <c r="N112" i="6"/>
  <c r="Q112" i="6"/>
  <c r="R112" i="6"/>
  <c r="S112" i="6"/>
  <c r="T112" i="6"/>
  <c r="C113" i="6"/>
  <c r="D113" i="6"/>
  <c r="E113" i="6"/>
  <c r="F113" i="6"/>
  <c r="H113" i="6"/>
  <c r="I113" i="6"/>
  <c r="L113" i="6"/>
  <c r="N113" i="6"/>
  <c r="Q113" i="6"/>
  <c r="R113" i="6"/>
  <c r="S113" i="6"/>
  <c r="T113" i="6"/>
  <c r="C114" i="6"/>
  <c r="D114" i="6"/>
  <c r="E114" i="6"/>
  <c r="F114" i="6"/>
  <c r="H114" i="6"/>
  <c r="I114" i="6"/>
  <c r="L114" i="6"/>
  <c r="N114" i="6"/>
  <c r="Q114" i="6"/>
  <c r="R114" i="6"/>
  <c r="S114" i="6"/>
  <c r="T114" i="6"/>
  <c r="C115" i="6"/>
  <c r="D115" i="6"/>
  <c r="E115" i="6"/>
  <c r="F115" i="6"/>
  <c r="H115" i="6"/>
  <c r="I115" i="6"/>
  <c r="L115" i="6"/>
  <c r="N115" i="6"/>
  <c r="Q115" i="6"/>
  <c r="R115" i="6"/>
  <c r="S115" i="6"/>
  <c r="T115" i="6"/>
  <c r="C116" i="6"/>
  <c r="D116" i="6"/>
  <c r="E116" i="6"/>
  <c r="F116" i="6"/>
  <c r="H116" i="6"/>
  <c r="I116" i="6"/>
  <c r="L116" i="6"/>
  <c r="N116" i="6"/>
  <c r="Q116" i="6"/>
  <c r="R116" i="6"/>
  <c r="S116" i="6"/>
  <c r="T116" i="6"/>
  <c r="C117" i="6"/>
  <c r="D117" i="6"/>
  <c r="E117" i="6"/>
  <c r="F117" i="6"/>
  <c r="H117" i="6"/>
  <c r="I117" i="6"/>
  <c r="L117" i="6"/>
  <c r="N117" i="6"/>
  <c r="Q117" i="6"/>
  <c r="R117" i="6"/>
  <c r="S117" i="6"/>
  <c r="T117" i="6"/>
  <c r="C118" i="6"/>
  <c r="D118" i="6"/>
  <c r="E118" i="6"/>
  <c r="F118" i="6"/>
  <c r="H118" i="6"/>
  <c r="I118" i="6"/>
  <c r="L118" i="6"/>
  <c r="N118" i="6"/>
  <c r="Q118" i="6"/>
  <c r="R118" i="6"/>
  <c r="S118" i="6"/>
  <c r="T118" i="6"/>
  <c r="C119" i="6"/>
  <c r="D119" i="6"/>
  <c r="E119" i="6"/>
  <c r="F119" i="6"/>
  <c r="H119" i="6"/>
  <c r="I119" i="6"/>
  <c r="L119" i="6"/>
  <c r="N119" i="6"/>
  <c r="Q119" i="6"/>
  <c r="R119" i="6"/>
  <c r="S119" i="6"/>
  <c r="T119" i="6"/>
  <c r="C120" i="6"/>
  <c r="D120" i="6"/>
  <c r="E120" i="6"/>
  <c r="F120" i="6"/>
  <c r="H120" i="6"/>
  <c r="I120" i="6"/>
  <c r="L120" i="6"/>
  <c r="N120" i="6"/>
  <c r="Q120" i="6"/>
  <c r="R120" i="6"/>
  <c r="S120" i="6"/>
  <c r="T120" i="6"/>
  <c r="C121" i="6"/>
  <c r="D121" i="6"/>
  <c r="E121" i="6"/>
  <c r="F121" i="6"/>
  <c r="H121" i="6"/>
  <c r="I121" i="6"/>
  <c r="L121" i="6"/>
  <c r="N121" i="6"/>
  <c r="Q121" i="6"/>
  <c r="R121" i="6"/>
  <c r="S121" i="6"/>
  <c r="T121" i="6"/>
  <c r="C122" i="6"/>
  <c r="D122" i="6"/>
  <c r="E122" i="6"/>
  <c r="F122" i="6"/>
  <c r="H122" i="6"/>
  <c r="I122" i="6"/>
  <c r="L122" i="6"/>
  <c r="N122" i="6"/>
  <c r="Q122" i="6"/>
  <c r="R122" i="6"/>
  <c r="S122" i="6"/>
  <c r="T122" i="6"/>
  <c r="C123" i="6"/>
  <c r="D123" i="6"/>
  <c r="E123" i="6"/>
  <c r="F123" i="6"/>
  <c r="H123" i="6"/>
  <c r="I123" i="6"/>
  <c r="L123" i="6"/>
  <c r="N123" i="6"/>
  <c r="Q123" i="6"/>
  <c r="R123" i="6"/>
  <c r="S123" i="6"/>
  <c r="T123" i="6"/>
  <c r="C124" i="6"/>
  <c r="D124" i="6"/>
  <c r="E124" i="6"/>
  <c r="F124" i="6"/>
  <c r="H124" i="6"/>
  <c r="I124" i="6"/>
  <c r="L124" i="6"/>
  <c r="N124" i="6"/>
  <c r="Q124" i="6"/>
  <c r="R124" i="6"/>
  <c r="S124" i="6"/>
  <c r="T124" i="6"/>
  <c r="C125" i="6"/>
  <c r="D125" i="6"/>
  <c r="E125" i="6"/>
  <c r="F125" i="6"/>
  <c r="H125" i="6"/>
  <c r="I125" i="6"/>
  <c r="L125" i="6"/>
  <c r="N125" i="6"/>
  <c r="Q125" i="6"/>
  <c r="R125" i="6"/>
  <c r="S125" i="6"/>
  <c r="T125" i="6"/>
  <c r="C126" i="6"/>
  <c r="D126" i="6"/>
  <c r="E126" i="6"/>
  <c r="F126" i="6"/>
  <c r="H126" i="6"/>
  <c r="I126" i="6"/>
  <c r="L126" i="6"/>
  <c r="N126" i="6"/>
  <c r="Q126" i="6"/>
  <c r="R126" i="6"/>
  <c r="S126" i="6"/>
  <c r="T126" i="6"/>
  <c r="C127" i="6"/>
  <c r="D127" i="6"/>
  <c r="E127" i="6"/>
  <c r="F127" i="6"/>
  <c r="H127" i="6"/>
  <c r="I127" i="6"/>
  <c r="L127" i="6"/>
  <c r="N127" i="6"/>
  <c r="Q127" i="6"/>
  <c r="R127" i="6"/>
  <c r="S127" i="6"/>
  <c r="T127" i="6"/>
  <c r="C128" i="6"/>
  <c r="D128" i="6"/>
  <c r="E128" i="6"/>
  <c r="F128" i="6"/>
  <c r="H128" i="6"/>
  <c r="I128" i="6"/>
  <c r="L128" i="6"/>
  <c r="N128" i="6"/>
  <c r="Q128" i="6"/>
  <c r="R128" i="6"/>
  <c r="S128" i="6"/>
  <c r="T128" i="6"/>
  <c r="C129" i="6"/>
  <c r="D129" i="6"/>
  <c r="E129" i="6"/>
  <c r="F129" i="6"/>
  <c r="H129" i="6"/>
  <c r="I129" i="6"/>
  <c r="L129" i="6"/>
  <c r="N129" i="6"/>
  <c r="Q129" i="6"/>
  <c r="R129" i="6"/>
  <c r="S129" i="6"/>
  <c r="T129" i="6"/>
  <c r="C130" i="6"/>
  <c r="D130" i="6"/>
  <c r="E130" i="6"/>
  <c r="F130" i="6"/>
  <c r="H130" i="6"/>
  <c r="I130" i="6"/>
  <c r="L130" i="6"/>
  <c r="N130" i="6"/>
  <c r="Q130" i="6"/>
  <c r="R130" i="6"/>
  <c r="S130" i="6"/>
  <c r="T130" i="6"/>
  <c r="C131" i="6"/>
  <c r="D131" i="6"/>
  <c r="E131" i="6"/>
  <c r="F131" i="6"/>
  <c r="H131" i="6"/>
  <c r="I131" i="6"/>
  <c r="L131" i="6"/>
  <c r="N131" i="6"/>
  <c r="Q131" i="6"/>
  <c r="R131" i="6"/>
  <c r="S131" i="6"/>
  <c r="T131" i="6"/>
  <c r="C132" i="6"/>
  <c r="D132" i="6"/>
  <c r="E132" i="6"/>
  <c r="F132" i="6"/>
  <c r="H132" i="6"/>
  <c r="I132" i="6"/>
  <c r="L132" i="6"/>
  <c r="N132" i="6"/>
  <c r="Q132" i="6"/>
  <c r="R132" i="6"/>
  <c r="S132" i="6"/>
  <c r="T132" i="6"/>
  <c r="C133" i="6"/>
  <c r="D133" i="6"/>
  <c r="E133" i="6"/>
  <c r="F133" i="6"/>
  <c r="H133" i="6"/>
  <c r="I133" i="6"/>
  <c r="L133" i="6"/>
  <c r="N133" i="6"/>
  <c r="Q133" i="6"/>
  <c r="R133" i="6"/>
  <c r="S133" i="6"/>
  <c r="T133" i="6"/>
  <c r="C134" i="6"/>
  <c r="D134" i="6"/>
  <c r="E134" i="6"/>
  <c r="F134" i="6"/>
  <c r="H134" i="6"/>
  <c r="I134" i="6"/>
  <c r="L134" i="6"/>
  <c r="N134" i="6"/>
  <c r="Q134" i="6"/>
  <c r="R134" i="6"/>
  <c r="S134" i="6"/>
  <c r="T134" i="6"/>
  <c r="C135" i="6"/>
  <c r="D135" i="6"/>
  <c r="E135" i="6"/>
  <c r="F135" i="6"/>
  <c r="H135" i="6"/>
  <c r="I135" i="6"/>
  <c r="L135" i="6"/>
  <c r="N135" i="6"/>
  <c r="Q135" i="6"/>
  <c r="R135" i="6"/>
  <c r="S135" i="6"/>
  <c r="T135" i="6"/>
  <c r="C136" i="6"/>
  <c r="D136" i="6"/>
  <c r="E136" i="6"/>
  <c r="F136" i="6"/>
  <c r="H136" i="6"/>
  <c r="I136" i="6"/>
  <c r="L136" i="6"/>
  <c r="N136" i="6"/>
  <c r="Q136" i="6"/>
  <c r="R136" i="6"/>
  <c r="S136" i="6"/>
  <c r="T136" i="6"/>
  <c r="C137" i="6"/>
  <c r="D137" i="6"/>
  <c r="E137" i="6"/>
  <c r="F137" i="6"/>
  <c r="H137" i="6"/>
  <c r="I137" i="6"/>
  <c r="L137" i="6"/>
  <c r="N137" i="6"/>
  <c r="Q137" i="6"/>
  <c r="R137" i="6"/>
  <c r="S137" i="6"/>
  <c r="T137" i="6"/>
  <c r="C138" i="6"/>
  <c r="D138" i="6"/>
  <c r="E138" i="6"/>
  <c r="F138" i="6"/>
  <c r="H138" i="6"/>
  <c r="I138" i="6"/>
  <c r="L138" i="6"/>
  <c r="N138" i="6"/>
  <c r="Q138" i="6"/>
  <c r="R138" i="6"/>
  <c r="S138" i="6"/>
  <c r="T138" i="6"/>
  <c r="C139" i="6"/>
  <c r="D139" i="6"/>
  <c r="E139" i="6"/>
  <c r="F139" i="6"/>
  <c r="H139" i="6"/>
  <c r="I139" i="6"/>
  <c r="L139" i="6"/>
  <c r="N139" i="6"/>
  <c r="Q139" i="6"/>
  <c r="R139" i="6"/>
  <c r="S139" i="6"/>
  <c r="T139" i="6"/>
  <c r="C140" i="6"/>
  <c r="D140" i="6"/>
  <c r="E140" i="6"/>
  <c r="F140" i="6"/>
  <c r="H140" i="6"/>
  <c r="I140" i="6"/>
  <c r="L140" i="6"/>
  <c r="N140" i="6"/>
  <c r="Q140" i="6"/>
  <c r="R140" i="6"/>
  <c r="S140" i="6"/>
  <c r="T140" i="6"/>
  <c r="C141" i="6"/>
  <c r="D141" i="6"/>
  <c r="E141" i="6"/>
  <c r="F141" i="6"/>
  <c r="H141" i="6"/>
  <c r="I141" i="6"/>
  <c r="L141" i="6"/>
  <c r="N141" i="6"/>
  <c r="Q141" i="6"/>
  <c r="R141" i="6"/>
  <c r="S141" i="6"/>
  <c r="T141" i="6"/>
  <c r="C142" i="6"/>
  <c r="D142" i="6"/>
  <c r="E142" i="6"/>
  <c r="F142" i="6"/>
  <c r="H142" i="6"/>
  <c r="I142" i="6"/>
  <c r="L142" i="6"/>
  <c r="N142" i="6"/>
  <c r="Q142" i="6"/>
  <c r="R142" i="6"/>
  <c r="S142" i="6"/>
  <c r="T142" i="6"/>
  <c r="C143" i="6"/>
  <c r="D143" i="6"/>
  <c r="E143" i="6"/>
  <c r="F143" i="6"/>
  <c r="H143" i="6"/>
  <c r="I143" i="6"/>
  <c r="L143" i="6"/>
  <c r="N143" i="6"/>
  <c r="Q143" i="6"/>
  <c r="R143" i="6"/>
  <c r="S143" i="6"/>
  <c r="T143" i="6"/>
  <c r="C144" i="6"/>
  <c r="D144" i="6"/>
  <c r="E144" i="6"/>
  <c r="F144" i="6"/>
  <c r="H144" i="6"/>
  <c r="I144" i="6"/>
  <c r="L144" i="6"/>
  <c r="N144" i="6"/>
  <c r="Q144" i="6"/>
  <c r="R144" i="6"/>
  <c r="S144" i="6"/>
  <c r="T144" i="6"/>
  <c r="C145" i="6"/>
  <c r="D145" i="6"/>
  <c r="E145" i="6"/>
  <c r="F145" i="6"/>
  <c r="H145" i="6"/>
  <c r="I145" i="6"/>
  <c r="L145" i="6"/>
  <c r="N145" i="6"/>
  <c r="Q145" i="6"/>
  <c r="R145" i="6"/>
  <c r="S145" i="6"/>
  <c r="T145" i="6"/>
  <c r="C146" i="6"/>
  <c r="D146" i="6"/>
  <c r="E146" i="6"/>
  <c r="F146" i="6"/>
  <c r="H146" i="6"/>
  <c r="I146" i="6"/>
  <c r="L146" i="6"/>
  <c r="N146" i="6"/>
  <c r="Q146" i="6"/>
  <c r="R146" i="6"/>
  <c r="S146" i="6"/>
  <c r="T146" i="6"/>
  <c r="C147" i="6"/>
  <c r="D147" i="6"/>
  <c r="E147" i="6"/>
  <c r="F147" i="6"/>
  <c r="H147" i="6"/>
  <c r="I147" i="6"/>
  <c r="L147" i="6"/>
  <c r="N147" i="6"/>
  <c r="Q147" i="6"/>
  <c r="R147" i="6"/>
  <c r="S147" i="6"/>
  <c r="T147" i="6"/>
  <c r="C148" i="6"/>
  <c r="D148" i="6"/>
  <c r="E148" i="6"/>
  <c r="F148" i="6"/>
  <c r="H148" i="6"/>
  <c r="I148" i="6"/>
  <c r="L148" i="6"/>
  <c r="N148" i="6"/>
  <c r="Q148" i="6"/>
  <c r="R148" i="6"/>
  <c r="S148" i="6"/>
  <c r="T148" i="6"/>
  <c r="C149" i="6"/>
  <c r="D149" i="6"/>
  <c r="E149" i="6"/>
  <c r="F149" i="6"/>
  <c r="H149" i="6"/>
  <c r="I149" i="6"/>
  <c r="L149" i="6"/>
  <c r="N149" i="6"/>
  <c r="Q149" i="6"/>
  <c r="R149" i="6"/>
  <c r="S149" i="6"/>
  <c r="T149" i="6"/>
  <c r="C150" i="6"/>
  <c r="D150" i="6"/>
  <c r="E150" i="6"/>
  <c r="F150" i="6"/>
  <c r="H150" i="6"/>
  <c r="I150" i="6"/>
  <c r="L150" i="6"/>
  <c r="N150" i="6"/>
  <c r="Q150" i="6"/>
  <c r="R150" i="6"/>
  <c r="S150" i="6"/>
  <c r="T150" i="6"/>
  <c r="C151" i="6"/>
  <c r="D151" i="6"/>
  <c r="E151" i="6"/>
  <c r="F151" i="6"/>
  <c r="H151" i="6"/>
  <c r="I151" i="6"/>
  <c r="L151" i="6"/>
  <c r="N151" i="6"/>
  <c r="Q151" i="6"/>
  <c r="R151" i="6"/>
  <c r="S151" i="6"/>
  <c r="T151" i="6"/>
  <c r="C152" i="6"/>
  <c r="D152" i="6"/>
  <c r="E152" i="6"/>
  <c r="F152" i="6"/>
  <c r="H152" i="6"/>
  <c r="I152" i="6"/>
  <c r="L152" i="6"/>
  <c r="N152" i="6"/>
  <c r="Q152" i="6"/>
  <c r="R152" i="6"/>
  <c r="S152" i="6"/>
  <c r="T152" i="6"/>
  <c r="C153" i="6"/>
  <c r="D153" i="6"/>
  <c r="E153" i="6"/>
  <c r="F153" i="6"/>
  <c r="H153" i="6"/>
  <c r="I153" i="6"/>
  <c r="L153" i="6"/>
  <c r="N153" i="6"/>
  <c r="Q153" i="6"/>
  <c r="R153" i="6"/>
  <c r="S153" i="6"/>
  <c r="T153" i="6"/>
  <c r="C154" i="6"/>
  <c r="D154" i="6"/>
  <c r="E154" i="6"/>
  <c r="F154" i="6"/>
  <c r="H154" i="6"/>
  <c r="I154" i="6"/>
  <c r="L154" i="6"/>
  <c r="N154" i="6"/>
  <c r="Q154" i="6"/>
  <c r="R154" i="6"/>
  <c r="S154" i="6"/>
  <c r="T154" i="6"/>
  <c r="C155" i="6"/>
  <c r="D155" i="6"/>
  <c r="E155" i="6"/>
  <c r="F155" i="6"/>
  <c r="H155" i="6"/>
  <c r="I155" i="6"/>
  <c r="L155" i="6"/>
  <c r="N155" i="6"/>
  <c r="Q155" i="6"/>
  <c r="R155" i="6"/>
  <c r="S155" i="6"/>
  <c r="T155" i="6"/>
  <c r="C156" i="6"/>
  <c r="D156" i="6"/>
  <c r="E156" i="6"/>
  <c r="F156" i="6"/>
  <c r="H156" i="6"/>
  <c r="I156" i="6"/>
  <c r="L156" i="6"/>
  <c r="N156" i="6"/>
  <c r="Q156" i="6"/>
  <c r="R156" i="6"/>
  <c r="S156" i="6"/>
  <c r="T156" i="6"/>
  <c r="C157" i="6"/>
  <c r="D157" i="6"/>
  <c r="E157" i="6"/>
  <c r="F157" i="6"/>
  <c r="H157" i="6"/>
  <c r="I157" i="6"/>
  <c r="L157" i="6"/>
  <c r="N157" i="6"/>
  <c r="Q157" i="6"/>
  <c r="R157" i="6"/>
  <c r="S157" i="6"/>
  <c r="T157" i="6"/>
  <c r="C158" i="6"/>
  <c r="D158" i="6"/>
  <c r="E158" i="6"/>
  <c r="F158" i="6"/>
  <c r="H158" i="6"/>
  <c r="I158" i="6"/>
  <c r="L158" i="6"/>
  <c r="N158" i="6"/>
  <c r="Q158" i="6"/>
  <c r="R158" i="6"/>
  <c r="S158" i="6"/>
  <c r="T158" i="6"/>
  <c r="C159" i="6"/>
  <c r="D159" i="6"/>
  <c r="E159" i="6"/>
  <c r="F159" i="6"/>
  <c r="H159" i="6"/>
  <c r="I159" i="6"/>
  <c r="L159" i="6"/>
  <c r="N159" i="6"/>
  <c r="Q159" i="6"/>
  <c r="R159" i="6"/>
  <c r="S159" i="6"/>
  <c r="T159" i="6"/>
  <c r="C160" i="6"/>
  <c r="D160" i="6"/>
  <c r="E160" i="6"/>
  <c r="F160" i="6"/>
  <c r="H160" i="6"/>
  <c r="I160" i="6"/>
  <c r="L160" i="6"/>
  <c r="N160" i="6"/>
  <c r="Q160" i="6"/>
  <c r="R160" i="6"/>
  <c r="S160" i="6"/>
  <c r="T160" i="6"/>
  <c r="C161" i="6"/>
  <c r="D161" i="6"/>
  <c r="E161" i="6"/>
  <c r="F161" i="6"/>
  <c r="H161" i="6"/>
  <c r="I161" i="6"/>
  <c r="L161" i="6"/>
  <c r="N161" i="6"/>
  <c r="Q161" i="6"/>
  <c r="R161" i="6"/>
  <c r="S161" i="6"/>
  <c r="T161" i="6"/>
  <c r="C162" i="6"/>
  <c r="D162" i="6"/>
  <c r="E162" i="6"/>
  <c r="F162" i="6"/>
  <c r="H162" i="6"/>
  <c r="I162" i="6"/>
  <c r="L162" i="6"/>
  <c r="N162" i="6"/>
  <c r="Q162" i="6"/>
  <c r="R162" i="6"/>
  <c r="S162" i="6"/>
  <c r="T162" i="6"/>
  <c r="C163" i="6"/>
  <c r="D163" i="6"/>
  <c r="E163" i="6"/>
  <c r="F163" i="6"/>
  <c r="H163" i="6"/>
  <c r="I163" i="6"/>
  <c r="L163" i="6"/>
  <c r="N163" i="6"/>
  <c r="Q163" i="6"/>
  <c r="R163" i="6"/>
  <c r="S163" i="6"/>
  <c r="T163" i="6"/>
  <c r="C164" i="6"/>
  <c r="D164" i="6"/>
  <c r="E164" i="6"/>
  <c r="F164" i="6"/>
  <c r="H164" i="6"/>
  <c r="I164" i="6"/>
  <c r="L164" i="6"/>
  <c r="N164" i="6"/>
  <c r="Q164" i="6"/>
  <c r="R164" i="6"/>
  <c r="S164" i="6"/>
  <c r="T164" i="6"/>
  <c r="C165" i="6"/>
  <c r="D165" i="6"/>
  <c r="E165" i="6"/>
  <c r="F165" i="6"/>
  <c r="H165" i="6"/>
  <c r="I165" i="6"/>
  <c r="L165" i="6"/>
  <c r="N165" i="6"/>
  <c r="Q165" i="6"/>
  <c r="R165" i="6"/>
  <c r="S165" i="6"/>
  <c r="T165" i="6"/>
  <c r="C166" i="6"/>
  <c r="D166" i="6"/>
  <c r="E166" i="6"/>
  <c r="F166" i="6"/>
  <c r="H166" i="6"/>
  <c r="I166" i="6"/>
  <c r="L166" i="6"/>
  <c r="N166" i="6"/>
  <c r="Q166" i="6"/>
  <c r="R166" i="6"/>
  <c r="S166" i="6"/>
  <c r="T166" i="6"/>
  <c r="C167" i="6"/>
  <c r="D167" i="6"/>
  <c r="E167" i="6"/>
  <c r="F167" i="6"/>
  <c r="H167" i="6"/>
  <c r="I167" i="6"/>
  <c r="L167" i="6"/>
  <c r="N167" i="6"/>
  <c r="Q167" i="6"/>
  <c r="R167" i="6"/>
  <c r="S167" i="6"/>
  <c r="T167" i="6"/>
  <c r="C168" i="6"/>
  <c r="D168" i="6"/>
  <c r="E168" i="6"/>
  <c r="F168" i="6"/>
  <c r="H168" i="6"/>
  <c r="I168" i="6"/>
  <c r="L168" i="6"/>
  <c r="N168" i="6"/>
  <c r="Q168" i="6"/>
  <c r="R168" i="6"/>
  <c r="S168" i="6"/>
  <c r="T168" i="6"/>
  <c r="C169" i="6"/>
  <c r="D169" i="6"/>
  <c r="E169" i="6"/>
  <c r="F169" i="6"/>
  <c r="H169" i="6"/>
  <c r="I169" i="6"/>
  <c r="L169" i="6"/>
  <c r="N169" i="6"/>
  <c r="Q169" i="6"/>
  <c r="R169" i="6"/>
  <c r="S169" i="6"/>
  <c r="T169" i="6"/>
  <c r="C170" i="6"/>
  <c r="D170" i="6"/>
  <c r="E170" i="6"/>
  <c r="F170" i="6"/>
  <c r="H170" i="6"/>
  <c r="I170" i="6"/>
  <c r="L170" i="6"/>
  <c r="N170" i="6"/>
  <c r="Q170" i="6"/>
  <c r="R170" i="6"/>
  <c r="S170" i="6"/>
  <c r="T170" i="6"/>
  <c r="C171" i="6"/>
  <c r="D171" i="6"/>
  <c r="E171" i="6"/>
  <c r="F171" i="6"/>
  <c r="H171" i="6"/>
  <c r="I171" i="6"/>
  <c r="L171" i="6"/>
  <c r="N171" i="6"/>
  <c r="Q171" i="6"/>
  <c r="R171" i="6"/>
  <c r="S171" i="6"/>
  <c r="T171" i="6"/>
  <c r="C172" i="6"/>
  <c r="D172" i="6"/>
  <c r="E172" i="6"/>
  <c r="F172" i="6"/>
  <c r="H172" i="6"/>
  <c r="I172" i="6"/>
  <c r="L172" i="6"/>
  <c r="N172" i="6"/>
  <c r="Q172" i="6"/>
  <c r="R172" i="6"/>
  <c r="S172" i="6"/>
  <c r="T172" i="6"/>
  <c r="C173" i="6"/>
  <c r="D173" i="6"/>
  <c r="E173" i="6"/>
  <c r="F173" i="6"/>
  <c r="H173" i="6"/>
  <c r="I173" i="6"/>
  <c r="L173" i="6"/>
  <c r="N173" i="6"/>
  <c r="Q173" i="6"/>
  <c r="R173" i="6"/>
  <c r="S173" i="6"/>
  <c r="T173" i="6"/>
  <c r="C174" i="6"/>
  <c r="D174" i="6"/>
  <c r="E174" i="6"/>
  <c r="F174" i="6"/>
  <c r="H174" i="6"/>
  <c r="I174" i="6"/>
  <c r="L174" i="6"/>
  <c r="N174" i="6"/>
  <c r="Q174" i="6"/>
  <c r="R174" i="6"/>
  <c r="S174" i="6"/>
  <c r="T174" i="6"/>
  <c r="C175" i="6"/>
  <c r="D175" i="6"/>
  <c r="E175" i="6"/>
  <c r="F175" i="6"/>
  <c r="H175" i="6"/>
  <c r="I175" i="6"/>
  <c r="L175" i="6"/>
  <c r="N175" i="6"/>
  <c r="Q175" i="6"/>
  <c r="R175" i="6"/>
  <c r="S175" i="6"/>
  <c r="T175" i="6"/>
  <c r="C176" i="6"/>
  <c r="D176" i="6"/>
  <c r="E176" i="6"/>
  <c r="F176" i="6"/>
  <c r="H176" i="6"/>
  <c r="I176" i="6"/>
  <c r="L176" i="6"/>
  <c r="N176" i="6"/>
  <c r="Q176" i="6"/>
  <c r="R176" i="6"/>
  <c r="S176" i="6"/>
  <c r="T176" i="6"/>
  <c r="C177" i="6"/>
  <c r="D177" i="6"/>
  <c r="E177" i="6"/>
  <c r="F177" i="6"/>
  <c r="H177" i="6"/>
  <c r="I177" i="6"/>
  <c r="L177" i="6"/>
  <c r="N177" i="6"/>
  <c r="Q177" i="6"/>
  <c r="R177" i="6"/>
  <c r="S177" i="6"/>
  <c r="T177" i="6"/>
  <c r="C178" i="6"/>
  <c r="D178" i="6"/>
  <c r="E178" i="6"/>
  <c r="F178" i="6"/>
  <c r="H178" i="6"/>
  <c r="I178" i="6"/>
  <c r="L178" i="6"/>
  <c r="N178" i="6"/>
  <c r="Q178" i="6"/>
  <c r="R178" i="6"/>
  <c r="S178" i="6"/>
  <c r="T178" i="6"/>
  <c r="C179" i="6"/>
  <c r="D179" i="6"/>
  <c r="E179" i="6"/>
  <c r="F179" i="6"/>
  <c r="H179" i="6"/>
  <c r="I179" i="6"/>
  <c r="L179" i="6"/>
  <c r="N179" i="6"/>
  <c r="Q179" i="6"/>
  <c r="R179" i="6"/>
  <c r="S179" i="6"/>
  <c r="T179" i="6"/>
  <c r="C180" i="6"/>
  <c r="D180" i="6"/>
  <c r="E180" i="6"/>
  <c r="F180" i="6"/>
  <c r="H180" i="6"/>
  <c r="I180" i="6"/>
  <c r="L180" i="6"/>
  <c r="N180" i="6"/>
  <c r="Q180" i="6"/>
  <c r="R180" i="6"/>
  <c r="S180" i="6"/>
  <c r="T180" i="6"/>
  <c r="C181" i="6"/>
  <c r="D181" i="6"/>
  <c r="E181" i="6"/>
  <c r="F181" i="6"/>
  <c r="H181" i="6"/>
  <c r="I181" i="6"/>
  <c r="L181" i="6"/>
  <c r="N181" i="6"/>
  <c r="Q181" i="6"/>
  <c r="R181" i="6"/>
  <c r="S181" i="6"/>
  <c r="T181" i="6"/>
  <c r="C182" i="6"/>
  <c r="D182" i="6"/>
  <c r="E182" i="6"/>
  <c r="F182" i="6"/>
  <c r="H182" i="6"/>
  <c r="I182" i="6"/>
  <c r="L182" i="6"/>
  <c r="N182" i="6"/>
  <c r="Q182" i="6"/>
  <c r="R182" i="6"/>
  <c r="S182" i="6"/>
  <c r="T182" i="6"/>
  <c r="C183" i="6"/>
  <c r="D183" i="6"/>
  <c r="E183" i="6"/>
  <c r="F183" i="6"/>
  <c r="H183" i="6"/>
  <c r="I183" i="6"/>
  <c r="L183" i="6"/>
  <c r="N183" i="6"/>
  <c r="Q183" i="6"/>
  <c r="R183" i="6"/>
  <c r="S183" i="6"/>
  <c r="T183" i="6"/>
  <c r="C184" i="6"/>
  <c r="D184" i="6"/>
  <c r="E184" i="6"/>
  <c r="F184" i="6"/>
  <c r="H184" i="6"/>
  <c r="I184" i="6"/>
  <c r="L184" i="6"/>
  <c r="N184" i="6"/>
  <c r="Q184" i="6"/>
  <c r="R184" i="6"/>
  <c r="S184" i="6"/>
  <c r="T184" i="6"/>
  <c r="C185" i="6"/>
  <c r="D185" i="6"/>
  <c r="E185" i="6"/>
  <c r="F185" i="6"/>
  <c r="H185" i="6"/>
  <c r="I185" i="6"/>
  <c r="L185" i="6"/>
  <c r="N185" i="6"/>
  <c r="Q185" i="6"/>
  <c r="R185" i="6"/>
  <c r="S185" i="6"/>
  <c r="T185" i="6"/>
  <c r="C186" i="6"/>
  <c r="D186" i="6"/>
  <c r="E186" i="6"/>
  <c r="F186" i="6"/>
  <c r="H186" i="6"/>
  <c r="I186" i="6"/>
  <c r="L186" i="6"/>
  <c r="N186" i="6"/>
  <c r="Q186" i="6"/>
  <c r="R186" i="6"/>
  <c r="S186" i="6"/>
  <c r="T186" i="6"/>
  <c r="C187" i="6"/>
  <c r="D187" i="6"/>
  <c r="E187" i="6"/>
  <c r="F187" i="6"/>
  <c r="H187" i="6"/>
  <c r="I187" i="6"/>
  <c r="L187" i="6"/>
  <c r="N187" i="6"/>
  <c r="Q187" i="6"/>
  <c r="R187" i="6"/>
  <c r="S187" i="6"/>
  <c r="T187" i="6"/>
  <c r="C188" i="6"/>
  <c r="D188" i="6"/>
  <c r="E188" i="6"/>
  <c r="F188" i="6"/>
  <c r="H188" i="6"/>
  <c r="I188" i="6"/>
  <c r="L188" i="6"/>
  <c r="N188" i="6"/>
  <c r="Q188" i="6"/>
  <c r="R188" i="6"/>
  <c r="S188" i="6"/>
  <c r="T188" i="6"/>
  <c r="C189" i="6"/>
  <c r="D189" i="6"/>
  <c r="E189" i="6"/>
  <c r="F189" i="6"/>
  <c r="H189" i="6"/>
  <c r="I189" i="6"/>
  <c r="L189" i="6"/>
  <c r="N189" i="6"/>
  <c r="Q189" i="6"/>
  <c r="R189" i="6"/>
  <c r="S189" i="6"/>
  <c r="T189" i="6"/>
  <c r="C190" i="6"/>
  <c r="D190" i="6"/>
  <c r="E190" i="6"/>
  <c r="F190" i="6"/>
  <c r="H190" i="6"/>
  <c r="I190" i="6"/>
  <c r="L190" i="6"/>
  <c r="N190" i="6"/>
  <c r="Q190" i="6"/>
  <c r="R190" i="6"/>
  <c r="S190" i="6"/>
  <c r="T190" i="6"/>
  <c r="C191" i="6"/>
  <c r="D191" i="6"/>
  <c r="E191" i="6"/>
  <c r="F191" i="6"/>
  <c r="H191" i="6"/>
  <c r="I191" i="6"/>
  <c r="L191" i="6"/>
  <c r="N191" i="6"/>
  <c r="Q191" i="6"/>
  <c r="R191" i="6"/>
  <c r="S191" i="6"/>
  <c r="T191" i="6"/>
  <c r="C192" i="6"/>
  <c r="D192" i="6"/>
  <c r="E192" i="6"/>
  <c r="F192" i="6"/>
  <c r="H192" i="6"/>
  <c r="I192" i="6"/>
  <c r="L192" i="6"/>
  <c r="N192" i="6"/>
  <c r="Q192" i="6"/>
  <c r="R192" i="6"/>
  <c r="S192" i="6"/>
  <c r="T192" i="6"/>
  <c r="C193" i="6"/>
  <c r="D193" i="6"/>
  <c r="E193" i="6"/>
  <c r="F193" i="6"/>
  <c r="H193" i="6"/>
  <c r="I193" i="6"/>
  <c r="L193" i="6"/>
  <c r="N193" i="6"/>
  <c r="Q193" i="6"/>
  <c r="R193" i="6"/>
  <c r="S193" i="6"/>
  <c r="T193" i="6"/>
  <c r="C194" i="6"/>
  <c r="D194" i="6"/>
  <c r="E194" i="6"/>
  <c r="F194" i="6"/>
  <c r="H194" i="6"/>
  <c r="I194" i="6"/>
  <c r="L194" i="6"/>
  <c r="N194" i="6"/>
  <c r="Q194" i="6"/>
  <c r="R194" i="6"/>
  <c r="S194" i="6"/>
  <c r="T194" i="6"/>
  <c r="C195" i="6"/>
  <c r="D195" i="6"/>
  <c r="E195" i="6"/>
  <c r="F195" i="6"/>
  <c r="H195" i="6"/>
  <c r="I195" i="6"/>
  <c r="L195" i="6"/>
  <c r="N195" i="6"/>
  <c r="Q195" i="6"/>
  <c r="R195" i="6"/>
  <c r="S195" i="6"/>
  <c r="T195" i="6"/>
  <c r="C196" i="6"/>
  <c r="D196" i="6"/>
  <c r="E196" i="6"/>
  <c r="F196" i="6"/>
  <c r="H196" i="6"/>
  <c r="I196" i="6"/>
  <c r="L196" i="6"/>
  <c r="N196" i="6"/>
  <c r="Q196" i="6"/>
  <c r="R196" i="6"/>
  <c r="S196" i="6"/>
  <c r="T196" i="6"/>
  <c r="C197" i="6"/>
  <c r="D197" i="6"/>
  <c r="E197" i="6"/>
  <c r="F197" i="6"/>
  <c r="H197" i="6"/>
  <c r="I197" i="6"/>
  <c r="L197" i="6"/>
  <c r="N197" i="6"/>
  <c r="Q197" i="6"/>
  <c r="R197" i="6"/>
  <c r="S197" i="6"/>
  <c r="T197" i="6"/>
  <c r="C198" i="6"/>
  <c r="D198" i="6"/>
  <c r="E198" i="6"/>
  <c r="F198" i="6"/>
  <c r="H198" i="6"/>
  <c r="I198" i="6"/>
  <c r="L198" i="6"/>
  <c r="N198" i="6"/>
  <c r="Q198" i="6"/>
  <c r="R198" i="6"/>
  <c r="S198" i="6"/>
  <c r="T198" i="6"/>
  <c r="C199" i="6"/>
  <c r="D199" i="6"/>
  <c r="E199" i="6"/>
  <c r="F199" i="6"/>
  <c r="H199" i="6"/>
  <c r="I199" i="6"/>
  <c r="L199" i="6"/>
  <c r="N199" i="6"/>
  <c r="Q199" i="6"/>
  <c r="R199" i="6"/>
  <c r="S199" i="6"/>
  <c r="T199" i="6"/>
  <c r="C200" i="6"/>
  <c r="D200" i="6"/>
  <c r="E200" i="6"/>
  <c r="F200" i="6"/>
  <c r="H200" i="6"/>
  <c r="I200" i="6"/>
  <c r="L200" i="6"/>
  <c r="N200" i="6"/>
  <c r="Q200" i="6"/>
  <c r="R200" i="6"/>
  <c r="S200" i="6"/>
  <c r="T200" i="6"/>
  <c r="C201" i="6"/>
  <c r="D201" i="6"/>
  <c r="E201" i="6"/>
  <c r="F201" i="6"/>
  <c r="H201" i="6"/>
  <c r="I201" i="6"/>
  <c r="L201" i="6"/>
  <c r="N201" i="6"/>
  <c r="Q201" i="6"/>
  <c r="R201" i="6"/>
  <c r="S201" i="6"/>
  <c r="T201" i="6"/>
  <c r="C202" i="6"/>
  <c r="D202" i="6"/>
  <c r="E202" i="6"/>
  <c r="F202" i="6"/>
  <c r="H202" i="6"/>
  <c r="I202" i="6"/>
  <c r="L202" i="6"/>
  <c r="N202" i="6"/>
  <c r="Q202" i="6"/>
  <c r="R202" i="6"/>
  <c r="S202" i="6"/>
  <c r="T202" i="6"/>
  <c r="C203" i="6"/>
  <c r="D203" i="6"/>
  <c r="E203" i="6"/>
  <c r="F203" i="6"/>
  <c r="H203" i="6"/>
  <c r="I203" i="6"/>
  <c r="L203" i="6"/>
  <c r="N203" i="6"/>
  <c r="Q203" i="6"/>
  <c r="R203" i="6"/>
  <c r="S203" i="6"/>
  <c r="T203" i="6"/>
  <c r="C204" i="6"/>
  <c r="D204" i="6"/>
  <c r="E204" i="6"/>
  <c r="F204" i="6"/>
  <c r="H204" i="6"/>
  <c r="I204" i="6"/>
  <c r="L204" i="6"/>
  <c r="N204" i="6"/>
  <c r="Q204" i="6"/>
  <c r="R204" i="6"/>
  <c r="S204" i="6"/>
  <c r="T204" i="6"/>
  <c r="C205" i="6"/>
  <c r="D205" i="6"/>
  <c r="E205" i="6"/>
  <c r="F205" i="6"/>
  <c r="H205" i="6"/>
  <c r="I205" i="6"/>
  <c r="L205" i="6"/>
  <c r="N205" i="6"/>
  <c r="Q205" i="6"/>
  <c r="R205" i="6"/>
  <c r="S205" i="6"/>
  <c r="T205" i="6"/>
  <c r="C206" i="6"/>
  <c r="D206" i="6"/>
  <c r="E206" i="6"/>
  <c r="F206" i="6"/>
  <c r="H206" i="6"/>
  <c r="I206" i="6"/>
  <c r="L206" i="6"/>
  <c r="N206" i="6"/>
  <c r="Q206" i="6"/>
  <c r="R206" i="6"/>
  <c r="S206" i="6"/>
  <c r="T206" i="6"/>
  <c r="C207" i="6"/>
  <c r="D207" i="6"/>
  <c r="E207" i="6"/>
  <c r="F207" i="6"/>
  <c r="H207" i="6"/>
  <c r="I207" i="6"/>
  <c r="L207" i="6"/>
  <c r="N207" i="6"/>
  <c r="Q207" i="6"/>
  <c r="R207" i="6"/>
  <c r="S207" i="6"/>
  <c r="T207" i="6"/>
  <c r="C208" i="6"/>
  <c r="D208" i="6"/>
  <c r="E208" i="6"/>
  <c r="F208" i="6"/>
  <c r="H208" i="6"/>
  <c r="I208" i="6"/>
  <c r="L208" i="6"/>
  <c r="N208" i="6"/>
  <c r="Q208" i="6"/>
  <c r="R208" i="6"/>
  <c r="S208" i="6"/>
  <c r="T208" i="6"/>
  <c r="C209" i="6"/>
  <c r="D209" i="6"/>
  <c r="E209" i="6"/>
  <c r="F209" i="6"/>
  <c r="H209" i="6"/>
  <c r="I209" i="6"/>
  <c r="L209" i="6"/>
  <c r="N209" i="6"/>
  <c r="Q209" i="6"/>
  <c r="R209" i="6"/>
  <c r="S209" i="6"/>
  <c r="T209" i="6"/>
  <c r="C210" i="6"/>
  <c r="D210" i="6"/>
  <c r="E210" i="6"/>
  <c r="F210" i="6"/>
  <c r="H210" i="6"/>
  <c r="I210" i="6"/>
  <c r="L210" i="6"/>
  <c r="N210" i="6"/>
  <c r="Q210" i="6"/>
  <c r="R210" i="6"/>
  <c r="S210" i="6"/>
  <c r="T210" i="6"/>
  <c r="C211" i="6"/>
  <c r="D211" i="6"/>
  <c r="E211" i="6"/>
  <c r="F211" i="6"/>
  <c r="H211" i="6"/>
  <c r="I211" i="6"/>
  <c r="L211" i="6"/>
  <c r="N211" i="6"/>
  <c r="Q211" i="6"/>
  <c r="R211" i="6"/>
  <c r="S211" i="6"/>
  <c r="T211" i="6"/>
  <c r="C212" i="6"/>
  <c r="D212" i="6"/>
  <c r="E212" i="6"/>
  <c r="F212" i="6"/>
  <c r="H212" i="6"/>
  <c r="I212" i="6"/>
  <c r="L212" i="6"/>
  <c r="N212" i="6"/>
  <c r="Q212" i="6"/>
  <c r="R212" i="6"/>
  <c r="S212" i="6"/>
  <c r="T212" i="6"/>
  <c r="C213" i="6"/>
  <c r="D213" i="6"/>
  <c r="E213" i="6"/>
  <c r="F213" i="6"/>
  <c r="H213" i="6"/>
  <c r="I213" i="6"/>
  <c r="L213" i="6"/>
  <c r="N213" i="6"/>
  <c r="Q213" i="6"/>
  <c r="R213" i="6"/>
  <c r="S213" i="6"/>
  <c r="T213" i="6"/>
  <c r="C214" i="6"/>
  <c r="D214" i="6"/>
  <c r="E214" i="6"/>
  <c r="F214" i="6"/>
  <c r="H214" i="6"/>
  <c r="I214" i="6"/>
  <c r="L214" i="6"/>
  <c r="N214" i="6"/>
  <c r="Q214" i="6"/>
  <c r="R214" i="6"/>
  <c r="S214" i="6"/>
  <c r="T214" i="6"/>
  <c r="C215" i="6"/>
  <c r="D215" i="6"/>
  <c r="E215" i="6"/>
  <c r="F215" i="6"/>
  <c r="H215" i="6"/>
  <c r="I215" i="6"/>
  <c r="L215" i="6"/>
  <c r="N215" i="6"/>
  <c r="Q215" i="6"/>
  <c r="R215" i="6"/>
  <c r="S215" i="6"/>
  <c r="T215" i="6"/>
  <c r="C216" i="6"/>
  <c r="D216" i="6"/>
  <c r="E216" i="6"/>
  <c r="F216" i="6"/>
  <c r="H216" i="6"/>
  <c r="I216" i="6"/>
  <c r="L216" i="6"/>
  <c r="N216" i="6"/>
  <c r="Q216" i="6"/>
  <c r="R216" i="6"/>
  <c r="S216" i="6"/>
  <c r="T216" i="6"/>
  <c r="C217" i="6"/>
  <c r="D217" i="6"/>
  <c r="E217" i="6"/>
  <c r="F217" i="6"/>
  <c r="H217" i="6"/>
  <c r="I217" i="6"/>
  <c r="L217" i="6"/>
  <c r="N217" i="6"/>
  <c r="Q217" i="6"/>
  <c r="R217" i="6"/>
  <c r="S217" i="6"/>
  <c r="T217" i="6"/>
  <c r="C218" i="6"/>
  <c r="D218" i="6"/>
  <c r="E218" i="6"/>
  <c r="F218" i="6"/>
  <c r="H218" i="6"/>
  <c r="I218" i="6"/>
  <c r="L218" i="6"/>
  <c r="N218" i="6"/>
  <c r="Q218" i="6"/>
  <c r="R218" i="6"/>
  <c r="S218" i="6"/>
  <c r="T218" i="6"/>
  <c r="C219" i="6"/>
  <c r="D219" i="6"/>
  <c r="E219" i="6"/>
  <c r="F219" i="6"/>
  <c r="H219" i="6"/>
  <c r="I219" i="6"/>
  <c r="L219" i="6"/>
  <c r="N219" i="6"/>
  <c r="Q219" i="6"/>
  <c r="R219" i="6"/>
  <c r="S219" i="6"/>
  <c r="T219" i="6"/>
  <c r="C220" i="6"/>
  <c r="D220" i="6"/>
  <c r="E220" i="6"/>
  <c r="F220" i="6"/>
  <c r="H220" i="6"/>
  <c r="I220" i="6"/>
  <c r="L220" i="6"/>
  <c r="N220" i="6"/>
  <c r="Q220" i="6"/>
  <c r="R220" i="6"/>
  <c r="S220" i="6"/>
  <c r="T220" i="6"/>
  <c r="C221" i="6"/>
  <c r="D221" i="6"/>
  <c r="E221" i="6"/>
  <c r="F221" i="6"/>
  <c r="H221" i="6"/>
  <c r="I221" i="6"/>
  <c r="L221" i="6"/>
  <c r="N221" i="6"/>
  <c r="Q221" i="6"/>
  <c r="R221" i="6"/>
  <c r="S221" i="6"/>
  <c r="T221" i="6"/>
  <c r="C222" i="6"/>
  <c r="D222" i="6"/>
  <c r="E222" i="6"/>
  <c r="F222" i="6"/>
  <c r="H222" i="6"/>
  <c r="I222" i="6"/>
  <c r="L222" i="6"/>
  <c r="N222" i="6"/>
  <c r="Q222" i="6"/>
  <c r="R222" i="6"/>
  <c r="S222" i="6"/>
  <c r="T222" i="6"/>
  <c r="C223" i="6"/>
  <c r="D223" i="6"/>
  <c r="E223" i="6"/>
  <c r="F223" i="6"/>
  <c r="H223" i="6"/>
  <c r="I223" i="6"/>
  <c r="L223" i="6"/>
  <c r="N223" i="6"/>
  <c r="Q223" i="6"/>
  <c r="R223" i="6"/>
  <c r="S223" i="6"/>
  <c r="T223" i="6"/>
  <c r="C224" i="6"/>
  <c r="D224" i="6"/>
  <c r="E224" i="6"/>
  <c r="F224" i="6"/>
  <c r="H224" i="6"/>
  <c r="I224" i="6"/>
  <c r="L224" i="6"/>
  <c r="N224" i="6"/>
  <c r="Q224" i="6"/>
  <c r="R224" i="6"/>
  <c r="S224" i="6"/>
  <c r="T224" i="6"/>
  <c r="C225" i="6"/>
  <c r="D225" i="6"/>
  <c r="E225" i="6"/>
  <c r="F225" i="6"/>
  <c r="H225" i="6"/>
  <c r="I225" i="6"/>
  <c r="L225" i="6"/>
  <c r="N225" i="6"/>
  <c r="Q225" i="6"/>
  <c r="R225" i="6"/>
  <c r="S225" i="6"/>
  <c r="T225" i="6"/>
  <c r="C226" i="6"/>
  <c r="D226" i="6"/>
  <c r="E226" i="6"/>
  <c r="F226" i="6"/>
  <c r="H226" i="6"/>
  <c r="I226" i="6"/>
  <c r="L226" i="6"/>
  <c r="N226" i="6"/>
  <c r="Q226" i="6"/>
  <c r="R226" i="6"/>
  <c r="S226" i="6"/>
  <c r="T226" i="6"/>
  <c r="C227" i="6"/>
  <c r="D227" i="6"/>
  <c r="E227" i="6"/>
  <c r="F227" i="6"/>
  <c r="H227" i="6"/>
  <c r="I227" i="6"/>
  <c r="L227" i="6"/>
  <c r="N227" i="6"/>
  <c r="Q227" i="6"/>
  <c r="R227" i="6"/>
  <c r="S227" i="6"/>
  <c r="T227" i="6"/>
  <c r="C228" i="6"/>
  <c r="D228" i="6"/>
  <c r="E228" i="6"/>
  <c r="F228" i="6"/>
  <c r="H228" i="6"/>
  <c r="I228" i="6"/>
  <c r="L228" i="6"/>
  <c r="N228" i="6"/>
  <c r="Q228" i="6"/>
  <c r="R228" i="6"/>
  <c r="S228" i="6"/>
  <c r="T228" i="6"/>
  <c r="C229" i="6"/>
  <c r="D229" i="6"/>
  <c r="E229" i="6"/>
  <c r="F229" i="6"/>
  <c r="H229" i="6"/>
  <c r="I229" i="6"/>
  <c r="L229" i="6"/>
  <c r="N229" i="6"/>
  <c r="Q229" i="6"/>
  <c r="R229" i="6"/>
  <c r="S229" i="6"/>
  <c r="T229" i="6"/>
  <c r="C230" i="6"/>
  <c r="D230" i="6"/>
  <c r="E230" i="6"/>
  <c r="F230" i="6"/>
  <c r="H230" i="6"/>
  <c r="I230" i="6"/>
  <c r="L230" i="6"/>
  <c r="N230" i="6"/>
  <c r="Q230" i="6"/>
  <c r="R230" i="6"/>
  <c r="S230" i="6"/>
  <c r="T230" i="6"/>
  <c r="C231" i="6"/>
  <c r="D231" i="6"/>
  <c r="E231" i="6"/>
  <c r="F231" i="6"/>
  <c r="H231" i="6"/>
  <c r="I231" i="6"/>
  <c r="L231" i="6"/>
  <c r="N231" i="6"/>
  <c r="Q231" i="6"/>
  <c r="R231" i="6"/>
  <c r="S231" i="6"/>
  <c r="T231" i="6"/>
  <c r="C232" i="6"/>
  <c r="D232" i="6"/>
  <c r="E232" i="6"/>
  <c r="F232" i="6"/>
  <c r="H232" i="6"/>
  <c r="I232" i="6"/>
  <c r="L232" i="6"/>
  <c r="N232" i="6"/>
  <c r="Q232" i="6"/>
  <c r="R232" i="6"/>
  <c r="S232" i="6"/>
  <c r="T232" i="6"/>
  <c r="C233" i="6"/>
  <c r="D233" i="6"/>
  <c r="E233" i="6"/>
  <c r="F233" i="6"/>
  <c r="H233" i="6"/>
  <c r="I233" i="6"/>
  <c r="L233" i="6"/>
  <c r="N233" i="6"/>
  <c r="Q233" i="6"/>
  <c r="R233" i="6"/>
  <c r="S233" i="6"/>
  <c r="T233" i="6"/>
  <c r="C234" i="6"/>
  <c r="D234" i="6"/>
  <c r="E234" i="6"/>
  <c r="F234" i="6"/>
  <c r="H234" i="6"/>
  <c r="I234" i="6"/>
  <c r="L234" i="6"/>
  <c r="N234" i="6"/>
  <c r="Q234" i="6"/>
  <c r="R234" i="6"/>
  <c r="S234" i="6"/>
  <c r="T234" i="6"/>
  <c r="C235" i="6"/>
  <c r="D235" i="6"/>
  <c r="E235" i="6"/>
  <c r="F235" i="6"/>
  <c r="H235" i="6"/>
  <c r="I235" i="6"/>
  <c r="L235" i="6"/>
  <c r="N235" i="6"/>
  <c r="Q235" i="6"/>
  <c r="R235" i="6"/>
  <c r="S235" i="6"/>
  <c r="T235" i="6"/>
  <c r="C236" i="6"/>
  <c r="D236" i="6"/>
  <c r="E236" i="6"/>
  <c r="F236" i="6"/>
  <c r="H236" i="6"/>
  <c r="I236" i="6"/>
  <c r="L236" i="6"/>
  <c r="N236" i="6"/>
  <c r="Q236" i="6"/>
  <c r="R236" i="6"/>
  <c r="S236" i="6"/>
  <c r="T236" i="6"/>
  <c r="C237" i="6"/>
  <c r="D237" i="6"/>
  <c r="E237" i="6"/>
  <c r="F237" i="6"/>
  <c r="H237" i="6"/>
  <c r="I237" i="6"/>
  <c r="L237" i="6"/>
  <c r="N237" i="6"/>
  <c r="Q237" i="6"/>
  <c r="R237" i="6"/>
  <c r="S237" i="6"/>
  <c r="T237" i="6"/>
  <c r="C238" i="6"/>
  <c r="D238" i="6"/>
  <c r="E238" i="6"/>
  <c r="F238" i="6"/>
  <c r="H238" i="6"/>
  <c r="I238" i="6"/>
  <c r="L238" i="6"/>
  <c r="N238" i="6"/>
  <c r="Q238" i="6"/>
  <c r="R238" i="6"/>
  <c r="S238" i="6"/>
  <c r="T238" i="6"/>
  <c r="C239" i="6"/>
  <c r="D239" i="6"/>
  <c r="E239" i="6"/>
  <c r="F239" i="6"/>
  <c r="H239" i="6"/>
  <c r="I239" i="6"/>
  <c r="L239" i="6"/>
  <c r="N239" i="6"/>
  <c r="Q239" i="6"/>
  <c r="R239" i="6"/>
  <c r="S239" i="6"/>
  <c r="T239" i="6"/>
  <c r="C240" i="6"/>
  <c r="D240" i="6"/>
  <c r="E240" i="6"/>
  <c r="F240" i="6"/>
  <c r="H240" i="6"/>
  <c r="I240" i="6"/>
  <c r="L240" i="6"/>
  <c r="N240" i="6"/>
  <c r="Q240" i="6"/>
  <c r="R240" i="6"/>
  <c r="S240" i="6"/>
  <c r="T240" i="6"/>
  <c r="C241" i="6"/>
  <c r="D241" i="6"/>
  <c r="E241" i="6"/>
  <c r="F241" i="6"/>
  <c r="H241" i="6"/>
  <c r="I241" i="6"/>
  <c r="L241" i="6"/>
  <c r="N241" i="6"/>
  <c r="Q241" i="6"/>
  <c r="R241" i="6"/>
  <c r="S241" i="6"/>
  <c r="T241" i="6"/>
  <c r="C242" i="6"/>
  <c r="D242" i="6"/>
  <c r="E242" i="6"/>
  <c r="F242" i="6"/>
  <c r="H242" i="6"/>
  <c r="I242" i="6"/>
  <c r="L242" i="6"/>
  <c r="N242" i="6"/>
  <c r="Q242" i="6"/>
  <c r="R242" i="6"/>
  <c r="S242" i="6"/>
  <c r="T242" i="6"/>
  <c r="C243" i="6"/>
  <c r="D243" i="6"/>
  <c r="E243" i="6"/>
  <c r="F243" i="6"/>
  <c r="H243" i="6"/>
  <c r="I243" i="6"/>
  <c r="L243" i="6"/>
  <c r="N243" i="6"/>
  <c r="Q243" i="6"/>
  <c r="R243" i="6"/>
  <c r="S243" i="6"/>
  <c r="T243" i="6"/>
  <c r="C244" i="6"/>
  <c r="D244" i="6"/>
  <c r="E244" i="6"/>
  <c r="F244" i="6"/>
  <c r="H244" i="6"/>
  <c r="I244" i="6"/>
  <c r="L244" i="6"/>
  <c r="N244" i="6"/>
  <c r="Q244" i="6"/>
  <c r="R244" i="6"/>
  <c r="S244" i="6"/>
  <c r="T244" i="6"/>
  <c r="C245" i="6"/>
  <c r="D245" i="6"/>
  <c r="E245" i="6"/>
  <c r="F245" i="6"/>
  <c r="H245" i="6"/>
  <c r="I245" i="6"/>
  <c r="L245" i="6"/>
  <c r="N245" i="6"/>
  <c r="Q245" i="6"/>
  <c r="R245" i="6"/>
  <c r="S245" i="6"/>
  <c r="T245" i="6"/>
  <c r="C246" i="6"/>
  <c r="D246" i="6"/>
  <c r="E246" i="6"/>
  <c r="F246" i="6"/>
  <c r="H246" i="6"/>
  <c r="I246" i="6"/>
  <c r="L246" i="6"/>
  <c r="N246" i="6"/>
  <c r="Q246" i="6"/>
  <c r="R246" i="6"/>
  <c r="S246" i="6"/>
  <c r="T246" i="6"/>
  <c r="C247" i="6"/>
  <c r="D247" i="6"/>
  <c r="E247" i="6"/>
  <c r="F247" i="6"/>
  <c r="H247" i="6"/>
  <c r="I247" i="6"/>
  <c r="L247" i="6"/>
  <c r="N247" i="6"/>
  <c r="Q247" i="6"/>
  <c r="R247" i="6"/>
  <c r="S247" i="6"/>
  <c r="T247" i="6"/>
  <c r="C248" i="6"/>
  <c r="D248" i="6"/>
  <c r="E248" i="6"/>
  <c r="F248" i="6"/>
  <c r="H248" i="6"/>
  <c r="I248" i="6"/>
  <c r="L248" i="6"/>
  <c r="N248" i="6"/>
  <c r="Q248" i="6"/>
  <c r="R248" i="6"/>
  <c r="S248" i="6"/>
  <c r="T248" i="6"/>
  <c r="C249" i="6"/>
  <c r="D249" i="6"/>
  <c r="E249" i="6"/>
  <c r="F249" i="6"/>
  <c r="H249" i="6"/>
  <c r="I249" i="6"/>
  <c r="L249" i="6"/>
  <c r="N249" i="6"/>
  <c r="Q249" i="6"/>
  <c r="R249" i="6"/>
  <c r="S249" i="6"/>
  <c r="T249" i="6"/>
  <c r="C250" i="6"/>
  <c r="D250" i="6"/>
  <c r="E250" i="6"/>
  <c r="F250" i="6"/>
  <c r="H250" i="6"/>
  <c r="I250" i="6"/>
  <c r="L250" i="6"/>
  <c r="N250" i="6"/>
  <c r="Q250" i="6"/>
  <c r="R250" i="6"/>
  <c r="S250" i="6"/>
  <c r="T250" i="6"/>
  <c r="C251" i="6"/>
  <c r="D251" i="6"/>
  <c r="E251" i="6"/>
  <c r="F251" i="6"/>
  <c r="H251" i="6"/>
  <c r="I251" i="6"/>
  <c r="L251" i="6"/>
  <c r="N251" i="6"/>
  <c r="Q251" i="6"/>
  <c r="R251" i="6"/>
  <c r="S251" i="6"/>
  <c r="T251" i="6"/>
  <c r="C252" i="6"/>
  <c r="D252" i="6"/>
  <c r="E252" i="6"/>
  <c r="F252" i="6"/>
  <c r="H252" i="6"/>
  <c r="I252" i="6"/>
  <c r="L252" i="6"/>
  <c r="N252" i="6"/>
  <c r="Q252" i="6"/>
  <c r="R252" i="6"/>
  <c r="S252" i="6"/>
  <c r="T252" i="6"/>
  <c r="C253" i="6"/>
  <c r="D253" i="6"/>
  <c r="E253" i="6"/>
  <c r="F253" i="6"/>
  <c r="H253" i="6"/>
  <c r="I253" i="6"/>
  <c r="L253" i="6"/>
  <c r="N253" i="6"/>
  <c r="Q253" i="6"/>
  <c r="R253" i="6"/>
  <c r="S253" i="6"/>
  <c r="T253" i="6"/>
  <c r="C254" i="6"/>
  <c r="D254" i="6"/>
  <c r="E254" i="6"/>
  <c r="F254" i="6"/>
  <c r="H254" i="6"/>
  <c r="I254" i="6"/>
  <c r="L254" i="6"/>
  <c r="N254" i="6"/>
  <c r="Q254" i="6"/>
  <c r="R254" i="6"/>
  <c r="S254" i="6"/>
  <c r="T254" i="6"/>
  <c r="C255" i="6"/>
  <c r="D255" i="6"/>
  <c r="E255" i="6"/>
  <c r="F255" i="6"/>
  <c r="H255" i="6"/>
  <c r="I255" i="6"/>
  <c r="L255" i="6"/>
  <c r="N255" i="6"/>
  <c r="Q255" i="6"/>
  <c r="R255" i="6"/>
  <c r="S255" i="6"/>
  <c r="T255" i="6"/>
  <c r="C256" i="6"/>
  <c r="D256" i="6"/>
  <c r="E256" i="6"/>
  <c r="F256" i="6"/>
  <c r="H256" i="6"/>
  <c r="I256" i="6"/>
  <c r="L256" i="6"/>
  <c r="N256" i="6"/>
  <c r="Q256" i="6"/>
  <c r="R256" i="6"/>
  <c r="S256" i="6"/>
  <c r="T256" i="6"/>
  <c r="C257" i="6"/>
  <c r="D257" i="6"/>
  <c r="E257" i="6"/>
  <c r="F257" i="6"/>
  <c r="H257" i="6"/>
  <c r="I257" i="6"/>
  <c r="L257" i="6"/>
  <c r="N257" i="6"/>
  <c r="Q257" i="6"/>
  <c r="R257" i="6"/>
  <c r="S257" i="6"/>
  <c r="T257" i="6"/>
  <c r="C258" i="6"/>
  <c r="D258" i="6"/>
  <c r="E258" i="6"/>
  <c r="F258" i="6"/>
  <c r="H258" i="6"/>
  <c r="I258" i="6"/>
  <c r="L258" i="6"/>
  <c r="N258" i="6"/>
  <c r="Q258" i="6"/>
  <c r="R258" i="6"/>
  <c r="S258" i="6"/>
  <c r="T258" i="6"/>
  <c r="C259" i="6"/>
  <c r="D259" i="6"/>
  <c r="E259" i="6"/>
  <c r="F259" i="6"/>
  <c r="H259" i="6"/>
  <c r="I259" i="6"/>
  <c r="L259" i="6"/>
  <c r="N259" i="6"/>
  <c r="Q259" i="6"/>
  <c r="R259" i="6"/>
  <c r="S259" i="6"/>
  <c r="T259" i="6"/>
  <c r="C260" i="6"/>
  <c r="D260" i="6"/>
  <c r="E260" i="6"/>
  <c r="F260" i="6"/>
  <c r="H260" i="6"/>
  <c r="I260" i="6"/>
  <c r="L260" i="6"/>
  <c r="N260" i="6"/>
  <c r="Q260" i="6"/>
  <c r="R260" i="6"/>
  <c r="S260" i="6"/>
  <c r="T260" i="6"/>
  <c r="C261" i="6"/>
  <c r="D261" i="6"/>
  <c r="E261" i="6"/>
  <c r="F261" i="6"/>
  <c r="H261" i="6"/>
  <c r="I261" i="6"/>
  <c r="L261" i="6"/>
  <c r="N261" i="6"/>
  <c r="Q261" i="6"/>
  <c r="R261" i="6"/>
  <c r="S261" i="6"/>
  <c r="T261" i="6"/>
  <c r="C262" i="6"/>
  <c r="D262" i="6"/>
  <c r="E262" i="6"/>
  <c r="F262" i="6"/>
  <c r="H262" i="6"/>
  <c r="I262" i="6"/>
  <c r="L262" i="6"/>
  <c r="N262" i="6"/>
  <c r="Q262" i="6"/>
  <c r="R262" i="6"/>
  <c r="S262" i="6"/>
  <c r="T262" i="6"/>
  <c r="C263" i="6"/>
  <c r="D263" i="6"/>
  <c r="E263" i="6"/>
  <c r="F263" i="6"/>
  <c r="H263" i="6"/>
  <c r="I263" i="6"/>
  <c r="L263" i="6"/>
  <c r="N263" i="6"/>
  <c r="Q263" i="6"/>
  <c r="R263" i="6"/>
  <c r="S263" i="6"/>
  <c r="T263" i="6"/>
  <c r="C264" i="6"/>
  <c r="D264" i="6"/>
  <c r="E264" i="6"/>
  <c r="F264" i="6"/>
  <c r="H264" i="6"/>
  <c r="I264" i="6"/>
  <c r="L264" i="6"/>
  <c r="N264" i="6"/>
  <c r="Q264" i="6"/>
  <c r="R264" i="6"/>
  <c r="S264" i="6"/>
  <c r="T264" i="6"/>
  <c r="C265" i="6"/>
  <c r="D265" i="6"/>
  <c r="E265" i="6"/>
  <c r="F265" i="6"/>
  <c r="H265" i="6"/>
  <c r="I265" i="6"/>
  <c r="L265" i="6"/>
  <c r="N265" i="6"/>
  <c r="Q265" i="6"/>
  <c r="R265" i="6"/>
  <c r="S265" i="6"/>
  <c r="T265" i="6"/>
  <c r="C266" i="6"/>
  <c r="D266" i="6"/>
  <c r="E266" i="6"/>
  <c r="F266" i="6"/>
  <c r="H266" i="6"/>
  <c r="I266" i="6"/>
  <c r="L266" i="6"/>
  <c r="N266" i="6"/>
  <c r="Q266" i="6"/>
  <c r="R266" i="6"/>
  <c r="S266" i="6"/>
  <c r="T266" i="6"/>
  <c r="C267" i="6"/>
  <c r="D267" i="6"/>
  <c r="E267" i="6"/>
  <c r="F267" i="6"/>
  <c r="H267" i="6"/>
  <c r="I267" i="6"/>
  <c r="L267" i="6"/>
  <c r="N267" i="6"/>
  <c r="Q267" i="6"/>
  <c r="R267" i="6"/>
  <c r="S267" i="6"/>
  <c r="T267" i="6"/>
  <c r="C268" i="6"/>
  <c r="D268" i="6"/>
  <c r="E268" i="6"/>
  <c r="F268" i="6"/>
  <c r="H268" i="6"/>
  <c r="I268" i="6"/>
  <c r="L268" i="6"/>
  <c r="N268" i="6"/>
  <c r="Q268" i="6"/>
  <c r="R268" i="6"/>
  <c r="S268" i="6"/>
  <c r="T268" i="6"/>
  <c r="C269" i="6"/>
  <c r="D269" i="6"/>
  <c r="E269" i="6"/>
  <c r="F269" i="6"/>
  <c r="H269" i="6"/>
  <c r="I269" i="6"/>
  <c r="L269" i="6"/>
  <c r="N269" i="6"/>
  <c r="Q269" i="6"/>
  <c r="R269" i="6"/>
  <c r="S269" i="6"/>
  <c r="T269" i="6"/>
  <c r="C270" i="6"/>
  <c r="D270" i="6"/>
  <c r="E270" i="6"/>
  <c r="F270" i="6"/>
  <c r="H270" i="6"/>
  <c r="I270" i="6"/>
  <c r="L270" i="6"/>
  <c r="N270" i="6"/>
  <c r="Q270" i="6"/>
  <c r="R270" i="6"/>
  <c r="S270" i="6"/>
  <c r="T270" i="6"/>
  <c r="C271" i="6"/>
  <c r="D271" i="6"/>
  <c r="E271" i="6"/>
  <c r="F271" i="6"/>
  <c r="H271" i="6"/>
  <c r="I271" i="6"/>
  <c r="L271" i="6"/>
  <c r="N271" i="6"/>
  <c r="Q271" i="6"/>
  <c r="R271" i="6"/>
  <c r="S271" i="6"/>
  <c r="T271" i="6"/>
  <c r="C272" i="6"/>
  <c r="D272" i="6"/>
  <c r="E272" i="6"/>
  <c r="F272" i="6"/>
  <c r="H272" i="6"/>
  <c r="I272" i="6"/>
  <c r="L272" i="6"/>
  <c r="N272" i="6"/>
  <c r="Q272" i="6"/>
  <c r="R272" i="6"/>
  <c r="S272" i="6"/>
  <c r="T272" i="6"/>
  <c r="C273" i="6"/>
  <c r="D273" i="6"/>
  <c r="E273" i="6"/>
  <c r="F273" i="6"/>
  <c r="H273" i="6"/>
  <c r="I273" i="6"/>
  <c r="L273" i="6"/>
  <c r="N273" i="6"/>
  <c r="Q273" i="6"/>
  <c r="R273" i="6"/>
  <c r="S273" i="6"/>
  <c r="T273" i="6"/>
  <c r="C274" i="6"/>
  <c r="D274" i="6"/>
  <c r="E274" i="6"/>
  <c r="F274" i="6"/>
  <c r="H274" i="6"/>
  <c r="I274" i="6"/>
  <c r="L274" i="6"/>
  <c r="N274" i="6"/>
  <c r="Q274" i="6"/>
  <c r="R274" i="6"/>
  <c r="S274" i="6"/>
  <c r="T274" i="6"/>
  <c r="C275" i="6"/>
  <c r="D275" i="6"/>
  <c r="E275" i="6"/>
  <c r="F275" i="6"/>
  <c r="H275" i="6"/>
  <c r="I275" i="6"/>
  <c r="L275" i="6"/>
  <c r="N275" i="6"/>
  <c r="Q275" i="6"/>
  <c r="R275" i="6"/>
  <c r="S275" i="6"/>
  <c r="T275" i="6"/>
  <c r="C276" i="6"/>
  <c r="D276" i="6"/>
  <c r="E276" i="6"/>
  <c r="F276" i="6"/>
  <c r="H276" i="6"/>
  <c r="I276" i="6"/>
  <c r="L276" i="6"/>
  <c r="N276" i="6"/>
  <c r="Q276" i="6"/>
  <c r="R276" i="6"/>
  <c r="S276" i="6"/>
  <c r="T276" i="6"/>
  <c r="C277" i="6"/>
  <c r="D277" i="6"/>
  <c r="E277" i="6"/>
  <c r="F277" i="6"/>
  <c r="H277" i="6"/>
  <c r="I277" i="6"/>
  <c r="L277" i="6"/>
  <c r="N277" i="6"/>
  <c r="Q277" i="6"/>
  <c r="R277" i="6"/>
  <c r="S277" i="6"/>
  <c r="T277" i="6"/>
  <c r="C278" i="6"/>
  <c r="D278" i="6"/>
  <c r="E278" i="6"/>
  <c r="F278" i="6"/>
  <c r="H278" i="6"/>
  <c r="I278" i="6"/>
  <c r="L278" i="6"/>
  <c r="N278" i="6"/>
  <c r="Q278" i="6"/>
  <c r="R278" i="6"/>
  <c r="S278" i="6"/>
  <c r="T278" i="6"/>
  <c r="C279" i="6"/>
  <c r="D279" i="6"/>
  <c r="E279" i="6"/>
  <c r="F279" i="6"/>
  <c r="H279" i="6"/>
  <c r="I279" i="6"/>
  <c r="L279" i="6"/>
  <c r="N279" i="6"/>
  <c r="Q279" i="6"/>
  <c r="R279" i="6"/>
  <c r="S279" i="6"/>
  <c r="T279" i="6"/>
  <c r="C280" i="6"/>
  <c r="D280" i="6"/>
  <c r="E280" i="6"/>
  <c r="F280" i="6"/>
  <c r="H280" i="6"/>
  <c r="I280" i="6"/>
  <c r="L280" i="6"/>
  <c r="N280" i="6"/>
  <c r="Q280" i="6"/>
  <c r="R280" i="6"/>
  <c r="S280" i="6"/>
  <c r="T280" i="6"/>
  <c r="C281" i="6"/>
  <c r="D281" i="6"/>
  <c r="E281" i="6"/>
  <c r="F281" i="6"/>
  <c r="H281" i="6"/>
  <c r="I281" i="6"/>
  <c r="L281" i="6"/>
  <c r="N281" i="6"/>
  <c r="Q281" i="6"/>
  <c r="R281" i="6"/>
  <c r="S281" i="6"/>
  <c r="T281" i="6"/>
  <c r="C282" i="6"/>
  <c r="D282" i="6"/>
  <c r="E282" i="6"/>
  <c r="F282" i="6"/>
  <c r="H282" i="6"/>
  <c r="I282" i="6"/>
  <c r="L282" i="6"/>
  <c r="N282" i="6"/>
  <c r="Q282" i="6"/>
  <c r="R282" i="6"/>
  <c r="S282" i="6"/>
  <c r="T282" i="6"/>
  <c r="C283" i="6"/>
  <c r="D283" i="6"/>
  <c r="E283" i="6"/>
  <c r="F283" i="6"/>
  <c r="H283" i="6"/>
  <c r="I283" i="6"/>
  <c r="L283" i="6"/>
  <c r="N283" i="6"/>
  <c r="Q283" i="6"/>
  <c r="R283" i="6"/>
  <c r="S283" i="6"/>
  <c r="T283" i="6"/>
  <c r="C284" i="6"/>
  <c r="D284" i="6"/>
  <c r="E284" i="6"/>
  <c r="F284" i="6"/>
  <c r="H284" i="6"/>
  <c r="I284" i="6"/>
  <c r="L284" i="6"/>
  <c r="N284" i="6"/>
  <c r="Q284" i="6"/>
  <c r="R284" i="6"/>
  <c r="S284" i="6"/>
  <c r="T284" i="6"/>
  <c r="C285" i="6"/>
  <c r="D285" i="6"/>
  <c r="E285" i="6"/>
  <c r="F285" i="6"/>
  <c r="H285" i="6"/>
  <c r="I285" i="6"/>
  <c r="L285" i="6"/>
  <c r="N285" i="6"/>
  <c r="Q285" i="6"/>
  <c r="R285" i="6"/>
  <c r="S285" i="6"/>
  <c r="T285" i="6"/>
  <c r="C286" i="6"/>
  <c r="D286" i="6"/>
  <c r="E286" i="6"/>
  <c r="F286" i="6"/>
  <c r="H286" i="6"/>
  <c r="I286" i="6"/>
  <c r="L286" i="6"/>
  <c r="N286" i="6"/>
  <c r="Q286" i="6"/>
  <c r="R286" i="6"/>
  <c r="S286" i="6"/>
  <c r="T286" i="6"/>
  <c r="C287" i="6"/>
  <c r="D287" i="6"/>
  <c r="E287" i="6"/>
  <c r="F287" i="6"/>
  <c r="H287" i="6"/>
  <c r="I287" i="6"/>
  <c r="L287" i="6"/>
  <c r="N287" i="6"/>
  <c r="Q287" i="6"/>
  <c r="R287" i="6"/>
  <c r="S287" i="6"/>
  <c r="T287" i="6"/>
  <c r="C288" i="6"/>
  <c r="D288" i="6"/>
  <c r="E288" i="6"/>
  <c r="F288" i="6"/>
  <c r="H288" i="6"/>
  <c r="I288" i="6"/>
  <c r="L288" i="6"/>
  <c r="N288" i="6"/>
  <c r="Q288" i="6"/>
  <c r="R288" i="6"/>
  <c r="S288" i="6"/>
  <c r="T288" i="6"/>
  <c r="C289" i="6"/>
  <c r="D289" i="6"/>
  <c r="E289" i="6"/>
  <c r="F289" i="6"/>
  <c r="H289" i="6"/>
  <c r="I289" i="6"/>
  <c r="L289" i="6"/>
  <c r="N289" i="6"/>
  <c r="Q289" i="6"/>
  <c r="R289" i="6"/>
  <c r="S289" i="6"/>
  <c r="T289" i="6"/>
  <c r="C290" i="6"/>
  <c r="D290" i="6"/>
  <c r="E290" i="6"/>
  <c r="F290" i="6"/>
  <c r="H290" i="6"/>
  <c r="I290" i="6"/>
  <c r="L290" i="6"/>
  <c r="N290" i="6"/>
  <c r="Q290" i="6"/>
  <c r="R290" i="6"/>
  <c r="S290" i="6"/>
  <c r="T290" i="6"/>
  <c r="C291" i="6"/>
  <c r="D291" i="6"/>
  <c r="E291" i="6"/>
  <c r="F291" i="6"/>
  <c r="H291" i="6"/>
  <c r="I291" i="6"/>
  <c r="L291" i="6"/>
  <c r="N291" i="6"/>
  <c r="Q291" i="6"/>
  <c r="R291" i="6"/>
  <c r="S291" i="6"/>
  <c r="T291" i="6"/>
  <c r="C292" i="6"/>
  <c r="D292" i="6"/>
  <c r="E292" i="6"/>
  <c r="F292" i="6"/>
  <c r="H292" i="6"/>
  <c r="I292" i="6"/>
  <c r="L292" i="6"/>
  <c r="N292" i="6"/>
  <c r="Q292" i="6"/>
  <c r="R292" i="6"/>
  <c r="S292" i="6"/>
  <c r="T292" i="6"/>
  <c r="C293" i="6"/>
  <c r="D293" i="6"/>
  <c r="E293" i="6"/>
  <c r="F293" i="6"/>
  <c r="H293" i="6"/>
  <c r="I293" i="6"/>
  <c r="L293" i="6"/>
  <c r="N293" i="6"/>
  <c r="Q293" i="6"/>
  <c r="R293" i="6"/>
  <c r="S293" i="6"/>
  <c r="T293" i="6"/>
  <c r="C294" i="6"/>
  <c r="D294" i="6"/>
  <c r="E294" i="6"/>
  <c r="F294" i="6"/>
  <c r="H294" i="6"/>
  <c r="I294" i="6"/>
  <c r="L294" i="6"/>
  <c r="N294" i="6"/>
  <c r="Q294" i="6"/>
  <c r="R294" i="6"/>
  <c r="S294" i="6"/>
  <c r="T294" i="6"/>
  <c r="C295" i="6"/>
  <c r="D295" i="6"/>
  <c r="E295" i="6"/>
  <c r="F295" i="6"/>
  <c r="H295" i="6"/>
  <c r="I295" i="6"/>
  <c r="L295" i="6"/>
  <c r="N295" i="6"/>
  <c r="Q295" i="6"/>
  <c r="R295" i="6"/>
  <c r="S295" i="6"/>
  <c r="T295" i="6"/>
  <c r="C296" i="6"/>
  <c r="D296" i="6"/>
  <c r="E296" i="6"/>
  <c r="F296" i="6"/>
  <c r="H296" i="6"/>
  <c r="I296" i="6"/>
  <c r="L296" i="6"/>
  <c r="N296" i="6"/>
  <c r="Q296" i="6"/>
  <c r="R296" i="6"/>
  <c r="S296" i="6"/>
  <c r="T296" i="6"/>
  <c r="C297" i="6"/>
  <c r="D297" i="6"/>
  <c r="E297" i="6"/>
  <c r="F297" i="6"/>
  <c r="H297" i="6"/>
  <c r="I297" i="6"/>
  <c r="L297" i="6"/>
  <c r="N297" i="6"/>
  <c r="Q297" i="6"/>
  <c r="R297" i="6"/>
  <c r="S297" i="6"/>
  <c r="T297" i="6"/>
  <c r="C298" i="6"/>
  <c r="D298" i="6"/>
  <c r="E298" i="6"/>
  <c r="F298" i="6"/>
  <c r="H298" i="6"/>
  <c r="I298" i="6"/>
  <c r="L298" i="6"/>
  <c r="N298" i="6"/>
  <c r="Q298" i="6"/>
  <c r="R298" i="6"/>
  <c r="S298" i="6"/>
  <c r="T298" i="6"/>
  <c r="C299" i="6"/>
  <c r="D299" i="6"/>
  <c r="E299" i="6"/>
  <c r="F299" i="6"/>
  <c r="H299" i="6"/>
  <c r="I299" i="6"/>
  <c r="L299" i="6"/>
  <c r="N299" i="6"/>
  <c r="Q299" i="6"/>
  <c r="R299" i="6"/>
  <c r="S299" i="6"/>
  <c r="T299" i="6"/>
  <c r="C300" i="6"/>
  <c r="D300" i="6"/>
  <c r="E300" i="6"/>
  <c r="F300" i="6"/>
  <c r="H300" i="6"/>
  <c r="I300" i="6"/>
  <c r="L300" i="6"/>
  <c r="N300" i="6"/>
  <c r="Q300" i="6"/>
  <c r="R300" i="6"/>
  <c r="S300" i="6"/>
  <c r="T300" i="6"/>
  <c r="C301" i="6"/>
  <c r="D301" i="6"/>
  <c r="E301" i="6"/>
  <c r="F301" i="6"/>
  <c r="H301" i="6"/>
  <c r="I301" i="6"/>
  <c r="L301" i="6"/>
  <c r="N301" i="6"/>
  <c r="Q301" i="6"/>
  <c r="R301" i="6"/>
  <c r="S301" i="6"/>
  <c r="T301" i="6"/>
  <c r="C302" i="6"/>
  <c r="D302" i="6"/>
  <c r="E302" i="6"/>
  <c r="F302" i="6"/>
  <c r="H302" i="6"/>
  <c r="I302" i="6"/>
  <c r="L302" i="6"/>
  <c r="N302" i="6"/>
  <c r="Q302" i="6"/>
  <c r="R302" i="6"/>
  <c r="S302" i="6"/>
  <c r="T302" i="6"/>
  <c r="C303" i="6"/>
  <c r="D303" i="6"/>
  <c r="E303" i="6"/>
  <c r="F303" i="6"/>
  <c r="H303" i="6"/>
  <c r="I303" i="6"/>
  <c r="L303" i="6"/>
  <c r="N303" i="6"/>
  <c r="Q303" i="6"/>
  <c r="R303" i="6"/>
  <c r="S303" i="6"/>
  <c r="T303" i="6"/>
  <c r="C304" i="6"/>
  <c r="D304" i="6"/>
  <c r="E304" i="6"/>
  <c r="F304" i="6"/>
  <c r="H304" i="6"/>
  <c r="I304" i="6"/>
  <c r="L304" i="6"/>
  <c r="N304" i="6"/>
  <c r="Q304" i="6"/>
  <c r="R304" i="6"/>
  <c r="S304" i="6"/>
  <c r="T304" i="6"/>
  <c r="C305" i="6"/>
  <c r="D305" i="6"/>
  <c r="E305" i="6"/>
  <c r="F305" i="6"/>
  <c r="H305" i="6"/>
  <c r="I305" i="6"/>
  <c r="L305" i="6"/>
  <c r="N305" i="6"/>
  <c r="Q305" i="6"/>
  <c r="R305" i="6"/>
  <c r="S305" i="6"/>
  <c r="T305" i="6"/>
  <c r="C306" i="6"/>
  <c r="D306" i="6"/>
  <c r="E306" i="6"/>
  <c r="F306" i="6"/>
  <c r="H306" i="6"/>
  <c r="I306" i="6"/>
  <c r="L306" i="6"/>
  <c r="N306" i="6"/>
  <c r="Q306" i="6"/>
  <c r="R306" i="6"/>
  <c r="S306" i="6"/>
  <c r="T306" i="6"/>
  <c r="C307" i="6"/>
  <c r="D307" i="6"/>
  <c r="E307" i="6"/>
  <c r="F307" i="6"/>
  <c r="H307" i="6"/>
  <c r="I307" i="6"/>
  <c r="L307" i="6"/>
  <c r="N307" i="6"/>
  <c r="Q307" i="6"/>
  <c r="R307" i="6"/>
  <c r="S307" i="6"/>
  <c r="T307" i="6"/>
  <c r="C308" i="6"/>
  <c r="D308" i="6"/>
  <c r="E308" i="6"/>
  <c r="F308" i="6"/>
  <c r="H308" i="6"/>
  <c r="I308" i="6"/>
  <c r="L308" i="6"/>
  <c r="N308" i="6"/>
  <c r="Q308" i="6"/>
  <c r="R308" i="6"/>
  <c r="S308" i="6"/>
  <c r="T308" i="6"/>
  <c r="C309" i="6"/>
  <c r="D309" i="6"/>
  <c r="E309" i="6"/>
  <c r="F309" i="6"/>
  <c r="H309" i="6"/>
  <c r="I309" i="6"/>
  <c r="L309" i="6"/>
  <c r="N309" i="6"/>
  <c r="Q309" i="6"/>
  <c r="R309" i="6"/>
  <c r="S309" i="6"/>
  <c r="T309" i="6"/>
  <c r="C310" i="6"/>
  <c r="D310" i="6"/>
  <c r="E310" i="6"/>
  <c r="F310" i="6"/>
  <c r="H310" i="6"/>
  <c r="I310" i="6"/>
  <c r="L310" i="6"/>
  <c r="N310" i="6"/>
  <c r="Q310" i="6"/>
  <c r="R310" i="6"/>
  <c r="S310" i="6"/>
  <c r="T310" i="6"/>
  <c r="C311" i="6"/>
  <c r="D311" i="6"/>
  <c r="E311" i="6"/>
  <c r="F311" i="6"/>
  <c r="H311" i="6"/>
  <c r="I311" i="6"/>
  <c r="L311" i="6"/>
  <c r="N311" i="6"/>
  <c r="Q311" i="6"/>
  <c r="R311" i="6"/>
  <c r="S311" i="6"/>
  <c r="T311" i="6"/>
  <c r="C312" i="6"/>
  <c r="D312" i="6"/>
  <c r="E312" i="6"/>
  <c r="F312" i="6"/>
  <c r="H312" i="6"/>
  <c r="I312" i="6"/>
  <c r="L312" i="6"/>
  <c r="N312" i="6"/>
  <c r="Q312" i="6"/>
  <c r="R312" i="6"/>
  <c r="S312" i="6"/>
  <c r="T312" i="6"/>
  <c r="C313" i="6"/>
  <c r="D313" i="6"/>
  <c r="E313" i="6"/>
  <c r="F313" i="6"/>
  <c r="H313" i="6"/>
  <c r="I313" i="6"/>
  <c r="L313" i="6"/>
  <c r="N313" i="6"/>
  <c r="Q313" i="6"/>
  <c r="R313" i="6"/>
  <c r="S313" i="6"/>
  <c r="T313" i="6"/>
  <c r="C314" i="6"/>
  <c r="D314" i="6"/>
  <c r="E314" i="6"/>
  <c r="F314" i="6"/>
  <c r="H314" i="6"/>
  <c r="I314" i="6"/>
  <c r="L314" i="6"/>
  <c r="N314" i="6"/>
  <c r="Q314" i="6"/>
  <c r="R314" i="6"/>
  <c r="S314" i="6"/>
  <c r="T314" i="6"/>
  <c r="C315" i="6"/>
  <c r="D315" i="6"/>
  <c r="E315" i="6"/>
  <c r="F315" i="6"/>
  <c r="H315" i="6"/>
  <c r="I315" i="6"/>
  <c r="L315" i="6"/>
  <c r="N315" i="6"/>
  <c r="Q315" i="6"/>
  <c r="R315" i="6"/>
  <c r="S315" i="6"/>
  <c r="T315" i="6"/>
  <c r="C316" i="6"/>
  <c r="D316" i="6"/>
  <c r="E316" i="6"/>
  <c r="F316" i="6"/>
  <c r="H316" i="6"/>
  <c r="I316" i="6"/>
  <c r="L316" i="6"/>
  <c r="N316" i="6"/>
  <c r="Q316" i="6"/>
  <c r="R316" i="6"/>
  <c r="S316" i="6"/>
  <c r="T316" i="6"/>
  <c r="C317" i="6"/>
  <c r="D317" i="6"/>
  <c r="E317" i="6"/>
  <c r="F317" i="6"/>
  <c r="H317" i="6"/>
  <c r="I317" i="6"/>
  <c r="L317" i="6"/>
  <c r="N317" i="6"/>
  <c r="Q317" i="6"/>
  <c r="R317" i="6"/>
  <c r="S317" i="6"/>
  <c r="T317" i="6"/>
  <c r="C318" i="6"/>
  <c r="D318" i="6"/>
  <c r="E318" i="6"/>
  <c r="F318" i="6"/>
  <c r="H318" i="6"/>
  <c r="I318" i="6"/>
  <c r="L318" i="6"/>
  <c r="N318" i="6"/>
  <c r="Q318" i="6"/>
  <c r="R318" i="6"/>
  <c r="S318" i="6"/>
  <c r="T318" i="6"/>
  <c r="C319" i="6"/>
  <c r="D319" i="6"/>
  <c r="E319" i="6"/>
  <c r="F319" i="6"/>
  <c r="H319" i="6"/>
  <c r="I319" i="6"/>
  <c r="L319" i="6"/>
  <c r="N319" i="6"/>
  <c r="Q319" i="6"/>
  <c r="R319" i="6"/>
  <c r="S319" i="6"/>
  <c r="T319" i="6"/>
  <c r="C320" i="6"/>
  <c r="D320" i="6"/>
  <c r="E320" i="6"/>
  <c r="F320" i="6"/>
  <c r="H320" i="6"/>
  <c r="I320" i="6"/>
  <c r="L320" i="6"/>
  <c r="N320" i="6"/>
  <c r="Q320" i="6"/>
  <c r="R320" i="6"/>
  <c r="S320" i="6"/>
  <c r="T320" i="6"/>
  <c r="C321" i="6"/>
  <c r="D321" i="6"/>
  <c r="E321" i="6"/>
  <c r="F321" i="6"/>
  <c r="H321" i="6"/>
  <c r="I321" i="6"/>
  <c r="L321" i="6"/>
  <c r="N321" i="6"/>
  <c r="Q321" i="6"/>
  <c r="R321" i="6"/>
  <c r="S321" i="6"/>
  <c r="T321" i="6"/>
  <c r="C322" i="6"/>
  <c r="D322" i="6"/>
  <c r="E322" i="6"/>
  <c r="F322" i="6"/>
  <c r="H322" i="6"/>
  <c r="I322" i="6"/>
  <c r="L322" i="6"/>
  <c r="N322" i="6"/>
  <c r="Q322" i="6"/>
  <c r="R322" i="6"/>
  <c r="S322" i="6"/>
  <c r="T322" i="6"/>
  <c r="C323" i="6"/>
  <c r="D323" i="6"/>
  <c r="E323" i="6"/>
  <c r="F323" i="6"/>
  <c r="H323" i="6"/>
  <c r="I323" i="6"/>
  <c r="L323" i="6"/>
  <c r="N323" i="6"/>
  <c r="Q323" i="6"/>
  <c r="R323" i="6"/>
  <c r="S323" i="6"/>
  <c r="T323" i="6"/>
  <c r="C324" i="6"/>
  <c r="D324" i="6"/>
  <c r="E324" i="6"/>
  <c r="F324" i="6"/>
  <c r="H324" i="6"/>
  <c r="I324" i="6"/>
  <c r="L324" i="6"/>
  <c r="N324" i="6"/>
  <c r="Q324" i="6"/>
  <c r="R324" i="6"/>
  <c r="S324" i="6"/>
  <c r="T324" i="6"/>
  <c r="C325" i="6"/>
  <c r="D325" i="6"/>
  <c r="E325" i="6"/>
  <c r="F325" i="6"/>
  <c r="H325" i="6"/>
  <c r="I325" i="6"/>
  <c r="L325" i="6"/>
  <c r="N325" i="6"/>
  <c r="Q325" i="6"/>
  <c r="R325" i="6"/>
  <c r="S325" i="6"/>
  <c r="T325" i="6"/>
  <c r="C326" i="6"/>
  <c r="D326" i="6"/>
  <c r="E326" i="6"/>
  <c r="F326" i="6"/>
  <c r="H326" i="6"/>
  <c r="I326" i="6"/>
  <c r="L326" i="6"/>
  <c r="N326" i="6"/>
  <c r="Q326" i="6"/>
  <c r="R326" i="6"/>
  <c r="S326" i="6"/>
  <c r="T326" i="6"/>
  <c r="C327" i="6"/>
  <c r="D327" i="6"/>
  <c r="E327" i="6"/>
  <c r="F327" i="6"/>
  <c r="H327" i="6"/>
  <c r="I327" i="6"/>
  <c r="L327" i="6"/>
  <c r="N327" i="6"/>
  <c r="Q327" i="6"/>
  <c r="R327" i="6"/>
  <c r="S327" i="6"/>
  <c r="T327" i="6"/>
  <c r="C328" i="6"/>
  <c r="D328" i="6"/>
  <c r="E328" i="6"/>
  <c r="F328" i="6"/>
  <c r="H328" i="6"/>
  <c r="I328" i="6"/>
  <c r="L328" i="6"/>
  <c r="N328" i="6"/>
  <c r="Q328" i="6"/>
  <c r="R328" i="6"/>
  <c r="S328" i="6"/>
  <c r="T328" i="6"/>
  <c r="C329" i="6"/>
  <c r="D329" i="6"/>
  <c r="E329" i="6"/>
  <c r="F329" i="6"/>
  <c r="H329" i="6"/>
  <c r="I329" i="6"/>
  <c r="L329" i="6"/>
  <c r="N329" i="6"/>
  <c r="Q329" i="6"/>
  <c r="R329" i="6"/>
  <c r="S329" i="6"/>
  <c r="T329" i="6"/>
  <c r="C330" i="6"/>
  <c r="D330" i="6"/>
  <c r="E330" i="6"/>
  <c r="F330" i="6"/>
  <c r="H330" i="6"/>
  <c r="I330" i="6"/>
  <c r="L330" i="6"/>
  <c r="N330" i="6"/>
  <c r="Q330" i="6"/>
  <c r="R330" i="6"/>
  <c r="S330" i="6"/>
  <c r="T330" i="6"/>
  <c r="C331" i="6"/>
  <c r="D331" i="6"/>
  <c r="E331" i="6"/>
  <c r="F331" i="6"/>
  <c r="H331" i="6"/>
  <c r="I331" i="6"/>
  <c r="L331" i="6"/>
  <c r="N331" i="6"/>
  <c r="Q331" i="6"/>
  <c r="R331" i="6"/>
  <c r="S331" i="6"/>
  <c r="T331" i="6"/>
  <c r="C332" i="6"/>
  <c r="D332" i="6"/>
  <c r="E332" i="6"/>
  <c r="F332" i="6"/>
  <c r="H332" i="6"/>
  <c r="I332" i="6"/>
  <c r="L332" i="6"/>
  <c r="N332" i="6"/>
  <c r="Q332" i="6"/>
  <c r="R332" i="6"/>
  <c r="S332" i="6"/>
  <c r="T332" i="6"/>
  <c r="C333" i="6"/>
  <c r="D333" i="6"/>
  <c r="E333" i="6"/>
  <c r="F333" i="6"/>
  <c r="H333" i="6"/>
  <c r="I333" i="6"/>
  <c r="L333" i="6"/>
  <c r="N333" i="6"/>
  <c r="Q333" i="6"/>
  <c r="R333" i="6"/>
  <c r="S333" i="6"/>
  <c r="T333" i="6"/>
  <c r="C334" i="6"/>
  <c r="D334" i="6"/>
  <c r="E334" i="6"/>
  <c r="F334" i="6"/>
  <c r="H334" i="6"/>
  <c r="I334" i="6"/>
  <c r="L334" i="6"/>
  <c r="N334" i="6"/>
  <c r="Q334" i="6"/>
  <c r="R334" i="6"/>
  <c r="S334" i="6"/>
  <c r="T334" i="6"/>
  <c r="C335" i="6"/>
  <c r="D335" i="6"/>
  <c r="E335" i="6"/>
  <c r="F335" i="6"/>
  <c r="H335" i="6"/>
  <c r="I335" i="6"/>
  <c r="L335" i="6"/>
  <c r="N335" i="6"/>
  <c r="Q335" i="6"/>
  <c r="R335" i="6"/>
  <c r="S335" i="6"/>
  <c r="T335" i="6"/>
  <c r="C336" i="6"/>
  <c r="D336" i="6"/>
  <c r="E336" i="6"/>
  <c r="F336" i="6"/>
  <c r="H336" i="6"/>
  <c r="I336" i="6"/>
  <c r="L336" i="6"/>
  <c r="N336" i="6"/>
  <c r="Q336" i="6"/>
  <c r="R336" i="6"/>
  <c r="S336" i="6"/>
  <c r="T336" i="6"/>
  <c r="C337" i="6"/>
  <c r="D337" i="6"/>
  <c r="E337" i="6"/>
  <c r="F337" i="6"/>
  <c r="H337" i="6"/>
  <c r="I337" i="6"/>
  <c r="L337" i="6"/>
  <c r="N337" i="6"/>
  <c r="Q337" i="6"/>
  <c r="R337" i="6"/>
  <c r="S337" i="6"/>
  <c r="T337" i="6"/>
  <c r="C338" i="6"/>
  <c r="D338" i="6"/>
  <c r="E338" i="6"/>
  <c r="F338" i="6"/>
  <c r="H338" i="6"/>
  <c r="I338" i="6"/>
  <c r="L338" i="6"/>
  <c r="N338" i="6"/>
  <c r="Q338" i="6"/>
  <c r="R338" i="6"/>
  <c r="S338" i="6"/>
  <c r="T338" i="6"/>
  <c r="C339" i="6"/>
  <c r="D339" i="6"/>
  <c r="E339" i="6"/>
  <c r="F339" i="6"/>
  <c r="H339" i="6"/>
  <c r="I339" i="6"/>
  <c r="L339" i="6"/>
  <c r="N339" i="6"/>
  <c r="Q339" i="6"/>
  <c r="R339" i="6"/>
  <c r="S339" i="6"/>
  <c r="T339" i="6"/>
  <c r="C340" i="6"/>
  <c r="D340" i="6"/>
  <c r="E340" i="6"/>
  <c r="F340" i="6"/>
  <c r="H340" i="6"/>
  <c r="I340" i="6"/>
  <c r="L340" i="6"/>
  <c r="N340" i="6"/>
  <c r="Q340" i="6"/>
  <c r="R340" i="6"/>
  <c r="S340" i="6"/>
  <c r="T340" i="6"/>
  <c r="C341" i="6"/>
  <c r="D341" i="6"/>
  <c r="E341" i="6"/>
  <c r="F341" i="6"/>
  <c r="H341" i="6"/>
  <c r="I341" i="6"/>
  <c r="L341" i="6"/>
  <c r="N341" i="6"/>
  <c r="Q341" i="6"/>
  <c r="R341" i="6"/>
  <c r="S341" i="6"/>
  <c r="T341" i="6"/>
  <c r="C342" i="6"/>
  <c r="D342" i="6"/>
  <c r="E342" i="6"/>
  <c r="F342" i="6"/>
  <c r="H342" i="6"/>
  <c r="I342" i="6"/>
  <c r="L342" i="6"/>
  <c r="N342" i="6"/>
  <c r="Q342" i="6"/>
  <c r="R342" i="6"/>
  <c r="S342" i="6"/>
  <c r="T342" i="6"/>
  <c r="C343" i="6"/>
  <c r="D343" i="6"/>
  <c r="E343" i="6"/>
  <c r="F343" i="6"/>
  <c r="H343" i="6"/>
  <c r="I343" i="6"/>
  <c r="L343" i="6"/>
  <c r="N343" i="6"/>
  <c r="Q343" i="6"/>
  <c r="R343" i="6"/>
  <c r="S343" i="6"/>
  <c r="T343" i="6"/>
  <c r="C344" i="6"/>
  <c r="D344" i="6"/>
  <c r="E344" i="6"/>
  <c r="F344" i="6"/>
  <c r="H344" i="6"/>
  <c r="I344" i="6"/>
  <c r="L344" i="6"/>
  <c r="N344" i="6"/>
  <c r="Q344" i="6"/>
  <c r="R344" i="6"/>
  <c r="S344" i="6"/>
  <c r="T344" i="6"/>
  <c r="C345" i="6"/>
  <c r="D345" i="6"/>
  <c r="E345" i="6"/>
  <c r="F345" i="6"/>
  <c r="H345" i="6"/>
  <c r="I345" i="6"/>
  <c r="L345" i="6"/>
  <c r="N345" i="6"/>
  <c r="Q345" i="6"/>
  <c r="R345" i="6"/>
  <c r="S345" i="6"/>
  <c r="T345" i="6"/>
  <c r="C346" i="6"/>
  <c r="D346" i="6"/>
  <c r="E346" i="6"/>
  <c r="F346" i="6"/>
  <c r="H346" i="6"/>
  <c r="I346" i="6"/>
  <c r="L346" i="6"/>
  <c r="N346" i="6"/>
  <c r="Q346" i="6"/>
  <c r="R346" i="6"/>
  <c r="S346" i="6"/>
  <c r="T346" i="6"/>
  <c r="C347" i="6"/>
  <c r="D347" i="6"/>
  <c r="E347" i="6"/>
  <c r="F347" i="6"/>
  <c r="H347" i="6"/>
  <c r="I347" i="6"/>
  <c r="L347" i="6"/>
  <c r="N347" i="6"/>
  <c r="Q347" i="6"/>
  <c r="R347" i="6"/>
  <c r="S347" i="6"/>
  <c r="T347" i="6"/>
  <c r="C348" i="6"/>
  <c r="D348" i="6"/>
  <c r="E348" i="6"/>
  <c r="F348" i="6"/>
  <c r="H348" i="6"/>
  <c r="I348" i="6"/>
  <c r="L348" i="6"/>
  <c r="N348" i="6"/>
  <c r="Q348" i="6"/>
  <c r="R348" i="6"/>
  <c r="S348" i="6"/>
  <c r="T348" i="6"/>
  <c r="C349" i="6"/>
  <c r="D349" i="6"/>
  <c r="E349" i="6"/>
  <c r="F349" i="6"/>
  <c r="H349" i="6"/>
  <c r="I349" i="6"/>
  <c r="L349" i="6"/>
  <c r="N349" i="6"/>
  <c r="Q349" i="6"/>
  <c r="R349" i="6"/>
  <c r="S349" i="6"/>
  <c r="T349" i="6"/>
  <c r="C350" i="6"/>
  <c r="D350" i="6"/>
  <c r="E350" i="6"/>
  <c r="F350" i="6"/>
  <c r="H350" i="6"/>
  <c r="I350" i="6"/>
  <c r="L350" i="6"/>
  <c r="N350" i="6"/>
  <c r="Q350" i="6"/>
  <c r="R350" i="6"/>
  <c r="S350" i="6"/>
  <c r="T350" i="6"/>
  <c r="C351" i="6"/>
  <c r="D351" i="6"/>
  <c r="E351" i="6"/>
  <c r="F351" i="6"/>
  <c r="H351" i="6"/>
  <c r="I351" i="6"/>
  <c r="L351" i="6"/>
  <c r="N351" i="6"/>
  <c r="Q351" i="6"/>
  <c r="R351" i="6"/>
  <c r="S351" i="6"/>
  <c r="T351" i="6"/>
  <c r="C352" i="6"/>
  <c r="D352" i="6"/>
  <c r="E352" i="6"/>
  <c r="F352" i="6"/>
  <c r="H352" i="6"/>
  <c r="I352" i="6"/>
  <c r="L352" i="6"/>
  <c r="N352" i="6"/>
  <c r="Q352" i="6"/>
  <c r="R352" i="6"/>
  <c r="S352" i="6"/>
  <c r="T352" i="6"/>
  <c r="C353" i="6"/>
  <c r="D353" i="6"/>
  <c r="E353" i="6"/>
  <c r="F353" i="6"/>
  <c r="H353" i="6"/>
  <c r="I353" i="6"/>
  <c r="L353" i="6"/>
  <c r="N353" i="6"/>
  <c r="Q353" i="6"/>
  <c r="R353" i="6"/>
  <c r="S353" i="6"/>
  <c r="T353" i="6"/>
  <c r="C354" i="6"/>
  <c r="D354" i="6"/>
  <c r="E354" i="6"/>
  <c r="F354" i="6"/>
  <c r="H354" i="6"/>
  <c r="I354" i="6"/>
  <c r="L354" i="6"/>
  <c r="N354" i="6"/>
  <c r="Q354" i="6"/>
  <c r="R354" i="6"/>
  <c r="S354" i="6"/>
  <c r="T354" i="6"/>
  <c r="C355" i="6"/>
  <c r="D355" i="6"/>
  <c r="E355" i="6"/>
  <c r="F355" i="6"/>
  <c r="H355" i="6"/>
  <c r="I355" i="6"/>
  <c r="L355" i="6"/>
  <c r="N355" i="6"/>
  <c r="Q355" i="6"/>
  <c r="R355" i="6"/>
  <c r="S355" i="6"/>
  <c r="T355" i="6"/>
  <c r="C356" i="6"/>
  <c r="D356" i="6"/>
  <c r="E356" i="6"/>
  <c r="F356" i="6"/>
  <c r="H356" i="6"/>
  <c r="I356" i="6"/>
  <c r="L356" i="6"/>
  <c r="N356" i="6"/>
  <c r="Q356" i="6"/>
  <c r="R356" i="6"/>
  <c r="S356" i="6"/>
  <c r="T356" i="6"/>
  <c r="C357" i="6"/>
  <c r="D357" i="6"/>
  <c r="E357" i="6"/>
  <c r="F357" i="6"/>
  <c r="H357" i="6"/>
  <c r="I357" i="6"/>
  <c r="L357" i="6"/>
  <c r="N357" i="6"/>
  <c r="Q357" i="6"/>
  <c r="R357" i="6"/>
  <c r="S357" i="6"/>
  <c r="T357" i="6"/>
  <c r="C358" i="6"/>
  <c r="D358" i="6"/>
  <c r="E358" i="6"/>
  <c r="F358" i="6"/>
  <c r="H358" i="6"/>
  <c r="I358" i="6"/>
  <c r="L358" i="6"/>
  <c r="N358" i="6"/>
  <c r="Q358" i="6"/>
  <c r="R358" i="6"/>
  <c r="S358" i="6"/>
  <c r="T358" i="6"/>
  <c r="C359" i="6"/>
  <c r="D359" i="6"/>
  <c r="E359" i="6"/>
  <c r="F359" i="6"/>
  <c r="H359" i="6"/>
  <c r="I359" i="6"/>
  <c r="L359" i="6"/>
  <c r="N359" i="6"/>
  <c r="Q359" i="6"/>
  <c r="R359" i="6"/>
  <c r="S359" i="6"/>
  <c r="T359" i="6"/>
  <c r="C360" i="6"/>
  <c r="D360" i="6"/>
  <c r="E360" i="6"/>
  <c r="F360" i="6"/>
  <c r="H360" i="6"/>
  <c r="I360" i="6"/>
  <c r="L360" i="6"/>
  <c r="N360" i="6"/>
  <c r="Q360" i="6"/>
  <c r="R360" i="6"/>
  <c r="S360" i="6"/>
  <c r="T360" i="6"/>
  <c r="C361" i="6"/>
  <c r="D361" i="6"/>
  <c r="E361" i="6"/>
  <c r="F361" i="6"/>
  <c r="H361" i="6"/>
  <c r="I361" i="6"/>
  <c r="L361" i="6"/>
  <c r="N361" i="6"/>
  <c r="Q361" i="6"/>
  <c r="R361" i="6"/>
  <c r="S361" i="6"/>
  <c r="T361" i="6"/>
  <c r="C362" i="6"/>
  <c r="D362" i="6"/>
  <c r="E362" i="6"/>
  <c r="F362" i="6"/>
  <c r="H362" i="6"/>
  <c r="I362" i="6"/>
  <c r="L362" i="6"/>
  <c r="N362" i="6"/>
  <c r="Q362" i="6"/>
  <c r="R362" i="6"/>
  <c r="S362" i="6"/>
  <c r="T362" i="6"/>
  <c r="C363" i="6"/>
  <c r="D363" i="6"/>
  <c r="E363" i="6"/>
  <c r="F363" i="6"/>
  <c r="H363" i="6"/>
  <c r="I363" i="6"/>
  <c r="L363" i="6"/>
  <c r="N363" i="6"/>
  <c r="Q363" i="6"/>
  <c r="R363" i="6"/>
  <c r="S363" i="6"/>
  <c r="T363" i="6"/>
  <c r="C364" i="6"/>
  <c r="D364" i="6"/>
  <c r="E364" i="6"/>
  <c r="F364" i="6"/>
  <c r="H364" i="6"/>
  <c r="I364" i="6"/>
  <c r="L364" i="6"/>
  <c r="N364" i="6"/>
  <c r="Q364" i="6"/>
  <c r="R364" i="6"/>
  <c r="S364" i="6"/>
  <c r="T364" i="6"/>
  <c r="C365" i="6"/>
  <c r="D365" i="6"/>
  <c r="E365" i="6"/>
  <c r="F365" i="6"/>
  <c r="H365" i="6"/>
  <c r="I365" i="6"/>
  <c r="L365" i="6"/>
  <c r="N365" i="6"/>
  <c r="Q365" i="6"/>
  <c r="R365" i="6"/>
  <c r="S365" i="6"/>
  <c r="T365" i="6"/>
  <c r="C366" i="6"/>
  <c r="D366" i="6"/>
  <c r="E366" i="6"/>
  <c r="F366" i="6"/>
  <c r="H366" i="6"/>
  <c r="I366" i="6"/>
  <c r="L366" i="6"/>
  <c r="N366" i="6"/>
  <c r="Q366" i="6"/>
  <c r="R366" i="6"/>
  <c r="S366" i="6"/>
  <c r="T366" i="6"/>
  <c r="C367" i="6"/>
  <c r="D367" i="6"/>
  <c r="E367" i="6"/>
  <c r="F367" i="6"/>
  <c r="H367" i="6"/>
  <c r="I367" i="6"/>
  <c r="L367" i="6"/>
  <c r="N367" i="6"/>
  <c r="Q367" i="6"/>
  <c r="R367" i="6"/>
  <c r="S367" i="6"/>
  <c r="T367" i="6"/>
  <c r="C368" i="6"/>
  <c r="D368" i="6"/>
  <c r="E368" i="6"/>
  <c r="F368" i="6"/>
  <c r="H368" i="6"/>
  <c r="I368" i="6"/>
  <c r="L368" i="6"/>
  <c r="N368" i="6"/>
  <c r="Q368" i="6"/>
  <c r="R368" i="6"/>
  <c r="S368" i="6"/>
  <c r="T368" i="6"/>
  <c r="C369" i="6"/>
  <c r="D369" i="6"/>
  <c r="E369" i="6"/>
  <c r="F369" i="6"/>
  <c r="H369" i="6"/>
  <c r="I369" i="6"/>
  <c r="L369" i="6"/>
  <c r="N369" i="6"/>
  <c r="Q369" i="6"/>
  <c r="R369" i="6"/>
  <c r="S369" i="6"/>
  <c r="T369" i="6"/>
  <c r="C370" i="6"/>
  <c r="D370" i="6"/>
  <c r="E370" i="6"/>
  <c r="F370" i="6"/>
  <c r="H370" i="6"/>
  <c r="I370" i="6"/>
  <c r="L370" i="6"/>
  <c r="N370" i="6"/>
  <c r="Q370" i="6"/>
  <c r="R370" i="6"/>
  <c r="S370" i="6"/>
  <c r="T370" i="6"/>
  <c r="C371" i="6"/>
  <c r="D371" i="6"/>
  <c r="E371" i="6"/>
  <c r="F371" i="6"/>
  <c r="H371" i="6"/>
  <c r="I371" i="6"/>
  <c r="L371" i="6"/>
  <c r="N371" i="6"/>
  <c r="Q371" i="6"/>
  <c r="R371" i="6"/>
  <c r="S371" i="6"/>
  <c r="T371" i="6"/>
  <c r="C372" i="6"/>
  <c r="D372" i="6"/>
  <c r="E372" i="6"/>
  <c r="F372" i="6"/>
  <c r="H372" i="6"/>
  <c r="I372" i="6"/>
  <c r="L372" i="6"/>
  <c r="N372" i="6"/>
  <c r="Q372" i="6"/>
  <c r="R372" i="6"/>
  <c r="S372" i="6"/>
  <c r="T372" i="6"/>
  <c r="C373" i="6"/>
  <c r="D373" i="6"/>
  <c r="E373" i="6"/>
  <c r="F373" i="6"/>
  <c r="H373" i="6"/>
  <c r="I373" i="6"/>
  <c r="L373" i="6"/>
  <c r="N373" i="6"/>
  <c r="Q373" i="6"/>
  <c r="R373" i="6"/>
  <c r="S373" i="6"/>
  <c r="T373" i="6"/>
  <c r="C374" i="6"/>
  <c r="D374" i="6"/>
  <c r="E374" i="6"/>
  <c r="F374" i="6"/>
  <c r="H374" i="6"/>
  <c r="I374" i="6"/>
  <c r="L374" i="6"/>
  <c r="N374" i="6"/>
  <c r="Q374" i="6"/>
  <c r="R374" i="6"/>
  <c r="S374" i="6"/>
  <c r="T374" i="6"/>
  <c r="C375" i="6"/>
  <c r="D375" i="6"/>
  <c r="E375" i="6"/>
  <c r="F375" i="6"/>
  <c r="H375" i="6"/>
  <c r="I375" i="6"/>
  <c r="L375" i="6"/>
  <c r="N375" i="6"/>
  <c r="Q375" i="6"/>
  <c r="R375" i="6"/>
  <c r="S375" i="6"/>
  <c r="T375" i="6"/>
  <c r="C376" i="6"/>
  <c r="D376" i="6"/>
  <c r="E376" i="6"/>
  <c r="F376" i="6"/>
  <c r="H376" i="6"/>
  <c r="I376" i="6"/>
  <c r="L376" i="6"/>
  <c r="N376" i="6"/>
  <c r="Q376" i="6"/>
  <c r="R376" i="6"/>
  <c r="S376" i="6"/>
  <c r="T376" i="6"/>
  <c r="C377" i="6"/>
  <c r="D377" i="6"/>
  <c r="E377" i="6"/>
  <c r="F377" i="6"/>
  <c r="H377" i="6"/>
  <c r="I377" i="6"/>
  <c r="L377" i="6"/>
  <c r="N377" i="6"/>
  <c r="Q377" i="6"/>
  <c r="R377" i="6"/>
  <c r="S377" i="6"/>
  <c r="T377" i="6"/>
  <c r="C378" i="6"/>
  <c r="D378" i="6"/>
  <c r="E378" i="6"/>
  <c r="F378" i="6"/>
  <c r="H378" i="6"/>
  <c r="I378" i="6"/>
  <c r="L378" i="6"/>
  <c r="N378" i="6"/>
  <c r="Q378" i="6"/>
  <c r="R378" i="6"/>
  <c r="S378" i="6"/>
  <c r="T378" i="6"/>
  <c r="C379" i="6"/>
  <c r="D379" i="6"/>
  <c r="E379" i="6"/>
  <c r="F379" i="6"/>
  <c r="H379" i="6"/>
  <c r="I379" i="6"/>
  <c r="L379" i="6"/>
  <c r="N379" i="6"/>
  <c r="Q379" i="6"/>
  <c r="R379" i="6"/>
  <c r="S379" i="6"/>
  <c r="T379" i="6"/>
  <c r="C380" i="6"/>
  <c r="D380" i="6"/>
  <c r="E380" i="6"/>
  <c r="F380" i="6"/>
  <c r="H380" i="6"/>
  <c r="I380" i="6"/>
  <c r="L380" i="6"/>
  <c r="N380" i="6"/>
  <c r="Q380" i="6"/>
  <c r="R380" i="6"/>
  <c r="S380" i="6"/>
  <c r="T380" i="6"/>
  <c r="C381" i="6"/>
  <c r="D381" i="6"/>
  <c r="E381" i="6"/>
  <c r="F381" i="6"/>
  <c r="H381" i="6"/>
  <c r="I381" i="6"/>
  <c r="L381" i="6"/>
  <c r="N381" i="6"/>
  <c r="Q381" i="6"/>
  <c r="R381" i="6"/>
  <c r="S381" i="6"/>
  <c r="T381" i="6"/>
  <c r="C382" i="6"/>
  <c r="D382" i="6"/>
  <c r="E382" i="6"/>
  <c r="F382" i="6"/>
  <c r="H382" i="6"/>
  <c r="I382" i="6"/>
  <c r="L382" i="6"/>
  <c r="N382" i="6"/>
  <c r="Q382" i="6"/>
  <c r="R382" i="6"/>
  <c r="S382" i="6"/>
  <c r="T382" i="6"/>
  <c r="C383" i="6"/>
  <c r="D383" i="6"/>
  <c r="E383" i="6"/>
  <c r="F383" i="6"/>
  <c r="H383" i="6"/>
  <c r="I383" i="6"/>
  <c r="L383" i="6"/>
  <c r="N383" i="6"/>
  <c r="Q383" i="6"/>
  <c r="R383" i="6"/>
  <c r="S383" i="6"/>
  <c r="T383" i="6"/>
  <c r="C384" i="6"/>
  <c r="D384" i="6"/>
  <c r="E384" i="6"/>
  <c r="F384" i="6"/>
  <c r="H384" i="6"/>
  <c r="I384" i="6"/>
  <c r="L384" i="6"/>
  <c r="N384" i="6"/>
  <c r="Q384" i="6"/>
  <c r="R384" i="6"/>
  <c r="S384" i="6"/>
  <c r="T384" i="6"/>
  <c r="C385" i="6"/>
  <c r="D385" i="6"/>
  <c r="E385" i="6"/>
  <c r="F385" i="6"/>
  <c r="H385" i="6"/>
  <c r="I385" i="6"/>
  <c r="L385" i="6"/>
  <c r="N385" i="6"/>
  <c r="Q385" i="6"/>
  <c r="R385" i="6"/>
  <c r="S385" i="6"/>
  <c r="T385" i="6"/>
  <c r="C386" i="6"/>
  <c r="D386" i="6"/>
  <c r="E386" i="6"/>
  <c r="F386" i="6"/>
  <c r="H386" i="6"/>
  <c r="I386" i="6"/>
  <c r="L386" i="6"/>
  <c r="N386" i="6"/>
  <c r="Q386" i="6"/>
  <c r="R386" i="6"/>
  <c r="S386" i="6"/>
  <c r="T386" i="6"/>
  <c r="C387" i="6"/>
  <c r="D387" i="6"/>
  <c r="E387" i="6"/>
  <c r="F387" i="6"/>
  <c r="H387" i="6"/>
  <c r="I387" i="6"/>
  <c r="L387" i="6"/>
  <c r="N387" i="6"/>
  <c r="Q387" i="6"/>
  <c r="R387" i="6"/>
  <c r="S387" i="6"/>
  <c r="T387" i="6"/>
  <c r="C388" i="6"/>
  <c r="D388" i="6"/>
  <c r="E388" i="6"/>
  <c r="F388" i="6"/>
  <c r="H388" i="6"/>
  <c r="I388" i="6"/>
  <c r="L388" i="6"/>
  <c r="N388" i="6"/>
  <c r="Q388" i="6"/>
  <c r="R388" i="6"/>
  <c r="S388" i="6"/>
  <c r="T388" i="6"/>
  <c r="C389" i="6"/>
  <c r="D389" i="6"/>
  <c r="E389" i="6"/>
  <c r="F389" i="6"/>
  <c r="H389" i="6"/>
  <c r="I389" i="6"/>
  <c r="L389" i="6"/>
  <c r="N389" i="6"/>
  <c r="Q389" i="6"/>
  <c r="R389" i="6"/>
  <c r="S389" i="6"/>
  <c r="T389" i="6"/>
  <c r="C390" i="6"/>
  <c r="D390" i="6"/>
  <c r="E390" i="6"/>
  <c r="F390" i="6"/>
  <c r="H390" i="6"/>
  <c r="I390" i="6"/>
  <c r="L390" i="6"/>
  <c r="N390" i="6"/>
  <c r="Q390" i="6"/>
  <c r="R390" i="6"/>
  <c r="S390" i="6"/>
  <c r="T390" i="6"/>
  <c r="C391" i="6"/>
  <c r="D391" i="6"/>
  <c r="E391" i="6"/>
  <c r="F391" i="6"/>
  <c r="H391" i="6"/>
  <c r="I391" i="6"/>
  <c r="L391" i="6"/>
  <c r="N391" i="6"/>
  <c r="Q391" i="6"/>
  <c r="R391" i="6"/>
  <c r="S391" i="6"/>
  <c r="T391" i="6"/>
  <c r="C392" i="6"/>
  <c r="D392" i="6"/>
  <c r="E392" i="6"/>
  <c r="F392" i="6"/>
  <c r="H392" i="6"/>
  <c r="I392" i="6"/>
  <c r="L392" i="6"/>
  <c r="N392" i="6"/>
  <c r="Q392" i="6"/>
  <c r="R392" i="6"/>
  <c r="S392" i="6"/>
  <c r="T392" i="6"/>
  <c r="C393" i="6"/>
  <c r="D393" i="6"/>
  <c r="E393" i="6"/>
  <c r="F393" i="6"/>
  <c r="H393" i="6"/>
  <c r="I393" i="6"/>
  <c r="L393" i="6"/>
  <c r="N393" i="6"/>
  <c r="Q393" i="6"/>
  <c r="R393" i="6"/>
  <c r="S393" i="6"/>
  <c r="T393" i="6"/>
  <c r="C394" i="6"/>
  <c r="D394" i="6"/>
  <c r="E394" i="6"/>
  <c r="F394" i="6"/>
  <c r="H394" i="6"/>
  <c r="I394" i="6"/>
  <c r="L394" i="6"/>
  <c r="N394" i="6"/>
  <c r="Q394" i="6"/>
  <c r="R394" i="6"/>
  <c r="S394" i="6"/>
  <c r="T394" i="6"/>
  <c r="C395" i="6"/>
  <c r="D395" i="6"/>
  <c r="E395" i="6"/>
  <c r="F395" i="6"/>
  <c r="H395" i="6"/>
  <c r="I395" i="6"/>
  <c r="L395" i="6"/>
  <c r="N395" i="6"/>
  <c r="Q395" i="6"/>
  <c r="R395" i="6"/>
  <c r="S395" i="6"/>
  <c r="T395" i="6"/>
  <c r="C396" i="6"/>
  <c r="D396" i="6"/>
  <c r="E396" i="6"/>
  <c r="F396" i="6"/>
  <c r="H396" i="6"/>
  <c r="I396" i="6"/>
  <c r="L396" i="6"/>
  <c r="N396" i="6"/>
  <c r="Q396" i="6"/>
  <c r="R396" i="6"/>
  <c r="S396" i="6"/>
  <c r="T396" i="6"/>
  <c r="C397" i="6"/>
  <c r="D397" i="6"/>
  <c r="E397" i="6"/>
  <c r="F397" i="6"/>
  <c r="H397" i="6"/>
  <c r="I397" i="6"/>
  <c r="L397" i="6"/>
  <c r="N397" i="6"/>
  <c r="Q397" i="6"/>
  <c r="R397" i="6"/>
  <c r="S397" i="6"/>
  <c r="T397" i="6"/>
  <c r="C398" i="6"/>
  <c r="D398" i="6"/>
  <c r="E398" i="6"/>
  <c r="F398" i="6"/>
  <c r="H398" i="6"/>
  <c r="I398" i="6"/>
  <c r="L398" i="6"/>
  <c r="N398" i="6"/>
  <c r="Q398" i="6"/>
  <c r="R398" i="6"/>
  <c r="S398" i="6"/>
  <c r="T398" i="6"/>
  <c r="C399" i="6"/>
  <c r="D399" i="6"/>
  <c r="E399" i="6"/>
  <c r="F399" i="6"/>
  <c r="H399" i="6"/>
  <c r="I399" i="6"/>
  <c r="L399" i="6"/>
  <c r="N399" i="6"/>
  <c r="Q399" i="6"/>
  <c r="R399" i="6"/>
  <c r="S399" i="6"/>
  <c r="T399" i="6"/>
  <c r="C400" i="6"/>
  <c r="D400" i="6"/>
  <c r="E400" i="6"/>
  <c r="F400" i="6"/>
  <c r="H400" i="6"/>
  <c r="I400" i="6"/>
  <c r="L400" i="6"/>
  <c r="N400" i="6"/>
  <c r="Q400" i="6"/>
  <c r="R400" i="6"/>
  <c r="S400" i="6"/>
  <c r="T400" i="6"/>
  <c r="C401" i="6"/>
  <c r="D401" i="6"/>
  <c r="E401" i="6"/>
  <c r="F401" i="6"/>
  <c r="H401" i="6"/>
  <c r="I401" i="6"/>
  <c r="L401" i="6"/>
  <c r="N401" i="6"/>
  <c r="Q401" i="6"/>
  <c r="R401" i="6"/>
  <c r="S401" i="6"/>
  <c r="T401" i="6"/>
  <c r="C402" i="6"/>
  <c r="D402" i="6"/>
  <c r="E402" i="6"/>
  <c r="F402" i="6"/>
  <c r="H402" i="6"/>
  <c r="I402" i="6"/>
  <c r="L402" i="6"/>
  <c r="N402" i="6"/>
  <c r="Q402" i="6"/>
  <c r="R402" i="6"/>
  <c r="S402" i="6"/>
  <c r="T402" i="6"/>
  <c r="C403" i="6"/>
  <c r="D403" i="6"/>
  <c r="E403" i="6"/>
  <c r="F403" i="6"/>
  <c r="H403" i="6"/>
  <c r="I403" i="6"/>
  <c r="L403" i="6"/>
  <c r="N403" i="6"/>
  <c r="Q403" i="6"/>
  <c r="R403" i="6"/>
  <c r="S403" i="6"/>
  <c r="T403" i="6"/>
  <c r="C404" i="6"/>
  <c r="D404" i="6"/>
  <c r="E404" i="6"/>
  <c r="F404" i="6"/>
  <c r="H404" i="6"/>
  <c r="I404" i="6"/>
  <c r="L404" i="6"/>
  <c r="N404" i="6"/>
  <c r="Q404" i="6"/>
  <c r="R404" i="6"/>
  <c r="S404" i="6"/>
  <c r="T404" i="6"/>
  <c r="C405" i="6"/>
  <c r="D405" i="6"/>
  <c r="E405" i="6"/>
  <c r="F405" i="6"/>
  <c r="H405" i="6"/>
  <c r="I405" i="6"/>
  <c r="L405" i="6"/>
  <c r="N405" i="6"/>
  <c r="Q405" i="6"/>
  <c r="R405" i="6"/>
  <c r="S405" i="6"/>
  <c r="T405" i="6"/>
  <c r="C406" i="6"/>
  <c r="D406" i="6"/>
  <c r="E406" i="6"/>
  <c r="F406" i="6"/>
  <c r="H406" i="6"/>
  <c r="I406" i="6"/>
  <c r="L406" i="6"/>
  <c r="N406" i="6"/>
  <c r="Q406" i="6"/>
  <c r="R406" i="6"/>
  <c r="S406" i="6"/>
  <c r="T406" i="6"/>
  <c r="C407" i="6"/>
  <c r="D407" i="6"/>
  <c r="E407" i="6"/>
  <c r="F407" i="6"/>
  <c r="H407" i="6"/>
  <c r="I407" i="6"/>
  <c r="L407" i="6"/>
  <c r="N407" i="6"/>
  <c r="Q407" i="6"/>
  <c r="R407" i="6"/>
  <c r="S407" i="6"/>
  <c r="T407" i="6"/>
  <c r="C408" i="6"/>
  <c r="D408" i="6"/>
  <c r="E408" i="6"/>
  <c r="F408" i="6"/>
  <c r="H408" i="6"/>
  <c r="I408" i="6"/>
  <c r="L408" i="6"/>
  <c r="N408" i="6"/>
  <c r="Q408" i="6"/>
  <c r="R408" i="6"/>
  <c r="S408" i="6"/>
  <c r="T408" i="6"/>
  <c r="C409" i="6"/>
  <c r="D409" i="6"/>
  <c r="E409" i="6"/>
  <c r="F409" i="6"/>
  <c r="H409" i="6"/>
  <c r="I409" i="6"/>
  <c r="L409" i="6"/>
  <c r="N409" i="6"/>
  <c r="Q409" i="6"/>
  <c r="R409" i="6"/>
  <c r="S409" i="6"/>
  <c r="T409" i="6"/>
  <c r="C410" i="6"/>
  <c r="D410" i="6"/>
  <c r="E410" i="6"/>
  <c r="F410" i="6"/>
  <c r="H410" i="6"/>
  <c r="I410" i="6"/>
  <c r="L410" i="6"/>
  <c r="N410" i="6"/>
  <c r="Q410" i="6"/>
  <c r="R410" i="6"/>
  <c r="S410" i="6"/>
  <c r="T410" i="6"/>
  <c r="C411" i="6"/>
  <c r="D411" i="6"/>
  <c r="E411" i="6"/>
  <c r="F411" i="6"/>
  <c r="H411" i="6"/>
  <c r="I411" i="6"/>
  <c r="L411" i="6"/>
  <c r="N411" i="6"/>
  <c r="Q411" i="6"/>
  <c r="R411" i="6"/>
  <c r="S411" i="6"/>
  <c r="T411" i="6"/>
  <c r="C412" i="6"/>
  <c r="D412" i="6"/>
  <c r="E412" i="6"/>
  <c r="F412" i="6"/>
  <c r="H412" i="6"/>
  <c r="I412" i="6"/>
  <c r="L412" i="6"/>
  <c r="N412" i="6"/>
  <c r="Q412" i="6"/>
  <c r="R412" i="6"/>
  <c r="S412" i="6"/>
  <c r="T412" i="6"/>
  <c r="C413" i="6"/>
  <c r="D413" i="6"/>
  <c r="E413" i="6"/>
  <c r="F413" i="6"/>
  <c r="H413" i="6"/>
  <c r="I413" i="6"/>
  <c r="L413" i="6"/>
  <c r="N413" i="6"/>
  <c r="Q413" i="6"/>
  <c r="R413" i="6"/>
  <c r="S413" i="6"/>
  <c r="T413" i="6"/>
  <c r="C414" i="6"/>
  <c r="D414" i="6"/>
  <c r="E414" i="6"/>
  <c r="F414" i="6"/>
  <c r="H414" i="6"/>
  <c r="I414" i="6"/>
  <c r="L414" i="6"/>
  <c r="N414" i="6"/>
  <c r="Q414" i="6"/>
  <c r="R414" i="6"/>
  <c r="S414" i="6"/>
  <c r="T414" i="6"/>
  <c r="C415" i="6"/>
  <c r="D415" i="6"/>
  <c r="E415" i="6"/>
  <c r="F415" i="6"/>
  <c r="H415" i="6"/>
  <c r="I415" i="6"/>
  <c r="L415" i="6"/>
  <c r="N415" i="6"/>
  <c r="Q415" i="6"/>
  <c r="R415" i="6"/>
  <c r="S415" i="6"/>
  <c r="T415" i="6"/>
  <c r="C416" i="6"/>
  <c r="D416" i="6"/>
  <c r="E416" i="6"/>
  <c r="F416" i="6"/>
  <c r="H416" i="6"/>
  <c r="I416" i="6"/>
  <c r="L416" i="6"/>
  <c r="N416" i="6"/>
  <c r="Q416" i="6"/>
  <c r="R416" i="6"/>
  <c r="S416" i="6"/>
  <c r="T416" i="6"/>
  <c r="C417" i="6"/>
  <c r="D417" i="6"/>
  <c r="E417" i="6"/>
  <c r="F417" i="6"/>
  <c r="H417" i="6"/>
  <c r="I417" i="6"/>
  <c r="L417" i="6"/>
  <c r="N417" i="6"/>
  <c r="Q417" i="6"/>
  <c r="R417" i="6"/>
  <c r="S417" i="6"/>
  <c r="T417" i="6"/>
  <c r="C418" i="6"/>
  <c r="D418" i="6"/>
  <c r="E418" i="6"/>
  <c r="F418" i="6"/>
  <c r="H418" i="6"/>
  <c r="I418" i="6"/>
  <c r="L418" i="6"/>
  <c r="N418" i="6"/>
  <c r="Q418" i="6"/>
  <c r="R418" i="6"/>
  <c r="S418" i="6"/>
  <c r="T418" i="6"/>
  <c r="C419" i="6"/>
  <c r="D419" i="6"/>
  <c r="E419" i="6"/>
  <c r="F419" i="6"/>
  <c r="H419" i="6"/>
  <c r="I419" i="6"/>
  <c r="L419" i="6"/>
  <c r="N419" i="6"/>
  <c r="Q419" i="6"/>
  <c r="R419" i="6"/>
  <c r="S419" i="6"/>
  <c r="T419" i="6"/>
  <c r="C420" i="6"/>
  <c r="D420" i="6"/>
  <c r="E420" i="6"/>
  <c r="F420" i="6"/>
  <c r="H420" i="6"/>
  <c r="I420" i="6"/>
  <c r="L420" i="6"/>
  <c r="N420" i="6"/>
  <c r="Q420" i="6"/>
  <c r="R420" i="6"/>
  <c r="S420" i="6"/>
  <c r="T420" i="6"/>
  <c r="C421" i="6"/>
  <c r="D421" i="6"/>
  <c r="E421" i="6"/>
  <c r="F421" i="6"/>
  <c r="H421" i="6"/>
  <c r="I421" i="6"/>
  <c r="L421" i="6"/>
  <c r="N421" i="6"/>
  <c r="Q421" i="6"/>
  <c r="R421" i="6"/>
  <c r="S421" i="6"/>
  <c r="T421" i="6"/>
  <c r="C422" i="6"/>
  <c r="D422" i="6"/>
  <c r="E422" i="6"/>
  <c r="F422" i="6"/>
  <c r="H422" i="6"/>
  <c r="I422" i="6"/>
  <c r="L422" i="6"/>
  <c r="N422" i="6"/>
  <c r="Q422" i="6"/>
  <c r="R422" i="6"/>
  <c r="S422" i="6"/>
  <c r="T422" i="6"/>
  <c r="C423" i="6"/>
  <c r="D423" i="6"/>
  <c r="E423" i="6"/>
  <c r="F423" i="6"/>
  <c r="H423" i="6"/>
  <c r="I423" i="6"/>
  <c r="L423" i="6"/>
  <c r="N423" i="6"/>
  <c r="Q423" i="6"/>
  <c r="R423" i="6"/>
  <c r="S423" i="6"/>
  <c r="T423" i="6"/>
  <c r="C424" i="6"/>
  <c r="D424" i="6"/>
  <c r="E424" i="6"/>
  <c r="F424" i="6"/>
  <c r="H424" i="6"/>
  <c r="I424" i="6"/>
  <c r="L424" i="6"/>
  <c r="N424" i="6"/>
  <c r="Q424" i="6"/>
  <c r="R424" i="6"/>
  <c r="S424" i="6"/>
  <c r="T424" i="6"/>
  <c r="C425" i="6"/>
  <c r="D425" i="6"/>
  <c r="E425" i="6"/>
  <c r="F425" i="6"/>
  <c r="H425" i="6"/>
  <c r="I425" i="6"/>
  <c r="L425" i="6"/>
  <c r="N425" i="6"/>
  <c r="Q425" i="6"/>
  <c r="R425" i="6"/>
  <c r="S425" i="6"/>
  <c r="T425" i="6"/>
  <c r="C426" i="6"/>
  <c r="D426" i="6"/>
  <c r="E426" i="6"/>
  <c r="F426" i="6"/>
  <c r="H426" i="6"/>
  <c r="I426" i="6"/>
  <c r="L426" i="6"/>
  <c r="N426" i="6"/>
  <c r="Q426" i="6"/>
  <c r="R426" i="6"/>
  <c r="S426" i="6"/>
  <c r="T426" i="6"/>
  <c r="C427" i="6"/>
  <c r="D427" i="6"/>
  <c r="E427" i="6"/>
  <c r="F427" i="6"/>
  <c r="H427" i="6"/>
  <c r="I427" i="6"/>
  <c r="L427" i="6"/>
  <c r="N427" i="6"/>
  <c r="Q427" i="6"/>
  <c r="R427" i="6"/>
  <c r="S427" i="6"/>
  <c r="T427" i="6"/>
  <c r="C428" i="6"/>
  <c r="D428" i="6"/>
  <c r="E428" i="6"/>
  <c r="F428" i="6"/>
  <c r="H428" i="6"/>
  <c r="I428" i="6"/>
  <c r="L428" i="6"/>
  <c r="N428" i="6"/>
  <c r="Q428" i="6"/>
  <c r="R428" i="6"/>
  <c r="S428" i="6"/>
  <c r="T428" i="6"/>
  <c r="C429" i="6"/>
  <c r="D429" i="6"/>
  <c r="E429" i="6"/>
  <c r="F429" i="6"/>
  <c r="H429" i="6"/>
  <c r="I429" i="6"/>
  <c r="L429" i="6"/>
  <c r="N429" i="6"/>
  <c r="Q429" i="6"/>
  <c r="R429" i="6"/>
  <c r="S429" i="6"/>
  <c r="T429" i="6"/>
  <c r="C430" i="6"/>
  <c r="D430" i="6"/>
  <c r="E430" i="6"/>
  <c r="F430" i="6"/>
  <c r="H430" i="6"/>
  <c r="I430" i="6"/>
  <c r="L430" i="6"/>
  <c r="N430" i="6"/>
  <c r="Q430" i="6"/>
  <c r="R430" i="6"/>
  <c r="S430" i="6"/>
  <c r="T430" i="6"/>
  <c r="C431" i="6"/>
  <c r="D431" i="6"/>
  <c r="E431" i="6"/>
  <c r="F431" i="6"/>
  <c r="H431" i="6"/>
  <c r="I431" i="6"/>
  <c r="L431" i="6"/>
  <c r="N431" i="6"/>
  <c r="Q431" i="6"/>
  <c r="R431" i="6"/>
  <c r="S431" i="6"/>
  <c r="T431" i="6"/>
  <c r="C432" i="6"/>
  <c r="D432" i="6"/>
  <c r="E432" i="6"/>
  <c r="F432" i="6"/>
  <c r="H432" i="6"/>
  <c r="I432" i="6"/>
  <c r="L432" i="6"/>
  <c r="N432" i="6"/>
  <c r="Q432" i="6"/>
  <c r="R432" i="6"/>
  <c r="S432" i="6"/>
  <c r="T432" i="6"/>
  <c r="C433" i="6"/>
  <c r="D433" i="6"/>
  <c r="E433" i="6"/>
  <c r="F433" i="6"/>
  <c r="H433" i="6"/>
  <c r="I433" i="6"/>
  <c r="L433" i="6"/>
  <c r="N433" i="6"/>
  <c r="Q433" i="6"/>
  <c r="R433" i="6"/>
  <c r="S433" i="6"/>
  <c r="T433" i="6"/>
  <c r="C434" i="6"/>
  <c r="D434" i="6"/>
  <c r="E434" i="6"/>
  <c r="F434" i="6"/>
  <c r="H434" i="6"/>
  <c r="I434" i="6"/>
  <c r="L434" i="6"/>
  <c r="N434" i="6"/>
  <c r="Q434" i="6"/>
  <c r="R434" i="6"/>
  <c r="S434" i="6"/>
  <c r="T434" i="6"/>
  <c r="C435" i="6"/>
  <c r="D435" i="6"/>
  <c r="E435" i="6"/>
  <c r="F435" i="6"/>
  <c r="H435" i="6"/>
  <c r="I435" i="6"/>
  <c r="L435" i="6"/>
  <c r="N435" i="6"/>
  <c r="Q435" i="6"/>
  <c r="R435" i="6"/>
  <c r="S435" i="6"/>
  <c r="T435" i="6"/>
  <c r="C436" i="6"/>
  <c r="D436" i="6"/>
  <c r="E436" i="6"/>
  <c r="F436" i="6"/>
  <c r="H436" i="6"/>
  <c r="I436" i="6"/>
  <c r="L436" i="6"/>
  <c r="N436" i="6"/>
  <c r="Q436" i="6"/>
  <c r="R436" i="6"/>
  <c r="S436" i="6"/>
  <c r="T436" i="6"/>
  <c r="C437" i="6"/>
  <c r="D437" i="6"/>
  <c r="E437" i="6"/>
  <c r="F437" i="6"/>
  <c r="H437" i="6"/>
  <c r="I437" i="6"/>
  <c r="L437" i="6"/>
  <c r="N437" i="6"/>
  <c r="Q437" i="6"/>
  <c r="R437" i="6"/>
  <c r="S437" i="6"/>
  <c r="T437" i="6"/>
  <c r="C438" i="6"/>
  <c r="D438" i="6"/>
  <c r="E438" i="6"/>
  <c r="F438" i="6"/>
  <c r="H438" i="6"/>
  <c r="I438" i="6"/>
  <c r="L438" i="6"/>
  <c r="N438" i="6"/>
  <c r="Q438" i="6"/>
  <c r="R438" i="6"/>
  <c r="S438" i="6"/>
  <c r="T438" i="6"/>
  <c r="C439" i="6"/>
  <c r="D439" i="6"/>
  <c r="E439" i="6"/>
  <c r="F439" i="6"/>
  <c r="H439" i="6"/>
  <c r="I439" i="6"/>
  <c r="L439" i="6"/>
  <c r="N439" i="6"/>
  <c r="Q439" i="6"/>
  <c r="R439" i="6"/>
  <c r="S439" i="6"/>
  <c r="T439" i="6"/>
  <c r="C440" i="6"/>
  <c r="D440" i="6"/>
  <c r="E440" i="6"/>
  <c r="F440" i="6"/>
  <c r="H440" i="6"/>
  <c r="I440" i="6"/>
  <c r="L440" i="6"/>
  <c r="N440" i="6"/>
  <c r="Q440" i="6"/>
  <c r="R440" i="6"/>
  <c r="S440" i="6"/>
  <c r="T440" i="6"/>
  <c r="C441" i="6"/>
  <c r="D441" i="6"/>
  <c r="E441" i="6"/>
  <c r="F441" i="6"/>
  <c r="H441" i="6"/>
  <c r="I441" i="6"/>
  <c r="L441" i="6"/>
  <c r="N441" i="6"/>
  <c r="Q441" i="6"/>
  <c r="R441" i="6"/>
  <c r="S441" i="6"/>
  <c r="T441" i="6"/>
  <c r="C442" i="6"/>
  <c r="D442" i="6"/>
  <c r="E442" i="6"/>
  <c r="F442" i="6"/>
  <c r="H442" i="6"/>
  <c r="I442" i="6"/>
  <c r="L442" i="6"/>
  <c r="N442" i="6"/>
  <c r="Q442" i="6"/>
  <c r="R442" i="6"/>
  <c r="S442" i="6"/>
  <c r="T442" i="6"/>
  <c r="C443" i="6"/>
  <c r="D443" i="6"/>
  <c r="E443" i="6"/>
  <c r="F443" i="6"/>
  <c r="H443" i="6"/>
  <c r="I443" i="6"/>
  <c r="L443" i="6"/>
  <c r="N443" i="6"/>
  <c r="Q443" i="6"/>
  <c r="R443" i="6"/>
  <c r="S443" i="6"/>
  <c r="T443" i="6"/>
  <c r="C444" i="6"/>
  <c r="D444" i="6"/>
  <c r="E444" i="6"/>
  <c r="F444" i="6"/>
  <c r="H444" i="6"/>
  <c r="I444" i="6"/>
  <c r="L444" i="6"/>
  <c r="N444" i="6"/>
  <c r="Q444" i="6"/>
  <c r="R444" i="6"/>
  <c r="S444" i="6"/>
  <c r="T444" i="6"/>
  <c r="C445" i="6"/>
  <c r="D445" i="6"/>
  <c r="E445" i="6"/>
  <c r="F445" i="6"/>
  <c r="H445" i="6"/>
  <c r="I445" i="6"/>
  <c r="L445" i="6"/>
  <c r="N445" i="6"/>
  <c r="Q445" i="6"/>
  <c r="R445" i="6"/>
  <c r="S445" i="6"/>
  <c r="T445" i="6"/>
  <c r="C446" i="6"/>
  <c r="D446" i="6"/>
  <c r="E446" i="6"/>
  <c r="F446" i="6"/>
  <c r="H446" i="6"/>
  <c r="I446" i="6"/>
  <c r="L446" i="6"/>
  <c r="N446" i="6"/>
  <c r="Q446" i="6"/>
  <c r="R446" i="6"/>
  <c r="S446" i="6"/>
  <c r="T446" i="6"/>
  <c r="C447" i="6"/>
  <c r="D447" i="6"/>
  <c r="E447" i="6"/>
  <c r="F447" i="6"/>
  <c r="H447" i="6"/>
  <c r="I447" i="6"/>
  <c r="L447" i="6"/>
  <c r="N447" i="6"/>
  <c r="Q447" i="6"/>
  <c r="R447" i="6"/>
  <c r="S447" i="6"/>
  <c r="T447" i="6"/>
  <c r="C448" i="6"/>
  <c r="D448" i="6"/>
  <c r="E448" i="6"/>
  <c r="F448" i="6"/>
  <c r="H448" i="6"/>
  <c r="I448" i="6"/>
  <c r="L448" i="6"/>
  <c r="N448" i="6"/>
  <c r="Q448" i="6"/>
  <c r="R448" i="6"/>
  <c r="S448" i="6"/>
  <c r="T448" i="6"/>
  <c r="C449" i="6"/>
  <c r="D449" i="6"/>
  <c r="E449" i="6"/>
  <c r="F449" i="6"/>
  <c r="H449" i="6"/>
  <c r="I449" i="6"/>
  <c r="L449" i="6"/>
  <c r="N449" i="6"/>
  <c r="Q449" i="6"/>
  <c r="R449" i="6"/>
  <c r="S449" i="6"/>
  <c r="T449" i="6"/>
  <c r="C450" i="6"/>
  <c r="D450" i="6"/>
  <c r="E450" i="6"/>
  <c r="F450" i="6"/>
  <c r="H450" i="6"/>
  <c r="I450" i="6"/>
  <c r="L450" i="6"/>
  <c r="N450" i="6"/>
  <c r="Q450" i="6"/>
  <c r="R450" i="6"/>
  <c r="S450" i="6"/>
  <c r="T450" i="6"/>
  <c r="C451" i="6"/>
  <c r="D451" i="6"/>
  <c r="E451" i="6"/>
  <c r="F451" i="6"/>
  <c r="H451" i="6"/>
  <c r="I451" i="6"/>
  <c r="L451" i="6"/>
  <c r="N451" i="6"/>
  <c r="Q451" i="6"/>
  <c r="R451" i="6"/>
  <c r="S451" i="6"/>
  <c r="T451" i="6"/>
  <c r="C452" i="6"/>
  <c r="D452" i="6"/>
  <c r="E452" i="6"/>
  <c r="F452" i="6"/>
  <c r="H452" i="6"/>
  <c r="I452" i="6"/>
  <c r="L452" i="6"/>
  <c r="N452" i="6"/>
  <c r="Q452" i="6"/>
  <c r="R452" i="6"/>
  <c r="S452" i="6"/>
  <c r="T452" i="6"/>
  <c r="C453" i="6"/>
  <c r="D453" i="6"/>
  <c r="E453" i="6"/>
  <c r="F453" i="6"/>
  <c r="H453" i="6"/>
  <c r="I453" i="6"/>
  <c r="L453" i="6"/>
  <c r="N453" i="6"/>
  <c r="Q453" i="6"/>
  <c r="R453" i="6"/>
  <c r="S453" i="6"/>
  <c r="T453" i="6"/>
  <c r="C454" i="6"/>
  <c r="D454" i="6"/>
  <c r="E454" i="6"/>
  <c r="F454" i="6"/>
  <c r="H454" i="6"/>
  <c r="I454" i="6"/>
  <c r="L454" i="6"/>
  <c r="N454" i="6"/>
  <c r="Q454" i="6"/>
  <c r="R454" i="6"/>
  <c r="S454" i="6"/>
  <c r="T454" i="6"/>
  <c r="C455" i="6"/>
  <c r="D455" i="6"/>
  <c r="E455" i="6"/>
  <c r="F455" i="6"/>
  <c r="H455" i="6"/>
  <c r="I455" i="6"/>
  <c r="L455" i="6"/>
  <c r="N455" i="6"/>
  <c r="Q455" i="6"/>
  <c r="R455" i="6"/>
  <c r="S455" i="6"/>
  <c r="T455" i="6"/>
  <c r="C456" i="6"/>
  <c r="D456" i="6"/>
  <c r="E456" i="6"/>
  <c r="F456" i="6"/>
  <c r="H456" i="6"/>
  <c r="I456" i="6"/>
  <c r="L456" i="6"/>
  <c r="N456" i="6"/>
  <c r="Q456" i="6"/>
  <c r="R456" i="6"/>
  <c r="S456" i="6"/>
  <c r="T456" i="6"/>
  <c r="C457" i="6"/>
  <c r="D457" i="6"/>
  <c r="E457" i="6"/>
  <c r="F457" i="6"/>
  <c r="H457" i="6"/>
  <c r="I457" i="6"/>
  <c r="L457" i="6"/>
  <c r="N457" i="6"/>
  <c r="Q457" i="6"/>
  <c r="R457" i="6"/>
  <c r="S457" i="6"/>
  <c r="T457" i="6"/>
  <c r="C458" i="6"/>
  <c r="D458" i="6"/>
  <c r="E458" i="6"/>
  <c r="F458" i="6"/>
  <c r="H458" i="6"/>
  <c r="I458" i="6"/>
  <c r="L458" i="6"/>
  <c r="N458" i="6"/>
  <c r="Q458" i="6"/>
  <c r="R458" i="6"/>
  <c r="S458" i="6"/>
  <c r="T458" i="6"/>
  <c r="C459" i="6"/>
  <c r="D459" i="6"/>
  <c r="E459" i="6"/>
  <c r="F459" i="6"/>
  <c r="H459" i="6"/>
  <c r="I459" i="6"/>
  <c r="L459" i="6"/>
  <c r="N459" i="6"/>
  <c r="Q459" i="6"/>
  <c r="R459" i="6"/>
  <c r="S459" i="6"/>
  <c r="T459" i="6"/>
  <c r="C460" i="6"/>
  <c r="D460" i="6"/>
  <c r="E460" i="6"/>
  <c r="F460" i="6"/>
  <c r="H460" i="6"/>
  <c r="I460" i="6"/>
  <c r="L460" i="6"/>
  <c r="N460" i="6"/>
  <c r="Q460" i="6"/>
  <c r="R460" i="6"/>
  <c r="S460" i="6"/>
  <c r="T460" i="6"/>
  <c r="C461" i="6"/>
  <c r="D461" i="6"/>
  <c r="E461" i="6"/>
  <c r="F461" i="6"/>
  <c r="H461" i="6"/>
  <c r="I461" i="6"/>
  <c r="L461" i="6"/>
  <c r="N461" i="6"/>
  <c r="Q461" i="6"/>
  <c r="R461" i="6"/>
  <c r="S461" i="6"/>
  <c r="T461" i="6"/>
  <c r="C462" i="6"/>
  <c r="D462" i="6"/>
  <c r="E462" i="6"/>
  <c r="F462" i="6"/>
  <c r="H462" i="6"/>
  <c r="I462" i="6"/>
  <c r="L462" i="6"/>
  <c r="N462" i="6"/>
  <c r="Q462" i="6"/>
  <c r="R462" i="6"/>
  <c r="S462" i="6"/>
  <c r="T462" i="6"/>
  <c r="C463" i="6"/>
  <c r="D463" i="6"/>
  <c r="E463" i="6"/>
  <c r="F463" i="6"/>
  <c r="H463" i="6"/>
  <c r="I463" i="6"/>
  <c r="L463" i="6"/>
  <c r="N463" i="6"/>
  <c r="Q463" i="6"/>
  <c r="R463" i="6"/>
  <c r="S463" i="6"/>
  <c r="T463" i="6"/>
  <c r="C464" i="6"/>
  <c r="D464" i="6"/>
  <c r="E464" i="6"/>
  <c r="F464" i="6"/>
  <c r="H464" i="6"/>
  <c r="I464" i="6"/>
  <c r="L464" i="6"/>
  <c r="N464" i="6"/>
  <c r="Q464" i="6"/>
  <c r="R464" i="6"/>
  <c r="S464" i="6"/>
  <c r="T464" i="6"/>
  <c r="C465" i="6"/>
  <c r="D465" i="6"/>
  <c r="E465" i="6"/>
  <c r="F465" i="6"/>
  <c r="H465" i="6"/>
  <c r="I465" i="6"/>
  <c r="L465" i="6"/>
  <c r="N465" i="6"/>
  <c r="Q465" i="6"/>
  <c r="R465" i="6"/>
  <c r="S465" i="6"/>
  <c r="T465" i="6"/>
  <c r="C466" i="6"/>
  <c r="D466" i="6"/>
  <c r="E466" i="6"/>
  <c r="F466" i="6"/>
  <c r="H466" i="6"/>
  <c r="I466" i="6"/>
  <c r="L466" i="6"/>
  <c r="N466" i="6"/>
  <c r="Q466" i="6"/>
  <c r="R466" i="6"/>
  <c r="S466" i="6"/>
  <c r="T466" i="6"/>
  <c r="C467" i="6"/>
  <c r="D467" i="6"/>
  <c r="E467" i="6"/>
  <c r="F467" i="6"/>
  <c r="H467" i="6"/>
  <c r="I467" i="6"/>
  <c r="L467" i="6"/>
  <c r="N467" i="6"/>
  <c r="Q467" i="6"/>
  <c r="R467" i="6"/>
  <c r="S467" i="6"/>
  <c r="T467" i="6"/>
  <c r="C468" i="6"/>
  <c r="D468" i="6"/>
  <c r="E468" i="6"/>
  <c r="F468" i="6"/>
  <c r="H468" i="6"/>
  <c r="I468" i="6"/>
  <c r="L468" i="6"/>
  <c r="N468" i="6"/>
  <c r="Q468" i="6"/>
  <c r="R468" i="6"/>
  <c r="S468" i="6"/>
  <c r="T468" i="6"/>
  <c r="C469" i="6"/>
  <c r="D469" i="6"/>
  <c r="E469" i="6"/>
  <c r="F469" i="6"/>
  <c r="H469" i="6"/>
  <c r="I469" i="6"/>
  <c r="L469" i="6"/>
  <c r="N469" i="6"/>
  <c r="Q469" i="6"/>
  <c r="R469" i="6"/>
  <c r="S469" i="6"/>
  <c r="T469" i="6"/>
  <c r="C470" i="6"/>
  <c r="D470" i="6"/>
  <c r="E470" i="6"/>
  <c r="F470" i="6"/>
  <c r="H470" i="6"/>
  <c r="I470" i="6"/>
  <c r="L470" i="6"/>
  <c r="N470" i="6"/>
  <c r="Q470" i="6"/>
  <c r="R470" i="6"/>
  <c r="S470" i="6"/>
  <c r="T470" i="6"/>
  <c r="C471" i="6"/>
  <c r="D471" i="6"/>
  <c r="E471" i="6"/>
  <c r="F471" i="6"/>
  <c r="H471" i="6"/>
  <c r="I471" i="6"/>
  <c r="L471" i="6"/>
  <c r="N471" i="6"/>
  <c r="Q471" i="6"/>
  <c r="R471" i="6"/>
  <c r="S471" i="6"/>
  <c r="T471" i="6"/>
  <c r="C472" i="6"/>
  <c r="D472" i="6"/>
  <c r="E472" i="6"/>
  <c r="F472" i="6"/>
  <c r="H472" i="6"/>
  <c r="I472" i="6"/>
  <c r="L472" i="6"/>
  <c r="N472" i="6"/>
  <c r="Q472" i="6"/>
  <c r="R472" i="6"/>
  <c r="S472" i="6"/>
  <c r="T472" i="6"/>
  <c r="C473" i="6"/>
  <c r="D473" i="6"/>
  <c r="E473" i="6"/>
  <c r="F473" i="6"/>
  <c r="H473" i="6"/>
  <c r="I473" i="6"/>
  <c r="L473" i="6"/>
  <c r="N473" i="6"/>
  <c r="Q473" i="6"/>
  <c r="R473" i="6"/>
  <c r="S473" i="6"/>
  <c r="T473" i="6"/>
  <c r="C474" i="6"/>
  <c r="D474" i="6"/>
  <c r="E474" i="6"/>
  <c r="F474" i="6"/>
  <c r="H474" i="6"/>
  <c r="I474" i="6"/>
  <c r="L474" i="6"/>
  <c r="N474" i="6"/>
  <c r="Q474" i="6"/>
  <c r="R474" i="6"/>
  <c r="S474" i="6"/>
  <c r="T474" i="6"/>
  <c r="C475" i="6"/>
  <c r="D475" i="6"/>
  <c r="E475" i="6"/>
  <c r="F475" i="6"/>
  <c r="H475" i="6"/>
  <c r="I475" i="6"/>
  <c r="L475" i="6"/>
  <c r="N475" i="6"/>
  <c r="Q475" i="6"/>
  <c r="R475" i="6"/>
  <c r="S475" i="6"/>
  <c r="T475" i="6"/>
  <c r="C476" i="6"/>
  <c r="D476" i="6"/>
  <c r="E476" i="6"/>
  <c r="F476" i="6"/>
  <c r="H476" i="6"/>
  <c r="I476" i="6"/>
  <c r="L476" i="6"/>
  <c r="N476" i="6"/>
  <c r="Q476" i="6"/>
  <c r="R476" i="6"/>
  <c r="S476" i="6"/>
  <c r="T476" i="6"/>
  <c r="C477" i="6"/>
  <c r="D477" i="6"/>
  <c r="E477" i="6"/>
  <c r="F477" i="6"/>
  <c r="H477" i="6"/>
  <c r="I477" i="6"/>
  <c r="L477" i="6"/>
  <c r="N477" i="6"/>
  <c r="Q477" i="6"/>
  <c r="R477" i="6"/>
  <c r="S477" i="6"/>
  <c r="T477" i="6"/>
  <c r="C478" i="6"/>
  <c r="D478" i="6"/>
  <c r="E478" i="6"/>
  <c r="F478" i="6"/>
  <c r="H478" i="6"/>
  <c r="I478" i="6"/>
  <c r="L478" i="6"/>
  <c r="N478" i="6"/>
  <c r="Q478" i="6"/>
  <c r="R478" i="6"/>
  <c r="S478" i="6"/>
  <c r="T478" i="6"/>
  <c r="C479" i="6"/>
  <c r="D479" i="6"/>
  <c r="E479" i="6"/>
  <c r="F479" i="6"/>
  <c r="H479" i="6"/>
  <c r="I479" i="6"/>
  <c r="L479" i="6"/>
  <c r="N479" i="6"/>
  <c r="Q479" i="6"/>
  <c r="R479" i="6"/>
  <c r="S479" i="6"/>
  <c r="T479" i="6"/>
  <c r="C480" i="6"/>
  <c r="D480" i="6"/>
  <c r="E480" i="6"/>
  <c r="F480" i="6"/>
  <c r="H480" i="6"/>
  <c r="I480" i="6"/>
  <c r="L480" i="6"/>
  <c r="N480" i="6"/>
  <c r="Q480" i="6"/>
  <c r="R480" i="6"/>
  <c r="S480" i="6"/>
  <c r="T480" i="6"/>
  <c r="C481" i="6"/>
  <c r="D481" i="6"/>
  <c r="E481" i="6"/>
  <c r="F481" i="6"/>
  <c r="H481" i="6"/>
  <c r="I481" i="6"/>
  <c r="L481" i="6"/>
  <c r="N481" i="6"/>
  <c r="Q481" i="6"/>
  <c r="R481" i="6"/>
  <c r="S481" i="6"/>
  <c r="T481" i="6"/>
  <c r="C482" i="6"/>
  <c r="D482" i="6"/>
  <c r="E482" i="6"/>
  <c r="F482" i="6"/>
  <c r="H482" i="6"/>
  <c r="I482" i="6"/>
  <c r="L482" i="6"/>
  <c r="N482" i="6"/>
  <c r="Q482" i="6"/>
  <c r="R482" i="6"/>
  <c r="S482" i="6"/>
  <c r="T482" i="6"/>
  <c r="C483" i="6"/>
  <c r="D483" i="6"/>
  <c r="E483" i="6"/>
  <c r="F483" i="6"/>
  <c r="H483" i="6"/>
  <c r="I483" i="6"/>
  <c r="L483" i="6"/>
  <c r="N483" i="6"/>
  <c r="Q483" i="6"/>
  <c r="R483" i="6"/>
  <c r="S483" i="6"/>
  <c r="T483" i="6"/>
  <c r="C484" i="6"/>
  <c r="D484" i="6"/>
  <c r="E484" i="6"/>
  <c r="F484" i="6"/>
  <c r="H484" i="6"/>
  <c r="I484" i="6"/>
  <c r="L484" i="6"/>
  <c r="N484" i="6"/>
  <c r="Q484" i="6"/>
  <c r="R484" i="6"/>
  <c r="S484" i="6"/>
  <c r="T484" i="6"/>
  <c r="C485" i="6"/>
  <c r="D485" i="6"/>
  <c r="E485" i="6"/>
  <c r="F485" i="6"/>
  <c r="H485" i="6"/>
  <c r="I485" i="6"/>
  <c r="L485" i="6"/>
  <c r="N485" i="6"/>
  <c r="Q485" i="6"/>
  <c r="R485" i="6"/>
  <c r="S485" i="6"/>
  <c r="T485" i="6"/>
  <c r="C486" i="6"/>
  <c r="D486" i="6"/>
  <c r="E486" i="6"/>
  <c r="F486" i="6"/>
  <c r="H486" i="6"/>
  <c r="I486" i="6"/>
  <c r="L486" i="6"/>
  <c r="N486" i="6"/>
  <c r="Q486" i="6"/>
  <c r="R486" i="6"/>
  <c r="S486" i="6"/>
  <c r="T486" i="6"/>
  <c r="C487" i="6"/>
  <c r="D487" i="6"/>
  <c r="E487" i="6"/>
  <c r="F487" i="6"/>
  <c r="H487" i="6"/>
  <c r="I487" i="6"/>
  <c r="L487" i="6"/>
  <c r="N487" i="6"/>
  <c r="Q487" i="6"/>
  <c r="R487" i="6"/>
  <c r="S487" i="6"/>
  <c r="T487" i="6"/>
  <c r="C488" i="6"/>
  <c r="D488" i="6"/>
  <c r="E488" i="6"/>
  <c r="F488" i="6"/>
  <c r="H488" i="6"/>
  <c r="I488" i="6"/>
  <c r="L488" i="6"/>
  <c r="N488" i="6"/>
  <c r="Q488" i="6"/>
  <c r="R488" i="6"/>
  <c r="S488" i="6"/>
  <c r="T488" i="6"/>
  <c r="C489" i="6"/>
  <c r="D489" i="6"/>
  <c r="E489" i="6"/>
  <c r="F489" i="6"/>
  <c r="H489" i="6"/>
  <c r="I489" i="6"/>
  <c r="L489" i="6"/>
  <c r="N489" i="6"/>
  <c r="Q489" i="6"/>
  <c r="R489" i="6"/>
  <c r="S489" i="6"/>
  <c r="T489" i="6"/>
  <c r="C490" i="6"/>
  <c r="D490" i="6"/>
  <c r="E490" i="6"/>
  <c r="F490" i="6"/>
  <c r="H490" i="6"/>
  <c r="I490" i="6"/>
  <c r="L490" i="6"/>
  <c r="N490" i="6"/>
  <c r="Q490" i="6"/>
  <c r="R490" i="6"/>
  <c r="S490" i="6"/>
  <c r="T490" i="6"/>
  <c r="C491" i="6"/>
  <c r="D491" i="6"/>
  <c r="E491" i="6"/>
  <c r="F491" i="6"/>
  <c r="H491" i="6"/>
  <c r="I491" i="6"/>
  <c r="L491" i="6"/>
  <c r="N491" i="6"/>
  <c r="Q491" i="6"/>
  <c r="R491" i="6"/>
  <c r="S491" i="6"/>
  <c r="T491" i="6"/>
  <c r="C492" i="6"/>
  <c r="D492" i="6"/>
  <c r="E492" i="6"/>
  <c r="F492" i="6"/>
  <c r="H492" i="6"/>
  <c r="I492" i="6"/>
  <c r="L492" i="6"/>
  <c r="N492" i="6"/>
  <c r="Q492" i="6"/>
  <c r="R492" i="6"/>
  <c r="S492" i="6"/>
  <c r="T492" i="6"/>
  <c r="C493" i="6"/>
  <c r="D493" i="6"/>
  <c r="E493" i="6"/>
  <c r="F493" i="6"/>
  <c r="H493" i="6"/>
  <c r="I493" i="6"/>
  <c r="L493" i="6"/>
  <c r="N493" i="6"/>
  <c r="Q493" i="6"/>
  <c r="R493" i="6"/>
  <c r="S493" i="6"/>
  <c r="T493" i="6"/>
  <c r="C494" i="6"/>
  <c r="D494" i="6"/>
  <c r="E494" i="6"/>
  <c r="F494" i="6"/>
  <c r="H494" i="6"/>
  <c r="I494" i="6"/>
  <c r="L494" i="6"/>
  <c r="N494" i="6"/>
  <c r="Q494" i="6"/>
  <c r="R494" i="6"/>
  <c r="S494" i="6"/>
  <c r="T494" i="6"/>
  <c r="C495" i="6"/>
  <c r="D495" i="6"/>
  <c r="E495" i="6"/>
  <c r="F495" i="6"/>
  <c r="H495" i="6"/>
  <c r="I495" i="6"/>
  <c r="L495" i="6"/>
  <c r="N495" i="6"/>
  <c r="Q495" i="6"/>
  <c r="R495" i="6"/>
  <c r="S495" i="6"/>
  <c r="T495" i="6"/>
  <c r="C496" i="6"/>
  <c r="D496" i="6"/>
  <c r="E496" i="6"/>
  <c r="F496" i="6"/>
  <c r="H496" i="6"/>
  <c r="I496" i="6"/>
  <c r="L496" i="6"/>
  <c r="N496" i="6"/>
  <c r="Q496" i="6"/>
  <c r="R496" i="6"/>
  <c r="S496" i="6"/>
  <c r="T496" i="6"/>
  <c r="C497" i="6"/>
  <c r="D497" i="6"/>
  <c r="E497" i="6"/>
  <c r="F497" i="6"/>
  <c r="H497" i="6"/>
  <c r="I497" i="6"/>
  <c r="L497" i="6"/>
  <c r="N497" i="6"/>
  <c r="Q497" i="6"/>
  <c r="R497" i="6"/>
  <c r="S497" i="6"/>
  <c r="T497" i="6"/>
  <c r="C498" i="6"/>
  <c r="D498" i="6"/>
  <c r="E498" i="6"/>
  <c r="F498" i="6"/>
  <c r="H498" i="6"/>
  <c r="I498" i="6"/>
  <c r="L498" i="6"/>
  <c r="N498" i="6"/>
  <c r="Q498" i="6"/>
  <c r="R498" i="6"/>
  <c r="S498" i="6"/>
  <c r="T498" i="6"/>
  <c r="C499" i="6"/>
  <c r="D499" i="6"/>
  <c r="E499" i="6"/>
  <c r="F499" i="6"/>
  <c r="H499" i="6"/>
  <c r="I499" i="6"/>
  <c r="L499" i="6"/>
  <c r="N499" i="6"/>
  <c r="Q499" i="6"/>
  <c r="R499" i="6"/>
  <c r="S499" i="6"/>
  <c r="T499" i="6"/>
  <c r="C500" i="6"/>
  <c r="D500" i="6"/>
  <c r="E500" i="6"/>
  <c r="F500" i="6"/>
  <c r="H500" i="6"/>
  <c r="I500" i="6"/>
  <c r="L500" i="6"/>
  <c r="N500" i="6"/>
  <c r="Q500" i="6"/>
  <c r="R500" i="6"/>
  <c r="S500" i="6"/>
  <c r="T500" i="6"/>
  <c r="C501" i="6"/>
  <c r="D501" i="6"/>
  <c r="E501" i="6"/>
  <c r="F501" i="6"/>
  <c r="H501" i="6"/>
  <c r="I501" i="6"/>
  <c r="L501" i="6"/>
  <c r="N501" i="6"/>
  <c r="Q501" i="6"/>
  <c r="R501" i="6"/>
  <c r="S501" i="6"/>
  <c r="T501" i="6"/>
  <c r="C502" i="6"/>
  <c r="D502" i="6"/>
  <c r="E502" i="6"/>
  <c r="F502" i="6"/>
  <c r="H502" i="6"/>
  <c r="I502" i="6"/>
  <c r="L502" i="6"/>
  <c r="N502" i="6"/>
  <c r="Q502" i="6"/>
  <c r="R502" i="6"/>
  <c r="S502" i="6"/>
  <c r="T502" i="6"/>
  <c r="C503" i="6"/>
  <c r="D503" i="6"/>
  <c r="E503" i="6"/>
  <c r="F503" i="6"/>
  <c r="H503" i="6"/>
  <c r="I503" i="6"/>
  <c r="L503" i="6"/>
  <c r="N503" i="6"/>
  <c r="Q503" i="6"/>
  <c r="R503" i="6"/>
  <c r="S503" i="6"/>
  <c r="T503" i="6"/>
  <c r="C504" i="6"/>
  <c r="D504" i="6"/>
  <c r="E504" i="6"/>
  <c r="F504" i="6"/>
  <c r="H504" i="6"/>
  <c r="I504" i="6"/>
  <c r="L504" i="6"/>
  <c r="N504" i="6"/>
  <c r="Q504" i="6"/>
  <c r="R504" i="6"/>
  <c r="S504" i="6"/>
  <c r="T504" i="6"/>
  <c r="C505" i="6"/>
  <c r="D505" i="6"/>
  <c r="E505" i="6"/>
  <c r="F505" i="6"/>
  <c r="H505" i="6"/>
  <c r="I505" i="6"/>
  <c r="L505" i="6"/>
  <c r="N505" i="6"/>
  <c r="Q505" i="6"/>
  <c r="R505" i="6"/>
  <c r="S505" i="6"/>
  <c r="T505" i="6"/>
  <c r="C506" i="6"/>
  <c r="D506" i="6"/>
  <c r="E506" i="6"/>
  <c r="F506" i="6"/>
  <c r="H506" i="6"/>
  <c r="I506" i="6"/>
  <c r="L506" i="6"/>
  <c r="N506" i="6"/>
  <c r="Q506" i="6"/>
  <c r="R506" i="6"/>
  <c r="S506" i="6"/>
  <c r="T506" i="6"/>
  <c r="C507" i="6"/>
  <c r="D507" i="6"/>
  <c r="E507" i="6"/>
  <c r="F507" i="6"/>
  <c r="H507" i="6"/>
  <c r="I507" i="6"/>
  <c r="L507" i="6"/>
  <c r="N507" i="6"/>
  <c r="Q507" i="6"/>
  <c r="R507" i="6"/>
  <c r="S507" i="6"/>
  <c r="T507" i="6"/>
  <c r="C508" i="6"/>
  <c r="D508" i="6"/>
  <c r="E508" i="6"/>
  <c r="F508" i="6"/>
  <c r="H508" i="6"/>
  <c r="I508" i="6"/>
  <c r="L508" i="6"/>
  <c r="N508" i="6"/>
  <c r="Q508" i="6"/>
  <c r="R508" i="6"/>
  <c r="S508" i="6"/>
  <c r="T508" i="6"/>
  <c r="C509" i="6"/>
  <c r="D509" i="6"/>
  <c r="E509" i="6"/>
  <c r="F509" i="6"/>
  <c r="H509" i="6"/>
  <c r="I509" i="6"/>
  <c r="L509" i="6"/>
  <c r="N509" i="6"/>
  <c r="Q509" i="6"/>
  <c r="R509" i="6"/>
  <c r="S509" i="6"/>
  <c r="T509" i="6"/>
  <c r="C510" i="6"/>
  <c r="D510" i="6"/>
  <c r="E510" i="6"/>
  <c r="F510" i="6"/>
  <c r="H510" i="6"/>
  <c r="I510" i="6"/>
  <c r="L510" i="6"/>
  <c r="N510" i="6"/>
  <c r="Q510" i="6"/>
  <c r="R510" i="6"/>
  <c r="S510" i="6"/>
  <c r="T510" i="6"/>
  <c r="C511" i="6"/>
  <c r="D511" i="6"/>
  <c r="E511" i="6"/>
  <c r="F511" i="6"/>
  <c r="H511" i="6"/>
  <c r="I511" i="6"/>
  <c r="L511" i="6"/>
  <c r="N511" i="6"/>
  <c r="Q511" i="6"/>
  <c r="R511" i="6"/>
  <c r="S511" i="6"/>
  <c r="T511" i="6"/>
  <c r="C512" i="6"/>
  <c r="D512" i="6"/>
  <c r="E512" i="6"/>
  <c r="F512" i="6"/>
  <c r="H512" i="6"/>
  <c r="I512" i="6"/>
  <c r="L512" i="6"/>
  <c r="N512" i="6"/>
  <c r="Q512" i="6"/>
  <c r="R512" i="6"/>
  <c r="S512" i="6"/>
  <c r="T512" i="6"/>
  <c r="C513" i="6"/>
  <c r="D513" i="6"/>
  <c r="E513" i="6"/>
  <c r="F513" i="6"/>
  <c r="H513" i="6"/>
  <c r="I513" i="6"/>
  <c r="L513" i="6"/>
  <c r="N513" i="6"/>
  <c r="Q513" i="6"/>
  <c r="R513" i="6"/>
  <c r="S513" i="6"/>
  <c r="T513" i="6"/>
  <c r="C514" i="6"/>
  <c r="D514" i="6"/>
  <c r="E514" i="6"/>
  <c r="F514" i="6"/>
  <c r="H514" i="6"/>
  <c r="I514" i="6"/>
  <c r="L514" i="6"/>
  <c r="N514" i="6"/>
  <c r="Q514" i="6"/>
  <c r="R514" i="6"/>
  <c r="S514" i="6"/>
  <c r="T514" i="6"/>
  <c r="C515" i="6"/>
  <c r="D515" i="6"/>
  <c r="E515" i="6"/>
  <c r="F515" i="6"/>
  <c r="H515" i="6"/>
  <c r="I515" i="6"/>
  <c r="L515" i="6"/>
  <c r="N515" i="6"/>
  <c r="Q515" i="6"/>
  <c r="R515" i="6"/>
  <c r="S515" i="6"/>
  <c r="T515" i="6"/>
  <c r="C516" i="6"/>
  <c r="D516" i="6"/>
  <c r="E516" i="6"/>
  <c r="F516" i="6"/>
  <c r="H516" i="6"/>
  <c r="I516" i="6"/>
  <c r="L516" i="6"/>
  <c r="N516" i="6"/>
  <c r="Q516" i="6"/>
  <c r="R516" i="6"/>
  <c r="S516" i="6"/>
  <c r="T516" i="6"/>
  <c r="C517" i="6"/>
  <c r="D517" i="6"/>
  <c r="E517" i="6"/>
  <c r="F517" i="6"/>
  <c r="H517" i="6"/>
  <c r="I517" i="6"/>
  <c r="L517" i="6"/>
  <c r="N517" i="6"/>
  <c r="Q517" i="6"/>
  <c r="R517" i="6"/>
  <c r="S517" i="6"/>
  <c r="T517" i="6"/>
  <c r="C518" i="6"/>
  <c r="D518" i="6"/>
  <c r="E518" i="6"/>
  <c r="F518" i="6"/>
  <c r="H518" i="6"/>
  <c r="I518" i="6"/>
  <c r="L518" i="6"/>
  <c r="N518" i="6"/>
  <c r="Q518" i="6"/>
  <c r="R518" i="6"/>
  <c r="S518" i="6"/>
  <c r="T518" i="6"/>
  <c r="C519" i="6"/>
  <c r="D519" i="6"/>
  <c r="E519" i="6"/>
  <c r="F519" i="6"/>
  <c r="H519" i="6"/>
  <c r="I519" i="6"/>
  <c r="L519" i="6"/>
  <c r="N519" i="6"/>
  <c r="Q519" i="6"/>
  <c r="R519" i="6"/>
  <c r="S519" i="6"/>
  <c r="T519" i="6"/>
  <c r="C520" i="6"/>
  <c r="D520" i="6"/>
  <c r="E520" i="6"/>
  <c r="F520" i="6"/>
  <c r="H520" i="6"/>
  <c r="I520" i="6"/>
  <c r="L520" i="6"/>
  <c r="N520" i="6"/>
  <c r="Q520" i="6"/>
  <c r="R520" i="6"/>
  <c r="S520" i="6"/>
  <c r="T520" i="6"/>
  <c r="C521" i="6"/>
  <c r="D521" i="6"/>
  <c r="E521" i="6"/>
  <c r="F521" i="6"/>
  <c r="H521" i="6"/>
  <c r="I521" i="6"/>
  <c r="L521" i="6"/>
  <c r="N521" i="6"/>
  <c r="Q521" i="6"/>
  <c r="R521" i="6"/>
  <c r="S521" i="6"/>
  <c r="T521" i="6"/>
  <c r="C522" i="6"/>
  <c r="D522" i="6"/>
  <c r="E522" i="6"/>
  <c r="F522" i="6"/>
  <c r="H522" i="6"/>
  <c r="I522" i="6"/>
  <c r="L522" i="6"/>
  <c r="N522" i="6"/>
  <c r="Q522" i="6"/>
  <c r="R522" i="6"/>
  <c r="S522" i="6"/>
  <c r="T522" i="6"/>
  <c r="C523" i="6"/>
  <c r="D523" i="6"/>
  <c r="E523" i="6"/>
  <c r="F523" i="6"/>
  <c r="H523" i="6"/>
  <c r="I523" i="6"/>
  <c r="L523" i="6"/>
  <c r="N523" i="6"/>
  <c r="Q523" i="6"/>
  <c r="R523" i="6"/>
  <c r="S523" i="6"/>
  <c r="T523" i="6"/>
  <c r="C524" i="6"/>
  <c r="D524" i="6"/>
  <c r="E524" i="6"/>
  <c r="F524" i="6"/>
  <c r="H524" i="6"/>
  <c r="I524" i="6"/>
  <c r="L524" i="6"/>
  <c r="N524" i="6"/>
  <c r="Q524" i="6"/>
  <c r="R524" i="6"/>
  <c r="S524" i="6"/>
  <c r="T524" i="6"/>
  <c r="C525" i="6"/>
  <c r="D525" i="6"/>
  <c r="E525" i="6"/>
  <c r="F525" i="6"/>
  <c r="H525" i="6"/>
  <c r="I525" i="6"/>
  <c r="L525" i="6"/>
  <c r="N525" i="6"/>
  <c r="Q525" i="6"/>
  <c r="R525" i="6"/>
  <c r="S525" i="6"/>
  <c r="T525" i="6"/>
  <c r="C526" i="6"/>
  <c r="D526" i="6"/>
  <c r="E526" i="6"/>
  <c r="F526" i="6"/>
  <c r="H526" i="6"/>
  <c r="I526" i="6"/>
  <c r="L526" i="6"/>
  <c r="N526" i="6"/>
  <c r="Q526" i="6"/>
  <c r="R526" i="6"/>
  <c r="S526" i="6"/>
  <c r="T526" i="6"/>
  <c r="C527" i="6"/>
  <c r="D527" i="6"/>
  <c r="E527" i="6"/>
  <c r="F527" i="6"/>
  <c r="H527" i="6"/>
  <c r="I527" i="6"/>
  <c r="L527" i="6"/>
  <c r="N527" i="6"/>
  <c r="Q527" i="6"/>
  <c r="R527" i="6"/>
  <c r="S527" i="6"/>
  <c r="T527" i="6"/>
  <c r="C528" i="6"/>
  <c r="D528" i="6"/>
  <c r="E528" i="6"/>
  <c r="F528" i="6"/>
  <c r="H528" i="6"/>
  <c r="I528" i="6"/>
  <c r="L528" i="6"/>
  <c r="N528" i="6"/>
  <c r="Q528" i="6"/>
  <c r="R528" i="6"/>
  <c r="S528" i="6"/>
  <c r="T528" i="6"/>
  <c r="C529" i="6"/>
  <c r="D529" i="6"/>
  <c r="E529" i="6"/>
  <c r="F529" i="6"/>
  <c r="H529" i="6"/>
  <c r="I529" i="6"/>
  <c r="L529" i="6"/>
  <c r="N529" i="6"/>
  <c r="Q529" i="6"/>
  <c r="R529" i="6"/>
  <c r="S529" i="6"/>
  <c r="T529" i="6"/>
  <c r="C530" i="6"/>
  <c r="D530" i="6"/>
  <c r="E530" i="6"/>
  <c r="F530" i="6"/>
  <c r="H530" i="6"/>
  <c r="I530" i="6"/>
  <c r="L530" i="6"/>
  <c r="N530" i="6"/>
  <c r="Q530" i="6"/>
  <c r="R530" i="6"/>
  <c r="S530" i="6"/>
  <c r="T530" i="6"/>
  <c r="C531" i="6"/>
  <c r="D531" i="6"/>
  <c r="E531" i="6"/>
  <c r="F531" i="6"/>
  <c r="H531" i="6"/>
  <c r="I531" i="6"/>
  <c r="L531" i="6"/>
  <c r="N531" i="6"/>
  <c r="Q531" i="6"/>
  <c r="R531" i="6"/>
  <c r="S531" i="6"/>
  <c r="T531" i="6"/>
  <c r="C532" i="6"/>
  <c r="D532" i="6"/>
  <c r="E532" i="6"/>
  <c r="F532" i="6"/>
  <c r="H532" i="6"/>
  <c r="I532" i="6"/>
  <c r="L532" i="6"/>
  <c r="N532" i="6"/>
  <c r="Q532" i="6"/>
  <c r="R532" i="6"/>
  <c r="S532" i="6"/>
  <c r="T532" i="6"/>
  <c r="C533" i="6"/>
  <c r="D533" i="6"/>
  <c r="E533" i="6"/>
  <c r="F533" i="6"/>
  <c r="H533" i="6"/>
  <c r="I533" i="6"/>
  <c r="L533" i="6"/>
  <c r="N533" i="6"/>
  <c r="Q533" i="6"/>
  <c r="R533" i="6"/>
  <c r="S533" i="6"/>
  <c r="T533" i="6"/>
  <c r="C534" i="6"/>
  <c r="D534" i="6"/>
  <c r="E534" i="6"/>
  <c r="F534" i="6"/>
  <c r="H534" i="6"/>
  <c r="I534" i="6"/>
  <c r="L534" i="6"/>
  <c r="N534" i="6"/>
  <c r="Q534" i="6"/>
  <c r="R534" i="6"/>
  <c r="S534" i="6"/>
  <c r="T534" i="6"/>
  <c r="C535" i="6"/>
  <c r="D535" i="6"/>
  <c r="E535" i="6"/>
  <c r="F535" i="6"/>
  <c r="H535" i="6"/>
  <c r="I535" i="6"/>
  <c r="L535" i="6"/>
  <c r="N535" i="6"/>
  <c r="Q535" i="6"/>
  <c r="R535" i="6"/>
  <c r="S535" i="6"/>
  <c r="T535" i="6"/>
  <c r="C536" i="6"/>
  <c r="D536" i="6"/>
  <c r="E536" i="6"/>
  <c r="F536" i="6"/>
  <c r="H536" i="6"/>
  <c r="I536" i="6"/>
  <c r="L536" i="6"/>
  <c r="N536" i="6"/>
  <c r="Q536" i="6"/>
  <c r="R536" i="6"/>
  <c r="S536" i="6"/>
  <c r="T536" i="6"/>
  <c r="C537" i="6"/>
  <c r="D537" i="6"/>
  <c r="E537" i="6"/>
  <c r="F537" i="6"/>
  <c r="H537" i="6"/>
  <c r="I537" i="6"/>
  <c r="L537" i="6"/>
  <c r="N537" i="6"/>
  <c r="Q537" i="6"/>
  <c r="R537" i="6"/>
  <c r="S537" i="6"/>
  <c r="T537" i="6"/>
  <c r="C538" i="6"/>
  <c r="D538" i="6"/>
  <c r="E538" i="6"/>
  <c r="F538" i="6"/>
  <c r="H538" i="6"/>
  <c r="I538" i="6"/>
  <c r="L538" i="6"/>
  <c r="N538" i="6"/>
  <c r="Q538" i="6"/>
  <c r="R538" i="6"/>
  <c r="S538" i="6"/>
  <c r="T538" i="6"/>
  <c r="C539" i="6"/>
  <c r="D539" i="6"/>
  <c r="E539" i="6"/>
  <c r="F539" i="6"/>
  <c r="H539" i="6"/>
  <c r="I539" i="6"/>
  <c r="L539" i="6"/>
  <c r="N539" i="6"/>
  <c r="Q539" i="6"/>
  <c r="R539" i="6"/>
  <c r="S539" i="6"/>
  <c r="T539" i="6"/>
  <c r="C540" i="6"/>
  <c r="D540" i="6"/>
  <c r="E540" i="6"/>
  <c r="F540" i="6"/>
  <c r="H540" i="6"/>
  <c r="I540" i="6"/>
  <c r="L540" i="6"/>
  <c r="N540" i="6"/>
  <c r="Q540" i="6"/>
  <c r="R540" i="6"/>
  <c r="S540" i="6"/>
  <c r="T540" i="6"/>
  <c r="C541" i="6"/>
  <c r="D541" i="6"/>
  <c r="E541" i="6"/>
  <c r="F541" i="6"/>
  <c r="H541" i="6"/>
  <c r="I541" i="6"/>
  <c r="L541" i="6"/>
  <c r="N541" i="6"/>
  <c r="Q541" i="6"/>
  <c r="R541" i="6"/>
  <c r="S541" i="6"/>
  <c r="T541" i="6"/>
  <c r="C542" i="6"/>
  <c r="D542" i="6"/>
  <c r="E542" i="6"/>
  <c r="F542" i="6"/>
  <c r="H542" i="6"/>
  <c r="I542" i="6"/>
  <c r="L542" i="6"/>
  <c r="N542" i="6"/>
  <c r="Q542" i="6"/>
  <c r="R542" i="6"/>
  <c r="S542" i="6"/>
  <c r="T542" i="6"/>
  <c r="C543" i="6"/>
  <c r="D543" i="6"/>
  <c r="E543" i="6"/>
  <c r="F543" i="6"/>
  <c r="H543" i="6"/>
  <c r="I543" i="6"/>
  <c r="L543" i="6"/>
  <c r="N543" i="6"/>
  <c r="Q543" i="6"/>
  <c r="R543" i="6"/>
  <c r="S543" i="6"/>
  <c r="T543" i="6"/>
  <c r="C544" i="6"/>
  <c r="D544" i="6"/>
  <c r="E544" i="6"/>
  <c r="F544" i="6"/>
  <c r="H544" i="6"/>
  <c r="I544" i="6"/>
  <c r="L544" i="6"/>
  <c r="N544" i="6"/>
  <c r="Q544" i="6"/>
  <c r="R544" i="6"/>
  <c r="S544" i="6"/>
  <c r="T544" i="6"/>
  <c r="C545" i="6"/>
  <c r="D545" i="6"/>
  <c r="E545" i="6"/>
  <c r="F545" i="6"/>
  <c r="H545" i="6"/>
  <c r="I545" i="6"/>
  <c r="L545" i="6"/>
  <c r="N545" i="6"/>
  <c r="Q545" i="6"/>
  <c r="R545" i="6"/>
  <c r="S545" i="6"/>
  <c r="T545" i="6"/>
  <c r="C546" i="6"/>
  <c r="D546" i="6"/>
  <c r="E546" i="6"/>
  <c r="F546" i="6"/>
  <c r="H546" i="6"/>
  <c r="I546" i="6"/>
  <c r="L546" i="6"/>
  <c r="N546" i="6"/>
  <c r="Q546" i="6"/>
  <c r="R546" i="6"/>
  <c r="S546" i="6"/>
  <c r="T546" i="6"/>
  <c r="C547" i="6"/>
  <c r="D547" i="6"/>
  <c r="E547" i="6"/>
  <c r="F547" i="6"/>
  <c r="H547" i="6"/>
  <c r="I547" i="6"/>
  <c r="L547" i="6"/>
  <c r="N547" i="6"/>
  <c r="Q547" i="6"/>
  <c r="R547" i="6"/>
  <c r="S547" i="6"/>
  <c r="T547" i="6"/>
  <c r="C548" i="6"/>
  <c r="D548" i="6"/>
  <c r="E548" i="6"/>
  <c r="F548" i="6"/>
  <c r="H548" i="6"/>
  <c r="I548" i="6"/>
  <c r="L548" i="6"/>
  <c r="N548" i="6"/>
  <c r="Q548" i="6"/>
  <c r="R548" i="6"/>
  <c r="S548" i="6"/>
  <c r="T548" i="6"/>
  <c r="C549" i="6"/>
  <c r="D549" i="6"/>
  <c r="E549" i="6"/>
  <c r="F549" i="6"/>
  <c r="H549" i="6"/>
  <c r="I549" i="6"/>
  <c r="L549" i="6"/>
  <c r="N549" i="6"/>
  <c r="Q549" i="6"/>
  <c r="R549" i="6"/>
  <c r="S549" i="6"/>
  <c r="T549" i="6"/>
  <c r="C550" i="6"/>
  <c r="D550" i="6"/>
  <c r="E550" i="6"/>
  <c r="F550" i="6"/>
  <c r="H550" i="6"/>
  <c r="I550" i="6"/>
  <c r="L550" i="6"/>
  <c r="N550" i="6"/>
  <c r="Q550" i="6"/>
  <c r="R550" i="6"/>
  <c r="S550" i="6"/>
  <c r="T550" i="6"/>
  <c r="C551" i="6"/>
  <c r="D551" i="6"/>
  <c r="E551" i="6"/>
  <c r="F551" i="6"/>
  <c r="H551" i="6"/>
  <c r="I551" i="6"/>
  <c r="L551" i="6"/>
  <c r="N551" i="6"/>
  <c r="Q551" i="6"/>
  <c r="R551" i="6"/>
  <c r="S551" i="6"/>
  <c r="T551" i="6"/>
  <c r="C552" i="6"/>
  <c r="D552" i="6"/>
  <c r="E552" i="6"/>
  <c r="F552" i="6"/>
  <c r="H552" i="6"/>
  <c r="I552" i="6"/>
  <c r="L552" i="6"/>
  <c r="N552" i="6"/>
  <c r="Q552" i="6"/>
  <c r="R552" i="6"/>
  <c r="S552" i="6"/>
  <c r="T552" i="6"/>
  <c r="C553" i="6"/>
  <c r="D553" i="6"/>
  <c r="E553" i="6"/>
  <c r="F553" i="6"/>
  <c r="H553" i="6"/>
  <c r="I553" i="6"/>
  <c r="L553" i="6"/>
  <c r="N553" i="6"/>
  <c r="Q553" i="6"/>
  <c r="R553" i="6"/>
  <c r="S553" i="6"/>
  <c r="T553" i="6"/>
  <c r="C554" i="6"/>
  <c r="D554" i="6"/>
  <c r="E554" i="6"/>
  <c r="F554" i="6"/>
  <c r="H554" i="6"/>
  <c r="I554" i="6"/>
  <c r="L554" i="6"/>
  <c r="N554" i="6"/>
  <c r="Q554" i="6"/>
  <c r="R554" i="6"/>
  <c r="S554" i="6"/>
  <c r="T554" i="6"/>
  <c r="C555" i="6"/>
  <c r="D555" i="6"/>
  <c r="E555" i="6"/>
  <c r="F555" i="6"/>
  <c r="H555" i="6"/>
  <c r="I555" i="6"/>
  <c r="L555" i="6"/>
  <c r="N555" i="6"/>
  <c r="Q555" i="6"/>
  <c r="R555" i="6"/>
  <c r="S555" i="6"/>
  <c r="T555" i="6"/>
  <c r="C556" i="6"/>
  <c r="D556" i="6"/>
  <c r="E556" i="6"/>
  <c r="F556" i="6"/>
  <c r="H556" i="6"/>
  <c r="I556" i="6"/>
  <c r="L556" i="6"/>
  <c r="N556" i="6"/>
  <c r="Q556" i="6"/>
  <c r="R556" i="6"/>
  <c r="S556" i="6"/>
  <c r="T556" i="6"/>
  <c r="C557" i="6"/>
  <c r="D557" i="6"/>
  <c r="E557" i="6"/>
  <c r="F557" i="6"/>
  <c r="H557" i="6"/>
  <c r="I557" i="6"/>
  <c r="L557" i="6"/>
  <c r="N557" i="6"/>
  <c r="Q557" i="6"/>
  <c r="R557" i="6"/>
  <c r="S557" i="6"/>
  <c r="T557" i="6"/>
  <c r="C558" i="6"/>
  <c r="D558" i="6"/>
  <c r="E558" i="6"/>
  <c r="F558" i="6"/>
  <c r="H558" i="6"/>
  <c r="I558" i="6"/>
  <c r="L558" i="6"/>
  <c r="N558" i="6"/>
  <c r="Q558" i="6"/>
  <c r="R558" i="6"/>
  <c r="S558" i="6"/>
  <c r="T558" i="6"/>
  <c r="C559" i="6"/>
  <c r="D559" i="6"/>
  <c r="E559" i="6"/>
  <c r="F559" i="6"/>
  <c r="H559" i="6"/>
  <c r="I559" i="6"/>
  <c r="L559" i="6"/>
  <c r="N559" i="6"/>
  <c r="Q559" i="6"/>
  <c r="R559" i="6"/>
  <c r="S559" i="6"/>
  <c r="T559" i="6"/>
  <c r="C560" i="6"/>
  <c r="D560" i="6"/>
  <c r="E560" i="6"/>
  <c r="F560" i="6"/>
  <c r="H560" i="6"/>
  <c r="I560" i="6"/>
  <c r="L560" i="6"/>
  <c r="N560" i="6"/>
  <c r="Q560" i="6"/>
  <c r="R560" i="6"/>
  <c r="S560" i="6"/>
  <c r="T560" i="6"/>
  <c r="C561" i="6"/>
  <c r="D561" i="6"/>
  <c r="E561" i="6"/>
  <c r="F561" i="6"/>
  <c r="H561" i="6"/>
  <c r="I561" i="6"/>
  <c r="L561" i="6"/>
  <c r="N561" i="6"/>
  <c r="Q561" i="6"/>
  <c r="R561" i="6"/>
  <c r="S561" i="6"/>
  <c r="T561" i="6"/>
  <c r="C562" i="6"/>
  <c r="D562" i="6"/>
  <c r="E562" i="6"/>
  <c r="F562" i="6"/>
  <c r="H562" i="6"/>
  <c r="I562" i="6"/>
  <c r="L562" i="6"/>
  <c r="N562" i="6"/>
  <c r="Q562" i="6"/>
  <c r="R562" i="6"/>
  <c r="S562" i="6"/>
  <c r="T562" i="6"/>
  <c r="C563" i="6"/>
  <c r="D563" i="6"/>
  <c r="E563" i="6"/>
  <c r="F563" i="6"/>
  <c r="H563" i="6"/>
  <c r="I563" i="6"/>
  <c r="L563" i="6"/>
  <c r="N563" i="6"/>
  <c r="Q563" i="6"/>
  <c r="R563" i="6"/>
  <c r="S563" i="6"/>
  <c r="T563" i="6"/>
  <c r="C564" i="6"/>
  <c r="D564" i="6"/>
  <c r="E564" i="6"/>
  <c r="F564" i="6"/>
  <c r="H564" i="6"/>
  <c r="I564" i="6"/>
  <c r="L564" i="6"/>
  <c r="N564" i="6"/>
  <c r="Q564" i="6"/>
  <c r="R564" i="6"/>
  <c r="S564" i="6"/>
  <c r="T564" i="6"/>
  <c r="C565" i="6"/>
  <c r="D565" i="6"/>
  <c r="E565" i="6"/>
  <c r="F565" i="6"/>
  <c r="H565" i="6"/>
  <c r="I565" i="6"/>
  <c r="L565" i="6"/>
  <c r="N565" i="6"/>
  <c r="Q565" i="6"/>
  <c r="R565" i="6"/>
  <c r="S565" i="6"/>
  <c r="T565" i="6"/>
  <c r="C566" i="6"/>
  <c r="D566" i="6"/>
  <c r="E566" i="6"/>
  <c r="F566" i="6"/>
  <c r="H566" i="6"/>
  <c r="I566" i="6"/>
  <c r="L566" i="6"/>
  <c r="N566" i="6"/>
  <c r="Q566" i="6"/>
  <c r="R566" i="6"/>
  <c r="S566" i="6"/>
  <c r="T566" i="6"/>
  <c r="C567" i="6"/>
  <c r="D567" i="6"/>
  <c r="E567" i="6"/>
  <c r="F567" i="6"/>
  <c r="H567" i="6"/>
  <c r="I567" i="6"/>
  <c r="L567" i="6"/>
  <c r="N567" i="6"/>
  <c r="Q567" i="6"/>
  <c r="R567" i="6"/>
  <c r="S567" i="6"/>
  <c r="T567" i="6"/>
  <c r="C568" i="6"/>
  <c r="D568" i="6"/>
  <c r="E568" i="6"/>
  <c r="F568" i="6"/>
  <c r="H568" i="6"/>
  <c r="I568" i="6"/>
  <c r="L568" i="6"/>
  <c r="N568" i="6"/>
  <c r="Q568" i="6"/>
  <c r="R568" i="6"/>
  <c r="S568" i="6"/>
  <c r="T568" i="6"/>
  <c r="C569" i="6"/>
  <c r="D569" i="6"/>
  <c r="E569" i="6"/>
  <c r="F569" i="6"/>
  <c r="H569" i="6"/>
  <c r="I569" i="6"/>
  <c r="L569" i="6"/>
  <c r="N569" i="6"/>
  <c r="Q569" i="6"/>
  <c r="R569" i="6"/>
  <c r="S569" i="6"/>
  <c r="T569" i="6"/>
  <c r="C570" i="6"/>
  <c r="D570" i="6"/>
  <c r="E570" i="6"/>
  <c r="F570" i="6"/>
  <c r="H570" i="6"/>
  <c r="I570" i="6"/>
  <c r="L570" i="6"/>
  <c r="N570" i="6"/>
  <c r="Q570" i="6"/>
  <c r="R570" i="6"/>
  <c r="S570" i="6"/>
  <c r="T570" i="6"/>
  <c r="C571" i="6"/>
  <c r="D571" i="6"/>
  <c r="E571" i="6"/>
  <c r="F571" i="6"/>
  <c r="H571" i="6"/>
  <c r="I571" i="6"/>
  <c r="L571" i="6"/>
  <c r="N571" i="6"/>
  <c r="Q571" i="6"/>
  <c r="R571" i="6"/>
  <c r="S571" i="6"/>
  <c r="T571" i="6"/>
  <c r="C572" i="6"/>
  <c r="D572" i="6"/>
  <c r="E572" i="6"/>
  <c r="F572" i="6"/>
  <c r="H572" i="6"/>
  <c r="I572" i="6"/>
  <c r="L572" i="6"/>
  <c r="N572" i="6"/>
  <c r="Q572" i="6"/>
  <c r="R572" i="6"/>
  <c r="S572" i="6"/>
  <c r="T572" i="6"/>
  <c r="C573" i="6"/>
  <c r="D573" i="6"/>
  <c r="E573" i="6"/>
  <c r="F573" i="6"/>
  <c r="H573" i="6"/>
  <c r="I573" i="6"/>
  <c r="L573" i="6"/>
  <c r="N573" i="6"/>
  <c r="Q573" i="6"/>
  <c r="R573" i="6"/>
  <c r="S573" i="6"/>
  <c r="T573" i="6"/>
  <c r="C574" i="6"/>
  <c r="D574" i="6"/>
  <c r="E574" i="6"/>
  <c r="F574" i="6"/>
  <c r="H574" i="6"/>
  <c r="I574" i="6"/>
  <c r="L574" i="6"/>
  <c r="N574" i="6"/>
  <c r="Q574" i="6"/>
  <c r="R574" i="6"/>
  <c r="S574" i="6"/>
  <c r="T574" i="6"/>
  <c r="C575" i="6"/>
  <c r="D575" i="6"/>
  <c r="E575" i="6"/>
  <c r="F575" i="6"/>
  <c r="H575" i="6"/>
  <c r="I575" i="6"/>
  <c r="L575" i="6"/>
  <c r="N575" i="6"/>
  <c r="Q575" i="6"/>
  <c r="R575" i="6"/>
  <c r="S575" i="6"/>
  <c r="T575" i="6"/>
  <c r="C576" i="6"/>
  <c r="D576" i="6"/>
  <c r="E576" i="6"/>
  <c r="F576" i="6"/>
  <c r="H576" i="6"/>
  <c r="I576" i="6"/>
  <c r="L576" i="6"/>
  <c r="N576" i="6"/>
  <c r="Q576" i="6"/>
  <c r="R576" i="6"/>
  <c r="S576" i="6"/>
  <c r="T576" i="6"/>
  <c r="C577" i="6"/>
  <c r="D577" i="6"/>
  <c r="E577" i="6"/>
  <c r="F577" i="6"/>
  <c r="H577" i="6"/>
  <c r="I577" i="6"/>
  <c r="L577" i="6"/>
  <c r="N577" i="6"/>
  <c r="Q577" i="6"/>
  <c r="R577" i="6"/>
  <c r="S577" i="6"/>
  <c r="T577" i="6"/>
  <c r="C578" i="6"/>
  <c r="D578" i="6"/>
  <c r="E578" i="6"/>
  <c r="F578" i="6"/>
  <c r="H578" i="6"/>
  <c r="I578" i="6"/>
  <c r="L578" i="6"/>
  <c r="N578" i="6"/>
  <c r="Q578" i="6"/>
  <c r="R578" i="6"/>
  <c r="S578" i="6"/>
  <c r="T578" i="6"/>
  <c r="C579" i="6"/>
  <c r="D579" i="6"/>
  <c r="E579" i="6"/>
  <c r="F579" i="6"/>
  <c r="H579" i="6"/>
  <c r="I579" i="6"/>
  <c r="L579" i="6"/>
  <c r="N579" i="6"/>
  <c r="Q579" i="6"/>
  <c r="R579" i="6"/>
  <c r="S579" i="6"/>
  <c r="T579" i="6"/>
  <c r="C580" i="6"/>
  <c r="D580" i="6"/>
  <c r="E580" i="6"/>
  <c r="F580" i="6"/>
  <c r="H580" i="6"/>
  <c r="I580" i="6"/>
  <c r="L580" i="6"/>
  <c r="N580" i="6"/>
  <c r="Q580" i="6"/>
  <c r="R580" i="6"/>
  <c r="S580" i="6"/>
  <c r="T580" i="6"/>
  <c r="C581" i="6"/>
  <c r="D581" i="6"/>
  <c r="E581" i="6"/>
  <c r="F581" i="6"/>
  <c r="H581" i="6"/>
  <c r="I581" i="6"/>
  <c r="L581" i="6"/>
  <c r="N581" i="6"/>
  <c r="Q581" i="6"/>
  <c r="R581" i="6"/>
  <c r="S581" i="6"/>
  <c r="T581" i="6"/>
  <c r="C582" i="6"/>
  <c r="D582" i="6"/>
  <c r="E582" i="6"/>
  <c r="F582" i="6"/>
  <c r="H582" i="6"/>
  <c r="I582" i="6"/>
  <c r="L582" i="6"/>
  <c r="N582" i="6"/>
  <c r="Q582" i="6"/>
  <c r="R582" i="6"/>
  <c r="S582" i="6"/>
  <c r="T582" i="6"/>
  <c r="C583" i="6"/>
  <c r="D583" i="6"/>
  <c r="E583" i="6"/>
  <c r="F583" i="6"/>
  <c r="H583" i="6"/>
  <c r="I583" i="6"/>
  <c r="L583" i="6"/>
  <c r="N583" i="6"/>
  <c r="Q583" i="6"/>
  <c r="R583" i="6"/>
  <c r="S583" i="6"/>
  <c r="T583" i="6"/>
  <c r="C584" i="6"/>
  <c r="D584" i="6"/>
  <c r="E584" i="6"/>
  <c r="F584" i="6"/>
  <c r="H584" i="6"/>
  <c r="I584" i="6"/>
  <c r="L584" i="6"/>
  <c r="N584" i="6"/>
  <c r="Q584" i="6"/>
  <c r="R584" i="6"/>
  <c r="S584" i="6"/>
  <c r="T584" i="6"/>
  <c r="C585" i="6"/>
  <c r="D585" i="6"/>
  <c r="E585" i="6"/>
  <c r="F585" i="6"/>
  <c r="H585" i="6"/>
  <c r="I585" i="6"/>
  <c r="L585" i="6"/>
  <c r="N585" i="6"/>
  <c r="Q585" i="6"/>
  <c r="R585" i="6"/>
  <c r="S585" i="6"/>
  <c r="T585" i="6"/>
  <c r="C586" i="6"/>
  <c r="D586" i="6"/>
  <c r="E586" i="6"/>
  <c r="F586" i="6"/>
  <c r="H586" i="6"/>
  <c r="I586" i="6"/>
  <c r="L586" i="6"/>
  <c r="N586" i="6"/>
  <c r="Q586" i="6"/>
  <c r="R586" i="6"/>
  <c r="S586" i="6"/>
  <c r="T586" i="6"/>
  <c r="C587" i="6"/>
  <c r="D587" i="6"/>
  <c r="E587" i="6"/>
  <c r="F587" i="6"/>
  <c r="H587" i="6"/>
  <c r="I587" i="6"/>
  <c r="L587" i="6"/>
  <c r="N587" i="6"/>
  <c r="Q587" i="6"/>
  <c r="R587" i="6"/>
  <c r="S587" i="6"/>
  <c r="T587" i="6"/>
  <c r="C588" i="6"/>
  <c r="D588" i="6"/>
  <c r="E588" i="6"/>
  <c r="F588" i="6"/>
  <c r="H588" i="6"/>
  <c r="I588" i="6"/>
  <c r="L588" i="6"/>
  <c r="N588" i="6"/>
  <c r="Q588" i="6"/>
  <c r="R588" i="6"/>
  <c r="S588" i="6"/>
  <c r="T588" i="6"/>
  <c r="C589" i="6"/>
  <c r="D589" i="6"/>
  <c r="E589" i="6"/>
  <c r="F589" i="6"/>
  <c r="H589" i="6"/>
  <c r="I589" i="6"/>
  <c r="L589" i="6"/>
  <c r="N589" i="6"/>
  <c r="Q589" i="6"/>
  <c r="R589" i="6"/>
  <c r="S589" i="6"/>
  <c r="T589" i="6"/>
  <c r="C590" i="6"/>
  <c r="D590" i="6"/>
  <c r="E590" i="6"/>
  <c r="F590" i="6"/>
  <c r="H590" i="6"/>
  <c r="I590" i="6"/>
  <c r="L590" i="6"/>
  <c r="N590" i="6"/>
  <c r="Q590" i="6"/>
  <c r="R590" i="6"/>
  <c r="S590" i="6"/>
  <c r="T590" i="6"/>
  <c r="C591" i="6"/>
  <c r="D591" i="6"/>
  <c r="E591" i="6"/>
  <c r="F591" i="6"/>
  <c r="H591" i="6"/>
  <c r="I591" i="6"/>
  <c r="L591" i="6"/>
  <c r="N591" i="6"/>
  <c r="Q591" i="6"/>
  <c r="R591" i="6"/>
  <c r="S591" i="6"/>
  <c r="T591" i="6"/>
  <c r="C592" i="6"/>
  <c r="D592" i="6"/>
  <c r="E592" i="6"/>
  <c r="F592" i="6"/>
  <c r="H592" i="6"/>
  <c r="I592" i="6"/>
  <c r="L592" i="6"/>
  <c r="N592" i="6"/>
  <c r="Q592" i="6"/>
  <c r="R592" i="6"/>
  <c r="S592" i="6"/>
  <c r="T592" i="6"/>
  <c r="C593" i="6"/>
  <c r="D593" i="6"/>
  <c r="E593" i="6"/>
  <c r="F593" i="6"/>
  <c r="H593" i="6"/>
  <c r="I593" i="6"/>
  <c r="L593" i="6"/>
  <c r="N593" i="6"/>
  <c r="Q593" i="6"/>
  <c r="R593" i="6"/>
  <c r="S593" i="6"/>
  <c r="T593" i="6"/>
  <c r="C594" i="6"/>
  <c r="D594" i="6"/>
  <c r="E594" i="6"/>
  <c r="F594" i="6"/>
  <c r="H594" i="6"/>
  <c r="I594" i="6"/>
  <c r="L594" i="6"/>
  <c r="N594" i="6"/>
  <c r="Q594" i="6"/>
  <c r="R594" i="6"/>
  <c r="S594" i="6"/>
  <c r="T594" i="6"/>
  <c r="C595" i="6"/>
  <c r="D595" i="6"/>
  <c r="E595" i="6"/>
  <c r="F595" i="6"/>
  <c r="H595" i="6"/>
  <c r="I595" i="6"/>
  <c r="L595" i="6"/>
  <c r="N595" i="6"/>
  <c r="Q595" i="6"/>
  <c r="R595" i="6"/>
  <c r="S595" i="6"/>
  <c r="T595" i="6"/>
  <c r="C596" i="6"/>
  <c r="D596" i="6"/>
  <c r="E596" i="6"/>
  <c r="F596" i="6"/>
  <c r="H596" i="6"/>
  <c r="I596" i="6"/>
  <c r="L596" i="6"/>
  <c r="N596" i="6"/>
  <c r="Q596" i="6"/>
  <c r="R596" i="6"/>
  <c r="S596" i="6"/>
  <c r="T596" i="6"/>
  <c r="C597" i="6"/>
  <c r="D597" i="6"/>
  <c r="E597" i="6"/>
  <c r="F597" i="6"/>
  <c r="H597" i="6"/>
  <c r="I597" i="6"/>
  <c r="L597" i="6"/>
  <c r="N597" i="6"/>
  <c r="Q597" i="6"/>
  <c r="R597" i="6"/>
  <c r="S597" i="6"/>
  <c r="T597" i="6"/>
  <c r="C598" i="6"/>
  <c r="D598" i="6"/>
  <c r="E598" i="6"/>
  <c r="F598" i="6"/>
  <c r="H598" i="6"/>
  <c r="I598" i="6"/>
  <c r="L598" i="6"/>
  <c r="N598" i="6"/>
  <c r="Q598" i="6"/>
  <c r="R598" i="6"/>
  <c r="S598" i="6"/>
  <c r="T598" i="6"/>
  <c r="C599" i="6"/>
  <c r="D599" i="6"/>
  <c r="E599" i="6"/>
  <c r="F599" i="6"/>
  <c r="H599" i="6"/>
  <c r="I599" i="6"/>
  <c r="L599" i="6"/>
  <c r="N599" i="6"/>
  <c r="Q599" i="6"/>
  <c r="R599" i="6"/>
  <c r="S599" i="6"/>
  <c r="T599" i="6"/>
  <c r="B600" i="6"/>
  <c r="C600" i="6"/>
  <c r="D600" i="6"/>
  <c r="L600" i="6" s="1"/>
  <c r="E600" i="6"/>
  <c r="F600" i="6"/>
  <c r="H600" i="6"/>
  <c r="I600" i="6"/>
  <c r="N600" i="6"/>
  <c r="R600" i="6"/>
  <c r="Q600" i="6" s="1"/>
  <c r="S600" i="6" s="1"/>
  <c r="T600" i="6"/>
  <c r="B601" i="6"/>
  <c r="C601" i="6"/>
  <c r="D601" i="6"/>
  <c r="E601" i="6"/>
  <c r="F601" i="6"/>
  <c r="H601" i="6"/>
  <c r="I601" i="6"/>
  <c r="L601" i="6"/>
  <c r="N601" i="6"/>
  <c r="Q601" i="6"/>
  <c r="R601" i="6"/>
  <c r="S601" i="6"/>
  <c r="T601" i="6"/>
  <c r="B602" i="6"/>
  <c r="C602" i="6"/>
  <c r="D602" i="6"/>
  <c r="L602" i="6" s="1"/>
  <c r="E602" i="6"/>
  <c r="F602" i="6"/>
  <c r="H602" i="6"/>
  <c r="I602" i="6"/>
  <c r="N602" i="6"/>
  <c r="R602" i="6"/>
  <c r="Q602" i="6" s="1"/>
  <c r="S602" i="6" s="1"/>
  <c r="T602" i="6"/>
  <c r="B603" i="6"/>
  <c r="C603" i="6"/>
  <c r="D603" i="6"/>
  <c r="E603" i="6"/>
  <c r="F603" i="6"/>
  <c r="H603" i="6"/>
  <c r="I603" i="6"/>
  <c r="L603" i="6"/>
  <c r="N603" i="6"/>
  <c r="Q603" i="6"/>
  <c r="R603" i="6"/>
  <c r="S603" i="6"/>
  <c r="T603" i="6"/>
  <c r="B604" i="6"/>
  <c r="C604" i="6"/>
  <c r="D604" i="6"/>
  <c r="L604" i="6" s="1"/>
  <c r="E604" i="6"/>
  <c r="F604" i="6"/>
  <c r="H604" i="6"/>
  <c r="I604" i="6"/>
  <c r="N604" i="6"/>
  <c r="R604" i="6"/>
  <c r="Q604" i="6" s="1"/>
  <c r="S604" i="6" s="1"/>
  <c r="T604" i="6"/>
  <c r="B605" i="6"/>
  <c r="C605" i="6"/>
  <c r="D605" i="6"/>
  <c r="E605" i="6"/>
  <c r="F605" i="6"/>
  <c r="H605" i="6"/>
  <c r="I605" i="6"/>
  <c r="L605" i="6"/>
  <c r="N605" i="6"/>
  <c r="Q605" i="6"/>
  <c r="R605" i="6"/>
  <c r="S605" i="6"/>
  <c r="T605" i="6"/>
  <c r="B606" i="6"/>
  <c r="C606" i="6"/>
  <c r="D606" i="6"/>
  <c r="L606" i="6" s="1"/>
  <c r="E606" i="6"/>
  <c r="F606" i="6"/>
  <c r="H606" i="6"/>
  <c r="I606" i="6"/>
  <c r="N606" i="6"/>
  <c r="R606" i="6"/>
  <c r="Q606" i="6" s="1"/>
  <c r="S606" i="6" s="1"/>
  <c r="T606" i="6"/>
  <c r="B607" i="6"/>
  <c r="C607" i="6"/>
  <c r="D607" i="6"/>
  <c r="E607" i="6"/>
  <c r="F607" i="6"/>
  <c r="H607" i="6"/>
  <c r="I607" i="6"/>
  <c r="L607" i="6"/>
  <c r="N607" i="6"/>
  <c r="Q607" i="6"/>
  <c r="R607" i="6"/>
  <c r="S607" i="6"/>
  <c r="T607" i="6"/>
  <c r="B608" i="6"/>
  <c r="C608" i="6"/>
  <c r="D608" i="6"/>
  <c r="L608" i="6" s="1"/>
  <c r="E608" i="6"/>
  <c r="F608" i="6"/>
  <c r="H608" i="6"/>
  <c r="I608" i="6"/>
  <c r="N608" i="6"/>
  <c r="R608" i="6"/>
  <c r="Q608" i="6" s="1"/>
  <c r="S608" i="6" s="1"/>
  <c r="T608" i="6"/>
  <c r="B609" i="6"/>
  <c r="C609" i="6"/>
  <c r="D609" i="6"/>
  <c r="E609" i="6"/>
  <c r="F609" i="6"/>
  <c r="H609" i="6"/>
  <c r="I609" i="6"/>
  <c r="L609" i="6"/>
  <c r="N609" i="6"/>
  <c r="Q609" i="6"/>
  <c r="R609" i="6"/>
  <c r="S609" i="6"/>
  <c r="T609" i="6"/>
  <c r="B610" i="6"/>
  <c r="C610" i="6"/>
  <c r="D610" i="6"/>
  <c r="L610" i="6" s="1"/>
  <c r="E610" i="6"/>
  <c r="F610" i="6"/>
  <c r="H610" i="6"/>
  <c r="I610" i="6"/>
  <c r="N610" i="6"/>
  <c r="R610" i="6"/>
  <c r="Q610" i="6" s="1"/>
  <c r="S610" i="6" s="1"/>
  <c r="T610" i="6"/>
  <c r="B611" i="6"/>
  <c r="C611" i="6"/>
  <c r="D611" i="6"/>
  <c r="E611" i="6"/>
  <c r="F611" i="6"/>
  <c r="H611" i="6"/>
  <c r="I611" i="6"/>
  <c r="L611" i="6"/>
  <c r="N611" i="6"/>
  <c r="Q611" i="6"/>
  <c r="R611" i="6"/>
  <c r="S611" i="6"/>
  <c r="T611" i="6"/>
  <c r="B612" i="6"/>
  <c r="C612" i="6"/>
  <c r="D612" i="6"/>
  <c r="L612" i="6" s="1"/>
  <c r="E612" i="6"/>
  <c r="F612" i="6"/>
  <c r="H612" i="6"/>
  <c r="I612" i="6"/>
  <c r="N612" i="6"/>
  <c r="R612" i="6"/>
  <c r="Q612" i="6" s="1"/>
  <c r="S612" i="6" s="1"/>
  <c r="T612" i="6"/>
  <c r="B613" i="6"/>
  <c r="C613" i="6"/>
  <c r="D613" i="6"/>
  <c r="E613" i="6"/>
  <c r="F613" i="6"/>
  <c r="H613" i="6"/>
  <c r="I613" i="6"/>
  <c r="L613" i="6"/>
  <c r="N613" i="6"/>
  <c r="Q613" i="6"/>
  <c r="R613" i="6"/>
  <c r="S613" i="6"/>
  <c r="T613" i="6"/>
  <c r="B614" i="6"/>
  <c r="C614" i="6"/>
  <c r="D614" i="6"/>
  <c r="L614" i="6" s="1"/>
  <c r="E614" i="6"/>
  <c r="F614" i="6"/>
  <c r="H614" i="6"/>
  <c r="I614" i="6"/>
  <c r="N614" i="6"/>
  <c r="R614" i="6"/>
  <c r="Q614" i="6" s="1"/>
  <c r="S614" i="6" s="1"/>
  <c r="T614" i="6"/>
  <c r="B615" i="6"/>
  <c r="C615" i="6"/>
  <c r="D615" i="6"/>
  <c r="E615" i="6"/>
  <c r="F615" i="6"/>
  <c r="H615" i="6"/>
  <c r="I615" i="6"/>
  <c r="L615" i="6"/>
  <c r="N615" i="6"/>
  <c r="Q615" i="6"/>
  <c r="R615" i="6"/>
  <c r="S615" i="6"/>
  <c r="T615" i="6"/>
  <c r="B616" i="6"/>
  <c r="C616" i="6"/>
  <c r="D616" i="6"/>
  <c r="L616" i="6" s="1"/>
  <c r="E616" i="6"/>
  <c r="F616" i="6"/>
  <c r="H616" i="6"/>
  <c r="I616" i="6"/>
  <c r="N616" i="6"/>
  <c r="R616" i="6"/>
  <c r="Q616" i="6" s="1"/>
  <c r="S616" i="6" s="1"/>
  <c r="T616" i="6"/>
  <c r="B617" i="6"/>
  <c r="C617" i="6"/>
  <c r="D617" i="6"/>
  <c r="E617" i="6"/>
  <c r="F617" i="6"/>
  <c r="H617" i="6"/>
  <c r="I617" i="6"/>
  <c r="L617" i="6"/>
  <c r="N617" i="6"/>
  <c r="Q617" i="6"/>
  <c r="R617" i="6"/>
  <c r="S617" i="6"/>
  <c r="T617" i="6"/>
  <c r="B618" i="6"/>
  <c r="C618" i="6"/>
  <c r="D618" i="6"/>
  <c r="L618" i="6" s="1"/>
  <c r="E618" i="6"/>
  <c r="F618" i="6"/>
  <c r="H618" i="6"/>
  <c r="I618" i="6"/>
  <c r="N618" i="6"/>
  <c r="R618" i="6"/>
  <c r="Q618" i="6" s="1"/>
  <c r="S618" i="6" s="1"/>
  <c r="T618" i="6"/>
  <c r="B619" i="6"/>
  <c r="C619" i="6"/>
  <c r="D619" i="6"/>
  <c r="E619" i="6"/>
  <c r="F619" i="6"/>
  <c r="H619" i="6"/>
  <c r="I619" i="6"/>
  <c r="L619" i="6"/>
  <c r="N619" i="6"/>
  <c r="Q619" i="6"/>
  <c r="R619" i="6"/>
  <c r="S619" i="6"/>
  <c r="T619" i="6"/>
  <c r="B620" i="6"/>
  <c r="C620" i="6"/>
  <c r="D620" i="6"/>
  <c r="L620" i="6" s="1"/>
  <c r="E620" i="6"/>
  <c r="F620" i="6"/>
  <c r="H620" i="6"/>
  <c r="I620" i="6"/>
  <c r="N620" i="6"/>
  <c r="R620" i="6"/>
  <c r="Q620" i="6" s="1"/>
  <c r="S620" i="6" s="1"/>
  <c r="T620" i="6"/>
  <c r="B621" i="6"/>
  <c r="C621" i="6"/>
  <c r="D621" i="6"/>
  <c r="E621" i="6"/>
  <c r="F621" i="6"/>
  <c r="H621" i="6"/>
  <c r="I621" i="6"/>
  <c r="L621" i="6"/>
  <c r="N621" i="6"/>
  <c r="Q621" i="6"/>
  <c r="R621" i="6"/>
  <c r="S621" i="6"/>
  <c r="T621" i="6"/>
  <c r="B622" i="6"/>
  <c r="C622" i="6"/>
  <c r="D622" i="6"/>
  <c r="L622" i="6" s="1"/>
  <c r="E622" i="6"/>
  <c r="F622" i="6"/>
  <c r="H622" i="6"/>
  <c r="I622" i="6"/>
  <c r="N622" i="6"/>
  <c r="R622" i="6"/>
  <c r="Q622" i="6" s="1"/>
  <c r="S622" i="6" s="1"/>
  <c r="T622" i="6"/>
  <c r="B623" i="6"/>
  <c r="C623" i="6"/>
  <c r="D623" i="6"/>
  <c r="E623" i="6"/>
  <c r="F623" i="6"/>
  <c r="H623" i="6"/>
  <c r="I623" i="6"/>
  <c r="L623" i="6"/>
  <c r="N623" i="6"/>
  <c r="Q623" i="6"/>
  <c r="R623" i="6"/>
  <c r="S623" i="6"/>
  <c r="T623" i="6"/>
  <c r="B624" i="6"/>
  <c r="C624" i="6"/>
  <c r="D624" i="6"/>
  <c r="L624" i="6" s="1"/>
  <c r="E624" i="6"/>
  <c r="F624" i="6"/>
  <c r="H624" i="6"/>
  <c r="I624" i="6"/>
  <c r="N624" i="6"/>
  <c r="R624" i="6"/>
  <c r="Q624" i="6" s="1"/>
  <c r="S624" i="6" s="1"/>
  <c r="T624" i="6"/>
  <c r="B625" i="6"/>
  <c r="C625" i="6"/>
  <c r="D625" i="6"/>
  <c r="E625" i="6"/>
  <c r="F625" i="6"/>
  <c r="H625" i="6"/>
  <c r="I625" i="6"/>
  <c r="L625" i="6"/>
  <c r="N625" i="6"/>
  <c r="Q625" i="6"/>
  <c r="R625" i="6"/>
  <c r="S625" i="6"/>
  <c r="T625" i="6"/>
  <c r="B626" i="6"/>
  <c r="C626" i="6"/>
  <c r="D626" i="6"/>
  <c r="L626" i="6" s="1"/>
  <c r="E626" i="6"/>
  <c r="F626" i="6"/>
  <c r="H626" i="6"/>
  <c r="I626" i="6"/>
  <c r="N626" i="6"/>
  <c r="R626" i="6"/>
  <c r="Q626" i="6" s="1"/>
  <c r="S626" i="6" s="1"/>
  <c r="T626" i="6"/>
  <c r="B627" i="6"/>
  <c r="C627" i="6"/>
  <c r="D627" i="6"/>
  <c r="E627" i="6"/>
  <c r="F627" i="6"/>
  <c r="H627" i="6"/>
  <c r="I627" i="6"/>
  <c r="L627" i="6"/>
  <c r="N627" i="6"/>
  <c r="Q627" i="6"/>
  <c r="R627" i="6"/>
  <c r="S627" i="6"/>
  <c r="T627" i="6"/>
  <c r="B628" i="6"/>
  <c r="C628" i="6"/>
  <c r="D628" i="6"/>
  <c r="L628" i="6" s="1"/>
  <c r="E628" i="6"/>
  <c r="F628" i="6"/>
  <c r="H628" i="6"/>
  <c r="I628" i="6"/>
  <c r="N628" i="6"/>
  <c r="R628" i="6"/>
  <c r="Q628" i="6" s="1"/>
  <c r="S628" i="6" s="1"/>
  <c r="T628" i="6"/>
  <c r="B629" i="6"/>
  <c r="C629" i="6"/>
  <c r="D629" i="6"/>
  <c r="E629" i="6"/>
  <c r="F629" i="6"/>
  <c r="H629" i="6"/>
  <c r="I629" i="6"/>
  <c r="L629" i="6"/>
  <c r="N629" i="6"/>
  <c r="Q629" i="6"/>
  <c r="R629" i="6"/>
  <c r="S629" i="6"/>
  <c r="T629" i="6"/>
  <c r="B630" i="6"/>
  <c r="C630" i="6"/>
  <c r="D630" i="6"/>
  <c r="L630" i="6" s="1"/>
  <c r="E630" i="6"/>
  <c r="F630" i="6"/>
  <c r="H630" i="6"/>
  <c r="I630" i="6"/>
  <c r="N630" i="6"/>
  <c r="R630" i="6"/>
  <c r="Q630" i="6" s="1"/>
  <c r="S630" i="6" s="1"/>
  <c r="T630" i="6"/>
  <c r="B631" i="6"/>
  <c r="C631" i="6"/>
  <c r="D631" i="6"/>
  <c r="E631" i="6"/>
  <c r="F631" i="6"/>
  <c r="H631" i="6"/>
  <c r="I631" i="6"/>
  <c r="L631" i="6"/>
  <c r="N631" i="6"/>
  <c r="Q631" i="6"/>
  <c r="R631" i="6"/>
  <c r="S631" i="6"/>
  <c r="T631" i="6"/>
  <c r="B632" i="6"/>
  <c r="C632" i="6"/>
  <c r="D632" i="6"/>
  <c r="L632" i="6" s="1"/>
  <c r="E632" i="6"/>
  <c r="F632" i="6"/>
  <c r="H632" i="6"/>
  <c r="I632" i="6"/>
  <c r="N632" i="6"/>
  <c r="R632" i="6"/>
  <c r="Q632" i="6" s="1"/>
  <c r="S632" i="6" s="1"/>
  <c r="T632" i="6"/>
  <c r="B633" i="6"/>
  <c r="C633" i="6"/>
  <c r="D633" i="6"/>
  <c r="E633" i="6"/>
  <c r="F633" i="6"/>
  <c r="H633" i="6"/>
  <c r="I633" i="6"/>
  <c r="L633" i="6"/>
  <c r="N633" i="6"/>
  <c r="Q633" i="6"/>
  <c r="R633" i="6"/>
  <c r="S633" i="6"/>
  <c r="T633" i="6"/>
  <c r="B634" i="6"/>
  <c r="C634" i="6"/>
  <c r="D634" i="6"/>
  <c r="L634" i="6" s="1"/>
  <c r="E634" i="6"/>
  <c r="F634" i="6"/>
  <c r="H634" i="6"/>
  <c r="I634" i="6"/>
  <c r="N634" i="6"/>
  <c r="R634" i="6"/>
  <c r="Q634" i="6" s="1"/>
  <c r="S634" i="6" s="1"/>
  <c r="T634" i="6"/>
  <c r="B635" i="6"/>
  <c r="C635" i="6"/>
  <c r="D635" i="6"/>
  <c r="E635" i="6"/>
  <c r="F635" i="6"/>
  <c r="H635" i="6"/>
  <c r="I635" i="6"/>
  <c r="L635" i="6"/>
  <c r="N635" i="6"/>
  <c r="Q635" i="6"/>
  <c r="R635" i="6"/>
  <c r="S635" i="6"/>
  <c r="T635" i="6"/>
  <c r="B636" i="6"/>
  <c r="C636" i="6"/>
  <c r="D636" i="6"/>
  <c r="L636" i="6" s="1"/>
  <c r="E636" i="6"/>
  <c r="F636" i="6"/>
  <c r="H636" i="6"/>
  <c r="I636" i="6"/>
  <c r="N636" i="6"/>
  <c r="R636" i="6"/>
  <c r="Q636" i="6" s="1"/>
  <c r="S636" i="6" s="1"/>
  <c r="T636" i="6"/>
  <c r="B637" i="6"/>
  <c r="C637" i="6"/>
  <c r="D637" i="6"/>
  <c r="E637" i="6"/>
  <c r="F637" i="6"/>
  <c r="H637" i="6"/>
  <c r="I637" i="6"/>
  <c r="L637" i="6"/>
  <c r="N637" i="6"/>
  <c r="Q637" i="6"/>
  <c r="R637" i="6"/>
  <c r="S637" i="6"/>
  <c r="T637" i="6"/>
  <c r="B638" i="6"/>
  <c r="C638" i="6"/>
  <c r="D638" i="6"/>
  <c r="L638" i="6" s="1"/>
  <c r="E638" i="6"/>
  <c r="F638" i="6"/>
  <c r="H638" i="6"/>
  <c r="I638" i="6"/>
  <c r="N638" i="6"/>
  <c r="R638" i="6"/>
  <c r="Q638" i="6" s="1"/>
  <c r="S638" i="6" s="1"/>
  <c r="T638" i="6"/>
  <c r="B639" i="6"/>
  <c r="C639" i="6"/>
  <c r="D639" i="6"/>
  <c r="E639" i="6"/>
  <c r="F639" i="6"/>
  <c r="H639" i="6"/>
  <c r="I639" i="6"/>
  <c r="L639" i="6"/>
  <c r="N639" i="6"/>
  <c r="Q639" i="6"/>
  <c r="R639" i="6"/>
  <c r="S639" i="6"/>
  <c r="T639" i="6"/>
  <c r="B640" i="6"/>
  <c r="C640" i="6"/>
  <c r="D640" i="6"/>
  <c r="L640" i="6" s="1"/>
  <c r="E640" i="6"/>
  <c r="F640" i="6"/>
  <c r="H640" i="6"/>
  <c r="I640" i="6"/>
  <c r="N640" i="6"/>
  <c r="R640" i="6"/>
  <c r="Q640" i="6" s="1"/>
  <c r="S640" i="6" s="1"/>
  <c r="T640" i="6"/>
  <c r="B641" i="6"/>
  <c r="C641" i="6"/>
  <c r="D641" i="6"/>
  <c r="E641" i="6"/>
  <c r="F641" i="6"/>
  <c r="H641" i="6"/>
  <c r="I641" i="6"/>
  <c r="L641" i="6"/>
  <c r="N641" i="6"/>
  <c r="Q641" i="6"/>
  <c r="R641" i="6"/>
  <c r="S641" i="6"/>
  <c r="T641" i="6"/>
  <c r="B642" i="6"/>
  <c r="C642" i="6"/>
  <c r="D642" i="6"/>
  <c r="L642" i="6" s="1"/>
  <c r="E642" i="6"/>
  <c r="F642" i="6"/>
  <c r="H642" i="6"/>
  <c r="I642" i="6"/>
  <c r="N642" i="6"/>
  <c r="R642" i="6"/>
  <c r="Q642" i="6" s="1"/>
  <c r="S642" i="6" s="1"/>
  <c r="T642" i="6"/>
  <c r="B643" i="6"/>
  <c r="C643" i="6"/>
  <c r="D643" i="6"/>
  <c r="E643" i="6"/>
  <c r="F643" i="6"/>
  <c r="H643" i="6"/>
  <c r="I643" i="6"/>
  <c r="L643" i="6"/>
  <c r="N643" i="6"/>
  <c r="Q643" i="6"/>
  <c r="R643" i="6"/>
  <c r="S643" i="6"/>
  <c r="T643" i="6"/>
  <c r="B644" i="6"/>
  <c r="C644" i="6"/>
  <c r="D644" i="6"/>
  <c r="L644" i="6" s="1"/>
  <c r="E644" i="6"/>
  <c r="F644" i="6"/>
  <c r="H644" i="6"/>
  <c r="I644" i="6"/>
  <c r="N644" i="6"/>
  <c r="R644" i="6"/>
  <c r="Q644" i="6" s="1"/>
  <c r="S644" i="6" s="1"/>
  <c r="T644" i="6"/>
  <c r="B645" i="6"/>
  <c r="C645" i="6"/>
  <c r="D645" i="6"/>
  <c r="E645" i="6"/>
  <c r="F645" i="6"/>
  <c r="H645" i="6"/>
  <c r="I645" i="6"/>
  <c r="L645" i="6"/>
  <c r="N645" i="6"/>
  <c r="Q645" i="6"/>
  <c r="R645" i="6"/>
  <c r="S645" i="6"/>
  <c r="T645" i="6"/>
  <c r="B646" i="6"/>
  <c r="C646" i="6"/>
  <c r="D646" i="6"/>
  <c r="L646" i="6" s="1"/>
  <c r="E646" i="6"/>
  <c r="F646" i="6"/>
  <c r="H646" i="6"/>
  <c r="I646" i="6"/>
  <c r="N646" i="6"/>
  <c r="R646" i="6"/>
  <c r="Q646" i="6" s="1"/>
  <c r="S646" i="6" s="1"/>
  <c r="T646" i="6"/>
  <c r="B647" i="6"/>
  <c r="C647" i="6"/>
  <c r="D647" i="6"/>
  <c r="E647" i="6"/>
  <c r="F647" i="6"/>
  <c r="H647" i="6"/>
  <c r="I647" i="6"/>
  <c r="L647" i="6"/>
  <c r="N647" i="6"/>
  <c r="Q647" i="6"/>
  <c r="R647" i="6"/>
  <c r="S647" i="6"/>
  <c r="T647" i="6"/>
  <c r="B648" i="6"/>
  <c r="C648" i="6"/>
  <c r="D648" i="6"/>
  <c r="E648" i="6"/>
  <c r="F648" i="6"/>
  <c r="H648" i="6"/>
  <c r="I648" i="6"/>
  <c r="N648" i="6"/>
  <c r="R648" i="6"/>
  <c r="Q648" i="6" s="1"/>
  <c r="S648" i="6" s="1"/>
  <c r="T648" i="6"/>
  <c r="B649" i="6"/>
  <c r="C649" i="6"/>
  <c r="D649" i="6"/>
  <c r="E649" i="6"/>
  <c r="F649" i="6"/>
  <c r="H649" i="6"/>
  <c r="I649" i="6"/>
  <c r="L649" i="6"/>
  <c r="N649" i="6"/>
  <c r="Q649" i="6"/>
  <c r="R649" i="6"/>
  <c r="S649" i="6"/>
  <c r="T649" i="6"/>
  <c r="B650" i="6"/>
  <c r="C650" i="6"/>
  <c r="D650" i="6"/>
  <c r="E650" i="6"/>
  <c r="F650" i="6"/>
  <c r="H650" i="6"/>
  <c r="I650" i="6"/>
  <c r="N650" i="6"/>
  <c r="R650" i="6"/>
  <c r="Q650" i="6" s="1"/>
  <c r="S650" i="6" s="1"/>
  <c r="T650" i="6"/>
  <c r="B651" i="6"/>
  <c r="C651" i="6"/>
  <c r="D651" i="6"/>
  <c r="E651" i="6"/>
  <c r="F651" i="6"/>
  <c r="H651" i="6"/>
  <c r="I651" i="6"/>
  <c r="L651" i="6"/>
  <c r="N651" i="6"/>
  <c r="Q651" i="6"/>
  <c r="R651" i="6"/>
  <c r="S651" i="6"/>
  <c r="T651" i="6"/>
  <c r="B652" i="6"/>
  <c r="C652" i="6"/>
  <c r="D652" i="6"/>
  <c r="E652" i="6"/>
  <c r="F652" i="6"/>
  <c r="H652" i="6"/>
  <c r="I652" i="6"/>
  <c r="N652" i="6"/>
  <c r="R652" i="6"/>
  <c r="Q652" i="6" s="1"/>
  <c r="S652" i="6" s="1"/>
  <c r="T652" i="6"/>
  <c r="B653" i="6"/>
  <c r="C653" i="6"/>
  <c r="D653" i="6"/>
  <c r="E653" i="6"/>
  <c r="F653" i="6"/>
  <c r="H653" i="6"/>
  <c r="I653" i="6"/>
  <c r="L653" i="6"/>
  <c r="N653" i="6"/>
  <c r="Q653" i="6"/>
  <c r="R653" i="6"/>
  <c r="S653" i="6"/>
  <c r="T653" i="6"/>
  <c r="B654" i="6"/>
  <c r="C654" i="6"/>
  <c r="D654" i="6"/>
  <c r="E654" i="6"/>
  <c r="F654" i="6"/>
  <c r="H654" i="6"/>
  <c r="I654" i="6"/>
  <c r="N654" i="6"/>
  <c r="R654" i="6"/>
  <c r="Q654" i="6" s="1"/>
  <c r="S654" i="6" s="1"/>
  <c r="T654" i="6"/>
  <c r="B655" i="6"/>
  <c r="C655" i="6"/>
  <c r="D655" i="6"/>
  <c r="E655" i="6"/>
  <c r="F655" i="6"/>
  <c r="H655" i="6"/>
  <c r="I655" i="6"/>
  <c r="L655" i="6"/>
  <c r="N655" i="6"/>
  <c r="Q655" i="6"/>
  <c r="R655" i="6"/>
  <c r="S655" i="6"/>
  <c r="T655" i="6"/>
  <c r="B656" i="6"/>
  <c r="C656" i="6"/>
  <c r="D656" i="6"/>
  <c r="E656" i="6"/>
  <c r="F656" i="6"/>
  <c r="H656" i="6"/>
  <c r="I656" i="6"/>
  <c r="N656" i="6"/>
  <c r="R656" i="6"/>
  <c r="Q656" i="6" s="1"/>
  <c r="S656" i="6" s="1"/>
  <c r="T656" i="6"/>
  <c r="B657" i="6"/>
  <c r="C657" i="6"/>
  <c r="D657" i="6"/>
  <c r="E657" i="6"/>
  <c r="F657" i="6"/>
  <c r="H657" i="6"/>
  <c r="I657" i="6"/>
  <c r="L657" i="6"/>
  <c r="N657" i="6"/>
  <c r="Q657" i="6"/>
  <c r="R657" i="6"/>
  <c r="S657" i="6"/>
  <c r="T657" i="6"/>
  <c r="B658" i="6"/>
  <c r="C658" i="6"/>
  <c r="D658" i="6"/>
  <c r="E658" i="6"/>
  <c r="F658" i="6"/>
  <c r="H658" i="6"/>
  <c r="I658" i="6"/>
  <c r="N658" i="6"/>
  <c r="R658" i="6"/>
  <c r="Q658" i="6" s="1"/>
  <c r="S658" i="6" s="1"/>
  <c r="T658" i="6"/>
  <c r="B659" i="6"/>
  <c r="C659" i="6"/>
  <c r="D659" i="6"/>
  <c r="E659" i="6"/>
  <c r="F659" i="6"/>
  <c r="H659" i="6"/>
  <c r="I659" i="6"/>
  <c r="L659" i="6"/>
  <c r="N659" i="6"/>
  <c r="Q659" i="6"/>
  <c r="R659" i="6"/>
  <c r="S659" i="6"/>
  <c r="T659" i="6"/>
  <c r="B660" i="6"/>
  <c r="C660" i="6"/>
  <c r="D660" i="6"/>
  <c r="E660" i="6"/>
  <c r="F660" i="6"/>
  <c r="H660" i="6"/>
  <c r="I660" i="6"/>
  <c r="N660" i="6"/>
  <c r="R660" i="6"/>
  <c r="Q660" i="6" s="1"/>
  <c r="S660" i="6" s="1"/>
  <c r="T660" i="6"/>
  <c r="B661" i="6"/>
  <c r="C661" i="6"/>
  <c r="D661" i="6"/>
  <c r="E661" i="6"/>
  <c r="F661" i="6"/>
  <c r="H661" i="6"/>
  <c r="I661" i="6"/>
  <c r="L661" i="6"/>
  <c r="N661" i="6"/>
  <c r="Q661" i="6"/>
  <c r="R661" i="6"/>
  <c r="S661" i="6"/>
  <c r="T661" i="6"/>
  <c r="B662" i="6"/>
  <c r="C662" i="6"/>
  <c r="D662" i="6"/>
  <c r="E662" i="6"/>
  <c r="F662" i="6"/>
  <c r="H662" i="6"/>
  <c r="I662" i="6"/>
  <c r="N662" i="6"/>
  <c r="R662" i="6"/>
  <c r="Q662" i="6" s="1"/>
  <c r="S662" i="6" s="1"/>
  <c r="T662" i="6"/>
  <c r="B663" i="6"/>
  <c r="C663" i="6"/>
  <c r="D663" i="6"/>
  <c r="E663" i="6"/>
  <c r="F663" i="6"/>
  <c r="H663" i="6"/>
  <c r="I663" i="6"/>
  <c r="L663" i="6"/>
  <c r="N663" i="6"/>
  <c r="Q663" i="6"/>
  <c r="R663" i="6"/>
  <c r="S663" i="6"/>
  <c r="T663" i="6"/>
  <c r="B664" i="6"/>
  <c r="C664" i="6"/>
  <c r="D664" i="6"/>
  <c r="E664" i="6"/>
  <c r="F664" i="6"/>
  <c r="H664" i="6"/>
  <c r="I664" i="6"/>
  <c r="N664" i="6"/>
  <c r="R664" i="6"/>
  <c r="Q664" i="6" s="1"/>
  <c r="S664" i="6" s="1"/>
  <c r="T664" i="6"/>
  <c r="B665" i="6"/>
  <c r="C665" i="6"/>
  <c r="D665" i="6"/>
  <c r="E665" i="6"/>
  <c r="F665" i="6"/>
  <c r="H665" i="6"/>
  <c r="I665" i="6"/>
  <c r="L665" i="6"/>
  <c r="N665" i="6"/>
  <c r="Q665" i="6"/>
  <c r="R665" i="6"/>
  <c r="S665" i="6"/>
  <c r="T665" i="6"/>
  <c r="B666" i="6"/>
  <c r="C666" i="6"/>
  <c r="D666" i="6"/>
  <c r="E666" i="6"/>
  <c r="F666" i="6"/>
  <c r="H666" i="6"/>
  <c r="I666" i="6"/>
  <c r="N666" i="6"/>
  <c r="R666" i="6"/>
  <c r="Q666" i="6" s="1"/>
  <c r="S666" i="6" s="1"/>
  <c r="T666" i="6"/>
  <c r="B667" i="6"/>
  <c r="C667" i="6"/>
  <c r="D667" i="6"/>
  <c r="E667" i="6"/>
  <c r="F667" i="6"/>
  <c r="H667" i="6"/>
  <c r="I667" i="6"/>
  <c r="L667" i="6"/>
  <c r="N667" i="6"/>
  <c r="Q667" i="6"/>
  <c r="R667" i="6"/>
  <c r="S667" i="6"/>
  <c r="T667" i="6"/>
  <c r="B668" i="6"/>
  <c r="C668" i="6"/>
  <c r="D668" i="6"/>
  <c r="E668" i="6"/>
  <c r="F668" i="6"/>
  <c r="H668" i="6"/>
  <c r="I668" i="6"/>
  <c r="N668" i="6"/>
  <c r="R668" i="6"/>
  <c r="Q668" i="6" s="1"/>
  <c r="S668" i="6" s="1"/>
  <c r="T668" i="6"/>
  <c r="B669" i="6"/>
  <c r="C669" i="6"/>
  <c r="D669" i="6"/>
  <c r="E669" i="6"/>
  <c r="F669" i="6"/>
  <c r="H669" i="6"/>
  <c r="I669" i="6"/>
  <c r="L669" i="6"/>
  <c r="N669" i="6"/>
  <c r="Q669" i="6"/>
  <c r="R669" i="6"/>
  <c r="S669" i="6"/>
  <c r="T669" i="6"/>
  <c r="B670" i="6"/>
  <c r="C670" i="6"/>
  <c r="D670" i="6"/>
  <c r="E670" i="6"/>
  <c r="F670" i="6"/>
  <c r="H670" i="6"/>
  <c r="I670" i="6"/>
  <c r="N670" i="6"/>
  <c r="R670" i="6"/>
  <c r="Q670" i="6" s="1"/>
  <c r="S670" i="6" s="1"/>
  <c r="T670" i="6"/>
  <c r="B671" i="6"/>
  <c r="C671" i="6"/>
  <c r="D671" i="6"/>
  <c r="E671" i="6"/>
  <c r="F671" i="6"/>
  <c r="H671" i="6"/>
  <c r="I671" i="6"/>
  <c r="L671" i="6"/>
  <c r="N671" i="6"/>
  <c r="Q671" i="6"/>
  <c r="R671" i="6"/>
  <c r="S671" i="6"/>
  <c r="T671" i="6"/>
  <c r="B672" i="6"/>
  <c r="C672" i="6"/>
  <c r="D672" i="6"/>
  <c r="E672" i="6"/>
  <c r="F672" i="6"/>
  <c r="H672" i="6"/>
  <c r="I672" i="6"/>
  <c r="N672" i="6"/>
  <c r="R672" i="6"/>
  <c r="Q672" i="6" s="1"/>
  <c r="S672" i="6" s="1"/>
  <c r="T672" i="6"/>
  <c r="B673" i="6"/>
  <c r="C673" i="6"/>
  <c r="D673" i="6"/>
  <c r="E673" i="6"/>
  <c r="F673" i="6"/>
  <c r="H673" i="6"/>
  <c r="I673" i="6"/>
  <c r="L673" i="6"/>
  <c r="N673" i="6"/>
  <c r="Q673" i="6"/>
  <c r="R673" i="6"/>
  <c r="S673" i="6"/>
  <c r="T673" i="6"/>
  <c r="B674" i="6"/>
  <c r="C674" i="6"/>
  <c r="D674" i="6"/>
  <c r="E674" i="6"/>
  <c r="F674" i="6"/>
  <c r="H674" i="6"/>
  <c r="I674" i="6"/>
  <c r="N674" i="6"/>
  <c r="R674" i="6"/>
  <c r="Q674" i="6" s="1"/>
  <c r="S674" i="6" s="1"/>
  <c r="T674" i="6"/>
  <c r="B675" i="6"/>
  <c r="C675" i="6"/>
  <c r="D675" i="6"/>
  <c r="E675" i="6"/>
  <c r="F675" i="6"/>
  <c r="H675" i="6"/>
  <c r="I675" i="6"/>
  <c r="L675" i="6"/>
  <c r="N675" i="6"/>
  <c r="Q675" i="6"/>
  <c r="R675" i="6"/>
  <c r="S675" i="6"/>
  <c r="T675" i="6"/>
  <c r="B676" i="6"/>
  <c r="C676" i="6"/>
  <c r="D676" i="6"/>
  <c r="E676" i="6"/>
  <c r="F676" i="6"/>
  <c r="H676" i="6"/>
  <c r="I676" i="6"/>
  <c r="N676" i="6"/>
  <c r="R676" i="6"/>
  <c r="Q676" i="6" s="1"/>
  <c r="S676" i="6" s="1"/>
  <c r="T676" i="6"/>
  <c r="B677" i="6"/>
  <c r="C677" i="6"/>
  <c r="D677" i="6"/>
  <c r="E677" i="6"/>
  <c r="F677" i="6"/>
  <c r="H677" i="6"/>
  <c r="I677" i="6"/>
  <c r="L677" i="6"/>
  <c r="N677" i="6"/>
  <c r="Q677" i="6"/>
  <c r="R677" i="6"/>
  <c r="S677" i="6"/>
  <c r="T677" i="6"/>
  <c r="B678" i="6"/>
  <c r="C678" i="6"/>
  <c r="D678" i="6"/>
  <c r="E678" i="6"/>
  <c r="F678" i="6"/>
  <c r="H678" i="6"/>
  <c r="I678" i="6"/>
  <c r="N678" i="6"/>
  <c r="R678" i="6"/>
  <c r="Q678" i="6" s="1"/>
  <c r="S678" i="6" s="1"/>
  <c r="T678" i="6"/>
  <c r="B679" i="6"/>
  <c r="C679" i="6"/>
  <c r="D679" i="6"/>
  <c r="E679" i="6"/>
  <c r="F679" i="6"/>
  <c r="H679" i="6"/>
  <c r="I679" i="6"/>
  <c r="L679" i="6"/>
  <c r="N679" i="6"/>
  <c r="Q679" i="6"/>
  <c r="R679" i="6"/>
  <c r="S679" i="6"/>
  <c r="T679" i="6"/>
  <c r="B680" i="6"/>
  <c r="C680" i="6"/>
  <c r="D680" i="6"/>
  <c r="E680" i="6"/>
  <c r="F680" i="6"/>
  <c r="H680" i="6"/>
  <c r="I680" i="6"/>
  <c r="N680" i="6"/>
  <c r="R680" i="6"/>
  <c r="Q680" i="6" s="1"/>
  <c r="S680" i="6" s="1"/>
  <c r="T680" i="6"/>
  <c r="B681" i="6"/>
  <c r="C681" i="6"/>
  <c r="D681" i="6"/>
  <c r="E681" i="6"/>
  <c r="F681" i="6"/>
  <c r="H681" i="6"/>
  <c r="I681" i="6"/>
  <c r="L681" i="6"/>
  <c r="N681" i="6"/>
  <c r="Q681" i="6"/>
  <c r="R681" i="6"/>
  <c r="S681" i="6"/>
  <c r="T681" i="6"/>
  <c r="B682" i="6"/>
  <c r="C682" i="6"/>
  <c r="D682" i="6"/>
  <c r="E682" i="6"/>
  <c r="F682" i="6"/>
  <c r="H682" i="6"/>
  <c r="I682" i="6"/>
  <c r="N682" i="6"/>
  <c r="R682" i="6"/>
  <c r="Q682" i="6" s="1"/>
  <c r="S682" i="6" s="1"/>
  <c r="T682" i="6"/>
  <c r="B683" i="6"/>
  <c r="C683" i="6"/>
  <c r="D683" i="6"/>
  <c r="E683" i="6"/>
  <c r="F683" i="6"/>
  <c r="H683" i="6"/>
  <c r="I683" i="6"/>
  <c r="L683" i="6"/>
  <c r="N683" i="6"/>
  <c r="Q683" i="6"/>
  <c r="R683" i="6"/>
  <c r="S683" i="6"/>
  <c r="T683" i="6"/>
  <c r="B684" i="6"/>
  <c r="C684" i="6"/>
  <c r="D684" i="6"/>
  <c r="E684" i="6"/>
  <c r="F684" i="6"/>
  <c r="H684" i="6"/>
  <c r="I684" i="6"/>
  <c r="N684" i="6"/>
  <c r="R684" i="6"/>
  <c r="Q684" i="6" s="1"/>
  <c r="S684" i="6" s="1"/>
  <c r="T684" i="6"/>
  <c r="B685" i="6"/>
  <c r="C685" i="6"/>
  <c r="D685" i="6"/>
  <c r="E685" i="6"/>
  <c r="F685" i="6"/>
  <c r="H685" i="6"/>
  <c r="I685" i="6"/>
  <c r="L685" i="6"/>
  <c r="N685" i="6"/>
  <c r="Q685" i="6"/>
  <c r="R685" i="6"/>
  <c r="S685" i="6"/>
  <c r="T685" i="6"/>
  <c r="B686" i="6"/>
  <c r="C686" i="6"/>
  <c r="D686" i="6"/>
  <c r="E686" i="6"/>
  <c r="F686" i="6"/>
  <c r="H686" i="6"/>
  <c r="I686" i="6"/>
  <c r="N686" i="6"/>
  <c r="R686" i="6"/>
  <c r="Q686" i="6" s="1"/>
  <c r="S686" i="6" s="1"/>
  <c r="T686" i="6"/>
  <c r="B687" i="6"/>
  <c r="C687" i="6"/>
  <c r="D687" i="6"/>
  <c r="E687" i="6"/>
  <c r="F687" i="6"/>
  <c r="H687" i="6"/>
  <c r="I687" i="6"/>
  <c r="L687" i="6"/>
  <c r="N687" i="6"/>
  <c r="Q687" i="6"/>
  <c r="R687" i="6"/>
  <c r="S687" i="6"/>
  <c r="T687" i="6"/>
  <c r="B688" i="6"/>
  <c r="C688" i="6"/>
  <c r="D688" i="6"/>
  <c r="E688" i="6"/>
  <c r="F688" i="6"/>
  <c r="H688" i="6"/>
  <c r="I688" i="6"/>
  <c r="N688" i="6"/>
  <c r="R688" i="6"/>
  <c r="Q688" i="6" s="1"/>
  <c r="S688" i="6" s="1"/>
  <c r="T688" i="6"/>
  <c r="B689" i="6"/>
  <c r="C689" i="6"/>
  <c r="D689" i="6"/>
  <c r="E689" i="6"/>
  <c r="F689" i="6"/>
  <c r="H689" i="6"/>
  <c r="I689" i="6"/>
  <c r="L689" i="6"/>
  <c r="N689" i="6"/>
  <c r="Q689" i="6"/>
  <c r="R689" i="6"/>
  <c r="S689" i="6"/>
  <c r="T689" i="6"/>
  <c r="B690" i="6"/>
  <c r="C690" i="6"/>
  <c r="D690" i="6"/>
  <c r="E690" i="6"/>
  <c r="F690" i="6"/>
  <c r="H690" i="6"/>
  <c r="I690" i="6"/>
  <c r="N690" i="6"/>
  <c r="R690" i="6"/>
  <c r="Q690" i="6" s="1"/>
  <c r="S690" i="6" s="1"/>
  <c r="T690" i="6"/>
  <c r="B691" i="6"/>
  <c r="C691" i="6"/>
  <c r="D691" i="6"/>
  <c r="E691" i="6"/>
  <c r="F691" i="6"/>
  <c r="H691" i="6"/>
  <c r="I691" i="6"/>
  <c r="L691" i="6"/>
  <c r="N691" i="6"/>
  <c r="Q691" i="6"/>
  <c r="R691" i="6"/>
  <c r="S691" i="6"/>
  <c r="T691" i="6"/>
  <c r="B692" i="6"/>
  <c r="C692" i="6"/>
  <c r="D692" i="6"/>
  <c r="E692" i="6"/>
  <c r="F692" i="6"/>
  <c r="H692" i="6"/>
  <c r="I692" i="6"/>
  <c r="N692" i="6"/>
  <c r="R692" i="6"/>
  <c r="Q692" i="6" s="1"/>
  <c r="S692" i="6" s="1"/>
  <c r="T692" i="6"/>
  <c r="B693" i="6"/>
  <c r="C693" i="6"/>
  <c r="D693" i="6"/>
  <c r="E693" i="6"/>
  <c r="F693" i="6"/>
  <c r="H693" i="6"/>
  <c r="I693" i="6"/>
  <c r="L693" i="6"/>
  <c r="N693" i="6"/>
  <c r="Q693" i="6"/>
  <c r="R693" i="6"/>
  <c r="S693" i="6"/>
  <c r="T693" i="6"/>
  <c r="B694" i="6"/>
  <c r="C694" i="6"/>
  <c r="D694" i="6"/>
  <c r="E694" i="6"/>
  <c r="F694" i="6"/>
  <c r="H694" i="6"/>
  <c r="I694" i="6"/>
  <c r="N694" i="6"/>
  <c r="R694" i="6"/>
  <c r="Q694" i="6" s="1"/>
  <c r="S694" i="6" s="1"/>
  <c r="T694" i="6"/>
  <c r="B695" i="6"/>
  <c r="C695" i="6"/>
  <c r="D695" i="6"/>
  <c r="E695" i="6"/>
  <c r="F695" i="6"/>
  <c r="H695" i="6"/>
  <c r="I695" i="6"/>
  <c r="L695" i="6"/>
  <c r="N695" i="6"/>
  <c r="Q695" i="6"/>
  <c r="R695" i="6"/>
  <c r="S695" i="6"/>
  <c r="T695" i="6"/>
  <c r="B696" i="6"/>
  <c r="C696" i="6"/>
  <c r="D696" i="6"/>
  <c r="E696" i="6"/>
  <c r="F696" i="6"/>
  <c r="H696" i="6"/>
  <c r="I696" i="6"/>
  <c r="N696" i="6"/>
  <c r="R696" i="6"/>
  <c r="Q696" i="6" s="1"/>
  <c r="S696" i="6" s="1"/>
  <c r="T696" i="6"/>
  <c r="B697" i="6"/>
  <c r="C697" i="6"/>
  <c r="D697" i="6"/>
  <c r="E697" i="6"/>
  <c r="F697" i="6"/>
  <c r="H697" i="6"/>
  <c r="I697" i="6"/>
  <c r="L697" i="6"/>
  <c r="N697" i="6"/>
  <c r="Q697" i="6"/>
  <c r="R697" i="6"/>
  <c r="S697" i="6"/>
  <c r="T697" i="6"/>
  <c r="B698" i="6"/>
  <c r="C698" i="6"/>
  <c r="D698" i="6"/>
  <c r="E698" i="6"/>
  <c r="F698" i="6"/>
  <c r="H698" i="6"/>
  <c r="I698" i="6"/>
  <c r="N698" i="6"/>
  <c r="R698" i="6"/>
  <c r="Q698" i="6" s="1"/>
  <c r="S698" i="6" s="1"/>
  <c r="T698" i="6"/>
  <c r="B699" i="6"/>
  <c r="C699" i="6"/>
  <c r="D699" i="6"/>
  <c r="E699" i="6"/>
  <c r="F699" i="6"/>
  <c r="H699" i="6"/>
  <c r="I699" i="6"/>
  <c r="L699" i="6"/>
  <c r="N699" i="6"/>
  <c r="Q699" i="6"/>
  <c r="R699" i="6"/>
  <c r="S699" i="6"/>
  <c r="T699" i="6"/>
  <c r="B700" i="6"/>
  <c r="C700" i="6"/>
  <c r="D700" i="6"/>
  <c r="E700" i="6"/>
  <c r="F700" i="6"/>
  <c r="H700" i="6"/>
  <c r="I700" i="6"/>
  <c r="N700" i="6"/>
  <c r="R700" i="6"/>
  <c r="Q700" i="6" s="1"/>
  <c r="S700" i="6" s="1"/>
  <c r="T700" i="6"/>
  <c r="B701" i="6"/>
  <c r="C701" i="6"/>
  <c r="D701" i="6"/>
  <c r="E701" i="6"/>
  <c r="F701" i="6"/>
  <c r="H701" i="6"/>
  <c r="I701" i="6"/>
  <c r="L701" i="6"/>
  <c r="N701" i="6"/>
  <c r="Q701" i="6"/>
  <c r="R701" i="6"/>
  <c r="S701" i="6"/>
  <c r="T701" i="6"/>
  <c r="B702" i="6"/>
  <c r="C702" i="6"/>
  <c r="D702" i="6"/>
  <c r="E702" i="6"/>
  <c r="F702" i="6"/>
  <c r="H702" i="6"/>
  <c r="I702" i="6"/>
  <c r="N702" i="6"/>
  <c r="R702" i="6"/>
  <c r="Q702" i="6" s="1"/>
  <c r="S702" i="6" s="1"/>
  <c r="T702" i="6"/>
  <c r="B703" i="6"/>
  <c r="C703" i="6"/>
  <c r="D703" i="6"/>
  <c r="E703" i="6"/>
  <c r="F703" i="6"/>
  <c r="H703" i="6"/>
  <c r="I703" i="6"/>
  <c r="L703" i="6"/>
  <c r="N703" i="6"/>
  <c r="Q703" i="6"/>
  <c r="R703" i="6"/>
  <c r="S703" i="6"/>
  <c r="T703" i="6"/>
  <c r="B704" i="6"/>
  <c r="C704" i="6"/>
  <c r="D704" i="6"/>
  <c r="E704" i="6"/>
  <c r="F704" i="6"/>
  <c r="H704" i="6"/>
  <c r="I704" i="6"/>
  <c r="N704" i="6"/>
  <c r="R704" i="6"/>
  <c r="Q704" i="6" s="1"/>
  <c r="S704" i="6" s="1"/>
  <c r="T704" i="6"/>
  <c r="B705" i="6"/>
  <c r="C705" i="6"/>
  <c r="D705" i="6"/>
  <c r="E705" i="6"/>
  <c r="F705" i="6"/>
  <c r="H705" i="6"/>
  <c r="I705" i="6"/>
  <c r="L705" i="6"/>
  <c r="N705" i="6"/>
  <c r="Q705" i="6"/>
  <c r="R705" i="6"/>
  <c r="S705" i="6"/>
  <c r="T705" i="6"/>
  <c r="B706" i="6"/>
  <c r="C706" i="6"/>
  <c r="D706" i="6"/>
  <c r="E706" i="6"/>
  <c r="F706" i="6"/>
  <c r="H706" i="6"/>
  <c r="I706" i="6"/>
  <c r="N706" i="6"/>
  <c r="R706" i="6"/>
  <c r="Q706" i="6" s="1"/>
  <c r="S706" i="6" s="1"/>
  <c r="T706" i="6"/>
  <c r="B707" i="6"/>
  <c r="C707" i="6"/>
  <c r="D707" i="6"/>
  <c r="E707" i="6"/>
  <c r="F707" i="6"/>
  <c r="H707" i="6"/>
  <c r="I707" i="6"/>
  <c r="L707" i="6"/>
  <c r="N707" i="6"/>
  <c r="Q707" i="6"/>
  <c r="R707" i="6"/>
  <c r="S707" i="6"/>
  <c r="T707" i="6"/>
  <c r="B708" i="6"/>
  <c r="C708" i="6"/>
  <c r="D708" i="6"/>
  <c r="L708" i="6" s="1"/>
  <c r="E708" i="6"/>
  <c r="F708" i="6"/>
  <c r="H708" i="6"/>
  <c r="I708" i="6"/>
  <c r="N708" i="6"/>
  <c r="R708" i="6"/>
  <c r="Q708" i="6" s="1"/>
  <c r="S708" i="6" s="1"/>
  <c r="T708" i="6"/>
  <c r="B709" i="6"/>
  <c r="C709" i="6"/>
  <c r="D709" i="6"/>
  <c r="E709" i="6"/>
  <c r="F709" i="6"/>
  <c r="H709" i="6"/>
  <c r="I709" i="6"/>
  <c r="L709" i="6"/>
  <c r="N709" i="6"/>
  <c r="Q709" i="6"/>
  <c r="R709" i="6"/>
  <c r="S709" i="6"/>
  <c r="T709" i="6"/>
  <c r="B710" i="6"/>
  <c r="C710" i="6"/>
  <c r="D710" i="6"/>
  <c r="L710" i="6" s="1"/>
  <c r="E710" i="6"/>
  <c r="F710" i="6"/>
  <c r="H710" i="6"/>
  <c r="I710" i="6"/>
  <c r="N710" i="6"/>
  <c r="R710" i="6"/>
  <c r="Q710" i="6" s="1"/>
  <c r="S710" i="6" s="1"/>
  <c r="T710" i="6"/>
  <c r="B711" i="6"/>
  <c r="C711" i="6"/>
  <c r="D711" i="6"/>
  <c r="E711" i="6"/>
  <c r="F711" i="6"/>
  <c r="H711" i="6"/>
  <c r="I711" i="6"/>
  <c r="L711" i="6"/>
  <c r="N711" i="6"/>
  <c r="Q711" i="6"/>
  <c r="R711" i="6"/>
  <c r="S711" i="6"/>
  <c r="T711" i="6"/>
  <c r="B712" i="6"/>
  <c r="C712" i="6"/>
  <c r="D712" i="6"/>
  <c r="L712" i="6" s="1"/>
  <c r="E712" i="6"/>
  <c r="F712" i="6"/>
  <c r="H712" i="6"/>
  <c r="I712" i="6"/>
  <c r="N712" i="6"/>
  <c r="R712" i="6"/>
  <c r="Q712" i="6" s="1"/>
  <c r="S712" i="6" s="1"/>
  <c r="T712" i="6"/>
  <c r="B713" i="6"/>
  <c r="C713" i="6"/>
  <c r="D713" i="6"/>
  <c r="E713" i="6"/>
  <c r="F713" i="6"/>
  <c r="H713" i="6"/>
  <c r="I713" i="6"/>
  <c r="L713" i="6"/>
  <c r="N713" i="6"/>
  <c r="Q713" i="6"/>
  <c r="R713" i="6"/>
  <c r="S713" i="6"/>
  <c r="T713" i="6"/>
  <c r="B714" i="6"/>
  <c r="C714" i="6"/>
  <c r="D714" i="6"/>
  <c r="L714" i="6" s="1"/>
  <c r="E714" i="6"/>
  <c r="F714" i="6"/>
  <c r="H714" i="6"/>
  <c r="I714" i="6"/>
  <c r="N714" i="6"/>
  <c r="R714" i="6"/>
  <c r="Q714" i="6" s="1"/>
  <c r="S714" i="6" s="1"/>
  <c r="T714" i="6"/>
  <c r="B715" i="6"/>
  <c r="C715" i="6"/>
  <c r="D715" i="6"/>
  <c r="E715" i="6"/>
  <c r="F715" i="6"/>
  <c r="H715" i="6"/>
  <c r="I715" i="6"/>
  <c r="L715" i="6"/>
  <c r="N715" i="6"/>
  <c r="Q715" i="6"/>
  <c r="R715" i="6"/>
  <c r="S715" i="6"/>
  <c r="T715" i="6"/>
  <c r="B716" i="6"/>
  <c r="C716" i="6"/>
  <c r="D716" i="6"/>
  <c r="L716" i="6" s="1"/>
  <c r="E716" i="6"/>
  <c r="F716" i="6"/>
  <c r="H716" i="6"/>
  <c r="I716" i="6"/>
  <c r="N716" i="6"/>
  <c r="R716" i="6"/>
  <c r="Q716" i="6" s="1"/>
  <c r="S716" i="6" s="1"/>
  <c r="T716" i="6"/>
  <c r="B717" i="6"/>
  <c r="C717" i="6"/>
  <c r="D717" i="6"/>
  <c r="E717" i="6"/>
  <c r="F717" i="6"/>
  <c r="H717" i="6"/>
  <c r="I717" i="6"/>
  <c r="L717" i="6"/>
  <c r="N717" i="6"/>
  <c r="Q717" i="6"/>
  <c r="R717" i="6"/>
  <c r="S717" i="6"/>
  <c r="T717" i="6"/>
  <c r="B718" i="6"/>
  <c r="C718" i="6"/>
  <c r="D718" i="6"/>
  <c r="L718" i="6" s="1"/>
  <c r="E718" i="6"/>
  <c r="F718" i="6"/>
  <c r="H718" i="6"/>
  <c r="I718" i="6"/>
  <c r="N718" i="6"/>
  <c r="R718" i="6"/>
  <c r="Q718" i="6" s="1"/>
  <c r="S718" i="6" s="1"/>
  <c r="T718" i="6"/>
  <c r="B719" i="6"/>
  <c r="C719" i="6"/>
  <c r="D719" i="6"/>
  <c r="E719" i="6"/>
  <c r="F719" i="6"/>
  <c r="H719" i="6"/>
  <c r="I719" i="6"/>
  <c r="L719" i="6"/>
  <c r="N719" i="6"/>
  <c r="Q719" i="6"/>
  <c r="R719" i="6"/>
  <c r="S719" i="6"/>
  <c r="T719" i="6"/>
  <c r="B720" i="6"/>
  <c r="C720" i="6"/>
  <c r="D720" i="6"/>
  <c r="L720" i="6" s="1"/>
  <c r="E720" i="6"/>
  <c r="F720" i="6"/>
  <c r="H720" i="6"/>
  <c r="I720" i="6"/>
  <c r="N720" i="6"/>
  <c r="R720" i="6"/>
  <c r="Q720" i="6" s="1"/>
  <c r="S720" i="6" s="1"/>
  <c r="T720" i="6"/>
  <c r="B721" i="6"/>
  <c r="C721" i="6"/>
  <c r="D721" i="6"/>
  <c r="E721" i="6"/>
  <c r="F721" i="6"/>
  <c r="H721" i="6"/>
  <c r="I721" i="6"/>
  <c r="L721" i="6"/>
  <c r="N721" i="6"/>
  <c r="Q721" i="6"/>
  <c r="R721" i="6"/>
  <c r="S721" i="6"/>
  <c r="T721" i="6"/>
  <c r="B722" i="6"/>
  <c r="C722" i="6"/>
  <c r="D722" i="6"/>
  <c r="L722" i="6" s="1"/>
  <c r="E722" i="6"/>
  <c r="F722" i="6"/>
  <c r="H722" i="6"/>
  <c r="I722" i="6"/>
  <c r="N722" i="6"/>
  <c r="R722" i="6"/>
  <c r="Q722" i="6" s="1"/>
  <c r="S722" i="6" s="1"/>
  <c r="T722" i="6"/>
  <c r="B723" i="6"/>
  <c r="C723" i="6"/>
  <c r="D723" i="6"/>
  <c r="E723" i="6"/>
  <c r="F723" i="6"/>
  <c r="H723" i="6"/>
  <c r="I723" i="6"/>
  <c r="L723" i="6"/>
  <c r="N723" i="6"/>
  <c r="Q723" i="6"/>
  <c r="R723" i="6"/>
  <c r="S723" i="6"/>
  <c r="T723" i="6"/>
  <c r="B724" i="6"/>
  <c r="C724" i="6"/>
  <c r="D724" i="6"/>
  <c r="L724" i="6" s="1"/>
  <c r="E724" i="6"/>
  <c r="F724" i="6"/>
  <c r="H724" i="6"/>
  <c r="I724" i="6"/>
  <c r="N724" i="6"/>
  <c r="R724" i="6"/>
  <c r="Q724" i="6" s="1"/>
  <c r="S724" i="6" s="1"/>
  <c r="T724" i="6"/>
  <c r="B725" i="6"/>
  <c r="C725" i="6"/>
  <c r="D725" i="6"/>
  <c r="E725" i="6"/>
  <c r="F725" i="6"/>
  <c r="H725" i="6"/>
  <c r="I725" i="6"/>
  <c r="L725" i="6"/>
  <c r="N725" i="6"/>
  <c r="Q725" i="6"/>
  <c r="R725" i="6"/>
  <c r="S725" i="6"/>
  <c r="T725" i="6"/>
  <c r="B726" i="6"/>
  <c r="C726" i="6"/>
  <c r="D726" i="6"/>
  <c r="L726" i="6" s="1"/>
  <c r="E726" i="6"/>
  <c r="F726" i="6"/>
  <c r="H726" i="6"/>
  <c r="I726" i="6"/>
  <c r="N726" i="6"/>
  <c r="R726" i="6"/>
  <c r="Q726" i="6" s="1"/>
  <c r="S726" i="6" s="1"/>
  <c r="T726" i="6"/>
  <c r="B727" i="6"/>
  <c r="C727" i="6"/>
  <c r="D727" i="6"/>
  <c r="E727" i="6"/>
  <c r="F727" i="6"/>
  <c r="H727" i="6"/>
  <c r="I727" i="6"/>
  <c r="L727" i="6"/>
  <c r="N727" i="6"/>
  <c r="Q727" i="6"/>
  <c r="R727" i="6"/>
  <c r="S727" i="6"/>
  <c r="T727" i="6"/>
  <c r="B728" i="6"/>
  <c r="C728" i="6"/>
  <c r="D728" i="6"/>
  <c r="L728" i="6" s="1"/>
  <c r="E728" i="6"/>
  <c r="F728" i="6"/>
  <c r="H728" i="6"/>
  <c r="I728" i="6"/>
  <c r="N728" i="6"/>
  <c r="R728" i="6"/>
  <c r="Q728" i="6" s="1"/>
  <c r="S728" i="6" s="1"/>
  <c r="T728" i="6"/>
  <c r="B729" i="6"/>
  <c r="C729" i="6"/>
  <c r="D729" i="6"/>
  <c r="E729" i="6"/>
  <c r="F729" i="6"/>
  <c r="H729" i="6"/>
  <c r="I729" i="6"/>
  <c r="L729" i="6"/>
  <c r="N729" i="6"/>
  <c r="Q729" i="6"/>
  <c r="R729" i="6"/>
  <c r="S729" i="6"/>
  <c r="T729" i="6"/>
  <c r="B730" i="6"/>
  <c r="C730" i="6"/>
  <c r="D730" i="6"/>
  <c r="L730" i="6" s="1"/>
  <c r="E730" i="6"/>
  <c r="F730" i="6"/>
  <c r="H730" i="6"/>
  <c r="I730" i="6"/>
  <c r="N730" i="6"/>
  <c r="R730" i="6"/>
  <c r="Q730" i="6" s="1"/>
  <c r="S730" i="6" s="1"/>
  <c r="T730" i="6"/>
  <c r="B731" i="6"/>
  <c r="C731" i="6"/>
  <c r="D731" i="6"/>
  <c r="E731" i="6"/>
  <c r="F731" i="6"/>
  <c r="H731" i="6"/>
  <c r="I731" i="6"/>
  <c r="L731" i="6"/>
  <c r="N731" i="6"/>
  <c r="Q731" i="6"/>
  <c r="R731" i="6"/>
  <c r="S731" i="6"/>
  <c r="T731" i="6"/>
  <c r="B732" i="6"/>
  <c r="C732" i="6"/>
  <c r="D732" i="6"/>
  <c r="L732" i="6" s="1"/>
  <c r="E732" i="6"/>
  <c r="F732" i="6"/>
  <c r="H732" i="6"/>
  <c r="I732" i="6"/>
  <c r="N732" i="6"/>
  <c r="R732" i="6"/>
  <c r="Q732" i="6" s="1"/>
  <c r="S732" i="6" s="1"/>
  <c r="T732" i="6"/>
  <c r="B733" i="6"/>
  <c r="C733" i="6"/>
  <c r="D733" i="6"/>
  <c r="E733" i="6"/>
  <c r="F733" i="6"/>
  <c r="H733" i="6"/>
  <c r="I733" i="6"/>
  <c r="L733" i="6"/>
  <c r="N733" i="6"/>
  <c r="Q733" i="6"/>
  <c r="R733" i="6"/>
  <c r="S733" i="6"/>
  <c r="T733" i="6"/>
  <c r="B734" i="6"/>
  <c r="C734" i="6"/>
  <c r="D734" i="6"/>
  <c r="L734" i="6" s="1"/>
  <c r="E734" i="6"/>
  <c r="F734" i="6"/>
  <c r="H734" i="6"/>
  <c r="I734" i="6"/>
  <c r="N734" i="6"/>
  <c r="R734" i="6"/>
  <c r="Q734" i="6" s="1"/>
  <c r="S734" i="6" s="1"/>
  <c r="T734" i="6"/>
  <c r="B735" i="6"/>
  <c r="C735" i="6"/>
  <c r="D735" i="6"/>
  <c r="E735" i="6"/>
  <c r="F735" i="6"/>
  <c r="H735" i="6"/>
  <c r="I735" i="6"/>
  <c r="L735" i="6"/>
  <c r="N735" i="6"/>
  <c r="Q735" i="6"/>
  <c r="R735" i="6"/>
  <c r="S735" i="6"/>
  <c r="T735" i="6"/>
  <c r="B736" i="6"/>
  <c r="C736" i="6"/>
  <c r="D736" i="6"/>
  <c r="L736" i="6" s="1"/>
  <c r="E736" i="6"/>
  <c r="F736" i="6"/>
  <c r="H736" i="6"/>
  <c r="I736" i="6"/>
  <c r="N736" i="6"/>
  <c r="R736" i="6"/>
  <c r="Q736" i="6" s="1"/>
  <c r="S736" i="6" s="1"/>
  <c r="T736" i="6"/>
  <c r="B737" i="6"/>
  <c r="C737" i="6"/>
  <c r="D737" i="6"/>
  <c r="E737" i="6"/>
  <c r="F737" i="6"/>
  <c r="H737" i="6"/>
  <c r="I737" i="6"/>
  <c r="L737" i="6"/>
  <c r="N737" i="6"/>
  <c r="Q737" i="6"/>
  <c r="R737" i="6"/>
  <c r="S737" i="6"/>
  <c r="T737" i="6"/>
  <c r="B738" i="6"/>
  <c r="C738" i="6"/>
  <c r="D738" i="6"/>
  <c r="L738" i="6" s="1"/>
  <c r="E738" i="6"/>
  <c r="F738" i="6"/>
  <c r="H738" i="6"/>
  <c r="I738" i="6"/>
  <c r="N738" i="6"/>
  <c r="R738" i="6"/>
  <c r="Q738" i="6" s="1"/>
  <c r="S738" i="6" s="1"/>
  <c r="T738" i="6"/>
  <c r="B739" i="6"/>
  <c r="C739" i="6"/>
  <c r="D739" i="6"/>
  <c r="E739" i="6"/>
  <c r="F739" i="6"/>
  <c r="H739" i="6"/>
  <c r="I739" i="6"/>
  <c r="L739" i="6"/>
  <c r="N739" i="6"/>
  <c r="Q739" i="6"/>
  <c r="R739" i="6"/>
  <c r="S739" i="6"/>
  <c r="T739" i="6"/>
  <c r="B740" i="6"/>
  <c r="C740" i="6"/>
  <c r="D740" i="6"/>
  <c r="L740" i="6" s="1"/>
  <c r="E740" i="6"/>
  <c r="F740" i="6"/>
  <c r="H740" i="6"/>
  <c r="I740" i="6"/>
  <c r="N740" i="6"/>
  <c r="R740" i="6"/>
  <c r="Q740" i="6" s="1"/>
  <c r="S740" i="6" s="1"/>
  <c r="T740" i="6"/>
  <c r="B741" i="6"/>
  <c r="C741" i="6"/>
  <c r="D741" i="6"/>
  <c r="E741" i="6"/>
  <c r="F741" i="6"/>
  <c r="H741" i="6"/>
  <c r="I741" i="6"/>
  <c r="L741" i="6"/>
  <c r="N741" i="6"/>
  <c r="Q741" i="6"/>
  <c r="R741" i="6"/>
  <c r="S741" i="6"/>
  <c r="T741" i="6"/>
  <c r="B742" i="6"/>
  <c r="C742" i="6"/>
  <c r="D742" i="6"/>
  <c r="L742" i="6" s="1"/>
  <c r="E742" i="6"/>
  <c r="F742" i="6"/>
  <c r="H742" i="6"/>
  <c r="I742" i="6"/>
  <c r="N742" i="6"/>
  <c r="R742" i="6"/>
  <c r="Q742" i="6" s="1"/>
  <c r="S742" i="6" s="1"/>
  <c r="T742" i="6"/>
  <c r="B743" i="6"/>
  <c r="C743" i="6"/>
  <c r="D743" i="6"/>
  <c r="E743" i="6"/>
  <c r="F743" i="6"/>
  <c r="H743" i="6"/>
  <c r="I743" i="6"/>
  <c r="L743" i="6"/>
  <c r="N743" i="6"/>
  <c r="Q743" i="6"/>
  <c r="R743" i="6"/>
  <c r="S743" i="6"/>
  <c r="T743" i="6"/>
  <c r="B744" i="6"/>
  <c r="C744" i="6"/>
  <c r="D744" i="6"/>
  <c r="L744" i="6" s="1"/>
  <c r="E744" i="6"/>
  <c r="F744" i="6"/>
  <c r="H744" i="6"/>
  <c r="I744" i="6"/>
  <c r="N744" i="6"/>
  <c r="R744" i="6"/>
  <c r="Q744" i="6" s="1"/>
  <c r="S744" i="6" s="1"/>
  <c r="T744" i="6"/>
  <c r="B745" i="6"/>
  <c r="C745" i="6"/>
  <c r="D745" i="6"/>
  <c r="E745" i="6"/>
  <c r="F745" i="6"/>
  <c r="H745" i="6"/>
  <c r="I745" i="6"/>
  <c r="L745" i="6"/>
  <c r="N745" i="6"/>
  <c r="Q745" i="6"/>
  <c r="R745" i="6"/>
  <c r="S745" i="6"/>
  <c r="T745" i="6"/>
  <c r="B746" i="6"/>
  <c r="C746" i="6"/>
  <c r="D746" i="6"/>
  <c r="L746" i="6" s="1"/>
  <c r="E746" i="6"/>
  <c r="F746" i="6"/>
  <c r="H746" i="6"/>
  <c r="I746" i="6"/>
  <c r="N746" i="6"/>
  <c r="R746" i="6"/>
  <c r="Q746" i="6" s="1"/>
  <c r="S746" i="6" s="1"/>
  <c r="T746" i="6"/>
  <c r="B747" i="6"/>
  <c r="C747" i="6"/>
  <c r="D747" i="6"/>
  <c r="E747" i="6"/>
  <c r="F747" i="6"/>
  <c r="H747" i="6"/>
  <c r="I747" i="6"/>
  <c r="L747" i="6"/>
  <c r="N747" i="6"/>
  <c r="Q747" i="6"/>
  <c r="R747" i="6"/>
  <c r="S747" i="6"/>
  <c r="T747" i="6"/>
  <c r="B748" i="6"/>
  <c r="C748" i="6"/>
  <c r="D748" i="6"/>
  <c r="E748" i="6"/>
  <c r="F748" i="6"/>
  <c r="H748" i="6"/>
  <c r="I748" i="6"/>
  <c r="N748" i="6"/>
  <c r="R748" i="6"/>
  <c r="Q748" i="6" s="1"/>
  <c r="S748" i="6" s="1"/>
  <c r="T748" i="6"/>
  <c r="B749" i="6"/>
  <c r="C749" i="6"/>
  <c r="D749" i="6"/>
  <c r="E749" i="6"/>
  <c r="F749" i="6"/>
  <c r="H749" i="6"/>
  <c r="I749" i="6"/>
  <c r="L749" i="6"/>
  <c r="N749" i="6"/>
  <c r="Q749" i="6"/>
  <c r="R749" i="6"/>
  <c r="S749" i="6"/>
  <c r="T749" i="6"/>
  <c r="B750" i="6"/>
  <c r="C750" i="6"/>
  <c r="D750" i="6"/>
  <c r="E750" i="6"/>
  <c r="F750" i="6"/>
  <c r="H750" i="6"/>
  <c r="I750" i="6"/>
  <c r="N750" i="6"/>
  <c r="R750" i="6"/>
  <c r="Q750" i="6" s="1"/>
  <c r="S750" i="6" s="1"/>
  <c r="T750" i="6"/>
  <c r="B751" i="6"/>
  <c r="C751" i="6"/>
  <c r="D751" i="6"/>
  <c r="E751" i="6"/>
  <c r="F751" i="6"/>
  <c r="H751" i="6"/>
  <c r="I751" i="6"/>
  <c r="L751" i="6"/>
  <c r="N751" i="6"/>
  <c r="Q751" i="6"/>
  <c r="R751" i="6"/>
  <c r="S751" i="6"/>
  <c r="T751" i="6"/>
  <c r="B752" i="6"/>
  <c r="C752" i="6"/>
  <c r="D752" i="6"/>
  <c r="E752" i="6"/>
  <c r="F752" i="6"/>
  <c r="H752" i="6"/>
  <c r="I752" i="6"/>
  <c r="N752" i="6"/>
  <c r="R752" i="6"/>
  <c r="Q752" i="6" s="1"/>
  <c r="S752" i="6" s="1"/>
  <c r="T752" i="6"/>
  <c r="B753" i="6"/>
  <c r="C753" i="6"/>
  <c r="D753" i="6"/>
  <c r="E753" i="6"/>
  <c r="F753" i="6"/>
  <c r="H753" i="6"/>
  <c r="I753" i="6"/>
  <c r="L753" i="6"/>
  <c r="N753" i="6"/>
  <c r="Q753" i="6"/>
  <c r="R753" i="6"/>
  <c r="S753" i="6"/>
  <c r="T753" i="6"/>
  <c r="B754" i="6"/>
  <c r="C754" i="6"/>
  <c r="D754" i="6"/>
  <c r="E754" i="6"/>
  <c r="F754" i="6"/>
  <c r="H754" i="6"/>
  <c r="I754" i="6"/>
  <c r="N754" i="6"/>
  <c r="R754" i="6"/>
  <c r="Q754" i="6" s="1"/>
  <c r="S754" i="6" s="1"/>
  <c r="T754" i="6"/>
  <c r="B755" i="6"/>
  <c r="C755" i="6"/>
  <c r="D755" i="6"/>
  <c r="E755" i="6"/>
  <c r="F755" i="6"/>
  <c r="H755" i="6"/>
  <c r="I755" i="6"/>
  <c r="L755" i="6"/>
  <c r="N755" i="6"/>
  <c r="Q755" i="6"/>
  <c r="R755" i="6"/>
  <c r="S755" i="6"/>
  <c r="T755" i="6"/>
  <c r="B756" i="6"/>
  <c r="C756" i="6"/>
  <c r="D756" i="6"/>
  <c r="E756" i="6"/>
  <c r="F756" i="6"/>
  <c r="H756" i="6"/>
  <c r="I756" i="6"/>
  <c r="N756" i="6"/>
  <c r="R756" i="6"/>
  <c r="Q756" i="6" s="1"/>
  <c r="S756" i="6" s="1"/>
  <c r="T756" i="6"/>
  <c r="B757" i="6"/>
  <c r="C757" i="6"/>
  <c r="D757" i="6"/>
  <c r="E757" i="6"/>
  <c r="F757" i="6"/>
  <c r="H757" i="6"/>
  <c r="I757" i="6"/>
  <c r="L757" i="6"/>
  <c r="N757" i="6"/>
  <c r="Q757" i="6"/>
  <c r="R757" i="6"/>
  <c r="S757" i="6"/>
  <c r="T757" i="6"/>
  <c r="B758" i="6"/>
  <c r="C758" i="6"/>
  <c r="D758" i="6"/>
  <c r="E758" i="6"/>
  <c r="F758" i="6"/>
  <c r="H758" i="6"/>
  <c r="I758" i="6"/>
  <c r="N758" i="6"/>
  <c r="R758" i="6"/>
  <c r="Q758" i="6" s="1"/>
  <c r="S758" i="6" s="1"/>
  <c r="T758" i="6"/>
  <c r="B759" i="6"/>
  <c r="C759" i="6"/>
  <c r="D759" i="6"/>
  <c r="E759" i="6"/>
  <c r="F759" i="6"/>
  <c r="H759" i="6"/>
  <c r="I759" i="6"/>
  <c r="L759" i="6"/>
  <c r="N759" i="6"/>
  <c r="Q759" i="6"/>
  <c r="R759" i="6"/>
  <c r="S759" i="6"/>
  <c r="T759" i="6"/>
  <c r="B760" i="6"/>
  <c r="C760" i="6"/>
  <c r="D760" i="6"/>
  <c r="E760" i="6"/>
  <c r="F760" i="6"/>
  <c r="H760" i="6"/>
  <c r="I760" i="6"/>
  <c r="N760" i="6"/>
  <c r="R760" i="6"/>
  <c r="Q760" i="6" s="1"/>
  <c r="S760" i="6" s="1"/>
  <c r="T760" i="6"/>
  <c r="B761" i="6"/>
  <c r="C761" i="6"/>
  <c r="D761" i="6"/>
  <c r="E761" i="6"/>
  <c r="F761" i="6"/>
  <c r="H761" i="6"/>
  <c r="I761" i="6"/>
  <c r="L761" i="6"/>
  <c r="N761" i="6"/>
  <c r="Q761" i="6"/>
  <c r="R761" i="6"/>
  <c r="S761" i="6"/>
  <c r="T761" i="6"/>
  <c r="B762" i="6"/>
  <c r="C762" i="6"/>
  <c r="D762" i="6"/>
  <c r="E762" i="6"/>
  <c r="F762" i="6"/>
  <c r="H762" i="6"/>
  <c r="I762" i="6"/>
  <c r="N762" i="6"/>
  <c r="R762" i="6"/>
  <c r="Q762" i="6" s="1"/>
  <c r="S762" i="6" s="1"/>
  <c r="T762" i="6"/>
  <c r="B763" i="6"/>
  <c r="C763" i="6"/>
  <c r="D763" i="6"/>
  <c r="E763" i="6"/>
  <c r="F763" i="6"/>
  <c r="H763" i="6"/>
  <c r="I763" i="6"/>
  <c r="L763" i="6"/>
  <c r="N763" i="6"/>
  <c r="Q763" i="6"/>
  <c r="R763" i="6"/>
  <c r="S763" i="6"/>
  <c r="T763" i="6"/>
  <c r="B764" i="6"/>
  <c r="C764" i="6"/>
  <c r="D764" i="6"/>
  <c r="E764" i="6"/>
  <c r="F764" i="6"/>
  <c r="H764" i="6"/>
  <c r="I764" i="6"/>
  <c r="N764" i="6"/>
  <c r="R764" i="6"/>
  <c r="Q764" i="6" s="1"/>
  <c r="S764" i="6" s="1"/>
  <c r="T764" i="6"/>
  <c r="B765" i="6"/>
  <c r="C765" i="6"/>
  <c r="D765" i="6"/>
  <c r="E765" i="6"/>
  <c r="F765" i="6"/>
  <c r="H765" i="6"/>
  <c r="I765" i="6"/>
  <c r="L765" i="6"/>
  <c r="N765" i="6"/>
  <c r="Q765" i="6"/>
  <c r="R765" i="6"/>
  <c r="S765" i="6"/>
  <c r="T765" i="6"/>
  <c r="B766" i="6"/>
  <c r="C766" i="6"/>
  <c r="D766" i="6"/>
  <c r="E766" i="6"/>
  <c r="F766" i="6"/>
  <c r="H766" i="6"/>
  <c r="I766" i="6"/>
  <c r="N766" i="6"/>
  <c r="R766" i="6"/>
  <c r="Q766" i="6" s="1"/>
  <c r="S766" i="6" s="1"/>
  <c r="T766" i="6"/>
  <c r="B767" i="6"/>
  <c r="C767" i="6"/>
  <c r="D767" i="6"/>
  <c r="E767" i="6"/>
  <c r="F767" i="6"/>
  <c r="H767" i="6"/>
  <c r="I767" i="6"/>
  <c r="L767" i="6"/>
  <c r="N767" i="6"/>
  <c r="Q767" i="6"/>
  <c r="R767" i="6"/>
  <c r="S767" i="6"/>
  <c r="T767" i="6"/>
  <c r="B768" i="6"/>
  <c r="C768" i="6"/>
  <c r="D768" i="6"/>
  <c r="E768" i="6"/>
  <c r="F768" i="6"/>
  <c r="H768" i="6"/>
  <c r="I768" i="6"/>
  <c r="N768" i="6"/>
  <c r="R768" i="6"/>
  <c r="Q768" i="6" s="1"/>
  <c r="S768" i="6" s="1"/>
  <c r="T768" i="6"/>
  <c r="B769" i="6"/>
  <c r="C769" i="6"/>
  <c r="D769" i="6"/>
  <c r="E769" i="6"/>
  <c r="F769" i="6"/>
  <c r="H769" i="6"/>
  <c r="I769" i="6"/>
  <c r="L769" i="6"/>
  <c r="N769" i="6"/>
  <c r="Q769" i="6"/>
  <c r="R769" i="6"/>
  <c r="S769" i="6"/>
  <c r="T769" i="6"/>
  <c r="B770" i="6"/>
  <c r="C770" i="6"/>
  <c r="D770" i="6"/>
  <c r="E770" i="6"/>
  <c r="F770" i="6"/>
  <c r="H770" i="6"/>
  <c r="I770" i="6"/>
  <c r="N770" i="6"/>
  <c r="R770" i="6"/>
  <c r="Q770" i="6" s="1"/>
  <c r="S770" i="6" s="1"/>
  <c r="T770" i="6"/>
  <c r="B771" i="6"/>
  <c r="C771" i="6"/>
  <c r="D771" i="6"/>
  <c r="E771" i="6"/>
  <c r="F771" i="6"/>
  <c r="H771" i="6"/>
  <c r="I771" i="6"/>
  <c r="L771" i="6"/>
  <c r="N771" i="6"/>
  <c r="Q771" i="6"/>
  <c r="R771" i="6"/>
  <c r="S771" i="6"/>
  <c r="T771" i="6"/>
  <c r="B772" i="6"/>
  <c r="C772" i="6"/>
  <c r="D772" i="6"/>
  <c r="E772" i="6"/>
  <c r="F772" i="6"/>
  <c r="H772" i="6"/>
  <c r="I772" i="6"/>
  <c r="N772" i="6"/>
  <c r="R772" i="6"/>
  <c r="Q772" i="6" s="1"/>
  <c r="S772" i="6" s="1"/>
  <c r="T772" i="6"/>
  <c r="B773" i="6"/>
  <c r="C773" i="6"/>
  <c r="D773" i="6"/>
  <c r="E773" i="6"/>
  <c r="F773" i="6"/>
  <c r="H773" i="6"/>
  <c r="I773" i="6"/>
  <c r="L773" i="6"/>
  <c r="N773" i="6"/>
  <c r="Q773" i="6"/>
  <c r="R773" i="6"/>
  <c r="S773" i="6"/>
  <c r="T773" i="6"/>
  <c r="B774" i="6"/>
  <c r="C774" i="6"/>
  <c r="D774" i="6"/>
  <c r="E774" i="6"/>
  <c r="F774" i="6"/>
  <c r="H774" i="6"/>
  <c r="I774" i="6"/>
  <c r="N774" i="6"/>
  <c r="R774" i="6"/>
  <c r="Q774" i="6" s="1"/>
  <c r="S774" i="6" s="1"/>
  <c r="T774" i="6"/>
  <c r="B775" i="6"/>
  <c r="C775" i="6"/>
  <c r="D775" i="6"/>
  <c r="E775" i="6"/>
  <c r="F775" i="6"/>
  <c r="H775" i="6"/>
  <c r="I775" i="6"/>
  <c r="L775" i="6"/>
  <c r="N775" i="6"/>
  <c r="Q775" i="6"/>
  <c r="R775" i="6"/>
  <c r="S775" i="6"/>
  <c r="T775" i="6"/>
  <c r="B776" i="6"/>
  <c r="C776" i="6"/>
  <c r="D776" i="6"/>
  <c r="E776" i="6"/>
  <c r="F776" i="6"/>
  <c r="H776" i="6"/>
  <c r="I776" i="6"/>
  <c r="N776" i="6"/>
  <c r="R776" i="6"/>
  <c r="Q776" i="6" s="1"/>
  <c r="S776" i="6" s="1"/>
  <c r="T776" i="6"/>
  <c r="B777" i="6"/>
  <c r="C777" i="6"/>
  <c r="D777" i="6"/>
  <c r="E777" i="6"/>
  <c r="F777" i="6"/>
  <c r="H777" i="6"/>
  <c r="I777" i="6"/>
  <c r="L777" i="6"/>
  <c r="N777" i="6"/>
  <c r="Q777" i="6"/>
  <c r="R777" i="6"/>
  <c r="S777" i="6"/>
  <c r="T777" i="6"/>
  <c r="B778" i="6"/>
  <c r="C778" i="6"/>
  <c r="D778" i="6"/>
  <c r="E778" i="6"/>
  <c r="F778" i="6"/>
  <c r="H778" i="6"/>
  <c r="I778" i="6"/>
  <c r="N778" i="6"/>
  <c r="R778" i="6"/>
  <c r="Q778" i="6" s="1"/>
  <c r="S778" i="6" s="1"/>
  <c r="T778" i="6"/>
  <c r="B779" i="6"/>
  <c r="C779" i="6"/>
  <c r="D779" i="6"/>
  <c r="E779" i="6"/>
  <c r="F779" i="6"/>
  <c r="H779" i="6"/>
  <c r="I779" i="6"/>
  <c r="L779" i="6"/>
  <c r="N779" i="6"/>
  <c r="Q779" i="6"/>
  <c r="R779" i="6"/>
  <c r="S779" i="6"/>
  <c r="T779" i="6"/>
  <c r="B780" i="6"/>
  <c r="C780" i="6"/>
  <c r="D780" i="6"/>
  <c r="E780" i="6"/>
  <c r="F780" i="6"/>
  <c r="H780" i="6"/>
  <c r="I780" i="6"/>
  <c r="N780" i="6"/>
  <c r="R780" i="6"/>
  <c r="Q780" i="6" s="1"/>
  <c r="S780" i="6" s="1"/>
  <c r="T780" i="6"/>
  <c r="B781" i="6"/>
  <c r="C781" i="6"/>
  <c r="D781" i="6"/>
  <c r="E781" i="6"/>
  <c r="F781" i="6"/>
  <c r="H781" i="6"/>
  <c r="I781" i="6"/>
  <c r="L781" i="6"/>
  <c r="N781" i="6"/>
  <c r="Q781" i="6"/>
  <c r="R781" i="6"/>
  <c r="S781" i="6"/>
  <c r="T781" i="6"/>
  <c r="B782" i="6"/>
  <c r="C782" i="6"/>
  <c r="D782" i="6"/>
  <c r="E782" i="6"/>
  <c r="F782" i="6"/>
  <c r="H782" i="6"/>
  <c r="I782" i="6"/>
  <c r="N782" i="6"/>
  <c r="R782" i="6"/>
  <c r="Q782" i="6" s="1"/>
  <c r="S782" i="6" s="1"/>
  <c r="T782" i="6"/>
  <c r="B783" i="6"/>
  <c r="C783" i="6"/>
  <c r="D783" i="6"/>
  <c r="E783" i="6"/>
  <c r="F783" i="6"/>
  <c r="H783" i="6"/>
  <c r="I783" i="6"/>
  <c r="L783" i="6"/>
  <c r="N783" i="6"/>
  <c r="Q783" i="6"/>
  <c r="R783" i="6"/>
  <c r="S783" i="6"/>
  <c r="T783" i="6"/>
  <c r="B784" i="6"/>
  <c r="C784" i="6"/>
  <c r="D784" i="6"/>
  <c r="E784" i="6"/>
  <c r="F784" i="6"/>
  <c r="H784" i="6"/>
  <c r="I784" i="6"/>
  <c r="N784" i="6"/>
  <c r="R784" i="6"/>
  <c r="Q784" i="6" s="1"/>
  <c r="S784" i="6" s="1"/>
  <c r="T784" i="6"/>
  <c r="B785" i="6"/>
  <c r="C785" i="6"/>
  <c r="D785" i="6"/>
  <c r="E785" i="6"/>
  <c r="F785" i="6"/>
  <c r="H785" i="6"/>
  <c r="I785" i="6"/>
  <c r="L785" i="6"/>
  <c r="N785" i="6"/>
  <c r="Q785" i="6"/>
  <c r="R785" i="6"/>
  <c r="S785" i="6"/>
  <c r="T785" i="6"/>
  <c r="B786" i="6"/>
  <c r="C786" i="6"/>
  <c r="D786" i="6"/>
  <c r="E786" i="6"/>
  <c r="F786" i="6"/>
  <c r="H786" i="6"/>
  <c r="I786" i="6"/>
  <c r="N786" i="6"/>
  <c r="R786" i="6"/>
  <c r="Q786" i="6" s="1"/>
  <c r="S786" i="6" s="1"/>
  <c r="T786" i="6"/>
  <c r="B787" i="6"/>
  <c r="C787" i="6"/>
  <c r="D787" i="6"/>
  <c r="E787" i="6"/>
  <c r="F787" i="6"/>
  <c r="H787" i="6"/>
  <c r="I787" i="6"/>
  <c r="L787" i="6"/>
  <c r="N787" i="6"/>
  <c r="Q787" i="6"/>
  <c r="R787" i="6"/>
  <c r="S787" i="6"/>
  <c r="T787" i="6"/>
  <c r="B788" i="6"/>
  <c r="C788" i="6"/>
  <c r="D788" i="6"/>
  <c r="E788" i="6"/>
  <c r="F788" i="6"/>
  <c r="H788" i="6"/>
  <c r="I788" i="6"/>
  <c r="N788" i="6"/>
  <c r="R788" i="6"/>
  <c r="Q788" i="6" s="1"/>
  <c r="S788" i="6" s="1"/>
  <c r="T788" i="6"/>
  <c r="B789" i="6"/>
  <c r="C789" i="6"/>
  <c r="D789" i="6"/>
  <c r="E789" i="6"/>
  <c r="F789" i="6"/>
  <c r="H789" i="6"/>
  <c r="I789" i="6"/>
  <c r="L789" i="6"/>
  <c r="N789" i="6"/>
  <c r="Q789" i="6"/>
  <c r="R789" i="6"/>
  <c r="S789" i="6"/>
  <c r="T789" i="6"/>
  <c r="B790" i="6"/>
  <c r="C790" i="6"/>
  <c r="D790" i="6"/>
  <c r="E790" i="6"/>
  <c r="F790" i="6"/>
  <c r="H790" i="6"/>
  <c r="I790" i="6"/>
  <c r="N790" i="6"/>
  <c r="R790" i="6"/>
  <c r="Q790" i="6" s="1"/>
  <c r="S790" i="6" s="1"/>
  <c r="T790" i="6"/>
  <c r="B791" i="6"/>
  <c r="C791" i="6"/>
  <c r="D791" i="6"/>
  <c r="E791" i="6"/>
  <c r="F791" i="6"/>
  <c r="H791" i="6"/>
  <c r="I791" i="6"/>
  <c r="L791" i="6"/>
  <c r="N791" i="6"/>
  <c r="Q791" i="6"/>
  <c r="R791" i="6"/>
  <c r="S791" i="6"/>
  <c r="T791" i="6"/>
  <c r="B792" i="6"/>
  <c r="C792" i="6"/>
  <c r="D792" i="6"/>
  <c r="E792" i="6"/>
  <c r="F792" i="6"/>
  <c r="H792" i="6"/>
  <c r="I792" i="6"/>
  <c r="N792" i="6"/>
  <c r="R792" i="6"/>
  <c r="Q792" i="6" s="1"/>
  <c r="S792" i="6" s="1"/>
  <c r="T792" i="6"/>
  <c r="B793" i="6"/>
  <c r="C793" i="6"/>
  <c r="D793" i="6"/>
  <c r="E793" i="6"/>
  <c r="F793" i="6"/>
  <c r="H793" i="6"/>
  <c r="I793" i="6"/>
  <c r="L793" i="6"/>
  <c r="N793" i="6"/>
  <c r="Q793" i="6"/>
  <c r="R793" i="6"/>
  <c r="S793" i="6"/>
  <c r="T793" i="6"/>
  <c r="B794" i="6"/>
  <c r="C794" i="6"/>
  <c r="D794" i="6"/>
  <c r="E794" i="6"/>
  <c r="F794" i="6"/>
  <c r="H794" i="6"/>
  <c r="I794" i="6"/>
  <c r="N794" i="6"/>
  <c r="R794" i="6"/>
  <c r="Q794" i="6" s="1"/>
  <c r="S794" i="6" s="1"/>
  <c r="T794" i="6"/>
  <c r="B795" i="6"/>
  <c r="C795" i="6"/>
  <c r="D795" i="6"/>
  <c r="E795" i="6"/>
  <c r="F795" i="6"/>
  <c r="H795" i="6"/>
  <c r="I795" i="6"/>
  <c r="L795" i="6"/>
  <c r="N795" i="6"/>
  <c r="Q795" i="6"/>
  <c r="R795" i="6"/>
  <c r="S795" i="6"/>
  <c r="T795" i="6"/>
  <c r="B796" i="6"/>
  <c r="C796" i="6"/>
  <c r="D796" i="6"/>
  <c r="E796" i="6"/>
  <c r="F796" i="6"/>
  <c r="H796" i="6"/>
  <c r="I796" i="6"/>
  <c r="N796" i="6"/>
  <c r="R796" i="6"/>
  <c r="Q796" i="6" s="1"/>
  <c r="S796" i="6" s="1"/>
  <c r="T796" i="6"/>
  <c r="B797" i="6"/>
  <c r="C797" i="6"/>
  <c r="D797" i="6"/>
  <c r="E797" i="6"/>
  <c r="F797" i="6"/>
  <c r="H797" i="6"/>
  <c r="I797" i="6"/>
  <c r="L797" i="6"/>
  <c r="N797" i="6"/>
  <c r="Q797" i="6"/>
  <c r="R797" i="6"/>
  <c r="S797" i="6"/>
  <c r="T797" i="6"/>
  <c r="B798" i="6"/>
  <c r="C798" i="6"/>
  <c r="D798" i="6"/>
  <c r="E798" i="6"/>
  <c r="F798" i="6"/>
  <c r="H798" i="6"/>
  <c r="I798" i="6"/>
  <c r="N798" i="6"/>
  <c r="R798" i="6"/>
  <c r="Q798" i="6" s="1"/>
  <c r="S798" i="6" s="1"/>
  <c r="T798" i="6"/>
  <c r="B799" i="6"/>
  <c r="C799" i="6"/>
  <c r="D799" i="6"/>
  <c r="E799" i="6"/>
  <c r="F799" i="6"/>
  <c r="H799" i="6"/>
  <c r="I799" i="6"/>
  <c r="L799" i="6"/>
  <c r="N799" i="6"/>
  <c r="Q799" i="6"/>
  <c r="R799" i="6"/>
  <c r="S799" i="6"/>
  <c r="T799" i="6"/>
  <c r="B800" i="6"/>
  <c r="C800" i="6"/>
  <c r="D800" i="6"/>
  <c r="E800" i="6"/>
  <c r="F800" i="6"/>
  <c r="H800" i="6"/>
  <c r="I800" i="6"/>
  <c r="N800" i="6"/>
  <c r="R800" i="6"/>
  <c r="Q800" i="6" s="1"/>
  <c r="S800" i="6" s="1"/>
  <c r="T800" i="6"/>
  <c r="B801" i="6"/>
  <c r="C801" i="6"/>
  <c r="D801" i="6"/>
  <c r="E801" i="6"/>
  <c r="F801" i="6"/>
  <c r="H801" i="6"/>
  <c r="I801" i="6"/>
  <c r="L801" i="6"/>
  <c r="N801" i="6"/>
  <c r="Q801" i="6"/>
  <c r="R801" i="6"/>
  <c r="S801" i="6"/>
  <c r="T801" i="6"/>
  <c r="B802" i="6"/>
  <c r="C802" i="6"/>
  <c r="D802" i="6"/>
  <c r="E802" i="6"/>
  <c r="F802" i="6"/>
  <c r="H802" i="6"/>
  <c r="I802" i="6"/>
  <c r="N802" i="6"/>
  <c r="R802" i="6"/>
  <c r="Q802" i="6" s="1"/>
  <c r="S802" i="6" s="1"/>
  <c r="T802" i="6"/>
  <c r="B803" i="6"/>
  <c r="C803" i="6"/>
  <c r="D803" i="6"/>
  <c r="E803" i="6"/>
  <c r="F803" i="6"/>
  <c r="H803" i="6"/>
  <c r="I803" i="6"/>
  <c r="L803" i="6"/>
  <c r="N803" i="6"/>
  <c r="Q803" i="6"/>
  <c r="R803" i="6"/>
  <c r="S803" i="6"/>
  <c r="T803" i="6"/>
  <c r="B804" i="6"/>
  <c r="C804" i="6"/>
  <c r="D804" i="6"/>
  <c r="E804" i="6"/>
  <c r="F804" i="6"/>
  <c r="H804" i="6"/>
  <c r="I804" i="6"/>
  <c r="N804" i="6"/>
  <c r="R804" i="6"/>
  <c r="Q804" i="6" s="1"/>
  <c r="S804" i="6" s="1"/>
  <c r="T804" i="6"/>
  <c r="B805" i="6"/>
  <c r="C805" i="6"/>
  <c r="D805" i="6"/>
  <c r="E805" i="6"/>
  <c r="F805" i="6"/>
  <c r="H805" i="6"/>
  <c r="I805" i="6"/>
  <c r="L805" i="6"/>
  <c r="N805" i="6"/>
  <c r="Q805" i="6"/>
  <c r="R805" i="6"/>
  <c r="S805" i="6"/>
  <c r="T805" i="6"/>
  <c r="B806" i="6"/>
  <c r="C806" i="6"/>
  <c r="D806" i="6"/>
  <c r="E806" i="6"/>
  <c r="F806" i="6"/>
  <c r="H806" i="6"/>
  <c r="I806" i="6"/>
  <c r="N806" i="6"/>
  <c r="R806" i="6"/>
  <c r="Q806" i="6" s="1"/>
  <c r="S806" i="6" s="1"/>
  <c r="T806" i="6"/>
  <c r="B807" i="6"/>
  <c r="C807" i="6"/>
  <c r="D807" i="6"/>
  <c r="E807" i="6"/>
  <c r="F807" i="6"/>
  <c r="H807" i="6"/>
  <c r="I807" i="6"/>
  <c r="L807" i="6"/>
  <c r="N807" i="6"/>
  <c r="Q807" i="6"/>
  <c r="R807" i="6"/>
  <c r="S807" i="6"/>
  <c r="T807" i="6"/>
  <c r="B808" i="6"/>
  <c r="C808" i="6"/>
  <c r="D808" i="6"/>
  <c r="E808" i="6"/>
  <c r="F808" i="6"/>
  <c r="H808" i="6"/>
  <c r="I808" i="6"/>
  <c r="N808" i="6"/>
  <c r="R808" i="6"/>
  <c r="Q808" i="6" s="1"/>
  <c r="S808" i="6" s="1"/>
  <c r="T808" i="6"/>
  <c r="B809" i="6"/>
  <c r="C809" i="6"/>
  <c r="D809" i="6"/>
  <c r="E809" i="6"/>
  <c r="F809" i="6"/>
  <c r="H809" i="6"/>
  <c r="I809" i="6"/>
  <c r="L809" i="6"/>
  <c r="N809" i="6"/>
  <c r="Q809" i="6"/>
  <c r="R809" i="6"/>
  <c r="S809" i="6"/>
  <c r="T809" i="6"/>
  <c r="B810" i="6"/>
  <c r="C810" i="6"/>
  <c r="D810" i="6"/>
  <c r="E810" i="6"/>
  <c r="F810" i="6"/>
  <c r="H810" i="6"/>
  <c r="I810" i="6"/>
  <c r="N810" i="6"/>
  <c r="R810" i="6"/>
  <c r="Q810" i="6" s="1"/>
  <c r="S810" i="6" s="1"/>
  <c r="T810" i="6"/>
  <c r="B811" i="6"/>
  <c r="C811" i="6"/>
  <c r="D811" i="6"/>
  <c r="E811" i="6"/>
  <c r="F811" i="6"/>
  <c r="H811" i="6"/>
  <c r="I811" i="6"/>
  <c r="L811" i="6"/>
  <c r="N811" i="6"/>
  <c r="Q811" i="6"/>
  <c r="R811" i="6"/>
  <c r="S811" i="6"/>
  <c r="T811" i="6"/>
  <c r="B812" i="6"/>
  <c r="C812" i="6"/>
  <c r="D812" i="6"/>
  <c r="E812" i="6"/>
  <c r="F812" i="6"/>
  <c r="H812" i="6"/>
  <c r="I812" i="6"/>
  <c r="N812" i="6"/>
  <c r="R812" i="6"/>
  <c r="Q812" i="6" s="1"/>
  <c r="S812" i="6" s="1"/>
  <c r="T812" i="6"/>
  <c r="B813" i="6"/>
  <c r="C813" i="6"/>
  <c r="D813" i="6"/>
  <c r="E813" i="6"/>
  <c r="F813" i="6"/>
  <c r="H813" i="6"/>
  <c r="I813" i="6"/>
  <c r="L813" i="6"/>
  <c r="N813" i="6"/>
  <c r="Q813" i="6"/>
  <c r="R813" i="6"/>
  <c r="S813" i="6"/>
  <c r="T813" i="6"/>
  <c r="B814" i="6"/>
  <c r="C814" i="6"/>
  <c r="D814" i="6"/>
  <c r="E814" i="6"/>
  <c r="F814" i="6"/>
  <c r="H814" i="6"/>
  <c r="I814" i="6"/>
  <c r="N814" i="6"/>
  <c r="R814" i="6"/>
  <c r="Q814" i="6" s="1"/>
  <c r="S814" i="6" s="1"/>
  <c r="T814" i="6"/>
  <c r="B815" i="6"/>
  <c r="C815" i="6"/>
  <c r="D815" i="6"/>
  <c r="E815" i="6"/>
  <c r="F815" i="6"/>
  <c r="H815" i="6"/>
  <c r="I815" i="6"/>
  <c r="L815" i="6"/>
  <c r="N815" i="6"/>
  <c r="Q815" i="6"/>
  <c r="R815" i="6"/>
  <c r="S815" i="6"/>
  <c r="T815" i="6"/>
  <c r="B816" i="6"/>
  <c r="C816" i="6"/>
  <c r="D816" i="6"/>
  <c r="E816" i="6"/>
  <c r="F816" i="6"/>
  <c r="H816" i="6"/>
  <c r="I816" i="6"/>
  <c r="N816" i="6"/>
  <c r="R816" i="6"/>
  <c r="Q816" i="6" s="1"/>
  <c r="S816" i="6" s="1"/>
  <c r="T816" i="6"/>
  <c r="B817" i="6"/>
  <c r="C817" i="6"/>
  <c r="D817" i="6"/>
  <c r="E817" i="6"/>
  <c r="F817" i="6"/>
  <c r="H817" i="6"/>
  <c r="I817" i="6"/>
  <c r="L817" i="6"/>
  <c r="N817" i="6"/>
  <c r="Q817" i="6"/>
  <c r="R817" i="6"/>
  <c r="S817" i="6"/>
  <c r="T817" i="6"/>
  <c r="B818" i="6"/>
  <c r="C818" i="6"/>
  <c r="D818" i="6"/>
  <c r="E818" i="6"/>
  <c r="F818" i="6"/>
  <c r="H818" i="6"/>
  <c r="I818" i="6"/>
  <c r="N818" i="6"/>
  <c r="R818" i="6"/>
  <c r="Q818" i="6" s="1"/>
  <c r="S818" i="6" s="1"/>
  <c r="T818" i="6"/>
  <c r="B819" i="6"/>
  <c r="C819" i="6"/>
  <c r="D819" i="6"/>
  <c r="E819" i="6"/>
  <c r="F819" i="6"/>
  <c r="H819" i="6"/>
  <c r="I819" i="6"/>
  <c r="L819" i="6"/>
  <c r="N819" i="6"/>
  <c r="Q819" i="6"/>
  <c r="R819" i="6"/>
  <c r="S819" i="6"/>
  <c r="T819" i="6"/>
  <c r="B820" i="6"/>
  <c r="C820" i="6"/>
  <c r="D820" i="6"/>
  <c r="E820" i="6"/>
  <c r="F820" i="6"/>
  <c r="H820" i="6"/>
  <c r="I820" i="6"/>
  <c r="N820" i="6"/>
  <c r="R820" i="6"/>
  <c r="Q820" i="6" s="1"/>
  <c r="S820" i="6" s="1"/>
  <c r="T820" i="6"/>
  <c r="B821" i="6"/>
  <c r="C821" i="6"/>
  <c r="D821" i="6"/>
  <c r="E821" i="6"/>
  <c r="F821" i="6"/>
  <c r="H821" i="6"/>
  <c r="I821" i="6"/>
  <c r="L821" i="6"/>
  <c r="N821" i="6"/>
  <c r="Q821" i="6"/>
  <c r="R821" i="6"/>
  <c r="S821" i="6"/>
  <c r="T821" i="6"/>
  <c r="B822" i="6"/>
  <c r="C822" i="6"/>
  <c r="D822" i="6"/>
  <c r="E822" i="6"/>
  <c r="F822" i="6"/>
  <c r="H822" i="6"/>
  <c r="I822" i="6"/>
  <c r="N822" i="6"/>
  <c r="R822" i="6"/>
  <c r="Q822" i="6" s="1"/>
  <c r="S822" i="6" s="1"/>
  <c r="T822" i="6"/>
  <c r="B823" i="6"/>
  <c r="C823" i="6"/>
  <c r="D823" i="6"/>
  <c r="E823" i="6"/>
  <c r="F823" i="6"/>
  <c r="H823" i="6"/>
  <c r="I823" i="6"/>
  <c r="L823" i="6"/>
  <c r="N823" i="6"/>
  <c r="Q823" i="6"/>
  <c r="R823" i="6"/>
  <c r="S823" i="6"/>
  <c r="T823" i="6"/>
  <c r="B824" i="6"/>
  <c r="C824" i="6"/>
  <c r="D824" i="6"/>
  <c r="E824" i="6"/>
  <c r="F824" i="6"/>
  <c r="H824" i="6"/>
  <c r="I824" i="6"/>
  <c r="N824" i="6"/>
  <c r="R824" i="6"/>
  <c r="Q824" i="6" s="1"/>
  <c r="S824" i="6" s="1"/>
  <c r="T824" i="6"/>
  <c r="B825" i="6"/>
  <c r="C825" i="6"/>
  <c r="D825" i="6"/>
  <c r="E825" i="6"/>
  <c r="F825" i="6"/>
  <c r="H825" i="6"/>
  <c r="I825" i="6"/>
  <c r="L825" i="6"/>
  <c r="N825" i="6"/>
  <c r="Q825" i="6"/>
  <c r="R825" i="6"/>
  <c r="S825" i="6"/>
  <c r="T825" i="6"/>
  <c r="B826" i="6"/>
  <c r="C826" i="6"/>
  <c r="D826" i="6"/>
  <c r="E826" i="6"/>
  <c r="F826" i="6"/>
  <c r="H826" i="6"/>
  <c r="I826" i="6"/>
  <c r="N826" i="6"/>
  <c r="R826" i="6"/>
  <c r="Q826" i="6" s="1"/>
  <c r="S826" i="6" s="1"/>
  <c r="T826" i="6"/>
  <c r="B827" i="6"/>
  <c r="C827" i="6"/>
  <c r="D827" i="6"/>
  <c r="E827" i="6"/>
  <c r="F827" i="6"/>
  <c r="H827" i="6"/>
  <c r="I827" i="6"/>
  <c r="L827" i="6"/>
  <c r="N827" i="6"/>
  <c r="Q827" i="6"/>
  <c r="R827" i="6"/>
  <c r="S827" i="6"/>
  <c r="T827" i="6"/>
  <c r="B828" i="6"/>
  <c r="C828" i="6"/>
  <c r="D828" i="6"/>
  <c r="E828" i="6"/>
  <c r="F828" i="6"/>
  <c r="H828" i="6"/>
  <c r="I828" i="6"/>
  <c r="N828" i="6"/>
  <c r="R828" i="6"/>
  <c r="Q828" i="6" s="1"/>
  <c r="S828" i="6" s="1"/>
  <c r="T828" i="6"/>
  <c r="B829" i="6"/>
  <c r="C829" i="6"/>
  <c r="D829" i="6"/>
  <c r="E829" i="6"/>
  <c r="F829" i="6"/>
  <c r="H829" i="6"/>
  <c r="I829" i="6"/>
  <c r="L829" i="6"/>
  <c r="N829" i="6"/>
  <c r="Q829" i="6"/>
  <c r="R829" i="6"/>
  <c r="S829" i="6"/>
  <c r="T829" i="6"/>
  <c r="B830" i="6"/>
  <c r="C830" i="6"/>
  <c r="D830" i="6"/>
  <c r="E830" i="6"/>
  <c r="F830" i="6"/>
  <c r="H830" i="6"/>
  <c r="I830" i="6"/>
  <c r="N830" i="6"/>
  <c r="R830" i="6"/>
  <c r="Q830" i="6" s="1"/>
  <c r="S830" i="6" s="1"/>
  <c r="T830" i="6"/>
  <c r="B831" i="6"/>
  <c r="C831" i="6"/>
  <c r="D831" i="6"/>
  <c r="E831" i="6"/>
  <c r="F831" i="6"/>
  <c r="H831" i="6"/>
  <c r="I831" i="6"/>
  <c r="L831" i="6"/>
  <c r="N831" i="6"/>
  <c r="Q831" i="6"/>
  <c r="R831" i="6"/>
  <c r="S831" i="6"/>
  <c r="T831" i="6"/>
  <c r="B832" i="6"/>
  <c r="C832" i="6"/>
  <c r="D832" i="6"/>
  <c r="E832" i="6"/>
  <c r="F832" i="6"/>
  <c r="H832" i="6"/>
  <c r="I832" i="6"/>
  <c r="N832" i="6"/>
  <c r="R832" i="6"/>
  <c r="Q832" i="6" s="1"/>
  <c r="S832" i="6" s="1"/>
  <c r="T832" i="6"/>
  <c r="B833" i="6"/>
  <c r="C833" i="6"/>
  <c r="D833" i="6"/>
  <c r="E833" i="6"/>
  <c r="F833" i="6"/>
  <c r="H833" i="6"/>
  <c r="I833" i="6"/>
  <c r="L833" i="6"/>
  <c r="N833" i="6"/>
  <c r="Q833" i="6"/>
  <c r="R833" i="6"/>
  <c r="S833" i="6"/>
  <c r="T833" i="6"/>
  <c r="B834" i="6"/>
  <c r="C834" i="6"/>
  <c r="D834" i="6"/>
  <c r="E834" i="6"/>
  <c r="F834" i="6"/>
  <c r="H834" i="6"/>
  <c r="I834" i="6"/>
  <c r="N834" i="6"/>
  <c r="R834" i="6"/>
  <c r="Q834" i="6" s="1"/>
  <c r="S834" i="6" s="1"/>
  <c r="T834" i="6"/>
  <c r="B835" i="6"/>
  <c r="C835" i="6"/>
  <c r="D835" i="6"/>
  <c r="E835" i="6"/>
  <c r="F835" i="6"/>
  <c r="H835" i="6"/>
  <c r="I835" i="6"/>
  <c r="L835" i="6"/>
  <c r="N835" i="6"/>
  <c r="Q835" i="6"/>
  <c r="R835" i="6"/>
  <c r="S835" i="6"/>
  <c r="T835" i="6"/>
  <c r="B836" i="6"/>
  <c r="C836" i="6"/>
  <c r="D836" i="6"/>
  <c r="E836" i="6"/>
  <c r="F836" i="6"/>
  <c r="H836" i="6"/>
  <c r="I836" i="6"/>
  <c r="N836" i="6"/>
  <c r="R836" i="6"/>
  <c r="Q836" i="6" s="1"/>
  <c r="S836" i="6" s="1"/>
  <c r="T836" i="6"/>
  <c r="B837" i="6"/>
  <c r="C837" i="6"/>
  <c r="D837" i="6"/>
  <c r="E837" i="6"/>
  <c r="F837" i="6"/>
  <c r="H837" i="6"/>
  <c r="I837" i="6"/>
  <c r="L837" i="6"/>
  <c r="N837" i="6"/>
  <c r="Q837" i="6"/>
  <c r="R837" i="6"/>
  <c r="S837" i="6"/>
  <c r="T837" i="6"/>
  <c r="B838" i="6"/>
  <c r="C838" i="6"/>
  <c r="D838" i="6"/>
  <c r="E838" i="6"/>
  <c r="F838" i="6"/>
  <c r="H838" i="6"/>
  <c r="I838" i="6"/>
  <c r="N838" i="6"/>
  <c r="R838" i="6"/>
  <c r="Q838" i="6" s="1"/>
  <c r="S838" i="6" s="1"/>
  <c r="T838" i="6"/>
  <c r="B839" i="6"/>
  <c r="C839" i="6"/>
  <c r="D839" i="6"/>
  <c r="E839" i="6"/>
  <c r="F839" i="6"/>
  <c r="H839" i="6"/>
  <c r="I839" i="6"/>
  <c r="L839" i="6"/>
  <c r="N839" i="6"/>
  <c r="Q839" i="6"/>
  <c r="R839" i="6"/>
  <c r="S839" i="6"/>
  <c r="T839" i="6"/>
  <c r="B840" i="6"/>
  <c r="C840" i="6"/>
  <c r="D840" i="6"/>
  <c r="E840" i="6"/>
  <c r="F840" i="6"/>
  <c r="H840" i="6"/>
  <c r="I840" i="6"/>
  <c r="N840" i="6"/>
  <c r="R840" i="6"/>
  <c r="Q840" i="6" s="1"/>
  <c r="S840" i="6" s="1"/>
  <c r="T840" i="6"/>
  <c r="B841" i="6"/>
  <c r="C841" i="6"/>
  <c r="D841" i="6"/>
  <c r="E841" i="6"/>
  <c r="F841" i="6"/>
  <c r="H841" i="6"/>
  <c r="I841" i="6"/>
  <c r="L841" i="6"/>
  <c r="N841" i="6"/>
  <c r="Q841" i="6"/>
  <c r="R841" i="6"/>
  <c r="S841" i="6"/>
  <c r="T841" i="6"/>
  <c r="B842" i="6"/>
  <c r="C842" i="6"/>
  <c r="D842" i="6"/>
  <c r="E842" i="6"/>
  <c r="F842" i="6"/>
  <c r="H842" i="6"/>
  <c r="I842" i="6"/>
  <c r="N842" i="6"/>
  <c r="R842" i="6"/>
  <c r="Q842" i="6" s="1"/>
  <c r="S842" i="6" s="1"/>
  <c r="T842" i="6"/>
  <c r="B843" i="6"/>
  <c r="C843" i="6"/>
  <c r="D843" i="6"/>
  <c r="E843" i="6"/>
  <c r="F843" i="6"/>
  <c r="H843" i="6"/>
  <c r="I843" i="6"/>
  <c r="L843" i="6"/>
  <c r="N843" i="6"/>
  <c r="Q843" i="6"/>
  <c r="R843" i="6"/>
  <c r="S843" i="6"/>
  <c r="T843" i="6"/>
  <c r="B844" i="6"/>
  <c r="C844" i="6"/>
  <c r="D844" i="6"/>
  <c r="E844" i="6"/>
  <c r="F844" i="6"/>
  <c r="H844" i="6"/>
  <c r="I844" i="6"/>
  <c r="N844" i="6"/>
  <c r="R844" i="6"/>
  <c r="Q844" i="6" s="1"/>
  <c r="S844" i="6" s="1"/>
  <c r="T844" i="6"/>
  <c r="B845" i="6"/>
  <c r="C845" i="6"/>
  <c r="D845" i="6"/>
  <c r="E845" i="6"/>
  <c r="F845" i="6"/>
  <c r="H845" i="6"/>
  <c r="I845" i="6"/>
  <c r="L845" i="6"/>
  <c r="N845" i="6"/>
  <c r="Q845" i="6"/>
  <c r="R845" i="6"/>
  <c r="S845" i="6"/>
  <c r="T845" i="6"/>
  <c r="B846" i="6"/>
  <c r="C846" i="6"/>
  <c r="D846" i="6"/>
  <c r="E846" i="6"/>
  <c r="F846" i="6"/>
  <c r="H846" i="6"/>
  <c r="I846" i="6"/>
  <c r="N846" i="6"/>
  <c r="R846" i="6"/>
  <c r="Q846" i="6" s="1"/>
  <c r="S846" i="6" s="1"/>
  <c r="T846" i="6"/>
  <c r="B847" i="6"/>
  <c r="C847" i="6"/>
  <c r="D847" i="6"/>
  <c r="E847" i="6"/>
  <c r="F847" i="6"/>
  <c r="H847" i="6"/>
  <c r="I847" i="6"/>
  <c r="L847" i="6"/>
  <c r="N847" i="6"/>
  <c r="Q847" i="6"/>
  <c r="R847" i="6"/>
  <c r="S847" i="6"/>
  <c r="T847" i="6"/>
  <c r="B848" i="6"/>
  <c r="C848" i="6"/>
  <c r="D848" i="6"/>
  <c r="E848" i="6"/>
  <c r="F848" i="6"/>
  <c r="H848" i="6"/>
  <c r="I848" i="6"/>
  <c r="N848" i="6"/>
  <c r="R848" i="6"/>
  <c r="Q848" i="6" s="1"/>
  <c r="S848" i="6" s="1"/>
  <c r="T848" i="6"/>
  <c r="B849" i="6"/>
  <c r="C849" i="6"/>
  <c r="D849" i="6"/>
  <c r="E849" i="6"/>
  <c r="F849" i="6"/>
  <c r="H849" i="6"/>
  <c r="I849" i="6"/>
  <c r="L849" i="6"/>
  <c r="N849" i="6"/>
  <c r="Q849" i="6"/>
  <c r="R849" i="6"/>
  <c r="S849" i="6"/>
  <c r="T849" i="6"/>
  <c r="B850" i="6"/>
  <c r="C850" i="6"/>
  <c r="D850" i="6"/>
  <c r="E850" i="6"/>
  <c r="F850" i="6"/>
  <c r="H850" i="6"/>
  <c r="I850" i="6"/>
  <c r="N850" i="6"/>
  <c r="R850" i="6"/>
  <c r="Q850" i="6" s="1"/>
  <c r="S850" i="6" s="1"/>
  <c r="T850" i="6"/>
  <c r="B851" i="6"/>
  <c r="C851" i="6"/>
  <c r="D851" i="6"/>
  <c r="E851" i="6"/>
  <c r="F851" i="6"/>
  <c r="H851" i="6"/>
  <c r="I851" i="6"/>
  <c r="L851" i="6"/>
  <c r="N851" i="6"/>
  <c r="Q851" i="6"/>
  <c r="R851" i="6"/>
  <c r="S851" i="6"/>
  <c r="T851" i="6"/>
  <c r="B852" i="6"/>
  <c r="C852" i="6"/>
  <c r="D852" i="6"/>
  <c r="E852" i="6"/>
  <c r="F852" i="6"/>
  <c r="H852" i="6"/>
  <c r="I852" i="6"/>
  <c r="N852" i="6"/>
  <c r="R852" i="6"/>
  <c r="Q852" i="6" s="1"/>
  <c r="S852" i="6" s="1"/>
  <c r="T852" i="6"/>
  <c r="B853" i="6"/>
  <c r="C853" i="6"/>
  <c r="D853" i="6"/>
  <c r="E853" i="6"/>
  <c r="F853" i="6"/>
  <c r="H853" i="6"/>
  <c r="I853" i="6"/>
  <c r="L853" i="6"/>
  <c r="N853" i="6"/>
  <c r="Q853" i="6"/>
  <c r="R853" i="6"/>
  <c r="S853" i="6"/>
  <c r="T853" i="6"/>
  <c r="B854" i="6"/>
  <c r="C854" i="6"/>
  <c r="D854" i="6"/>
  <c r="E854" i="6"/>
  <c r="F854" i="6"/>
  <c r="H854" i="6"/>
  <c r="I854" i="6"/>
  <c r="N854" i="6"/>
  <c r="R854" i="6"/>
  <c r="Q854" i="6" s="1"/>
  <c r="S854" i="6" s="1"/>
  <c r="T854" i="6"/>
  <c r="B855" i="6"/>
  <c r="C855" i="6"/>
  <c r="D855" i="6"/>
  <c r="E855" i="6"/>
  <c r="F855" i="6"/>
  <c r="H855" i="6"/>
  <c r="I855" i="6"/>
  <c r="L855" i="6"/>
  <c r="N855" i="6"/>
  <c r="Q855" i="6"/>
  <c r="R855" i="6"/>
  <c r="S855" i="6"/>
  <c r="T855" i="6"/>
  <c r="B856" i="6"/>
  <c r="C856" i="6"/>
  <c r="D856" i="6"/>
  <c r="E856" i="6"/>
  <c r="F856" i="6"/>
  <c r="H856" i="6"/>
  <c r="I856" i="6"/>
  <c r="N856" i="6"/>
  <c r="R856" i="6"/>
  <c r="Q856" i="6" s="1"/>
  <c r="S856" i="6" s="1"/>
  <c r="T856" i="6"/>
  <c r="B857" i="6"/>
  <c r="C857" i="6"/>
  <c r="D857" i="6"/>
  <c r="E857" i="6"/>
  <c r="F857" i="6"/>
  <c r="H857" i="6"/>
  <c r="I857" i="6"/>
  <c r="L857" i="6"/>
  <c r="N857" i="6"/>
  <c r="Q857" i="6"/>
  <c r="R857" i="6"/>
  <c r="S857" i="6"/>
  <c r="T857" i="6"/>
  <c r="B858" i="6"/>
  <c r="C858" i="6"/>
  <c r="D858" i="6"/>
  <c r="E858" i="6"/>
  <c r="F858" i="6"/>
  <c r="H858" i="6"/>
  <c r="I858" i="6"/>
  <c r="N858" i="6"/>
  <c r="R858" i="6"/>
  <c r="Q858" i="6" s="1"/>
  <c r="S858" i="6" s="1"/>
  <c r="T858" i="6"/>
  <c r="B859" i="6"/>
  <c r="C859" i="6"/>
  <c r="D859" i="6"/>
  <c r="E859" i="6"/>
  <c r="F859" i="6"/>
  <c r="H859" i="6"/>
  <c r="I859" i="6"/>
  <c r="L859" i="6"/>
  <c r="N859" i="6"/>
  <c r="Q859" i="6"/>
  <c r="R859" i="6"/>
  <c r="S859" i="6"/>
  <c r="T859" i="6"/>
  <c r="B860" i="6"/>
  <c r="C860" i="6"/>
  <c r="D860" i="6"/>
  <c r="E860" i="6"/>
  <c r="F860" i="6"/>
  <c r="H860" i="6"/>
  <c r="I860" i="6"/>
  <c r="N860" i="6"/>
  <c r="R860" i="6"/>
  <c r="Q860" i="6" s="1"/>
  <c r="S860" i="6" s="1"/>
  <c r="T860" i="6"/>
  <c r="B861" i="6"/>
  <c r="C861" i="6"/>
  <c r="D861" i="6"/>
  <c r="E861" i="6"/>
  <c r="F861" i="6"/>
  <c r="H861" i="6"/>
  <c r="I861" i="6"/>
  <c r="L861" i="6"/>
  <c r="N861" i="6"/>
  <c r="Q861" i="6"/>
  <c r="R861" i="6"/>
  <c r="S861" i="6"/>
  <c r="T861" i="6"/>
  <c r="B862" i="6"/>
  <c r="C862" i="6"/>
  <c r="D862" i="6"/>
  <c r="E862" i="6"/>
  <c r="F862" i="6"/>
  <c r="H862" i="6"/>
  <c r="I862" i="6"/>
  <c r="N862" i="6"/>
  <c r="R862" i="6"/>
  <c r="Q862" i="6" s="1"/>
  <c r="S862" i="6" s="1"/>
  <c r="T862" i="6"/>
  <c r="B863" i="6"/>
  <c r="C863" i="6"/>
  <c r="D863" i="6"/>
  <c r="E863" i="6"/>
  <c r="F863" i="6"/>
  <c r="H863" i="6"/>
  <c r="I863" i="6"/>
  <c r="L863" i="6"/>
  <c r="N863" i="6"/>
  <c r="Q863" i="6"/>
  <c r="R863" i="6"/>
  <c r="S863" i="6"/>
  <c r="T863" i="6"/>
  <c r="B864" i="6"/>
  <c r="C864" i="6"/>
  <c r="D864" i="6"/>
  <c r="E864" i="6"/>
  <c r="F864" i="6"/>
  <c r="H864" i="6"/>
  <c r="I864" i="6"/>
  <c r="N864" i="6"/>
  <c r="R864" i="6"/>
  <c r="Q864" i="6" s="1"/>
  <c r="S864" i="6" s="1"/>
  <c r="T864" i="6"/>
  <c r="B865" i="6"/>
  <c r="C865" i="6"/>
  <c r="D865" i="6"/>
  <c r="E865" i="6"/>
  <c r="F865" i="6"/>
  <c r="H865" i="6"/>
  <c r="I865" i="6"/>
  <c r="L865" i="6"/>
  <c r="N865" i="6"/>
  <c r="Q865" i="6"/>
  <c r="R865" i="6"/>
  <c r="S865" i="6"/>
  <c r="T865" i="6"/>
  <c r="B866" i="6"/>
  <c r="C866" i="6"/>
  <c r="D866" i="6"/>
  <c r="L866" i="6" s="1"/>
  <c r="E866" i="6"/>
  <c r="F866" i="6"/>
  <c r="H866" i="6"/>
  <c r="I866" i="6"/>
  <c r="N866" i="6"/>
  <c r="R866" i="6"/>
  <c r="Q866" i="6" s="1"/>
  <c r="T866" i="6"/>
  <c r="B867" i="6"/>
  <c r="C867" i="6"/>
  <c r="D867" i="6"/>
  <c r="E867" i="6"/>
  <c r="F867" i="6"/>
  <c r="H867" i="6"/>
  <c r="I867" i="6"/>
  <c r="L867" i="6"/>
  <c r="N867" i="6"/>
  <c r="Q867" i="6"/>
  <c r="R867" i="6"/>
  <c r="S867" i="6"/>
  <c r="T867" i="6"/>
  <c r="B868" i="6"/>
  <c r="C868" i="6"/>
  <c r="D868" i="6"/>
  <c r="L868" i="6" s="1"/>
  <c r="E868" i="6"/>
  <c r="F868" i="6"/>
  <c r="H868" i="6"/>
  <c r="I868" i="6"/>
  <c r="N868" i="6"/>
  <c r="R868" i="6"/>
  <c r="Q868" i="6" s="1"/>
  <c r="S868" i="6" s="1"/>
  <c r="T868" i="6"/>
  <c r="B869" i="6"/>
  <c r="C869" i="6"/>
  <c r="D869" i="6"/>
  <c r="E869" i="6"/>
  <c r="F869" i="6"/>
  <c r="H869" i="6"/>
  <c r="I869" i="6"/>
  <c r="L869" i="6"/>
  <c r="N869" i="6"/>
  <c r="Q869" i="6"/>
  <c r="R869" i="6"/>
  <c r="S869" i="6"/>
  <c r="T869" i="6"/>
  <c r="B870" i="6"/>
  <c r="C870" i="6"/>
  <c r="D870" i="6"/>
  <c r="L870" i="6" s="1"/>
  <c r="E870" i="6"/>
  <c r="F870" i="6"/>
  <c r="H870" i="6"/>
  <c r="I870" i="6"/>
  <c r="N870" i="6"/>
  <c r="R870" i="6"/>
  <c r="Q870" i="6" s="1"/>
  <c r="S870" i="6" s="1"/>
  <c r="T870" i="6"/>
  <c r="B871" i="6"/>
  <c r="C871" i="6"/>
  <c r="D871" i="6"/>
  <c r="E871" i="6"/>
  <c r="F871" i="6"/>
  <c r="H871" i="6"/>
  <c r="I871" i="6"/>
  <c r="L871" i="6"/>
  <c r="N871" i="6"/>
  <c r="Q871" i="6"/>
  <c r="R871" i="6"/>
  <c r="S871" i="6"/>
  <c r="T871" i="6"/>
  <c r="B872" i="6"/>
  <c r="C872" i="6"/>
  <c r="D872" i="6"/>
  <c r="L872" i="6" s="1"/>
  <c r="E872" i="6"/>
  <c r="F872" i="6"/>
  <c r="H872" i="6"/>
  <c r="I872" i="6"/>
  <c r="N872" i="6"/>
  <c r="R872" i="6"/>
  <c r="Q872" i="6" s="1"/>
  <c r="S872" i="6" s="1"/>
  <c r="T872" i="6"/>
  <c r="B873" i="6"/>
  <c r="C873" i="6"/>
  <c r="D873" i="6"/>
  <c r="E873" i="6"/>
  <c r="F873" i="6"/>
  <c r="H873" i="6"/>
  <c r="I873" i="6"/>
  <c r="L873" i="6"/>
  <c r="N873" i="6"/>
  <c r="Q873" i="6"/>
  <c r="R873" i="6"/>
  <c r="S873" i="6"/>
  <c r="T873" i="6"/>
  <c r="B874" i="6"/>
  <c r="C874" i="6"/>
  <c r="D874" i="6"/>
  <c r="L874" i="6" s="1"/>
  <c r="E874" i="6"/>
  <c r="F874" i="6"/>
  <c r="H874" i="6"/>
  <c r="I874" i="6"/>
  <c r="N874" i="6"/>
  <c r="R874" i="6"/>
  <c r="Q874" i="6" s="1"/>
  <c r="S874" i="6" s="1"/>
  <c r="T874" i="6"/>
  <c r="B875" i="6"/>
  <c r="C875" i="6"/>
  <c r="D875" i="6"/>
  <c r="E875" i="6"/>
  <c r="F875" i="6"/>
  <c r="H875" i="6"/>
  <c r="I875" i="6"/>
  <c r="L875" i="6"/>
  <c r="N875" i="6"/>
  <c r="Q875" i="6"/>
  <c r="R875" i="6"/>
  <c r="S875" i="6"/>
  <c r="T875" i="6"/>
  <c r="B876" i="6"/>
  <c r="C876" i="6"/>
  <c r="D876" i="6"/>
  <c r="L876" i="6" s="1"/>
  <c r="E876" i="6"/>
  <c r="F876" i="6"/>
  <c r="H876" i="6"/>
  <c r="I876" i="6"/>
  <c r="N876" i="6"/>
  <c r="R876" i="6"/>
  <c r="Q876" i="6" s="1"/>
  <c r="T876" i="6"/>
  <c r="B877" i="6"/>
  <c r="C877" i="6"/>
  <c r="D877" i="6"/>
  <c r="E877" i="6"/>
  <c r="F877" i="6"/>
  <c r="H877" i="6"/>
  <c r="I877" i="6"/>
  <c r="L877" i="6"/>
  <c r="N877" i="6"/>
  <c r="Q877" i="6"/>
  <c r="R877" i="6"/>
  <c r="S877" i="6"/>
  <c r="T877" i="6"/>
  <c r="B878" i="6"/>
  <c r="C878" i="6"/>
  <c r="D878" i="6"/>
  <c r="L878" i="6" s="1"/>
  <c r="E878" i="6"/>
  <c r="F878" i="6"/>
  <c r="H878" i="6"/>
  <c r="I878" i="6"/>
  <c r="N878" i="6"/>
  <c r="R878" i="6"/>
  <c r="Q878" i="6" s="1"/>
  <c r="S878" i="6" s="1"/>
  <c r="T878" i="6"/>
  <c r="B879" i="6"/>
  <c r="C879" i="6"/>
  <c r="D879" i="6"/>
  <c r="E879" i="6"/>
  <c r="F879" i="6"/>
  <c r="H879" i="6"/>
  <c r="I879" i="6"/>
  <c r="L879" i="6"/>
  <c r="N879" i="6"/>
  <c r="Q879" i="6"/>
  <c r="R879" i="6"/>
  <c r="S879" i="6"/>
  <c r="T879" i="6"/>
  <c r="B880" i="6"/>
  <c r="C880" i="6"/>
  <c r="D880" i="6"/>
  <c r="L880" i="6" s="1"/>
  <c r="E880" i="6"/>
  <c r="F880" i="6"/>
  <c r="H880" i="6"/>
  <c r="I880" i="6"/>
  <c r="N880" i="6"/>
  <c r="R880" i="6"/>
  <c r="Q880" i="6" s="1"/>
  <c r="S880" i="6" s="1"/>
  <c r="T880" i="6"/>
  <c r="B881" i="6"/>
  <c r="C881" i="6"/>
  <c r="D881" i="6"/>
  <c r="E881" i="6"/>
  <c r="F881" i="6"/>
  <c r="H881" i="6"/>
  <c r="I881" i="6"/>
  <c r="L881" i="6"/>
  <c r="N881" i="6"/>
  <c r="Q881" i="6"/>
  <c r="R881" i="6"/>
  <c r="S881" i="6"/>
  <c r="T881" i="6"/>
  <c r="B882" i="6"/>
  <c r="C882" i="6"/>
  <c r="D882" i="6"/>
  <c r="L882" i="6" s="1"/>
  <c r="E882" i="6"/>
  <c r="F882" i="6"/>
  <c r="H882" i="6"/>
  <c r="I882" i="6"/>
  <c r="N882" i="6"/>
  <c r="R882" i="6"/>
  <c r="Q882" i="6" s="1"/>
  <c r="S882" i="6" s="1"/>
  <c r="T882" i="6"/>
  <c r="B883" i="6"/>
  <c r="C883" i="6"/>
  <c r="D883" i="6"/>
  <c r="E883" i="6"/>
  <c r="F883" i="6"/>
  <c r="H883" i="6"/>
  <c r="I883" i="6"/>
  <c r="L883" i="6"/>
  <c r="N883" i="6"/>
  <c r="Q883" i="6"/>
  <c r="R883" i="6"/>
  <c r="S883" i="6"/>
  <c r="T883" i="6"/>
  <c r="B884" i="6"/>
  <c r="C884" i="6"/>
  <c r="D884" i="6"/>
  <c r="L884" i="6" s="1"/>
  <c r="E884" i="6"/>
  <c r="F884" i="6"/>
  <c r="H884" i="6"/>
  <c r="I884" i="6"/>
  <c r="N884" i="6"/>
  <c r="R884" i="6"/>
  <c r="Q884" i="6" s="1"/>
  <c r="S884" i="6" s="1"/>
  <c r="T884" i="6"/>
  <c r="B885" i="6"/>
  <c r="C885" i="6"/>
  <c r="D885" i="6"/>
  <c r="E885" i="6"/>
  <c r="F885" i="6"/>
  <c r="H885" i="6"/>
  <c r="I885" i="6"/>
  <c r="L885" i="6"/>
  <c r="N885" i="6"/>
  <c r="Q885" i="6"/>
  <c r="R885" i="6"/>
  <c r="S885" i="6"/>
  <c r="T885" i="6"/>
  <c r="B886" i="6"/>
  <c r="C886" i="6"/>
  <c r="D886" i="6"/>
  <c r="L886" i="6" s="1"/>
  <c r="E886" i="6"/>
  <c r="F886" i="6"/>
  <c r="H886" i="6"/>
  <c r="I886" i="6"/>
  <c r="N886" i="6"/>
  <c r="R886" i="6"/>
  <c r="Q886" i="6" s="1"/>
  <c r="S886" i="6" s="1"/>
  <c r="T886" i="6"/>
  <c r="B887" i="6"/>
  <c r="C887" i="6"/>
  <c r="D887" i="6"/>
  <c r="E887" i="6"/>
  <c r="F887" i="6"/>
  <c r="H887" i="6"/>
  <c r="I887" i="6"/>
  <c r="L887" i="6"/>
  <c r="N887" i="6"/>
  <c r="Q887" i="6"/>
  <c r="R887" i="6"/>
  <c r="S887" i="6"/>
  <c r="T887" i="6"/>
  <c r="B888" i="6"/>
  <c r="C888" i="6"/>
  <c r="D888" i="6"/>
  <c r="L888" i="6" s="1"/>
  <c r="E888" i="6"/>
  <c r="F888" i="6"/>
  <c r="H888" i="6"/>
  <c r="I888" i="6"/>
  <c r="N888" i="6"/>
  <c r="R888" i="6"/>
  <c r="Q888" i="6" s="1"/>
  <c r="T888" i="6"/>
  <c r="B889" i="6"/>
  <c r="C889" i="6"/>
  <c r="D889" i="6"/>
  <c r="E889" i="6"/>
  <c r="F889" i="6"/>
  <c r="H889" i="6"/>
  <c r="I889" i="6"/>
  <c r="L889" i="6"/>
  <c r="N889" i="6"/>
  <c r="Q889" i="6"/>
  <c r="R889" i="6"/>
  <c r="S889" i="6"/>
  <c r="T889" i="6"/>
  <c r="B890" i="6"/>
  <c r="C890" i="6"/>
  <c r="D890" i="6"/>
  <c r="L890" i="6" s="1"/>
  <c r="E890" i="6"/>
  <c r="F890" i="6"/>
  <c r="H890" i="6"/>
  <c r="I890" i="6"/>
  <c r="N890" i="6"/>
  <c r="R890" i="6"/>
  <c r="Q890" i="6" s="1"/>
  <c r="S890" i="6" s="1"/>
  <c r="T890" i="6"/>
  <c r="B891" i="6"/>
  <c r="C891" i="6"/>
  <c r="D891" i="6"/>
  <c r="E891" i="6"/>
  <c r="F891" i="6"/>
  <c r="H891" i="6"/>
  <c r="I891" i="6"/>
  <c r="L891" i="6"/>
  <c r="N891" i="6"/>
  <c r="Q891" i="6"/>
  <c r="R891" i="6"/>
  <c r="S891" i="6"/>
  <c r="T891" i="6"/>
  <c r="B892" i="6"/>
  <c r="C892" i="6"/>
  <c r="D892" i="6"/>
  <c r="L892" i="6" s="1"/>
  <c r="E892" i="6"/>
  <c r="F892" i="6"/>
  <c r="H892" i="6"/>
  <c r="I892" i="6"/>
  <c r="N892" i="6"/>
  <c r="R892" i="6"/>
  <c r="Q892" i="6" s="1"/>
  <c r="S892" i="6" s="1"/>
  <c r="T892" i="6"/>
  <c r="B893" i="6"/>
  <c r="C893" i="6"/>
  <c r="D893" i="6"/>
  <c r="E893" i="6"/>
  <c r="F893" i="6"/>
  <c r="H893" i="6"/>
  <c r="I893" i="6"/>
  <c r="L893" i="6"/>
  <c r="N893" i="6"/>
  <c r="Q893" i="6"/>
  <c r="R893" i="6"/>
  <c r="S893" i="6"/>
  <c r="T893" i="6"/>
  <c r="B894" i="6"/>
  <c r="C894" i="6"/>
  <c r="D894" i="6"/>
  <c r="L894" i="6" s="1"/>
  <c r="E894" i="6"/>
  <c r="F894" i="6"/>
  <c r="H894" i="6"/>
  <c r="I894" i="6"/>
  <c r="N894" i="6"/>
  <c r="R894" i="6"/>
  <c r="Q894" i="6" s="1"/>
  <c r="S894" i="6" s="1"/>
  <c r="T894" i="6"/>
  <c r="B895" i="6"/>
  <c r="C895" i="6"/>
  <c r="D895" i="6"/>
  <c r="E895" i="6"/>
  <c r="F895" i="6"/>
  <c r="H895" i="6"/>
  <c r="I895" i="6"/>
  <c r="L895" i="6"/>
  <c r="N895" i="6"/>
  <c r="Q895" i="6"/>
  <c r="R895" i="6"/>
  <c r="S895" i="6"/>
  <c r="T895" i="6"/>
  <c r="B896" i="6"/>
  <c r="C896" i="6"/>
  <c r="D896" i="6"/>
  <c r="L896" i="6" s="1"/>
  <c r="E896" i="6"/>
  <c r="F896" i="6"/>
  <c r="H896" i="6"/>
  <c r="I896" i="6"/>
  <c r="N896" i="6"/>
  <c r="R896" i="6"/>
  <c r="Q896" i="6" s="1"/>
  <c r="S896" i="6" s="1"/>
  <c r="T896" i="6"/>
  <c r="B897" i="6"/>
  <c r="C897" i="6"/>
  <c r="D897" i="6"/>
  <c r="E897" i="6"/>
  <c r="F897" i="6"/>
  <c r="H897" i="6"/>
  <c r="I897" i="6"/>
  <c r="L897" i="6"/>
  <c r="N897" i="6"/>
  <c r="Q897" i="6"/>
  <c r="R897" i="6"/>
  <c r="S897" i="6"/>
  <c r="T897" i="6"/>
  <c r="B898" i="6"/>
  <c r="C898" i="6"/>
  <c r="D898" i="6"/>
  <c r="L898" i="6" s="1"/>
  <c r="E898" i="6"/>
  <c r="F898" i="6"/>
  <c r="H898" i="6"/>
  <c r="I898" i="6"/>
  <c r="N898" i="6"/>
  <c r="R898" i="6"/>
  <c r="Q898" i="6" s="1"/>
  <c r="S898" i="6" s="1"/>
  <c r="T898" i="6"/>
  <c r="B899" i="6"/>
  <c r="C899" i="6"/>
  <c r="D899" i="6"/>
  <c r="E899" i="6"/>
  <c r="F899" i="6"/>
  <c r="H899" i="6"/>
  <c r="I899" i="6"/>
  <c r="L899" i="6"/>
  <c r="N899" i="6"/>
  <c r="Q899" i="6"/>
  <c r="R899" i="6"/>
  <c r="S899" i="6"/>
  <c r="T899" i="6"/>
  <c r="B900" i="6"/>
  <c r="C900" i="6"/>
  <c r="D900" i="6"/>
  <c r="L900" i="6" s="1"/>
  <c r="E900" i="6"/>
  <c r="F900" i="6"/>
  <c r="H900" i="6"/>
  <c r="I900" i="6"/>
  <c r="N900" i="6"/>
  <c r="R900" i="6"/>
  <c r="Q900" i="6" s="1"/>
  <c r="T900" i="6"/>
  <c r="B901" i="6"/>
  <c r="C901" i="6"/>
  <c r="D901" i="6"/>
  <c r="E901" i="6"/>
  <c r="F901" i="6"/>
  <c r="H901" i="6"/>
  <c r="I901" i="6"/>
  <c r="L901" i="6"/>
  <c r="N901" i="6"/>
  <c r="Q901" i="6"/>
  <c r="R901" i="6"/>
  <c r="S901" i="6"/>
  <c r="T901" i="6"/>
  <c r="B902" i="6"/>
  <c r="C902" i="6"/>
  <c r="D902" i="6"/>
  <c r="L902" i="6" s="1"/>
  <c r="E902" i="6"/>
  <c r="F902" i="6"/>
  <c r="H902" i="6"/>
  <c r="I902" i="6"/>
  <c r="N902" i="6"/>
  <c r="R902" i="6"/>
  <c r="Q902" i="6" s="1"/>
  <c r="S902" i="6" s="1"/>
  <c r="T902" i="6"/>
  <c r="B903" i="6"/>
  <c r="C903" i="6"/>
  <c r="D903" i="6"/>
  <c r="E903" i="6"/>
  <c r="F903" i="6"/>
  <c r="H903" i="6"/>
  <c r="I903" i="6"/>
  <c r="L903" i="6"/>
  <c r="N903" i="6"/>
  <c r="Q903" i="6"/>
  <c r="R903" i="6"/>
  <c r="S903" i="6"/>
  <c r="T903" i="6"/>
  <c r="B904" i="6"/>
  <c r="C904" i="6"/>
  <c r="D904" i="6"/>
  <c r="L904" i="6" s="1"/>
  <c r="E904" i="6"/>
  <c r="F904" i="6"/>
  <c r="H904" i="6"/>
  <c r="I904" i="6"/>
  <c r="N904" i="6"/>
  <c r="R904" i="6"/>
  <c r="Q904" i="6" s="1"/>
  <c r="S904" i="6" s="1"/>
  <c r="T904" i="6"/>
  <c r="B905" i="6"/>
  <c r="C905" i="6"/>
  <c r="D905" i="6"/>
  <c r="E905" i="6"/>
  <c r="F905" i="6"/>
  <c r="H905" i="6"/>
  <c r="I905" i="6"/>
  <c r="L905" i="6"/>
  <c r="N905" i="6"/>
  <c r="Q905" i="6"/>
  <c r="R905" i="6"/>
  <c r="S905" i="6"/>
  <c r="T905" i="6"/>
  <c r="B906" i="6"/>
  <c r="C906" i="6"/>
  <c r="D906" i="6"/>
  <c r="L906" i="6" s="1"/>
  <c r="E906" i="6"/>
  <c r="F906" i="6"/>
  <c r="H906" i="6"/>
  <c r="I906" i="6"/>
  <c r="N906" i="6"/>
  <c r="R906" i="6"/>
  <c r="Q906" i="6" s="1"/>
  <c r="S906" i="6" s="1"/>
  <c r="T906" i="6"/>
  <c r="B907" i="6"/>
  <c r="C907" i="6"/>
  <c r="D907" i="6"/>
  <c r="E907" i="6"/>
  <c r="F907" i="6"/>
  <c r="H907" i="6"/>
  <c r="I907" i="6"/>
  <c r="L907" i="6"/>
  <c r="N907" i="6"/>
  <c r="Q907" i="6"/>
  <c r="R907" i="6"/>
  <c r="S907" i="6"/>
  <c r="T907" i="6"/>
  <c r="B908" i="6"/>
  <c r="C908" i="6"/>
  <c r="D908" i="6"/>
  <c r="L908" i="6" s="1"/>
  <c r="E908" i="6"/>
  <c r="F908" i="6"/>
  <c r="H908" i="6"/>
  <c r="I908" i="6"/>
  <c r="N908" i="6"/>
  <c r="R908" i="6"/>
  <c r="Q908" i="6" s="1"/>
  <c r="S908" i="6" s="1"/>
  <c r="T908" i="6"/>
  <c r="B909" i="6"/>
  <c r="C909" i="6"/>
  <c r="D909" i="6"/>
  <c r="E909" i="6"/>
  <c r="F909" i="6"/>
  <c r="H909" i="6"/>
  <c r="I909" i="6"/>
  <c r="L909" i="6"/>
  <c r="N909" i="6"/>
  <c r="Q909" i="6"/>
  <c r="R909" i="6"/>
  <c r="S909" i="6"/>
  <c r="T909" i="6"/>
  <c r="B910" i="6"/>
  <c r="C910" i="6"/>
  <c r="D910" i="6"/>
  <c r="L910" i="6" s="1"/>
  <c r="E910" i="6"/>
  <c r="F910" i="6"/>
  <c r="H910" i="6"/>
  <c r="I910" i="6"/>
  <c r="N910" i="6"/>
  <c r="R910" i="6"/>
  <c r="Q910" i="6" s="1"/>
  <c r="S910" i="6" s="1"/>
  <c r="T910" i="6"/>
  <c r="B911" i="6"/>
  <c r="C911" i="6"/>
  <c r="D911" i="6"/>
  <c r="E911" i="6"/>
  <c r="F911" i="6"/>
  <c r="H911" i="6"/>
  <c r="I911" i="6"/>
  <c r="L911" i="6"/>
  <c r="N911" i="6"/>
  <c r="Q911" i="6"/>
  <c r="R911" i="6"/>
  <c r="S911" i="6"/>
  <c r="T911" i="6"/>
  <c r="B912" i="6"/>
  <c r="C912" i="6"/>
  <c r="D912" i="6"/>
  <c r="L912" i="6" s="1"/>
  <c r="E912" i="6"/>
  <c r="F912" i="6"/>
  <c r="H912" i="6"/>
  <c r="I912" i="6"/>
  <c r="N912" i="6"/>
  <c r="R912" i="6"/>
  <c r="Q912" i="6" s="1"/>
  <c r="T912" i="6"/>
  <c r="B913" i="6"/>
  <c r="C913" i="6"/>
  <c r="D913" i="6"/>
  <c r="E913" i="6"/>
  <c r="F913" i="6"/>
  <c r="H913" i="6"/>
  <c r="I913" i="6"/>
  <c r="L913" i="6"/>
  <c r="N913" i="6"/>
  <c r="Q913" i="6"/>
  <c r="R913" i="6"/>
  <c r="S913" i="6"/>
  <c r="T913" i="6"/>
  <c r="B914" i="6"/>
  <c r="C914" i="6"/>
  <c r="D914" i="6"/>
  <c r="L914" i="6" s="1"/>
  <c r="E914" i="6"/>
  <c r="F914" i="6"/>
  <c r="H914" i="6"/>
  <c r="I914" i="6"/>
  <c r="N914" i="6"/>
  <c r="R914" i="6"/>
  <c r="Q914" i="6" s="1"/>
  <c r="S914" i="6" s="1"/>
  <c r="T914" i="6"/>
  <c r="B915" i="6"/>
  <c r="C915" i="6"/>
  <c r="D915" i="6"/>
  <c r="E915" i="6"/>
  <c r="F915" i="6"/>
  <c r="H915" i="6"/>
  <c r="I915" i="6"/>
  <c r="L915" i="6"/>
  <c r="N915" i="6"/>
  <c r="Q915" i="6"/>
  <c r="R915" i="6"/>
  <c r="S915" i="6"/>
  <c r="T915" i="6"/>
  <c r="B916" i="6"/>
  <c r="C916" i="6"/>
  <c r="D916" i="6"/>
  <c r="L916" i="6" s="1"/>
  <c r="E916" i="6"/>
  <c r="F916" i="6"/>
  <c r="H916" i="6"/>
  <c r="I916" i="6"/>
  <c r="N916" i="6"/>
  <c r="R916" i="6"/>
  <c r="Q916" i="6" s="1"/>
  <c r="S916" i="6" s="1"/>
  <c r="T916" i="6"/>
  <c r="B917" i="6"/>
  <c r="C917" i="6"/>
  <c r="D917" i="6"/>
  <c r="E917" i="6"/>
  <c r="F917" i="6"/>
  <c r="H917" i="6"/>
  <c r="I917" i="6"/>
  <c r="L917" i="6"/>
  <c r="N917" i="6"/>
  <c r="Q917" i="6"/>
  <c r="R917" i="6"/>
  <c r="S917" i="6"/>
  <c r="T917" i="6"/>
  <c r="B918" i="6"/>
  <c r="C918" i="6"/>
  <c r="D918" i="6"/>
  <c r="L918" i="6" s="1"/>
  <c r="E918" i="6"/>
  <c r="F918" i="6"/>
  <c r="H918" i="6"/>
  <c r="I918" i="6"/>
  <c r="N918" i="6"/>
  <c r="R918" i="6"/>
  <c r="Q918" i="6" s="1"/>
  <c r="S918" i="6" s="1"/>
  <c r="T918" i="6"/>
  <c r="B919" i="6"/>
  <c r="C919" i="6"/>
  <c r="D919" i="6"/>
  <c r="E919" i="6"/>
  <c r="F919" i="6"/>
  <c r="H919" i="6"/>
  <c r="I919" i="6"/>
  <c r="L919" i="6"/>
  <c r="N919" i="6"/>
  <c r="Q919" i="6"/>
  <c r="R919" i="6"/>
  <c r="S919" i="6"/>
  <c r="T919" i="6"/>
  <c r="B920" i="6"/>
  <c r="C920" i="6"/>
  <c r="D920" i="6"/>
  <c r="L920" i="6" s="1"/>
  <c r="E920" i="6"/>
  <c r="F920" i="6"/>
  <c r="H920" i="6"/>
  <c r="I920" i="6"/>
  <c r="N920" i="6"/>
  <c r="R920" i="6"/>
  <c r="Q920" i="6" s="1"/>
  <c r="S920" i="6" s="1"/>
  <c r="T920" i="6"/>
  <c r="B921" i="6"/>
  <c r="C921" i="6"/>
  <c r="D921" i="6"/>
  <c r="E921" i="6"/>
  <c r="F921" i="6"/>
  <c r="H921" i="6"/>
  <c r="I921" i="6"/>
  <c r="L921" i="6"/>
  <c r="N921" i="6"/>
  <c r="Q921" i="6"/>
  <c r="R921" i="6"/>
  <c r="S921" i="6"/>
  <c r="T921" i="6"/>
  <c r="B922" i="6"/>
  <c r="C922" i="6"/>
  <c r="D922" i="6"/>
  <c r="L922" i="6" s="1"/>
  <c r="E922" i="6"/>
  <c r="F922" i="6"/>
  <c r="H922" i="6"/>
  <c r="I922" i="6"/>
  <c r="N922" i="6"/>
  <c r="R922" i="6"/>
  <c r="Q922" i="6" s="1"/>
  <c r="S922" i="6" s="1"/>
  <c r="T922" i="6"/>
  <c r="B923" i="6"/>
  <c r="C923" i="6"/>
  <c r="D923" i="6"/>
  <c r="E923" i="6"/>
  <c r="F923" i="6"/>
  <c r="H923" i="6"/>
  <c r="I923" i="6"/>
  <c r="L923" i="6" s="1"/>
  <c r="N923" i="6"/>
  <c r="R923" i="6"/>
  <c r="Q923" i="6" s="1"/>
  <c r="S923" i="6" s="1"/>
  <c r="T923" i="6"/>
  <c r="B924" i="6"/>
  <c r="C924" i="6"/>
  <c r="D924" i="6"/>
  <c r="L924" i="6" s="1"/>
  <c r="E924" i="6"/>
  <c r="F924" i="6"/>
  <c r="H924" i="6"/>
  <c r="I924" i="6"/>
  <c r="N924" i="6"/>
  <c r="R924" i="6"/>
  <c r="Q924" i="6" s="1"/>
  <c r="T924" i="6"/>
  <c r="B925" i="6"/>
  <c r="C925" i="6"/>
  <c r="D925" i="6"/>
  <c r="E925" i="6"/>
  <c r="F925" i="6"/>
  <c r="H925" i="6"/>
  <c r="I925" i="6"/>
  <c r="L925" i="6" s="1"/>
  <c r="N925" i="6"/>
  <c r="Q925" i="6"/>
  <c r="R925" i="6"/>
  <c r="S925" i="6"/>
  <c r="T925" i="6"/>
  <c r="B926" i="6"/>
  <c r="C926" i="6"/>
  <c r="D926" i="6"/>
  <c r="L926" i="6" s="1"/>
  <c r="E926" i="6"/>
  <c r="F926" i="6"/>
  <c r="H926" i="6"/>
  <c r="I926" i="6"/>
  <c r="N926" i="6"/>
  <c r="R926" i="6"/>
  <c r="Q926" i="6" s="1"/>
  <c r="S926" i="6" s="1"/>
  <c r="T926" i="6"/>
  <c r="B927" i="6"/>
  <c r="C927" i="6"/>
  <c r="D927" i="6"/>
  <c r="E927" i="6"/>
  <c r="F927" i="6"/>
  <c r="H927" i="6"/>
  <c r="I927" i="6"/>
  <c r="L927" i="6" s="1"/>
  <c r="N927" i="6"/>
  <c r="Q927" i="6"/>
  <c r="R927" i="6"/>
  <c r="S927" i="6"/>
  <c r="T927" i="6"/>
  <c r="B928" i="6"/>
  <c r="C928" i="6"/>
  <c r="D928" i="6"/>
  <c r="L928" i="6" s="1"/>
  <c r="E928" i="6"/>
  <c r="F928" i="6"/>
  <c r="H928" i="6"/>
  <c r="I928" i="6"/>
  <c r="N928" i="6"/>
  <c r="R928" i="6"/>
  <c r="Q928" i="6" s="1"/>
  <c r="S928" i="6" s="1"/>
  <c r="T928" i="6"/>
  <c r="B929" i="6"/>
  <c r="C929" i="6"/>
  <c r="D929" i="6"/>
  <c r="E929" i="6"/>
  <c r="F929" i="6"/>
  <c r="H929" i="6"/>
  <c r="I929" i="6"/>
  <c r="L929" i="6"/>
  <c r="N929" i="6"/>
  <c r="Q929" i="6"/>
  <c r="R929" i="6"/>
  <c r="S929" i="6"/>
  <c r="T929" i="6"/>
  <c r="B930" i="6"/>
  <c r="C930" i="6"/>
  <c r="D930" i="6"/>
  <c r="L930" i="6" s="1"/>
  <c r="E930" i="6"/>
  <c r="F930" i="6"/>
  <c r="H930" i="6"/>
  <c r="I930" i="6"/>
  <c r="N930" i="6"/>
  <c r="R930" i="6"/>
  <c r="Q930" i="6" s="1"/>
  <c r="S930" i="6" s="1"/>
  <c r="T930" i="6"/>
  <c r="B931" i="6"/>
  <c r="C931" i="6"/>
  <c r="D931" i="6"/>
  <c r="E931" i="6"/>
  <c r="F931" i="6"/>
  <c r="H931" i="6"/>
  <c r="I931" i="6"/>
  <c r="L931" i="6"/>
  <c r="N931" i="6"/>
  <c r="Q931" i="6"/>
  <c r="R931" i="6"/>
  <c r="S931" i="6"/>
  <c r="T931" i="6"/>
  <c r="B932" i="6"/>
  <c r="C932" i="6"/>
  <c r="D932" i="6"/>
  <c r="L932" i="6" s="1"/>
  <c r="E932" i="6"/>
  <c r="F932" i="6"/>
  <c r="H932" i="6"/>
  <c r="I932" i="6"/>
  <c r="N932" i="6"/>
  <c r="R932" i="6"/>
  <c r="Q932" i="6" s="1"/>
  <c r="S932" i="6" s="1"/>
  <c r="T932" i="6"/>
  <c r="B933" i="6"/>
  <c r="C933" i="6"/>
  <c r="D933" i="6"/>
  <c r="E933" i="6"/>
  <c r="F933" i="6"/>
  <c r="H933" i="6"/>
  <c r="I933" i="6"/>
  <c r="L933" i="6"/>
  <c r="N933" i="6"/>
  <c r="Q933" i="6"/>
  <c r="R933" i="6"/>
  <c r="S933" i="6"/>
  <c r="T933" i="6"/>
  <c r="B934" i="6"/>
  <c r="C934" i="6"/>
  <c r="D934" i="6"/>
  <c r="L934" i="6" s="1"/>
  <c r="E934" i="6"/>
  <c r="F934" i="6"/>
  <c r="H934" i="6"/>
  <c r="I934" i="6"/>
  <c r="N934" i="6"/>
  <c r="R934" i="6"/>
  <c r="Q934" i="6" s="1"/>
  <c r="S934" i="6" s="1"/>
  <c r="T934" i="6"/>
  <c r="B935" i="6"/>
  <c r="C935" i="6"/>
  <c r="D935" i="6"/>
  <c r="E935" i="6"/>
  <c r="F935" i="6"/>
  <c r="H935" i="6"/>
  <c r="I935" i="6"/>
  <c r="L935" i="6"/>
  <c r="N935" i="6"/>
  <c r="Q935" i="6"/>
  <c r="R935" i="6"/>
  <c r="S935" i="6"/>
  <c r="T935" i="6"/>
  <c r="B936" i="6"/>
  <c r="C936" i="6"/>
  <c r="D936" i="6"/>
  <c r="L936" i="6" s="1"/>
  <c r="E936" i="6"/>
  <c r="F936" i="6"/>
  <c r="H936" i="6"/>
  <c r="I936" i="6"/>
  <c r="N936" i="6"/>
  <c r="R936" i="6"/>
  <c r="Q936" i="6" s="1"/>
  <c r="T936" i="6"/>
  <c r="B937" i="6"/>
  <c r="C937" i="6"/>
  <c r="D937" i="6"/>
  <c r="E937" i="6"/>
  <c r="F937" i="6"/>
  <c r="H937" i="6"/>
  <c r="I937" i="6"/>
  <c r="L937" i="6"/>
  <c r="N937" i="6"/>
  <c r="Q937" i="6"/>
  <c r="R937" i="6"/>
  <c r="S937" i="6"/>
  <c r="T937" i="6"/>
  <c r="B938" i="6"/>
  <c r="C938" i="6"/>
  <c r="D938" i="6"/>
  <c r="L938" i="6" s="1"/>
  <c r="E938" i="6"/>
  <c r="F938" i="6"/>
  <c r="H938" i="6"/>
  <c r="I938" i="6"/>
  <c r="N938" i="6"/>
  <c r="R938" i="6"/>
  <c r="Q938" i="6" s="1"/>
  <c r="S938" i="6" s="1"/>
  <c r="T938" i="6"/>
  <c r="B939" i="6"/>
  <c r="C939" i="6"/>
  <c r="D939" i="6"/>
  <c r="E939" i="6"/>
  <c r="F939" i="6"/>
  <c r="H939" i="6"/>
  <c r="I939" i="6"/>
  <c r="L939" i="6"/>
  <c r="N939" i="6"/>
  <c r="Q939" i="6"/>
  <c r="R939" i="6"/>
  <c r="S939" i="6"/>
  <c r="T939" i="6"/>
  <c r="B940" i="6"/>
  <c r="C940" i="6"/>
  <c r="D940" i="6"/>
  <c r="L940" i="6" s="1"/>
  <c r="E940" i="6"/>
  <c r="F940" i="6"/>
  <c r="H940" i="6"/>
  <c r="I940" i="6"/>
  <c r="N940" i="6"/>
  <c r="R940" i="6"/>
  <c r="Q940" i="6" s="1"/>
  <c r="S940" i="6" s="1"/>
  <c r="T940" i="6"/>
  <c r="B941" i="6"/>
  <c r="C941" i="6"/>
  <c r="D941" i="6"/>
  <c r="E941" i="6"/>
  <c r="F941" i="6"/>
  <c r="H941" i="6"/>
  <c r="I941" i="6"/>
  <c r="L941" i="6"/>
  <c r="N941" i="6"/>
  <c r="Q941" i="6"/>
  <c r="R941" i="6"/>
  <c r="S941" i="6"/>
  <c r="T941" i="6"/>
  <c r="B942" i="6"/>
  <c r="C942" i="6"/>
  <c r="D942" i="6"/>
  <c r="L942" i="6" s="1"/>
  <c r="E942" i="6"/>
  <c r="F942" i="6"/>
  <c r="H942" i="6"/>
  <c r="I942" i="6"/>
  <c r="N942" i="6"/>
  <c r="R942" i="6"/>
  <c r="Q942" i="6" s="1"/>
  <c r="S942" i="6" s="1"/>
  <c r="T942" i="6"/>
  <c r="B943" i="6"/>
  <c r="C943" i="6"/>
  <c r="D943" i="6"/>
  <c r="E943" i="6"/>
  <c r="F943" i="6"/>
  <c r="H943" i="6"/>
  <c r="I943" i="6"/>
  <c r="L943" i="6"/>
  <c r="N943" i="6"/>
  <c r="Q943" i="6"/>
  <c r="R943" i="6"/>
  <c r="S943" i="6"/>
  <c r="T943" i="6"/>
  <c r="B944" i="6"/>
  <c r="C944" i="6"/>
  <c r="D944" i="6"/>
  <c r="L944" i="6" s="1"/>
  <c r="E944" i="6"/>
  <c r="F944" i="6"/>
  <c r="H944" i="6"/>
  <c r="I944" i="6"/>
  <c r="N944" i="6"/>
  <c r="R944" i="6"/>
  <c r="Q944" i="6" s="1"/>
  <c r="S944" i="6" s="1"/>
  <c r="T944" i="6"/>
  <c r="B945" i="6"/>
  <c r="C945" i="6"/>
  <c r="D945" i="6"/>
  <c r="E945" i="6"/>
  <c r="F945" i="6"/>
  <c r="H945" i="6"/>
  <c r="I945" i="6"/>
  <c r="L945" i="6"/>
  <c r="N945" i="6"/>
  <c r="Q945" i="6"/>
  <c r="R945" i="6"/>
  <c r="S945" i="6"/>
  <c r="T945" i="6"/>
  <c r="B946" i="6"/>
  <c r="C946" i="6"/>
  <c r="D946" i="6"/>
  <c r="L946" i="6" s="1"/>
  <c r="E946" i="6"/>
  <c r="F946" i="6"/>
  <c r="H946" i="6"/>
  <c r="I946" i="6"/>
  <c r="N946" i="6"/>
  <c r="R946" i="6"/>
  <c r="Q946" i="6" s="1"/>
  <c r="S946" i="6" s="1"/>
  <c r="T946" i="6"/>
  <c r="B947" i="6"/>
  <c r="C947" i="6"/>
  <c r="D947" i="6"/>
  <c r="E947" i="6"/>
  <c r="F947" i="6"/>
  <c r="H947" i="6"/>
  <c r="I947" i="6"/>
  <c r="L947" i="6"/>
  <c r="N947" i="6"/>
  <c r="Q947" i="6"/>
  <c r="R947" i="6"/>
  <c r="S947" i="6"/>
  <c r="T947" i="6"/>
  <c r="B948" i="6"/>
  <c r="C948" i="6"/>
  <c r="D948" i="6"/>
  <c r="L948" i="6" s="1"/>
  <c r="E948" i="6"/>
  <c r="F948" i="6"/>
  <c r="H948" i="6"/>
  <c r="I948" i="6"/>
  <c r="N948" i="6"/>
  <c r="R948" i="6"/>
  <c r="Q948" i="6" s="1"/>
  <c r="T948" i="6"/>
  <c r="B949" i="6"/>
  <c r="C949" i="6"/>
  <c r="D949" i="6"/>
  <c r="E949" i="6"/>
  <c r="F949" i="6"/>
  <c r="H949" i="6"/>
  <c r="I949" i="6"/>
  <c r="L949" i="6"/>
  <c r="N949" i="6"/>
  <c r="Q949" i="6"/>
  <c r="R949" i="6"/>
  <c r="S949" i="6"/>
  <c r="T949" i="6"/>
  <c r="B950" i="6"/>
  <c r="C950" i="6"/>
  <c r="D950" i="6"/>
  <c r="L950" i="6" s="1"/>
  <c r="E950" i="6"/>
  <c r="F950" i="6"/>
  <c r="H950" i="6"/>
  <c r="I950" i="6"/>
  <c r="N950" i="6"/>
  <c r="R950" i="6"/>
  <c r="Q950" i="6" s="1"/>
  <c r="S950" i="6" s="1"/>
  <c r="T950" i="6"/>
  <c r="B951" i="6"/>
  <c r="C951" i="6"/>
  <c r="D951" i="6"/>
  <c r="E951" i="6"/>
  <c r="F951" i="6"/>
  <c r="H951" i="6"/>
  <c r="I951" i="6"/>
  <c r="L951" i="6"/>
  <c r="N951" i="6"/>
  <c r="Q951" i="6"/>
  <c r="R951" i="6"/>
  <c r="S951" i="6"/>
  <c r="T951" i="6"/>
  <c r="B952" i="6"/>
  <c r="C952" i="6"/>
  <c r="D952" i="6"/>
  <c r="L952" i="6" s="1"/>
  <c r="E952" i="6"/>
  <c r="F952" i="6"/>
  <c r="H952" i="6"/>
  <c r="I952" i="6"/>
  <c r="N952" i="6"/>
  <c r="R952" i="6"/>
  <c r="Q952" i="6" s="1"/>
  <c r="S952" i="6" s="1"/>
  <c r="T952" i="6"/>
  <c r="B953" i="6"/>
  <c r="C953" i="6"/>
  <c r="D953" i="6"/>
  <c r="E953" i="6"/>
  <c r="F953" i="6"/>
  <c r="H953" i="6"/>
  <c r="I953" i="6"/>
  <c r="L953" i="6"/>
  <c r="N953" i="6"/>
  <c r="Q953" i="6"/>
  <c r="R953" i="6"/>
  <c r="S953" i="6"/>
  <c r="T953" i="6"/>
  <c r="B954" i="6"/>
  <c r="C954" i="6"/>
  <c r="D954" i="6"/>
  <c r="L954" i="6" s="1"/>
  <c r="E954" i="6"/>
  <c r="F954" i="6"/>
  <c r="H954" i="6"/>
  <c r="I954" i="6"/>
  <c r="N954" i="6"/>
  <c r="R954" i="6"/>
  <c r="Q954" i="6" s="1"/>
  <c r="S954" i="6" s="1"/>
  <c r="T954" i="6"/>
  <c r="B955" i="6"/>
  <c r="C955" i="6"/>
  <c r="D955" i="6"/>
  <c r="E955" i="6"/>
  <c r="F955" i="6"/>
  <c r="L955" i="6" s="1"/>
  <c r="H955" i="6"/>
  <c r="I955" i="6"/>
  <c r="N955" i="6"/>
  <c r="R955" i="6"/>
  <c r="Q955" i="6" s="1"/>
  <c r="S955" i="6" s="1"/>
  <c r="T955" i="6"/>
  <c r="B956" i="6"/>
  <c r="C956" i="6"/>
  <c r="D956" i="6"/>
  <c r="L956" i="6" s="1"/>
  <c r="E956" i="6"/>
  <c r="F956" i="6"/>
  <c r="H956" i="6"/>
  <c r="I956" i="6"/>
  <c r="N956" i="6"/>
  <c r="R956" i="6"/>
  <c r="Q956" i="6" s="1"/>
  <c r="S956" i="6" s="1"/>
  <c r="T956" i="6"/>
  <c r="B957" i="6"/>
  <c r="C957" i="6"/>
  <c r="D957" i="6"/>
  <c r="L957" i="6" s="1"/>
  <c r="E957" i="6"/>
  <c r="F957" i="6"/>
  <c r="H957" i="6"/>
  <c r="I957" i="6"/>
  <c r="N957" i="6"/>
  <c r="R957" i="6"/>
  <c r="Q957" i="6" s="1"/>
  <c r="S957" i="6" s="1"/>
  <c r="T957" i="6"/>
  <c r="B958" i="6"/>
  <c r="C958" i="6"/>
  <c r="D958" i="6"/>
  <c r="L958" i="6" s="1"/>
  <c r="E958" i="6"/>
  <c r="F958" i="6"/>
  <c r="H958" i="6"/>
  <c r="I958" i="6"/>
  <c r="N958" i="6"/>
  <c r="R958" i="6"/>
  <c r="Q958" i="6" s="1"/>
  <c r="S958" i="6" s="1"/>
  <c r="T958" i="6"/>
  <c r="B959" i="6"/>
  <c r="C959" i="6"/>
  <c r="D959" i="6"/>
  <c r="E959" i="6"/>
  <c r="F959" i="6"/>
  <c r="H959" i="6"/>
  <c r="I959" i="6"/>
  <c r="L959" i="6" s="1"/>
  <c r="N959" i="6"/>
  <c r="R959" i="6"/>
  <c r="Q959" i="6" s="1"/>
  <c r="S959" i="6" s="1"/>
  <c r="T959" i="6"/>
  <c r="B960" i="6"/>
  <c r="C960" i="6"/>
  <c r="D960" i="6"/>
  <c r="L960" i="6" s="1"/>
  <c r="E960" i="6"/>
  <c r="F960" i="6"/>
  <c r="H960" i="6"/>
  <c r="I960" i="6"/>
  <c r="N960" i="6"/>
  <c r="R960" i="6"/>
  <c r="Q960" i="6" s="1"/>
  <c r="T960" i="6"/>
  <c r="B961" i="6"/>
  <c r="C961" i="6"/>
  <c r="D961" i="6"/>
  <c r="E961" i="6"/>
  <c r="F961" i="6"/>
  <c r="H961" i="6"/>
  <c r="I961" i="6"/>
  <c r="L961" i="6" s="1"/>
  <c r="N961" i="6"/>
  <c r="R961" i="6"/>
  <c r="Q961" i="6" s="1"/>
  <c r="S961" i="6" s="1"/>
  <c r="T961" i="6"/>
  <c r="B962" i="6"/>
  <c r="C962" i="6"/>
  <c r="D962" i="6"/>
  <c r="L962" i="6" s="1"/>
  <c r="E962" i="6"/>
  <c r="F962" i="6"/>
  <c r="H962" i="6"/>
  <c r="I962" i="6"/>
  <c r="N962" i="6"/>
  <c r="R962" i="6"/>
  <c r="Q962" i="6" s="1"/>
  <c r="S962" i="6" s="1"/>
  <c r="T962" i="6"/>
  <c r="B963" i="6"/>
  <c r="C963" i="6"/>
  <c r="D963" i="6"/>
  <c r="E963" i="6"/>
  <c r="F963" i="6"/>
  <c r="H963" i="6"/>
  <c r="I963" i="6"/>
  <c r="L963" i="6"/>
  <c r="N963" i="6"/>
  <c r="Q963" i="6"/>
  <c r="R963" i="6"/>
  <c r="S963" i="6"/>
  <c r="T963" i="6"/>
  <c r="B964" i="6"/>
  <c r="C964" i="6"/>
  <c r="D964" i="6"/>
  <c r="L964" i="6" s="1"/>
  <c r="E964" i="6"/>
  <c r="F964" i="6"/>
  <c r="H964" i="6"/>
  <c r="I964" i="6"/>
  <c r="N964" i="6"/>
  <c r="R964" i="6"/>
  <c r="Q964" i="6" s="1"/>
  <c r="S964" i="6" s="1"/>
  <c r="T964" i="6"/>
  <c r="B965" i="6"/>
  <c r="C965" i="6"/>
  <c r="D965" i="6"/>
  <c r="E965" i="6"/>
  <c r="F965" i="6"/>
  <c r="H965" i="6"/>
  <c r="I965" i="6"/>
  <c r="L965" i="6"/>
  <c r="N965" i="6"/>
  <c r="Q965" i="6"/>
  <c r="R965" i="6"/>
  <c r="S965" i="6"/>
  <c r="T965" i="6"/>
  <c r="B966" i="6"/>
  <c r="C966" i="6"/>
  <c r="D966" i="6"/>
  <c r="L966" i="6" s="1"/>
  <c r="E966" i="6"/>
  <c r="F966" i="6"/>
  <c r="H966" i="6"/>
  <c r="I966" i="6"/>
  <c r="N966" i="6"/>
  <c r="R966" i="6"/>
  <c r="Q966" i="6" s="1"/>
  <c r="S966" i="6" s="1"/>
  <c r="T966" i="6"/>
  <c r="B967" i="6"/>
  <c r="C967" i="6"/>
  <c r="D967" i="6"/>
  <c r="E967" i="6"/>
  <c r="F967" i="6"/>
  <c r="H967" i="6"/>
  <c r="I967" i="6"/>
  <c r="L967" i="6"/>
  <c r="N967" i="6"/>
  <c r="Q967" i="6"/>
  <c r="R967" i="6"/>
  <c r="S967" i="6"/>
  <c r="T967" i="6"/>
  <c r="B968" i="6"/>
  <c r="C968" i="6"/>
  <c r="D968" i="6"/>
  <c r="L968" i="6" s="1"/>
  <c r="E968" i="6"/>
  <c r="F968" i="6"/>
  <c r="H968" i="6"/>
  <c r="I968" i="6"/>
  <c r="N968" i="6"/>
  <c r="R968" i="6"/>
  <c r="Q968" i="6" s="1"/>
  <c r="S968" i="6" s="1"/>
  <c r="T968" i="6"/>
  <c r="B969" i="6"/>
  <c r="C969" i="6"/>
  <c r="D969" i="6"/>
  <c r="E969" i="6"/>
  <c r="F969" i="6"/>
  <c r="H969" i="6"/>
  <c r="I969" i="6"/>
  <c r="L969" i="6"/>
  <c r="N969" i="6"/>
  <c r="Q969" i="6"/>
  <c r="R969" i="6"/>
  <c r="S969" i="6"/>
  <c r="T969" i="6"/>
  <c r="B970" i="6"/>
  <c r="C970" i="6"/>
  <c r="D970" i="6"/>
  <c r="L970" i="6" s="1"/>
  <c r="E970" i="6"/>
  <c r="F970" i="6"/>
  <c r="H970" i="6"/>
  <c r="I970" i="6"/>
  <c r="N970" i="6"/>
  <c r="R970" i="6"/>
  <c r="Q970" i="6" s="1"/>
  <c r="S970" i="6" s="1"/>
  <c r="T970" i="6"/>
  <c r="B971" i="6"/>
  <c r="C971" i="6"/>
  <c r="D971" i="6"/>
  <c r="E971" i="6"/>
  <c r="F971" i="6"/>
  <c r="H971" i="6"/>
  <c r="I971" i="6"/>
  <c r="L971" i="6"/>
  <c r="N971" i="6"/>
  <c r="Q971" i="6"/>
  <c r="R971" i="6"/>
  <c r="S971" i="6"/>
  <c r="T971" i="6"/>
  <c r="B972" i="6"/>
  <c r="C972" i="6"/>
  <c r="D972" i="6"/>
  <c r="L972" i="6" s="1"/>
  <c r="E972" i="6"/>
  <c r="F972" i="6"/>
  <c r="H972" i="6"/>
  <c r="I972" i="6"/>
  <c r="N972" i="6"/>
  <c r="R972" i="6"/>
  <c r="Q972" i="6" s="1"/>
  <c r="T972" i="6"/>
  <c r="B973" i="6"/>
  <c r="C973" i="6"/>
  <c r="D973" i="6"/>
  <c r="E973" i="6"/>
  <c r="F973" i="6"/>
  <c r="H973" i="6"/>
  <c r="I973" i="6"/>
  <c r="L973" i="6"/>
  <c r="N973" i="6"/>
  <c r="Q973" i="6"/>
  <c r="R973" i="6"/>
  <c r="S973" i="6"/>
  <c r="T973" i="6"/>
  <c r="B974" i="6"/>
  <c r="C974" i="6"/>
  <c r="D974" i="6"/>
  <c r="L974" i="6" s="1"/>
  <c r="E974" i="6"/>
  <c r="F974" i="6"/>
  <c r="H974" i="6"/>
  <c r="I974" i="6"/>
  <c r="N974" i="6"/>
  <c r="R974" i="6"/>
  <c r="Q974" i="6" s="1"/>
  <c r="S974" i="6" s="1"/>
  <c r="T974" i="6"/>
  <c r="B975" i="6"/>
  <c r="C975" i="6"/>
  <c r="D975" i="6"/>
  <c r="E975" i="6"/>
  <c r="F975" i="6"/>
  <c r="H975" i="6"/>
  <c r="I975" i="6"/>
  <c r="L975" i="6"/>
  <c r="N975" i="6"/>
  <c r="R975" i="6"/>
  <c r="Q975" i="6" s="1"/>
  <c r="S975" i="6" s="1"/>
  <c r="T975" i="6"/>
  <c r="B976" i="6"/>
  <c r="C976" i="6"/>
  <c r="D976" i="6"/>
  <c r="L976" i="6" s="1"/>
  <c r="E976" i="6"/>
  <c r="F976" i="6"/>
  <c r="H976" i="6"/>
  <c r="I976" i="6"/>
  <c r="N976" i="6"/>
  <c r="R976" i="6"/>
  <c r="Q976" i="6" s="1"/>
  <c r="S976" i="6" s="1"/>
  <c r="T976" i="6"/>
  <c r="B977" i="6"/>
  <c r="C977" i="6"/>
  <c r="D977" i="6"/>
  <c r="E977" i="6"/>
  <c r="F977" i="6"/>
  <c r="L977" i="6" s="1"/>
  <c r="H977" i="6"/>
  <c r="I977" i="6"/>
  <c r="N977" i="6"/>
  <c r="R977" i="6"/>
  <c r="Q977" i="6" s="1"/>
  <c r="S977" i="6" s="1"/>
  <c r="T977" i="6"/>
  <c r="B978" i="6"/>
  <c r="C978" i="6"/>
  <c r="D978" i="6"/>
  <c r="L978" i="6" s="1"/>
  <c r="E978" i="6"/>
  <c r="F978" i="6"/>
  <c r="H978" i="6"/>
  <c r="I978" i="6"/>
  <c r="N978" i="6"/>
  <c r="R978" i="6"/>
  <c r="Q978" i="6" s="1"/>
  <c r="S978" i="6" s="1"/>
  <c r="T978" i="6"/>
  <c r="B979" i="6"/>
  <c r="C979" i="6"/>
  <c r="D979" i="6"/>
  <c r="E979" i="6"/>
  <c r="F979" i="6"/>
  <c r="L979" i="6" s="1"/>
  <c r="H979" i="6"/>
  <c r="I979" i="6"/>
  <c r="N979" i="6"/>
  <c r="R979" i="6"/>
  <c r="Q979" i="6" s="1"/>
  <c r="S979" i="6" s="1"/>
  <c r="T979" i="6"/>
  <c r="B980" i="6"/>
  <c r="C980" i="6"/>
  <c r="D980" i="6"/>
  <c r="L980" i="6" s="1"/>
  <c r="E980" i="6"/>
  <c r="F980" i="6"/>
  <c r="H980" i="6"/>
  <c r="I980" i="6"/>
  <c r="N980" i="6"/>
  <c r="R980" i="6"/>
  <c r="Q980" i="6" s="1"/>
  <c r="S980" i="6" s="1"/>
  <c r="T980" i="6"/>
  <c r="B981" i="6"/>
  <c r="C981" i="6"/>
  <c r="D981" i="6"/>
  <c r="L981" i="6" s="1"/>
  <c r="E981" i="6"/>
  <c r="F981" i="6"/>
  <c r="H981" i="6"/>
  <c r="I981" i="6"/>
  <c r="N981" i="6"/>
  <c r="R981" i="6"/>
  <c r="Q981" i="6" s="1"/>
  <c r="S981" i="6" s="1"/>
  <c r="T981" i="6"/>
  <c r="B982" i="6"/>
  <c r="C982" i="6"/>
  <c r="D982" i="6"/>
  <c r="L982" i="6" s="1"/>
  <c r="E982" i="6"/>
  <c r="F982" i="6"/>
  <c r="H982" i="6"/>
  <c r="I982" i="6"/>
  <c r="N982" i="6"/>
  <c r="R982" i="6"/>
  <c r="Q982" i="6" s="1"/>
  <c r="S982" i="6" s="1"/>
  <c r="T982" i="6"/>
  <c r="B983" i="6"/>
  <c r="C983" i="6"/>
  <c r="D983" i="6"/>
  <c r="L983" i="6" s="1"/>
  <c r="E983" i="6"/>
  <c r="F983" i="6"/>
  <c r="H983" i="6"/>
  <c r="I983" i="6"/>
  <c r="N983" i="6"/>
  <c r="R983" i="6"/>
  <c r="Q983" i="6" s="1"/>
  <c r="S983" i="6" s="1"/>
  <c r="T983" i="6"/>
  <c r="B984" i="6"/>
  <c r="C984" i="6"/>
  <c r="D984" i="6"/>
  <c r="L984" i="6" s="1"/>
  <c r="E984" i="6"/>
  <c r="F984" i="6"/>
  <c r="H984" i="6"/>
  <c r="I984" i="6"/>
  <c r="N984" i="6"/>
  <c r="R984" i="6"/>
  <c r="Q984" i="6" s="1"/>
  <c r="T984" i="6"/>
  <c r="B985" i="6"/>
  <c r="C985" i="6"/>
  <c r="D985" i="6"/>
  <c r="L985" i="6" s="1"/>
  <c r="E985" i="6"/>
  <c r="F985" i="6"/>
  <c r="H985" i="6"/>
  <c r="I985" i="6"/>
  <c r="N985" i="6"/>
  <c r="R985" i="6"/>
  <c r="Q985" i="6" s="1"/>
  <c r="S985" i="6" s="1"/>
  <c r="T985" i="6"/>
  <c r="B986" i="6"/>
  <c r="C986" i="6"/>
  <c r="D986" i="6"/>
  <c r="L986" i="6" s="1"/>
  <c r="E986" i="6"/>
  <c r="F986" i="6"/>
  <c r="H986" i="6"/>
  <c r="I986" i="6"/>
  <c r="N986" i="6"/>
  <c r="R986" i="6"/>
  <c r="Q986" i="6" s="1"/>
  <c r="S986" i="6" s="1"/>
  <c r="T986" i="6"/>
  <c r="B987" i="6"/>
  <c r="C987" i="6"/>
  <c r="D987" i="6"/>
  <c r="L987" i="6" s="1"/>
  <c r="E987" i="6"/>
  <c r="F987" i="6"/>
  <c r="H987" i="6"/>
  <c r="I987" i="6"/>
  <c r="N987" i="6"/>
  <c r="R987" i="6"/>
  <c r="Q987" i="6" s="1"/>
  <c r="S987" i="6" s="1"/>
  <c r="T987" i="6"/>
  <c r="B988" i="6"/>
  <c r="C988" i="6"/>
  <c r="D988" i="6"/>
  <c r="L988" i="6" s="1"/>
  <c r="E988" i="6"/>
  <c r="F988" i="6"/>
  <c r="H988" i="6"/>
  <c r="I988" i="6"/>
  <c r="N988" i="6"/>
  <c r="R988" i="6"/>
  <c r="Q988" i="6" s="1"/>
  <c r="S988" i="6" s="1"/>
  <c r="T988" i="6"/>
  <c r="B989" i="6"/>
  <c r="C989" i="6"/>
  <c r="D989" i="6"/>
  <c r="L989" i="6" s="1"/>
  <c r="E989" i="6"/>
  <c r="F989" i="6"/>
  <c r="H989" i="6"/>
  <c r="I989" i="6"/>
  <c r="N989" i="6"/>
  <c r="R989" i="6"/>
  <c r="Q989" i="6" s="1"/>
  <c r="S989" i="6" s="1"/>
  <c r="T989" i="6"/>
  <c r="B990" i="6"/>
  <c r="C990" i="6"/>
  <c r="D990" i="6"/>
  <c r="L990" i="6" s="1"/>
  <c r="E990" i="6"/>
  <c r="F990" i="6"/>
  <c r="H990" i="6"/>
  <c r="I990" i="6"/>
  <c r="N990" i="6"/>
  <c r="R990" i="6"/>
  <c r="Q990" i="6" s="1"/>
  <c r="S990" i="6" s="1"/>
  <c r="T990" i="6"/>
  <c r="B991" i="6"/>
  <c r="C991" i="6"/>
  <c r="D991" i="6"/>
  <c r="L991" i="6" s="1"/>
  <c r="E991" i="6"/>
  <c r="F991" i="6"/>
  <c r="H991" i="6"/>
  <c r="I991" i="6"/>
  <c r="N991" i="6"/>
  <c r="R991" i="6"/>
  <c r="Q991" i="6" s="1"/>
  <c r="S991" i="6" s="1"/>
  <c r="T991" i="6"/>
  <c r="B992" i="6"/>
  <c r="C992" i="6"/>
  <c r="D992" i="6"/>
  <c r="L992" i="6" s="1"/>
  <c r="E992" i="6"/>
  <c r="F992" i="6"/>
  <c r="H992" i="6"/>
  <c r="I992" i="6"/>
  <c r="N992" i="6"/>
  <c r="R992" i="6"/>
  <c r="Q992" i="6" s="1"/>
  <c r="S992" i="6" s="1"/>
  <c r="T992" i="6"/>
  <c r="B993" i="6"/>
  <c r="C993" i="6"/>
  <c r="D993" i="6"/>
  <c r="L993" i="6" s="1"/>
  <c r="E993" i="6"/>
  <c r="F993" i="6"/>
  <c r="H993" i="6"/>
  <c r="I993" i="6"/>
  <c r="N993" i="6"/>
  <c r="R993" i="6"/>
  <c r="Q993" i="6" s="1"/>
  <c r="S993" i="6" s="1"/>
  <c r="T993" i="6"/>
  <c r="B994" i="6"/>
  <c r="C994" i="6"/>
  <c r="D994" i="6"/>
  <c r="L994" i="6" s="1"/>
  <c r="E994" i="6"/>
  <c r="F994" i="6"/>
  <c r="H994" i="6"/>
  <c r="I994" i="6"/>
  <c r="N994" i="6"/>
  <c r="R994" i="6"/>
  <c r="Q994" i="6" s="1"/>
  <c r="S994" i="6" s="1"/>
  <c r="T994" i="6"/>
  <c r="B995" i="6"/>
  <c r="C995" i="6"/>
  <c r="D995" i="6"/>
  <c r="L995" i="6" s="1"/>
  <c r="E995" i="6"/>
  <c r="F995" i="6"/>
  <c r="H995" i="6"/>
  <c r="I995" i="6"/>
  <c r="N995" i="6"/>
  <c r="R995" i="6"/>
  <c r="Q995" i="6" s="1"/>
  <c r="S995" i="6" s="1"/>
  <c r="T995" i="6"/>
  <c r="B996" i="6"/>
  <c r="C996" i="6"/>
  <c r="D996" i="6"/>
  <c r="L996" i="6" s="1"/>
  <c r="E996" i="6"/>
  <c r="F996" i="6"/>
  <c r="H996" i="6"/>
  <c r="I996" i="6"/>
  <c r="N996" i="6"/>
  <c r="R996" i="6"/>
  <c r="Q996" i="6" s="1"/>
  <c r="T996" i="6"/>
  <c r="B997" i="6"/>
  <c r="C997" i="6"/>
  <c r="D997" i="6"/>
  <c r="L997" i="6" s="1"/>
  <c r="E997" i="6"/>
  <c r="F997" i="6"/>
  <c r="H997" i="6"/>
  <c r="I997" i="6"/>
  <c r="N997" i="6"/>
  <c r="R997" i="6"/>
  <c r="Q997" i="6" s="1"/>
  <c r="S997" i="6" s="1"/>
  <c r="T997" i="6"/>
  <c r="B998" i="6"/>
  <c r="C998" i="6"/>
  <c r="D998" i="6"/>
  <c r="L998" i="6" s="1"/>
  <c r="E998" i="6"/>
  <c r="F998" i="6"/>
  <c r="H998" i="6"/>
  <c r="I998" i="6"/>
  <c r="N998" i="6"/>
  <c r="R998" i="6"/>
  <c r="Q998" i="6" s="1"/>
  <c r="S998" i="6" s="1"/>
  <c r="T998" i="6"/>
  <c r="B999" i="6"/>
  <c r="C999" i="6"/>
  <c r="D999" i="6"/>
  <c r="L999" i="6" s="1"/>
  <c r="E999" i="6"/>
  <c r="F999" i="6"/>
  <c r="H999" i="6"/>
  <c r="I999" i="6"/>
  <c r="N999" i="6"/>
  <c r="R999" i="6"/>
  <c r="Q999" i="6" s="1"/>
  <c r="S999" i="6" s="1"/>
  <c r="T999" i="6"/>
  <c r="B1000" i="6"/>
  <c r="C1000" i="6"/>
  <c r="D1000" i="6"/>
  <c r="L1000" i="6" s="1"/>
  <c r="E1000" i="6"/>
  <c r="F1000" i="6"/>
  <c r="H1000" i="6"/>
  <c r="I1000" i="6"/>
  <c r="N1000" i="6"/>
  <c r="R1000" i="6"/>
  <c r="Q1000" i="6" s="1"/>
  <c r="S1000" i="6" s="1"/>
  <c r="T1000" i="6"/>
  <c r="B1001" i="6"/>
  <c r="C1001" i="6"/>
  <c r="D1001" i="6"/>
  <c r="L1001" i="6" s="1"/>
  <c r="E1001" i="6"/>
  <c r="F1001" i="6"/>
  <c r="H1001" i="6"/>
  <c r="I1001" i="6"/>
  <c r="N1001" i="6"/>
  <c r="R1001" i="6"/>
  <c r="Q1001" i="6" s="1"/>
  <c r="S1001" i="6" s="1"/>
  <c r="T1001" i="6"/>
  <c r="B1002" i="6"/>
  <c r="C1002" i="6"/>
  <c r="D1002" i="6"/>
  <c r="L1002" i="6" s="1"/>
  <c r="E1002" i="6"/>
  <c r="F1002" i="6"/>
  <c r="H1002" i="6"/>
  <c r="I1002" i="6"/>
  <c r="N1002" i="6"/>
  <c r="R1002" i="6"/>
  <c r="Q1002" i="6" s="1"/>
  <c r="S1002" i="6" s="1"/>
  <c r="T1002" i="6"/>
  <c r="B1003" i="6"/>
  <c r="C1003" i="6"/>
  <c r="D1003" i="6"/>
  <c r="L1003" i="6" s="1"/>
  <c r="E1003" i="6"/>
  <c r="F1003" i="6"/>
  <c r="H1003" i="6"/>
  <c r="I1003" i="6"/>
  <c r="N1003" i="6"/>
  <c r="R1003" i="6"/>
  <c r="Q1003" i="6" s="1"/>
  <c r="S1003" i="6" s="1"/>
  <c r="T1003" i="6"/>
  <c r="B1004" i="6"/>
  <c r="C1004" i="6"/>
  <c r="D1004" i="6"/>
  <c r="L1004" i="6" s="1"/>
  <c r="E1004" i="6"/>
  <c r="F1004" i="6"/>
  <c r="H1004" i="6"/>
  <c r="I1004" i="6"/>
  <c r="N1004" i="6"/>
  <c r="R1004" i="6"/>
  <c r="Q1004" i="6" s="1"/>
  <c r="S1004" i="6" s="1"/>
  <c r="T1004" i="6"/>
  <c r="B1005" i="6"/>
  <c r="C1005" i="6"/>
  <c r="D1005" i="6"/>
  <c r="L1005" i="6" s="1"/>
  <c r="E1005" i="6"/>
  <c r="F1005" i="6"/>
  <c r="H1005" i="6"/>
  <c r="I1005" i="6"/>
  <c r="N1005" i="6"/>
  <c r="R1005" i="6"/>
  <c r="Q1005" i="6" s="1"/>
  <c r="S1005" i="6" s="1"/>
  <c r="T1005" i="6"/>
  <c r="B1006" i="6"/>
  <c r="C1006" i="6"/>
  <c r="D1006" i="6"/>
  <c r="L1006" i="6" s="1"/>
  <c r="E1006" i="6"/>
  <c r="F1006" i="6"/>
  <c r="H1006" i="6"/>
  <c r="I1006" i="6"/>
  <c r="N1006" i="6"/>
  <c r="R1006" i="6"/>
  <c r="Q1006" i="6" s="1"/>
  <c r="S1006" i="6" s="1"/>
  <c r="T1006" i="6"/>
  <c r="B1007" i="6"/>
  <c r="C1007" i="6"/>
  <c r="D1007" i="6"/>
  <c r="L1007" i="6" s="1"/>
  <c r="E1007" i="6"/>
  <c r="F1007" i="6"/>
  <c r="H1007" i="6"/>
  <c r="I1007" i="6"/>
  <c r="N1007" i="6"/>
  <c r="R1007" i="6"/>
  <c r="Q1007" i="6" s="1"/>
  <c r="S1007" i="6" s="1"/>
  <c r="T1007" i="6"/>
  <c r="B1008" i="6"/>
  <c r="C1008" i="6"/>
  <c r="D1008" i="6"/>
  <c r="E1008" i="6"/>
  <c r="F1008" i="6"/>
  <c r="H1008" i="6"/>
  <c r="I1008" i="6"/>
  <c r="L1008" i="6" s="1"/>
  <c r="N1008" i="6"/>
  <c r="R1008" i="6"/>
  <c r="Q1008" i="6" s="1"/>
  <c r="T1008" i="6"/>
  <c r="B1009" i="6"/>
  <c r="C1009" i="6"/>
  <c r="D1009" i="6"/>
  <c r="L1009" i="6" s="1"/>
  <c r="E1009" i="6"/>
  <c r="F1009" i="6"/>
  <c r="H1009" i="6"/>
  <c r="I1009" i="6"/>
  <c r="N1009" i="6"/>
  <c r="R1009" i="6"/>
  <c r="Q1009" i="6" s="1"/>
  <c r="S1009" i="6" s="1"/>
  <c r="T1009" i="6"/>
  <c r="B1010" i="6"/>
  <c r="C1010" i="6"/>
  <c r="D1010" i="6"/>
  <c r="E1010" i="6"/>
  <c r="F1010" i="6"/>
  <c r="H1010" i="6"/>
  <c r="I1010" i="6"/>
  <c r="L1010" i="6"/>
  <c r="N1010" i="6"/>
  <c r="Q1010" i="6"/>
  <c r="R1010" i="6"/>
  <c r="S1010" i="6"/>
  <c r="T1010" i="6"/>
  <c r="B1011" i="6"/>
  <c r="C1011" i="6"/>
  <c r="D1011" i="6"/>
  <c r="L1011" i="6" s="1"/>
  <c r="E1011" i="6"/>
  <c r="F1011" i="6"/>
  <c r="H1011" i="6"/>
  <c r="I1011" i="6"/>
  <c r="N1011" i="6"/>
  <c r="R1011" i="6"/>
  <c r="Q1011" i="6" s="1"/>
  <c r="S1011" i="6" s="1"/>
  <c r="T1011" i="6"/>
  <c r="B1012" i="6"/>
  <c r="C1012" i="6"/>
  <c r="D1012" i="6"/>
  <c r="E1012" i="6"/>
  <c r="F1012" i="6"/>
  <c r="H1012" i="6"/>
  <c r="I1012" i="6"/>
  <c r="L1012" i="6"/>
  <c r="N1012" i="6"/>
  <c r="Q1012" i="6"/>
  <c r="R1012" i="6"/>
  <c r="S1012" i="6"/>
  <c r="T1012" i="6"/>
  <c r="B1013" i="6"/>
  <c r="C1013" i="6"/>
  <c r="D1013" i="6"/>
  <c r="L1013" i="6" s="1"/>
  <c r="E1013" i="6"/>
  <c r="F1013" i="6"/>
  <c r="H1013" i="6"/>
  <c r="I1013" i="6"/>
  <c r="N1013" i="6"/>
  <c r="R1013" i="6"/>
  <c r="Q1013" i="6" s="1"/>
  <c r="S1013" i="6" s="1"/>
  <c r="T1013" i="6"/>
  <c r="B1014" i="6"/>
  <c r="C1014" i="6"/>
  <c r="D1014" i="6"/>
  <c r="E1014" i="6"/>
  <c r="F1014" i="6"/>
  <c r="H1014" i="6"/>
  <c r="I1014" i="6"/>
  <c r="L1014" i="6"/>
  <c r="N1014" i="6"/>
  <c r="Q1014" i="6"/>
  <c r="R1014" i="6"/>
  <c r="S1014" i="6"/>
  <c r="T1014" i="6"/>
  <c r="B1015" i="6"/>
  <c r="C1015" i="6"/>
  <c r="D1015" i="6"/>
  <c r="L1015" i="6" s="1"/>
  <c r="E1015" i="6"/>
  <c r="F1015" i="6"/>
  <c r="H1015" i="6"/>
  <c r="I1015" i="6"/>
  <c r="N1015" i="6"/>
  <c r="R1015" i="6"/>
  <c r="Q1015" i="6" s="1"/>
  <c r="S1015" i="6" s="1"/>
  <c r="T1015" i="6"/>
  <c r="B1016" i="6"/>
  <c r="C1016" i="6"/>
  <c r="D1016" i="6"/>
  <c r="E1016" i="6"/>
  <c r="F1016" i="6"/>
  <c r="H1016" i="6"/>
  <c r="I1016" i="6"/>
  <c r="L1016" i="6"/>
  <c r="N1016" i="6"/>
  <c r="Q1016" i="6"/>
  <c r="R1016" i="6"/>
  <c r="S1016" i="6"/>
  <c r="T1016" i="6"/>
  <c r="B1017" i="6"/>
  <c r="C1017" i="6"/>
  <c r="D1017" i="6"/>
  <c r="L1017" i="6" s="1"/>
  <c r="E1017" i="6"/>
  <c r="F1017" i="6"/>
  <c r="H1017" i="6"/>
  <c r="I1017" i="6"/>
  <c r="N1017" i="6"/>
  <c r="R1017" i="6"/>
  <c r="Q1017" i="6" s="1"/>
  <c r="S1017" i="6" s="1"/>
  <c r="T1017" i="6"/>
  <c r="B1018" i="6"/>
  <c r="C1018" i="6"/>
  <c r="D1018" i="6"/>
  <c r="E1018" i="6"/>
  <c r="F1018" i="6"/>
  <c r="H1018" i="6"/>
  <c r="I1018" i="6"/>
  <c r="L1018" i="6"/>
  <c r="N1018" i="6"/>
  <c r="Q1018" i="6"/>
  <c r="R1018" i="6"/>
  <c r="S1018" i="6"/>
  <c r="T1018" i="6"/>
  <c r="B1019" i="6"/>
  <c r="C1019" i="6"/>
  <c r="D1019" i="6"/>
  <c r="L1019" i="6" s="1"/>
  <c r="E1019" i="6"/>
  <c r="F1019" i="6"/>
  <c r="H1019" i="6"/>
  <c r="I1019" i="6"/>
  <c r="N1019" i="6"/>
  <c r="R1019" i="6"/>
  <c r="Q1019" i="6" s="1"/>
  <c r="S1019" i="6" s="1"/>
  <c r="T1019" i="6"/>
  <c r="B1020" i="6"/>
  <c r="C1020" i="6"/>
  <c r="D1020" i="6"/>
  <c r="E1020" i="6"/>
  <c r="F1020" i="6"/>
  <c r="H1020" i="6"/>
  <c r="I1020" i="6"/>
  <c r="L1020" i="6"/>
  <c r="N1020" i="6"/>
  <c r="Q1020" i="6"/>
  <c r="R1020" i="6"/>
  <c r="S1020" i="6"/>
  <c r="T1020" i="6"/>
  <c r="B1021" i="6"/>
  <c r="C1021" i="6"/>
  <c r="D1021" i="6"/>
  <c r="L1021" i="6" s="1"/>
  <c r="E1021" i="6"/>
  <c r="F1021" i="6"/>
  <c r="H1021" i="6"/>
  <c r="I1021" i="6"/>
  <c r="N1021" i="6"/>
  <c r="R1021" i="6"/>
  <c r="Q1021" i="6" s="1"/>
  <c r="T1021" i="6"/>
  <c r="B1022" i="6"/>
  <c r="C1022" i="6"/>
  <c r="D1022" i="6"/>
  <c r="E1022" i="6"/>
  <c r="F1022" i="6"/>
  <c r="H1022" i="6"/>
  <c r="I1022" i="6"/>
  <c r="L1022" i="6"/>
  <c r="N1022" i="6"/>
  <c r="Q1022" i="6"/>
  <c r="R1022" i="6"/>
  <c r="S1022" i="6"/>
  <c r="T1022" i="6"/>
  <c r="B1023" i="6"/>
  <c r="C1023" i="6"/>
  <c r="D1023" i="6"/>
  <c r="L1023" i="6" s="1"/>
  <c r="E1023" i="6"/>
  <c r="F1023" i="6"/>
  <c r="H1023" i="6"/>
  <c r="I1023" i="6"/>
  <c r="N1023" i="6"/>
  <c r="R1023" i="6"/>
  <c r="Q1023" i="6" s="1"/>
  <c r="S1023" i="6" s="1"/>
  <c r="T1023" i="6"/>
  <c r="B1024" i="6"/>
  <c r="C1024" i="6"/>
  <c r="D1024" i="6"/>
  <c r="E1024" i="6"/>
  <c r="F1024" i="6"/>
  <c r="H1024" i="6"/>
  <c r="I1024" i="6"/>
  <c r="L1024" i="6"/>
  <c r="N1024" i="6"/>
  <c r="Q1024" i="6"/>
  <c r="R1024" i="6"/>
  <c r="S1024" i="6"/>
  <c r="T1024" i="6"/>
  <c r="B1025" i="6"/>
  <c r="C1025" i="6"/>
  <c r="D1025" i="6"/>
  <c r="L1025" i="6" s="1"/>
  <c r="E1025" i="6"/>
  <c r="F1025" i="6"/>
  <c r="H1025" i="6"/>
  <c r="I1025" i="6"/>
  <c r="N1025" i="6"/>
  <c r="R1025" i="6"/>
  <c r="Q1025" i="6" s="1"/>
  <c r="S1025" i="6" s="1"/>
  <c r="T1025" i="6"/>
  <c r="B1026" i="6"/>
  <c r="C1026" i="6"/>
  <c r="D1026" i="6"/>
  <c r="E1026" i="6"/>
  <c r="F1026" i="6"/>
  <c r="H1026" i="6"/>
  <c r="I1026" i="6"/>
  <c r="L1026" i="6"/>
  <c r="N1026" i="6"/>
  <c r="Q1026" i="6"/>
  <c r="R1026" i="6"/>
  <c r="S1026" i="6"/>
  <c r="T1026" i="6"/>
  <c r="B1027" i="6"/>
  <c r="C1027" i="6"/>
  <c r="D1027" i="6"/>
  <c r="L1027" i="6" s="1"/>
  <c r="E1027" i="6"/>
  <c r="F1027" i="6"/>
  <c r="H1027" i="6"/>
  <c r="I1027" i="6"/>
  <c r="N1027" i="6"/>
  <c r="R1027" i="6"/>
  <c r="Q1027" i="6" s="1"/>
  <c r="S1027" i="6" s="1"/>
  <c r="T1027" i="6"/>
  <c r="B1028" i="6"/>
  <c r="C1028" i="6"/>
  <c r="D1028" i="6"/>
  <c r="E1028" i="6"/>
  <c r="F1028" i="6"/>
  <c r="H1028" i="6"/>
  <c r="I1028" i="6"/>
  <c r="L1028" i="6"/>
  <c r="N1028" i="6"/>
  <c r="Q1028" i="6"/>
  <c r="R1028" i="6"/>
  <c r="S1028" i="6"/>
  <c r="T1028" i="6"/>
  <c r="B1029" i="6"/>
  <c r="C1029" i="6"/>
  <c r="D1029" i="6"/>
  <c r="L1029" i="6" s="1"/>
  <c r="E1029" i="6"/>
  <c r="F1029" i="6"/>
  <c r="H1029" i="6"/>
  <c r="I1029" i="6"/>
  <c r="N1029" i="6"/>
  <c r="R1029" i="6"/>
  <c r="Q1029" i="6" s="1"/>
  <c r="S1029" i="6" s="1"/>
  <c r="T1029" i="6"/>
  <c r="B1030" i="6"/>
  <c r="C1030" i="6"/>
  <c r="D1030" i="6"/>
  <c r="E1030" i="6"/>
  <c r="F1030" i="6"/>
  <c r="H1030" i="6"/>
  <c r="I1030" i="6"/>
  <c r="L1030" i="6"/>
  <c r="N1030" i="6"/>
  <c r="Q1030" i="6"/>
  <c r="R1030" i="6"/>
  <c r="S1030" i="6"/>
  <c r="T1030" i="6"/>
  <c r="B1031" i="6"/>
  <c r="C1031" i="6"/>
  <c r="D1031" i="6"/>
  <c r="L1031" i="6" s="1"/>
  <c r="E1031" i="6"/>
  <c r="F1031" i="6"/>
  <c r="H1031" i="6"/>
  <c r="I1031" i="6"/>
  <c r="N1031" i="6"/>
  <c r="R1031" i="6"/>
  <c r="Q1031" i="6" s="1"/>
  <c r="S1031" i="6" s="1"/>
  <c r="T1031" i="6"/>
  <c r="B1032" i="6"/>
  <c r="C1032" i="6"/>
  <c r="D1032" i="6"/>
  <c r="E1032" i="6"/>
  <c r="F1032" i="6"/>
  <c r="H1032" i="6"/>
  <c r="I1032" i="6"/>
  <c r="L1032" i="6"/>
  <c r="N1032" i="6"/>
  <c r="Q1032" i="6"/>
  <c r="R1032" i="6"/>
  <c r="S1032" i="6"/>
  <c r="T1032" i="6"/>
  <c r="B1033" i="6"/>
  <c r="C1033" i="6"/>
  <c r="D1033" i="6"/>
  <c r="L1033" i="6" s="1"/>
  <c r="E1033" i="6"/>
  <c r="F1033" i="6"/>
  <c r="H1033" i="6"/>
  <c r="I1033" i="6"/>
  <c r="N1033" i="6"/>
  <c r="R1033" i="6"/>
  <c r="Q1033" i="6" s="1"/>
  <c r="T1033" i="6"/>
  <c r="B1034" i="6"/>
  <c r="C1034" i="6"/>
  <c r="D1034" i="6"/>
  <c r="E1034" i="6"/>
  <c r="F1034" i="6"/>
  <c r="H1034" i="6"/>
  <c r="I1034" i="6"/>
  <c r="L1034" i="6"/>
  <c r="N1034" i="6"/>
  <c r="Q1034" i="6"/>
  <c r="R1034" i="6"/>
  <c r="S1034" i="6"/>
  <c r="T1034" i="6"/>
  <c r="B1035" i="6"/>
  <c r="C1035" i="6"/>
  <c r="D1035" i="6"/>
  <c r="L1035" i="6" s="1"/>
  <c r="E1035" i="6"/>
  <c r="F1035" i="6"/>
  <c r="H1035" i="6"/>
  <c r="I1035" i="6"/>
  <c r="N1035" i="6"/>
  <c r="R1035" i="6"/>
  <c r="Q1035" i="6" s="1"/>
  <c r="S1035" i="6" s="1"/>
  <c r="T1035" i="6"/>
  <c r="B1036" i="6"/>
  <c r="C1036" i="6"/>
  <c r="D1036" i="6"/>
  <c r="E1036" i="6"/>
  <c r="F1036" i="6"/>
  <c r="H1036" i="6"/>
  <c r="I1036" i="6"/>
  <c r="L1036" i="6"/>
  <c r="N1036" i="6"/>
  <c r="Q1036" i="6"/>
  <c r="R1036" i="6"/>
  <c r="S1036" i="6"/>
  <c r="T1036" i="6"/>
  <c r="B1037" i="6"/>
  <c r="C1037" i="6"/>
  <c r="D1037" i="6"/>
  <c r="L1037" i="6" s="1"/>
  <c r="E1037" i="6"/>
  <c r="F1037" i="6"/>
  <c r="H1037" i="6"/>
  <c r="I1037" i="6"/>
  <c r="N1037" i="6"/>
  <c r="R1037" i="6"/>
  <c r="Q1037" i="6" s="1"/>
  <c r="S1037" i="6" s="1"/>
  <c r="T1037" i="6"/>
  <c r="B1038" i="6"/>
  <c r="C1038" i="6"/>
  <c r="D1038" i="6"/>
  <c r="E1038" i="6"/>
  <c r="F1038" i="6"/>
  <c r="H1038" i="6"/>
  <c r="I1038" i="6"/>
  <c r="L1038" i="6"/>
  <c r="N1038" i="6"/>
  <c r="Q1038" i="6"/>
  <c r="R1038" i="6"/>
  <c r="S1038" i="6"/>
  <c r="T1038" i="6"/>
  <c r="B1039" i="6"/>
  <c r="C1039" i="6"/>
  <c r="D1039" i="6"/>
  <c r="L1039" i="6" s="1"/>
  <c r="E1039" i="6"/>
  <c r="F1039" i="6"/>
  <c r="H1039" i="6"/>
  <c r="I1039" i="6"/>
  <c r="N1039" i="6"/>
  <c r="R1039" i="6"/>
  <c r="Q1039" i="6" s="1"/>
  <c r="S1039" i="6" s="1"/>
  <c r="T1039" i="6"/>
  <c r="B1040" i="6"/>
  <c r="C1040" i="6"/>
  <c r="D1040" i="6"/>
  <c r="E1040" i="6"/>
  <c r="F1040" i="6"/>
  <c r="H1040" i="6"/>
  <c r="I1040" i="6"/>
  <c r="L1040" i="6"/>
  <c r="N1040" i="6"/>
  <c r="Q1040" i="6"/>
  <c r="R1040" i="6"/>
  <c r="S1040" i="6"/>
  <c r="T1040" i="6"/>
  <c r="B1041" i="6"/>
  <c r="C1041" i="6"/>
  <c r="D1041" i="6"/>
  <c r="L1041" i="6" s="1"/>
  <c r="E1041" i="6"/>
  <c r="F1041" i="6"/>
  <c r="H1041" i="6"/>
  <c r="I1041" i="6"/>
  <c r="N1041" i="6"/>
  <c r="R1041" i="6"/>
  <c r="Q1041" i="6" s="1"/>
  <c r="S1041" i="6" s="1"/>
  <c r="T1041" i="6"/>
  <c r="B1042" i="6"/>
  <c r="C1042" i="6"/>
  <c r="D1042" i="6"/>
  <c r="E1042" i="6"/>
  <c r="F1042" i="6"/>
  <c r="H1042" i="6"/>
  <c r="I1042" i="6"/>
  <c r="L1042" i="6"/>
  <c r="N1042" i="6"/>
  <c r="Q1042" i="6"/>
  <c r="R1042" i="6"/>
  <c r="S1042" i="6"/>
  <c r="T1042" i="6"/>
  <c r="B1043" i="6"/>
  <c r="C1043" i="6"/>
  <c r="D1043" i="6"/>
  <c r="L1043" i="6" s="1"/>
  <c r="E1043" i="6"/>
  <c r="F1043" i="6"/>
  <c r="H1043" i="6"/>
  <c r="I1043" i="6"/>
  <c r="N1043" i="6"/>
  <c r="R1043" i="6"/>
  <c r="Q1043" i="6" s="1"/>
  <c r="S1043" i="6" s="1"/>
  <c r="T1043" i="6"/>
  <c r="B1044" i="6"/>
  <c r="C1044" i="6"/>
  <c r="D1044" i="6"/>
  <c r="E1044" i="6"/>
  <c r="F1044" i="6"/>
  <c r="H1044" i="6"/>
  <c r="I1044" i="6"/>
  <c r="L1044" i="6"/>
  <c r="N1044" i="6"/>
  <c r="Q1044" i="6"/>
  <c r="R1044" i="6"/>
  <c r="S1044" i="6"/>
  <c r="T1044" i="6"/>
  <c r="B1045" i="6"/>
  <c r="C1045" i="6"/>
  <c r="D1045" i="6"/>
  <c r="L1045" i="6" s="1"/>
  <c r="E1045" i="6"/>
  <c r="F1045" i="6"/>
  <c r="H1045" i="6"/>
  <c r="I1045" i="6"/>
  <c r="N1045" i="6"/>
  <c r="R1045" i="6"/>
  <c r="Q1045" i="6" s="1"/>
  <c r="T1045" i="6"/>
  <c r="B1046" i="6"/>
  <c r="C1046" i="6"/>
  <c r="D1046" i="6"/>
  <c r="E1046" i="6"/>
  <c r="F1046" i="6"/>
  <c r="H1046" i="6"/>
  <c r="I1046" i="6"/>
  <c r="L1046" i="6"/>
  <c r="N1046" i="6"/>
  <c r="Q1046" i="6"/>
  <c r="R1046" i="6"/>
  <c r="S1046" i="6"/>
  <c r="T1046" i="6"/>
  <c r="B1047" i="6"/>
  <c r="C1047" i="6"/>
  <c r="D1047" i="6"/>
  <c r="L1047" i="6" s="1"/>
  <c r="E1047" i="6"/>
  <c r="F1047" i="6"/>
  <c r="H1047" i="6"/>
  <c r="I1047" i="6"/>
  <c r="N1047" i="6"/>
  <c r="R1047" i="6"/>
  <c r="Q1047" i="6" s="1"/>
  <c r="S1047" i="6" s="1"/>
  <c r="T1047" i="6"/>
  <c r="B1048" i="6"/>
  <c r="C1048" i="6"/>
  <c r="D1048" i="6"/>
  <c r="E1048" i="6"/>
  <c r="F1048" i="6"/>
  <c r="H1048" i="6"/>
  <c r="I1048" i="6"/>
  <c r="L1048" i="6"/>
  <c r="N1048" i="6"/>
  <c r="Q1048" i="6"/>
  <c r="R1048" i="6"/>
  <c r="S1048" i="6"/>
  <c r="T1048" i="6"/>
  <c r="B1049" i="6"/>
  <c r="C1049" i="6"/>
  <c r="D1049" i="6"/>
  <c r="L1049" i="6" s="1"/>
  <c r="E1049" i="6"/>
  <c r="F1049" i="6"/>
  <c r="H1049" i="6"/>
  <c r="I1049" i="6"/>
  <c r="N1049" i="6"/>
  <c r="R1049" i="6"/>
  <c r="Q1049" i="6" s="1"/>
  <c r="S1049" i="6" s="1"/>
  <c r="T1049" i="6"/>
  <c r="B1050" i="6"/>
  <c r="C1050" i="6"/>
  <c r="D1050" i="6"/>
  <c r="E1050" i="6"/>
  <c r="F1050" i="6"/>
  <c r="H1050" i="6"/>
  <c r="I1050" i="6"/>
  <c r="L1050" i="6"/>
  <c r="N1050" i="6"/>
  <c r="Q1050" i="6"/>
  <c r="R1050" i="6"/>
  <c r="S1050" i="6"/>
  <c r="T1050" i="6"/>
  <c r="B1051" i="6"/>
  <c r="C1051" i="6"/>
  <c r="D1051" i="6"/>
  <c r="L1051" i="6" s="1"/>
  <c r="E1051" i="6"/>
  <c r="F1051" i="6"/>
  <c r="H1051" i="6"/>
  <c r="I1051" i="6"/>
  <c r="N1051" i="6"/>
  <c r="R1051" i="6"/>
  <c r="Q1051" i="6" s="1"/>
  <c r="S1051" i="6" s="1"/>
  <c r="T1051" i="6"/>
  <c r="B1052" i="6"/>
  <c r="C1052" i="6"/>
  <c r="D1052" i="6"/>
  <c r="E1052" i="6"/>
  <c r="F1052" i="6"/>
  <c r="H1052" i="6"/>
  <c r="I1052" i="6"/>
  <c r="L1052" i="6"/>
  <c r="N1052" i="6"/>
  <c r="Q1052" i="6"/>
  <c r="R1052" i="6"/>
  <c r="S1052" i="6"/>
  <c r="T1052" i="6"/>
  <c r="B1053" i="6"/>
  <c r="C1053" i="6"/>
  <c r="D1053" i="6"/>
  <c r="L1053" i="6" s="1"/>
  <c r="E1053" i="6"/>
  <c r="F1053" i="6"/>
  <c r="H1053" i="6"/>
  <c r="I1053" i="6"/>
  <c r="N1053" i="6"/>
  <c r="R1053" i="6"/>
  <c r="Q1053" i="6" s="1"/>
  <c r="S1053" i="6" s="1"/>
  <c r="T1053" i="6"/>
  <c r="B1054" i="6"/>
  <c r="C1054" i="6"/>
  <c r="D1054" i="6"/>
  <c r="E1054" i="6"/>
  <c r="F1054" i="6"/>
  <c r="H1054" i="6"/>
  <c r="I1054" i="6"/>
  <c r="L1054" i="6"/>
  <c r="N1054" i="6"/>
  <c r="Q1054" i="6"/>
  <c r="R1054" i="6"/>
  <c r="S1054" i="6"/>
  <c r="T1054" i="6"/>
  <c r="B1055" i="6"/>
  <c r="C1055" i="6"/>
  <c r="D1055" i="6"/>
  <c r="L1055" i="6" s="1"/>
  <c r="E1055" i="6"/>
  <c r="F1055" i="6"/>
  <c r="H1055" i="6"/>
  <c r="I1055" i="6"/>
  <c r="N1055" i="6"/>
  <c r="R1055" i="6"/>
  <c r="Q1055" i="6" s="1"/>
  <c r="S1055" i="6" s="1"/>
  <c r="T1055" i="6"/>
  <c r="B1056" i="6"/>
  <c r="C1056" i="6"/>
  <c r="D1056" i="6"/>
  <c r="E1056" i="6"/>
  <c r="F1056" i="6"/>
  <c r="H1056" i="6"/>
  <c r="I1056" i="6"/>
  <c r="L1056" i="6"/>
  <c r="N1056" i="6"/>
  <c r="Q1056" i="6"/>
  <c r="R1056" i="6"/>
  <c r="S1056" i="6"/>
  <c r="T1056" i="6"/>
  <c r="B1057" i="6"/>
  <c r="C1057" i="6"/>
  <c r="D1057" i="6"/>
  <c r="L1057" i="6" s="1"/>
  <c r="E1057" i="6"/>
  <c r="F1057" i="6"/>
  <c r="H1057" i="6"/>
  <c r="I1057" i="6"/>
  <c r="N1057" i="6"/>
  <c r="R1057" i="6"/>
  <c r="Q1057" i="6" s="1"/>
  <c r="T1057" i="6"/>
  <c r="B1058" i="6"/>
  <c r="C1058" i="6"/>
  <c r="D1058" i="6"/>
  <c r="E1058" i="6"/>
  <c r="F1058" i="6"/>
  <c r="H1058" i="6"/>
  <c r="I1058" i="6"/>
  <c r="L1058" i="6"/>
  <c r="N1058" i="6"/>
  <c r="Q1058" i="6"/>
  <c r="R1058" i="6"/>
  <c r="S1058" i="6"/>
  <c r="T1058" i="6"/>
  <c r="B1059" i="6"/>
  <c r="C1059" i="6"/>
  <c r="D1059" i="6"/>
  <c r="L1059" i="6" s="1"/>
  <c r="E1059" i="6"/>
  <c r="F1059" i="6"/>
  <c r="H1059" i="6"/>
  <c r="I1059" i="6"/>
  <c r="N1059" i="6"/>
  <c r="R1059" i="6"/>
  <c r="Q1059" i="6" s="1"/>
  <c r="S1059" i="6" s="1"/>
  <c r="T1059" i="6"/>
  <c r="B1060" i="6"/>
  <c r="C1060" i="6"/>
  <c r="D1060" i="6"/>
  <c r="E1060" i="6"/>
  <c r="F1060" i="6"/>
  <c r="H1060" i="6"/>
  <c r="I1060" i="6"/>
  <c r="L1060" i="6"/>
  <c r="N1060" i="6"/>
  <c r="Q1060" i="6"/>
  <c r="R1060" i="6"/>
  <c r="S1060" i="6"/>
  <c r="T1060" i="6"/>
  <c r="B1061" i="6"/>
  <c r="C1061" i="6"/>
  <c r="D1061" i="6"/>
  <c r="L1061" i="6" s="1"/>
  <c r="E1061" i="6"/>
  <c r="F1061" i="6"/>
  <c r="H1061" i="6"/>
  <c r="I1061" i="6"/>
  <c r="N1061" i="6"/>
  <c r="R1061" i="6"/>
  <c r="Q1061" i="6" s="1"/>
  <c r="S1061" i="6" s="1"/>
  <c r="T1061" i="6"/>
  <c r="B1062" i="6"/>
  <c r="C1062" i="6"/>
  <c r="D1062" i="6"/>
  <c r="E1062" i="6"/>
  <c r="F1062" i="6"/>
  <c r="H1062" i="6"/>
  <c r="I1062" i="6"/>
  <c r="L1062" i="6"/>
  <c r="N1062" i="6"/>
  <c r="Q1062" i="6"/>
  <c r="R1062" i="6"/>
  <c r="S1062" i="6"/>
  <c r="T1062" i="6"/>
  <c r="B1063" i="6"/>
  <c r="C1063" i="6"/>
  <c r="D1063" i="6"/>
  <c r="L1063" i="6" s="1"/>
  <c r="E1063" i="6"/>
  <c r="F1063" i="6"/>
  <c r="H1063" i="6"/>
  <c r="I1063" i="6"/>
  <c r="N1063" i="6"/>
  <c r="R1063" i="6"/>
  <c r="Q1063" i="6" s="1"/>
  <c r="S1063" i="6" s="1"/>
  <c r="T1063" i="6"/>
  <c r="B1064" i="6"/>
  <c r="C1064" i="6"/>
  <c r="D1064" i="6"/>
  <c r="E1064" i="6"/>
  <c r="F1064" i="6"/>
  <c r="H1064" i="6"/>
  <c r="I1064" i="6"/>
  <c r="L1064" i="6"/>
  <c r="N1064" i="6"/>
  <c r="Q1064" i="6"/>
  <c r="R1064" i="6"/>
  <c r="S1064" i="6"/>
  <c r="T1064" i="6"/>
  <c r="B1065" i="6"/>
  <c r="C1065" i="6"/>
  <c r="D1065" i="6"/>
  <c r="L1065" i="6" s="1"/>
  <c r="E1065" i="6"/>
  <c r="F1065" i="6"/>
  <c r="H1065" i="6"/>
  <c r="I1065" i="6"/>
  <c r="N1065" i="6"/>
  <c r="R1065" i="6"/>
  <c r="Q1065" i="6" s="1"/>
  <c r="S1065" i="6" s="1"/>
  <c r="T1065" i="6"/>
  <c r="B1066" i="6"/>
  <c r="C1066" i="6"/>
  <c r="D1066" i="6"/>
  <c r="E1066" i="6"/>
  <c r="F1066" i="6"/>
  <c r="H1066" i="6"/>
  <c r="I1066" i="6"/>
  <c r="L1066" i="6"/>
  <c r="N1066" i="6"/>
  <c r="Q1066" i="6"/>
  <c r="R1066" i="6"/>
  <c r="S1066" i="6"/>
  <c r="T1066" i="6"/>
  <c r="B1067" i="6"/>
  <c r="C1067" i="6"/>
  <c r="D1067" i="6"/>
  <c r="L1067" i="6" s="1"/>
  <c r="E1067" i="6"/>
  <c r="F1067" i="6"/>
  <c r="H1067" i="6"/>
  <c r="I1067" i="6"/>
  <c r="N1067" i="6"/>
  <c r="R1067" i="6"/>
  <c r="Q1067" i="6" s="1"/>
  <c r="S1067" i="6" s="1"/>
  <c r="T1067" i="6"/>
  <c r="B1069" i="6"/>
  <c r="C1069" i="6"/>
  <c r="D1069" i="6"/>
  <c r="E1069" i="6"/>
  <c r="F1069" i="6"/>
  <c r="G1069" i="6"/>
  <c r="H1069" i="6"/>
  <c r="I1069" i="6"/>
  <c r="J1069" i="6"/>
  <c r="K1069" i="6"/>
  <c r="L1069" i="6"/>
  <c r="N1069" i="6"/>
  <c r="O1069" i="6"/>
  <c r="P1069" i="6"/>
  <c r="Q1069" i="6"/>
  <c r="R1069" i="6"/>
  <c r="T1069" i="6"/>
  <c r="B1070" i="6"/>
  <c r="C1070" i="6"/>
  <c r="D1070" i="6"/>
  <c r="E1070" i="6"/>
  <c r="F1070" i="6"/>
  <c r="G1070" i="6"/>
  <c r="H1070" i="6"/>
  <c r="I1070" i="6"/>
  <c r="J1070" i="6"/>
  <c r="K1070" i="6"/>
  <c r="L1070" i="6"/>
  <c r="N1070" i="6"/>
  <c r="O1070" i="6"/>
  <c r="P1070" i="6"/>
  <c r="Q1070" i="6"/>
  <c r="R1070" i="6"/>
  <c r="T1070" i="6"/>
  <c r="B1071" i="6"/>
  <c r="C1071" i="6"/>
  <c r="D1071" i="6"/>
  <c r="E1071" i="6"/>
  <c r="F1071" i="6"/>
  <c r="G1071" i="6"/>
  <c r="H1071" i="6"/>
  <c r="I1071" i="6"/>
  <c r="J1071" i="6"/>
  <c r="K1071" i="6"/>
  <c r="N1071" i="6"/>
  <c r="O1071" i="6"/>
  <c r="P1071" i="6"/>
  <c r="Q1071" i="6"/>
  <c r="R1071" i="6"/>
  <c r="S1071" i="6"/>
  <c r="T1071" i="6"/>
  <c r="B1072" i="6"/>
  <c r="C1072" i="6"/>
  <c r="D1072" i="6"/>
  <c r="E1072" i="6"/>
  <c r="F1072" i="6"/>
  <c r="G1072" i="6"/>
  <c r="H1072" i="6"/>
  <c r="I1072" i="6"/>
  <c r="J1072" i="6"/>
  <c r="K1072" i="6"/>
  <c r="N1072" i="6"/>
  <c r="O1072" i="6"/>
  <c r="P1072" i="6"/>
  <c r="Q1072" i="6"/>
  <c r="R1072" i="6"/>
  <c r="S1072" i="6"/>
  <c r="T1072" i="6"/>
  <c r="B1073" i="6"/>
  <c r="C1073" i="6"/>
  <c r="D1073" i="6"/>
  <c r="E1073" i="6"/>
  <c r="F1073" i="6"/>
  <c r="G1073" i="6"/>
  <c r="H1073" i="6"/>
  <c r="I1073" i="6"/>
  <c r="J1073" i="6"/>
  <c r="K1073" i="6"/>
  <c r="M1073" i="6"/>
  <c r="N1073" i="6"/>
  <c r="O1073" i="6"/>
  <c r="P1073" i="6"/>
  <c r="Q1073" i="6"/>
  <c r="R1073" i="6"/>
  <c r="S1073" i="6"/>
  <c r="T1073" i="6"/>
  <c r="B1074" i="6"/>
  <c r="C1074" i="6"/>
  <c r="D1074" i="6"/>
  <c r="E1074" i="6"/>
  <c r="F1074" i="6"/>
  <c r="G1074" i="6"/>
  <c r="H1074" i="6"/>
  <c r="I1074" i="6"/>
  <c r="J1074" i="6"/>
  <c r="K1074" i="6"/>
  <c r="L1074" i="6"/>
  <c r="M1074" i="6"/>
  <c r="N1074" i="6"/>
  <c r="O1074" i="6"/>
  <c r="P1074" i="6"/>
  <c r="Q1074" i="6"/>
  <c r="R1074" i="6"/>
  <c r="S1074" i="6"/>
  <c r="T1074" i="6"/>
  <c r="B1075" i="6"/>
  <c r="C1075" i="6"/>
  <c r="D1075" i="6"/>
  <c r="E1075" i="6"/>
  <c r="F1075" i="6"/>
  <c r="G1075" i="6"/>
  <c r="H1075" i="6"/>
  <c r="I1075" i="6"/>
  <c r="J1075" i="6"/>
  <c r="K1075" i="6"/>
  <c r="L1075" i="6"/>
  <c r="M1075" i="6"/>
  <c r="N1075" i="6"/>
  <c r="O1075" i="6"/>
  <c r="P1075" i="6"/>
  <c r="Q1075" i="6"/>
  <c r="R1075" i="6"/>
  <c r="S1075" i="6"/>
  <c r="T1075" i="6"/>
  <c r="B1076" i="6"/>
  <c r="C1076" i="6"/>
  <c r="D1076" i="6"/>
  <c r="E1076" i="6"/>
  <c r="F1076" i="6"/>
  <c r="G1076" i="6"/>
  <c r="H1076" i="6"/>
  <c r="I1076" i="6"/>
  <c r="J1076" i="6"/>
  <c r="K1076" i="6"/>
  <c r="L1076" i="6"/>
  <c r="M1076" i="6"/>
  <c r="N1076" i="6"/>
  <c r="O1076" i="6"/>
  <c r="P1076" i="6"/>
  <c r="Q1076" i="6"/>
  <c r="R1076" i="6"/>
  <c r="S1076" i="6"/>
  <c r="T1076" i="6"/>
  <c r="B1077" i="6"/>
  <c r="C1077" i="6"/>
  <c r="D1077" i="6"/>
  <c r="E1077" i="6"/>
  <c r="F1077" i="6"/>
  <c r="G1077" i="6"/>
  <c r="H1077" i="6"/>
  <c r="I1077" i="6"/>
  <c r="J1077" i="6"/>
  <c r="K1077" i="6"/>
  <c r="L1077" i="6"/>
  <c r="M1077" i="6"/>
  <c r="N1077" i="6"/>
  <c r="O1077" i="6"/>
  <c r="P1077" i="6"/>
  <c r="Q1077" i="6"/>
  <c r="R1077" i="6"/>
  <c r="S1077" i="6"/>
  <c r="T1077" i="6"/>
  <c r="B1078" i="6"/>
  <c r="C1078" i="6"/>
  <c r="D1078" i="6"/>
  <c r="E1078" i="6"/>
  <c r="F1078" i="6"/>
  <c r="G1078" i="6"/>
  <c r="H1078" i="6"/>
  <c r="I1078" i="6"/>
  <c r="J1078" i="6"/>
  <c r="K1078" i="6"/>
  <c r="L1078" i="6"/>
  <c r="M1078" i="6"/>
  <c r="N1078" i="6"/>
  <c r="O1078" i="6"/>
  <c r="P1078" i="6"/>
  <c r="Q1078" i="6"/>
  <c r="R1078" i="6"/>
  <c r="S1078" i="6"/>
  <c r="T1078" i="6"/>
  <c r="B1079" i="6"/>
  <c r="C1079" i="6"/>
  <c r="D1079" i="6"/>
  <c r="E1079" i="6"/>
  <c r="F1079" i="6"/>
  <c r="G1079" i="6"/>
  <c r="H1079" i="6"/>
  <c r="I1079" i="6"/>
  <c r="J1079" i="6"/>
  <c r="K1079" i="6"/>
  <c r="L1079" i="6"/>
  <c r="M1079" i="6"/>
  <c r="N1079" i="6"/>
  <c r="O1079" i="6"/>
  <c r="P1079" i="6"/>
  <c r="Q1079" i="6"/>
  <c r="R1079" i="6"/>
  <c r="S1079" i="6"/>
  <c r="T1079" i="6"/>
  <c r="B1080" i="6"/>
  <c r="C1080" i="6"/>
  <c r="D1080" i="6"/>
  <c r="E1080" i="6"/>
  <c r="F1080" i="6"/>
  <c r="G1080" i="6"/>
  <c r="H1080" i="6"/>
  <c r="I1080" i="6"/>
  <c r="J1080" i="6"/>
  <c r="K1080" i="6"/>
  <c r="L1080" i="6"/>
  <c r="M1080" i="6"/>
  <c r="N1080" i="6"/>
  <c r="O1080" i="6"/>
  <c r="P1080" i="6"/>
  <c r="Q1080" i="6"/>
  <c r="R1080" i="6"/>
  <c r="S1080" i="6"/>
  <c r="T1080" i="6"/>
  <c r="B1081" i="6"/>
  <c r="C1081" i="6"/>
  <c r="D1081" i="6"/>
  <c r="E1081" i="6"/>
  <c r="F1081" i="6"/>
  <c r="G1081" i="6"/>
  <c r="H1081" i="6"/>
  <c r="I1081" i="6"/>
  <c r="J1081" i="6"/>
  <c r="K1081" i="6"/>
  <c r="L1081" i="6"/>
  <c r="M1081" i="6"/>
  <c r="N1081" i="6"/>
  <c r="O1081" i="6"/>
  <c r="P1081" i="6"/>
  <c r="Q1081" i="6"/>
  <c r="R1081" i="6"/>
  <c r="S1081" i="6"/>
  <c r="T1081" i="6"/>
  <c r="B1082" i="6"/>
  <c r="C1082" i="6"/>
  <c r="D1082" i="6"/>
  <c r="E1082" i="6"/>
  <c r="F1082" i="6"/>
  <c r="G1082" i="6"/>
  <c r="H1082" i="6"/>
  <c r="I1082" i="6"/>
  <c r="J1082" i="6"/>
  <c r="K1082" i="6"/>
  <c r="L1082" i="6"/>
  <c r="M1082" i="6"/>
  <c r="N1082" i="6"/>
  <c r="O1082" i="6"/>
  <c r="P1082" i="6"/>
  <c r="Q1082" i="6"/>
  <c r="R1082" i="6"/>
  <c r="S1082" i="6"/>
  <c r="T1082" i="6"/>
  <c r="B1083" i="6"/>
  <c r="C1083" i="6"/>
  <c r="D1083" i="6"/>
  <c r="E1083" i="6"/>
  <c r="F1083" i="6"/>
  <c r="G1083" i="6"/>
  <c r="H1083" i="6"/>
  <c r="I1083" i="6"/>
  <c r="J1083" i="6"/>
  <c r="K1083" i="6"/>
  <c r="L1083" i="6"/>
  <c r="M1083" i="6"/>
  <c r="N1083" i="6"/>
  <c r="O1083" i="6"/>
  <c r="P1083" i="6"/>
  <c r="Q1083" i="6"/>
  <c r="R1083" i="6"/>
  <c r="S1083" i="6"/>
  <c r="T1083" i="6"/>
  <c r="B1084" i="6"/>
  <c r="C1084" i="6"/>
  <c r="D1084" i="6"/>
  <c r="E1084" i="6"/>
  <c r="F1084" i="6"/>
  <c r="G1084" i="6"/>
  <c r="H1084" i="6"/>
  <c r="I1084" i="6"/>
  <c r="J1084" i="6"/>
  <c r="K1084" i="6"/>
  <c r="L1084" i="6"/>
  <c r="M1084" i="6"/>
  <c r="N1084" i="6"/>
  <c r="O1084" i="6"/>
  <c r="P1084" i="6"/>
  <c r="Q1084" i="6"/>
  <c r="R1084" i="6"/>
  <c r="S1084" i="6"/>
  <c r="T1084" i="6"/>
  <c r="B1085" i="6"/>
  <c r="C1085" i="6"/>
  <c r="D1085" i="6"/>
  <c r="E1085" i="6"/>
  <c r="F1085" i="6"/>
  <c r="G1085" i="6"/>
  <c r="H1085" i="6"/>
  <c r="I1085" i="6"/>
  <c r="J1085" i="6"/>
  <c r="K1085" i="6"/>
  <c r="L1085" i="6"/>
  <c r="M1085" i="6"/>
  <c r="N1085" i="6"/>
  <c r="O1085" i="6"/>
  <c r="P1085" i="6"/>
  <c r="Q1085" i="6"/>
  <c r="R1085" i="6"/>
  <c r="S1085" i="6"/>
  <c r="T1085" i="6"/>
  <c r="B1086" i="6"/>
  <c r="C1086" i="6"/>
  <c r="D1086" i="6"/>
  <c r="E1086" i="6"/>
  <c r="F1086" i="6"/>
  <c r="G1086" i="6"/>
  <c r="H1086" i="6"/>
  <c r="I1086" i="6"/>
  <c r="J1086" i="6"/>
  <c r="K1086" i="6"/>
  <c r="L1086" i="6"/>
  <c r="M1086" i="6"/>
  <c r="N1086" i="6"/>
  <c r="O1086" i="6"/>
  <c r="P1086" i="6"/>
  <c r="Q1086" i="6"/>
  <c r="R1086" i="6"/>
  <c r="S1086" i="6"/>
  <c r="T1086" i="6"/>
  <c r="B1087" i="6"/>
  <c r="C1087" i="6"/>
  <c r="D1087" i="6"/>
  <c r="E1087" i="6"/>
  <c r="F1087" i="6"/>
  <c r="G1087" i="6"/>
  <c r="H1087" i="6"/>
  <c r="I1087" i="6"/>
  <c r="J1087" i="6"/>
  <c r="K1087" i="6"/>
  <c r="L1087" i="6"/>
  <c r="M1087" i="6"/>
  <c r="N1087" i="6"/>
  <c r="O1087" i="6"/>
  <c r="P1087" i="6"/>
  <c r="Q1087" i="6"/>
  <c r="R1087" i="6"/>
  <c r="S1087" i="6"/>
  <c r="T1087" i="6"/>
  <c r="B1088" i="6"/>
  <c r="C1088" i="6"/>
  <c r="D1088" i="6"/>
  <c r="E1088" i="6"/>
  <c r="F1088" i="6"/>
  <c r="G1088" i="6"/>
  <c r="H1088" i="6"/>
  <c r="I1088" i="6"/>
  <c r="J1088" i="6"/>
  <c r="K1088" i="6"/>
  <c r="L1088" i="6"/>
  <c r="M1088" i="6"/>
  <c r="N1088" i="6"/>
  <c r="O1088" i="6"/>
  <c r="P1088" i="6"/>
  <c r="Q1088" i="6"/>
  <c r="R1088" i="6"/>
  <c r="S1088" i="6"/>
  <c r="T1088" i="6"/>
  <c r="B1089" i="6"/>
  <c r="C1089" i="6"/>
  <c r="D1089" i="6"/>
  <c r="E1089" i="6"/>
  <c r="F1089" i="6"/>
  <c r="G1089" i="6"/>
  <c r="H1089" i="6"/>
  <c r="I1089" i="6"/>
  <c r="J1089" i="6"/>
  <c r="K1089" i="6"/>
  <c r="L1089" i="6"/>
  <c r="M1089" i="6"/>
  <c r="N1089" i="6"/>
  <c r="O1089" i="6"/>
  <c r="P1089" i="6"/>
  <c r="Q1089" i="6"/>
  <c r="R1089" i="6"/>
  <c r="S1089" i="6"/>
  <c r="T1089" i="6"/>
  <c r="B1090" i="6"/>
  <c r="C1090" i="6"/>
  <c r="D1090" i="6"/>
  <c r="E1090" i="6"/>
  <c r="F1090" i="6"/>
  <c r="G1090" i="6"/>
  <c r="H1090" i="6"/>
  <c r="I1090" i="6"/>
  <c r="J1090" i="6"/>
  <c r="K1090" i="6"/>
  <c r="L1090" i="6"/>
  <c r="M1090" i="6"/>
  <c r="N1090" i="6"/>
  <c r="O1090" i="6"/>
  <c r="P1090" i="6"/>
  <c r="Q1090" i="6"/>
  <c r="R1090" i="6"/>
  <c r="S1090" i="6"/>
  <c r="T1090" i="6"/>
  <c r="B1091" i="6"/>
  <c r="C1091" i="6"/>
  <c r="D1091" i="6"/>
  <c r="E1091" i="6"/>
  <c r="F1091" i="6"/>
  <c r="G1091" i="6"/>
  <c r="H1091" i="6"/>
  <c r="I1091" i="6"/>
  <c r="J1091" i="6"/>
  <c r="K1091" i="6"/>
  <c r="L1091" i="6"/>
  <c r="M1091" i="6"/>
  <c r="N1091" i="6"/>
  <c r="O1091" i="6"/>
  <c r="P1091" i="6"/>
  <c r="Q1091" i="6"/>
  <c r="R1091" i="6"/>
  <c r="S1091" i="6"/>
  <c r="T1091" i="6"/>
  <c r="B1092" i="6"/>
  <c r="C1092" i="6"/>
  <c r="D1092" i="6"/>
  <c r="E1092" i="6"/>
  <c r="F1092" i="6"/>
  <c r="G1092" i="6"/>
  <c r="H1092" i="6"/>
  <c r="I1092" i="6"/>
  <c r="J1092" i="6"/>
  <c r="K1092" i="6"/>
  <c r="L1092" i="6"/>
  <c r="M1092" i="6"/>
  <c r="N1092" i="6"/>
  <c r="O1092" i="6"/>
  <c r="P1092" i="6"/>
  <c r="Q1092" i="6"/>
  <c r="R1092" i="6"/>
  <c r="S1092" i="6"/>
  <c r="T1092" i="6"/>
  <c r="B1093" i="6"/>
  <c r="C1093" i="6"/>
  <c r="D1093" i="6"/>
  <c r="E1093" i="6"/>
  <c r="F1093" i="6"/>
  <c r="G1093" i="6"/>
  <c r="H1093" i="6"/>
  <c r="I1093" i="6"/>
  <c r="J1093" i="6"/>
  <c r="K1093" i="6"/>
  <c r="L1093" i="6"/>
  <c r="M1093" i="6"/>
  <c r="N1093" i="6"/>
  <c r="O1093" i="6"/>
  <c r="P1093" i="6"/>
  <c r="Q1093" i="6"/>
  <c r="R1093" i="6"/>
  <c r="S1093" i="6"/>
  <c r="T1093" i="6"/>
  <c r="A1094" i="6"/>
  <c r="B1094" i="6" s="1"/>
  <c r="C1094" i="6"/>
  <c r="D1094" i="6"/>
  <c r="E1094" i="6"/>
  <c r="F1094" i="6"/>
  <c r="G1094" i="6"/>
  <c r="H1094" i="6"/>
  <c r="I1094" i="6"/>
  <c r="J1094" i="6"/>
  <c r="K1094" i="6"/>
  <c r="L1094" i="6"/>
  <c r="M1094" i="6"/>
  <c r="N1094" i="6"/>
  <c r="O1094" i="6"/>
  <c r="P1094" i="6"/>
  <c r="Q1094" i="6"/>
  <c r="R1094" i="6"/>
  <c r="S1094" i="6"/>
  <c r="T1094" i="6"/>
  <c r="A1095" i="6"/>
  <c r="B1095" i="6" s="1"/>
  <c r="C1095" i="6"/>
  <c r="D1095" i="6"/>
  <c r="E1095" i="6"/>
  <c r="F1095" i="6"/>
  <c r="G1095" i="6"/>
  <c r="H1095" i="6"/>
  <c r="I1095" i="6"/>
  <c r="J1095" i="6"/>
  <c r="K1095" i="6"/>
  <c r="L1095" i="6"/>
  <c r="M1095" i="6"/>
  <c r="N1095" i="6"/>
  <c r="O1095" i="6"/>
  <c r="P1095" i="6"/>
  <c r="Q1095" i="6"/>
  <c r="R1095" i="6"/>
  <c r="S1095" i="6"/>
  <c r="T1095" i="6"/>
  <c r="A1096" i="6"/>
  <c r="B1096" i="6"/>
  <c r="C1096" i="6"/>
  <c r="D1096" i="6"/>
  <c r="E1096" i="6"/>
  <c r="F1096" i="6"/>
  <c r="G1096" i="6"/>
  <c r="H1096" i="6"/>
  <c r="I1096" i="6"/>
  <c r="J1096" i="6"/>
  <c r="K1096" i="6"/>
  <c r="L1096" i="6"/>
  <c r="M1096" i="6"/>
  <c r="N1096" i="6"/>
  <c r="O1096" i="6"/>
  <c r="P1096" i="6"/>
  <c r="Q1096" i="6"/>
  <c r="R1096" i="6"/>
  <c r="S1096" i="6"/>
  <c r="T1096" i="6"/>
  <c r="A1097" i="6"/>
  <c r="B1097" i="6"/>
  <c r="C1097" i="6"/>
  <c r="D1097" i="6"/>
  <c r="E1097" i="6"/>
  <c r="F1097" i="6"/>
  <c r="G1097" i="6"/>
  <c r="H1097" i="6"/>
  <c r="I1097" i="6"/>
  <c r="J1097" i="6"/>
  <c r="K1097" i="6"/>
  <c r="L1097" i="6"/>
  <c r="M1097" i="6"/>
  <c r="N1097" i="6"/>
  <c r="O1097" i="6"/>
  <c r="P1097" i="6"/>
  <c r="Q1097" i="6"/>
  <c r="R1097" i="6"/>
  <c r="S1097" i="6"/>
  <c r="T1097" i="6"/>
  <c r="A1098" i="6"/>
  <c r="B1098" i="6"/>
  <c r="C1098" i="6"/>
  <c r="D1098" i="6"/>
  <c r="E1098" i="6"/>
  <c r="F1098" i="6"/>
  <c r="G1098" i="6"/>
  <c r="H1098" i="6"/>
  <c r="I1098" i="6"/>
  <c r="J1098" i="6"/>
  <c r="K1098" i="6"/>
  <c r="L1098" i="6"/>
  <c r="M1098" i="6"/>
  <c r="N1098" i="6"/>
  <c r="O1098" i="6"/>
  <c r="P1098" i="6"/>
  <c r="Q1098" i="6"/>
  <c r="R1098" i="6"/>
  <c r="S1098" i="6"/>
  <c r="T1098" i="6"/>
  <c r="A1099" i="6"/>
  <c r="B1099" i="6"/>
  <c r="C1099" i="6"/>
  <c r="D1099" i="6"/>
  <c r="E1099" i="6"/>
  <c r="F1099" i="6"/>
  <c r="G1099" i="6"/>
  <c r="H1099" i="6"/>
  <c r="I1099" i="6"/>
  <c r="J1099" i="6"/>
  <c r="K1099" i="6"/>
  <c r="L1099" i="6"/>
  <c r="M1099" i="6"/>
  <c r="N1099" i="6"/>
  <c r="O1099" i="6"/>
  <c r="P1099" i="6"/>
  <c r="Q1099" i="6"/>
  <c r="R1099" i="6"/>
  <c r="S1099" i="6"/>
  <c r="T1099" i="6"/>
  <c r="A1100" i="6"/>
  <c r="B1100" i="6"/>
  <c r="C1100" i="6"/>
  <c r="D1100" i="6"/>
  <c r="E1100" i="6"/>
  <c r="F1100" i="6"/>
  <c r="G1100" i="6"/>
  <c r="H1100" i="6"/>
  <c r="I1100" i="6"/>
  <c r="J1100" i="6"/>
  <c r="K1100" i="6"/>
  <c r="L1100" i="6"/>
  <c r="M1100" i="6"/>
  <c r="N1100" i="6"/>
  <c r="O1100" i="6"/>
  <c r="P1100" i="6"/>
  <c r="Q1100" i="6"/>
  <c r="R1100" i="6"/>
  <c r="S1100" i="6"/>
  <c r="T1100" i="6"/>
  <c r="A1101" i="6"/>
  <c r="B1101" i="6"/>
  <c r="C1101" i="6"/>
  <c r="D1101" i="6"/>
  <c r="E1101" i="6"/>
  <c r="F1101" i="6"/>
  <c r="G1101" i="6"/>
  <c r="H1101" i="6"/>
  <c r="I1101" i="6"/>
  <c r="J1101" i="6"/>
  <c r="K1101" i="6"/>
  <c r="L1101" i="6"/>
  <c r="M1101" i="6"/>
  <c r="N1101" i="6"/>
  <c r="O1101" i="6"/>
  <c r="P1101" i="6"/>
  <c r="Q1101" i="6"/>
  <c r="R1101" i="6"/>
  <c r="S1101" i="6"/>
  <c r="T1101" i="6"/>
  <c r="A1102" i="6"/>
  <c r="B1102" i="6"/>
  <c r="C1102" i="6"/>
  <c r="D1102" i="6"/>
  <c r="E1102" i="6"/>
  <c r="F1102" i="6"/>
  <c r="G1102" i="6"/>
  <c r="H1102" i="6"/>
  <c r="I1102" i="6"/>
  <c r="J1102" i="6"/>
  <c r="K1102" i="6"/>
  <c r="L1102" i="6"/>
  <c r="M1102" i="6"/>
  <c r="N1102" i="6"/>
  <c r="O1102" i="6"/>
  <c r="P1102" i="6"/>
  <c r="Q1102" i="6"/>
  <c r="R1102" i="6"/>
  <c r="S1102" i="6"/>
  <c r="T1102" i="6"/>
  <c r="A1103" i="6"/>
  <c r="B1103" i="6"/>
  <c r="C1103" i="6"/>
  <c r="D1103" i="6"/>
  <c r="E1103" i="6"/>
  <c r="F1103" i="6"/>
  <c r="G1103" i="6"/>
  <c r="H1103" i="6"/>
  <c r="I1103" i="6"/>
  <c r="J1103" i="6"/>
  <c r="K1103" i="6"/>
  <c r="L1103" i="6"/>
  <c r="M1103" i="6"/>
  <c r="N1103" i="6"/>
  <c r="O1103" i="6"/>
  <c r="P1103" i="6"/>
  <c r="Q1103" i="6"/>
  <c r="R1103" i="6"/>
  <c r="S1103" i="6"/>
  <c r="T1103" i="6"/>
  <c r="A1104" i="6"/>
  <c r="B1104" i="6"/>
  <c r="C1104" i="6"/>
  <c r="D1104" i="6"/>
  <c r="E1104" i="6"/>
  <c r="F1104" i="6"/>
  <c r="G1104" i="6"/>
  <c r="H1104" i="6"/>
  <c r="I1104" i="6"/>
  <c r="J1104" i="6"/>
  <c r="K1104" i="6"/>
  <c r="L1104" i="6"/>
  <c r="M1104" i="6"/>
  <c r="N1104" i="6"/>
  <c r="O1104" i="6"/>
  <c r="P1104" i="6"/>
  <c r="Q1104" i="6"/>
  <c r="R1104" i="6"/>
  <c r="S1104" i="6"/>
  <c r="T1104" i="6"/>
  <c r="A1105" i="6"/>
  <c r="B1105" i="6"/>
  <c r="C1105" i="6"/>
  <c r="D1105" i="6"/>
  <c r="E1105" i="6"/>
  <c r="F1105" i="6"/>
  <c r="G1105" i="6"/>
  <c r="H1105" i="6"/>
  <c r="I1105" i="6"/>
  <c r="J1105" i="6"/>
  <c r="K1105" i="6"/>
  <c r="L1105" i="6"/>
  <c r="M1105" i="6"/>
  <c r="N1105" i="6"/>
  <c r="O1105" i="6"/>
  <c r="P1105" i="6"/>
  <c r="Q1105" i="6"/>
  <c r="R1105" i="6"/>
  <c r="S1105" i="6"/>
  <c r="T1105" i="6"/>
  <c r="A1106" i="6"/>
  <c r="B1106" i="6"/>
  <c r="C1106" i="6"/>
  <c r="D1106" i="6"/>
  <c r="E1106" i="6"/>
  <c r="F1106" i="6"/>
  <c r="G1106" i="6"/>
  <c r="H1106" i="6"/>
  <c r="I1106" i="6"/>
  <c r="J1106" i="6"/>
  <c r="K1106" i="6"/>
  <c r="L1106" i="6"/>
  <c r="M1106" i="6"/>
  <c r="N1106" i="6"/>
  <c r="O1106" i="6"/>
  <c r="P1106" i="6"/>
  <c r="Q1106" i="6"/>
  <c r="R1106" i="6"/>
  <c r="S1106" i="6"/>
  <c r="T1106" i="6"/>
  <c r="A1107" i="6"/>
  <c r="B1107" i="6"/>
  <c r="C1107" i="6"/>
  <c r="D1107" i="6"/>
  <c r="E1107" i="6"/>
  <c r="F1107" i="6"/>
  <c r="G1107" i="6"/>
  <c r="H1107" i="6"/>
  <c r="I1107" i="6"/>
  <c r="J1107" i="6"/>
  <c r="K1107" i="6"/>
  <c r="L1107" i="6"/>
  <c r="M1107" i="6"/>
  <c r="N1107" i="6"/>
  <c r="O1107" i="6"/>
  <c r="P1107" i="6"/>
  <c r="Q1107" i="6"/>
  <c r="R1107" i="6"/>
  <c r="S1107" i="6"/>
  <c r="T1107" i="6"/>
  <c r="A1108" i="6"/>
  <c r="B1108" i="6"/>
  <c r="C1108" i="6"/>
  <c r="D1108" i="6"/>
  <c r="E1108" i="6"/>
  <c r="F1108" i="6"/>
  <c r="G1108" i="6"/>
  <c r="H1108" i="6"/>
  <c r="I1108" i="6"/>
  <c r="J1108" i="6"/>
  <c r="K1108" i="6"/>
  <c r="L1108" i="6"/>
  <c r="M1108" i="6"/>
  <c r="N1108" i="6"/>
  <c r="O1108" i="6"/>
  <c r="P1108" i="6"/>
  <c r="Q1108" i="6"/>
  <c r="R1108" i="6"/>
  <c r="S1108" i="6"/>
  <c r="T1108" i="6"/>
  <c r="A1109" i="6"/>
  <c r="B1109" i="6"/>
  <c r="C1109" i="6"/>
  <c r="D1109" i="6"/>
  <c r="E1109" i="6"/>
  <c r="F1109" i="6"/>
  <c r="G1109" i="6"/>
  <c r="H1109" i="6"/>
  <c r="I1109" i="6"/>
  <c r="J1109" i="6"/>
  <c r="K1109" i="6"/>
  <c r="L1109" i="6"/>
  <c r="M1109" i="6"/>
  <c r="N1109" i="6"/>
  <c r="O1109" i="6"/>
  <c r="P1109" i="6"/>
  <c r="Q1109" i="6"/>
  <c r="R1109" i="6"/>
  <c r="S1109" i="6"/>
  <c r="T1109" i="6"/>
  <c r="A1110" i="6"/>
  <c r="B1110" i="6"/>
  <c r="C1110" i="6"/>
  <c r="D1110" i="6"/>
  <c r="E1110" i="6"/>
  <c r="F1110" i="6"/>
  <c r="G1110" i="6"/>
  <c r="H1110" i="6"/>
  <c r="I1110" i="6"/>
  <c r="J1110" i="6"/>
  <c r="K1110" i="6"/>
  <c r="L1110" i="6"/>
  <c r="M1110" i="6"/>
  <c r="N1110" i="6"/>
  <c r="O1110" i="6"/>
  <c r="P1110" i="6"/>
  <c r="Q1110" i="6"/>
  <c r="R1110" i="6"/>
  <c r="S1110" i="6"/>
  <c r="T1110" i="6"/>
  <c r="A1111" i="6"/>
  <c r="B1111" i="6"/>
  <c r="C1111" i="6"/>
  <c r="D1111" i="6"/>
  <c r="E1111" i="6"/>
  <c r="F1111" i="6"/>
  <c r="G1111" i="6"/>
  <c r="H1111" i="6"/>
  <c r="I1111" i="6"/>
  <c r="J1111" i="6"/>
  <c r="K1111" i="6"/>
  <c r="L1111" i="6"/>
  <c r="M1111" i="6"/>
  <c r="N1111" i="6"/>
  <c r="O1111" i="6"/>
  <c r="P1111" i="6"/>
  <c r="Q1111" i="6"/>
  <c r="R1111" i="6"/>
  <c r="S1111" i="6"/>
  <c r="T1111" i="6"/>
  <c r="A1112" i="6"/>
  <c r="B1112" i="6"/>
  <c r="C1112" i="6"/>
  <c r="D1112" i="6"/>
  <c r="E1112" i="6"/>
  <c r="F1112" i="6"/>
  <c r="G1112" i="6"/>
  <c r="H1112" i="6"/>
  <c r="I1112" i="6"/>
  <c r="J1112" i="6"/>
  <c r="K1112" i="6"/>
  <c r="L1112" i="6"/>
  <c r="M1112" i="6"/>
  <c r="N1112" i="6"/>
  <c r="O1112" i="6"/>
  <c r="P1112" i="6"/>
  <c r="Q1112" i="6"/>
  <c r="R1112" i="6"/>
  <c r="S1112" i="6"/>
  <c r="T1112" i="6"/>
  <c r="A1113" i="6"/>
  <c r="B1113" i="6"/>
  <c r="C1113" i="6"/>
  <c r="D1113" i="6"/>
  <c r="E1113" i="6"/>
  <c r="F1113" i="6"/>
  <c r="G1113" i="6"/>
  <c r="H1113" i="6"/>
  <c r="I1113" i="6"/>
  <c r="J1113" i="6"/>
  <c r="K1113" i="6"/>
  <c r="L1113" i="6"/>
  <c r="M1113" i="6"/>
  <c r="N1113" i="6"/>
  <c r="O1113" i="6"/>
  <c r="P1113" i="6"/>
  <c r="Q1113" i="6"/>
  <c r="R1113" i="6"/>
  <c r="S1113" i="6"/>
  <c r="T1113" i="6"/>
  <c r="A1114" i="6"/>
  <c r="B1114" i="6"/>
  <c r="C1114" i="6"/>
  <c r="D1114" i="6"/>
  <c r="E1114" i="6"/>
  <c r="F1114" i="6"/>
  <c r="G1114" i="6"/>
  <c r="H1114" i="6"/>
  <c r="I1114" i="6"/>
  <c r="J1114" i="6"/>
  <c r="K1114" i="6"/>
  <c r="L1114" i="6"/>
  <c r="M1114" i="6"/>
  <c r="N1114" i="6"/>
  <c r="O1114" i="6"/>
  <c r="P1114" i="6"/>
  <c r="Q1114" i="6"/>
  <c r="R1114" i="6"/>
  <c r="S1114" i="6"/>
  <c r="T1114" i="6"/>
  <c r="A1115" i="6"/>
  <c r="B1115" i="6"/>
  <c r="C1115" i="6"/>
  <c r="D1115" i="6"/>
  <c r="E1115" i="6"/>
  <c r="F1115" i="6"/>
  <c r="G1115" i="6"/>
  <c r="H1115" i="6"/>
  <c r="I1115" i="6"/>
  <c r="J1115" i="6"/>
  <c r="K1115" i="6"/>
  <c r="L1115" i="6"/>
  <c r="M1115" i="6"/>
  <c r="N1115" i="6"/>
  <c r="O1115" i="6"/>
  <c r="P1115" i="6"/>
  <c r="Q1115" i="6"/>
  <c r="R1115" i="6"/>
  <c r="S1115" i="6"/>
  <c r="T1115" i="6"/>
  <c r="A1116" i="6"/>
  <c r="B1116" i="6"/>
  <c r="C1116" i="6"/>
  <c r="D1116" i="6"/>
  <c r="E1116" i="6"/>
  <c r="F1116" i="6"/>
  <c r="G1116" i="6"/>
  <c r="H1116" i="6"/>
  <c r="I1116" i="6"/>
  <c r="J1116" i="6"/>
  <c r="K1116" i="6"/>
  <c r="L1116" i="6"/>
  <c r="M1116" i="6"/>
  <c r="N1116" i="6"/>
  <c r="O1116" i="6"/>
  <c r="P1116" i="6"/>
  <c r="Q1116" i="6"/>
  <c r="R1116" i="6"/>
  <c r="S1116" i="6"/>
  <c r="T1116" i="6"/>
  <c r="A1117" i="6"/>
  <c r="B1117" i="6"/>
  <c r="C1117" i="6"/>
  <c r="D1117" i="6"/>
  <c r="E1117" i="6"/>
  <c r="F1117" i="6"/>
  <c r="G1117" i="6"/>
  <c r="H1117" i="6"/>
  <c r="I1117" i="6"/>
  <c r="J1117" i="6"/>
  <c r="K1117" i="6"/>
  <c r="L1117" i="6"/>
  <c r="M1117" i="6"/>
  <c r="N1117" i="6"/>
  <c r="O1117" i="6"/>
  <c r="P1117" i="6"/>
  <c r="Q1117" i="6"/>
  <c r="R1117" i="6"/>
  <c r="S1117" i="6"/>
  <c r="T1117" i="6"/>
  <c r="A1118" i="6"/>
  <c r="B1118" i="6"/>
  <c r="C1118" i="6"/>
  <c r="D1118" i="6"/>
  <c r="E1118" i="6"/>
  <c r="F1118" i="6"/>
  <c r="G1118" i="6"/>
  <c r="H1118" i="6"/>
  <c r="I1118" i="6"/>
  <c r="J1118" i="6"/>
  <c r="K1118" i="6"/>
  <c r="L1118" i="6"/>
  <c r="M1118" i="6"/>
  <c r="N1118" i="6"/>
  <c r="O1118" i="6"/>
  <c r="P1118" i="6"/>
  <c r="Q1118" i="6"/>
  <c r="R1118" i="6"/>
  <c r="S1118" i="6"/>
  <c r="T1118" i="6"/>
  <c r="A1119" i="6"/>
  <c r="B1119" i="6"/>
  <c r="C1119" i="6"/>
  <c r="D1119" i="6"/>
  <c r="E1119" i="6"/>
  <c r="F1119" i="6"/>
  <c r="G1119" i="6"/>
  <c r="H1119" i="6"/>
  <c r="I1119" i="6"/>
  <c r="J1119" i="6"/>
  <c r="K1119" i="6"/>
  <c r="L1119" i="6"/>
  <c r="M1119" i="6"/>
  <c r="N1119" i="6"/>
  <c r="O1119" i="6"/>
  <c r="P1119" i="6"/>
  <c r="Q1119" i="6"/>
  <c r="R1119" i="6"/>
  <c r="S1119" i="6"/>
  <c r="T1119" i="6"/>
  <c r="A1120" i="6"/>
  <c r="B1120" i="6"/>
  <c r="C1120" i="6"/>
  <c r="D1120" i="6"/>
  <c r="E1120" i="6"/>
  <c r="F1120" i="6"/>
  <c r="G1120" i="6"/>
  <c r="H1120" i="6"/>
  <c r="I1120" i="6"/>
  <c r="J1120" i="6"/>
  <c r="K1120" i="6"/>
  <c r="L1120" i="6"/>
  <c r="M1120" i="6"/>
  <c r="N1120" i="6"/>
  <c r="O1120" i="6"/>
  <c r="P1120" i="6"/>
  <c r="Q1120" i="6"/>
  <c r="R1120" i="6"/>
  <c r="S1120" i="6"/>
  <c r="T1120" i="6"/>
  <c r="A1121" i="6"/>
  <c r="B1121" i="6"/>
  <c r="C1121" i="6"/>
  <c r="D1121" i="6"/>
  <c r="E1121" i="6"/>
  <c r="F1121" i="6"/>
  <c r="G1121" i="6"/>
  <c r="H1121" i="6"/>
  <c r="I1121" i="6"/>
  <c r="J1121" i="6"/>
  <c r="K1121" i="6"/>
  <c r="L1121" i="6"/>
  <c r="M1121" i="6"/>
  <c r="N1121" i="6"/>
  <c r="O1121" i="6"/>
  <c r="P1121" i="6"/>
  <c r="Q1121" i="6"/>
  <c r="R1121" i="6"/>
  <c r="S1121" i="6"/>
  <c r="T1121" i="6"/>
  <c r="A1122" i="6"/>
  <c r="B1122" i="6"/>
  <c r="C1122" i="6"/>
  <c r="D1122" i="6"/>
  <c r="E1122" i="6"/>
  <c r="F1122" i="6"/>
  <c r="G1122" i="6"/>
  <c r="H1122" i="6"/>
  <c r="I1122" i="6"/>
  <c r="J1122" i="6"/>
  <c r="K1122" i="6"/>
  <c r="M1122" i="6"/>
  <c r="N1122" i="6"/>
  <c r="O1122" i="6"/>
  <c r="P1122" i="6"/>
  <c r="Q1122" i="6"/>
  <c r="R1122" i="6"/>
  <c r="S1122" i="6"/>
  <c r="T1122" i="6"/>
  <c r="A1123" i="6"/>
  <c r="B1123" i="6"/>
  <c r="C1123" i="6"/>
  <c r="D1123" i="6"/>
  <c r="E1123" i="6"/>
  <c r="F1123" i="6"/>
  <c r="G1123" i="6"/>
  <c r="H1123" i="6"/>
  <c r="I1123" i="6"/>
  <c r="J1123" i="6"/>
  <c r="K1123" i="6"/>
  <c r="M1123" i="6"/>
  <c r="N1123" i="6"/>
  <c r="O1123" i="6"/>
  <c r="P1123" i="6"/>
  <c r="Q1123" i="6"/>
  <c r="R1123" i="6"/>
  <c r="S1123" i="6"/>
  <c r="T1123" i="6"/>
  <c r="A1124" i="6"/>
  <c r="B1124" i="6"/>
  <c r="C1124" i="6"/>
  <c r="D1124" i="6"/>
  <c r="E1124" i="6"/>
  <c r="F1124" i="6"/>
  <c r="G1124" i="6"/>
  <c r="H1124" i="6"/>
  <c r="I1124" i="6"/>
  <c r="J1124" i="6"/>
  <c r="K1124" i="6"/>
  <c r="M1124" i="6"/>
  <c r="N1124" i="6"/>
  <c r="O1124" i="6"/>
  <c r="P1124" i="6"/>
  <c r="Q1124" i="6"/>
  <c r="R1124" i="6"/>
  <c r="S1124" i="6"/>
  <c r="T1124" i="6"/>
  <c r="A1125" i="6"/>
  <c r="B1125" i="6"/>
  <c r="C1125" i="6"/>
  <c r="D1125" i="6"/>
  <c r="E1125" i="6"/>
  <c r="F1125" i="6"/>
  <c r="G1125" i="6"/>
  <c r="H1125" i="6"/>
  <c r="I1125" i="6"/>
  <c r="J1125" i="6"/>
  <c r="K1125" i="6"/>
  <c r="M1125" i="6"/>
  <c r="N1125" i="6"/>
  <c r="O1125" i="6"/>
  <c r="P1125" i="6"/>
  <c r="Q1125" i="6"/>
  <c r="R1125" i="6"/>
  <c r="S1125" i="6"/>
  <c r="T1125" i="6"/>
  <c r="A1126" i="6"/>
  <c r="B1126" i="6"/>
  <c r="C1126" i="6"/>
  <c r="D1126" i="6"/>
  <c r="E1126" i="6"/>
  <c r="F1126" i="6"/>
  <c r="G1126" i="6"/>
  <c r="H1126" i="6"/>
  <c r="I1126" i="6"/>
  <c r="J1126" i="6"/>
  <c r="K1126" i="6"/>
  <c r="M1126" i="6"/>
  <c r="N1126" i="6"/>
  <c r="O1126" i="6"/>
  <c r="P1126" i="6"/>
  <c r="Q1126" i="6"/>
  <c r="R1126" i="6"/>
  <c r="S1126" i="6"/>
  <c r="T1126" i="6"/>
  <c r="A1127" i="6"/>
  <c r="B1127" i="6"/>
  <c r="C1127" i="6"/>
  <c r="D1127" i="6"/>
  <c r="E1127" i="6"/>
  <c r="F1127" i="6"/>
  <c r="G1127" i="6"/>
  <c r="H1127" i="6"/>
  <c r="I1127" i="6"/>
  <c r="J1127" i="6"/>
  <c r="K1127" i="6"/>
  <c r="L1127" i="6"/>
  <c r="M1127" i="6"/>
  <c r="N1127" i="6"/>
  <c r="O1127" i="6"/>
  <c r="P1127" i="6"/>
  <c r="Q1127" i="6"/>
  <c r="R1127" i="6"/>
  <c r="S1127" i="6"/>
  <c r="T1127" i="6"/>
  <c r="A1128" i="6"/>
  <c r="B1128" i="6"/>
  <c r="C1128" i="6"/>
  <c r="D1128" i="6"/>
  <c r="E1128" i="6"/>
  <c r="F1128" i="6"/>
  <c r="G1128" i="6"/>
  <c r="H1128" i="6"/>
  <c r="I1128" i="6"/>
  <c r="J1128" i="6"/>
  <c r="K1128" i="6"/>
  <c r="L1128" i="6"/>
  <c r="M1128" i="6"/>
  <c r="N1128" i="6"/>
  <c r="O1128" i="6"/>
  <c r="P1128" i="6"/>
  <c r="Q1128" i="6"/>
  <c r="R1128" i="6"/>
  <c r="S1128" i="6"/>
  <c r="T1128" i="6"/>
  <c r="A1129" i="6"/>
  <c r="B1129" i="6"/>
  <c r="C1129" i="6"/>
  <c r="D1129" i="6"/>
  <c r="E1129" i="6"/>
  <c r="F1129" i="6"/>
  <c r="G1129" i="6"/>
  <c r="H1129" i="6"/>
  <c r="I1129" i="6"/>
  <c r="J1129" i="6"/>
  <c r="K1129" i="6"/>
  <c r="L1129" i="6"/>
  <c r="M1129" i="6"/>
  <c r="N1129" i="6"/>
  <c r="O1129" i="6"/>
  <c r="P1129" i="6"/>
  <c r="Q1129" i="6"/>
  <c r="R1129" i="6"/>
  <c r="S1129" i="6"/>
  <c r="T1129" i="6"/>
  <c r="A1130" i="6"/>
  <c r="B1130" i="6"/>
  <c r="C1130" i="6"/>
  <c r="D1130" i="6"/>
  <c r="E1130" i="6"/>
  <c r="F1130" i="6"/>
  <c r="G1130" i="6"/>
  <c r="H1130" i="6"/>
  <c r="I1130" i="6"/>
  <c r="J1130" i="6"/>
  <c r="K1130" i="6"/>
  <c r="M1130" i="6"/>
  <c r="N1130" i="6"/>
  <c r="O1130" i="6"/>
  <c r="P1130" i="6"/>
  <c r="Q1130" i="6"/>
  <c r="R1130" i="6"/>
  <c r="S1130" i="6"/>
  <c r="T1130" i="6"/>
  <c r="A1131" i="6"/>
  <c r="B1131" i="6"/>
  <c r="C1131" i="6"/>
  <c r="D1131" i="6"/>
  <c r="E1131" i="6"/>
  <c r="F1131" i="6"/>
  <c r="G1131" i="6"/>
  <c r="H1131" i="6"/>
  <c r="I1131" i="6"/>
  <c r="J1131" i="6"/>
  <c r="K1131" i="6"/>
  <c r="M1131" i="6"/>
  <c r="N1131" i="6"/>
  <c r="O1131" i="6"/>
  <c r="P1131" i="6"/>
  <c r="Q1131" i="6"/>
  <c r="R1131" i="6"/>
  <c r="S1131" i="6"/>
  <c r="T1131" i="6"/>
  <c r="A1132" i="6"/>
  <c r="B1132" i="6"/>
  <c r="C1132" i="6"/>
  <c r="D1132" i="6"/>
  <c r="E1132" i="6"/>
  <c r="F1132" i="6"/>
  <c r="G1132" i="6"/>
  <c r="H1132" i="6"/>
  <c r="I1132" i="6"/>
  <c r="J1132" i="6"/>
  <c r="K1132" i="6"/>
  <c r="M1132" i="6"/>
  <c r="N1132" i="6"/>
  <c r="O1132" i="6"/>
  <c r="P1132" i="6"/>
  <c r="Q1132" i="6"/>
  <c r="R1132" i="6"/>
  <c r="S1132" i="6"/>
  <c r="T1132" i="6"/>
  <c r="A1133" i="6"/>
  <c r="B1133" i="6"/>
  <c r="C1133" i="6"/>
  <c r="D1133" i="6"/>
  <c r="E1133" i="6"/>
  <c r="F1133" i="6"/>
  <c r="G1133" i="6"/>
  <c r="H1133" i="6"/>
  <c r="I1133" i="6"/>
  <c r="J1133" i="6"/>
  <c r="K1133" i="6"/>
  <c r="M1133" i="6"/>
  <c r="N1133" i="6"/>
  <c r="O1133" i="6"/>
  <c r="P1133" i="6"/>
  <c r="Q1133" i="6"/>
  <c r="R1133" i="6"/>
  <c r="S1133" i="6"/>
  <c r="T1133" i="6"/>
  <c r="A1134" i="6"/>
  <c r="B1134" i="6"/>
  <c r="C1134" i="6"/>
  <c r="D1134" i="6"/>
  <c r="E1134" i="6"/>
  <c r="F1134" i="6"/>
  <c r="G1134" i="6"/>
  <c r="H1134" i="6"/>
  <c r="I1134" i="6"/>
  <c r="J1134" i="6"/>
  <c r="K1134" i="6"/>
  <c r="M1134" i="6"/>
  <c r="N1134" i="6"/>
  <c r="O1134" i="6"/>
  <c r="P1134" i="6"/>
  <c r="Q1134" i="6"/>
  <c r="R1134" i="6"/>
  <c r="S1134" i="6"/>
  <c r="T1134" i="6"/>
  <c r="A1135" i="6"/>
  <c r="B1135" i="6"/>
  <c r="C1135" i="6"/>
  <c r="D1135" i="6"/>
  <c r="E1135" i="6"/>
  <c r="F1135" i="6"/>
  <c r="G1135" i="6"/>
  <c r="H1135" i="6"/>
  <c r="I1135" i="6"/>
  <c r="J1135" i="6"/>
  <c r="K1135" i="6"/>
  <c r="M1135" i="6"/>
  <c r="N1135" i="6"/>
  <c r="O1135" i="6"/>
  <c r="P1135" i="6"/>
  <c r="Q1135" i="6"/>
  <c r="R1135" i="6"/>
  <c r="S1135" i="6"/>
  <c r="T1135" i="6"/>
  <c r="A1136" i="6"/>
  <c r="B1136" i="6"/>
  <c r="C1136" i="6"/>
  <c r="D1136" i="6"/>
  <c r="E1136" i="6"/>
  <c r="F1136" i="6"/>
  <c r="G1136" i="6"/>
  <c r="H1136" i="6"/>
  <c r="I1136" i="6"/>
  <c r="J1136" i="6"/>
  <c r="K1136" i="6"/>
  <c r="M1136" i="6"/>
  <c r="N1136" i="6"/>
  <c r="O1136" i="6"/>
  <c r="P1136" i="6"/>
  <c r="Q1136" i="6"/>
  <c r="R1136" i="6"/>
  <c r="S1136" i="6"/>
  <c r="T1136" i="6"/>
  <c r="A1137" i="6"/>
  <c r="B1137" i="6"/>
  <c r="C1137" i="6"/>
  <c r="D1137" i="6"/>
  <c r="E1137" i="6"/>
  <c r="F1137" i="6"/>
  <c r="G1137" i="6"/>
  <c r="H1137" i="6"/>
  <c r="I1137" i="6"/>
  <c r="J1137" i="6"/>
  <c r="K1137" i="6"/>
  <c r="M1137" i="6"/>
  <c r="N1137" i="6"/>
  <c r="O1137" i="6"/>
  <c r="P1137" i="6"/>
  <c r="Q1137" i="6"/>
  <c r="R1137" i="6"/>
  <c r="S1137" i="6"/>
  <c r="T1137" i="6"/>
  <c r="A1138" i="6"/>
  <c r="B1138" i="6"/>
  <c r="C1138" i="6"/>
  <c r="D1138" i="6"/>
  <c r="E1138" i="6"/>
  <c r="F1138" i="6"/>
  <c r="G1138" i="6"/>
  <c r="H1138" i="6"/>
  <c r="I1138" i="6"/>
  <c r="J1138" i="6"/>
  <c r="K1138" i="6"/>
  <c r="M1138" i="6"/>
  <c r="N1138" i="6"/>
  <c r="O1138" i="6"/>
  <c r="P1138" i="6"/>
  <c r="Q1138" i="6"/>
  <c r="R1138" i="6"/>
  <c r="S1138" i="6"/>
  <c r="T1138" i="6"/>
  <c r="A1139" i="6"/>
  <c r="B1139" i="6"/>
  <c r="C1139" i="6"/>
  <c r="D1139" i="6"/>
  <c r="E1139" i="6"/>
  <c r="F1139" i="6"/>
  <c r="G1139" i="6"/>
  <c r="H1139" i="6"/>
  <c r="I1139" i="6"/>
  <c r="J1139" i="6"/>
  <c r="K1139" i="6"/>
  <c r="M1139" i="6"/>
  <c r="N1139" i="6"/>
  <c r="O1139" i="6"/>
  <c r="P1139" i="6"/>
  <c r="Q1139" i="6"/>
  <c r="R1139" i="6"/>
  <c r="S1139" i="6"/>
  <c r="T1139" i="6"/>
  <c r="A1140" i="6"/>
  <c r="B1140" i="6"/>
  <c r="C1140" i="6"/>
  <c r="D1140" i="6"/>
  <c r="E1140" i="6"/>
  <c r="F1140" i="6"/>
  <c r="G1140" i="6"/>
  <c r="H1140" i="6"/>
  <c r="I1140" i="6"/>
  <c r="J1140" i="6"/>
  <c r="K1140" i="6"/>
  <c r="M1140" i="6"/>
  <c r="N1140" i="6"/>
  <c r="O1140" i="6"/>
  <c r="P1140" i="6"/>
  <c r="R1140" i="6"/>
  <c r="T1140" i="6"/>
  <c r="A1141" i="6"/>
  <c r="B1141" i="6"/>
  <c r="C1141" i="6"/>
  <c r="D1141" i="6"/>
  <c r="E1141" i="6"/>
  <c r="F1141" i="6"/>
  <c r="G1141" i="6"/>
  <c r="H1141" i="6"/>
  <c r="I1141" i="6"/>
  <c r="J1141" i="6"/>
  <c r="K1141" i="6"/>
  <c r="M1141" i="6"/>
  <c r="N1141" i="6"/>
  <c r="O1141" i="6"/>
  <c r="P1141" i="6"/>
  <c r="R1141" i="6"/>
  <c r="T1141" i="6"/>
  <c r="A1142" i="6"/>
  <c r="B1142" i="6"/>
  <c r="C1142" i="6"/>
  <c r="D1142" i="6"/>
  <c r="E1142" i="6"/>
  <c r="F1142" i="6"/>
  <c r="G1142" i="6"/>
  <c r="H1142" i="6"/>
  <c r="I1142" i="6"/>
  <c r="J1142" i="6"/>
  <c r="K1142" i="6"/>
  <c r="M1142" i="6"/>
  <c r="N1142" i="6"/>
  <c r="O1142" i="6"/>
  <c r="P1142" i="6"/>
  <c r="R1142" i="6"/>
  <c r="T1142" i="6"/>
  <c r="A1143" i="6"/>
  <c r="B1143" i="6"/>
  <c r="C1143" i="6"/>
  <c r="D1143" i="6"/>
  <c r="E1143" i="6"/>
  <c r="F1143" i="6"/>
  <c r="G1143" i="6"/>
  <c r="H1143" i="6"/>
  <c r="I1143" i="6"/>
  <c r="J1143" i="6"/>
  <c r="K1143" i="6"/>
  <c r="M1143" i="6"/>
  <c r="N1143" i="6"/>
  <c r="O1143" i="6"/>
  <c r="P1143" i="6"/>
  <c r="R1143" i="6"/>
  <c r="T1143" i="6"/>
  <c r="A1144" i="6"/>
  <c r="B1144" i="6"/>
  <c r="C1144" i="6"/>
  <c r="D1144" i="6"/>
  <c r="E1144" i="6"/>
  <c r="F1144" i="6"/>
  <c r="G1144" i="6"/>
  <c r="H1144" i="6"/>
  <c r="I1144" i="6"/>
  <c r="J1144" i="6"/>
  <c r="K1144" i="6"/>
  <c r="M1144" i="6"/>
  <c r="N1144" i="6"/>
  <c r="O1144" i="6"/>
  <c r="P1144" i="6"/>
  <c r="R1144" i="6"/>
  <c r="T1144" i="6"/>
  <c r="A1145" i="6"/>
  <c r="B1145" i="6"/>
  <c r="C1145" i="6"/>
  <c r="D1145" i="6"/>
  <c r="E1145" i="6"/>
  <c r="F1145" i="6"/>
  <c r="G1145" i="6"/>
  <c r="H1145" i="6"/>
  <c r="I1145" i="6"/>
  <c r="J1145" i="6"/>
  <c r="K1145" i="6"/>
  <c r="M1145" i="6"/>
  <c r="N1145" i="6"/>
  <c r="O1145" i="6"/>
  <c r="P1145" i="6"/>
  <c r="R1145" i="6"/>
  <c r="T1145" i="6"/>
  <c r="A1146" i="6"/>
  <c r="B1146" i="6"/>
  <c r="C1146" i="6"/>
  <c r="D1146" i="6"/>
  <c r="E1146" i="6"/>
  <c r="F1146" i="6"/>
  <c r="G1146" i="6"/>
  <c r="H1146" i="6"/>
  <c r="I1146" i="6"/>
  <c r="J1146" i="6"/>
  <c r="K1146" i="6"/>
  <c r="M1146" i="6"/>
  <c r="N1146" i="6"/>
  <c r="O1146" i="6"/>
  <c r="P1146" i="6"/>
  <c r="R1146" i="6"/>
  <c r="T1146" i="6"/>
  <c r="A1147" i="6"/>
  <c r="B1147" i="6"/>
  <c r="C1147" i="6"/>
  <c r="D1147" i="6"/>
  <c r="E1147" i="6"/>
  <c r="F1147" i="6"/>
  <c r="G1147" i="6"/>
  <c r="H1147" i="6"/>
  <c r="I1147" i="6"/>
  <c r="J1147" i="6"/>
  <c r="K1147" i="6"/>
  <c r="M1147" i="6"/>
  <c r="N1147" i="6"/>
  <c r="O1147" i="6"/>
  <c r="P1147" i="6"/>
  <c r="R1147" i="6"/>
  <c r="T1147" i="6"/>
  <c r="A1148" i="6"/>
  <c r="B1148" i="6"/>
  <c r="C1148" i="6"/>
  <c r="D1148" i="6"/>
  <c r="E1148" i="6"/>
  <c r="F1148" i="6"/>
  <c r="G1148" i="6"/>
  <c r="H1148" i="6"/>
  <c r="I1148" i="6"/>
  <c r="J1148" i="6"/>
  <c r="K1148" i="6"/>
  <c r="M1148" i="6"/>
  <c r="N1148" i="6"/>
  <c r="O1148" i="6"/>
  <c r="P1148" i="6"/>
  <c r="R1148" i="6"/>
  <c r="T1148" i="6"/>
  <c r="A1149" i="6"/>
  <c r="B1149" i="6"/>
  <c r="C1149" i="6"/>
  <c r="D1149" i="6"/>
  <c r="E1149" i="6"/>
  <c r="F1149" i="6"/>
  <c r="G1149" i="6"/>
  <c r="H1149" i="6"/>
  <c r="I1149" i="6"/>
  <c r="J1149" i="6"/>
  <c r="K1149" i="6"/>
  <c r="M1149" i="6"/>
  <c r="N1149" i="6"/>
  <c r="O1149" i="6"/>
  <c r="P1149" i="6"/>
  <c r="R1149" i="6"/>
  <c r="T1149" i="6"/>
  <c r="A1150" i="6"/>
  <c r="B1150" i="6"/>
  <c r="C1150" i="6"/>
  <c r="D1150" i="6"/>
  <c r="E1150" i="6"/>
  <c r="F1150" i="6"/>
  <c r="G1150" i="6"/>
  <c r="H1150" i="6"/>
  <c r="I1150" i="6"/>
  <c r="J1150" i="6"/>
  <c r="K1150" i="6"/>
  <c r="M1150" i="6"/>
  <c r="N1150" i="6"/>
  <c r="O1150" i="6"/>
  <c r="P1150" i="6"/>
  <c r="R1150" i="6"/>
  <c r="T1150" i="6"/>
  <c r="A1151" i="6"/>
  <c r="B1151" i="6"/>
  <c r="C1151" i="6"/>
  <c r="D1151" i="6"/>
  <c r="E1151" i="6"/>
  <c r="F1151" i="6"/>
  <c r="G1151" i="6"/>
  <c r="H1151" i="6"/>
  <c r="I1151" i="6"/>
  <c r="J1151" i="6"/>
  <c r="K1151" i="6"/>
  <c r="M1151" i="6"/>
  <c r="N1151" i="6"/>
  <c r="O1151" i="6"/>
  <c r="P1151" i="6"/>
  <c r="R1151" i="6"/>
  <c r="T1151" i="6"/>
  <c r="A1152" i="6"/>
  <c r="B1152" i="6"/>
  <c r="C1152" i="6"/>
  <c r="D1152" i="6"/>
  <c r="E1152" i="6"/>
  <c r="F1152" i="6"/>
  <c r="G1152" i="6"/>
  <c r="H1152" i="6"/>
  <c r="I1152" i="6"/>
  <c r="J1152" i="6"/>
  <c r="K1152" i="6"/>
  <c r="M1152" i="6"/>
  <c r="N1152" i="6"/>
  <c r="O1152" i="6"/>
  <c r="P1152" i="6"/>
  <c r="R1152" i="6"/>
  <c r="T1152" i="6"/>
  <c r="A1153" i="6"/>
  <c r="B1153" i="6"/>
  <c r="C1153" i="6"/>
  <c r="D1153" i="6"/>
  <c r="E1153" i="6"/>
  <c r="F1153" i="6"/>
  <c r="G1153" i="6"/>
  <c r="H1153" i="6"/>
  <c r="I1153" i="6"/>
  <c r="J1153" i="6"/>
  <c r="K1153" i="6"/>
  <c r="M1153" i="6"/>
  <c r="N1153" i="6"/>
  <c r="O1153" i="6"/>
  <c r="P1153" i="6"/>
  <c r="R1153" i="6"/>
  <c r="T1153" i="6"/>
  <c r="A1154" i="6"/>
  <c r="B1154" i="6"/>
  <c r="C1154" i="6"/>
  <c r="D1154" i="6"/>
  <c r="E1154" i="6"/>
  <c r="F1154" i="6"/>
  <c r="G1154" i="6"/>
  <c r="H1154" i="6"/>
  <c r="I1154" i="6"/>
  <c r="J1154" i="6"/>
  <c r="K1154" i="6"/>
  <c r="M1154" i="6"/>
  <c r="N1154" i="6"/>
  <c r="O1154" i="6"/>
  <c r="P1154" i="6"/>
  <c r="R1154" i="6"/>
  <c r="T1154" i="6"/>
  <c r="A1155" i="6"/>
  <c r="B1155" i="6"/>
  <c r="C1155" i="6"/>
  <c r="D1155" i="6"/>
  <c r="E1155" i="6"/>
  <c r="F1155" i="6"/>
  <c r="G1155" i="6"/>
  <c r="H1155" i="6"/>
  <c r="I1155" i="6"/>
  <c r="J1155" i="6"/>
  <c r="K1155" i="6"/>
  <c r="M1155" i="6"/>
  <c r="N1155" i="6"/>
  <c r="O1155" i="6"/>
  <c r="P1155" i="6"/>
  <c r="R1155" i="6"/>
  <c r="T1155" i="6"/>
  <c r="A1156" i="6"/>
  <c r="B1156" i="6"/>
  <c r="C1156" i="6"/>
  <c r="D1156" i="6"/>
  <c r="E1156" i="6"/>
  <c r="F1156" i="6"/>
  <c r="G1156" i="6"/>
  <c r="H1156" i="6"/>
  <c r="I1156" i="6"/>
  <c r="J1156" i="6"/>
  <c r="K1156" i="6"/>
  <c r="M1156" i="6"/>
  <c r="N1156" i="6"/>
  <c r="O1156" i="6"/>
  <c r="P1156" i="6"/>
  <c r="R1156" i="6"/>
  <c r="T1156" i="6"/>
  <c r="C9" i="5"/>
  <c r="B18" i="5"/>
  <c r="C18" i="5"/>
  <c r="D18" i="5"/>
  <c r="E18" i="5"/>
  <c r="F18" i="5"/>
  <c r="G18" i="5"/>
  <c r="H18" i="5"/>
  <c r="I18" i="5"/>
  <c r="J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C18" i="5"/>
  <c r="B19" i="5"/>
  <c r="C19" i="5"/>
  <c r="D19" i="5"/>
  <c r="E19" i="5"/>
  <c r="F19" i="5"/>
  <c r="G19" i="5"/>
  <c r="H19" i="5"/>
  <c r="I19" i="5"/>
  <c r="J19" i="5"/>
  <c r="L19" i="5"/>
  <c r="M19" i="5"/>
  <c r="N19" i="5"/>
  <c r="AC19" i="5" s="1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B20" i="5"/>
  <c r="C20" i="5"/>
  <c r="D20" i="5"/>
  <c r="E20" i="5"/>
  <c r="F20" i="5"/>
  <c r="G20" i="5"/>
  <c r="H20" i="5"/>
  <c r="I20" i="5"/>
  <c r="J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C20" i="5"/>
  <c r="B21" i="5"/>
  <c r="C21" i="5"/>
  <c r="D21" i="5"/>
  <c r="E21" i="5"/>
  <c r="F21" i="5"/>
  <c r="G21" i="5"/>
  <c r="H21" i="5"/>
  <c r="I21" i="5"/>
  <c r="J21" i="5"/>
  <c r="L21" i="5"/>
  <c r="M21" i="5"/>
  <c r="N21" i="5"/>
  <c r="AC21" i="5" s="1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B22" i="5"/>
  <c r="C22" i="5"/>
  <c r="D22" i="5"/>
  <c r="E22" i="5"/>
  <c r="F22" i="5"/>
  <c r="G22" i="5"/>
  <c r="H22" i="5"/>
  <c r="I22" i="5"/>
  <c r="J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C22" i="5"/>
  <c r="B23" i="5"/>
  <c r="C23" i="5"/>
  <c r="D23" i="5"/>
  <c r="E23" i="5"/>
  <c r="F23" i="5"/>
  <c r="G23" i="5"/>
  <c r="H23" i="5"/>
  <c r="I23" i="5"/>
  <c r="J23" i="5"/>
  <c r="L23" i="5"/>
  <c r="M23" i="5"/>
  <c r="N23" i="5"/>
  <c r="AC23" i="5" s="1"/>
  <c r="O23" i="5"/>
  <c r="P23" i="5"/>
  <c r="Q23" i="5"/>
  <c r="R23" i="5"/>
  <c r="S23" i="5"/>
  <c r="T23" i="5"/>
  <c r="U23" i="5"/>
  <c r="V23" i="5"/>
  <c r="W23" i="5"/>
  <c r="Y23" i="5"/>
  <c r="Z23" i="5"/>
  <c r="AA23" i="5"/>
  <c r="B24" i="5"/>
  <c r="C24" i="5"/>
  <c r="D24" i="5"/>
  <c r="E24" i="5"/>
  <c r="F24" i="5"/>
  <c r="G24" i="5"/>
  <c r="H24" i="5"/>
  <c r="I24" i="5"/>
  <c r="J24" i="5"/>
  <c r="L24" i="5"/>
  <c r="M24" i="5"/>
  <c r="N24" i="5"/>
  <c r="O24" i="5"/>
  <c r="P24" i="5"/>
  <c r="Q24" i="5"/>
  <c r="R24" i="5"/>
  <c r="S24" i="5"/>
  <c r="T24" i="5"/>
  <c r="U24" i="5"/>
  <c r="V24" i="5"/>
  <c r="W24" i="5"/>
  <c r="Y24" i="5"/>
  <c r="Z24" i="5"/>
  <c r="AA24" i="5"/>
  <c r="AC24" i="5"/>
  <c r="B25" i="5"/>
  <c r="C25" i="5"/>
  <c r="D25" i="5"/>
  <c r="E25" i="5"/>
  <c r="F25" i="5"/>
  <c r="G25" i="5"/>
  <c r="H25" i="5"/>
  <c r="I25" i="5"/>
  <c r="J25" i="5"/>
  <c r="L25" i="5"/>
  <c r="M25" i="5"/>
  <c r="N25" i="5"/>
  <c r="AC25" i="5" s="1"/>
  <c r="O25" i="5"/>
  <c r="P25" i="5"/>
  <c r="Q25" i="5"/>
  <c r="R25" i="5"/>
  <c r="S25" i="5"/>
  <c r="T25" i="5"/>
  <c r="U25" i="5"/>
  <c r="V25" i="5"/>
  <c r="W25" i="5"/>
  <c r="Y25" i="5"/>
  <c r="Z25" i="5"/>
  <c r="AA25" i="5"/>
  <c r="B26" i="5"/>
  <c r="C26" i="5"/>
  <c r="D26" i="5"/>
  <c r="E26" i="5"/>
  <c r="F26" i="5"/>
  <c r="G26" i="5"/>
  <c r="H26" i="5"/>
  <c r="I26" i="5"/>
  <c r="J26" i="5"/>
  <c r="L26" i="5"/>
  <c r="M26" i="5"/>
  <c r="N26" i="5"/>
  <c r="O26" i="5"/>
  <c r="P26" i="5"/>
  <c r="Q26" i="5"/>
  <c r="R26" i="5"/>
  <c r="S26" i="5"/>
  <c r="T26" i="5"/>
  <c r="U26" i="5"/>
  <c r="V26" i="5"/>
  <c r="W26" i="5"/>
  <c r="Y26" i="5"/>
  <c r="Z26" i="5"/>
  <c r="AA26" i="5"/>
  <c r="AC26" i="5"/>
  <c r="B27" i="5"/>
  <c r="C27" i="5"/>
  <c r="D27" i="5"/>
  <c r="E27" i="5"/>
  <c r="F27" i="5"/>
  <c r="G27" i="5"/>
  <c r="H27" i="5"/>
  <c r="I27" i="5"/>
  <c r="J27" i="5"/>
  <c r="L27" i="5"/>
  <c r="M27" i="5"/>
  <c r="N27" i="5"/>
  <c r="AC27" i="5" s="1"/>
  <c r="O27" i="5"/>
  <c r="P27" i="5"/>
  <c r="Q27" i="5"/>
  <c r="R27" i="5"/>
  <c r="S27" i="5"/>
  <c r="T27" i="5"/>
  <c r="U27" i="5"/>
  <c r="V27" i="5"/>
  <c r="W27" i="5"/>
  <c r="Y27" i="5"/>
  <c r="Z27" i="5"/>
  <c r="AA27" i="5"/>
  <c r="B28" i="5"/>
  <c r="C28" i="5"/>
  <c r="D28" i="5"/>
  <c r="E28" i="5"/>
  <c r="F28" i="5"/>
  <c r="G28" i="5"/>
  <c r="H28" i="5"/>
  <c r="I28" i="5"/>
  <c r="J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Z28" i="5"/>
  <c r="AA28" i="5"/>
  <c r="AC28" i="5"/>
  <c r="B29" i="5"/>
  <c r="C29" i="5"/>
  <c r="D29" i="5"/>
  <c r="E29" i="5"/>
  <c r="F29" i="5"/>
  <c r="G29" i="5"/>
  <c r="H29" i="5"/>
  <c r="I29" i="5"/>
  <c r="J29" i="5"/>
  <c r="L29" i="5"/>
  <c r="M29" i="5"/>
  <c r="N29" i="5"/>
  <c r="AC29" i="5" s="1"/>
  <c r="O29" i="5"/>
  <c r="P29" i="5"/>
  <c r="Q29" i="5"/>
  <c r="R29" i="5"/>
  <c r="S29" i="5"/>
  <c r="T29" i="5"/>
  <c r="U29" i="5"/>
  <c r="V29" i="5"/>
  <c r="W29" i="5"/>
  <c r="X29" i="5"/>
  <c r="Z29" i="5"/>
  <c r="AA29" i="5"/>
  <c r="B30" i="5"/>
  <c r="C30" i="5"/>
  <c r="D30" i="5"/>
  <c r="E30" i="5"/>
  <c r="F30" i="5"/>
  <c r="G30" i="5"/>
  <c r="H30" i="5"/>
  <c r="I30" i="5"/>
  <c r="J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Z30" i="5"/>
  <c r="AA30" i="5"/>
  <c r="AC30" i="5"/>
  <c r="B31" i="5"/>
  <c r="C31" i="5"/>
  <c r="D31" i="5"/>
  <c r="E31" i="5"/>
  <c r="F31" i="5"/>
  <c r="G31" i="5"/>
  <c r="H31" i="5"/>
  <c r="I31" i="5"/>
  <c r="J31" i="5"/>
  <c r="L31" i="5"/>
  <c r="M31" i="5"/>
  <c r="N31" i="5"/>
  <c r="AC31" i="5" s="1"/>
  <c r="O31" i="5"/>
  <c r="P31" i="5"/>
  <c r="Q31" i="5"/>
  <c r="R31" i="5"/>
  <c r="S31" i="5"/>
  <c r="T31" i="5"/>
  <c r="U31" i="5"/>
  <c r="V31" i="5"/>
  <c r="W31" i="5"/>
  <c r="X31" i="5"/>
  <c r="Z31" i="5"/>
  <c r="AA31" i="5"/>
  <c r="B32" i="5"/>
  <c r="C32" i="5"/>
  <c r="D32" i="5"/>
  <c r="E32" i="5"/>
  <c r="F32" i="5"/>
  <c r="G32" i="5"/>
  <c r="H32" i="5"/>
  <c r="I32" i="5"/>
  <c r="J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Z32" i="5"/>
  <c r="AA32" i="5"/>
  <c r="AC32" i="5"/>
  <c r="B33" i="5"/>
  <c r="C33" i="5"/>
  <c r="D33" i="5"/>
  <c r="E33" i="5"/>
  <c r="F33" i="5"/>
  <c r="G33" i="5"/>
  <c r="H33" i="5"/>
  <c r="I33" i="5"/>
  <c r="J33" i="5"/>
  <c r="L33" i="5"/>
  <c r="M33" i="5"/>
  <c r="N33" i="5"/>
  <c r="AC33" i="5" s="1"/>
  <c r="O33" i="5"/>
  <c r="P33" i="5"/>
  <c r="Q33" i="5"/>
  <c r="R33" i="5"/>
  <c r="S33" i="5"/>
  <c r="T33" i="5"/>
  <c r="U33" i="5"/>
  <c r="V33" i="5"/>
  <c r="W33" i="5"/>
  <c r="X33" i="5"/>
  <c r="Z33" i="5"/>
  <c r="AA33" i="5"/>
  <c r="B34" i="5"/>
  <c r="C34" i="5"/>
  <c r="D34" i="5"/>
  <c r="E34" i="5"/>
  <c r="F34" i="5"/>
  <c r="G34" i="5"/>
  <c r="H34" i="5"/>
  <c r="I34" i="5"/>
  <c r="J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Z34" i="5"/>
  <c r="AA34" i="5"/>
  <c r="AC34" i="5"/>
  <c r="B35" i="5"/>
  <c r="C35" i="5"/>
  <c r="D35" i="5"/>
  <c r="E35" i="5"/>
  <c r="F35" i="5"/>
  <c r="G35" i="5"/>
  <c r="H35" i="5"/>
  <c r="I35" i="5"/>
  <c r="J35" i="5"/>
  <c r="L35" i="5"/>
  <c r="M35" i="5"/>
  <c r="N35" i="5"/>
  <c r="AC35" i="5" s="1"/>
  <c r="O35" i="5"/>
  <c r="P35" i="5"/>
  <c r="Q35" i="5"/>
  <c r="R35" i="5"/>
  <c r="S35" i="5"/>
  <c r="T35" i="5"/>
  <c r="U35" i="5"/>
  <c r="V35" i="5"/>
  <c r="W35" i="5"/>
  <c r="Z35" i="5"/>
  <c r="AA35" i="5"/>
  <c r="AB35" i="5"/>
  <c r="B36" i="5"/>
  <c r="C36" i="5"/>
  <c r="D36" i="5"/>
  <c r="E36" i="5"/>
  <c r="F36" i="5"/>
  <c r="G36" i="5"/>
  <c r="H36" i="5"/>
  <c r="I36" i="5"/>
  <c r="J36" i="5"/>
  <c r="L36" i="5"/>
  <c r="M36" i="5"/>
  <c r="N36" i="5"/>
  <c r="O36" i="5"/>
  <c r="P36" i="5"/>
  <c r="Q36" i="5"/>
  <c r="R36" i="5"/>
  <c r="S36" i="5"/>
  <c r="T36" i="5"/>
  <c r="U36" i="5"/>
  <c r="V36" i="5"/>
  <c r="W36" i="5"/>
  <c r="Z36" i="5"/>
  <c r="AA36" i="5"/>
  <c r="AC36" i="5"/>
  <c r="B37" i="5"/>
  <c r="C37" i="5"/>
  <c r="D37" i="5"/>
  <c r="E37" i="5"/>
  <c r="F37" i="5"/>
  <c r="G37" i="5"/>
  <c r="H37" i="5"/>
  <c r="I37" i="5"/>
  <c r="J37" i="5"/>
  <c r="L37" i="5"/>
  <c r="M37" i="5"/>
  <c r="N37" i="5"/>
  <c r="AC37" i="5" s="1"/>
  <c r="O37" i="5"/>
  <c r="P37" i="5"/>
  <c r="Q37" i="5"/>
  <c r="R37" i="5"/>
  <c r="S37" i="5"/>
  <c r="T37" i="5"/>
  <c r="U37" i="5"/>
  <c r="V37" i="5"/>
  <c r="W37" i="5"/>
  <c r="Z37" i="5"/>
  <c r="AA37" i="5"/>
  <c r="AB37" i="5"/>
  <c r="B38" i="5"/>
  <c r="C38" i="5"/>
  <c r="D38" i="5"/>
  <c r="E38" i="5"/>
  <c r="F38" i="5"/>
  <c r="G38" i="5"/>
  <c r="H38" i="5"/>
  <c r="I38" i="5"/>
  <c r="J38" i="5"/>
  <c r="L38" i="5"/>
  <c r="M38" i="5"/>
  <c r="N38" i="5"/>
  <c r="O38" i="5"/>
  <c r="P38" i="5"/>
  <c r="Q38" i="5"/>
  <c r="R38" i="5"/>
  <c r="S38" i="5"/>
  <c r="T38" i="5"/>
  <c r="U38" i="5"/>
  <c r="V38" i="5"/>
  <c r="W38" i="5"/>
  <c r="Z38" i="5"/>
  <c r="AA38" i="5"/>
  <c r="AC38" i="5"/>
  <c r="B39" i="5"/>
  <c r="C39" i="5"/>
  <c r="D39" i="5"/>
  <c r="E39" i="5"/>
  <c r="F39" i="5"/>
  <c r="G39" i="5"/>
  <c r="H39" i="5"/>
  <c r="I39" i="5"/>
  <c r="J39" i="5"/>
  <c r="L39" i="5"/>
  <c r="M39" i="5"/>
  <c r="N39" i="5"/>
  <c r="AC39" i="5" s="1"/>
  <c r="O39" i="5"/>
  <c r="P39" i="5"/>
  <c r="Q39" i="5"/>
  <c r="R39" i="5"/>
  <c r="S39" i="5"/>
  <c r="T39" i="5"/>
  <c r="U39" i="5"/>
  <c r="V39" i="5"/>
  <c r="W39" i="5"/>
  <c r="Z39" i="5"/>
  <c r="AA39" i="5"/>
  <c r="AB39" i="5"/>
  <c r="B40" i="5"/>
  <c r="C40" i="5"/>
  <c r="AB40" i="5" s="1"/>
  <c r="D40" i="5"/>
  <c r="E40" i="5"/>
  <c r="F40" i="5"/>
  <c r="G40" i="5"/>
  <c r="H40" i="5"/>
  <c r="I40" i="5"/>
  <c r="J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Z40" i="5"/>
  <c r="AA40" i="5"/>
  <c r="B41" i="5"/>
  <c r="C41" i="5"/>
  <c r="D41" i="5"/>
  <c r="AB41" i="5" s="1"/>
  <c r="E41" i="5"/>
  <c r="F41" i="5"/>
  <c r="G41" i="5"/>
  <c r="H41" i="5"/>
  <c r="I41" i="5"/>
  <c r="J41" i="5"/>
  <c r="L41" i="5"/>
  <c r="M41" i="5"/>
  <c r="AC41" i="5" s="1"/>
  <c r="N41" i="5"/>
  <c r="O41" i="5"/>
  <c r="P41" i="5"/>
  <c r="Q41" i="5"/>
  <c r="R41" i="5"/>
  <c r="S41" i="5"/>
  <c r="T41" i="5"/>
  <c r="U41" i="5"/>
  <c r="V41" i="5"/>
  <c r="W41" i="5"/>
  <c r="X41" i="5"/>
  <c r="Z41" i="5"/>
  <c r="AA41" i="5"/>
  <c r="B42" i="5"/>
  <c r="C42" i="5"/>
  <c r="AB42" i="5" s="1"/>
  <c r="D42" i="5"/>
  <c r="E42" i="5"/>
  <c r="F42" i="5"/>
  <c r="G42" i="5"/>
  <c r="H42" i="5"/>
  <c r="I42" i="5"/>
  <c r="J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Z42" i="5"/>
  <c r="AA42" i="5"/>
  <c r="B43" i="5"/>
  <c r="C43" i="5"/>
  <c r="D43" i="5"/>
  <c r="E43" i="5"/>
  <c r="F43" i="5"/>
  <c r="G43" i="5"/>
  <c r="H43" i="5"/>
  <c r="I43" i="5"/>
  <c r="J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Z43" i="5"/>
  <c r="AA43" i="5"/>
  <c r="AB43" i="5"/>
  <c r="B44" i="5"/>
  <c r="C44" i="5"/>
  <c r="D44" i="5"/>
  <c r="E44" i="5"/>
  <c r="AB44" i="5" s="1"/>
  <c r="F44" i="5"/>
  <c r="G44" i="5"/>
  <c r="H44" i="5"/>
  <c r="I44" i="5"/>
  <c r="J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Z44" i="5"/>
  <c r="AA44" i="5"/>
  <c r="B45" i="5"/>
  <c r="C45" i="5"/>
  <c r="D45" i="5"/>
  <c r="AB45" i="5" s="1"/>
  <c r="E45" i="5"/>
  <c r="F45" i="5"/>
  <c r="G45" i="5"/>
  <c r="H45" i="5"/>
  <c r="I45" i="5"/>
  <c r="J45" i="5"/>
  <c r="L45" i="5"/>
  <c r="M45" i="5"/>
  <c r="AC45" i="5" s="1"/>
  <c r="N45" i="5"/>
  <c r="O45" i="5"/>
  <c r="P45" i="5"/>
  <c r="Q45" i="5"/>
  <c r="R45" i="5"/>
  <c r="S45" i="5"/>
  <c r="T45" i="5"/>
  <c r="U45" i="5"/>
  <c r="V45" i="5"/>
  <c r="W45" i="5"/>
  <c r="X45" i="5"/>
  <c r="Z45" i="5"/>
  <c r="AA45" i="5"/>
  <c r="B46" i="5"/>
  <c r="C46" i="5"/>
  <c r="AB46" i="5" s="1"/>
  <c r="D46" i="5"/>
  <c r="E46" i="5"/>
  <c r="F46" i="5"/>
  <c r="G46" i="5"/>
  <c r="H46" i="5"/>
  <c r="I46" i="5"/>
  <c r="J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Z46" i="5"/>
  <c r="AA46" i="5"/>
  <c r="B47" i="5"/>
  <c r="C47" i="5"/>
  <c r="D47" i="5"/>
  <c r="E47" i="5"/>
  <c r="F47" i="5"/>
  <c r="G47" i="5"/>
  <c r="H47" i="5"/>
  <c r="I47" i="5"/>
  <c r="J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Z47" i="5"/>
  <c r="AA47" i="5"/>
  <c r="AB47" i="5"/>
  <c r="B48" i="5"/>
  <c r="C48" i="5"/>
  <c r="D48" i="5"/>
  <c r="E48" i="5"/>
  <c r="AB48" i="5" s="1"/>
  <c r="F48" i="5"/>
  <c r="G48" i="5"/>
  <c r="H48" i="5"/>
  <c r="I48" i="5"/>
  <c r="J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Z48" i="5"/>
  <c r="AA48" i="5"/>
  <c r="B49" i="5"/>
  <c r="C49" i="5"/>
  <c r="D49" i="5"/>
  <c r="E49" i="5"/>
  <c r="F49" i="5"/>
  <c r="G49" i="5"/>
  <c r="H49" i="5"/>
  <c r="I49" i="5"/>
  <c r="J49" i="5"/>
  <c r="L49" i="5"/>
  <c r="M49" i="5"/>
  <c r="AC49" i="5" s="1"/>
  <c r="N49" i="5"/>
  <c r="O49" i="5"/>
  <c r="P49" i="5"/>
  <c r="Q49" i="5"/>
  <c r="R49" i="5"/>
  <c r="S49" i="5"/>
  <c r="T49" i="5"/>
  <c r="U49" i="5"/>
  <c r="V49" i="5"/>
  <c r="W49" i="5"/>
  <c r="X49" i="5"/>
  <c r="AB49" i="5"/>
  <c r="B50" i="5"/>
  <c r="C50" i="5"/>
  <c r="D50" i="5"/>
  <c r="E50" i="5"/>
  <c r="AB50" i="5" s="1"/>
  <c r="F50" i="5"/>
  <c r="G50" i="5"/>
  <c r="H50" i="5"/>
  <c r="I50" i="5"/>
  <c r="J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B51" i="5"/>
  <c r="AB51" i="5" s="1"/>
  <c r="C51" i="5"/>
  <c r="D51" i="5"/>
  <c r="E51" i="5"/>
  <c r="F51" i="5"/>
  <c r="G51" i="5"/>
  <c r="H51" i="5"/>
  <c r="I51" i="5"/>
  <c r="J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B52" i="5"/>
  <c r="C52" i="5"/>
  <c r="AB52" i="5" s="1"/>
  <c r="D52" i="5"/>
  <c r="E52" i="5"/>
  <c r="F52" i="5"/>
  <c r="G52" i="5"/>
  <c r="H52" i="5"/>
  <c r="I52" i="5"/>
  <c r="J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B53" i="5"/>
  <c r="C53" i="5"/>
  <c r="D53" i="5"/>
  <c r="E53" i="5"/>
  <c r="F53" i="5"/>
  <c r="G53" i="5"/>
  <c r="H53" i="5"/>
  <c r="I53" i="5"/>
  <c r="J53" i="5"/>
  <c r="L53" i="5"/>
  <c r="M53" i="5"/>
  <c r="AC53" i="5" s="1"/>
  <c r="N53" i="5"/>
  <c r="O53" i="5"/>
  <c r="P53" i="5"/>
  <c r="Q53" i="5"/>
  <c r="R53" i="5"/>
  <c r="S53" i="5"/>
  <c r="T53" i="5"/>
  <c r="U53" i="5"/>
  <c r="V53" i="5"/>
  <c r="W53" i="5"/>
  <c r="X53" i="5"/>
  <c r="AB53" i="5"/>
  <c r="B54" i="5"/>
  <c r="C54" i="5"/>
  <c r="D54" i="5"/>
  <c r="E54" i="5"/>
  <c r="AB54" i="5" s="1"/>
  <c r="F54" i="5"/>
  <c r="G54" i="5"/>
  <c r="H54" i="5"/>
  <c r="I54" i="5"/>
  <c r="J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B55" i="5"/>
  <c r="AB55" i="5" s="1"/>
  <c r="C55" i="5"/>
  <c r="D55" i="5"/>
  <c r="E55" i="5"/>
  <c r="F55" i="5"/>
  <c r="G55" i="5"/>
  <c r="H55" i="5"/>
  <c r="I55" i="5"/>
  <c r="J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B56" i="5"/>
  <c r="C56" i="5"/>
  <c r="AB56" i="5" s="1"/>
  <c r="D56" i="5"/>
  <c r="E56" i="5"/>
  <c r="F56" i="5"/>
  <c r="G56" i="5"/>
  <c r="H56" i="5"/>
  <c r="I56" i="5"/>
  <c r="J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B57" i="5"/>
  <c r="C57" i="5"/>
  <c r="D57" i="5"/>
  <c r="E57" i="5"/>
  <c r="F57" i="5"/>
  <c r="G57" i="5"/>
  <c r="H57" i="5"/>
  <c r="I57" i="5"/>
  <c r="J57" i="5"/>
  <c r="L57" i="5"/>
  <c r="M57" i="5"/>
  <c r="AC57" i="5" s="1"/>
  <c r="N57" i="5"/>
  <c r="O57" i="5"/>
  <c r="P57" i="5"/>
  <c r="Q57" i="5"/>
  <c r="R57" i="5"/>
  <c r="S57" i="5"/>
  <c r="T57" i="5"/>
  <c r="U57" i="5"/>
  <c r="V57" i="5"/>
  <c r="W57" i="5"/>
  <c r="X57" i="5"/>
  <c r="AB57" i="5"/>
  <c r="B58" i="5"/>
  <c r="C58" i="5"/>
  <c r="D58" i="5"/>
  <c r="E58" i="5"/>
  <c r="AB58" i="5" s="1"/>
  <c r="F58" i="5"/>
  <c r="G58" i="5"/>
  <c r="H58" i="5"/>
  <c r="I58" i="5"/>
  <c r="J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B59" i="5"/>
  <c r="AB59" i="5" s="1"/>
  <c r="C59" i="5"/>
  <c r="D59" i="5"/>
  <c r="E59" i="5"/>
  <c r="F59" i="5"/>
  <c r="G59" i="5"/>
  <c r="H59" i="5"/>
  <c r="I59" i="5"/>
  <c r="J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B60" i="5"/>
  <c r="C60" i="5"/>
  <c r="AB60" i="5" s="1"/>
  <c r="D60" i="5"/>
  <c r="E60" i="5"/>
  <c r="F60" i="5"/>
  <c r="G60" i="5"/>
  <c r="H60" i="5"/>
  <c r="I60" i="5"/>
  <c r="J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AC61" i="5" s="1"/>
  <c r="O61" i="5"/>
  <c r="P61" i="5"/>
  <c r="Q61" i="5"/>
  <c r="R61" i="5"/>
  <c r="S61" i="5"/>
  <c r="T61" i="5"/>
  <c r="U61" i="5"/>
  <c r="V61" i="5"/>
  <c r="W61" i="5"/>
  <c r="X61" i="5"/>
  <c r="B62" i="5"/>
  <c r="C62" i="5"/>
  <c r="D62" i="5"/>
  <c r="AB62" i="5" s="1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AC63" i="5" s="1"/>
  <c r="O63" i="5"/>
  <c r="P63" i="5"/>
  <c r="Q63" i="5"/>
  <c r="R63" i="5"/>
  <c r="S63" i="5"/>
  <c r="T63" i="5"/>
  <c r="U63" i="5"/>
  <c r="V63" i="5"/>
  <c r="W63" i="5"/>
  <c r="X63" i="5"/>
  <c r="B64" i="5"/>
  <c r="C64" i="5"/>
  <c r="D64" i="5"/>
  <c r="AB64" i="5" s="1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AC65" i="5" s="1"/>
  <c r="P65" i="5"/>
  <c r="Q65" i="5"/>
  <c r="R65" i="5"/>
  <c r="S65" i="5"/>
  <c r="T65" i="5"/>
  <c r="U65" i="5"/>
  <c r="V65" i="5"/>
  <c r="W65" i="5"/>
  <c r="X65" i="5"/>
  <c r="B66" i="5"/>
  <c r="C66" i="5"/>
  <c r="D66" i="5"/>
  <c r="AB66" i="5" s="1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AC67" i="5" s="1"/>
  <c r="O67" i="5"/>
  <c r="P67" i="5"/>
  <c r="Q67" i="5"/>
  <c r="R67" i="5"/>
  <c r="S67" i="5"/>
  <c r="T67" i="5"/>
  <c r="U67" i="5"/>
  <c r="V67" i="5"/>
  <c r="W67" i="5"/>
  <c r="X67" i="5"/>
  <c r="B68" i="5"/>
  <c r="C68" i="5"/>
  <c r="D68" i="5"/>
  <c r="AB68" i="5" s="1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AC69" i="5" s="1"/>
  <c r="O69" i="5"/>
  <c r="P69" i="5"/>
  <c r="Q69" i="5"/>
  <c r="R69" i="5"/>
  <c r="S69" i="5"/>
  <c r="T69" i="5"/>
  <c r="U69" i="5"/>
  <c r="V69" i="5"/>
  <c r="W69" i="5"/>
  <c r="X69" i="5"/>
  <c r="B70" i="5"/>
  <c r="C70" i="5"/>
  <c r="D70" i="5"/>
  <c r="AB70" i="5" s="1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AC71" i="5" s="1"/>
  <c r="O71" i="5"/>
  <c r="P71" i="5"/>
  <c r="Q71" i="5"/>
  <c r="R71" i="5"/>
  <c r="S71" i="5"/>
  <c r="T71" i="5"/>
  <c r="U71" i="5"/>
  <c r="V71" i="5"/>
  <c r="W71" i="5"/>
  <c r="X71" i="5"/>
  <c r="B72" i="5"/>
  <c r="C72" i="5"/>
  <c r="D72" i="5"/>
  <c r="AB72" i="5" s="1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AC73" i="5" s="1"/>
  <c r="O73" i="5"/>
  <c r="P73" i="5"/>
  <c r="Q73" i="5"/>
  <c r="R73" i="5"/>
  <c r="S73" i="5"/>
  <c r="T73" i="5"/>
  <c r="U73" i="5"/>
  <c r="V73" i="5"/>
  <c r="W73" i="5"/>
  <c r="X73" i="5"/>
  <c r="B74" i="5"/>
  <c r="C74" i="5"/>
  <c r="D74" i="5"/>
  <c r="AB74" i="5" s="1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AC75" i="5" s="1"/>
  <c r="O75" i="5"/>
  <c r="P75" i="5"/>
  <c r="Q75" i="5"/>
  <c r="R75" i="5"/>
  <c r="S75" i="5"/>
  <c r="T75" i="5"/>
  <c r="U75" i="5"/>
  <c r="V75" i="5"/>
  <c r="W75" i="5"/>
  <c r="X75" i="5"/>
  <c r="B76" i="5"/>
  <c r="C76" i="5"/>
  <c r="D76" i="5"/>
  <c r="AB76" i="5" s="1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AC77" i="5" s="1"/>
  <c r="O77" i="5"/>
  <c r="P77" i="5"/>
  <c r="Q77" i="5"/>
  <c r="R77" i="5"/>
  <c r="S77" i="5"/>
  <c r="T77" i="5"/>
  <c r="U77" i="5"/>
  <c r="V77" i="5"/>
  <c r="W77" i="5"/>
  <c r="X77" i="5"/>
  <c r="B78" i="5"/>
  <c r="C78" i="5"/>
  <c r="D78" i="5"/>
  <c r="AB78" i="5" s="1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AC79" i="5" s="1"/>
  <c r="O79" i="5"/>
  <c r="P79" i="5"/>
  <c r="Q79" i="5"/>
  <c r="R79" i="5"/>
  <c r="S79" i="5"/>
  <c r="T79" i="5"/>
  <c r="U79" i="5"/>
  <c r="V79" i="5"/>
  <c r="W79" i="5"/>
  <c r="X79" i="5"/>
  <c r="B80" i="5"/>
  <c r="C80" i="5"/>
  <c r="D80" i="5"/>
  <c r="AB80" i="5" s="1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B81" i="5"/>
  <c r="C81" i="5"/>
  <c r="D81" i="5"/>
  <c r="AB81" i="5" s="1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AC82" i="5" s="1"/>
  <c r="O82" i="5"/>
  <c r="P82" i="5"/>
  <c r="Q82" i="5"/>
  <c r="R82" i="5"/>
  <c r="S82" i="5"/>
  <c r="T82" i="5"/>
  <c r="U82" i="5"/>
  <c r="V82" i="5"/>
  <c r="W82" i="5"/>
  <c r="X82" i="5"/>
  <c r="B83" i="5"/>
  <c r="C83" i="5"/>
  <c r="D83" i="5"/>
  <c r="AB83" i="5" s="1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AC84" i="5" s="1"/>
  <c r="O84" i="5"/>
  <c r="P84" i="5"/>
  <c r="Q84" i="5"/>
  <c r="R84" i="5"/>
  <c r="S84" i="5"/>
  <c r="T84" i="5"/>
  <c r="U84" i="5"/>
  <c r="V84" i="5"/>
  <c r="W84" i="5"/>
  <c r="X84" i="5"/>
  <c r="B85" i="5"/>
  <c r="C85" i="5"/>
  <c r="D85" i="5"/>
  <c r="AB85" i="5" s="1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AC86" i="5" s="1"/>
  <c r="O86" i="5"/>
  <c r="P86" i="5"/>
  <c r="Q86" i="5"/>
  <c r="R86" i="5"/>
  <c r="S86" i="5"/>
  <c r="T86" i="5"/>
  <c r="U86" i="5"/>
  <c r="V86" i="5"/>
  <c r="W86" i="5"/>
  <c r="X86" i="5"/>
  <c r="B87" i="5"/>
  <c r="C87" i="5"/>
  <c r="D87" i="5"/>
  <c r="AB87" i="5" s="1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AC88" i="5" s="1"/>
  <c r="O88" i="5"/>
  <c r="P88" i="5"/>
  <c r="Q88" i="5"/>
  <c r="R88" i="5"/>
  <c r="S88" i="5"/>
  <c r="T88" i="5"/>
  <c r="U88" i="5"/>
  <c r="V88" i="5"/>
  <c r="W88" i="5"/>
  <c r="X88" i="5"/>
  <c r="B89" i="5"/>
  <c r="C89" i="5"/>
  <c r="D89" i="5"/>
  <c r="AB89" i="5" s="1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AC90" i="5" s="1"/>
  <c r="O90" i="5"/>
  <c r="P90" i="5"/>
  <c r="Q90" i="5"/>
  <c r="R90" i="5"/>
  <c r="S90" i="5"/>
  <c r="T90" i="5"/>
  <c r="U90" i="5"/>
  <c r="V90" i="5"/>
  <c r="W90" i="5"/>
  <c r="X90" i="5"/>
  <c r="B91" i="5"/>
  <c r="C91" i="5"/>
  <c r="D91" i="5"/>
  <c r="AB91" i="5" s="1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AC92" i="5" s="1"/>
  <c r="O92" i="5"/>
  <c r="P92" i="5"/>
  <c r="Q92" i="5"/>
  <c r="R92" i="5"/>
  <c r="S92" i="5"/>
  <c r="T92" i="5"/>
  <c r="U92" i="5"/>
  <c r="V92" i="5"/>
  <c r="W92" i="5"/>
  <c r="X92" i="5"/>
  <c r="B93" i="5"/>
  <c r="C93" i="5"/>
  <c r="D93" i="5"/>
  <c r="AB93" i="5" s="1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AC94" i="5" s="1"/>
  <c r="O94" i="5"/>
  <c r="P94" i="5"/>
  <c r="Q94" i="5"/>
  <c r="R94" i="5"/>
  <c r="S94" i="5"/>
  <c r="T94" i="5"/>
  <c r="U94" i="5"/>
  <c r="V94" i="5"/>
  <c r="W94" i="5"/>
  <c r="X94" i="5"/>
  <c r="B95" i="5"/>
  <c r="AB95" i="5" s="1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AC96" i="5" s="1"/>
  <c r="O96" i="5"/>
  <c r="P96" i="5"/>
  <c r="Q96" i="5"/>
  <c r="R96" i="5"/>
  <c r="S96" i="5"/>
  <c r="T96" i="5"/>
  <c r="U96" i="5"/>
  <c r="V96" i="5"/>
  <c r="W96" i="5"/>
  <c r="X96" i="5"/>
  <c r="B97" i="5"/>
  <c r="C97" i="5"/>
  <c r="D97" i="5"/>
  <c r="AB97" i="5" s="1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AC100" i="5" s="1"/>
  <c r="O100" i="5"/>
  <c r="P100" i="5"/>
  <c r="Q100" i="5"/>
  <c r="R100" i="5"/>
  <c r="S100" i="5"/>
  <c r="T100" i="5"/>
  <c r="U100" i="5"/>
  <c r="V100" i="5"/>
  <c r="W100" i="5"/>
  <c r="X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AC104" i="5" s="1"/>
  <c r="O104" i="5"/>
  <c r="P104" i="5"/>
  <c r="Q104" i="5"/>
  <c r="R104" i="5"/>
  <c r="S104" i="5"/>
  <c r="T104" i="5"/>
  <c r="U104" i="5"/>
  <c r="V104" i="5"/>
  <c r="W104" i="5"/>
  <c r="X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AC107" i="5" s="1"/>
  <c r="N107" i="5"/>
  <c r="O107" i="5"/>
  <c r="P107" i="5"/>
  <c r="Q107" i="5"/>
  <c r="R107" i="5"/>
  <c r="S107" i="5"/>
  <c r="T107" i="5"/>
  <c r="U107" i="5"/>
  <c r="V107" i="5"/>
  <c r="W107" i="5"/>
  <c r="X107" i="5"/>
  <c r="AB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AC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AC109" i="5" s="1"/>
  <c r="N109" i="5"/>
  <c r="O109" i="5"/>
  <c r="P109" i="5"/>
  <c r="Q109" i="5"/>
  <c r="R109" i="5"/>
  <c r="S109" i="5"/>
  <c r="T109" i="5"/>
  <c r="U109" i="5"/>
  <c r="V109" i="5"/>
  <c r="W109" i="5"/>
  <c r="X109" i="5"/>
  <c r="AB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AC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AC111" i="5" s="1"/>
  <c r="N111" i="5"/>
  <c r="O111" i="5"/>
  <c r="P111" i="5"/>
  <c r="Q111" i="5"/>
  <c r="R111" i="5"/>
  <c r="S111" i="5"/>
  <c r="T111" i="5"/>
  <c r="U111" i="5"/>
  <c r="V111" i="5"/>
  <c r="W111" i="5"/>
  <c r="X111" i="5"/>
  <c r="AB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AC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AC113" i="5" s="1"/>
  <c r="N113" i="5"/>
  <c r="O113" i="5"/>
  <c r="P113" i="5"/>
  <c r="Q113" i="5"/>
  <c r="R113" i="5"/>
  <c r="S113" i="5"/>
  <c r="T113" i="5"/>
  <c r="U113" i="5"/>
  <c r="V113" i="5"/>
  <c r="W113" i="5"/>
  <c r="X113" i="5"/>
  <c r="AB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AC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AC115" i="5" s="1"/>
  <c r="N115" i="5"/>
  <c r="O115" i="5"/>
  <c r="P115" i="5"/>
  <c r="Q115" i="5"/>
  <c r="R115" i="5"/>
  <c r="S115" i="5"/>
  <c r="T115" i="5"/>
  <c r="U115" i="5"/>
  <c r="V115" i="5"/>
  <c r="W115" i="5"/>
  <c r="X115" i="5"/>
  <c r="AB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AC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AC117" i="5" s="1"/>
  <c r="N117" i="5"/>
  <c r="O117" i="5"/>
  <c r="P117" i="5"/>
  <c r="Q117" i="5"/>
  <c r="R117" i="5"/>
  <c r="S117" i="5"/>
  <c r="T117" i="5"/>
  <c r="U117" i="5"/>
  <c r="V117" i="5"/>
  <c r="W117" i="5"/>
  <c r="X117" i="5"/>
  <c r="AB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AC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AC119" i="5" s="1"/>
  <c r="N119" i="5"/>
  <c r="O119" i="5"/>
  <c r="P119" i="5"/>
  <c r="Q119" i="5"/>
  <c r="R119" i="5"/>
  <c r="S119" i="5"/>
  <c r="T119" i="5"/>
  <c r="U119" i="5"/>
  <c r="V119" i="5"/>
  <c r="W119" i="5"/>
  <c r="X119" i="5"/>
  <c r="AB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AC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AC121" i="5" s="1"/>
  <c r="N121" i="5"/>
  <c r="O121" i="5"/>
  <c r="P121" i="5"/>
  <c r="Q121" i="5"/>
  <c r="R121" i="5"/>
  <c r="S121" i="5"/>
  <c r="T121" i="5"/>
  <c r="U121" i="5"/>
  <c r="V121" i="5"/>
  <c r="W121" i="5"/>
  <c r="X121" i="5"/>
  <c r="AB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AC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AC123" i="5" s="1"/>
  <c r="N123" i="5"/>
  <c r="O123" i="5"/>
  <c r="P123" i="5"/>
  <c r="Q123" i="5"/>
  <c r="R123" i="5"/>
  <c r="S123" i="5"/>
  <c r="T123" i="5"/>
  <c r="U123" i="5"/>
  <c r="V123" i="5"/>
  <c r="W123" i="5"/>
  <c r="X123" i="5"/>
  <c r="AB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AC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AC125" i="5" s="1"/>
  <c r="N125" i="5"/>
  <c r="O125" i="5"/>
  <c r="P125" i="5"/>
  <c r="Q125" i="5"/>
  <c r="R125" i="5"/>
  <c r="S125" i="5"/>
  <c r="T125" i="5"/>
  <c r="U125" i="5"/>
  <c r="V125" i="5"/>
  <c r="W125" i="5"/>
  <c r="X125" i="5"/>
  <c r="AB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AC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AC127" i="5" s="1"/>
  <c r="N127" i="5"/>
  <c r="O127" i="5"/>
  <c r="P127" i="5"/>
  <c r="Q127" i="5"/>
  <c r="R127" i="5"/>
  <c r="S127" i="5"/>
  <c r="T127" i="5"/>
  <c r="U127" i="5"/>
  <c r="V127" i="5"/>
  <c r="W127" i="5"/>
  <c r="X127" i="5"/>
  <c r="AB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AC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AC129" i="5" s="1"/>
  <c r="N129" i="5"/>
  <c r="O129" i="5"/>
  <c r="P129" i="5"/>
  <c r="Q129" i="5"/>
  <c r="R129" i="5"/>
  <c r="S129" i="5"/>
  <c r="T129" i="5"/>
  <c r="U129" i="5"/>
  <c r="V129" i="5"/>
  <c r="W129" i="5"/>
  <c r="X129" i="5"/>
  <c r="AB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AC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AC131" i="5" s="1"/>
  <c r="N131" i="5"/>
  <c r="O131" i="5"/>
  <c r="P131" i="5"/>
  <c r="Q131" i="5"/>
  <c r="R131" i="5"/>
  <c r="S131" i="5"/>
  <c r="T131" i="5"/>
  <c r="U131" i="5"/>
  <c r="V131" i="5"/>
  <c r="W131" i="5"/>
  <c r="X131" i="5"/>
  <c r="AB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AC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AC133" i="5" s="1"/>
  <c r="N133" i="5"/>
  <c r="O133" i="5"/>
  <c r="P133" i="5"/>
  <c r="Q133" i="5"/>
  <c r="R133" i="5"/>
  <c r="S133" i="5"/>
  <c r="T133" i="5"/>
  <c r="U133" i="5"/>
  <c r="V133" i="5"/>
  <c r="W133" i="5"/>
  <c r="X133" i="5"/>
  <c r="AB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AC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AC135" i="5" s="1"/>
  <c r="N135" i="5"/>
  <c r="O135" i="5"/>
  <c r="P135" i="5"/>
  <c r="Q135" i="5"/>
  <c r="R135" i="5"/>
  <c r="S135" i="5"/>
  <c r="T135" i="5"/>
  <c r="U135" i="5"/>
  <c r="V135" i="5"/>
  <c r="W135" i="5"/>
  <c r="X135" i="5"/>
  <c r="AB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AC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AC137" i="5" s="1"/>
  <c r="N137" i="5"/>
  <c r="O137" i="5"/>
  <c r="P137" i="5"/>
  <c r="Q137" i="5"/>
  <c r="R137" i="5"/>
  <c r="S137" i="5"/>
  <c r="T137" i="5"/>
  <c r="U137" i="5"/>
  <c r="V137" i="5"/>
  <c r="W137" i="5"/>
  <c r="X137" i="5"/>
  <c r="AB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AC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AC139" i="5" s="1"/>
  <c r="N139" i="5"/>
  <c r="O139" i="5"/>
  <c r="P139" i="5"/>
  <c r="Q139" i="5"/>
  <c r="R139" i="5"/>
  <c r="S139" i="5"/>
  <c r="T139" i="5"/>
  <c r="U139" i="5"/>
  <c r="V139" i="5"/>
  <c r="W139" i="5"/>
  <c r="X139" i="5"/>
  <c r="AB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AC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AC141" i="5" s="1"/>
  <c r="N141" i="5"/>
  <c r="O141" i="5"/>
  <c r="P141" i="5"/>
  <c r="Q141" i="5"/>
  <c r="R141" i="5"/>
  <c r="S141" i="5"/>
  <c r="T141" i="5"/>
  <c r="U141" i="5"/>
  <c r="V141" i="5"/>
  <c r="W141" i="5"/>
  <c r="X141" i="5"/>
  <c r="AB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AC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AC143" i="5" s="1"/>
  <c r="N143" i="5"/>
  <c r="O143" i="5"/>
  <c r="P143" i="5"/>
  <c r="Q143" i="5"/>
  <c r="R143" i="5"/>
  <c r="S143" i="5"/>
  <c r="T143" i="5"/>
  <c r="U143" i="5"/>
  <c r="V143" i="5"/>
  <c r="W143" i="5"/>
  <c r="X143" i="5"/>
  <c r="AB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AC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AC145" i="5" s="1"/>
  <c r="N145" i="5"/>
  <c r="O145" i="5"/>
  <c r="P145" i="5"/>
  <c r="Q145" i="5"/>
  <c r="R145" i="5"/>
  <c r="S145" i="5"/>
  <c r="T145" i="5"/>
  <c r="U145" i="5"/>
  <c r="V145" i="5"/>
  <c r="W145" i="5"/>
  <c r="X145" i="5"/>
  <c r="AB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AC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AC147" i="5" s="1"/>
  <c r="N147" i="5"/>
  <c r="O147" i="5"/>
  <c r="P147" i="5"/>
  <c r="Q147" i="5"/>
  <c r="R147" i="5"/>
  <c r="S147" i="5"/>
  <c r="T147" i="5"/>
  <c r="U147" i="5"/>
  <c r="V147" i="5"/>
  <c r="W147" i="5"/>
  <c r="X147" i="5"/>
  <c r="AB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AC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AC149" i="5" s="1"/>
  <c r="N149" i="5"/>
  <c r="O149" i="5"/>
  <c r="P149" i="5"/>
  <c r="Q149" i="5"/>
  <c r="R149" i="5"/>
  <c r="S149" i="5"/>
  <c r="T149" i="5"/>
  <c r="U149" i="5"/>
  <c r="V149" i="5"/>
  <c r="W149" i="5"/>
  <c r="X149" i="5"/>
  <c r="AB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AC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AC151" i="5" s="1"/>
  <c r="N151" i="5"/>
  <c r="O151" i="5"/>
  <c r="P151" i="5"/>
  <c r="Q151" i="5"/>
  <c r="R151" i="5"/>
  <c r="S151" i="5"/>
  <c r="T151" i="5"/>
  <c r="U151" i="5"/>
  <c r="V151" i="5"/>
  <c r="W151" i="5"/>
  <c r="X151" i="5"/>
  <c r="AB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AC152" i="5"/>
  <c r="B153" i="5"/>
  <c r="C153" i="5"/>
  <c r="D153" i="5"/>
  <c r="E153" i="5"/>
  <c r="F153" i="5"/>
  <c r="G153" i="5"/>
  <c r="H153" i="5"/>
  <c r="I153" i="5"/>
  <c r="J153" i="5"/>
  <c r="K153" i="5"/>
  <c r="L153" i="5"/>
  <c r="M153" i="5"/>
  <c r="AC153" i="5" s="1"/>
  <c r="N153" i="5"/>
  <c r="O153" i="5"/>
  <c r="P153" i="5"/>
  <c r="Q153" i="5"/>
  <c r="R153" i="5"/>
  <c r="S153" i="5"/>
  <c r="T153" i="5"/>
  <c r="U153" i="5"/>
  <c r="V153" i="5"/>
  <c r="W153" i="5"/>
  <c r="X153" i="5"/>
  <c r="AB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AC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AC155" i="5" s="1"/>
  <c r="N155" i="5"/>
  <c r="O155" i="5"/>
  <c r="P155" i="5"/>
  <c r="Q155" i="5"/>
  <c r="R155" i="5"/>
  <c r="S155" i="5"/>
  <c r="T155" i="5"/>
  <c r="U155" i="5"/>
  <c r="V155" i="5"/>
  <c r="W155" i="5"/>
  <c r="X155" i="5"/>
  <c r="AB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AC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AC157" i="5" s="1"/>
  <c r="N157" i="5"/>
  <c r="O157" i="5"/>
  <c r="P157" i="5"/>
  <c r="Q157" i="5"/>
  <c r="R157" i="5"/>
  <c r="S157" i="5"/>
  <c r="T157" i="5"/>
  <c r="U157" i="5"/>
  <c r="V157" i="5"/>
  <c r="W157" i="5"/>
  <c r="X157" i="5"/>
  <c r="AB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AC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AC159" i="5" s="1"/>
  <c r="N159" i="5"/>
  <c r="O159" i="5"/>
  <c r="P159" i="5"/>
  <c r="Q159" i="5"/>
  <c r="R159" i="5"/>
  <c r="S159" i="5"/>
  <c r="T159" i="5"/>
  <c r="U159" i="5"/>
  <c r="V159" i="5"/>
  <c r="W159" i="5"/>
  <c r="X159" i="5"/>
  <c r="AB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AC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AC161" i="5" s="1"/>
  <c r="N161" i="5"/>
  <c r="O161" i="5"/>
  <c r="P161" i="5"/>
  <c r="Q161" i="5"/>
  <c r="R161" i="5"/>
  <c r="S161" i="5"/>
  <c r="T161" i="5"/>
  <c r="U161" i="5"/>
  <c r="V161" i="5"/>
  <c r="W161" i="5"/>
  <c r="X161" i="5"/>
  <c r="AB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AC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AC163" i="5" s="1"/>
  <c r="N163" i="5"/>
  <c r="O163" i="5"/>
  <c r="P163" i="5"/>
  <c r="Q163" i="5"/>
  <c r="R163" i="5"/>
  <c r="S163" i="5"/>
  <c r="T163" i="5"/>
  <c r="U163" i="5"/>
  <c r="V163" i="5"/>
  <c r="W163" i="5"/>
  <c r="X163" i="5"/>
  <c r="AB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AC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AC165" i="5" s="1"/>
  <c r="N165" i="5"/>
  <c r="O165" i="5"/>
  <c r="P165" i="5"/>
  <c r="Q165" i="5"/>
  <c r="R165" i="5"/>
  <c r="S165" i="5"/>
  <c r="T165" i="5"/>
  <c r="U165" i="5"/>
  <c r="V165" i="5"/>
  <c r="W165" i="5"/>
  <c r="X165" i="5"/>
  <c r="AB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AC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AC167" i="5" s="1"/>
  <c r="N167" i="5"/>
  <c r="O167" i="5"/>
  <c r="P167" i="5"/>
  <c r="Q167" i="5"/>
  <c r="R167" i="5"/>
  <c r="S167" i="5"/>
  <c r="T167" i="5"/>
  <c r="U167" i="5"/>
  <c r="V167" i="5"/>
  <c r="W167" i="5"/>
  <c r="X167" i="5"/>
  <c r="AB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AC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AC169" i="5" s="1"/>
  <c r="N169" i="5"/>
  <c r="O169" i="5"/>
  <c r="P169" i="5"/>
  <c r="Q169" i="5"/>
  <c r="R169" i="5"/>
  <c r="S169" i="5"/>
  <c r="T169" i="5"/>
  <c r="U169" i="5"/>
  <c r="V169" i="5"/>
  <c r="W169" i="5"/>
  <c r="X169" i="5"/>
  <c r="AB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AC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AC171" i="5" s="1"/>
  <c r="N171" i="5"/>
  <c r="O171" i="5"/>
  <c r="P171" i="5"/>
  <c r="Q171" i="5"/>
  <c r="R171" i="5"/>
  <c r="S171" i="5"/>
  <c r="T171" i="5"/>
  <c r="U171" i="5"/>
  <c r="V171" i="5"/>
  <c r="W171" i="5"/>
  <c r="X171" i="5"/>
  <c r="AB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AC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AC173" i="5" s="1"/>
  <c r="N173" i="5"/>
  <c r="O173" i="5"/>
  <c r="P173" i="5"/>
  <c r="Q173" i="5"/>
  <c r="R173" i="5"/>
  <c r="S173" i="5"/>
  <c r="T173" i="5"/>
  <c r="U173" i="5"/>
  <c r="V173" i="5"/>
  <c r="W173" i="5"/>
  <c r="X173" i="5"/>
  <c r="AB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AC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AC175" i="5" s="1"/>
  <c r="N175" i="5"/>
  <c r="O175" i="5"/>
  <c r="P175" i="5"/>
  <c r="Q175" i="5"/>
  <c r="R175" i="5"/>
  <c r="S175" i="5"/>
  <c r="T175" i="5"/>
  <c r="U175" i="5"/>
  <c r="V175" i="5"/>
  <c r="W175" i="5"/>
  <c r="X175" i="5"/>
  <c r="AB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AC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AC177" i="5" s="1"/>
  <c r="N177" i="5"/>
  <c r="O177" i="5"/>
  <c r="P177" i="5"/>
  <c r="Q177" i="5"/>
  <c r="R177" i="5"/>
  <c r="S177" i="5"/>
  <c r="T177" i="5"/>
  <c r="U177" i="5"/>
  <c r="V177" i="5"/>
  <c r="W177" i="5"/>
  <c r="X177" i="5"/>
  <c r="AB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AC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AC179" i="5" s="1"/>
  <c r="N179" i="5"/>
  <c r="O179" i="5"/>
  <c r="P179" i="5"/>
  <c r="Q179" i="5"/>
  <c r="R179" i="5"/>
  <c r="S179" i="5"/>
  <c r="T179" i="5"/>
  <c r="U179" i="5"/>
  <c r="V179" i="5"/>
  <c r="W179" i="5"/>
  <c r="X179" i="5"/>
  <c r="AB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AC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AC181" i="5" s="1"/>
  <c r="N181" i="5"/>
  <c r="O181" i="5"/>
  <c r="P181" i="5"/>
  <c r="Q181" i="5"/>
  <c r="R181" i="5"/>
  <c r="S181" i="5"/>
  <c r="T181" i="5"/>
  <c r="U181" i="5"/>
  <c r="V181" i="5"/>
  <c r="W181" i="5"/>
  <c r="X181" i="5"/>
  <c r="AB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AC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AC183" i="5" s="1"/>
  <c r="N183" i="5"/>
  <c r="O183" i="5"/>
  <c r="P183" i="5"/>
  <c r="Q183" i="5"/>
  <c r="R183" i="5"/>
  <c r="S183" i="5"/>
  <c r="T183" i="5"/>
  <c r="U183" i="5"/>
  <c r="V183" i="5"/>
  <c r="W183" i="5"/>
  <c r="X183" i="5"/>
  <c r="AB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AC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AC185" i="5" s="1"/>
  <c r="N185" i="5"/>
  <c r="O185" i="5"/>
  <c r="P185" i="5"/>
  <c r="Q185" i="5"/>
  <c r="R185" i="5"/>
  <c r="S185" i="5"/>
  <c r="T185" i="5"/>
  <c r="U185" i="5"/>
  <c r="V185" i="5"/>
  <c r="W185" i="5"/>
  <c r="X185" i="5"/>
  <c r="AB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AC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AC187" i="5" s="1"/>
  <c r="N187" i="5"/>
  <c r="O187" i="5"/>
  <c r="P187" i="5"/>
  <c r="Q187" i="5"/>
  <c r="R187" i="5"/>
  <c r="S187" i="5"/>
  <c r="T187" i="5"/>
  <c r="U187" i="5"/>
  <c r="V187" i="5"/>
  <c r="W187" i="5"/>
  <c r="X187" i="5"/>
  <c r="AB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AC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AC189" i="5" s="1"/>
  <c r="N189" i="5"/>
  <c r="O189" i="5"/>
  <c r="P189" i="5"/>
  <c r="Q189" i="5"/>
  <c r="R189" i="5"/>
  <c r="S189" i="5"/>
  <c r="T189" i="5"/>
  <c r="U189" i="5"/>
  <c r="V189" i="5"/>
  <c r="W189" i="5"/>
  <c r="X189" i="5"/>
  <c r="AB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AC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AC191" i="5" s="1"/>
  <c r="N191" i="5"/>
  <c r="O191" i="5"/>
  <c r="P191" i="5"/>
  <c r="Q191" i="5"/>
  <c r="R191" i="5"/>
  <c r="S191" i="5"/>
  <c r="T191" i="5"/>
  <c r="U191" i="5"/>
  <c r="V191" i="5"/>
  <c r="W191" i="5"/>
  <c r="X191" i="5"/>
  <c r="AB191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AC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AC193" i="5" s="1"/>
  <c r="N193" i="5"/>
  <c r="O193" i="5"/>
  <c r="P193" i="5"/>
  <c r="Q193" i="5"/>
  <c r="R193" i="5"/>
  <c r="S193" i="5"/>
  <c r="T193" i="5"/>
  <c r="U193" i="5"/>
  <c r="V193" i="5"/>
  <c r="W193" i="5"/>
  <c r="X193" i="5"/>
  <c r="AB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AC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AC195" i="5" s="1"/>
  <c r="N195" i="5"/>
  <c r="O195" i="5"/>
  <c r="P195" i="5"/>
  <c r="Q195" i="5"/>
  <c r="R195" i="5"/>
  <c r="S195" i="5"/>
  <c r="T195" i="5"/>
  <c r="U195" i="5"/>
  <c r="V195" i="5"/>
  <c r="W195" i="5"/>
  <c r="X195" i="5"/>
  <c r="AB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AC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AC197" i="5" s="1"/>
  <c r="N197" i="5"/>
  <c r="O197" i="5"/>
  <c r="P197" i="5"/>
  <c r="Q197" i="5"/>
  <c r="R197" i="5"/>
  <c r="S197" i="5"/>
  <c r="T197" i="5"/>
  <c r="U197" i="5"/>
  <c r="V197" i="5"/>
  <c r="W197" i="5"/>
  <c r="X197" i="5"/>
  <c r="AB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AC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AC199" i="5" s="1"/>
  <c r="N199" i="5"/>
  <c r="O199" i="5"/>
  <c r="P199" i="5"/>
  <c r="Q199" i="5"/>
  <c r="R199" i="5"/>
  <c r="S199" i="5"/>
  <c r="T199" i="5"/>
  <c r="U199" i="5"/>
  <c r="V199" i="5"/>
  <c r="W199" i="5"/>
  <c r="X199" i="5"/>
  <c r="AB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AC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AC201" i="5" s="1"/>
  <c r="N201" i="5"/>
  <c r="O201" i="5"/>
  <c r="P201" i="5"/>
  <c r="Q201" i="5"/>
  <c r="R201" i="5"/>
  <c r="S201" i="5"/>
  <c r="T201" i="5"/>
  <c r="U201" i="5"/>
  <c r="V201" i="5"/>
  <c r="W201" i="5"/>
  <c r="X201" i="5"/>
  <c r="AB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AC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AC203" i="5" s="1"/>
  <c r="N203" i="5"/>
  <c r="O203" i="5"/>
  <c r="P203" i="5"/>
  <c r="Q203" i="5"/>
  <c r="R203" i="5"/>
  <c r="S203" i="5"/>
  <c r="T203" i="5"/>
  <c r="U203" i="5"/>
  <c r="V203" i="5"/>
  <c r="W203" i="5"/>
  <c r="X203" i="5"/>
  <c r="AB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AC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AC205" i="5" s="1"/>
  <c r="N205" i="5"/>
  <c r="O205" i="5"/>
  <c r="P205" i="5"/>
  <c r="Q205" i="5"/>
  <c r="R205" i="5"/>
  <c r="S205" i="5"/>
  <c r="T205" i="5"/>
  <c r="U205" i="5"/>
  <c r="V205" i="5"/>
  <c r="W205" i="5"/>
  <c r="X205" i="5"/>
  <c r="AB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AC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AC207" i="5" s="1"/>
  <c r="N207" i="5"/>
  <c r="O207" i="5"/>
  <c r="P207" i="5"/>
  <c r="Q207" i="5"/>
  <c r="R207" i="5"/>
  <c r="S207" i="5"/>
  <c r="T207" i="5"/>
  <c r="U207" i="5"/>
  <c r="V207" i="5"/>
  <c r="W207" i="5"/>
  <c r="X207" i="5"/>
  <c r="AB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AC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AC209" i="5" s="1"/>
  <c r="N209" i="5"/>
  <c r="O209" i="5"/>
  <c r="P209" i="5"/>
  <c r="Q209" i="5"/>
  <c r="R209" i="5"/>
  <c r="S209" i="5"/>
  <c r="T209" i="5"/>
  <c r="U209" i="5"/>
  <c r="V209" i="5"/>
  <c r="W209" i="5"/>
  <c r="X209" i="5"/>
  <c r="AB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AC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AC211" i="5" s="1"/>
  <c r="N211" i="5"/>
  <c r="O211" i="5"/>
  <c r="P211" i="5"/>
  <c r="Q211" i="5"/>
  <c r="R211" i="5"/>
  <c r="S211" i="5"/>
  <c r="T211" i="5"/>
  <c r="U211" i="5"/>
  <c r="V211" i="5"/>
  <c r="W211" i="5"/>
  <c r="X211" i="5"/>
  <c r="AB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AC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AC213" i="5" s="1"/>
  <c r="N213" i="5"/>
  <c r="O213" i="5"/>
  <c r="P213" i="5"/>
  <c r="Q213" i="5"/>
  <c r="R213" i="5"/>
  <c r="S213" i="5"/>
  <c r="T213" i="5"/>
  <c r="U213" i="5"/>
  <c r="V213" i="5"/>
  <c r="W213" i="5"/>
  <c r="X213" i="5"/>
  <c r="AB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AC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AC215" i="5" s="1"/>
  <c r="N215" i="5"/>
  <c r="O215" i="5"/>
  <c r="P215" i="5"/>
  <c r="Q215" i="5"/>
  <c r="R215" i="5"/>
  <c r="S215" i="5"/>
  <c r="T215" i="5"/>
  <c r="U215" i="5"/>
  <c r="V215" i="5"/>
  <c r="W215" i="5"/>
  <c r="X215" i="5"/>
  <c r="AB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AC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AC217" i="5" s="1"/>
  <c r="N217" i="5"/>
  <c r="O217" i="5"/>
  <c r="P217" i="5"/>
  <c r="Q217" i="5"/>
  <c r="R217" i="5"/>
  <c r="S217" i="5"/>
  <c r="T217" i="5"/>
  <c r="U217" i="5"/>
  <c r="V217" i="5"/>
  <c r="W217" i="5"/>
  <c r="X217" i="5"/>
  <c r="AB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AC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AC219" i="5" s="1"/>
  <c r="N219" i="5"/>
  <c r="O219" i="5"/>
  <c r="P219" i="5"/>
  <c r="Q219" i="5"/>
  <c r="R219" i="5"/>
  <c r="S219" i="5"/>
  <c r="T219" i="5"/>
  <c r="U219" i="5"/>
  <c r="V219" i="5"/>
  <c r="W219" i="5"/>
  <c r="X219" i="5"/>
  <c r="AB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AC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AC221" i="5" s="1"/>
  <c r="N221" i="5"/>
  <c r="O221" i="5"/>
  <c r="P221" i="5"/>
  <c r="Q221" i="5"/>
  <c r="R221" i="5"/>
  <c r="S221" i="5"/>
  <c r="T221" i="5"/>
  <c r="U221" i="5"/>
  <c r="V221" i="5"/>
  <c r="W221" i="5"/>
  <c r="X221" i="5"/>
  <c r="AB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AC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AC223" i="5" s="1"/>
  <c r="N223" i="5"/>
  <c r="O223" i="5"/>
  <c r="P223" i="5"/>
  <c r="Q223" i="5"/>
  <c r="R223" i="5"/>
  <c r="S223" i="5"/>
  <c r="T223" i="5"/>
  <c r="U223" i="5"/>
  <c r="V223" i="5"/>
  <c r="W223" i="5"/>
  <c r="X223" i="5"/>
  <c r="AB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AC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AC225" i="5" s="1"/>
  <c r="N225" i="5"/>
  <c r="O225" i="5"/>
  <c r="P225" i="5"/>
  <c r="Q225" i="5"/>
  <c r="R225" i="5"/>
  <c r="S225" i="5"/>
  <c r="T225" i="5"/>
  <c r="U225" i="5"/>
  <c r="V225" i="5"/>
  <c r="W225" i="5"/>
  <c r="X225" i="5"/>
  <c r="AB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AC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AC227" i="5" s="1"/>
  <c r="N227" i="5"/>
  <c r="O227" i="5"/>
  <c r="P227" i="5"/>
  <c r="Q227" i="5"/>
  <c r="R227" i="5"/>
  <c r="S227" i="5"/>
  <c r="T227" i="5"/>
  <c r="U227" i="5"/>
  <c r="V227" i="5"/>
  <c r="W227" i="5"/>
  <c r="X227" i="5"/>
  <c r="AB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AC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AC229" i="5" s="1"/>
  <c r="N229" i="5"/>
  <c r="O229" i="5"/>
  <c r="P229" i="5"/>
  <c r="Q229" i="5"/>
  <c r="R229" i="5"/>
  <c r="S229" i="5"/>
  <c r="T229" i="5"/>
  <c r="U229" i="5"/>
  <c r="V229" i="5"/>
  <c r="W229" i="5"/>
  <c r="X229" i="5"/>
  <c r="AB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AC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AC231" i="5" s="1"/>
  <c r="N231" i="5"/>
  <c r="O231" i="5"/>
  <c r="P231" i="5"/>
  <c r="Q231" i="5"/>
  <c r="R231" i="5"/>
  <c r="S231" i="5"/>
  <c r="T231" i="5"/>
  <c r="U231" i="5"/>
  <c r="V231" i="5"/>
  <c r="W231" i="5"/>
  <c r="X231" i="5"/>
  <c r="AB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AC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AC233" i="5" s="1"/>
  <c r="N233" i="5"/>
  <c r="O233" i="5"/>
  <c r="P233" i="5"/>
  <c r="Q233" i="5"/>
  <c r="R233" i="5"/>
  <c r="S233" i="5"/>
  <c r="T233" i="5"/>
  <c r="U233" i="5"/>
  <c r="V233" i="5"/>
  <c r="W233" i="5"/>
  <c r="X233" i="5"/>
  <c r="AB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AC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AC235" i="5" s="1"/>
  <c r="N235" i="5"/>
  <c r="O235" i="5"/>
  <c r="P235" i="5"/>
  <c r="Q235" i="5"/>
  <c r="R235" i="5"/>
  <c r="S235" i="5"/>
  <c r="T235" i="5"/>
  <c r="U235" i="5"/>
  <c r="V235" i="5"/>
  <c r="W235" i="5"/>
  <c r="X235" i="5"/>
  <c r="AB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AC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AC237" i="5" s="1"/>
  <c r="N237" i="5"/>
  <c r="O237" i="5"/>
  <c r="P237" i="5"/>
  <c r="Q237" i="5"/>
  <c r="R237" i="5"/>
  <c r="S237" i="5"/>
  <c r="T237" i="5"/>
  <c r="U237" i="5"/>
  <c r="V237" i="5"/>
  <c r="W237" i="5"/>
  <c r="X237" i="5"/>
  <c r="AB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AC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AC239" i="5" s="1"/>
  <c r="N239" i="5"/>
  <c r="O239" i="5"/>
  <c r="P239" i="5"/>
  <c r="Q239" i="5"/>
  <c r="R239" i="5"/>
  <c r="S239" i="5"/>
  <c r="T239" i="5"/>
  <c r="U239" i="5"/>
  <c r="V239" i="5"/>
  <c r="W239" i="5"/>
  <c r="X239" i="5"/>
  <c r="AB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AC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AC241" i="5" s="1"/>
  <c r="N241" i="5"/>
  <c r="O241" i="5"/>
  <c r="P241" i="5"/>
  <c r="Q241" i="5"/>
  <c r="R241" i="5"/>
  <c r="S241" i="5"/>
  <c r="T241" i="5"/>
  <c r="U241" i="5"/>
  <c r="V241" i="5"/>
  <c r="W241" i="5"/>
  <c r="X241" i="5"/>
  <c r="AB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AC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AC243" i="5" s="1"/>
  <c r="N243" i="5"/>
  <c r="O243" i="5"/>
  <c r="P243" i="5"/>
  <c r="Q243" i="5"/>
  <c r="R243" i="5"/>
  <c r="S243" i="5"/>
  <c r="T243" i="5"/>
  <c r="U243" i="5"/>
  <c r="V243" i="5"/>
  <c r="W243" i="5"/>
  <c r="X243" i="5"/>
  <c r="AB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AC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AC245" i="5" s="1"/>
  <c r="N245" i="5"/>
  <c r="O245" i="5"/>
  <c r="P245" i="5"/>
  <c r="Q245" i="5"/>
  <c r="R245" i="5"/>
  <c r="S245" i="5"/>
  <c r="T245" i="5"/>
  <c r="U245" i="5"/>
  <c r="V245" i="5"/>
  <c r="W245" i="5"/>
  <c r="X245" i="5"/>
  <c r="AB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AC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AC247" i="5" s="1"/>
  <c r="N247" i="5"/>
  <c r="O247" i="5"/>
  <c r="P247" i="5"/>
  <c r="Q247" i="5"/>
  <c r="R247" i="5"/>
  <c r="S247" i="5"/>
  <c r="T247" i="5"/>
  <c r="U247" i="5"/>
  <c r="V247" i="5"/>
  <c r="W247" i="5"/>
  <c r="X247" i="5"/>
  <c r="AB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AC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AC249" i="5" s="1"/>
  <c r="N249" i="5"/>
  <c r="O249" i="5"/>
  <c r="P249" i="5"/>
  <c r="Q249" i="5"/>
  <c r="R249" i="5"/>
  <c r="S249" i="5"/>
  <c r="T249" i="5"/>
  <c r="U249" i="5"/>
  <c r="V249" i="5"/>
  <c r="W249" i="5"/>
  <c r="X249" i="5"/>
  <c r="AB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AC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AC251" i="5" s="1"/>
  <c r="N251" i="5"/>
  <c r="O251" i="5"/>
  <c r="P251" i="5"/>
  <c r="Q251" i="5"/>
  <c r="R251" i="5"/>
  <c r="S251" i="5"/>
  <c r="T251" i="5"/>
  <c r="U251" i="5"/>
  <c r="V251" i="5"/>
  <c r="W251" i="5"/>
  <c r="X251" i="5"/>
  <c r="AB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AC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AC253" i="5" s="1"/>
  <c r="N253" i="5"/>
  <c r="O253" i="5"/>
  <c r="P253" i="5"/>
  <c r="Q253" i="5"/>
  <c r="R253" i="5"/>
  <c r="S253" i="5"/>
  <c r="T253" i="5"/>
  <c r="U253" i="5"/>
  <c r="V253" i="5"/>
  <c r="W253" i="5"/>
  <c r="X253" i="5"/>
  <c r="AB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AC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AC255" i="5" s="1"/>
  <c r="N255" i="5"/>
  <c r="O255" i="5"/>
  <c r="P255" i="5"/>
  <c r="Q255" i="5"/>
  <c r="R255" i="5"/>
  <c r="S255" i="5"/>
  <c r="T255" i="5"/>
  <c r="U255" i="5"/>
  <c r="V255" i="5"/>
  <c r="W255" i="5"/>
  <c r="X255" i="5"/>
  <c r="AB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AC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AC257" i="5" s="1"/>
  <c r="N257" i="5"/>
  <c r="O257" i="5"/>
  <c r="P257" i="5"/>
  <c r="Q257" i="5"/>
  <c r="R257" i="5"/>
  <c r="S257" i="5"/>
  <c r="T257" i="5"/>
  <c r="U257" i="5"/>
  <c r="V257" i="5"/>
  <c r="W257" i="5"/>
  <c r="X257" i="5"/>
  <c r="AB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AC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AC259" i="5" s="1"/>
  <c r="N259" i="5"/>
  <c r="O259" i="5"/>
  <c r="P259" i="5"/>
  <c r="Q259" i="5"/>
  <c r="R259" i="5"/>
  <c r="S259" i="5"/>
  <c r="T259" i="5"/>
  <c r="U259" i="5"/>
  <c r="V259" i="5"/>
  <c r="W259" i="5"/>
  <c r="X259" i="5"/>
  <c r="AB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X260" i="5"/>
  <c r="AC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AC261" i="5" s="1"/>
  <c r="N261" i="5"/>
  <c r="O261" i="5"/>
  <c r="P261" i="5"/>
  <c r="Q261" i="5"/>
  <c r="R261" i="5"/>
  <c r="S261" i="5"/>
  <c r="T261" i="5"/>
  <c r="U261" i="5"/>
  <c r="V261" i="5"/>
  <c r="W261" i="5"/>
  <c r="X261" i="5"/>
  <c r="AB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AC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AC263" i="5" s="1"/>
  <c r="N263" i="5"/>
  <c r="O263" i="5"/>
  <c r="P263" i="5"/>
  <c r="Q263" i="5"/>
  <c r="R263" i="5"/>
  <c r="S263" i="5"/>
  <c r="T263" i="5"/>
  <c r="U263" i="5"/>
  <c r="V263" i="5"/>
  <c r="W263" i="5"/>
  <c r="X263" i="5"/>
  <c r="AB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AC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AC265" i="5" s="1"/>
  <c r="N265" i="5"/>
  <c r="O265" i="5"/>
  <c r="P265" i="5"/>
  <c r="Q265" i="5"/>
  <c r="R265" i="5"/>
  <c r="S265" i="5"/>
  <c r="T265" i="5"/>
  <c r="U265" i="5"/>
  <c r="V265" i="5"/>
  <c r="W265" i="5"/>
  <c r="X265" i="5"/>
  <c r="AB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AC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AC267" i="5" s="1"/>
  <c r="N267" i="5"/>
  <c r="O267" i="5"/>
  <c r="P267" i="5"/>
  <c r="Q267" i="5"/>
  <c r="R267" i="5"/>
  <c r="S267" i="5"/>
  <c r="T267" i="5"/>
  <c r="U267" i="5"/>
  <c r="V267" i="5"/>
  <c r="W267" i="5"/>
  <c r="X267" i="5"/>
  <c r="AB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AC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AC269" i="5" s="1"/>
  <c r="N269" i="5"/>
  <c r="O269" i="5"/>
  <c r="P269" i="5"/>
  <c r="Q269" i="5"/>
  <c r="R269" i="5"/>
  <c r="S269" i="5"/>
  <c r="T269" i="5"/>
  <c r="U269" i="5"/>
  <c r="V269" i="5"/>
  <c r="W269" i="5"/>
  <c r="X269" i="5"/>
  <c r="AB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AC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AC271" i="5" s="1"/>
  <c r="N271" i="5"/>
  <c r="O271" i="5"/>
  <c r="P271" i="5"/>
  <c r="Q271" i="5"/>
  <c r="R271" i="5"/>
  <c r="S271" i="5"/>
  <c r="T271" i="5"/>
  <c r="U271" i="5"/>
  <c r="V271" i="5"/>
  <c r="W271" i="5"/>
  <c r="X271" i="5"/>
  <c r="AB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AC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AC273" i="5" s="1"/>
  <c r="N273" i="5"/>
  <c r="O273" i="5"/>
  <c r="P273" i="5"/>
  <c r="Q273" i="5"/>
  <c r="R273" i="5"/>
  <c r="S273" i="5"/>
  <c r="T273" i="5"/>
  <c r="U273" i="5"/>
  <c r="V273" i="5"/>
  <c r="W273" i="5"/>
  <c r="X273" i="5"/>
  <c r="AB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AC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AC275" i="5" s="1"/>
  <c r="N275" i="5"/>
  <c r="O275" i="5"/>
  <c r="P275" i="5"/>
  <c r="Q275" i="5"/>
  <c r="R275" i="5"/>
  <c r="S275" i="5"/>
  <c r="T275" i="5"/>
  <c r="U275" i="5"/>
  <c r="V275" i="5"/>
  <c r="W275" i="5"/>
  <c r="X275" i="5"/>
  <c r="AB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AC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AC277" i="5" s="1"/>
  <c r="N277" i="5"/>
  <c r="O277" i="5"/>
  <c r="P277" i="5"/>
  <c r="Q277" i="5"/>
  <c r="R277" i="5"/>
  <c r="S277" i="5"/>
  <c r="T277" i="5"/>
  <c r="U277" i="5"/>
  <c r="V277" i="5"/>
  <c r="W277" i="5"/>
  <c r="X277" i="5"/>
  <c r="AB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AC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AC279" i="5" s="1"/>
  <c r="N279" i="5"/>
  <c r="O279" i="5"/>
  <c r="P279" i="5"/>
  <c r="Q279" i="5"/>
  <c r="R279" i="5"/>
  <c r="S279" i="5"/>
  <c r="T279" i="5"/>
  <c r="U279" i="5"/>
  <c r="V279" i="5"/>
  <c r="W279" i="5"/>
  <c r="X279" i="5"/>
  <c r="AB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AC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AC281" i="5" s="1"/>
  <c r="N281" i="5"/>
  <c r="O281" i="5"/>
  <c r="P281" i="5"/>
  <c r="Q281" i="5"/>
  <c r="R281" i="5"/>
  <c r="S281" i="5"/>
  <c r="T281" i="5"/>
  <c r="U281" i="5"/>
  <c r="V281" i="5"/>
  <c r="W281" i="5"/>
  <c r="X281" i="5"/>
  <c r="AB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AC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AC283" i="5" s="1"/>
  <c r="N283" i="5"/>
  <c r="O283" i="5"/>
  <c r="P283" i="5"/>
  <c r="Q283" i="5"/>
  <c r="R283" i="5"/>
  <c r="S283" i="5"/>
  <c r="T283" i="5"/>
  <c r="U283" i="5"/>
  <c r="V283" i="5"/>
  <c r="W283" i="5"/>
  <c r="X283" i="5"/>
  <c r="AB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AC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AC285" i="5" s="1"/>
  <c r="N285" i="5"/>
  <c r="O285" i="5"/>
  <c r="P285" i="5"/>
  <c r="Q285" i="5"/>
  <c r="R285" i="5"/>
  <c r="S285" i="5"/>
  <c r="T285" i="5"/>
  <c r="U285" i="5"/>
  <c r="V285" i="5"/>
  <c r="W285" i="5"/>
  <c r="X285" i="5"/>
  <c r="AB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AC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AC287" i="5" s="1"/>
  <c r="N287" i="5"/>
  <c r="O287" i="5"/>
  <c r="P287" i="5"/>
  <c r="Q287" i="5"/>
  <c r="R287" i="5"/>
  <c r="S287" i="5"/>
  <c r="T287" i="5"/>
  <c r="U287" i="5"/>
  <c r="V287" i="5"/>
  <c r="W287" i="5"/>
  <c r="X287" i="5"/>
  <c r="AB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AC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AC289" i="5" s="1"/>
  <c r="N289" i="5"/>
  <c r="O289" i="5"/>
  <c r="P289" i="5"/>
  <c r="Q289" i="5"/>
  <c r="R289" i="5"/>
  <c r="S289" i="5"/>
  <c r="T289" i="5"/>
  <c r="U289" i="5"/>
  <c r="V289" i="5"/>
  <c r="W289" i="5"/>
  <c r="X289" i="5"/>
  <c r="AB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AC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AC291" i="5" s="1"/>
  <c r="N291" i="5"/>
  <c r="O291" i="5"/>
  <c r="P291" i="5"/>
  <c r="Q291" i="5"/>
  <c r="R291" i="5"/>
  <c r="S291" i="5"/>
  <c r="T291" i="5"/>
  <c r="U291" i="5"/>
  <c r="V291" i="5"/>
  <c r="W291" i="5"/>
  <c r="X291" i="5"/>
  <c r="AB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AC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AC293" i="5" s="1"/>
  <c r="N293" i="5"/>
  <c r="O293" i="5"/>
  <c r="P293" i="5"/>
  <c r="Q293" i="5"/>
  <c r="R293" i="5"/>
  <c r="S293" i="5"/>
  <c r="T293" i="5"/>
  <c r="U293" i="5"/>
  <c r="V293" i="5"/>
  <c r="W293" i="5"/>
  <c r="X293" i="5"/>
  <c r="AB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AC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AC295" i="5" s="1"/>
  <c r="N295" i="5"/>
  <c r="O295" i="5"/>
  <c r="P295" i="5"/>
  <c r="Q295" i="5"/>
  <c r="R295" i="5"/>
  <c r="S295" i="5"/>
  <c r="T295" i="5"/>
  <c r="U295" i="5"/>
  <c r="V295" i="5"/>
  <c r="W295" i="5"/>
  <c r="X295" i="5"/>
  <c r="AB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U296" i="5"/>
  <c r="V296" i="5"/>
  <c r="W296" i="5"/>
  <c r="X296" i="5"/>
  <c r="AC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AC297" i="5" s="1"/>
  <c r="N297" i="5"/>
  <c r="O297" i="5"/>
  <c r="P297" i="5"/>
  <c r="Q297" i="5"/>
  <c r="R297" i="5"/>
  <c r="S297" i="5"/>
  <c r="T297" i="5"/>
  <c r="U297" i="5"/>
  <c r="V297" i="5"/>
  <c r="W297" i="5"/>
  <c r="X297" i="5"/>
  <c r="AB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W298" i="5"/>
  <c r="X298" i="5"/>
  <c r="AC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AC299" i="5" s="1"/>
  <c r="N299" i="5"/>
  <c r="O299" i="5"/>
  <c r="P299" i="5"/>
  <c r="Q299" i="5"/>
  <c r="R299" i="5"/>
  <c r="S299" i="5"/>
  <c r="T299" i="5"/>
  <c r="U299" i="5"/>
  <c r="V299" i="5"/>
  <c r="W299" i="5"/>
  <c r="X299" i="5"/>
  <c r="AB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AC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AC301" i="5" s="1"/>
  <c r="N301" i="5"/>
  <c r="O301" i="5"/>
  <c r="P301" i="5"/>
  <c r="Q301" i="5"/>
  <c r="R301" i="5"/>
  <c r="S301" i="5"/>
  <c r="T301" i="5"/>
  <c r="U301" i="5"/>
  <c r="V301" i="5"/>
  <c r="W301" i="5"/>
  <c r="X301" i="5"/>
  <c r="AB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AC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AC303" i="5" s="1"/>
  <c r="N303" i="5"/>
  <c r="O303" i="5"/>
  <c r="P303" i="5"/>
  <c r="Q303" i="5"/>
  <c r="R303" i="5"/>
  <c r="S303" i="5"/>
  <c r="T303" i="5"/>
  <c r="U303" i="5"/>
  <c r="V303" i="5"/>
  <c r="W303" i="5"/>
  <c r="X303" i="5"/>
  <c r="AB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AC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AC305" i="5" s="1"/>
  <c r="N305" i="5"/>
  <c r="O305" i="5"/>
  <c r="P305" i="5"/>
  <c r="Q305" i="5"/>
  <c r="R305" i="5"/>
  <c r="S305" i="5"/>
  <c r="T305" i="5"/>
  <c r="U305" i="5"/>
  <c r="V305" i="5"/>
  <c r="W305" i="5"/>
  <c r="X305" i="5"/>
  <c r="AB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AC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AC307" i="5" s="1"/>
  <c r="N307" i="5"/>
  <c r="O307" i="5"/>
  <c r="P307" i="5"/>
  <c r="Q307" i="5"/>
  <c r="R307" i="5"/>
  <c r="S307" i="5"/>
  <c r="T307" i="5"/>
  <c r="U307" i="5"/>
  <c r="V307" i="5"/>
  <c r="W307" i="5"/>
  <c r="X307" i="5"/>
  <c r="AB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AC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AC309" i="5" s="1"/>
  <c r="N309" i="5"/>
  <c r="O309" i="5"/>
  <c r="P309" i="5"/>
  <c r="Q309" i="5"/>
  <c r="R309" i="5"/>
  <c r="S309" i="5"/>
  <c r="T309" i="5"/>
  <c r="U309" i="5"/>
  <c r="V309" i="5"/>
  <c r="W309" i="5"/>
  <c r="X309" i="5"/>
  <c r="AB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AC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AC311" i="5" s="1"/>
  <c r="N311" i="5"/>
  <c r="O311" i="5"/>
  <c r="P311" i="5"/>
  <c r="Q311" i="5"/>
  <c r="R311" i="5"/>
  <c r="S311" i="5"/>
  <c r="T311" i="5"/>
  <c r="U311" i="5"/>
  <c r="V311" i="5"/>
  <c r="W311" i="5"/>
  <c r="X311" i="5"/>
  <c r="AB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AC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AC313" i="5" s="1"/>
  <c r="N313" i="5"/>
  <c r="O313" i="5"/>
  <c r="P313" i="5"/>
  <c r="Q313" i="5"/>
  <c r="R313" i="5"/>
  <c r="S313" i="5"/>
  <c r="T313" i="5"/>
  <c r="U313" i="5"/>
  <c r="V313" i="5"/>
  <c r="W313" i="5"/>
  <c r="X313" i="5"/>
  <c r="AB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AC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AC315" i="5" s="1"/>
  <c r="N315" i="5"/>
  <c r="O315" i="5"/>
  <c r="P315" i="5"/>
  <c r="Q315" i="5"/>
  <c r="R315" i="5"/>
  <c r="S315" i="5"/>
  <c r="T315" i="5"/>
  <c r="U315" i="5"/>
  <c r="V315" i="5"/>
  <c r="W315" i="5"/>
  <c r="X315" i="5"/>
  <c r="AB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AC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AC317" i="5" s="1"/>
  <c r="N317" i="5"/>
  <c r="O317" i="5"/>
  <c r="P317" i="5"/>
  <c r="Q317" i="5"/>
  <c r="R317" i="5"/>
  <c r="S317" i="5"/>
  <c r="T317" i="5"/>
  <c r="U317" i="5"/>
  <c r="V317" i="5"/>
  <c r="W317" i="5"/>
  <c r="X317" i="5"/>
  <c r="AB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AC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AC319" i="5" s="1"/>
  <c r="N319" i="5"/>
  <c r="O319" i="5"/>
  <c r="P319" i="5"/>
  <c r="Q319" i="5"/>
  <c r="R319" i="5"/>
  <c r="S319" i="5"/>
  <c r="T319" i="5"/>
  <c r="U319" i="5"/>
  <c r="V319" i="5"/>
  <c r="W319" i="5"/>
  <c r="X319" i="5"/>
  <c r="AB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AC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AC321" i="5" s="1"/>
  <c r="N321" i="5"/>
  <c r="O321" i="5"/>
  <c r="P321" i="5"/>
  <c r="Q321" i="5"/>
  <c r="R321" i="5"/>
  <c r="S321" i="5"/>
  <c r="T321" i="5"/>
  <c r="U321" i="5"/>
  <c r="V321" i="5"/>
  <c r="W321" i="5"/>
  <c r="X321" i="5"/>
  <c r="AB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AC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AC323" i="5" s="1"/>
  <c r="N323" i="5"/>
  <c r="O323" i="5"/>
  <c r="P323" i="5"/>
  <c r="Q323" i="5"/>
  <c r="R323" i="5"/>
  <c r="S323" i="5"/>
  <c r="T323" i="5"/>
  <c r="U323" i="5"/>
  <c r="V323" i="5"/>
  <c r="W323" i="5"/>
  <c r="X323" i="5"/>
  <c r="AB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AC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AC325" i="5" s="1"/>
  <c r="N325" i="5"/>
  <c r="O325" i="5"/>
  <c r="P325" i="5"/>
  <c r="Q325" i="5"/>
  <c r="R325" i="5"/>
  <c r="S325" i="5"/>
  <c r="T325" i="5"/>
  <c r="U325" i="5"/>
  <c r="V325" i="5"/>
  <c r="W325" i="5"/>
  <c r="X325" i="5"/>
  <c r="AB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AC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AC327" i="5" s="1"/>
  <c r="N327" i="5"/>
  <c r="O327" i="5"/>
  <c r="P327" i="5"/>
  <c r="Q327" i="5"/>
  <c r="R327" i="5"/>
  <c r="S327" i="5"/>
  <c r="T327" i="5"/>
  <c r="U327" i="5"/>
  <c r="V327" i="5"/>
  <c r="W327" i="5"/>
  <c r="X327" i="5"/>
  <c r="AB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AC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AC329" i="5" s="1"/>
  <c r="N329" i="5"/>
  <c r="O329" i="5"/>
  <c r="P329" i="5"/>
  <c r="Q329" i="5"/>
  <c r="R329" i="5"/>
  <c r="S329" i="5"/>
  <c r="T329" i="5"/>
  <c r="U329" i="5"/>
  <c r="V329" i="5"/>
  <c r="W329" i="5"/>
  <c r="X329" i="5"/>
  <c r="AB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AC330" i="5"/>
  <c r="B331" i="5"/>
  <c r="C331" i="5"/>
  <c r="D331" i="5"/>
  <c r="E331" i="5"/>
  <c r="F331" i="5"/>
  <c r="G331" i="5"/>
  <c r="H331" i="5"/>
  <c r="I331" i="5"/>
  <c r="J331" i="5"/>
  <c r="K331" i="5"/>
  <c r="L331" i="5"/>
  <c r="M331" i="5"/>
  <c r="AC331" i="5" s="1"/>
  <c r="N331" i="5"/>
  <c r="O331" i="5"/>
  <c r="P331" i="5"/>
  <c r="Q331" i="5"/>
  <c r="R331" i="5"/>
  <c r="S331" i="5"/>
  <c r="T331" i="5"/>
  <c r="U331" i="5"/>
  <c r="V331" i="5"/>
  <c r="W331" i="5"/>
  <c r="X331" i="5"/>
  <c r="AB331" i="5"/>
  <c r="B332" i="5"/>
  <c r="C332" i="5"/>
  <c r="D332" i="5"/>
  <c r="E332" i="5"/>
  <c r="F332" i="5"/>
  <c r="G332" i="5"/>
  <c r="H332" i="5"/>
  <c r="I332" i="5"/>
  <c r="J332" i="5"/>
  <c r="K332" i="5"/>
  <c r="L332" i="5"/>
  <c r="M332" i="5"/>
  <c r="N332" i="5"/>
  <c r="O332" i="5"/>
  <c r="P332" i="5"/>
  <c r="Q332" i="5"/>
  <c r="R332" i="5"/>
  <c r="S332" i="5"/>
  <c r="T332" i="5"/>
  <c r="U332" i="5"/>
  <c r="V332" i="5"/>
  <c r="W332" i="5"/>
  <c r="X332" i="5"/>
  <c r="AC332" i="5"/>
  <c r="B333" i="5"/>
  <c r="C333" i="5"/>
  <c r="D333" i="5"/>
  <c r="E333" i="5"/>
  <c r="F333" i="5"/>
  <c r="G333" i="5"/>
  <c r="H333" i="5"/>
  <c r="I333" i="5"/>
  <c r="J333" i="5"/>
  <c r="K333" i="5"/>
  <c r="L333" i="5"/>
  <c r="M333" i="5"/>
  <c r="AC333" i="5" s="1"/>
  <c r="N333" i="5"/>
  <c r="O333" i="5"/>
  <c r="P333" i="5"/>
  <c r="Q333" i="5"/>
  <c r="R333" i="5"/>
  <c r="S333" i="5"/>
  <c r="T333" i="5"/>
  <c r="U333" i="5"/>
  <c r="V333" i="5"/>
  <c r="W333" i="5"/>
  <c r="X333" i="5"/>
  <c r="AB333" i="5"/>
  <c r="B334" i="5"/>
  <c r="C334" i="5"/>
  <c r="D334" i="5"/>
  <c r="E334" i="5"/>
  <c r="F334" i="5"/>
  <c r="G334" i="5"/>
  <c r="H334" i="5"/>
  <c r="I334" i="5"/>
  <c r="J334" i="5"/>
  <c r="K334" i="5"/>
  <c r="L334" i="5"/>
  <c r="M334" i="5"/>
  <c r="N334" i="5"/>
  <c r="O334" i="5"/>
  <c r="P334" i="5"/>
  <c r="Q334" i="5"/>
  <c r="R334" i="5"/>
  <c r="S334" i="5"/>
  <c r="T334" i="5"/>
  <c r="U334" i="5"/>
  <c r="V334" i="5"/>
  <c r="W334" i="5"/>
  <c r="X334" i="5"/>
  <c r="AC334" i="5"/>
  <c r="B335" i="5"/>
  <c r="C335" i="5"/>
  <c r="D335" i="5"/>
  <c r="E335" i="5"/>
  <c r="F335" i="5"/>
  <c r="G335" i="5"/>
  <c r="H335" i="5"/>
  <c r="I335" i="5"/>
  <c r="J335" i="5"/>
  <c r="K335" i="5"/>
  <c r="L335" i="5"/>
  <c r="M335" i="5"/>
  <c r="AC335" i="5" s="1"/>
  <c r="N335" i="5"/>
  <c r="O335" i="5"/>
  <c r="P335" i="5"/>
  <c r="Q335" i="5"/>
  <c r="R335" i="5"/>
  <c r="S335" i="5"/>
  <c r="T335" i="5"/>
  <c r="U335" i="5"/>
  <c r="V335" i="5"/>
  <c r="W335" i="5"/>
  <c r="X335" i="5"/>
  <c r="AB335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AC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AC337" i="5" s="1"/>
  <c r="N337" i="5"/>
  <c r="O337" i="5"/>
  <c r="P337" i="5"/>
  <c r="Q337" i="5"/>
  <c r="R337" i="5"/>
  <c r="S337" i="5"/>
  <c r="T337" i="5"/>
  <c r="U337" i="5"/>
  <c r="V337" i="5"/>
  <c r="W337" i="5"/>
  <c r="X337" i="5"/>
  <c r="AB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AC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AC339" i="5" s="1"/>
  <c r="N339" i="5"/>
  <c r="O339" i="5"/>
  <c r="P339" i="5"/>
  <c r="Q339" i="5"/>
  <c r="R339" i="5"/>
  <c r="S339" i="5"/>
  <c r="T339" i="5"/>
  <c r="U339" i="5"/>
  <c r="V339" i="5"/>
  <c r="W339" i="5"/>
  <c r="X339" i="5"/>
  <c r="AB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AC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AC341" i="5" s="1"/>
  <c r="N341" i="5"/>
  <c r="O341" i="5"/>
  <c r="P341" i="5"/>
  <c r="Q341" i="5"/>
  <c r="R341" i="5"/>
  <c r="S341" i="5"/>
  <c r="T341" i="5"/>
  <c r="U341" i="5"/>
  <c r="V341" i="5"/>
  <c r="W341" i="5"/>
  <c r="X341" i="5"/>
  <c r="AB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AC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AC343" i="5" s="1"/>
  <c r="N343" i="5"/>
  <c r="O343" i="5"/>
  <c r="P343" i="5"/>
  <c r="Q343" i="5"/>
  <c r="R343" i="5"/>
  <c r="S343" i="5"/>
  <c r="T343" i="5"/>
  <c r="U343" i="5"/>
  <c r="V343" i="5"/>
  <c r="W343" i="5"/>
  <c r="X343" i="5"/>
  <c r="AB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AC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AC345" i="5" s="1"/>
  <c r="N345" i="5"/>
  <c r="O345" i="5"/>
  <c r="P345" i="5"/>
  <c r="Q345" i="5"/>
  <c r="R345" i="5"/>
  <c r="S345" i="5"/>
  <c r="T345" i="5"/>
  <c r="U345" i="5"/>
  <c r="V345" i="5"/>
  <c r="W345" i="5"/>
  <c r="X345" i="5"/>
  <c r="AB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AC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AC347" i="5" s="1"/>
  <c r="N347" i="5"/>
  <c r="O347" i="5"/>
  <c r="P347" i="5"/>
  <c r="Q347" i="5"/>
  <c r="R347" i="5"/>
  <c r="S347" i="5"/>
  <c r="T347" i="5"/>
  <c r="U347" i="5"/>
  <c r="V347" i="5"/>
  <c r="W347" i="5"/>
  <c r="X347" i="5"/>
  <c r="AB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AC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AC349" i="5" s="1"/>
  <c r="N349" i="5"/>
  <c r="O349" i="5"/>
  <c r="P349" i="5"/>
  <c r="Q349" i="5"/>
  <c r="R349" i="5"/>
  <c r="S349" i="5"/>
  <c r="T349" i="5"/>
  <c r="U349" i="5"/>
  <c r="V349" i="5"/>
  <c r="W349" i="5"/>
  <c r="X349" i="5"/>
  <c r="AB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AC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AC351" i="5" s="1"/>
  <c r="N351" i="5"/>
  <c r="O351" i="5"/>
  <c r="P351" i="5"/>
  <c r="Q351" i="5"/>
  <c r="R351" i="5"/>
  <c r="S351" i="5"/>
  <c r="T351" i="5"/>
  <c r="U351" i="5"/>
  <c r="V351" i="5"/>
  <c r="W351" i="5"/>
  <c r="X351" i="5"/>
  <c r="AB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AC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AC353" i="5" s="1"/>
  <c r="N353" i="5"/>
  <c r="O353" i="5"/>
  <c r="P353" i="5"/>
  <c r="Q353" i="5"/>
  <c r="R353" i="5"/>
  <c r="S353" i="5"/>
  <c r="T353" i="5"/>
  <c r="U353" i="5"/>
  <c r="V353" i="5"/>
  <c r="W353" i="5"/>
  <c r="X353" i="5"/>
  <c r="AB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AC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AC355" i="5" s="1"/>
  <c r="N355" i="5"/>
  <c r="O355" i="5"/>
  <c r="P355" i="5"/>
  <c r="Q355" i="5"/>
  <c r="R355" i="5"/>
  <c r="S355" i="5"/>
  <c r="T355" i="5"/>
  <c r="U355" i="5"/>
  <c r="V355" i="5"/>
  <c r="W355" i="5"/>
  <c r="X355" i="5"/>
  <c r="AB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AC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AC357" i="5" s="1"/>
  <c r="N357" i="5"/>
  <c r="O357" i="5"/>
  <c r="P357" i="5"/>
  <c r="Q357" i="5"/>
  <c r="R357" i="5"/>
  <c r="S357" i="5"/>
  <c r="T357" i="5"/>
  <c r="U357" i="5"/>
  <c r="V357" i="5"/>
  <c r="W357" i="5"/>
  <c r="X357" i="5"/>
  <c r="AB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AC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AC359" i="5" s="1"/>
  <c r="N359" i="5"/>
  <c r="O359" i="5"/>
  <c r="P359" i="5"/>
  <c r="Q359" i="5"/>
  <c r="R359" i="5"/>
  <c r="S359" i="5"/>
  <c r="T359" i="5"/>
  <c r="U359" i="5"/>
  <c r="V359" i="5"/>
  <c r="W359" i="5"/>
  <c r="X359" i="5"/>
  <c r="AB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AC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AC361" i="5" s="1"/>
  <c r="N361" i="5"/>
  <c r="O361" i="5"/>
  <c r="P361" i="5"/>
  <c r="Q361" i="5"/>
  <c r="R361" i="5"/>
  <c r="S361" i="5"/>
  <c r="T361" i="5"/>
  <c r="U361" i="5"/>
  <c r="V361" i="5"/>
  <c r="W361" i="5"/>
  <c r="X361" i="5"/>
  <c r="AB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AC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AC363" i="5" s="1"/>
  <c r="N363" i="5"/>
  <c r="O363" i="5"/>
  <c r="P363" i="5"/>
  <c r="Q363" i="5"/>
  <c r="R363" i="5"/>
  <c r="S363" i="5"/>
  <c r="T363" i="5"/>
  <c r="U363" i="5"/>
  <c r="V363" i="5"/>
  <c r="W363" i="5"/>
  <c r="X363" i="5"/>
  <c r="AB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AC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AC365" i="5" s="1"/>
  <c r="N365" i="5"/>
  <c r="O365" i="5"/>
  <c r="P365" i="5"/>
  <c r="Q365" i="5"/>
  <c r="R365" i="5"/>
  <c r="S365" i="5"/>
  <c r="T365" i="5"/>
  <c r="U365" i="5"/>
  <c r="V365" i="5"/>
  <c r="W365" i="5"/>
  <c r="X365" i="5"/>
  <c r="AB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AC366" i="5"/>
  <c r="B367" i="5"/>
  <c r="C367" i="5"/>
  <c r="D367" i="5"/>
  <c r="E367" i="5"/>
  <c r="F367" i="5"/>
  <c r="G367" i="5"/>
  <c r="H367" i="5"/>
  <c r="I367" i="5"/>
  <c r="J367" i="5"/>
  <c r="K367" i="5"/>
  <c r="L367" i="5"/>
  <c r="M367" i="5"/>
  <c r="AC367" i="5" s="1"/>
  <c r="N367" i="5"/>
  <c r="O367" i="5"/>
  <c r="P367" i="5"/>
  <c r="Q367" i="5"/>
  <c r="R367" i="5"/>
  <c r="S367" i="5"/>
  <c r="T367" i="5"/>
  <c r="U367" i="5"/>
  <c r="V367" i="5"/>
  <c r="W367" i="5"/>
  <c r="X367" i="5"/>
  <c r="AB367" i="5"/>
  <c r="B368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U368" i="5"/>
  <c r="V368" i="5"/>
  <c r="W368" i="5"/>
  <c r="X368" i="5"/>
  <c r="AC368" i="5"/>
  <c r="B369" i="5"/>
  <c r="C369" i="5"/>
  <c r="D369" i="5"/>
  <c r="E369" i="5"/>
  <c r="F369" i="5"/>
  <c r="G369" i="5"/>
  <c r="H369" i="5"/>
  <c r="I369" i="5"/>
  <c r="J369" i="5"/>
  <c r="K369" i="5"/>
  <c r="L369" i="5"/>
  <c r="M369" i="5"/>
  <c r="AC369" i="5" s="1"/>
  <c r="N369" i="5"/>
  <c r="O369" i="5"/>
  <c r="P369" i="5"/>
  <c r="Q369" i="5"/>
  <c r="R369" i="5"/>
  <c r="S369" i="5"/>
  <c r="T369" i="5"/>
  <c r="U369" i="5"/>
  <c r="V369" i="5"/>
  <c r="W369" i="5"/>
  <c r="X369" i="5"/>
  <c r="AB369" i="5"/>
  <c r="B370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U370" i="5"/>
  <c r="V370" i="5"/>
  <c r="W370" i="5"/>
  <c r="X370" i="5"/>
  <c r="AC370" i="5"/>
  <c r="B371" i="5"/>
  <c r="C371" i="5"/>
  <c r="D371" i="5"/>
  <c r="E371" i="5"/>
  <c r="F371" i="5"/>
  <c r="G371" i="5"/>
  <c r="H371" i="5"/>
  <c r="I371" i="5"/>
  <c r="J371" i="5"/>
  <c r="K371" i="5"/>
  <c r="L371" i="5"/>
  <c r="M371" i="5"/>
  <c r="AC371" i="5" s="1"/>
  <c r="N371" i="5"/>
  <c r="O371" i="5"/>
  <c r="P371" i="5"/>
  <c r="Q371" i="5"/>
  <c r="R371" i="5"/>
  <c r="S371" i="5"/>
  <c r="T371" i="5"/>
  <c r="U371" i="5"/>
  <c r="V371" i="5"/>
  <c r="W371" i="5"/>
  <c r="X371" i="5"/>
  <c r="AB371" i="5"/>
  <c r="B372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U372" i="5"/>
  <c r="V372" i="5"/>
  <c r="W372" i="5"/>
  <c r="X372" i="5"/>
  <c r="AC372" i="5"/>
  <c r="B373" i="5"/>
  <c r="C373" i="5"/>
  <c r="D373" i="5"/>
  <c r="E373" i="5"/>
  <c r="F373" i="5"/>
  <c r="G373" i="5"/>
  <c r="H373" i="5"/>
  <c r="I373" i="5"/>
  <c r="J373" i="5"/>
  <c r="K373" i="5"/>
  <c r="L373" i="5"/>
  <c r="M373" i="5"/>
  <c r="AC373" i="5" s="1"/>
  <c r="N373" i="5"/>
  <c r="O373" i="5"/>
  <c r="P373" i="5"/>
  <c r="Q373" i="5"/>
  <c r="R373" i="5"/>
  <c r="S373" i="5"/>
  <c r="T373" i="5"/>
  <c r="U373" i="5"/>
  <c r="V373" i="5"/>
  <c r="W373" i="5"/>
  <c r="X373" i="5"/>
  <c r="AB373" i="5"/>
  <c r="B374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U374" i="5"/>
  <c r="V374" i="5"/>
  <c r="W374" i="5"/>
  <c r="X374" i="5"/>
  <c r="AC374" i="5"/>
  <c r="B375" i="5"/>
  <c r="C375" i="5"/>
  <c r="D375" i="5"/>
  <c r="E375" i="5"/>
  <c r="F375" i="5"/>
  <c r="G375" i="5"/>
  <c r="H375" i="5"/>
  <c r="I375" i="5"/>
  <c r="J375" i="5"/>
  <c r="K375" i="5"/>
  <c r="L375" i="5"/>
  <c r="M375" i="5"/>
  <c r="AC375" i="5" s="1"/>
  <c r="N375" i="5"/>
  <c r="O375" i="5"/>
  <c r="P375" i="5"/>
  <c r="Q375" i="5"/>
  <c r="R375" i="5"/>
  <c r="S375" i="5"/>
  <c r="T375" i="5"/>
  <c r="U375" i="5"/>
  <c r="V375" i="5"/>
  <c r="W375" i="5"/>
  <c r="X375" i="5"/>
  <c r="AB375" i="5"/>
  <c r="B376" i="5"/>
  <c r="C376" i="5"/>
  <c r="D376" i="5"/>
  <c r="E376" i="5"/>
  <c r="F376" i="5"/>
  <c r="G376" i="5"/>
  <c r="H376" i="5"/>
  <c r="I376" i="5"/>
  <c r="J376" i="5"/>
  <c r="K376" i="5"/>
  <c r="L376" i="5"/>
  <c r="M376" i="5"/>
  <c r="N376" i="5"/>
  <c r="O376" i="5"/>
  <c r="P376" i="5"/>
  <c r="Q376" i="5"/>
  <c r="R376" i="5"/>
  <c r="S376" i="5"/>
  <c r="T376" i="5"/>
  <c r="U376" i="5"/>
  <c r="V376" i="5"/>
  <c r="W376" i="5"/>
  <c r="X376" i="5"/>
  <c r="AC376" i="5"/>
  <c r="B377" i="5"/>
  <c r="C377" i="5"/>
  <c r="D377" i="5"/>
  <c r="E377" i="5"/>
  <c r="F377" i="5"/>
  <c r="G377" i="5"/>
  <c r="H377" i="5"/>
  <c r="I377" i="5"/>
  <c r="J377" i="5"/>
  <c r="K377" i="5"/>
  <c r="L377" i="5"/>
  <c r="M377" i="5"/>
  <c r="AC377" i="5" s="1"/>
  <c r="N377" i="5"/>
  <c r="O377" i="5"/>
  <c r="P377" i="5"/>
  <c r="Q377" i="5"/>
  <c r="R377" i="5"/>
  <c r="S377" i="5"/>
  <c r="T377" i="5"/>
  <c r="U377" i="5"/>
  <c r="V377" i="5"/>
  <c r="W377" i="5"/>
  <c r="X377" i="5"/>
  <c r="AB377" i="5"/>
  <c r="B378" i="5"/>
  <c r="C378" i="5"/>
  <c r="D378" i="5"/>
  <c r="E378" i="5"/>
  <c r="F378" i="5"/>
  <c r="G378" i="5"/>
  <c r="H378" i="5"/>
  <c r="I378" i="5"/>
  <c r="J378" i="5"/>
  <c r="K378" i="5"/>
  <c r="L378" i="5"/>
  <c r="M378" i="5"/>
  <c r="N378" i="5"/>
  <c r="O378" i="5"/>
  <c r="P378" i="5"/>
  <c r="Q378" i="5"/>
  <c r="R378" i="5"/>
  <c r="S378" i="5"/>
  <c r="T378" i="5"/>
  <c r="U378" i="5"/>
  <c r="V378" i="5"/>
  <c r="W378" i="5"/>
  <c r="X378" i="5"/>
  <c r="AC378" i="5"/>
  <c r="B379" i="5"/>
  <c r="C379" i="5"/>
  <c r="D379" i="5"/>
  <c r="E379" i="5"/>
  <c r="F379" i="5"/>
  <c r="G379" i="5"/>
  <c r="H379" i="5"/>
  <c r="I379" i="5"/>
  <c r="J379" i="5"/>
  <c r="K379" i="5"/>
  <c r="L379" i="5"/>
  <c r="M379" i="5"/>
  <c r="AC379" i="5" s="1"/>
  <c r="N379" i="5"/>
  <c r="O379" i="5"/>
  <c r="P379" i="5"/>
  <c r="Q379" i="5"/>
  <c r="R379" i="5"/>
  <c r="S379" i="5"/>
  <c r="T379" i="5"/>
  <c r="U379" i="5"/>
  <c r="V379" i="5"/>
  <c r="W379" i="5"/>
  <c r="X379" i="5"/>
  <c r="AB379" i="5"/>
  <c r="B380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U380" i="5"/>
  <c r="V380" i="5"/>
  <c r="W380" i="5"/>
  <c r="X380" i="5"/>
  <c r="AC380" i="5"/>
  <c r="B381" i="5"/>
  <c r="C381" i="5"/>
  <c r="D381" i="5"/>
  <c r="E381" i="5"/>
  <c r="F381" i="5"/>
  <c r="G381" i="5"/>
  <c r="H381" i="5"/>
  <c r="I381" i="5"/>
  <c r="J381" i="5"/>
  <c r="K381" i="5"/>
  <c r="L381" i="5"/>
  <c r="M381" i="5"/>
  <c r="AC381" i="5" s="1"/>
  <c r="N381" i="5"/>
  <c r="O381" i="5"/>
  <c r="P381" i="5"/>
  <c r="Q381" i="5"/>
  <c r="R381" i="5"/>
  <c r="S381" i="5"/>
  <c r="T381" i="5"/>
  <c r="U381" i="5"/>
  <c r="V381" i="5"/>
  <c r="W381" i="5"/>
  <c r="X381" i="5"/>
  <c r="AB381" i="5"/>
  <c r="B382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U382" i="5"/>
  <c r="V382" i="5"/>
  <c r="W382" i="5"/>
  <c r="X382" i="5"/>
  <c r="AC382" i="5"/>
  <c r="B383" i="5"/>
  <c r="C383" i="5"/>
  <c r="D383" i="5"/>
  <c r="E383" i="5"/>
  <c r="F383" i="5"/>
  <c r="G383" i="5"/>
  <c r="H383" i="5"/>
  <c r="I383" i="5"/>
  <c r="J383" i="5"/>
  <c r="K383" i="5"/>
  <c r="L383" i="5"/>
  <c r="M383" i="5"/>
  <c r="AC383" i="5" s="1"/>
  <c r="N383" i="5"/>
  <c r="O383" i="5"/>
  <c r="P383" i="5"/>
  <c r="Q383" i="5"/>
  <c r="R383" i="5"/>
  <c r="S383" i="5"/>
  <c r="T383" i="5"/>
  <c r="U383" i="5"/>
  <c r="V383" i="5"/>
  <c r="W383" i="5"/>
  <c r="X383" i="5"/>
  <c r="AB383" i="5"/>
  <c r="B384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U384" i="5"/>
  <c r="V384" i="5"/>
  <c r="W384" i="5"/>
  <c r="X384" i="5"/>
  <c r="AC384" i="5"/>
  <c r="B385" i="5"/>
  <c r="C385" i="5"/>
  <c r="D385" i="5"/>
  <c r="E385" i="5"/>
  <c r="F385" i="5"/>
  <c r="G385" i="5"/>
  <c r="H385" i="5"/>
  <c r="I385" i="5"/>
  <c r="J385" i="5"/>
  <c r="K385" i="5"/>
  <c r="L385" i="5"/>
  <c r="M385" i="5"/>
  <c r="AC385" i="5" s="1"/>
  <c r="N385" i="5"/>
  <c r="O385" i="5"/>
  <c r="P385" i="5"/>
  <c r="Q385" i="5"/>
  <c r="R385" i="5"/>
  <c r="S385" i="5"/>
  <c r="T385" i="5"/>
  <c r="U385" i="5"/>
  <c r="V385" i="5"/>
  <c r="W385" i="5"/>
  <c r="X385" i="5"/>
  <c r="AB385" i="5"/>
  <c r="B386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U386" i="5"/>
  <c r="V386" i="5"/>
  <c r="W386" i="5"/>
  <c r="X386" i="5"/>
  <c r="AC386" i="5"/>
  <c r="B387" i="5"/>
  <c r="C387" i="5"/>
  <c r="D387" i="5"/>
  <c r="E387" i="5"/>
  <c r="F387" i="5"/>
  <c r="G387" i="5"/>
  <c r="H387" i="5"/>
  <c r="I387" i="5"/>
  <c r="J387" i="5"/>
  <c r="K387" i="5"/>
  <c r="L387" i="5"/>
  <c r="M387" i="5"/>
  <c r="AC387" i="5" s="1"/>
  <c r="N387" i="5"/>
  <c r="O387" i="5"/>
  <c r="P387" i="5"/>
  <c r="Q387" i="5"/>
  <c r="R387" i="5"/>
  <c r="S387" i="5"/>
  <c r="T387" i="5"/>
  <c r="U387" i="5"/>
  <c r="V387" i="5"/>
  <c r="W387" i="5"/>
  <c r="X387" i="5"/>
  <c r="AB387" i="5"/>
  <c r="B388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U388" i="5"/>
  <c r="V388" i="5"/>
  <c r="W388" i="5"/>
  <c r="X388" i="5"/>
  <c r="AC388" i="5"/>
  <c r="B389" i="5"/>
  <c r="C389" i="5"/>
  <c r="D389" i="5"/>
  <c r="E389" i="5"/>
  <c r="F389" i="5"/>
  <c r="G389" i="5"/>
  <c r="H389" i="5"/>
  <c r="I389" i="5"/>
  <c r="J389" i="5"/>
  <c r="K389" i="5"/>
  <c r="L389" i="5"/>
  <c r="M389" i="5"/>
  <c r="AC389" i="5" s="1"/>
  <c r="N389" i="5"/>
  <c r="O389" i="5"/>
  <c r="P389" i="5"/>
  <c r="Q389" i="5"/>
  <c r="R389" i="5"/>
  <c r="S389" i="5"/>
  <c r="T389" i="5"/>
  <c r="U389" i="5"/>
  <c r="V389" i="5"/>
  <c r="W389" i="5"/>
  <c r="X389" i="5"/>
  <c r="AB389" i="5"/>
  <c r="B390" i="5"/>
  <c r="C390" i="5"/>
  <c r="D390" i="5"/>
  <c r="E390" i="5"/>
  <c r="F390" i="5"/>
  <c r="G390" i="5"/>
  <c r="H390" i="5"/>
  <c r="I390" i="5"/>
  <c r="J390" i="5"/>
  <c r="K390" i="5"/>
  <c r="L390" i="5"/>
  <c r="M390" i="5"/>
  <c r="N390" i="5"/>
  <c r="O390" i="5"/>
  <c r="P390" i="5"/>
  <c r="Q390" i="5"/>
  <c r="R390" i="5"/>
  <c r="S390" i="5"/>
  <c r="T390" i="5"/>
  <c r="U390" i="5"/>
  <c r="V390" i="5"/>
  <c r="W390" i="5"/>
  <c r="X390" i="5"/>
  <c r="AC390" i="5"/>
  <c r="B391" i="5"/>
  <c r="C391" i="5"/>
  <c r="D391" i="5"/>
  <c r="E391" i="5"/>
  <c r="F391" i="5"/>
  <c r="G391" i="5"/>
  <c r="H391" i="5"/>
  <c r="I391" i="5"/>
  <c r="J391" i="5"/>
  <c r="K391" i="5"/>
  <c r="L391" i="5"/>
  <c r="M391" i="5"/>
  <c r="AC391" i="5" s="1"/>
  <c r="N391" i="5"/>
  <c r="O391" i="5"/>
  <c r="P391" i="5"/>
  <c r="Q391" i="5"/>
  <c r="R391" i="5"/>
  <c r="S391" i="5"/>
  <c r="T391" i="5"/>
  <c r="U391" i="5"/>
  <c r="V391" i="5"/>
  <c r="W391" i="5"/>
  <c r="X391" i="5"/>
  <c r="AB391" i="5"/>
  <c r="B392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Q392" i="5"/>
  <c r="R392" i="5"/>
  <c r="S392" i="5"/>
  <c r="T392" i="5"/>
  <c r="U392" i="5"/>
  <c r="V392" i="5"/>
  <c r="W392" i="5"/>
  <c r="X392" i="5"/>
  <c r="AC392" i="5"/>
  <c r="B393" i="5"/>
  <c r="C393" i="5"/>
  <c r="D393" i="5"/>
  <c r="E393" i="5"/>
  <c r="F393" i="5"/>
  <c r="G393" i="5"/>
  <c r="H393" i="5"/>
  <c r="I393" i="5"/>
  <c r="J393" i="5"/>
  <c r="K393" i="5"/>
  <c r="L393" i="5"/>
  <c r="M393" i="5"/>
  <c r="AC393" i="5" s="1"/>
  <c r="N393" i="5"/>
  <c r="O393" i="5"/>
  <c r="P393" i="5"/>
  <c r="Q393" i="5"/>
  <c r="R393" i="5"/>
  <c r="S393" i="5"/>
  <c r="T393" i="5"/>
  <c r="U393" i="5"/>
  <c r="V393" i="5"/>
  <c r="W393" i="5"/>
  <c r="X393" i="5"/>
  <c r="AB393" i="5"/>
  <c r="B394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U394" i="5"/>
  <c r="V394" i="5"/>
  <c r="W394" i="5"/>
  <c r="X394" i="5"/>
  <c r="AC394" i="5"/>
  <c r="B395" i="5"/>
  <c r="C395" i="5"/>
  <c r="D395" i="5"/>
  <c r="E395" i="5"/>
  <c r="F395" i="5"/>
  <c r="G395" i="5"/>
  <c r="H395" i="5"/>
  <c r="I395" i="5"/>
  <c r="J395" i="5"/>
  <c r="K395" i="5"/>
  <c r="L395" i="5"/>
  <c r="M395" i="5"/>
  <c r="AC395" i="5" s="1"/>
  <c r="N395" i="5"/>
  <c r="O395" i="5"/>
  <c r="P395" i="5"/>
  <c r="Q395" i="5"/>
  <c r="R395" i="5"/>
  <c r="S395" i="5"/>
  <c r="T395" i="5"/>
  <c r="U395" i="5"/>
  <c r="V395" i="5"/>
  <c r="W395" i="5"/>
  <c r="X395" i="5"/>
  <c r="AB395" i="5"/>
  <c r="B396" i="5"/>
  <c r="C396" i="5"/>
  <c r="D396" i="5"/>
  <c r="E396" i="5"/>
  <c r="F396" i="5"/>
  <c r="G396" i="5"/>
  <c r="H396" i="5"/>
  <c r="I396" i="5"/>
  <c r="J396" i="5"/>
  <c r="K396" i="5"/>
  <c r="L396" i="5"/>
  <c r="M396" i="5"/>
  <c r="N396" i="5"/>
  <c r="O396" i="5"/>
  <c r="P396" i="5"/>
  <c r="Q396" i="5"/>
  <c r="R396" i="5"/>
  <c r="S396" i="5"/>
  <c r="T396" i="5"/>
  <c r="U396" i="5"/>
  <c r="V396" i="5"/>
  <c r="W396" i="5"/>
  <c r="X396" i="5"/>
  <c r="AC396" i="5"/>
  <c r="B397" i="5"/>
  <c r="C397" i="5"/>
  <c r="D397" i="5"/>
  <c r="E397" i="5"/>
  <c r="F397" i="5"/>
  <c r="G397" i="5"/>
  <c r="H397" i="5"/>
  <c r="I397" i="5"/>
  <c r="J397" i="5"/>
  <c r="K397" i="5"/>
  <c r="L397" i="5"/>
  <c r="M397" i="5"/>
  <c r="AC397" i="5" s="1"/>
  <c r="N397" i="5"/>
  <c r="O397" i="5"/>
  <c r="P397" i="5"/>
  <c r="Q397" i="5"/>
  <c r="R397" i="5"/>
  <c r="S397" i="5"/>
  <c r="T397" i="5"/>
  <c r="U397" i="5"/>
  <c r="V397" i="5"/>
  <c r="W397" i="5"/>
  <c r="X397" i="5"/>
  <c r="AB397" i="5"/>
  <c r="B398" i="5"/>
  <c r="C398" i="5"/>
  <c r="D398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U398" i="5"/>
  <c r="V398" i="5"/>
  <c r="W398" i="5"/>
  <c r="X398" i="5"/>
  <c r="AC398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AC399" i="5" s="1"/>
  <c r="N399" i="5"/>
  <c r="O399" i="5"/>
  <c r="P399" i="5"/>
  <c r="Q399" i="5"/>
  <c r="R399" i="5"/>
  <c r="S399" i="5"/>
  <c r="T399" i="5"/>
  <c r="U399" i="5"/>
  <c r="V399" i="5"/>
  <c r="W399" i="5"/>
  <c r="X399" i="5"/>
  <c r="AB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AC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AC401" i="5" s="1"/>
  <c r="N401" i="5"/>
  <c r="O401" i="5"/>
  <c r="P401" i="5"/>
  <c r="Q401" i="5"/>
  <c r="R401" i="5"/>
  <c r="S401" i="5"/>
  <c r="T401" i="5"/>
  <c r="U401" i="5"/>
  <c r="V401" i="5"/>
  <c r="W401" i="5"/>
  <c r="X401" i="5"/>
  <c r="AB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AC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AC403" i="5" s="1"/>
  <c r="N403" i="5"/>
  <c r="O403" i="5"/>
  <c r="P403" i="5"/>
  <c r="Q403" i="5"/>
  <c r="R403" i="5"/>
  <c r="S403" i="5"/>
  <c r="T403" i="5"/>
  <c r="U403" i="5"/>
  <c r="V403" i="5"/>
  <c r="W403" i="5"/>
  <c r="X403" i="5"/>
  <c r="AB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AC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AC405" i="5" s="1"/>
  <c r="N405" i="5"/>
  <c r="O405" i="5"/>
  <c r="P405" i="5"/>
  <c r="Q405" i="5"/>
  <c r="R405" i="5"/>
  <c r="S405" i="5"/>
  <c r="T405" i="5"/>
  <c r="U405" i="5"/>
  <c r="V405" i="5"/>
  <c r="W405" i="5"/>
  <c r="X405" i="5"/>
  <c r="AB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AC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AC407" i="5" s="1"/>
  <c r="N407" i="5"/>
  <c r="O407" i="5"/>
  <c r="P407" i="5"/>
  <c r="Q407" i="5"/>
  <c r="R407" i="5"/>
  <c r="S407" i="5"/>
  <c r="T407" i="5"/>
  <c r="U407" i="5"/>
  <c r="V407" i="5"/>
  <c r="W407" i="5"/>
  <c r="X407" i="5"/>
  <c r="AB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AC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AC409" i="5" s="1"/>
  <c r="N409" i="5"/>
  <c r="O409" i="5"/>
  <c r="P409" i="5"/>
  <c r="Q409" i="5"/>
  <c r="R409" i="5"/>
  <c r="S409" i="5"/>
  <c r="T409" i="5"/>
  <c r="U409" i="5"/>
  <c r="V409" i="5"/>
  <c r="W409" i="5"/>
  <c r="X409" i="5"/>
  <c r="AB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AC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AC411" i="5" s="1"/>
  <c r="N411" i="5"/>
  <c r="O411" i="5"/>
  <c r="P411" i="5"/>
  <c r="Q411" i="5"/>
  <c r="R411" i="5"/>
  <c r="S411" i="5"/>
  <c r="T411" i="5"/>
  <c r="U411" i="5"/>
  <c r="V411" i="5"/>
  <c r="W411" i="5"/>
  <c r="X411" i="5"/>
  <c r="AB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AC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AC413" i="5" s="1"/>
  <c r="N413" i="5"/>
  <c r="O413" i="5"/>
  <c r="P413" i="5"/>
  <c r="Q413" i="5"/>
  <c r="R413" i="5"/>
  <c r="S413" i="5"/>
  <c r="T413" i="5"/>
  <c r="U413" i="5"/>
  <c r="V413" i="5"/>
  <c r="W413" i="5"/>
  <c r="X413" i="5"/>
  <c r="AB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AC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AC415" i="5" s="1"/>
  <c r="N415" i="5"/>
  <c r="O415" i="5"/>
  <c r="P415" i="5"/>
  <c r="Q415" i="5"/>
  <c r="R415" i="5"/>
  <c r="S415" i="5"/>
  <c r="T415" i="5"/>
  <c r="U415" i="5"/>
  <c r="V415" i="5"/>
  <c r="W415" i="5"/>
  <c r="X415" i="5"/>
  <c r="AB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AC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AC417" i="5" s="1"/>
  <c r="N417" i="5"/>
  <c r="O417" i="5"/>
  <c r="P417" i="5"/>
  <c r="Q417" i="5"/>
  <c r="R417" i="5"/>
  <c r="S417" i="5"/>
  <c r="T417" i="5"/>
  <c r="U417" i="5"/>
  <c r="V417" i="5"/>
  <c r="W417" i="5"/>
  <c r="X417" i="5"/>
  <c r="AB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AC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AC419" i="5" s="1"/>
  <c r="N419" i="5"/>
  <c r="O419" i="5"/>
  <c r="P419" i="5"/>
  <c r="Q419" i="5"/>
  <c r="R419" i="5"/>
  <c r="S419" i="5"/>
  <c r="T419" i="5"/>
  <c r="U419" i="5"/>
  <c r="V419" i="5"/>
  <c r="W419" i="5"/>
  <c r="X419" i="5"/>
  <c r="AB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AC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AC421" i="5" s="1"/>
  <c r="N421" i="5"/>
  <c r="O421" i="5"/>
  <c r="P421" i="5"/>
  <c r="Q421" i="5"/>
  <c r="R421" i="5"/>
  <c r="S421" i="5"/>
  <c r="T421" i="5"/>
  <c r="U421" i="5"/>
  <c r="V421" i="5"/>
  <c r="W421" i="5"/>
  <c r="X421" i="5"/>
  <c r="AB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AC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AC423" i="5" s="1"/>
  <c r="N423" i="5"/>
  <c r="O423" i="5"/>
  <c r="P423" i="5"/>
  <c r="Q423" i="5"/>
  <c r="R423" i="5"/>
  <c r="S423" i="5"/>
  <c r="T423" i="5"/>
  <c r="U423" i="5"/>
  <c r="V423" i="5"/>
  <c r="W423" i="5"/>
  <c r="X423" i="5"/>
  <c r="AB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AC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AC425" i="5" s="1"/>
  <c r="N425" i="5"/>
  <c r="O425" i="5"/>
  <c r="P425" i="5"/>
  <c r="Q425" i="5"/>
  <c r="R425" i="5"/>
  <c r="S425" i="5"/>
  <c r="T425" i="5"/>
  <c r="U425" i="5"/>
  <c r="V425" i="5"/>
  <c r="W425" i="5"/>
  <c r="X425" i="5"/>
  <c r="AB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AC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AC427" i="5" s="1"/>
  <c r="N427" i="5"/>
  <c r="O427" i="5"/>
  <c r="P427" i="5"/>
  <c r="Q427" i="5"/>
  <c r="R427" i="5"/>
  <c r="S427" i="5"/>
  <c r="T427" i="5"/>
  <c r="U427" i="5"/>
  <c r="V427" i="5"/>
  <c r="W427" i="5"/>
  <c r="X427" i="5"/>
  <c r="AB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AC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AC429" i="5" s="1"/>
  <c r="N429" i="5"/>
  <c r="O429" i="5"/>
  <c r="P429" i="5"/>
  <c r="Q429" i="5"/>
  <c r="R429" i="5"/>
  <c r="S429" i="5"/>
  <c r="T429" i="5"/>
  <c r="U429" i="5"/>
  <c r="V429" i="5"/>
  <c r="W429" i="5"/>
  <c r="X429" i="5"/>
  <c r="AB429" i="5"/>
  <c r="B430" i="5"/>
  <c r="C430" i="5"/>
  <c r="D430" i="5"/>
  <c r="E430" i="5"/>
  <c r="F430" i="5"/>
  <c r="G430" i="5"/>
  <c r="H430" i="5"/>
  <c r="I430" i="5"/>
  <c r="J430" i="5"/>
  <c r="K430" i="5"/>
  <c r="L430" i="5"/>
  <c r="M430" i="5"/>
  <c r="N430" i="5"/>
  <c r="O430" i="5"/>
  <c r="P430" i="5"/>
  <c r="Q430" i="5"/>
  <c r="R430" i="5"/>
  <c r="S430" i="5"/>
  <c r="T430" i="5"/>
  <c r="U430" i="5"/>
  <c r="V430" i="5"/>
  <c r="W430" i="5"/>
  <c r="X430" i="5"/>
  <c r="AC430" i="5"/>
  <c r="B431" i="5"/>
  <c r="C431" i="5"/>
  <c r="D431" i="5"/>
  <c r="E431" i="5"/>
  <c r="F431" i="5"/>
  <c r="G431" i="5"/>
  <c r="H431" i="5"/>
  <c r="I431" i="5"/>
  <c r="J431" i="5"/>
  <c r="K431" i="5"/>
  <c r="L431" i="5"/>
  <c r="M431" i="5"/>
  <c r="AC431" i="5" s="1"/>
  <c r="N431" i="5"/>
  <c r="O431" i="5"/>
  <c r="P431" i="5"/>
  <c r="Q431" i="5"/>
  <c r="R431" i="5"/>
  <c r="S431" i="5"/>
  <c r="T431" i="5"/>
  <c r="U431" i="5"/>
  <c r="V431" i="5"/>
  <c r="W431" i="5"/>
  <c r="X431" i="5"/>
  <c r="AB431" i="5"/>
  <c r="B432" i="5"/>
  <c r="C432" i="5"/>
  <c r="D432" i="5"/>
  <c r="E432" i="5"/>
  <c r="F432" i="5"/>
  <c r="G432" i="5"/>
  <c r="H432" i="5"/>
  <c r="I432" i="5"/>
  <c r="J432" i="5"/>
  <c r="K432" i="5"/>
  <c r="L432" i="5"/>
  <c r="M432" i="5"/>
  <c r="N432" i="5"/>
  <c r="O432" i="5"/>
  <c r="P432" i="5"/>
  <c r="Q432" i="5"/>
  <c r="R432" i="5"/>
  <c r="S432" i="5"/>
  <c r="T432" i="5"/>
  <c r="U432" i="5"/>
  <c r="V432" i="5"/>
  <c r="W432" i="5"/>
  <c r="X432" i="5"/>
  <c r="AC432" i="5"/>
  <c r="B433" i="5"/>
  <c r="C433" i="5"/>
  <c r="D433" i="5"/>
  <c r="E433" i="5"/>
  <c r="F433" i="5"/>
  <c r="G433" i="5"/>
  <c r="H433" i="5"/>
  <c r="I433" i="5"/>
  <c r="J433" i="5"/>
  <c r="K433" i="5"/>
  <c r="L433" i="5"/>
  <c r="M433" i="5"/>
  <c r="AC433" i="5" s="1"/>
  <c r="N433" i="5"/>
  <c r="O433" i="5"/>
  <c r="P433" i="5"/>
  <c r="Q433" i="5"/>
  <c r="R433" i="5"/>
  <c r="S433" i="5"/>
  <c r="T433" i="5"/>
  <c r="U433" i="5"/>
  <c r="V433" i="5"/>
  <c r="W433" i="5"/>
  <c r="X433" i="5"/>
  <c r="AB433" i="5"/>
  <c r="B434" i="5"/>
  <c r="C434" i="5"/>
  <c r="D434" i="5"/>
  <c r="E434" i="5"/>
  <c r="F434" i="5"/>
  <c r="G434" i="5"/>
  <c r="H434" i="5"/>
  <c r="I434" i="5"/>
  <c r="J434" i="5"/>
  <c r="K434" i="5"/>
  <c r="L434" i="5"/>
  <c r="M434" i="5"/>
  <c r="N434" i="5"/>
  <c r="O434" i="5"/>
  <c r="P434" i="5"/>
  <c r="Q434" i="5"/>
  <c r="R434" i="5"/>
  <c r="S434" i="5"/>
  <c r="T434" i="5"/>
  <c r="U434" i="5"/>
  <c r="V434" i="5"/>
  <c r="W434" i="5"/>
  <c r="X434" i="5"/>
  <c r="AC434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AC435" i="5" s="1"/>
  <c r="N435" i="5"/>
  <c r="O435" i="5"/>
  <c r="P435" i="5"/>
  <c r="Q435" i="5"/>
  <c r="R435" i="5"/>
  <c r="S435" i="5"/>
  <c r="T435" i="5"/>
  <c r="U435" i="5"/>
  <c r="V435" i="5"/>
  <c r="W435" i="5"/>
  <c r="X435" i="5"/>
  <c r="AB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AC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AC437" i="5" s="1"/>
  <c r="N437" i="5"/>
  <c r="O437" i="5"/>
  <c r="P437" i="5"/>
  <c r="Q437" i="5"/>
  <c r="R437" i="5"/>
  <c r="S437" i="5"/>
  <c r="T437" i="5"/>
  <c r="U437" i="5"/>
  <c r="V437" i="5"/>
  <c r="W437" i="5"/>
  <c r="X437" i="5"/>
  <c r="AB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AC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AC439" i="5" s="1"/>
  <c r="N439" i="5"/>
  <c r="O439" i="5"/>
  <c r="P439" i="5"/>
  <c r="Q439" i="5"/>
  <c r="R439" i="5"/>
  <c r="S439" i="5"/>
  <c r="T439" i="5"/>
  <c r="U439" i="5"/>
  <c r="V439" i="5"/>
  <c r="W439" i="5"/>
  <c r="X439" i="5"/>
  <c r="AB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AC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AC441" i="5" s="1"/>
  <c r="N441" i="5"/>
  <c r="O441" i="5"/>
  <c r="P441" i="5"/>
  <c r="Q441" i="5"/>
  <c r="R441" i="5"/>
  <c r="S441" i="5"/>
  <c r="T441" i="5"/>
  <c r="U441" i="5"/>
  <c r="V441" i="5"/>
  <c r="W441" i="5"/>
  <c r="X441" i="5"/>
  <c r="AB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AC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AC443" i="5" s="1"/>
  <c r="N443" i="5"/>
  <c r="O443" i="5"/>
  <c r="P443" i="5"/>
  <c r="Q443" i="5"/>
  <c r="R443" i="5"/>
  <c r="S443" i="5"/>
  <c r="T443" i="5"/>
  <c r="U443" i="5"/>
  <c r="V443" i="5"/>
  <c r="W443" i="5"/>
  <c r="X443" i="5"/>
  <c r="AB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AC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AC445" i="5" s="1"/>
  <c r="N445" i="5"/>
  <c r="O445" i="5"/>
  <c r="P445" i="5"/>
  <c r="Q445" i="5"/>
  <c r="R445" i="5"/>
  <c r="S445" i="5"/>
  <c r="T445" i="5"/>
  <c r="U445" i="5"/>
  <c r="V445" i="5"/>
  <c r="W445" i="5"/>
  <c r="X445" i="5"/>
  <c r="AB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AC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AC447" i="5" s="1"/>
  <c r="N447" i="5"/>
  <c r="O447" i="5"/>
  <c r="P447" i="5"/>
  <c r="Q447" i="5"/>
  <c r="R447" i="5"/>
  <c r="S447" i="5"/>
  <c r="T447" i="5"/>
  <c r="U447" i="5"/>
  <c r="V447" i="5"/>
  <c r="W447" i="5"/>
  <c r="X447" i="5"/>
  <c r="AB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AC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AC449" i="5" s="1"/>
  <c r="N449" i="5"/>
  <c r="O449" i="5"/>
  <c r="P449" i="5"/>
  <c r="Q449" i="5"/>
  <c r="R449" i="5"/>
  <c r="S449" i="5"/>
  <c r="T449" i="5"/>
  <c r="U449" i="5"/>
  <c r="V449" i="5"/>
  <c r="W449" i="5"/>
  <c r="X449" i="5"/>
  <c r="AB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AC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AC451" i="5" s="1"/>
  <c r="N451" i="5"/>
  <c r="O451" i="5"/>
  <c r="P451" i="5"/>
  <c r="Q451" i="5"/>
  <c r="R451" i="5"/>
  <c r="S451" i="5"/>
  <c r="T451" i="5"/>
  <c r="U451" i="5"/>
  <c r="V451" i="5"/>
  <c r="W451" i="5"/>
  <c r="X451" i="5"/>
  <c r="AB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AC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AC453" i="5" s="1"/>
  <c r="N453" i="5"/>
  <c r="O453" i="5"/>
  <c r="P453" i="5"/>
  <c r="Q453" i="5"/>
  <c r="R453" i="5"/>
  <c r="S453" i="5"/>
  <c r="T453" i="5"/>
  <c r="U453" i="5"/>
  <c r="V453" i="5"/>
  <c r="W453" i="5"/>
  <c r="X453" i="5"/>
  <c r="AB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AC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AC455" i="5" s="1"/>
  <c r="N455" i="5"/>
  <c r="O455" i="5"/>
  <c r="P455" i="5"/>
  <c r="Q455" i="5"/>
  <c r="R455" i="5"/>
  <c r="S455" i="5"/>
  <c r="T455" i="5"/>
  <c r="U455" i="5"/>
  <c r="V455" i="5"/>
  <c r="W455" i="5"/>
  <c r="X455" i="5"/>
  <c r="AB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AC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AC457" i="5" s="1"/>
  <c r="N457" i="5"/>
  <c r="O457" i="5"/>
  <c r="P457" i="5"/>
  <c r="Q457" i="5"/>
  <c r="R457" i="5"/>
  <c r="S457" i="5"/>
  <c r="T457" i="5"/>
  <c r="U457" i="5"/>
  <c r="V457" i="5"/>
  <c r="W457" i="5"/>
  <c r="X457" i="5"/>
  <c r="AB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AC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AC459" i="5" s="1"/>
  <c r="N459" i="5"/>
  <c r="O459" i="5"/>
  <c r="P459" i="5"/>
  <c r="Q459" i="5"/>
  <c r="R459" i="5"/>
  <c r="S459" i="5"/>
  <c r="T459" i="5"/>
  <c r="U459" i="5"/>
  <c r="V459" i="5"/>
  <c r="W459" i="5"/>
  <c r="X459" i="5"/>
  <c r="AB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AC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AC461" i="5" s="1"/>
  <c r="N461" i="5"/>
  <c r="O461" i="5"/>
  <c r="P461" i="5"/>
  <c r="Q461" i="5"/>
  <c r="R461" i="5"/>
  <c r="S461" i="5"/>
  <c r="T461" i="5"/>
  <c r="U461" i="5"/>
  <c r="V461" i="5"/>
  <c r="W461" i="5"/>
  <c r="X461" i="5"/>
  <c r="AB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AC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AC463" i="5" s="1"/>
  <c r="N463" i="5"/>
  <c r="O463" i="5"/>
  <c r="P463" i="5"/>
  <c r="Q463" i="5"/>
  <c r="R463" i="5"/>
  <c r="S463" i="5"/>
  <c r="T463" i="5"/>
  <c r="U463" i="5"/>
  <c r="V463" i="5"/>
  <c r="W463" i="5"/>
  <c r="X463" i="5"/>
  <c r="AB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AC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AC465" i="5" s="1"/>
  <c r="N465" i="5"/>
  <c r="O465" i="5"/>
  <c r="P465" i="5"/>
  <c r="Q465" i="5"/>
  <c r="R465" i="5"/>
  <c r="S465" i="5"/>
  <c r="T465" i="5"/>
  <c r="U465" i="5"/>
  <c r="V465" i="5"/>
  <c r="W465" i="5"/>
  <c r="X465" i="5"/>
  <c r="AB465" i="5"/>
  <c r="B466" i="5"/>
  <c r="C466" i="5"/>
  <c r="D466" i="5"/>
  <c r="E466" i="5"/>
  <c r="F466" i="5"/>
  <c r="G466" i="5"/>
  <c r="H466" i="5"/>
  <c r="I466" i="5"/>
  <c r="J466" i="5"/>
  <c r="K466" i="5"/>
  <c r="L466" i="5"/>
  <c r="M466" i="5"/>
  <c r="N466" i="5"/>
  <c r="O466" i="5"/>
  <c r="P466" i="5"/>
  <c r="Q466" i="5"/>
  <c r="R466" i="5"/>
  <c r="S466" i="5"/>
  <c r="T466" i="5"/>
  <c r="U466" i="5"/>
  <c r="V466" i="5"/>
  <c r="W466" i="5"/>
  <c r="X466" i="5"/>
  <c r="AC466" i="5"/>
  <c r="B467" i="5"/>
  <c r="C467" i="5"/>
  <c r="D467" i="5"/>
  <c r="E467" i="5"/>
  <c r="F467" i="5"/>
  <c r="G467" i="5"/>
  <c r="H467" i="5"/>
  <c r="I467" i="5"/>
  <c r="J467" i="5"/>
  <c r="K467" i="5"/>
  <c r="L467" i="5"/>
  <c r="M467" i="5"/>
  <c r="AC467" i="5" s="1"/>
  <c r="N467" i="5"/>
  <c r="O467" i="5"/>
  <c r="P467" i="5"/>
  <c r="Q467" i="5"/>
  <c r="R467" i="5"/>
  <c r="S467" i="5"/>
  <c r="T467" i="5"/>
  <c r="U467" i="5"/>
  <c r="V467" i="5"/>
  <c r="W467" i="5"/>
  <c r="X467" i="5"/>
  <c r="AB467" i="5"/>
  <c r="B468" i="5"/>
  <c r="C468" i="5"/>
  <c r="D468" i="5"/>
  <c r="E468" i="5"/>
  <c r="F468" i="5"/>
  <c r="G468" i="5"/>
  <c r="H468" i="5"/>
  <c r="I468" i="5"/>
  <c r="J468" i="5"/>
  <c r="K468" i="5"/>
  <c r="L468" i="5"/>
  <c r="M468" i="5"/>
  <c r="N468" i="5"/>
  <c r="O468" i="5"/>
  <c r="P468" i="5"/>
  <c r="Q468" i="5"/>
  <c r="R468" i="5"/>
  <c r="S468" i="5"/>
  <c r="T468" i="5"/>
  <c r="U468" i="5"/>
  <c r="V468" i="5"/>
  <c r="W468" i="5"/>
  <c r="X468" i="5"/>
  <c r="AC468" i="5"/>
  <c r="B469" i="5"/>
  <c r="C469" i="5"/>
  <c r="D469" i="5"/>
  <c r="E469" i="5"/>
  <c r="F469" i="5"/>
  <c r="G469" i="5"/>
  <c r="H469" i="5"/>
  <c r="I469" i="5"/>
  <c r="J469" i="5"/>
  <c r="K469" i="5"/>
  <c r="L469" i="5"/>
  <c r="M469" i="5"/>
  <c r="AC469" i="5" s="1"/>
  <c r="N469" i="5"/>
  <c r="O469" i="5"/>
  <c r="P469" i="5"/>
  <c r="Q469" i="5"/>
  <c r="R469" i="5"/>
  <c r="S469" i="5"/>
  <c r="T469" i="5"/>
  <c r="U469" i="5"/>
  <c r="V469" i="5"/>
  <c r="W469" i="5"/>
  <c r="X469" i="5"/>
  <c r="AB469" i="5"/>
  <c r="B470" i="5"/>
  <c r="C470" i="5"/>
  <c r="D470" i="5"/>
  <c r="E470" i="5"/>
  <c r="F470" i="5"/>
  <c r="G470" i="5"/>
  <c r="H470" i="5"/>
  <c r="I470" i="5"/>
  <c r="J470" i="5"/>
  <c r="K470" i="5"/>
  <c r="L470" i="5"/>
  <c r="M470" i="5"/>
  <c r="N470" i="5"/>
  <c r="O470" i="5"/>
  <c r="P470" i="5"/>
  <c r="Q470" i="5"/>
  <c r="R470" i="5"/>
  <c r="S470" i="5"/>
  <c r="T470" i="5"/>
  <c r="U470" i="5"/>
  <c r="V470" i="5"/>
  <c r="W470" i="5"/>
  <c r="X470" i="5"/>
  <c r="AC470" i="5"/>
  <c r="B471" i="5"/>
  <c r="C471" i="5"/>
  <c r="D471" i="5"/>
  <c r="E471" i="5"/>
  <c r="F471" i="5"/>
  <c r="G471" i="5"/>
  <c r="H471" i="5"/>
  <c r="I471" i="5"/>
  <c r="J471" i="5"/>
  <c r="K471" i="5"/>
  <c r="L471" i="5"/>
  <c r="M471" i="5"/>
  <c r="AC471" i="5" s="1"/>
  <c r="N471" i="5"/>
  <c r="O471" i="5"/>
  <c r="P471" i="5"/>
  <c r="Q471" i="5"/>
  <c r="R471" i="5"/>
  <c r="S471" i="5"/>
  <c r="T471" i="5"/>
  <c r="U471" i="5"/>
  <c r="V471" i="5"/>
  <c r="W471" i="5"/>
  <c r="X471" i="5"/>
  <c r="AB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AC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AC473" i="5" s="1"/>
  <c r="N473" i="5"/>
  <c r="O473" i="5"/>
  <c r="P473" i="5"/>
  <c r="Q473" i="5"/>
  <c r="R473" i="5"/>
  <c r="S473" i="5"/>
  <c r="T473" i="5"/>
  <c r="U473" i="5"/>
  <c r="V473" i="5"/>
  <c r="W473" i="5"/>
  <c r="X473" i="5"/>
  <c r="AB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AC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AC475" i="5" s="1"/>
  <c r="N475" i="5"/>
  <c r="O475" i="5"/>
  <c r="P475" i="5"/>
  <c r="Q475" i="5"/>
  <c r="R475" i="5"/>
  <c r="S475" i="5"/>
  <c r="T475" i="5"/>
  <c r="U475" i="5"/>
  <c r="V475" i="5"/>
  <c r="W475" i="5"/>
  <c r="X475" i="5"/>
  <c r="AB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AC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AC477" i="5" s="1"/>
  <c r="N477" i="5"/>
  <c r="O477" i="5"/>
  <c r="P477" i="5"/>
  <c r="Q477" i="5"/>
  <c r="R477" i="5"/>
  <c r="S477" i="5"/>
  <c r="T477" i="5"/>
  <c r="U477" i="5"/>
  <c r="V477" i="5"/>
  <c r="W477" i="5"/>
  <c r="X477" i="5"/>
  <c r="AB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AC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AC479" i="5" s="1"/>
  <c r="N479" i="5"/>
  <c r="O479" i="5"/>
  <c r="P479" i="5"/>
  <c r="Q479" i="5"/>
  <c r="R479" i="5"/>
  <c r="S479" i="5"/>
  <c r="T479" i="5"/>
  <c r="U479" i="5"/>
  <c r="V479" i="5"/>
  <c r="W479" i="5"/>
  <c r="X479" i="5"/>
  <c r="AB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AC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AC481" i="5" s="1"/>
  <c r="N481" i="5"/>
  <c r="O481" i="5"/>
  <c r="P481" i="5"/>
  <c r="Q481" i="5"/>
  <c r="R481" i="5"/>
  <c r="S481" i="5"/>
  <c r="T481" i="5"/>
  <c r="U481" i="5"/>
  <c r="V481" i="5"/>
  <c r="W481" i="5"/>
  <c r="X481" i="5"/>
  <c r="AB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AC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AC483" i="5" s="1"/>
  <c r="N483" i="5"/>
  <c r="O483" i="5"/>
  <c r="P483" i="5"/>
  <c r="Q483" i="5"/>
  <c r="R483" i="5"/>
  <c r="S483" i="5"/>
  <c r="T483" i="5"/>
  <c r="U483" i="5"/>
  <c r="V483" i="5"/>
  <c r="W483" i="5"/>
  <c r="X483" i="5"/>
  <c r="AB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AC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AC485" i="5" s="1"/>
  <c r="N485" i="5"/>
  <c r="O485" i="5"/>
  <c r="P485" i="5"/>
  <c r="Q485" i="5"/>
  <c r="R485" i="5"/>
  <c r="S485" i="5"/>
  <c r="T485" i="5"/>
  <c r="U485" i="5"/>
  <c r="V485" i="5"/>
  <c r="W485" i="5"/>
  <c r="X485" i="5"/>
  <c r="AB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AC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AC487" i="5" s="1"/>
  <c r="N487" i="5"/>
  <c r="O487" i="5"/>
  <c r="P487" i="5"/>
  <c r="Q487" i="5"/>
  <c r="R487" i="5"/>
  <c r="S487" i="5"/>
  <c r="T487" i="5"/>
  <c r="U487" i="5"/>
  <c r="V487" i="5"/>
  <c r="W487" i="5"/>
  <c r="X487" i="5"/>
  <c r="AB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AC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AC489" i="5" s="1"/>
  <c r="N489" i="5"/>
  <c r="O489" i="5"/>
  <c r="P489" i="5"/>
  <c r="Q489" i="5"/>
  <c r="R489" i="5"/>
  <c r="S489" i="5"/>
  <c r="T489" i="5"/>
  <c r="U489" i="5"/>
  <c r="V489" i="5"/>
  <c r="W489" i="5"/>
  <c r="X489" i="5"/>
  <c r="AB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AC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AC491" i="5" s="1"/>
  <c r="N491" i="5"/>
  <c r="O491" i="5"/>
  <c r="P491" i="5"/>
  <c r="Q491" i="5"/>
  <c r="R491" i="5"/>
  <c r="S491" i="5"/>
  <c r="T491" i="5"/>
  <c r="U491" i="5"/>
  <c r="V491" i="5"/>
  <c r="W491" i="5"/>
  <c r="X491" i="5"/>
  <c r="AB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AC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AC493" i="5" s="1"/>
  <c r="N493" i="5"/>
  <c r="O493" i="5"/>
  <c r="P493" i="5"/>
  <c r="Q493" i="5"/>
  <c r="R493" i="5"/>
  <c r="S493" i="5"/>
  <c r="T493" i="5"/>
  <c r="U493" i="5"/>
  <c r="V493" i="5"/>
  <c r="W493" i="5"/>
  <c r="X493" i="5"/>
  <c r="AB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AC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AC495" i="5" s="1"/>
  <c r="N495" i="5"/>
  <c r="O495" i="5"/>
  <c r="P495" i="5"/>
  <c r="Q495" i="5"/>
  <c r="R495" i="5"/>
  <c r="S495" i="5"/>
  <c r="T495" i="5"/>
  <c r="U495" i="5"/>
  <c r="V495" i="5"/>
  <c r="W495" i="5"/>
  <c r="X495" i="5"/>
  <c r="AB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AC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AC497" i="5" s="1"/>
  <c r="N497" i="5"/>
  <c r="O497" i="5"/>
  <c r="P497" i="5"/>
  <c r="Q497" i="5"/>
  <c r="R497" i="5"/>
  <c r="S497" i="5"/>
  <c r="T497" i="5"/>
  <c r="U497" i="5"/>
  <c r="V497" i="5"/>
  <c r="W497" i="5"/>
  <c r="X497" i="5"/>
  <c r="AB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AC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AC499" i="5" s="1"/>
  <c r="N499" i="5"/>
  <c r="O499" i="5"/>
  <c r="P499" i="5"/>
  <c r="Q499" i="5"/>
  <c r="R499" i="5"/>
  <c r="S499" i="5"/>
  <c r="T499" i="5"/>
  <c r="U499" i="5"/>
  <c r="V499" i="5"/>
  <c r="W499" i="5"/>
  <c r="X499" i="5"/>
  <c r="AB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AC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AC501" i="5" s="1"/>
  <c r="N501" i="5"/>
  <c r="O501" i="5"/>
  <c r="P501" i="5"/>
  <c r="Q501" i="5"/>
  <c r="R501" i="5"/>
  <c r="S501" i="5"/>
  <c r="T501" i="5"/>
  <c r="U501" i="5"/>
  <c r="V501" i="5"/>
  <c r="W501" i="5"/>
  <c r="X501" i="5"/>
  <c r="AB501" i="5"/>
  <c r="B502" i="5"/>
  <c r="C502" i="5"/>
  <c r="D502" i="5"/>
  <c r="E502" i="5"/>
  <c r="F502" i="5"/>
  <c r="G502" i="5"/>
  <c r="H502" i="5"/>
  <c r="I502" i="5"/>
  <c r="J502" i="5"/>
  <c r="K502" i="5"/>
  <c r="L502" i="5"/>
  <c r="M502" i="5"/>
  <c r="N502" i="5"/>
  <c r="O502" i="5"/>
  <c r="P502" i="5"/>
  <c r="Q502" i="5"/>
  <c r="R502" i="5"/>
  <c r="S502" i="5"/>
  <c r="T502" i="5"/>
  <c r="U502" i="5"/>
  <c r="V502" i="5"/>
  <c r="W502" i="5"/>
  <c r="X502" i="5"/>
  <c r="AC502" i="5"/>
  <c r="B503" i="5"/>
  <c r="C503" i="5"/>
  <c r="D503" i="5"/>
  <c r="E503" i="5"/>
  <c r="F503" i="5"/>
  <c r="G503" i="5"/>
  <c r="H503" i="5"/>
  <c r="I503" i="5"/>
  <c r="J503" i="5"/>
  <c r="K503" i="5"/>
  <c r="L503" i="5"/>
  <c r="M503" i="5"/>
  <c r="AC503" i="5" s="1"/>
  <c r="N503" i="5"/>
  <c r="O503" i="5"/>
  <c r="P503" i="5"/>
  <c r="Q503" i="5"/>
  <c r="R503" i="5"/>
  <c r="S503" i="5"/>
  <c r="T503" i="5"/>
  <c r="U503" i="5"/>
  <c r="V503" i="5"/>
  <c r="W503" i="5"/>
  <c r="X503" i="5"/>
  <c r="AB503" i="5"/>
  <c r="B504" i="5"/>
  <c r="C504" i="5"/>
  <c r="D504" i="5"/>
  <c r="E504" i="5"/>
  <c r="F504" i="5"/>
  <c r="G504" i="5"/>
  <c r="H504" i="5"/>
  <c r="I504" i="5"/>
  <c r="J504" i="5"/>
  <c r="K504" i="5"/>
  <c r="L504" i="5"/>
  <c r="M504" i="5"/>
  <c r="N504" i="5"/>
  <c r="O504" i="5"/>
  <c r="P504" i="5"/>
  <c r="Q504" i="5"/>
  <c r="R504" i="5"/>
  <c r="S504" i="5"/>
  <c r="T504" i="5"/>
  <c r="U504" i="5"/>
  <c r="V504" i="5"/>
  <c r="W504" i="5"/>
  <c r="X504" i="5"/>
  <c r="AC504" i="5"/>
  <c r="B505" i="5"/>
  <c r="C505" i="5"/>
  <c r="D505" i="5"/>
  <c r="E505" i="5"/>
  <c r="F505" i="5"/>
  <c r="G505" i="5"/>
  <c r="H505" i="5"/>
  <c r="I505" i="5"/>
  <c r="J505" i="5"/>
  <c r="K505" i="5"/>
  <c r="L505" i="5"/>
  <c r="M505" i="5"/>
  <c r="AC505" i="5" s="1"/>
  <c r="N505" i="5"/>
  <c r="O505" i="5"/>
  <c r="P505" i="5"/>
  <c r="Q505" i="5"/>
  <c r="R505" i="5"/>
  <c r="S505" i="5"/>
  <c r="T505" i="5"/>
  <c r="U505" i="5"/>
  <c r="V505" i="5"/>
  <c r="W505" i="5"/>
  <c r="X505" i="5"/>
  <c r="AB505" i="5"/>
  <c r="B506" i="5"/>
  <c r="C506" i="5"/>
  <c r="D506" i="5"/>
  <c r="E506" i="5"/>
  <c r="F506" i="5"/>
  <c r="G506" i="5"/>
  <c r="H506" i="5"/>
  <c r="I506" i="5"/>
  <c r="J506" i="5"/>
  <c r="K506" i="5"/>
  <c r="L506" i="5"/>
  <c r="M506" i="5"/>
  <c r="N506" i="5"/>
  <c r="O506" i="5"/>
  <c r="P506" i="5"/>
  <c r="Q506" i="5"/>
  <c r="R506" i="5"/>
  <c r="S506" i="5"/>
  <c r="T506" i="5"/>
  <c r="U506" i="5"/>
  <c r="V506" i="5"/>
  <c r="W506" i="5"/>
  <c r="X506" i="5"/>
  <c r="AC506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AC507" i="5" s="1"/>
  <c r="N507" i="5"/>
  <c r="O507" i="5"/>
  <c r="P507" i="5"/>
  <c r="Q507" i="5"/>
  <c r="R507" i="5"/>
  <c r="S507" i="5"/>
  <c r="T507" i="5"/>
  <c r="U507" i="5"/>
  <c r="V507" i="5"/>
  <c r="W507" i="5"/>
  <c r="X507" i="5"/>
  <c r="AB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AC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AC509" i="5" s="1"/>
  <c r="N509" i="5"/>
  <c r="O509" i="5"/>
  <c r="P509" i="5"/>
  <c r="Q509" i="5"/>
  <c r="R509" i="5"/>
  <c r="S509" i="5"/>
  <c r="T509" i="5"/>
  <c r="U509" i="5"/>
  <c r="V509" i="5"/>
  <c r="W509" i="5"/>
  <c r="X509" i="5"/>
  <c r="AB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AC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AC511" i="5" s="1"/>
  <c r="N511" i="5"/>
  <c r="O511" i="5"/>
  <c r="P511" i="5"/>
  <c r="Q511" i="5"/>
  <c r="R511" i="5"/>
  <c r="S511" i="5"/>
  <c r="T511" i="5"/>
  <c r="U511" i="5"/>
  <c r="V511" i="5"/>
  <c r="W511" i="5"/>
  <c r="X511" i="5"/>
  <c r="AB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AC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AC513" i="5" s="1"/>
  <c r="N513" i="5"/>
  <c r="O513" i="5"/>
  <c r="P513" i="5"/>
  <c r="Q513" i="5"/>
  <c r="R513" i="5"/>
  <c r="S513" i="5"/>
  <c r="T513" i="5"/>
  <c r="U513" i="5"/>
  <c r="V513" i="5"/>
  <c r="W513" i="5"/>
  <c r="X513" i="5"/>
  <c r="AB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AC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AC515" i="5" s="1"/>
  <c r="N515" i="5"/>
  <c r="O515" i="5"/>
  <c r="P515" i="5"/>
  <c r="Q515" i="5"/>
  <c r="R515" i="5"/>
  <c r="S515" i="5"/>
  <c r="T515" i="5"/>
  <c r="U515" i="5"/>
  <c r="V515" i="5"/>
  <c r="W515" i="5"/>
  <c r="X515" i="5"/>
  <c r="AB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AC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AC517" i="5" s="1"/>
  <c r="N517" i="5"/>
  <c r="O517" i="5"/>
  <c r="P517" i="5"/>
  <c r="Q517" i="5"/>
  <c r="R517" i="5"/>
  <c r="S517" i="5"/>
  <c r="T517" i="5"/>
  <c r="U517" i="5"/>
  <c r="V517" i="5"/>
  <c r="W517" i="5"/>
  <c r="X517" i="5"/>
  <c r="AB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AC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AC519" i="5" s="1"/>
  <c r="N519" i="5"/>
  <c r="O519" i="5"/>
  <c r="P519" i="5"/>
  <c r="Q519" i="5"/>
  <c r="R519" i="5"/>
  <c r="S519" i="5"/>
  <c r="T519" i="5"/>
  <c r="U519" i="5"/>
  <c r="V519" i="5"/>
  <c r="W519" i="5"/>
  <c r="X519" i="5"/>
  <c r="AB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AC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AC521" i="5" s="1"/>
  <c r="N521" i="5"/>
  <c r="O521" i="5"/>
  <c r="P521" i="5"/>
  <c r="Q521" i="5"/>
  <c r="R521" i="5"/>
  <c r="S521" i="5"/>
  <c r="T521" i="5"/>
  <c r="U521" i="5"/>
  <c r="V521" i="5"/>
  <c r="W521" i="5"/>
  <c r="X521" i="5"/>
  <c r="AB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AC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AC523" i="5" s="1"/>
  <c r="N523" i="5"/>
  <c r="O523" i="5"/>
  <c r="P523" i="5"/>
  <c r="Q523" i="5"/>
  <c r="R523" i="5"/>
  <c r="S523" i="5"/>
  <c r="T523" i="5"/>
  <c r="U523" i="5"/>
  <c r="V523" i="5"/>
  <c r="W523" i="5"/>
  <c r="X523" i="5"/>
  <c r="AB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AC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AC525" i="5" s="1"/>
  <c r="N525" i="5"/>
  <c r="O525" i="5"/>
  <c r="P525" i="5"/>
  <c r="Q525" i="5"/>
  <c r="R525" i="5"/>
  <c r="S525" i="5"/>
  <c r="T525" i="5"/>
  <c r="U525" i="5"/>
  <c r="V525" i="5"/>
  <c r="W525" i="5"/>
  <c r="X525" i="5"/>
  <c r="AB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AC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AC527" i="5" s="1"/>
  <c r="N527" i="5"/>
  <c r="O527" i="5"/>
  <c r="P527" i="5"/>
  <c r="Q527" i="5"/>
  <c r="R527" i="5"/>
  <c r="S527" i="5"/>
  <c r="T527" i="5"/>
  <c r="U527" i="5"/>
  <c r="V527" i="5"/>
  <c r="W527" i="5"/>
  <c r="X527" i="5"/>
  <c r="AB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AC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AC529" i="5" s="1"/>
  <c r="N529" i="5"/>
  <c r="O529" i="5"/>
  <c r="P529" i="5"/>
  <c r="Q529" i="5"/>
  <c r="R529" i="5"/>
  <c r="S529" i="5"/>
  <c r="T529" i="5"/>
  <c r="U529" i="5"/>
  <c r="V529" i="5"/>
  <c r="W529" i="5"/>
  <c r="X529" i="5"/>
  <c r="AB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AC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AC531" i="5" s="1"/>
  <c r="N531" i="5"/>
  <c r="O531" i="5"/>
  <c r="P531" i="5"/>
  <c r="Q531" i="5"/>
  <c r="R531" i="5"/>
  <c r="S531" i="5"/>
  <c r="T531" i="5"/>
  <c r="U531" i="5"/>
  <c r="V531" i="5"/>
  <c r="W531" i="5"/>
  <c r="X531" i="5"/>
  <c r="AB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AC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AC533" i="5" s="1"/>
  <c r="N533" i="5"/>
  <c r="O533" i="5"/>
  <c r="P533" i="5"/>
  <c r="Q533" i="5"/>
  <c r="R533" i="5"/>
  <c r="S533" i="5"/>
  <c r="T533" i="5"/>
  <c r="U533" i="5"/>
  <c r="V533" i="5"/>
  <c r="W533" i="5"/>
  <c r="X533" i="5"/>
  <c r="AB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AC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AC535" i="5" s="1"/>
  <c r="N535" i="5"/>
  <c r="O535" i="5"/>
  <c r="P535" i="5"/>
  <c r="Q535" i="5"/>
  <c r="R535" i="5"/>
  <c r="S535" i="5"/>
  <c r="T535" i="5"/>
  <c r="U535" i="5"/>
  <c r="V535" i="5"/>
  <c r="W535" i="5"/>
  <c r="X535" i="5"/>
  <c r="AB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AC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AC537" i="5" s="1"/>
  <c r="N537" i="5"/>
  <c r="O537" i="5"/>
  <c r="P537" i="5"/>
  <c r="Q537" i="5"/>
  <c r="R537" i="5"/>
  <c r="S537" i="5"/>
  <c r="T537" i="5"/>
  <c r="U537" i="5"/>
  <c r="V537" i="5"/>
  <c r="W537" i="5"/>
  <c r="X537" i="5"/>
  <c r="AB537" i="5"/>
  <c r="B538" i="5"/>
  <c r="C538" i="5"/>
  <c r="D538" i="5"/>
  <c r="E538" i="5"/>
  <c r="F538" i="5"/>
  <c r="G538" i="5"/>
  <c r="H538" i="5"/>
  <c r="I538" i="5"/>
  <c r="J538" i="5"/>
  <c r="K538" i="5"/>
  <c r="L538" i="5"/>
  <c r="M538" i="5"/>
  <c r="N538" i="5"/>
  <c r="O538" i="5"/>
  <c r="P538" i="5"/>
  <c r="Q538" i="5"/>
  <c r="R538" i="5"/>
  <c r="S538" i="5"/>
  <c r="T538" i="5"/>
  <c r="U538" i="5"/>
  <c r="V538" i="5"/>
  <c r="W538" i="5"/>
  <c r="X538" i="5"/>
  <c r="AC538" i="5"/>
  <c r="B539" i="5"/>
  <c r="C539" i="5"/>
  <c r="D539" i="5"/>
  <c r="E539" i="5"/>
  <c r="F539" i="5"/>
  <c r="G539" i="5"/>
  <c r="H539" i="5"/>
  <c r="I539" i="5"/>
  <c r="J539" i="5"/>
  <c r="K539" i="5"/>
  <c r="L539" i="5"/>
  <c r="M539" i="5"/>
  <c r="AC539" i="5" s="1"/>
  <c r="N539" i="5"/>
  <c r="O539" i="5"/>
  <c r="P539" i="5"/>
  <c r="Q539" i="5"/>
  <c r="R539" i="5"/>
  <c r="S539" i="5"/>
  <c r="T539" i="5"/>
  <c r="U539" i="5"/>
  <c r="V539" i="5"/>
  <c r="W539" i="5"/>
  <c r="X539" i="5"/>
  <c r="AB539" i="5"/>
  <c r="B540" i="5"/>
  <c r="C540" i="5"/>
  <c r="D540" i="5"/>
  <c r="E540" i="5"/>
  <c r="F540" i="5"/>
  <c r="G540" i="5"/>
  <c r="H540" i="5"/>
  <c r="I540" i="5"/>
  <c r="J540" i="5"/>
  <c r="K540" i="5"/>
  <c r="L540" i="5"/>
  <c r="M540" i="5"/>
  <c r="N540" i="5"/>
  <c r="O540" i="5"/>
  <c r="P540" i="5"/>
  <c r="Q540" i="5"/>
  <c r="R540" i="5"/>
  <c r="S540" i="5"/>
  <c r="T540" i="5"/>
  <c r="U540" i="5"/>
  <c r="V540" i="5"/>
  <c r="W540" i="5"/>
  <c r="X540" i="5"/>
  <c r="AC540" i="5"/>
  <c r="B541" i="5"/>
  <c r="C541" i="5"/>
  <c r="D541" i="5"/>
  <c r="E541" i="5"/>
  <c r="F541" i="5"/>
  <c r="G541" i="5"/>
  <c r="H541" i="5"/>
  <c r="I541" i="5"/>
  <c r="J541" i="5"/>
  <c r="K541" i="5"/>
  <c r="L541" i="5"/>
  <c r="M541" i="5"/>
  <c r="AC541" i="5" s="1"/>
  <c r="N541" i="5"/>
  <c r="O541" i="5"/>
  <c r="P541" i="5"/>
  <c r="Q541" i="5"/>
  <c r="R541" i="5"/>
  <c r="S541" i="5"/>
  <c r="T541" i="5"/>
  <c r="U541" i="5"/>
  <c r="V541" i="5"/>
  <c r="W541" i="5"/>
  <c r="X541" i="5"/>
  <c r="AB541" i="5"/>
  <c r="B542" i="5"/>
  <c r="C542" i="5"/>
  <c r="D542" i="5"/>
  <c r="E542" i="5"/>
  <c r="F542" i="5"/>
  <c r="G542" i="5"/>
  <c r="H542" i="5"/>
  <c r="I542" i="5"/>
  <c r="J542" i="5"/>
  <c r="K542" i="5"/>
  <c r="L542" i="5"/>
  <c r="M542" i="5"/>
  <c r="N542" i="5"/>
  <c r="O542" i="5"/>
  <c r="P542" i="5"/>
  <c r="Q542" i="5"/>
  <c r="R542" i="5"/>
  <c r="S542" i="5"/>
  <c r="T542" i="5"/>
  <c r="U542" i="5"/>
  <c r="V542" i="5"/>
  <c r="W542" i="5"/>
  <c r="X542" i="5"/>
  <c r="AC542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AC543" i="5" s="1"/>
  <c r="N543" i="5"/>
  <c r="O543" i="5"/>
  <c r="P543" i="5"/>
  <c r="Q543" i="5"/>
  <c r="R543" i="5"/>
  <c r="S543" i="5"/>
  <c r="T543" i="5"/>
  <c r="U543" i="5"/>
  <c r="V543" i="5"/>
  <c r="W543" i="5"/>
  <c r="X543" i="5"/>
  <c r="AB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AC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AC545" i="5" s="1"/>
  <c r="N545" i="5"/>
  <c r="O545" i="5"/>
  <c r="P545" i="5"/>
  <c r="Q545" i="5"/>
  <c r="R545" i="5"/>
  <c r="S545" i="5"/>
  <c r="T545" i="5"/>
  <c r="U545" i="5"/>
  <c r="V545" i="5"/>
  <c r="W545" i="5"/>
  <c r="X545" i="5"/>
  <c r="AB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AC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AC547" i="5" s="1"/>
  <c r="N547" i="5"/>
  <c r="O547" i="5"/>
  <c r="P547" i="5"/>
  <c r="Q547" i="5"/>
  <c r="R547" i="5"/>
  <c r="S547" i="5"/>
  <c r="T547" i="5"/>
  <c r="U547" i="5"/>
  <c r="V547" i="5"/>
  <c r="W547" i="5"/>
  <c r="X547" i="5"/>
  <c r="AB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AC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AC549" i="5" s="1"/>
  <c r="N549" i="5"/>
  <c r="O549" i="5"/>
  <c r="P549" i="5"/>
  <c r="Q549" i="5"/>
  <c r="R549" i="5"/>
  <c r="S549" i="5"/>
  <c r="T549" i="5"/>
  <c r="U549" i="5"/>
  <c r="V549" i="5"/>
  <c r="W549" i="5"/>
  <c r="X549" i="5"/>
  <c r="AB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AC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AC551" i="5" s="1"/>
  <c r="N551" i="5"/>
  <c r="O551" i="5"/>
  <c r="P551" i="5"/>
  <c r="Q551" i="5"/>
  <c r="R551" i="5"/>
  <c r="S551" i="5"/>
  <c r="T551" i="5"/>
  <c r="U551" i="5"/>
  <c r="V551" i="5"/>
  <c r="W551" i="5"/>
  <c r="X551" i="5"/>
  <c r="AB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AC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AC553" i="5" s="1"/>
  <c r="N553" i="5"/>
  <c r="O553" i="5"/>
  <c r="P553" i="5"/>
  <c r="Q553" i="5"/>
  <c r="R553" i="5"/>
  <c r="S553" i="5"/>
  <c r="T553" i="5"/>
  <c r="U553" i="5"/>
  <c r="V553" i="5"/>
  <c r="W553" i="5"/>
  <c r="X553" i="5"/>
  <c r="AB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AC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AC555" i="5" s="1"/>
  <c r="N555" i="5"/>
  <c r="O555" i="5"/>
  <c r="P555" i="5"/>
  <c r="Q555" i="5"/>
  <c r="R555" i="5"/>
  <c r="S555" i="5"/>
  <c r="T555" i="5"/>
  <c r="U555" i="5"/>
  <c r="V555" i="5"/>
  <c r="W555" i="5"/>
  <c r="X555" i="5"/>
  <c r="AB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AC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AC557" i="5" s="1"/>
  <c r="N557" i="5"/>
  <c r="O557" i="5"/>
  <c r="P557" i="5"/>
  <c r="Q557" i="5"/>
  <c r="R557" i="5"/>
  <c r="S557" i="5"/>
  <c r="T557" i="5"/>
  <c r="U557" i="5"/>
  <c r="V557" i="5"/>
  <c r="W557" i="5"/>
  <c r="X557" i="5"/>
  <c r="AB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AC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AC559" i="5" s="1"/>
  <c r="N559" i="5"/>
  <c r="O559" i="5"/>
  <c r="P559" i="5"/>
  <c r="Q559" i="5"/>
  <c r="R559" i="5"/>
  <c r="S559" i="5"/>
  <c r="T559" i="5"/>
  <c r="U559" i="5"/>
  <c r="V559" i="5"/>
  <c r="W559" i="5"/>
  <c r="X559" i="5"/>
  <c r="AB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AC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AC561" i="5" s="1"/>
  <c r="N561" i="5"/>
  <c r="O561" i="5"/>
  <c r="P561" i="5"/>
  <c r="Q561" i="5"/>
  <c r="R561" i="5"/>
  <c r="S561" i="5"/>
  <c r="T561" i="5"/>
  <c r="U561" i="5"/>
  <c r="V561" i="5"/>
  <c r="W561" i="5"/>
  <c r="X561" i="5"/>
  <c r="AB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AC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AC563" i="5" s="1"/>
  <c r="N563" i="5"/>
  <c r="O563" i="5"/>
  <c r="P563" i="5"/>
  <c r="Q563" i="5"/>
  <c r="R563" i="5"/>
  <c r="S563" i="5"/>
  <c r="T563" i="5"/>
  <c r="U563" i="5"/>
  <c r="V563" i="5"/>
  <c r="W563" i="5"/>
  <c r="X563" i="5"/>
  <c r="AB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AC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AC565" i="5" s="1"/>
  <c r="N565" i="5"/>
  <c r="O565" i="5"/>
  <c r="P565" i="5"/>
  <c r="Q565" i="5"/>
  <c r="R565" i="5"/>
  <c r="S565" i="5"/>
  <c r="T565" i="5"/>
  <c r="U565" i="5"/>
  <c r="V565" i="5"/>
  <c r="W565" i="5"/>
  <c r="X565" i="5"/>
  <c r="AB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AC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AC567" i="5" s="1"/>
  <c r="N567" i="5"/>
  <c r="O567" i="5"/>
  <c r="P567" i="5"/>
  <c r="Q567" i="5"/>
  <c r="R567" i="5"/>
  <c r="S567" i="5"/>
  <c r="T567" i="5"/>
  <c r="U567" i="5"/>
  <c r="V567" i="5"/>
  <c r="W567" i="5"/>
  <c r="X567" i="5"/>
  <c r="AB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AC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AC569" i="5" s="1"/>
  <c r="N569" i="5"/>
  <c r="O569" i="5"/>
  <c r="P569" i="5"/>
  <c r="Q569" i="5"/>
  <c r="R569" i="5"/>
  <c r="S569" i="5"/>
  <c r="T569" i="5"/>
  <c r="U569" i="5"/>
  <c r="V569" i="5"/>
  <c r="W569" i="5"/>
  <c r="X569" i="5"/>
  <c r="AB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AC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AC571" i="5" s="1"/>
  <c r="N571" i="5"/>
  <c r="O571" i="5"/>
  <c r="P571" i="5"/>
  <c r="Q571" i="5"/>
  <c r="R571" i="5"/>
  <c r="S571" i="5"/>
  <c r="T571" i="5"/>
  <c r="U571" i="5"/>
  <c r="V571" i="5"/>
  <c r="W571" i="5"/>
  <c r="X571" i="5"/>
  <c r="AB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AC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AC573" i="5" s="1"/>
  <c r="N573" i="5"/>
  <c r="O573" i="5"/>
  <c r="P573" i="5"/>
  <c r="Q573" i="5"/>
  <c r="R573" i="5"/>
  <c r="S573" i="5"/>
  <c r="T573" i="5"/>
  <c r="U573" i="5"/>
  <c r="V573" i="5"/>
  <c r="W573" i="5"/>
  <c r="X573" i="5"/>
  <c r="AB573" i="5"/>
  <c r="B574" i="5"/>
  <c r="C574" i="5"/>
  <c r="D574" i="5"/>
  <c r="E574" i="5"/>
  <c r="F574" i="5"/>
  <c r="G574" i="5"/>
  <c r="H574" i="5"/>
  <c r="I574" i="5"/>
  <c r="J574" i="5"/>
  <c r="K574" i="5"/>
  <c r="L574" i="5"/>
  <c r="M574" i="5"/>
  <c r="N574" i="5"/>
  <c r="O574" i="5"/>
  <c r="P574" i="5"/>
  <c r="Q574" i="5"/>
  <c r="R574" i="5"/>
  <c r="S574" i="5"/>
  <c r="T574" i="5"/>
  <c r="U574" i="5"/>
  <c r="V574" i="5"/>
  <c r="W574" i="5"/>
  <c r="X574" i="5"/>
  <c r="AC574" i="5"/>
  <c r="B575" i="5"/>
  <c r="C575" i="5"/>
  <c r="D575" i="5"/>
  <c r="E575" i="5"/>
  <c r="F575" i="5"/>
  <c r="G575" i="5"/>
  <c r="H575" i="5"/>
  <c r="I575" i="5"/>
  <c r="J575" i="5"/>
  <c r="K575" i="5"/>
  <c r="L575" i="5"/>
  <c r="M575" i="5"/>
  <c r="AC575" i="5" s="1"/>
  <c r="N575" i="5"/>
  <c r="O575" i="5"/>
  <c r="P575" i="5"/>
  <c r="Q575" i="5"/>
  <c r="R575" i="5"/>
  <c r="S575" i="5"/>
  <c r="T575" i="5"/>
  <c r="U575" i="5"/>
  <c r="V575" i="5"/>
  <c r="W575" i="5"/>
  <c r="X575" i="5"/>
  <c r="AB575" i="5"/>
  <c r="B576" i="5"/>
  <c r="C576" i="5"/>
  <c r="D576" i="5"/>
  <c r="E576" i="5"/>
  <c r="F576" i="5"/>
  <c r="G576" i="5"/>
  <c r="H576" i="5"/>
  <c r="I576" i="5"/>
  <c r="J576" i="5"/>
  <c r="K576" i="5"/>
  <c r="L576" i="5"/>
  <c r="M576" i="5"/>
  <c r="N576" i="5"/>
  <c r="O576" i="5"/>
  <c r="P576" i="5"/>
  <c r="Q576" i="5"/>
  <c r="R576" i="5"/>
  <c r="S576" i="5"/>
  <c r="T576" i="5"/>
  <c r="U576" i="5"/>
  <c r="V576" i="5"/>
  <c r="W576" i="5"/>
  <c r="X576" i="5"/>
  <c r="AC576" i="5"/>
  <c r="B577" i="5"/>
  <c r="C577" i="5"/>
  <c r="D577" i="5"/>
  <c r="E577" i="5"/>
  <c r="F577" i="5"/>
  <c r="G577" i="5"/>
  <c r="H577" i="5"/>
  <c r="I577" i="5"/>
  <c r="J577" i="5"/>
  <c r="K577" i="5"/>
  <c r="L577" i="5"/>
  <c r="M577" i="5"/>
  <c r="AC577" i="5" s="1"/>
  <c r="N577" i="5"/>
  <c r="O577" i="5"/>
  <c r="P577" i="5"/>
  <c r="Q577" i="5"/>
  <c r="R577" i="5"/>
  <c r="S577" i="5"/>
  <c r="T577" i="5"/>
  <c r="U577" i="5"/>
  <c r="V577" i="5"/>
  <c r="W577" i="5"/>
  <c r="X577" i="5"/>
  <c r="AB577" i="5"/>
  <c r="B578" i="5"/>
  <c r="C578" i="5"/>
  <c r="D578" i="5"/>
  <c r="E578" i="5"/>
  <c r="F578" i="5"/>
  <c r="G578" i="5"/>
  <c r="H578" i="5"/>
  <c r="I578" i="5"/>
  <c r="J578" i="5"/>
  <c r="K578" i="5"/>
  <c r="L578" i="5"/>
  <c r="M578" i="5"/>
  <c r="N578" i="5"/>
  <c r="O578" i="5"/>
  <c r="P578" i="5"/>
  <c r="Q578" i="5"/>
  <c r="R578" i="5"/>
  <c r="S578" i="5"/>
  <c r="T578" i="5"/>
  <c r="U578" i="5"/>
  <c r="V578" i="5"/>
  <c r="W578" i="5"/>
  <c r="X578" i="5"/>
  <c r="AC578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AC579" i="5" s="1"/>
  <c r="N579" i="5"/>
  <c r="O579" i="5"/>
  <c r="P579" i="5"/>
  <c r="Q579" i="5"/>
  <c r="R579" i="5"/>
  <c r="S579" i="5"/>
  <c r="T579" i="5"/>
  <c r="U579" i="5"/>
  <c r="V579" i="5"/>
  <c r="W579" i="5"/>
  <c r="X579" i="5"/>
  <c r="AB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AC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AC581" i="5" s="1"/>
  <c r="N581" i="5"/>
  <c r="O581" i="5"/>
  <c r="P581" i="5"/>
  <c r="Q581" i="5"/>
  <c r="R581" i="5"/>
  <c r="S581" i="5"/>
  <c r="T581" i="5"/>
  <c r="U581" i="5"/>
  <c r="V581" i="5"/>
  <c r="W581" i="5"/>
  <c r="X581" i="5"/>
  <c r="AB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AC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AC583" i="5" s="1"/>
  <c r="N583" i="5"/>
  <c r="O583" i="5"/>
  <c r="P583" i="5"/>
  <c r="Q583" i="5"/>
  <c r="R583" i="5"/>
  <c r="S583" i="5"/>
  <c r="T583" i="5"/>
  <c r="U583" i="5"/>
  <c r="V583" i="5"/>
  <c r="W583" i="5"/>
  <c r="X583" i="5"/>
  <c r="AB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AC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AC585" i="5" s="1"/>
  <c r="N585" i="5"/>
  <c r="O585" i="5"/>
  <c r="P585" i="5"/>
  <c r="Q585" i="5"/>
  <c r="R585" i="5"/>
  <c r="S585" i="5"/>
  <c r="T585" i="5"/>
  <c r="U585" i="5"/>
  <c r="V585" i="5"/>
  <c r="W585" i="5"/>
  <c r="X585" i="5"/>
  <c r="AB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AC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AC587" i="5" s="1"/>
  <c r="N587" i="5"/>
  <c r="O587" i="5"/>
  <c r="P587" i="5"/>
  <c r="Q587" i="5"/>
  <c r="R587" i="5"/>
  <c r="S587" i="5"/>
  <c r="T587" i="5"/>
  <c r="U587" i="5"/>
  <c r="V587" i="5"/>
  <c r="W587" i="5"/>
  <c r="X587" i="5"/>
  <c r="AB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AC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AC589" i="5" s="1"/>
  <c r="N589" i="5"/>
  <c r="O589" i="5"/>
  <c r="P589" i="5"/>
  <c r="Q589" i="5"/>
  <c r="R589" i="5"/>
  <c r="S589" i="5"/>
  <c r="T589" i="5"/>
  <c r="U589" i="5"/>
  <c r="V589" i="5"/>
  <c r="W589" i="5"/>
  <c r="X589" i="5"/>
  <c r="AB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AC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AC591" i="5" s="1"/>
  <c r="N591" i="5"/>
  <c r="O591" i="5"/>
  <c r="P591" i="5"/>
  <c r="Q591" i="5"/>
  <c r="R591" i="5"/>
  <c r="S591" i="5"/>
  <c r="T591" i="5"/>
  <c r="U591" i="5"/>
  <c r="V591" i="5"/>
  <c r="W591" i="5"/>
  <c r="X591" i="5"/>
  <c r="AB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AC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AC593" i="5" s="1"/>
  <c r="N593" i="5"/>
  <c r="O593" i="5"/>
  <c r="P593" i="5"/>
  <c r="Q593" i="5"/>
  <c r="R593" i="5"/>
  <c r="S593" i="5"/>
  <c r="T593" i="5"/>
  <c r="U593" i="5"/>
  <c r="V593" i="5"/>
  <c r="W593" i="5"/>
  <c r="X593" i="5"/>
  <c r="AB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AC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AC595" i="5" s="1"/>
  <c r="N595" i="5"/>
  <c r="O595" i="5"/>
  <c r="P595" i="5"/>
  <c r="Q595" i="5"/>
  <c r="R595" i="5"/>
  <c r="S595" i="5"/>
  <c r="T595" i="5"/>
  <c r="U595" i="5"/>
  <c r="V595" i="5"/>
  <c r="W595" i="5"/>
  <c r="X595" i="5"/>
  <c r="AB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AC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AC597" i="5" s="1"/>
  <c r="N597" i="5"/>
  <c r="O597" i="5"/>
  <c r="P597" i="5"/>
  <c r="Q597" i="5"/>
  <c r="R597" i="5"/>
  <c r="S597" i="5"/>
  <c r="T597" i="5"/>
  <c r="U597" i="5"/>
  <c r="V597" i="5"/>
  <c r="W597" i="5"/>
  <c r="X597" i="5"/>
  <c r="AB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AC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AC599" i="5" s="1"/>
  <c r="N599" i="5"/>
  <c r="O599" i="5"/>
  <c r="P599" i="5"/>
  <c r="Q599" i="5"/>
  <c r="R599" i="5"/>
  <c r="S599" i="5"/>
  <c r="T599" i="5"/>
  <c r="U599" i="5"/>
  <c r="V599" i="5"/>
  <c r="W599" i="5"/>
  <c r="X599" i="5"/>
  <c r="AB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AC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AC601" i="5" s="1"/>
  <c r="N601" i="5"/>
  <c r="O601" i="5"/>
  <c r="P601" i="5"/>
  <c r="Q601" i="5"/>
  <c r="R601" i="5"/>
  <c r="S601" i="5"/>
  <c r="T601" i="5"/>
  <c r="U601" i="5"/>
  <c r="V601" i="5"/>
  <c r="W601" i="5"/>
  <c r="X601" i="5"/>
  <c r="AB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AC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AC603" i="5" s="1"/>
  <c r="N603" i="5"/>
  <c r="O603" i="5"/>
  <c r="P603" i="5"/>
  <c r="Q603" i="5"/>
  <c r="R603" i="5"/>
  <c r="S603" i="5"/>
  <c r="T603" i="5"/>
  <c r="U603" i="5"/>
  <c r="V603" i="5"/>
  <c r="W603" i="5"/>
  <c r="X603" i="5"/>
  <c r="AB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AC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AC605" i="5" s="1"/>
  <c r="N605" i="5"/>
  <c r="O605" i="5"/>
  <c r="P605" i="5"/>
  <c r="Q605" i="5"/>
  <c r="R605" i="5"/>
  <c r="S605" i="5"/>
  <c r="T605" i="5"/>
  <c r="U605" i="5"/>
  <c r="V605" i="5"/>
  <c r="W605" i="5"/>
  <c r="X605" i="5"/>
  <c r="AB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AC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AC607" i="5" s="1"/>
  <c r="N607" i="5"/>
  <c r="O607" i="5"/>
  <c r="P607" i="5"/>
  <c r="Q607" i="5"/>
  <c r="R607" i="5"/>
  <c r="S607" i="5"/>
  <c r="T607" i="5"/>
  <c r="U607" i="5"/>
  <c r="V607" i="5"/>
  <c r="W607" i="5"/>
  <c r="X607" i="5"/>
  <c r="AB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AC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AC609" i="5" s="1"/>
  <c r="N609" i="5"/>
  <c r="O609" i="5"/>
  <c r="P609" i="5"/>
  <c r="Q609" i="5"/>
  <c r="R609" i="5"/>
  <c r="S609" i="5"/>
  <c r="T609" i="5"/>
  <c r="U609" i="5"/>
  <c r="V609" i="5"/>
  <c r="W609" i="5"/>
  <c r="X609" i="5"/>
  <c r="AB609" i="5"/>
  <c r="B610" i="5"/>
  <c r="C610" i="5"/>
  <c r="D610" i="5"/>
  <c r="E610" i="5"/>
  <c r="F610" i="5"/>
  <c r="G610" i="5"/>
  <c r="H610" i="5"/>
  <c r="I610" i="5"/>
  <c r="J610" i="5"/>
  <c r="K610" i="5"/>
  <c r="L610" i="5"/>
  <c r="M610" i="5"/>
  <c r="N610" i="5"/>
  <c r="O610" i="5"/>
  <c r="P610" i="5"/>
  <c r="Q610" i="5"/>
  <c r="R610" i="5"/>
  <c r="S610" i="5"/>
  <c r="T610" i="5"/>
  <c r="U610" i="5"/>
  <c r="V610" i="5"/>
  <c r="W610" i="5"/>
  <c r="X610" i="5"/>
  <c r="AC610" i="5"/>
  <c r="B611" i="5"/>
  <c r="C611" i="5"/>
  <c r="D611" i="5"/>
  <c r="E611" i="5"/>
  <c r="F611" i="5"/>
  <c r="G611" i="5"/>
  <c r="H611" i="5"/>
  <c r="I611" i="5"/>
  <c r="J611" i="5"/>
  <c r="K611" i="5"/>
  <c r="L611" i="5"/>
  <c r="M611" i="5"/>
  <c r="AC611" i="5" s="1"/>
  <c r="N611" i="5"/>
  <c r="O611" i="5"/>
  <c r="P611" i="5"/>
  <c r="Q611" i="5"/>
  <c r="R611" i="5"/>
  <c r="S611" i="5"/>
  <c r="T611" i="5"/>
  <c r="U611" i="5"/>
  <c r="V611" i="5"/>
  <c r="W611" i="5"/>
  <c r="X611" i="5"/>
  <c r="AB611" i="5"/>
  <c r="B612" i="5"/>
  <c r="C612" i="5"/>
  <c r="D612" i="5"/>
  <c r="E612" i="5"/>
  <c r="F612" i="5"/>
  <c r="G612" i="5"/>
  <c r="H612" i="5"/>
  <c r="I612" i="5"/>
  <c r="J612" i="5"/>
  <c r="K612" i="5"/>
  <c r="L612" i="5"/>
  <c r="M612" i="5"/>
  <c r="N612" i="5"/>
  <c r="O612" i="5"/>
  <c r="P612" i="5"/>
  <c r="Q612" i="5"/>
  <c r="R612" i="5"/>
  <c r="S612" i="5"/>
  <c r="T612" i="5"/>
  <c r="U612" i="5"/>
  <c r="V612" i="5"/>
  <c r="W612" i="5"/>
  <c r="X612" i="5"/>
  <c r="AC612" i="5"/>
  <c r="B613" i="5"/>
  <c r="C613" i="5"/>
  <c r="D613" i="5"/>
  <c r="E613" i="5"/>
  <c r="F613" i="5"/>
  <c r="G613" i="5"/>
  <c r="H613" i="5"/>
  <c r="I613" i="5"/>
  <c r="J613" i="5"/>
  <c r="K613" i="5"/>
  <c r="L613" i="5"/>
  <c r="M613" i="5"/>
  <c r="AC613" i="5" s="1"/>
  <c r="N613" i="5"/>
  <c r="O613" i="5"/>
  <c r="P613" i="5"/>
  <c r="Q613" i="5"/>
  <c r="R613" i="5"/>
  <c r="S613" i="5"/>
  <c r="T613" i="5"/>
  <c r="U613" i="5"/>
  <c r="V613" i="5"/>
  <c r="W613" i="5"/>
  <c r="X613" i="5"/>
  <c r="AB613" i="5"/>
  <c r="B614" i="5"/>
  <c r="C614" i="5"/>
  <c r="D614" i="5"/>
  <c r="E614" i="5"/>
  <c r="F614" i="5"/>
  <c r="G614" i="5"/>
  <c r="H614" i="5"/>
  <c r="I614" i="5"/>
  <c r="J614" i="5"/>
  <c r="K614" i="5"/>
  <c r="L614" i="5"/>
  <c r="M614" i="5"/>
  <c r="N614" i="5"/>
  <c r="O614" i="5"/>
  <c r="P614" i="5"/>
  <c r="Q614" i="5"/>
  <c r="R614" i="5"/>
  <c r="S614" i="5"/>
  <c r="T614" i="5"/>
  <c r="U614" i="5"/>
  <c r="V614" i="5"/>
  <c r="W614" i="5"/>
  <c r="X614" i="5"/>
  <c r="AC614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AC615" i="5" s="1"/>
  <c r="N615" i="5"/>
  <c r="O615" i="5"/>
  <c r="P615" i="5"/>
  <c r="Q615" i="5"/>
  <c r="R615" i="5"/>
  <c r="S615" i="5"/>
  <c r="T615" i="5"/>
  <c r="U615" i="5"/>
  <c r="V615" i="5"/>
  <c r="W615" i="5"/>
  <c r="X615" i="5"/>
  <c r="AB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AC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AC617" i="5" s="1"/>
  <c r="N617" i="5"/>
  <c r="O617" i="5"/>
  <c r="P617" i="5"/>
  <c r="Q617" i="5"/>
  <c r="R617" i="5"/>
  <c r="S617" i="5"/>
  <c r="T617" i="5"/>
  <c r="U617" i="5"/>
  <c r="V617" i="5"/>
  <c r="W617" i="5"/>
  <c r="X617" i="5"/>
  <c r="AB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AC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AC619" i="5" s="1"/>
  <c r="N619" i="5"/>
  <c r="O619" i="5"/>
  <c r="P619" i="5"/>
  <c r="Q619" i="5"/>
  <c r="R619" i="5"/>
  <c r="S619" i="5"/>
  <c r="T619" i="5"/>
  <c r="U619" i="5"/>
  <c r="V619" i="5"/>
  <c r="W619" i="5"/>
  <c r="X619" i="5"/>
  <c r="AB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AC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AC621" i="5" s="1"/>
  <c r="N621" i="5"/>
  <c r="O621" i="5"/>
  <c r="P621" i="5"/>
  <c r="Q621" i="5"/>
  <c r="R621" i="5"/>
  <c r="S621" i="5"/>
  <c r="T621" i="5"/>
  <c r="U621" i="5"/>
  <c r="V621" i="5"/>
  <c r="W621" i="5"/>
  <c r="X621" i="5"/>
  <c r="AB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AC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AC623" i="5" s="1"/>
  <c r="N623" i="5"/>
  <c r="O623" i="5"/>
  <c r="P623" i="5"/>
  <c r="Q623" i="5"/>
  <c r="R623" i="5"/>
  <c r="S623" i="5"/>
  <c r="T623" i="5"/>
  <c r="U623" i="5"/>
  <c r="V623" i="5"/>
  <c r="W623" i="5"/>
  <c r="X623" i="5"/>
  <c r="AB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AC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AC625" i="5" s="1"/>
  <c r="N625" i="5"/>
  <c r="O625" i="5"/>
  <c r="P625" i="5"/>
  <c r="Q625" i="5"/>
  <c r="R625" i="5"/>
  <c r="S625" i="5"/>
  <c r="T625" i="5"/>
  <c r="U625" i="5"/>
  <c r="V625" i="5"/>
  <c r="W625" i="5"/>
  <c r="X625" i="5"/>
  <c r="AB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AC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AC627" i="5" s="1"/>
  <c r="N627" i="5"/>
  <c r="O627" i="5"/>
  <c r="P627" i="5"/>
  <c r="Q627" i="5"/>
  <c r="R627" i="5"/>
  <c r="S627" i="5"/>
  <c r="T627" i="5"/>
  <c r="U627" i="5"/>
  <c r="V627" i="5"/>
  <c r="W627" i="5"/>
  <c r="X627" i="5"/>
  <c r="AB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AC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AC629" i="5" s="1"/>
  <c r="N629" i="5"/>
  <c r="O629" i="5"/>
  <c r="P629" i="5"/>
  <c r="Q629" i="5"/>
  <c r="R629" i="5"/>
  <c r="S629" i="5"/>
  <c r="T629" i="5"/>
  <c r="U629" i="5"/>
  <c r="V629" i="5"/>
  <c r="W629" i="5"/>
  <c r="X629" i="5"/>
  <c r="AB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AC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AC631" i="5" s="1"/>
  <c r="N631" i="5"/>
  <c r="O631" i="5"/>
  <c r="P631" i="5"/>
  <c r="Q631" i="5"/>
  <c r="R631" i="5"/>
  <c r="S631" i="5"/>
  <c r="T631" i="5"/>
  <c r="U631" i="5"/>
  <c r="V631" i="5"/>
  <c r="W631" i="5"/>
  <c r="X631" i="5"/>
  <c r="AB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AC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AC633" i="5" s="1"/>
  <c r="N633" i="5"/>
  <c r="O633" i="5"/>
  <c r="P633" i="5"/>
  <c r="Q633" i="5"/>
  <c r="R633" i="5"/>
  <c r="S633" i="5"/>
  <c r="T633" i="5"/>
  <c r="U633" i="5"/>
  <c r="V633" i="5"/>
  <c r="W633" i="5"/>
  <c r="X633" i="5"/>
  <c r="AB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AC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AC635" i="5" s="1"/>
  <c r="N635" i="5"/>
  <c r="O635" i="5"/>
  <c r="P635" i="5"/>
  <c r="Q635" i="5"/>
  <c r="R635" i="5"/>
  <c r="S635" i="5"/>
  <c r="T635" i="5"/>
  <c r="U635" i="5"/>
  <c r="V635" i="5"/>
  <c r="W635" i="5"/>
  <c r="X635" i="5"/>
  <c r="AB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AC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AC637" i="5" s="1"/>
  <c r="N637" i="5"/>
  <c r="O637" i="5"/>
  <c r="P637" i="5"/>
  <c r="Q637" i="5"/>
  <c r="R637" i="5"/>
  <c r="S637" i="5"/>
  <c r="T637" i="5"/>
  <c r="U637" i="5"/>
  <c r="V637" i="5"/>
  <c r="W637" i="5"/>
  <c r="X637" i="5"/>
  <c r="AB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AC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AC639" i="5" s="1"/>
  <c r="N639" i="5"/>
  <c r="O639" i="5"/>
  <c r="P639" i="5"/>
  <c r="Q639" i="5"/>
  <c r="R639" i="5"/>
  <c r="S639" i="5"/>
  <c r="T639" i="5"/>
  <c r="U639" i="5"/>
  <c r="V639" i="5"/>
  <c r="W639" i="5"/>
  <c r="X639" i="5"/>
  <c r="AB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AC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AC641" i="5" s="1"/>
  <c r="N641" i="5"/>
  <c r="O641" i="5"/>
  <c r="P641" i="5"/>
  <c r="Q641" i="5"/>
  <c r="R641" i="5"/>
  <c r="S641" i="5"/>
  <c r="T641" i="5"/>
  <c r="U641" i="5"/>
  <c r="V641" i="5"/>
  <c r="W641" i="5"/>
  <c r="X641" i="5"/>
  <c r="AB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AC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AC643" i="5" s="1"/>
  <c r="N643" i="5"/>
  <c r="O643" i="5"/>
  <c r="P643" i="5"/>
  <c r="Q643" i="5"/>
  <c r="R643" i="5"/>
  <c r="S643" i="5"/>
  <c r="T643" i="5"/>
  <c r="U643" i="5"/>
  <c r="V643" i="5"/>
  <c r="W643" i="5"/>
  <c r="X643" i="5"/>
  <c r="AB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AC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AC645" i="5" s="1"/>
  <c r="N645" i="5"/>
  <c r="O645" i="5"/>
  <c r="P645" i="5"/>
  <c r="Q645" i="5"/>
  <c r="R645" i="5"/>
  <c r="S645" i="5"/>
  <c r="T645" i="5"/>
  <c r="U645" i="5"/>
  <c r="V645" i="5"/>
  <c r="W645" i="5"/>
  <c r="X645" i="5"/>
  <c r="AB645" i="5"/>
  <c r="B646" i="5"/>
  <c r="C646" i="5"/>
  <c r="D646" i="5"/>
  <c r="E646" i="5"/>
  <c r="F646" i="5"/>
  <c r="G646" i="5"/>
  <c r="H646" i="5"/>
  <c r="I646" i="5"/>
  <c r="J646" i="5"/>
  <c r="K646" i="5"/>
  <c r="L646" i="5"/>
  <c r="M646" i="5"/>
  <c r="N646" i="5"/>
  <c r="O646" i="5"/>
  <c r="P646" i="5"/>
  <c r="Q646" i="5"/>
  <c r="R646" i="5"/>
  <c r="S646" i="5"/>
  <c r="T646" i="5"/>
  <c r="U646" i="5"/>
  <c r="V646" i="5"/>
  <c r="W646" i="5"/>
  <c r="X646" i="5"/>
  <c r="AC646" i="5"/>
  <c r="B647" i="5"/>
  <c r="C647" i="5"/>
  <c r="D647" i="5"/>
  <c r="E647" i="5"/>
  <c r="F647" i="5"/>
  <c r="G647" i="5"/>
  <c r="H647" i="5"/>
  <c r="I647" i="5"/>
  <c r="J647" i="5"/>
  <c r="K647" i="5"/>
  <c r="L647" i="5"/>
  <c r="M647" i="5"/>
  <c r="AC647" i="5" s="1"/>
  <c r="N647" i="5"/>
  <c r="O647" i="5"/>
  <c r="P647" i="5"/>
  <c r="Q647" i="5"/>
  <c r="R647" i="5"/>
  <c r="S647" i="5"/>
  <c r="T647" i="5"/>
  <c r="U647" i="5"/>
  <c r="V647" i="5"/>
  <c r="W647" i="5"/>
  <c r="X647" i="5"/>
  <c r="AB647" i="5"/>
  <c r="B648" i="5"/>
  <c r="C648" i="5"/>
  <c r="D648" i="5"/>
  <c r="E648" i="5"/>
  <c r="F648" i="5"/>
  <c r="G648" i="5"/>
  <c r="H648" i="5"/>
  <c r="I648" i="5"/>
  <c r="J648" i="5"/>
  <c r="K648" i="5"/>
  <c r="L648" i="5"/>
  <c r="M648" i="5"/>
  <c r="N648" i="5"/>
  <c r="O648" i="5"/>
  <c r="P648" i="5"/>
  <c r="Q648" i="5"/>
  <c r="R648" i="5"/>
  <c r="S648" i="5"/>
  <c r="T648" i="5"/>
  <c r="U648" i="5"/>
  <c r="V648" i="5"/>
  <c r="W648" i="5"/>
  <c r="X648" i="5"/>
  <c r="AC648" i="5"/>
  <c r="B649" i="5"/>
  <c r="C649" i="5"/>
  <c r="D649" i="5"/>
  <c r="E649" i="5"/>
  <c r="F649" i="5"/>
  <c r="G649" i="5"/>
  <c r="H649" i="5"/>
  <c r="I649" i="5"/>
  <c r="J649" i="5"/>
  <c r="K649" i="5"/>
  <c r="L649" i="5"/>
  <c r="M649" i="5"/>
  <c r="AC649" i="5" s="1"/>
  <c r="N649" i="5"/>
  <c r="O649" i="5"/>
  <c r="P649" i="5"/>
  <c r="Q649" i="5"/>
  <c r="R649" i="5"/>
  <c r="S649" i="5"/>
  <c r="T649" i="5"/>
  <c r="U649" i="5"/>
  <c r="V649" i="5"/>
  <c r="W649" i="5"/>
  <c r="X649" i="5"/>
  <c r="AB649" i="5"/>
  <c r="B650" i="5"/>
  <c r="C650" i="5"/>
  <c r="D650" i="5"/>
  <c r="E650" i="5"/>
  <c r="F650" i="5"/>
  <c r="G650" i="5"/>
  <c r="H650" i="5"/>
  <c r="I650" i="5"/>
  <c r="J650" i="5"/>
  <c r="K650" i="5"/>
  <c r="L650" i="5"/>
  <c r="M650" i="5"/>
  <c r="N650" i="5"/>
  <c r="O650" i="5"/>
  <c r="P650" i="5"/>
  <c r="Q650" i="5"/>
  <c r="R650" i="5"/>
  <c r="S650" i="5"/>
  <c r="T650" i="5"/>
  <c r="U650" i="5"/>
  <c r="V650" i="5"/>
  <c r="W650" i="5"/>
  <c r="X650" i="5"/>
  <c r="AC650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AC651" i="5" s="1"/>
  <c r="N651" i="5"/>
  <c r="O651" i="5"/>
  <c r="P651" i="5"/>
  <c r="Q651" i="5"/>
  <c r="R651" i="5"/>
  <c r="S651" i="5"/>
  <c r="T651" i="5"/>
  <c r="U651" i="5"/>
  <c r="V651" i="5"/>
  <c r="W651" i="5"/>
  <c r="X651" i="5"/>
  <c r="AB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AC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AC653" i="5" s="1"/>
  <c r="N653" i="5"/>
  <c r="O653" i="5"/>
  <c r="P653" i="5"/>
  <c r="Q653" i="5"/>
  <c r="R653" i="5"/>
  <c r="S653" i="5"/>
  <c r="T653" i="5"/>
  <c r="U653" i="5"/>
  <c r="V653" i="5"/>
  <c r="W653" i="5"/>
  <c r="X653" i="5"/>
  <c r="AB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AC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AC655" i="5" s="1"/>
  <c r="N655" i="5"/>
  <c r="O655" i="5"/>
  <c r="P655" i="5"/>
  <c r="Q655" i="5"/>
  <c r="R655" i="5"/>
  <c r="S655" i="5"/>
  <c r="T655" i="5"/>
  <c r="U655" i="5"/>
  <c r="V655" i="5"/>
  <c r="W655" i="5"/>
  <c r="X655" i="5"/>
  <c r="AB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AC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AC657" i="5" s="1"/>
  <c r="N657" i="5"/>
  <c r="O657" i="5"/>
  <c r="P657" i="5"/>
  <c r="Q657" i="5"/>
  <c r="R657" i="5"/>
  <c r="S657" i="5"/>
  <c r="T657" i="5"/>
  <c r="U657" i="5"/>
  <c r="V657" i="5"/>
  <c r="W657" i="5"/>
  <c r="X657" i="5"/>
  <c r="AB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AC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AC659" i="5" s="1"/>
  <c r="N659" i="5"/>
  <c r="O659" i="5"/>
  <c r="P659" i="5"/>
  <c r="Q659" i="5"/>
  <c r="R659" i="5"/>
  <c r="S659" i="5"/>
  <c r="T659" i="5"/>
  <c r="U659" i="5"/>
  <c r="V659" i="5"/>
  <c r="W659" i="5"/>
  <c r="X659" i="5"/>
  <c r="AB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AC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AC661" i="5" s="1"/>
  <c r="N661" i="5"/>
  <c r="O661" i="5"/>
  <c r="P661" i="5"/>
  <c r="Q661" i="5"/>
  <c r="R661" i="5"/>
  <c r="S661" i="5"/>
  <c r="T661" i="5"/>
  <c r="U661" i="5"/>
  <c r="V661" i="5"/>
  <c r="W661" i="5"/>
  <c r="X661" i="5"/>
  <c r="AB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AC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AC663" i="5" s="1"/>
  <c r="N663" i="5"/>
  <c r="O663" i="5"/>
  <c r="P663" i="5"/>
  <c r="Q663" i="5"/>
  <c r="R663" i="5"/>
  <c r="S663" i="5"/>
  <c r="T663" i="5"/>
  <c r="U663" i="5"/>
  <c r="V663" i="5"/>
  <c r="W663" i="5"/>
  <c r="X663" i="5"/>
  <c r="AB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AC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AC665" i="5" s="1"/>
  <c r="N665" i="5"/>
  <c r="O665" i="5"/>
  <c r="P665" i="5"/>
  <c r="Q665" i="5"/>
  <c r="R665" i="5"/>
  <c r="S665" i="5"/>
  <c r="T665" i="5"/>
  <c r="U665" i="5"/>
  <c r="V665" i="5"/>
  <c r="W665" i="5"/>
  <c r="X665" i="5"/>
  <c r="AB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AC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AC667" i="5" s="1"/>
  <c r="N667" i="5"/>
  <c r="O667" i="5"/>
  <c r="P667" i="5"/>
  <c r="Q667" i="5"/>
  <c r="R667" i="5"/>
  <c r="S667" i="5"/>
  <c r="T667" i="5"/>
  <c r="U667" i="5"/>
  <c r="V667" i="5"/>
  <c r="W667" i="5"/>
  <c r="X667" i="5"/>
  <c r="AB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AC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AC669" i="5" s="1"/>
  <c r="N669" i="5"/>
  <c r="O669" i="5"/>
  <c r="P669" i="5"/>
  <c r="Q669" i="5"/>
  <c r="R669" i="5"/>
  <c r="S669" i="5"/>
  <c r="T669" i="5"/>
  <c r="U669" i="5"/>
  <c r="V669" i="5"/>
  <c r="W669" i="5"/>
  <c r="X669" i="5"/>
  <c r="AB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AC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AC671" i="5" s="1"/>
  <c r="N671" i="5"/>
  <c r="O671" i="5"/>
  <c r="P671" i="5"/>
  <c r="Q671" i="5"/>
  <c r="R671" i="5"/>
  <c r="S671" i="5"/>
  <c r="T671" i="5"/>
  <c r="U671" i="5"/>
  <c r="V671" i="5"/>
  <c r="W671" i="5"/>
  <c r="X671" i="5"/>
  <c r="AB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AC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AC673" i="5" s="1"/>
  <c r="N673" i="5"/>
  <c r="O673" i="5"/>
  <c r="P673" i="5"/>
  <c r="Q673" i="5"/>
  <c r="R673" i="5"/>
  <c r="S673" i="5"/>
  <c r="T673" i="5"/>
  <c r="U673" i="5"/>
  <c r="V673" i="5"/>
  <c r="W673" i="5"/>
  <c r="X673" i="5"/>
  <c r="AB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AC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AC675" i="5" s="1"/>
  <c r="N675" i="5"/>
  <c r="O675" i="5"/>
  <c r="P675" i="5"/>
  <c r="Q675" i="5"/>
  <c r="R675" i="5"/>
  <c r="S675" i="5"/>
  <c r="T675" i="5"/>
  <c r="U675" i="5"/>
  <c r="V675" i="5"/>
  <c r="W675" i="5"/>
  <c r="X675" i="5"/>
  <c r="AB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AC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AC677" i="5" s="1"/>
  <c r="N677" i="5"/>
  <c r="O677" i="5"/>
  <c r="P677" i="5"/>
  <c r="Q677" i="5"/>
  <c r="R677" i="5"/>
  <c r="S677" i="5"/>
  <c r="T677" i="5"/>
  <c r="U677" i="5"/>
  <c r="V677" i="5"/>
  <c r="W677" i="5"/>
  <c r="X677" i="5"/>
  <c r="AB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AC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AC679" i="5" s="1"/>
  <c r="N679" i="5"/>
  <c r="O679" i="5"/>
  <c r="P679" i="5"/>
  <c r="Q679" i="5"/>
  <c r="R679" i="5"/>
  <c r="S679" i="5"/>
  <c r="T679" i="5"/>
  <c r="U679" i="5"/>
  <c r="V679" i="5"/>
  <c r="W679" i="5"/>
  <c r="X679" i="5"/>
  <c r="AB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AC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AC681" i="5" s="1"/>
  <c r="N681" i="5"/>
  <c r="O681" i="5"/>
  <c r="P681" i="5"/>
  <c r="Q681" i="5"/>
  <c r="R681" i="5"/>
  <c r="S681" i="5"/>
  <c r="T681" i="5"/>
  <c r="U681" i="5"/>
  <c r="V681" i="5"/>
  <c r="W681" i="5"/>
  <c r="X681" i="5"/>
  <c r="AB681" i="5"/>
  <c r="B682" i="5"/>
  <c r="C682" i="5"/>
  <c r="D682" i="5"/>
  <c r="E682" i="5"/>
  <c r="F682" i="5"/>
  <c r="G682" i="5"/>
  <c r="H682" i="5"/>
  <c r="I682" i="5"/>
  <c r="J682" i="5"/>
  <c r="K682" i="5"/>
  <c r="L682" i="5"/>
  <c r="M682" i="5"/>
  <c r="N682" i="5"/>
  <c r="O682" i="5"/>
  <c r="P682" i="5"/>
  <c r="Q682" i="5"/>
  <c r="R682" i="5"/>
  <c r="S682" i="5"/>
  <c r="T682" i="5"/>
  <c r="U682" i="5"/>
  <c r="V682" i="5"/>
  <c r="W682" i="5"/>
  <c r="X682" i="5"/>
  <c r="AC682" i="5"/>
  <c r="B683" i="5"/>
  <c r="C683" i="5"/>
  <c r="D683" i="5"/>
  <c r="E683" i="5"/>
  <c r="F683" i="5"/>
  <c r="G683" i="5"/>
  <c r="H683" i="5"/>
  <c r="I683" i="5"/>
  <c r="J683" i="5"/>
  <c r="K683" i="5"/>
  <c r="L683" i="5"/>
  <c r="M683" i="5"/>
  <c r="AC683" i="5" s="1"/>
  <c r="N683" i="5"/>
  <c r="O683" i="5"/>
  <c r="P683" i="5"/>
  <c r="Q683" i="5"/>
  <c r="R683" i="5"/>
  <c r="S683" i="5"/>
  <c r="T683" i="5"/>
  <c r="U683" i="5"/>
  <c r="V683" i="5"/>
  <c r="W683" i="5"/>
  <c r="X683" i="5"/>
  <c r="AB683" i="5"/>
  <c r="B684" i="5"/>
  <c r="C684" i="5"/>
  <c r="D684" i="5"/>
  <c r="E684" i="5"/>
  <c r="F684" i="5"/>
  <c r="G684" i="5"/>
  <c r="H684" i="5"/>
  <c r="I684" i="5"/>
  <c r="J684" i="5"/>
  <c r="K684" i="5"/>
  <c r="L684" i="5"/>
  <c r="M684" i="5"/>
  <c r="N684" i="5"/>
  <c r="O684" i="5"/>
  <c r="P684" i="5"/>
  <c r="Q684" i="5"/>
  <c r="R684" i="5"/>
  <c r="S684" i="5"/>
  <c r="T684" i="5"/>
  <c r="U684" i="5"/>
  <c r="V684" i="5"/>
  <c r="W684" i="5"/>
  <c r="X684" i="5"/>
  <c r="AC684" i="5"/>
  <c r="B685" i="5"/>
  <c r="C685" i="5"/>
  <c r="D685" i="5"/>
  <c r="E685" i="5"/>
  <c r="F685" i="5"/>
  <c r="G685" i="5"/>
  <c r="H685" i="5"/>
  <c r="I685" i="5"/>
  <c r="J685" i="5"/>
  <c r="K685" i="5"/>
  <c r="L685" i="5"/>
  <c r="M685" i="5"/>
  <c r="AC685" i="5" s="1"/>
  <c r="N685" i="5"/>
  <c r="O685" i="5"/>
  <c r="P685" i="5"/>
  <c r="Q685" i="5"/>
  <c r="R685" i="5"/>
  <c r="S685" i="5"/>
  <c r="T685" i="5"/>
  <c r="U685" i="5"/>
  <c r="V685" i="5"/>
  <c r="W685" i="5"/>
  <c r="X685" i="5"/>
  <c r="AB685" i="5"/>
  <c r="B686" i="5"/>
  <c r="C686" i="5"/>
  <c r="D686" i="5"/>
  <c r="E686" i="5"/>
  <c r="F686" i="5"/>
  <c r="G686" i="5"/>
  <c r="H686" i="5"/>
  <c r="I686" i="5"/>
  <c r="J686" i="5"/>
  <c r="K686" i="5"/>
  <c r="L686" i="5"/>
  <c r="M686" i="5"/>
  <c r="N686" i="5"/>
  <c r="O686" i="5"/>
  <c r="P686" i="5"/>
  <c r="Q686" i="5"/>
  <c r="R686" i="5"/>
  <c r="S686" i="5"/>
  <c r="T686" i="5"/>
  <c r="U686" i="5"/>
  <c r="V686" i="5"/>
  <c r="W686" i="5"/>
  <c r="X686" i="5"/>
  <c r="AC686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AC687" i="5" s="1"/>
  <c r="N687" i="5"/>
  <c r="O687" i="5"/>
  <c r="P687" i="5"/>
  <c r="Q687" i="5"/>
  <c r="R687" i="5"/>
  <c r="S687" i="5"/>
  <c r="T687" i="5"/>
  <c r="U687" i="5"/>
  <c r="V687" i="5"/>
  <c r="W687" i="5"/>
  <c r="X687" i="5"/>
  <c r="AB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AC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AC689" i="5" s="1"/>
  <c r="N689" i="5"/>
  <c r="O689" i="5"/>
  <c r="P689" i="5"/>
  <c r="Q689" i="5"/>
  <c r="R689" i="5"/>
  <c r="S689" i="5"/>
  <c r="T689" i="5"/>
  <c r="U689" i="5"/>
  <c r="V689" i="5"/>
  <c r="W689" i="5"/>
  <c r="X689" i="5"/>
  <c r="AB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AC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AC691" i="5" s="1"/>
  <c r="N691" i="5"/>
  <c r="O691" i="5"/>
  <c r="P691" i="5"/>
  <c r="Q691" i="5"/>
  <c r="R691" i="5"/>
  <c r="S691" i="5"/>
  <c r="T691" i="5"/>
  <c r="U691" i="5"/>
  <c r="V691" i="5"/>
  <c r="W691" i="5"/>
  <c r="X691" i="5"/>
  <c r="AB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AC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AC693" i="5" s="1"/>
  <c r="N693" i="5"/>
  <c r="O693" i="5"/>
  <c r="P693" i="5"/>
  <c r="Q693" i="5"/>
  <c r="R693" i="5"/>
  <c r="S693" i="5"/>
  <c r="T693" i="5"/>
  <c r="U693" i="5"/>
  <c r="V693" i="5"/>
  <c r="W693" i="5"/>
  <c r="X693" i="5"/>
  <c r="AB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AC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AC695" i="5" s="1"/>
  <c r="N695" i="5"/>
  <c r="O695" i="5"/>
  <c r="P695" i="5"/>
  <c r="Q695" i="5"/>
  <c r="R695" i="5"/>
  <c r="S695" i="5"/>
  <c r="T695" i="5"/>
  <c r="U695" i="5"/>
  <c r="V695" i="5"/>
  <c r="W695" i="5"/>
  <c r="X695" i="5"/>
  <c r="AB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AC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AC697" i="5" s="1"/>
  <c r="N697" i="5"/>
  <c r="O697" i="5"/>
  <c r="P697" i="5"/>
  <c r="Q697" i="5"/>
  <c r="R697" i="5"/>
  <c r="S697" i="5"/>
  <c r="T697" i="5"/>
  <c r="U697" i="5"/>
  <c r="V697" i="5"/>
  <c r="W697" i="5"/>
  <c r="X697" i="5"/>
  <c r="AB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AC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AC699" i="5" s="1"/>
  <c r="N699" i="5"/>
  <c r="O699" i="5"/>
  <c r="P699" i="5"/>
  <c r="Q699" i="5"/>
  <c r="R699" i="5"/>
  <c r="S699" i="5"/>
  <c r="T699" i="5"/>
  <c r="U699" i="5"/>
  <c r="V699" i="5"/>
  <c r="W699" i="5"/>
  <c r="X699" i="5"/>
  <c r="AB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AC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AC701" i="5" s="1"/>
  <c r="N701" i="5"/>
  <c r="O701" i="5"/>
  <c r="P701" i="5"/>
  <c r="Q701" i="5"/>
  <c r="R701" i="5"/>
  <c r="S701" i="5"/>
  <c r="T701" i="5"/>
  <c r="U701" i="5"/>
  <c r="V701" i="5"/>
  <c r="W701" i="5"/>
  <c r="X701" i="5"/>
  <c r="AB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AC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AC703" i="5" s="1"/>
  <c r="N703" i="5"/>
  <c r="O703" i="5"/>
  <c r="P703" i="5"/>
  <c r="Q703" i="5"/>
  <c r="R703" i="5"/>
  <c r="S703" i="5"/>
  <c r="T703" i="5"/>
  <c r="U703" i="5"/>
  <c r="V703" i="5"/>
  <c r="W703" i="5"/>
  <c r="X703" i="5"/>
  <c r="AB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AC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AC705" i="5" s="1"/>
  <c r="N705" i="5"/>
  <c r="O705" i="5"/>
  <c r="P705" i="5"/>
  <c r="Q705" i="5"/>
  <c r="R705" i="5"/>
  <c r="S705" i="5"/>
  <c r="T705" i="5"/>
  <c r="U705" i="5"/>
  <c r="V705" i="5"/>
  <c r="W705" i="5"/>
  <c r="X705" i="5"/>
  <c r="AB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AC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AC707" i="5" s="1"/>
  <c r="N707" i="5"/>
  <c r="O707" i="5"/>
  <c r="P707" i="5"/>
  <c r="Q707" i="5"/>
  <c r="R707" i="5"/>
  <c r="S707" i="5"/>
  <c r="T707" i="5"/>
  <c r="U707" i="5"/>
  <c r="V707" i="5"/>
  <c r="W707" i="5"/>
  <c r="X707" i="5"/>
  <c r="AB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AC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AC709" i="5" s="1"/>
  <c r="N709" i="5"/>
  <c r="O709" i="5"/>
  <c r="P709" i="5"/>
  <c r="Q709" i="5"/>
  <c r="R709" i="5"/>
  <c r="S709" i="5"/>
  <c r="T709" i="5"/>
  <c r="U709" i="5"/>
  <c r="V709" i="5"/>
  <c r="W709" i="5"/>
  <c r="X709" i="5"/>
  <c r="AB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AC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AC711" i="5" s="1"/>
  <c r="N711" i="5"/>
  <c r="O711" i="5"/>
  <c r="P711" i="5"/>
  <c r="Q711" i="5"/>
  <c r="R711" i="5"/>
  <c r="S711" i="5"/>
  <c r="T711" i="5"/>
  <c r="U711" i="5"/>
  <c r="V711" i="5"/>
  <c r="W711" i="5"/>
  <c r="X711" i="5"/>
  <c r="AB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AC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AC713" i="5" s="1"/>
  <c r="N713" i="5"/>
  <c r="O713" i="5"/>
  <c r="P713" i="5"/>
  <c r="Q713" i="5"/>
  <c r="R713" i="5"/>
  <c r="S713" i="5"/>
  <c r="T713" i="5"/>
  <c r="U713" i="5"/>
  <c r="V713" i="5"/>
  <c r="W713" i="5"/>
  <c r="X713" i="5"/>
  <c r="AB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AC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AC715" i="5" s="1"/>
  <c r="N715" i="5"/>
  <c r="O715" i="5"/>
  <c r="P715" i="5"/>
  <c r="Q715" i="5"/>
  <c r="R715" i="5"/>
  <c r="S715" i="5"/>
  <c r="T715" i="5"/>
  <c r="U715" i="5"/>
  <c r="V715" i="5"/>
  <c r="W715" i="5"/>
  <c r="X715" i="5"/>
  <c r="AB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AC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AC717" i="5" s="1"/>
  <c r="N717" i="5"/>
  <c r="O717" i="5"/>
  <c r="P717" i="5"/>
  <c r="Q717" i="5"/>
  <c r="R717" i="5"/>
  <c r="S717" i="5"/>
  <c r="T717" i="5"/>
  <c r="U717" i="5"/>
  <c r="V717" i="5"/>
  <c r="W717" i="5"/>
  <c r="X717" i="5"/>
  <c r="AB717" i="5"/>
  <c r="B718" i="5"/>
  <c r="C718" i="5"/>
  <c r="D718" i="5"/>
  <c r="E718" i="5"/>
  <c r="F718" i="5"/>
  <c r="G718" i="5"/>
  <c r="H718" i="5"/>
  <c r="I718" i="5"/>
  <c r="J718" i="5"/>
  <c r="K718" i="5"/>
  <c r="L718" i="5"/>
  <c r="M718" i="5"/>
  <c r="N718" i="5"/>
  <c r="O718" i="5"/>
  <c r="P718" i="5"/>
  <c r="Q718" i="5"/>
  <c r="R718" i="5"/>
  <c r="S718" i="5"/>
  <c r="T718" i="5"/>
  <c r="U718" i="5"/>
  <c r="V718" i="5"/>
  <c r="W718" i="5"/>
  <c r="X718" i="5"/>
  <c r="B719" i="5"/>
  <c r="AB719" i="5" s="1"/>
  <c r="C719" i="5"/>
  <c r="D719" i="5"/>
  <c r="E719" i="5"/>
  <c r="F719" i="5"/>
  <c r="G719" i="5"/>
  <c r="H719" i="5"/>
  <c r="I719" i="5"/>
  <c r="J719" i="5"/>
  <c r="K719" i="5"/>
  <c r="L719" i="5"/>
  <c r="M719" i="5"/>
  <c r="N719" i="5"/>
  <c r="O719" i="5"/>
  <c r="P719" i="5"/>
  <c r="Q719" i="5"/>
  <c r="R719" i="5"/>
  <c r="S719" i="5"/>
  <c r="T719" i="5"/>
  <c r="U719" i="5"/>
  <c r="V719" i="5"/>
  <c r="W719" i="5"/>
  <c r="X719" i="5"/>
  <c r="B720" i="5"/>
  <c r="C720" i="5"/>
  <c r="D720" i="5"/>
  <c r="E720" i="5"/>
  <c r="F720" i="5"/>
  <c r="G720" i="5"/>
  <c r="H720" i="5"/>
  <c r="I720" i="5"/>
  <c r="J720" i="5"/>
  <c r="K720" i="5"/>
  <c r="L720" i="5"/>
  <c r="M720" i="5"/>
  <c r="N720" i="5"/>
  <c r="AC720" i="5" s="1"/>
  <c r="O720" i="5"/>
  <c r="P720" i="5"/>
  <c r="Q720" i="5"/>
  <c r="R720" i="5"/>
  <c r="S720" i="5"/>
  <c r="T720" i="5"/>
  <c r="U720" i="5"/>
  <c r="V720" i="5"/>
  <c r="W720" i="5"/>
  <c r="X720" i="5"/>
  <c r="B721" i="5"/>
  <c r="AB721" i="5" s="1"/>
  <c r="C721" i="5"/>
  <c r="D721" i="5"/>
  <c r="E721" i="5"/>
  <c r="F721" i="5"/>
  <c r="G721" i="5"/>
  <c r="H721" i="5"/>
  <c r="I721" i="5"/>
  <c r="J721" i="5"/>
  <c r="K721" i="5"/>
  <c r="L721" i="5"/>
  <c r="M721" i="5"/>
  <c r="N721" i="5"/>
  <c r="O721" i="5"/>
  <c r="P721" i="5"/>
  <c r="Q721" i="5"/>
  <c r="R721" i="5"/>
  <c r="S721" i="5"/>
  <c r="T721" i="5"/>
  <c r="U721" i="5"/>
  <c r="V721" i="5"/>
  <c r="W721" i="5"/>
  <c r="X721" i="5"/>
  <c r="B722" i="5"/>
  <c r="C722" i="5"/>
  <c r="D722" i="5"/>
  <c r="E722" i="5"/>
  <c r="F722" i="5"/>
  <c r="G722" i="5"/>
  <c r="H722" i="5"/>
  <c r="I722" i="5"/>
  <c r="J722" i="5"/>
  <c r="K722" i="5"/>
  <c r="L722" i="5"/>
  <c r="M722" i="5"/>
  <c r="N722" i="5"/>
  <c r="O722" i="5"/>
  <c r="P722" i="5"/>
  <c r="Q722" i="5"/>
  <c r="R722" i="5"/>
  <c r="S722" i="5"/>
  <c r="T722" i="5"/>
  <c r="U722" i="5"/>
  <c r="V722" i="5"/>
  <c r="W722" i="5"/>
  <c r="X722" i="5"/>
  <c r="B723" i="5"/>
  <c r="C723" i="5"/>
  <c r="AB723" i="5" s="1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AB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B727" i="5"/>
  <c r="AB727" i="5" s="1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AC728" i="5" s="1"/>
  <c r="O728" i="5"/>
  <c r="P728" i="5"/>
  <c r="Q728" i="5"/>
  <c r="R728" i="5"/>
  <c r="S728" i="5"/>
  <c r="T728" i="5"/>
  <c r="U728" i="5"/>
  <c r="V728" i="5"/>
  <c r="W728" i="5"/>
  <c r="X728" i="5"/>
  <c r="B729" i="5"/>
  <c r="AB729" i="5" s="1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B731" i="5"/>
  <c r="C731" i="5"/>
  <c r="AB731" i="5" s="1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AB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B735" i="5"/>
  <c r="AB735" i="5" s="1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AC736" i="5" s="1"/>
  <c r="O736" i="5"/>
  <c r="P736" i="5"/>
  <c r="Q736" i="5"/>
  <c r="R736" i="5"/>
  <c r="S736" i="5"/>
  <c r="T736" i="5"/>
  <c r="U736" i="5"/>
  <c r="V736" i="5"/>
  <c r="W736" i="5"/>
  <c r="X736" i="5"/>
  <c r="B737" i="5"/>
  <c r="AB737" i="5" s="1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B739" i="5"/>
  <c r="C739" i="5"/>
  <c r="AB739" i="5" s="1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AB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B743" i="5"/>
  <c r="AB743" i="5" s="1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AC744" i="5" s="1"/>
  <c r="O744" i="5"/>
  <c r="P744" i="5"/>
  <c r="Q744" i="5"/>
  <c r="R744" i="5"/>
  <c r="S744" i="5"/>
  <c r="T744" i="5"/>
  <c r="U744" i="5"/>
  <c r="V744" i="5"/>
  <c r="W744" i="5"/>
  <c r="X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AB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AC752" i="5" s="1"/>
  <c r="O752" i="5"/>
  <c r="P752" i="5"/>
  <c r="Q752" i="5"/>
  <c r="R752" i="5"/>
  <c r="S752" i="5"/>
  <c r="T752" i="5"/>
  <c r="U752" i="5"/>
  <c r="V752" i="5"/>
  <c r="W752" i="5"/>
  <c r="X752" i="5"/>
  <c r="B753" i="5"/>
  <c r="AB753" i="5" s="1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B754" i="5"/>
  <c r="C754" i="5"/>
  <c r="D754" i="5"/>
  <c r="E754" i="5"/>
  <c r="F754" i="5"/>
  <c r="G754" i="5"/>
  <c r="H754" i="5"/>
  <c r="I754" i="5"/>
  <c r="J754" i="5"/>
  <c r="K754" i="5"/>
  <c r="L754" i="5"/>
  <c r="M754" i="5"/>
  <c r="N754" i="5"/>
  <c r="O754" i="5"/>
  <c r="P754" i="5"/>
  <c r="Q754" i="5"/>
  <c r="R754" i="5"/>
  <c r="S754" i="5"/>
  <c r="T754" i="5"/>
  <c r="U754" i="5"/>
  <c r="V754" i="5"/>
  <c r="W754" i="5"/>
  <c r="X754" i="5"/>
  <c r="B755" i="5"/>
  <c r="C755" i="5"/>
  <c r="D755" i="5"/>
  <c r="E755" i="5"/>
  <c r="F755" i="5"/>
  <c r="G755" i="5"/>
  <c r="H755" i="5"/>
  <c r="I755" i="5"/>
  <c r="J755" i="5"/>
  <c r="K755" i="5"/>
  <c r="L755" i="5"/>
  <c r="M755" i="5"/>
  <c r="N755" i="5"/>
  <c r="O755" i="5"/>
  <c r="P755" i="5"/>
  <c r="Q755" i="5"/>
  <c r="R755" i="5"/>
  <c r="S755" i="5"/>
  <c r="T755" i="5"/>
  <c r="U755" i="5"/>
  <c r="V755" i="5"/>
  <c r="W755" i="5"/>
  <c r="X755" i="5"/>
  <c r="B756" i="5"/>
  <c r="C756" i="5"/>
  <c r="AB756" i="5" s="1"/>
  <c r="D756" i="5"/>
  <c r="E756" i="5"/>
  <c r="F756" i="5"/>
  <c r="G756" i="5"/>
  <c r="H756" i="5"/>
  <c r="I756" i="5"/>
  <c r="J756" i="5"/>
  <c r="K756" i="5"/>
  <c r="L756" i="5"/>
  <c r="M756" i="5"/>
  <c r="N756" i="5"/>
  <c r="O756" i="5"/>
  <c r="P756" i="5"/>
  <c r="Q756" i="5"/>
  <c r="R756" i="5"/>
  <c r="S756" i="5"/>
  <c r="T756" i="5"/>
  <c r="U756" i="5"/>
  <c r="V756" i="5"/>
  <c r="W756" i="5"/>
  <c r="X756" i="5"/>
  <c r="B757" i="5"/>
  <c r="C757" i="5"/>
  <c r="D757" i="5"/>
  <c r="E757" i="5"/>
  <c r="F757" i="5"/>
  <c r="G757" i="5"/>
  <c r="H757" i="5"/>
  <c r="I757" i="5"/>
  <c r="J757" i="5"/>
  <c r="K757" i="5"/>
  <c r="L757" i="5"/>
  <c r="M757" i="5"/>
  <c r="N757" i="5"/>
  <c r="O757" i="5"/>
  <c r="P757" i="5"/>
  <c r="Q757" i="5"/>
  <c r="R757" i="5"/>
  <c r="S757" i="5"/>
  <c r="T757" i="5"/>
  <c r="U757" i="5"/>
  <c r="V757" i="5"/>
  <c r="W757" i="5"/>
  <c r="X757" i="5"/>
  <c r="B758" i="5"/>
  <c r="C758" i="5"/>
  <c r="AB758" i="5" s="1"/>
  <c r="D758" i="5"/>
  <c r="E758" i="5"/>
  <c r="F758" i="5"/>
  <c r="G758" i="5"/>
  <c r="H758" i="5"/>
  <c r="I758" i="5"/>
  <c r="J758" i="5"/>
  <c r="K758" i="5"/>
  <c r="L758" i="5"/>
  <c r="M758" i="5"/>
  <c r="N758" i="5"/>
  <c r="O758" i="5"/>
  <c r="P758" i="5"/>
  <c r="Q758" i="5"/>
  <c r="R758" i="5"/>
  <c r="S758" i="5"/>
  <c r="T758" i="5"/>
  <c r="U758" i="5"/>
  <c r="V758" i="5"/>
  <c r="W758" i="5"/>
  <c r="X758" i="5"/>
  <c r="B759" i="5"/>
  <c r="C759" i="5"/>
  <c r="D759" i="5"/>
  <c r="E759" i="5"/>
  <c r="F759" i="5"/>
  <c r="G759" i="5"/>
  <c r="H759" i="5"/>
  <c r="I759" i="5"/>
  <c r="J759" i="5"/>
  <c r="K759" i="5"/>
  <c r="L759" i="5"/>
  <c r="M759" i="5"/>
  <c r="N759" i="5"/>
  <c r="O759" i="5"/>
  <c r="P759" i="5"/>
  <c r="Q759" i="5"/>
  <c r="R759" i="5"/>
  <c r="S759" i="5"/>
  <c r="T759" i="5"/>
  <c r="U759" i="5"/>
  <c r="V759" i="5"/>
  <c r="W759" i="5"/>
  <c r="X759" i="5"/>
  <c r="B760" i="5"/>
  <c r="C760" i="5"/>
  <c r="AB760" i="5" s="1"/>
  <c r="D760" i="5"/>
  <c r="E760" i="5"/>
  <c r="F760" i="5"/>
  <c r="G760" i="5"/>
  <c r="H760" i="5"/>
  <c r="I760" i="5"/>
  <c r="J760" i="5"/>
  <c r="K760" i="5"/>
  <c r="L760" i="5"/>
  <c r="M760" i="5"/>
  <c r="N760" i="5"/>
  <c r="O760" i="5"/>
  <c r="P760" i="5"/>
  <c r="Q760" i="5"/>
  <c r="R760" i="5"/>
  <c r="S760" i="5"/>
  <c r="T760" i="5"/>
  <c r="U760" i="5"/>
  <c r="V760" i="5"/>
  <c r="W760" i="5"/>
  <c r="X760" i="5"/>
  <c r="B761" i="5"/>
  <c r="C761" i="5"/>
  <c r="D761" i="5"/>
  <c r="E761" i="5"/>
  <c r="F761" i="5"/>
  <c r="G761" i="5"/>
  <c r="H761" i="5"/>
  <c r="I761" i="5"/>
  <c r="J761" i="5"/>
  <c r="K761" i="5"/>
  <c r="L761" i="5"/>
  <c r="M761" i="5"/>
  <c r="N761" i="5"/>
  <c r="O761" i="5"/>
  <c r="P761" i="5"/>
  <c r="Q761" i="5"/>
  <c r="R761" i="5"/>
  <c r="S761" i="5"/>
  <c r="T761" i="5"/>
  <c r="U761" i="5"/>
  <c r="V761" i="5"/>
  <c r="W761" i="5"/>
  <c r="X761" i="5"/>
  <c r="B762" i="5"/>
  <c r="C762" i="5"/>
  <c r="AB762" i="5" s="1"/>
  <c r="D762" i="5"/>
  <c r="E762" i="5"/>
  <c r="F762" i="5"/>
  <c r="G762" i="5"/>
  <c r="H762" i="5"/>
  <c r="I762" i="5"/>
  <c r="J762" i="5"/>
  <c r="K762" i="5"/>
  <c r="L762" i="5"/>
  <c r="M762" i="5"/>
  <c r="N762" i="5"/>
  <c r="O762" i="5"/>
  <c r="P762" i="5"/>
  <c r="Q762" i="5"/>
  <c r="R762" i="5"/>
  <c r="S762" i="5"/>
  <c r="T762" i="5"/>
  <c r="U762" i="5"/>
  <c r="V762" i="5"/>
  <c r="W762" i="5"/>
  <c r="X762" i="5"/>
  <c r="B763" i="5"/>
  <c r="C763" i="5"/>
  <c r="D763" i="5"/>
  <c r="E763" i="5"/>
  <c r="F763" i="5"/>
  <c r="G763" i="5"/>
  <c r="H763" i="5"/>
  <c r="I763" i="5"/>
  <c r="J763" i="5"/>
  <c r="K763" i="5"/>
  <c r="L763" i="5"/>
  <c r="M763" i="5"/>
  <c r="N763" i="5"/>
  <c r="O763" i="5"/>
  <c r="P763" i="5"/>
  <c r="Q763" i="5"/>
  <c r="R763" i="5"/>
  <c r="S763" i="5"/>
  <c r="T763" i="5"/>
  <c r="U763" i="5"/>
  <c r="V763" i="5"/>
  <c r="W763" i="5"/>
  <c r="X763" i="5"/>
  <c r="B764" i="5"/>
  <c r="C764" i="5"/>
  <c r="AB764" i="5" s="1"/>
  <c r="D764" i="5"/>
  <c r="E764" i="5"/>
  <c r="F764" i="5"/>
  <c r="G764" i="5"/>
  <c r="H764" i="5"/>
  <c r="I764" i="5"/>
  <c r="J764" i="5"/>
  <c r="K764" i="5"/>
  <c r="L764" i="5"/>
  <c r="M764" i="5"/>
  <c r="N764" i="5"/>
  <c r="O764" i="5"/>
  <c r="P764" i="5"/>
  <c r="Q764" i="5"/>
  <c r="R764" i="5"/>
  <c r="S764" i="5"/>
  <c r="T764" i="5"/>
  <c r="U764" i="5"/>
  <c r="V764" i="5"/>
  <c r="W764" i="5"/>
  <c r="X764" i="5"/>
  <c r="B765" i="5"/>
  <c r="C765" i="5"/>
  <c r="D765" i="5"/>
  <c r="E765" i="5"/>
  <c r="F765" i="5"/>
  <c r="G765" i="5"/>
  <c r="H765" i="5"/>
  <c r="I765" i="5"/>
  <c r="J765" i="5"/>
  <c r="K765" i="5"/>
  <c r="L765" i="5"/>
  <c r="M765" i="5"/>
  <c r="N765" i="5"/>
  <c r="O765" i="5"/>
  <c r="P765" i="5"/>
  <c r="Q765" i="5"/>
  <c r="R765" i="5"/>
  <c r="S765" i="5"/>
  <c r="T765" i="5"/>
  <c r="U765" i="5"/>
  <c r="V765" i="5"/>
  <c r="W765" i="5"/>
  <c r="X765" i="5"/>
  <c r="B766" i="5"/>
  <c r="C766" i="5"/>
  <c r="AB766" i="5" s="1"/>
  <c r="D766" i="5"/>
  <c r="E766" i="5"/>
  <c r="F766" i="5"/>
  <c r="G766" i="5"/>
  <c r="H766" i="5"/>
  <c r="I766" i="5"/>
  <c r="J766" i="5"/>
  <c r="K766" i="5"/>
  <c r="L766" i="5"/>
  <c r="M766" i="5"/>
  <c r="N766" i="5"/>
  <c r="O766" i="5"/>
  <c r="P766" i="5"/>
  <c r="Q766" i="5"/>
  <c r="R766" i="5"/>
  <c r="S766" i="5"/>
  <c r="T766" i="5"/>
  <c r="U766" i="5"/>
  <c r="V766" i="5"/>
  <c r="W766" i="5"/>
  <c r="X766" i="5"/>
  <c r="B767" i="5"/>
  <c r="C767" i="5"/>
  <c r="D767" i="5"/>
  <c r="E767" i="5"/>
  <c r="F767" i="5"/>
  <c r="G767" i="5"/>
  <c r="H767" i="5"/>
  <c r="I767" i="5"/>
  <c r="J767" i="5"/>
  <c r="K767" i="5"/>
  <c r="L767" i="5"/>
  <c r="M767" i="5"/>
  <c r="N767" i="5"/>
  <c r="O767" i="5"/>
  <c r="P767" i="5"/>
  <c r="Q767" i="5"/>
  <c r="R767" i="5"/>
  <c r="S767" i="5"/>
  <c r="T767" i="5"/>
  <c r="U767" i="5"/>
  <c r="V767" i="5"/>
  <c r="W767" i="5"/>
  <c r="X767" i="5"/>
  <c r="B768" i="5"/>
  <c r="C768" i="5"/>
  <c r="AB768" i="5" s="1"/>
  <c r="D768" i="5"/>
  <c r="E768" i="5"/>
  <c r="F768" i="5"/>
  <c r="G768" i="5"/>
  <c r="H768" i="5"/>
  <c r="I768" i="5"/>
  <c r="J768" i="5"/>
  <c r="K768" i="5"/>
  <c r="L768" i="5"/>
  <c r="M768" i="5"/>
  <c r="N768" i="5"/>
  <c r="O768" i="5"/>
  <c r="P768" i="5"/>
  <c r="Q768" i="5"/>
  <c r="R768" i="5"/>
  <c r="S768" i="5"/>
  <c r="T768" i="5"/>
  <c r="U768" i="5"/>
  <c r="V768" i="5"/>
  <c r="W768" i="5"/>
  <c r="X768" i="5"/>
  <c r="B769" i="5"/>
  <c r="C769" i="5"/>
  <c r="D769" i="5"/>
  <c r="E769" i="5"/>
  <c r="F769" i="5"/>
  <c r="G769" i="5"/>
  <c r="H769" i="5"/>
  <c r="I769" i="5"/>
  <c r="J769" i="5"/>
  <c r="K769" i="5"/>
  <c r="L769" i="5"/>
  <c r="M769" i="5"/>
  <c r="N769" i="5"/>
  <c r="O769" i="5"/>
  <c r="P769" i="5"/>
  <c r="Q769" i="5"/>
  <c r="R769" i="5"/>
  <c r="S769" i="5"/>
  <c r="T769" i="5"/>
  <c r="U769" i="5"/>
  <c r="V769" i="5"/>
  <c r="W769" i="5"/>
  <c r="X769" i="5"/>
  <c r="B770" i="5"/>
  <c r="C770" i="5"/>
  <c r="AB770" i="5" s="1"/>
  <c r="D770" i="5"/>
  <c r="E770" i="5"/>
  <c r="F770" i="5"/>
  <c r="G770" i="5"/>
  <c r="H770" i="5"/>
  <c r="I770" i="5"/>
  <c r="J770" i="5"/>
  <c r="K770" i="5"/>
  <c r="L770" i="5"/>
  <c r="M770" i="5"/>
  <c r="N770" i="5"/>
  <c r="O770" i="5"/>
  <c r="P770" i="5"/>
  <c r="Q770" i="5"/>
  <c r="R770" i="5"/>
  <c r="S770" i="5"/>
  <c r="T770" i="5"/>
  <c r="U770" i="5"/>
  <c r="V770" i="5"/>
  <c r="W770" i="5"/>
  <c r="X770" i="5"/>
  <c r="B771" i="5"/>
  <c r="C771" i="5"/>
  <c r="D771" i="5"/>
  <c r="E771" i="5"/>
  <c r="F771" i="5"/>
  <c r="G771" i="5"/>
  <c r="H771" i="5"/>
  <c r="I771" i="5"/>
  <c r="J771" i="5"/>
  <c r="K771" i="5"/>
  <c r="L771" i="5"/>
  <c r="M771" i="5"/>
  <c r="N771" i="5"/>
  <c r="O771" i="5"/>
  <c r="P771" i="5"/>
  <c r="Q771" i="5"/>
  <c r="R771" i="5"/>
  <c r="S771" i="5"/>
  <c r="T771" i="5"/>
  <c r="U771" i="5"/>
  <c r="V771" i="5"/>
  <c r="W771" i="5"/>
  <c r="X771" i="5"/>
  <c r="B772" i="5"/>
  <c r="C772" i="5"/>
  <c r="AB772" i="5" s="1"/>
  <c r="D772" i="5"/>
  <c r="E772" i="5"/>
  <c r="F772" i="5"/>
  <c r="G772" i="5"/>
  <c r="H772" i="5"/>
  <c r="I772" i="5"/>
  <c r="J772" i="5"/>
  <c r="K772" i="5"/>
  <c r="L772" i="5"/>
  <c r="M772" i="5"/>
  <c r="N772" i="5"/>
  <c r="O772" i="5"/>
  <c r="P772" i="5"/>
  <c r="Q772" i="5"/>
  <c r="R772" i="5"/>
  <c r="S772" i="5"/>
  <c r="T772" i="5"/>
  <c r="U772" i="5"/>
  <c r="V772" i="5"/>
  <c r="W772" i="5"/>
  <c r="X772" i="5"/>
  <c r="B773" i="5"/>
  <c r="C773" i="5"/>
  <c r="D773" i="5"/>
  <c r="E773" i="5"/>
  <c r="F773" i="5"/>
  <c r="G773" i="5"/>
  <c r="H773" i="5"/>
  <c r="I773" i="5"/>
  <c r="J773" i="5"/>
  <c r="K773" i="5"/>
  <c r="L773" i="5"/>
  <c r="M773" i="5"/>
  <c r="N773" i="5"/>
  <c r="O773" i="5"/>
  <c r="P773" i="5"/>
  <c r="Q773" i="5"/>
  <c r="R773" i="5"/>
  <c r="S773" i="5"/>
  <c r="T773" i="5"/>
  <c r="U773" i="5"/>
  <c r="V773" i="5"/>
  <c r="W773" i="5"/>
  <c r="X773" i="5"/>
  <c r="B774" i="5"/>
  <c r="C774" i="5"/>
  <c r="AB774" i="5" s="1"/>
  <c r="D774" i="5"/>
  <c r="E774" i="5"/>
  <c r="F774" i="5"/>
  <c r="G774" i="5"/>
  <c r="H774" i="5"/>
  <c r="I774" i="5"/>
  <c r="J774" i="5"/>
  <c r="K774" i="5"/>
  <c r="L774" i="5"/>
  <c r="M774" i="5"/>
  <c r="N774" i="5"/>
  <c r="O774" i="5"/>
  <c r="P774" i="5"/>
  <c r="Q774" i="5"/>
  <c r="R774" i="5"/>
  <c r="S774" i="5"/>
  <c r="T774" i="5"/>
  <c r="U774" i="5"/>
  <c r="V774" i="5"/>
  <c r="W774" i="5"/>
  <c r="X774" i="5"/>
  <c r="B775" i="5"/>
  <c r="C775" i="5"/>
  <c r="D775" i="5"/>
  <c r="E775" i="5"/>
  <c r="F775" i="5"/>
  <c r="G775" i="5"/>
  <c r="H775" i="5"/>
  <c r="I775" i="5"/>
  <c r="J775" i="5"/>
  <c r="K775" i="5"/>
  <c r="L775" i="5"/>
  <c r="M775" i="5"/>
  <c r="N775" i="5"/>
  <c r="AC775" i="5" s="1"/>
  <c r="O775" i="5"/>
  <c r="P775" i="5"/>
  <c r="Q775" i="5"/>
  <c r="R775" i="5"/>
  <c r="S775" i="5"/>
  <c r="T775" i="5"/>
  <c r="U775" i="5"/>
  <c r="V775" i="5"/>
  <c r="W775" i="5"/>
  <c r="X775" i="5"/>
  <c r="B776" i="5"/>
  <c r="C776" i="5"/>
  <c r="AB776" i="5" s="1"/>
  <c r="D776" i="5"/>
  <c r="E776" i="5"/>
  <c r="F776" i="5"/>
  <c r="G776" i="5"/>
  <c r="H776" i="5"/>
  <c r="I776" i="5"/>
  <c r="J776" i="5"/>
  <c r="K776" i="5"/>
  <c r="L776" i="5"/>
  <c r="M776" i="5"/>
  <c r="N776" i="5"/>
  <c r="O776" i="5"/>
  <c r="P776" i="5"/>
  <c r="Q776" i="5"/>
  <c r="R776" i="5"/>
  <c r="S776" i="5"/>
  <c r="T776" i="5"/>
  <c r="U776" i="5"/>
  <c r="V776" i="5"/>
  <c r="W776" i="5"/>
  <c r="X776" i="5"/>
  <c r="B777" i="5"/>
  <c r="C777" i="5"/>
  <c r="D777" i="5"/>
  <c r="E777" i="5"/>
  <c r="F777" i="5"/>
  <c r="G777" i="5"/>
  <c r="H777" i="5"/>
  <c r="I777" i="5"/>
  <c r="J777" i="5"/>
  <c r="K777" i="5"/>
  <c r="L777" i="5"/>
  <c r="M777" i="5"/>
  <c r="N777" i="5"/>
  <c r="O777" i="5"/>
  <c r="P777" i="5"/>
  <c r="Q777" i="5"/>
  <c r="R777" i="5"/>
  <c r="S777" i="5"/>
  <c r="T777" i="5"/>
  <c r="U777" i="5"/>
  <c r="V777" i="5"/>
  <c r="W777" i="5"/>
  <c r="X777" i="5"/>
  <c r="B778" i="5"/>
  <c r="C778" i="5"/>
  <c r="AB778" i="5" s="1"/>
  <c r="D778" i="5"/>
  <c r="E778" i="5"/>
  <c r="F778" i="5"/>
  <c r="G778" i="5"/>
  <c r="H778" i="5"/>
  <c r="I778" i="5"/>
  <c r="J778" i="5"/>
  <c r="K778" i="5"/>
  <c r="L778" i="5"/>
  <c r="M778" i="5"/>
  <c r="N778" i="5"/>
  <c r="O778" i="5"/>
  <c r="P778" i="5"/>
  <c r="Q778" i="5"/>
  <c r="R778" i="5"/>
  <c r="S778" i="5"/>
  <c r="T778" i="5"/>
  <c r="U778" i="5"/>
  <c r="V778" i="5"/>
  <c r="W778" i="5"/>
  <c r="X778" i="5"/>
  <c r="B779" i="5"/>
  <c r="C779" i="5"/>
  <c r="D779" i="5"/>
  <c r="E779" i="5"/>
  <c r="F779" i="5"/>
  <c r="G779" i="5"/>
  <c r="H779" i="5"/>
  <c r="I779" i="5"/>
  <c r="J779" i="5"/>
  <c r="K779" i="5"/>
  <c r="L779" i="5"/>
  <c r="M779" i="5"/>
  <c r="N779" i="5"/>
  <c r="O779" i="5"/>
  <c r="P779" i="5"/>
  <c r="Q779" i="5"/>
  <c r="R779" i="5"/>
  <c r="S779" i="5"/>
  <c r="T779" i="5"/>
  <c r="U779" i="5"/>
  <c r="V779" i="5"/>
  <c r="W779" i="5"/>
  <c r="X779" i="5"/>
  <c r="B780" i="5"/>
  <c r="C780" i="5"/>
  <c r="AB780" i="5" s="1"/>
  <c r="D780" i="5"/>
  <c r="E780" i="5"/>
  <c r="F780" i="5"/>
  <c r="G780" i="5"/>
  <c r="H780" i="5"/>
  <c r="I780" i="5"/>
  <c r="J780" i="5"/>
  <c r="K780" i="5"/>
  <c r="L780" i="5"/>
  <c r="M780" i="5"/>
  <c r="N780" i="5"/>
  <c r="O780" i="5"/>
  <c r="P780" i="5"/>
  <c r="Q780" i="5"/>
  <c r="R780" i="5"/>
  <c r="S780" i="5"/>
  <c r="T780" i="5"/>
  <c r="U780" i="5"/>
  <c r="V780" i="5"/>
  <c r="W780" i="5"/>
  <c r="X780" i="5"/>
  <c r="B781" i="5"/>
  <c r="C781" i="5"/>
  <c r="D781" i="5"/>
  <c r="E781" i="5"/>
  <c r="F781" i="5"/>
  <c r="G781" i="5"/>
  <c r="H781" i="5"/>
  <c r="I781" i="5"/>
  <c r="J781" i="5"/>
  <c r="K781" i="5"/>
  <c r="L781" i="5"/>
  <c r="M781" i="5"/>
  <c r="N781" i="5"/>
  <c r="O781" i="5"/>
  <c r="P781" i="5"/>
  <c r="Q781" i="5"/>
  <c r="R781" i="5"/>
  <c r="S781" i="5"/>
  <c r="T781" i="5"/>
  <c r="U781" i="5"/>
  <c r="V781" i="5"/>
  <c r="W781" i="5"/>
  <c r="X781" i="5"/>
  <c r="B782" i="5"/>
  <c r="C782" i="5"/>
  <c r="AB782" i="5" s="1"/>
  <c r="D782" i="5"/>
  <c r="E782" i="5"/>
  <c r="F782" i="5"/>
  <c r="G782" i="5"/>
  <c r="H782" i="5"/>
  <c r="I782" i="5"/>
  <c r="J782" i="5"/>
  <c r="K782" i="5"/>
  <c r="L782" i="5"/>
  <c r="M782" i="5"/>
  <c r="N782" i="5"/>
  <c r="O782" i="5"/>
  <c r="P782" i="5"/>
  <c r="Q782" i="5"/>
  <c r="R782" i="5"/>
  <c r="S782" i="5"/>
  <c r="T782" i="5"/>
  <c r="U782" i="5"/>
  <c r="V782" i="5"/>
  <c r="W782" i="5"/>
  <c r="X782" i="5"/>
  <c r="B783" i="5"/>
  <c r="C783" i="5"/>
  <c r="D783" i="5"/>
  <c r="E783" i="5"/>
  <c r="F783" i="5"/>
  <c r="G783" i="5"/>
  <c r="H783" i="5"/>
  <c r="I783" i="5"/>
  <c r="J783" i="5"/>
  <c r="K783" i="5"/>
  <c r="L783" i="5"/>
  <c r="M783" i="5"/>
  <c r="N783" i="5"/>
  <c r="O783" i="5"/>
  <c r="P783" i="5"/>
  <c r="Q783" i="5"/>
  <c r="R783" i="5"/>
  <c r="S783" i="5"/>
  <c r="T783" i="5"/>
  <c r="U783" i="5"/>
  <c r="V783" i="5"/>
  <c r="W783" i="5"/>
  <c r="X783" i="5"/>
  <c r="B784" i="5"/>
  <c r="C784" i="5"/>
  <c r="AB784" i="5" s="1"/>
  <c r="D784" i="5"/>
  <c r="E784" i="5"/>
  <c r="F784" i="5"/>
  <c r="G784" i="5"/>
  <c r="H784" i="5"/>
  <c r="I784" i="5"/>
  <c r="J784" i="5"/>
  <c r="K784" i="5"/>
  <c r="L784" i="5"/>
  <c r="M784" i="5"/>
  <c r="N784" i="5"/>
  <c r="O784" i="5"/>
  <c r="P784" i="5"/>
  <c r="Q784" i="5"/>
  <c r="R784" i="5"/>
  <c r="S784" i="5"/>
  <c r="T784" i="5"/>
  <c r="U784" i="5"/>
  <c r="V784" i="5"/>
  <c r="W784" i="5"/>
  <c r="X784" i="5"/>
  <c r="B785" i="5"/>
  <c r="C785" i="5"/>
  <c r="D785" i="5"/>
  <c r="E785" i="5"/>
  <c r="F785" i="5"/>
  <c r="G785" i="5"/>
  <c r="H785" i="5"/>
  <c r="I785" i="5"/>
  <c r="J785" i="5"/>
  <c r="K785" i="5"/>
  <c r="L785" i="5"/>
  <c r="M785" i="5"/>
  <c r="N785" i="5"/>
  <c r="O785" i="5"/>
  <c r="P785" i="5"/>
  <c r="Q785" i="5"/>
  <c r="R785" i="5"/>
  <c r="S785" i="5"/>
  <c r="T785" i="5"/>
  <c r="U785" i="5"/>
  <c r="V785" i="5"/>
  <c r="W785" i="5"/>
  <c r="X785" i="5"/>
  <c r="B786" i="5"/>
  <c r="C786" i="5"/>
  <c r="AB786" i="5" s="1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B788" i="5"/>
  <c r="C788" i="5"/>
  <c r="AB788" i="5" s="1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B790" i="5"/>
  <c r="C790" i="5"/>
  <c r="AB790" i="5" s="1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B792" i="5"/>
  <c r="C792" i="5"/>
  <c r="AB792" i="5" s="1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B794" i="5"/>
  <c r="C794" i="5"/>
  <c r="AB794" i="5" s="1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B796" i="5"/>
  <c r="C796" i="5"/>
  <c r="AB796" i="5" s="1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B798" i="5"/>
  <c r="C798" i="5"/>
  <c r="AB798" i="5" s="1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B800" i="5"/>
  <c r="C800" i="5"/>
  <c r="AB800" i="5" s="1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B802" i="5"/>
  <c r="C802" i="5"/>
  <c r="AB802" i="5" s="1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B804" i="5"/>
  <c r="C804" i="5"/>
  <c r="AB804" i="5" s="1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B806" i="5"/>
  <c r="C806" i="5"/>
  <c r="AB806" i="5" s="1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B808" i="5"/>
  <c r="C808" i="5"/>
  <c r="AB808" i="5" s="1"/>
  <c r="D808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B810" i="5"/>
  <c r="C810" i="5"/>
  <c r="AB810" i="5" s="1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B812" i="5"/>
  <c r="C812" i="5"/>
  <c r="AB812" i="5" s="1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B814" i="5"/>
  <c r="C814" i="5"/>
  <c r="AB814" i="5" s="1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B816" i="5"/>
  <c r="C816" i="5"/>
  <c r="AB816" i="5" s="1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B817" i="5"/>
  <c r="C817" i="5"/>
  <c r="D817" i="5"/>
  <c r="E817" i="5"/>
  <c r="F817" i="5"/>
  <c r="G817" i="5"/>
  <c r="H817" i="5"/>
  <c r="I817" i="5"/>
  <c r="J817" i="5"/>
  <c r="K817" i="5"/>
  <c r="L817" i="5"/>
  <c r="M817" i="5"/>
  <c r="N817" i="5"/>
  <c r="O817" i="5"/>
  <c r="P817" i="5"/>
  <c r="Q817" i="5"/>
  <c r="R817" i="5"/>
  <c r="S817" i="5"/>
  <c r="T817" i="5"/>
  <c r="U817" i="5"/>
  <c r="V817" i="5"/>
  <c r="W817" i="5"/>
  <c r="X817" i="5"/>
  <c r="B818" i="5"/>
  <c r="C818" i="5"/>
  <c r="AB818" i="5" s="1"/>
  <c r="D818" i="5"/>
  <c r="E818" i="5"/>
  <c r="F818" i="5"/>
  <c r="G818" i="5"/>
  <c r="H818" i="5"/>
  <c r="I818" i="5"/>
  <c r="J818" i="5"/>
  <c r="K818" i="5"/>
  <c r="L818" i="5"/>
  <c r="M818" i="5"/>
  <c r="N818" i="5"/>
  <c r="O818" i="5"/>
  <c r="P818" i="5"/>
  <c r="Q818" i="5"/>
  <c r="R818" i="5"/>
  <c r="S818" i="5"/>
  <c r="T818" i="5"/>
  <c r="U818" i="5"/>
  <c r="V818" i="5"/>
  <c r="W818" i="5"/>
  <c r="X818" i="5"/>
  <c r="B819" i="5"/>
  <c r="C819" i="5"/>
  <c r="D819" i="5"/>
  <c r="E819" i="5"/>
  <c r="F819" i="5"/>
  <c r="G819" i="5"/>
  <c r="H819" i="5"/>
  <c r="I819" i="5"/>
  <c r="J819" i="5"/>
  <c r="K819" i="5"/>
  <c r="L819" i="5"/>
  <c r="M819" i="5"/>
  <c r="N819" i="5"/>
  <c r="O819" i="5"/>
  <c r="P819" i="5"/>
  <c r="Q819" i="5"/>
  <c r="R819" i="5"/>
  <c r="S819" i="5"/>
  <c r="T819" i="5"/>
  <c r="U819" i="5"/>
  <c r="V819" i="5"/>
  <c r="W819" i="5"/>
  <c r="X819" i="5"/>
  <c r="B820" i="5"/>
  <c r="C820" i="5"/>
  <c r="AB820" i="5" s="1"/>
  <c r="D820" i="5"/>
  <c r="E820" i="5"/>
  <c r="F820" i="5"/>
  <c r="G820" i="5"/>
  <c r="H820" i="5"/>
  <c r="I820" i="5"/>
  <c r="J820" i="5"/>
  <c r="K820" i="5"/>
  <c r="L820" i="5"/>
  <c r="M820" i="5"/>
  <c r="N820" i="5"/>
  <c r="O820" i="5"/>
  <c r="P820" i="5"/>
  <c r="Q820" i="5"/>
  <c r="R820" i="5"/>
  <c r="S820" i="5"/>
  <c r="T820" i="5"/>
  <c r="U820" i="5"/>
  <c r="V820" i="5"/>
  <c r="W820" i="5"/>
  <c r="X820" i="5"/>
  <c r="B821" i="5"/>
  <c r="C821" i="5"/>
  <c r="D821" i="5"/>
  <c r="E821" i="5"/>
  <c r="F821" i="5"/>
  <c r="G821" i="5"/>
  <c r="H821" i="5"/>
  <c r="I821" i="5"/>
  <c r="J821" i="5"/>
  <c r="K821" i="5"/>
  <c r="L821" i="5"/>
  <c r="M821" i="5"/>
  <c r="N821" i="5"/>
  <c r="O821" i="5"/>
  <c r="P821" i="5"/>
  <c r="Q821" i="5"/>
  <c r="R821" i="5"/>
  <c r="S821" i="5"/>
  <c r="T821" i="5"/>
  <c r="U821" i="5"/>
  <c r="V821" i="5"/>
  <c r="W821" i="5"/>
  <c r="X821" i="5"/>
  <c r="B822" i="5"/>
  <c r="C822" i="5"/>
  <c r="AB822" i="5" s="1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B824" i="5"/>
  <c r="C824" i="5"/>
  <c r="AB824" i="5" s="1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B826" i="5"/>
  <c r="C826" i="5"/>
  <c r="AB826" i="5" s="1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B828" i="5"/>
  <c r="C828" i="5"/>
  <c r="AB828" i="5" s="1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B830" i="5"/>
  <c r="C830" i="5"/>
  <c r="AB830" i="5" s="1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B832" i="5"/>
  <c r="C832" i="5"/>
  <c r="AB832" i="5" s="1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B853" i="5"/>
  <c r="C853" i="5"/>
  <c r="D853" i="5"/>
  <c r="E853" i="5"/>
  <c r="F853" i="5"/>
  <c r="G853" i="5"/>
  <c r="H853" i="5"/>
  <c r="I853" i="5"/>
  <c r="J853" i="5"/>
  <c r="K853" i="5"/>
  <c r="L853" i="5"/>
  <c r="M853" i="5"/>
  <c r="N853" i="5"/>
  <c r="O853" i="5"/>
  <c r="P853" i="5"/>
  <c r="Q853" i="5"/>
  <c r="R853" i="5"/>
  <c r="S853" i="5"/>
  <c r="T853" i="5"/>
  <c r="U853" i="5"/>
  <c r="V853" i="5"/>
  <c r="W853" i="5"/>
  <c r="X853" i="5"/>
  <c r="B854" i="5"/>
  <c r="C854" i="5"/>
  <c r="D854" i="5"/>
  <c r="E854" i="5"/>
  <c r="F854" i="5"/>
  <c r="G854" i="5"/>
  <c r="H854" i="5"/>
  <c r="I854" i="5"/>
  <c r="J854" i="5"/>
  <c r="K854" i="5"/>
  <c r="L854" i="5"/>
  <c r="M854" i="5"/>
  <c r="N854" i="5"/>
  <c r="O854" i="5"/>
  <c r="P854" i="5"/>
  <c r="Q854" i="5"/>
  <c r="R854" i="5"/>
  <c r="S854" i="5"/>
  <c r="T854" i="5"/>
  <c r="U854" i="5"/>
  <c r="V854" i="5"/>
  <c r="W854" i="5"/>
  <c r="X854" i="5"/>
  <c r="B855" i="5"/>
  <c r="C855" i="5"/>
  <c r="D855" i="5"/>
  <c r="E855" i="5"/>
  <c r="F855" i="5"/>
  <c r="G855" i="5"/>
  <c r="H855" i="5"/>
  <c r="I855" i="5"/>
  <c r="J855" i="5"/>
  <c r="K855" i="5"/>
  <c r="L855" i="5"/>
  <c r="M855" i="5"/>
  <c r="N855" i="5"/>
  <c r="O855" i="5"/>
  <c r="P855" i="5"/>
  <c r="Q855" i="5"/>
  <c r="R855" i="5"/>
  <c r="S855" i="5"/>
  <c r="T855" i="5"/>
  <c r="U855" i="5"/>
  <c r="V855" i="5"/>
  <c r="W855" i="5"/>
  <c r="X855" i="5"/>
  <c r="B856" i="5"/>
  <c r="C856" i="5"/>
  <c r="D856" i="5"/>
  <c r="E856" i="5"/>
  <c r="F856" i="5"/>
  <c r="G856" i="5"/>
  <c r="H856" i="5"/>
  <c r="I856" i="5"/>
  <c r="J856" i="5"/>
  <c r="K856" i="5"/>
  <c r="L856" i="5"/>
  <c r="M856" i="5"/>
  <c r="N856" i="5"/>
  <c r="O856" i="5"/>
  <c r="P856" i="5"/>
  <c r="Q856" i="5"/>
  <c r="R856" i="5"/>
  <c r="S856" i="5"/>
  <c r="T856" i="5"/>
  <c r="U856" i="5"/>
  <c r="V856" i="5"/>
  <c r="W856" i="5"/>
  <c r="X856" i="5"/>
  <c r="B857" i="5"/>
  <c r="C857" i="5"/>
  <c r="D857" i="5"/>
  <c r="E857" i="5"/>
  <c r="F857" i="5"/>
  <c r="G857" i="5"/>
  <c r="H857" i="5"/>
  <c r="I857" i="5"/>
  <c r="J857" i="5"/>
  <c r="K857" i="5"/>
  <c r="L857" i="5"/>
  <c r="M857" i="5"/>
  <c r="N857" i="5"/>
  <c r="O857" i="5"/>
  <c r="P857" i="5"/>
  <c r="Q857" i="5"/>
  <c r="R857" i="5"/>
  <c r="S857" i="5"/>
  <c r="T857" i="5"/>
  <c r="U857" i="5"/>
  <c r="V857" i="5"/>
  <c r="W857" i="5"/>
  <c r="X857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B889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U889" i="5"/>
  <c r="V889" i="5"/>
  <c r="W889" i="5"/>
  <c r="X889" i="5"/>
  <c r="B890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U890" i="5"/>
  <c r="V890" i="5"/>
  <c r="W890" i="5"/>
  <c r="X890" i="5"/>
  <c r="B891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U891" i="5"/>
  <c r="V891" i="5"/>
  <c r="W891" i="5"/>
  <c r="X891" i="5"/>
  <c r="B892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U892" i="5"/>
  <c r="V892" i="5"/>
  <c r="W892" i="5"/>
  <c r="X892" i="5"/>
  <c r="B893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U893" i="5"/>
  <c r="V893" i="5"/>
  <c r="W893" i="5"/>
  <c r="X893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AC905" i="5" s="1"/>
  <c r="O905" i="5"/>
  <c r="P905" i="5"/>
  <c r="Q905" i="5"/>
  <c r="R905" i="5"/>
  <c r="S905" i="5"/>
  <c r="T905" i="5"/>
  <c r="U905" i="5"/>
  <c r="V905" i="5"/>
  <c r="W905" i="5"/>
  <c r="X905" i="5"/>
  <c r="B906" i="5"/>
  <c r="AB906" i="5" s="1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AC907" i="5" s="1"/>
  <c r="O907" i="5"/>
  <c r="P907" i="5"/>
  <c r="Q907" i="5"/>
  <c r="R907" i="5"/>
  <c r="S907" i="5"/>
  <c r="T907" i="5"/>
  <c r="U907" i="5"/>
  <c r="V907" i="5"/>
  <c r="W907" i="5"/>
  <c r="X907" i="5"/>
  <c r="B908" i="5"/>
  <c r="AB908" i="5" s="1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AC909" i="5" s="1"/>
  <c r="O909" i="5"/>
  <c r="P909" i="5"/>
  <c r="Q909" i="5"/>
  <c r="R909" i="5"/>
  <c r="S909" i="5"/>
  <c r="T909" i="5"/>
  <c r="U909" i="5"/>
  <c r="V909" i="5"/>
  <c r="W909" i="5"/>
  <c r="X909" i="5"/>
  <c r="B910" i="5"/>
  <c r="AB910" i="5" s="1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AC911" i="5" s="1"/>
  <c r="O911" i="5"/>
  <c r="P911" i="5"/>
  <c r="Q911" i="5"/>
  <c r="R911" i="5"/>
  <c r="S911" i="5"/>
  <c r="T911" i="5"/>
  <c r="U911" i="5"/>
  <c r="V911" i="5"/>
  <c r="W911" i="5"/>
  <c r="X911" i="5"/>
  <c r="B912" i="5"/>
  <c r="AB912" i="5" s="1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AC913" i="5" s="1"/>
  <c r="O913" i="5"/>
  <c r="P913" i="5"/>
  <c r="Q913" i="5"/>
  <c r="R913" i="5"/>
  <c r="S913" i="5"/>
  <c r="T913" i="5"/>
  <c r="U913" i="5"/>
  <c r="V913" i="5"/>
  <c r="W913" i="5"/>
  <c r="X913" i="5"/>
  <c r="B914" i="5"/>
  <c r="AB914" i="5" s="1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AC915" i="5" s="1"/>
  <c r="O915" i="5"/>
  <c r="P915" i="5"/>
  <c r="Q915" i="5"/>
  <c r="R915" i="5"/>
  <c r="S915" i="5"/>
  <c r="T915" i="5"/>
  <c r="U915" i="5"/>
  <c r="V915" i="5"/>
  <c r="W915" i="5"/>
  <c r="X915" i="5"/>
  <c r="B916" i="5"/>
  <c r="AB916" i="5" s="1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AC917" i="5" s="1"/>
  <c r="O917" i="5"/>
  <c r="P917" i="5"/>
  <c r="Q917" i="5"/>
  <c r="R917" i="5"/>
  <c r="S917" i="5"/>
  <c r="T917" i="5"/>
  <c r="U917" i="5"/>
  <c r="V917" i="5"/>
  <c r="W917" i="5"/>
  <c r="X917" i="5"/>
  <c r="B918" i="5"/>
  <c r="AB918" i="5" s="1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AC919" i="5" s="1"/>
  <c r="O919" i="5"/>
  <c r="P919" i="5"/>
  <c r="Q919" i="5"/>
  <c r="R919" i="5"/>
  <c r="S919" i="5"/>
  <c r="T919" i="5"/>
  <c r="U919" i="5"/>
  <c r="V919" i="5"/>
  <c r="W919" i="5"/>
  <c r="X919" i="5"/>
  <c r="B920" i="5"/>
  <c r="AB920" i="5" s="1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AC921" i="5" s="1"/>
  <c r="O921" i="5"/>
  <c r="P921" i="5"/>
  <c r="Q921" i="5"/>
  <c r="R921" i="5"/>
  <c r="S921" i="5"/>
  <c r="T921" i="5"/>
  <c r="U921" i="5"/>
  <c r="V921" i="5"/>
  <c r="W921" i="5"/>
  <c r="X921" i="5"/>
  <c r="B922" i="5"/>
  <c r="AB922" i="5" s="1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AC923" i="5" s="1"/>
  <c r="O923" i="5"/>
  <c r="P923" i="5"/>
  <c r="Q923" i="5"/>
  <c r="R923" i="5"/>
  <c r="S923" i="5"/>
  <c r="T923" i="5"/>
  <c r="U923" i="5"/>
  <c r="V923" i="5"/>
  <c r="W923" i="5"/>
  <c r="X923" i="5"/>
  <c r="B924" i="5"/>
  <c r="AB924" i="5" s="1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B925" i="5"/>
  <c r="C925" i="5"/>
  <c r="D925" i="5"/>
  <c r="E925" i="5"/>
  <c r="F925" i="5"/>
  <c r="G925" i="5"/>
  <c r="H925" i="5"/>
  <c r="I925" i="5"/>
  <c r="J925" i="5"/>
  <c r="K925" i="5"/>
  <c r="L925" i="5"/>
  <c r="M925" i="5"/>
  <c r="N925" i="5"/>
  <c r="AC925" i="5" s="1"/>
  <c r="O925" i="5"/>
  <c r="P925" i="5"/>
  <c r="Q925" i="5"/>
  <c r="R925" i="5"/>
  <c r="S925" i="5"/>
  <c r="T925" i="5"/>
  <c r="U925" i="5"/>
  <c r="V925" i="5"/>
  <c r="W925" i="5"/>
  <c r="X925" i="5"/>
  <c r="B926" i="5"/>
  <c r="AB926" i="5" s="1"/>
  <c r="C926" i="5"/>
  <c r="D926" i="5"/>
  <c r="E926" i="5"/>
  <c r="F926" i="5"/>
  <c r="G926" i="5"/>
  <c r="H926" i="5"/>
  <c r="I926" i="5"/>
  <c r="J926" i="5"/>
  <c r="K926" i="5"/>
  <c r="L926" i="5"/>
  <c r="M926" i="5"/>
  <c r="N926" i="5"/>
  <c r="O926" i="5"/>
  <c r="P926" i="5"/>
  <c r="Q926" i="5"/>
  <c r="R926" i="5"/>
  <c r="S926" i="5"/>
  <c r="T926" i="5"/>
  <c r="U926" i="5"/>
  <c r="V926" i="5"/>
  <c r="W926" i="5"/>
  <c r="X926" i="5"/>
  <c r="B927" i="5"/>
  <c r="C927" i="5"/>
  <c r="D927" i="5"/>
  <c r="E927" i="5"/>
  <c r="F927" i="5"/>
  <c r="G927" i="5"/>
  <c r="H927" i="5"/>
  <c r="I927" i="5"/>
  <c r="J927" i="5"/>
  <c r="K927" i="5"/>
  <c r="L927" i="5"/>
  <c r="M927" i="5"/>
  <c r="N927" i="5"/>
  <c r="AC927" i="5" s="1"/>
  <c r="O927" i="5"/>
  <c r="P927" i="5"/>
  <c r="Q927" i="5"/>
  <c r="R927" i="5"/>
  <c r="S927" i="5"/>
  <c r="T927" i="5"/>
  <c r="U927" i="5"/>
  <c r="V927" i="5"/>
  <c r="W927" i="5"/>
  <c r="X927" i="5"/>
  <c r="B928" i="5"/>
  <c r="AB928" i="5" s="1"/>
  <c r="C928" i="5"/>
  <c r="D928" i="5"/>
  <c r="E928" i="5"/>
  <c r="F928" i="5"/>
  <c r="G928" i="5"/>
  <c r="H928" i="5"/>
  <c r="I928" i="5"/>
  <c r="J928" i="5"/>
  <c r="K928" i="5"/>
  <c r="L928" i="5"/>
  <c r="M928" i="5"/>
  <c r="N928" i="5"/>
  <c r="O928" i="5"/>
  <c r="P928" i="5"/>
  <c r="Q928" i="5"/>
  <c r="R928" i="5"/>
  <c r="S928" i="5"/>
  <c r="T928" i="5"/>
  <c r="U928" i="5"/>
  <c r="V928" i="5"/>
  <c r="W928" i="5"/>
  <c r="X928" i="5"/>
  <c r="B929" i="5"/>
  <c r="C929" i="5"/>
  <c r="D929" i="5"/>
  <c r="E929" i="5"/>
  <c r="F929" i="5"/>
  <c r="G929" i="5"/>
  <c r="H929" i="5"/>
  <c r="I929" i="5"/>
  <c r="J929" i="5"/>
  <c r="K929" i="5"/>
  <c r="L929" i="5"/>
  <c r="M929" i="5"/>
  <c r="N929" i="5"/>
  <c r="AC929" i="5" s="1"/>
  <c r="O929" i="5"/>
  <c r="P929" i="5"/>
  <c r="Q929" i="5"/>
  <c r="R929" i="5"/>
  <c r="S929" i="5"/>
  <c r="T929" i="5"/>
  <c r="U929" i="5"/>
  <c r="V929" i="5"/>
  <c r="W929" i="5"/>
  <c r="X929" i="5"/>
  <c r="B930" i="5"/>
  <c r="AB930" i="5" s="1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AC931" i="5" s="1"/>
  <c r="O931" i="5"/>
  <c r="P931" i="5"/>
  <c r="Q931" i="5"/>
  <c r="R931" i="5"/>
  <c r="S931" i="5"/>
  <c r="T931" i="5"/>
  <c r="U931" i="5"/>
  <c r="V931" i="5"/>
  <c r="W931" i="5"/>
  <c r="X931" i="5"/>
  <c r="B932" i="5"/>
  <c r="AB932" i="5" s="1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AC933" i="5" s="1"/>
  <c r="O933" i="5"/>
  <c r="P933" i="5"/>
  <c r="Q933" i="5"/>
  <c r="R933" i="5"/>
  <c r="S933" i="5"/>
  <c r="T933" i="5"/>
  <c r="U933" i="5"/>
  <c r="V933" i="5"/>
  <c r="W933" i="5"/>
  <c r="X933" i="5"/>
  <c r="B934" i="5"/>
  <c r="AB934" i="5" s="1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N935" i="5"/>
  <c r="AC935" i="5" s="1"/>
  <c r="O935" i="5"/>
  <c r="P935" i="5"/>
  <c r="Q935" i="5"/>
  <c r="R935" i="5"/>
  <c r="S935" i="5"/>
  <c r="T935" i="5"/>
  <c r="U935" i="5"/>
  <c r="V935" i="5"/>
  <c r="W935" i="5"/>
  <c r="X935" i="5"/>
  <c r="B936" i="5"/>
  <c r="AB936" i="5" s="1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AC937" i="5" s="1"/>
  <c r="O937" i="5"/>
  <c r="P937" i="5"/>
  <c r="Q937" i="5"/>
  <c r="R937" i="5"/>
  <c r="S937" i="5"/>
  <c r="T937" i="5"/>
  <c r="U937" i="5"/>
  <c r="V937" i="5"/>
  <c r="W937" i="5"/>
  <c r="X937" i="5"/>
  <c r="B938" i="5"/>
  <c r="AB938" i="5" s="1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AC939" i="5" s="1"/>
  <c r="O939" i="5"/>
  <c r="P939" i="5"/>
  <c r="Q939" i="5"/>
  <c r="R939" i="5"/>
  <c r="S939" i="5"/>
  <c r="T939" i="5"/>
  <c r="U939" i="5"/>
  <c r="V939" i="5"/>
  <c r="W939" i="5"/>
  <c r="X939" i="5"/>
  <c r="B940" i="5"/>
  <c r="AB940" i="5" s="1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AC941" i="5" s="1"/>
  <c r="O941" i="5"/>
  <c r="P941" i="5"/>
  <c r="Q941" i="5"/>
  <c r="R941" i="5"/>
  <c r="S941" i="5"/>
  <c r="T941" i="5"/>
  <c r="U941" i="5"/>
  <c r="V941" i="5"/>
  <c r="W941" i="5"/>
  <c r="X941" i="5"/>
  <c r="B942" i="5"/>
  <c r="AB942" i="5" s="1"/>
  <c r="C942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Q942" i="5"/>
  <c r="R942" i="5"/>
  <c r="S942" i="5"/>
  <c r="T942" i="5"/>
  <c r="U942" i="5"/>
  <c r="V942" i="5"/>
  <c r="W942" i="5"/>
  <c r="X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AC943" i="5" s="1"/>
  <c r="O943" i="5"/>
  <c r="P943" i="5"/>
  <c r="Q943" i="5"/>
  <c r="R943" i="5"/>
  <c r="S943" i="5"/>
  <c r="T943" i="5"/>
  <c r="U943" i="5"/>
  <c r="V943" i="5"/>
  <c r="W943" i="5"/>
  <c r="X943" i="5"/>
  <c r="B944" i="5"/>
  <c r="AB944" i="5" s="1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AC945" i="5" s="1"/>
  <c r="O945" i="5"/>
  <c r="P945" i="5"/>
  <c r="Q945" i="5"/>
  <c r="R945" i="5"/>
  <c r="S945" i="5"/>
  <c r="T945" i="5"/>
  <c r="U945" i="5"/>
  <c r="V945" i="5"/>
  <c r="W945" i="5"/>
  <c r="X945" i="5"/>
  <c r="B946" i="5"/>
  <c r="AB946" i="5" s="1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AC947" i="5" s="1"/>
  <c r="O947" i="5"/>
  <c r="P947" i="5"/>
  <c r="Q947" i="5"/>
  <c r="R947" i="5"/>
  <c r="S947" i="5"/>
  <c r="T947" i="5"/>
  <c r="U947" i="5"/>
  <c r="V947" i="5"/>
  <c r="W947" i="5"/>
  <c r="X947" i="5"/>
  <c r="B948" i="5"/>
  <c r="AB948" i="5" s="1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AC949" i="5" s="1"/>
  <c r="O949" i="5"/>
  <c r="P949" i="5"/>
  <c r="Q949" i="5"/>
  <c r="R949" i="5"/>
  <c r="S949" i="5"/>
  <c r="T949" i="5"/>
  <c r="U949" i="5"/>
  <c r="V949" i="5"/>
  <c r="W949" i="5"/>
  <c r="X949" i="5"/>
  <c r="B950" i="5"/>
  <c r="AB950" i="5" s="1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AC951" i="5" s="1"/>
  <c r="O951" i="5"/>
  <c r="P951" i="5"/>
  <c r="Q951" i="5"/>
  <c r="R951" i="5"/>
  <c r="S951" i="5"/>
  <c r="T951" i="5"/>
  <c r="U951" i="5"/>
  <c r="V951" i="5"/>
  <c r="W951" i="5"/>
  <c r="X951" i="5"/>
  <c r="B952" i="5"/>
  <c r="AB952" i="5" s="1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AC953" i="5" s="1"/>
  <c r="O953" i="5"/>
  <c r="P953" i="5"/>
  <c r="Q953" i="5"/>
  <c r="R953" i="5"/>
  <c r="S953" i="5"/>
  <c r="T953" i="5"/>
  <c r="U953" i="5"/>
  <c r="V953" i="5"/>
  <c r="W953" i="5"/>
  <c r="X953" i="5"/>
  <c r="B954" i="5"/>
  <c r="AB954" i="5" s="1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AC955" i="5" s="1"/>
  <c r="O955" i="5"/>
  <c r="P955" i="5"/>
  <c r="Q955" i="5"/>
  <c r="R955" i="5"/>
  <c r="S955" i="5"/>
  <c r="T955" i="5"/>
  <c r="U955" i="5"/>
  <c r="V955" i="5"/>
  <c r="W955" i="5"/>
  <c r="X955" i="5"/>
  <c r="B956" i="5"/>
  <c r="AB956" i="5" s="1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AC957" i="5" s="1"/>
  <c r="O957" i="5"/>
  <c r="P957" i="5"/>
  <c r="Q957" i="5"/>
  <c r="R957" i="5"/>
  <c r="S957" i="5"/>
  <c r="T957" i="5"/>
  <c r="U957" i="5"/>
  <c r="V957" i="5"/>
  <c r="W957" i="5"/>
  <c r="X957" i="5"/>
  <c r="B958" i="5"/>
  <c r="AB958" i="5" s="1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Q958" i="5"/>
  <c r="R958" i="5"/>
  <c r="S958" i="5"/>
  <c r="T958" i="5"/>
  <c r="U958" i="5"/>
  <c r="V958" i="5"/>
  <c r="W958" i="5"/>
  <c r="X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AC959" i="5" s="1"/>
  <c r="O959" i="5"/>
  <c r="P959" i="5"/>
  <c r="Q959" i="5"/>
  <c r="R959" i="5"/>
  <c r="S959" i="5"/>
  <c r="T959" i="5"/>
  <c r="U959" i="5"/>
  <c r="V959" i="5"/>
  <c r="W959" i="5"/>
  <c r="X959" i="5"/>
  <c r="B960" i="5"/>
  <c r="AB960" i="5" s="1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B961" i="5"/>
  <c r="C961" i="5"/>
  <c r="D961" i="5"/>
  <c r="E961" i="5"/>
  <c r="F961" i="5"/>
  <c r="G961" i="5"/>
  <c r="H961" i="5"/>
  <c r="I961" i="5"/>
  <c r="J961" i="5"/>
  <c r="K961" i="5"/>
  <c r="L961" i="5"/>
  <c r="M961" i="5"/>
  <c r="N961" i="5"/>
  <c r="AC961" i="5" s="1"/>
  <c r="O961" i="5"/>
  <c r="P961" i="5"/>
  <c r="Q961" i="5"/>
  <c r="R961" i="5"/>
  <c r="S961" i="5"/>
  <c r="T961" i="5"/>
  <c r="U961" i="5"/>
  <c r="V961" i="5"/>
  <c r="W961" i="5"/>
  <c r="X961" i="5"/>
  <c r="B962" i="5"/>
  <c r="AB962" i="5" s="1"/>
  <c r="C962" i="5"/>
  <c r="D962" i="5"/>
  <c r="E962" i="5"/>
  <c r="F962" i="5"/>
  <c r="G962" i="5"/>
  <c r="H962" i="5"/>
  <c r="I962" i="5"/>
  <c r="J962" i="5"/>
  <c r="K962" i="5"/>
  <c r="L962" i="5"/>
  <c r="M962" i="5"/>
  <c r="N962" i="5"/>
  <c r="O962" i="5"/>
  <c r="P962" i="5"/>
  <c r="Q962" i="5"/>
  <c r="R962" i="5"/>
  <c r="S962" i="5"/>
  <c r="T962" i="5"/>
  <c r="U962" i="5"/>
  <c r="V962" i="5"/>
  <c r="W962" i="5"/>
  <c r="X962" i="5"/>
  <c r="B963" i="5"/>
  <c r="C963" i="5"/>
  <c r="D963" i="5"/>
  <c r="E963" i="5"/>
  <c r="F963" i="5"/>
  <c r="G963" i="5"/>
  <c r="H963" i="5"/>
  <c r="I963" i="5"/>
  <c r="J963" i="5"/>
  <c r="K963" i="5"/>
  <c r="L963" i="5"/>
  <c r="M963" i="5"/>
  <c r="N963" i="5"/>
  <c r="AC963" i="5" s="1"/>
  <c r="O963" i="5"/>
  <c r="P963" i="5"/>
  <c r="Q963" i="5"/>
  <c r="R963" i="5"/>
  <c r="S963" i="5"/>
  <c r="T963" i="5"/>
  <c r="U963" i="5"/>
  <c r="V963" i="5"/>
  <c r="W963" i="5"/>
  <c r="X963" i="5"/>
  <c r="B964" i="5"/>
  <c r="AB964" i="5" s="1"/>
  <c r="C964" i="5"/>
  <c r="D964" i="5"/>
  <c r="E964" i="5"/>
  <c r="F964" i="5"/>
  <c r="G964" i="5"/>
  <c r="H964" i="5"/>
  <c r="I964" i="5"/>
  <c r="J964" i="5"/>
  <c r="K964" i="5"/>
  <c r="L964" i="5"/>
  <c r="M964" i="5"/>
  <c r="N964" i="5"/>
  <c r="O964" i="5"/>
  <c r="P964" i="5"/>
  <c r="Q964" i="5"/>
  <c r="R964" i="5"/>
  <c r="S964" i="5"/>
  <c r="T964" i="5"/>
  <c r="U964" i="5"/>
  <c r="V964" i="5"/>
  <c r="W964" i="5"/>
  <c r="X964" i="5"/>
  <c r="B965" i="5"/>
  <c r="C965" i="5"/>
  <c r="D965" i="5"/>
  <c r="E965" i="5"/>
  <c r="F965" i="5"/>
  <c r="G965" i="5"/>
  <c r="H965" i="5"/>
  <c r="I965" i="5"/>
  <c r="J965" i="5"/>
  <c r="K965" i="5"/>
  <c r="L965" i="5"/>
  <c r="M965" i="5"/>
  <c r="N965" i="5"/>
  <c r="AC965" i="5" s="1"/>
  <c r="O965" i="5"/>
  <c r="P965" i="5"/>
  <c r="Q965" i="5"/>
  <c r="R965" i="5"/>
  <c r="S965" i="5"/>
  <c r="T965" i="5"/>
  <c r="U965" i="5"/>
  <c r="V965" i="5"/>
  <c r="W965" i="5"/>
  <c r="X965" i="5"/>
  <c r="B966" i="5"/>
  <c r="AB966" i="5" s="1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AC967" i="5" s="1"/>
  <c r="O967" i="5"/>
  <c r="P967" i="5"/>
  <c r="Q967" i="5"/>
  <c r="R967" i="5"/>
  <c r="S967" i="5"/>
  <c r="T967" i="5"/>
  <c r="U967" i="5"/>
  <c r="V967" i="5"/>
  <c r="W967" i="5"/>
  <c r="X967" i="5"/>
  <c r="B968" i="5"/>
  <c r="AB968" i="5" s="1"/>
  <c r="C968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AC969" i="5" s="1"/>
  <c r="O969" i="5"/>
  <c r="P969" i="5"/>
  <c r="Q969" i="5"/>
  <c r="R969" i="5"/>
  <c r="S969" i="5"/>
  <c r="T969" i="5"/>
  <c r="U969" i="5"/>
  <c r="V969" i="5"/>
  <c r="W969" i="5"/>
  <c r="X969" i="5"/>
  <c r="B970" i="5"/>
  <c r="AB970" i="5" s="1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AC971" i="5" s="1"/>
  <c r="O971" i="5"/>
  <c r="P971" i="5"/>
  <c r="Q971" i="5"/>
  <c r="R971" i="5"/>
  <c r="S971" i="5"/>
  <c r="T971" i="5"/>
  <c r="U971" i="5"/>
  <c r="V971" i="5"/>
  <c r="W971" i="5"/>
  <c r="X971" i="5"/>
  <c r="B972" i="5"/>
  <c r="AB972" i="5" s="1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AC973" i="5" s="1"/>
  <c r="O973" i="5"/>
  <c r="P973" i="5"/>
  <c r="Q973" i="5"/>
  <c r="R973" i="5"/>
  <c r="S973" i="5"/>
  <c r="T973" i="5"/>
  <c r="U973" i="5"/>
  <c r="V973" i="5"/>
  <c r="W973" i="5"/>
  <c r="X973" i="5"/>
  <c r="B974" i="5"/>
  <c r="AB974" i="5" s="1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AC975" i="5" s="1"/>
  <c r="O975" i="5"/>
  <c r="P975" i="5"/>
  <c r="Q975" i="5"/>
  <c r="R975" i="5"/>
  <c r="S975" i="5"/>
  <c r="T975" i="5"/>
  <c r="U975" i="5"/>
  <c r="V975" i="5"/>
  <c r="W975" i="5"/>
  <c r="X975" i="5"/>
  <c r="B976" i="5"/>
  <c r="AB976" i="5" s="1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AC977" i="5" s="1"/>
  <c r="O977" i="5"/>
  <c r="P977" i="5"/>
  <c r="Q977" i="5"/>
  <c r="R977" i="5"/>
  <c r="S977" i="5"/>
  <c r="T977" i="5"/>
  <c r="U977" i="5"/>
  <c r="V977" i="5"/>
  <c r="W977" i="5"/>
  <c r="X977" i="5"/>
  <c r="B978" i="5"/>
  <c r="AB978" i="5" s="1"/>
  <c r="C978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AC979" i="5" s="1"/>
  <c r="O979" i="5"/>
  <c r="P979" i="5"/>
  <c r="Q979" i="5"/>
  <c r="R979" i="5"/>
  <c r="S979" i="5"/>
  <c r="T979" i="5"/>
  <c r="U979" i="5"/>
  <c r="V979" i="5"/>
  <c r="W979" i="5"/>
  <c r="X979" i="5"/>
  <c r="B980" i="5"/>
  <c r="AB980" i="5" s="1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AC981" i="5" s="1"/>
  <c r="O981" i="5"/>
  <c r="P981" i="5"/>
  <c r="Q981" i="5"/>
  <c r="R981" i="5"/>
  <c r="S981" i="5"/>
  <c r="T981" i="5"/>
  <c r="U981" i="5"/>
  <c r="V981" i="5"/>
  <c r="W981" i="5"/>
  <c r="X981" i="5"/>
  <c r="B982" i="5"/>
  <c r="AB982" i="5" s="1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N983" i="5"/>
  <c r="AC983" i="5" s="1"/>
  <c r="O983" i="5"/>
  <c r="P983" i="5"/>
  <c r="Q983" i="5"/>
  <c r="R983" i="5"/>
  <c r="S983" i="5"/>
  <c r="T983" i="5"/>
  <c r="U983" i="5"/>
  <c r="V983" i="5"/>
  <c r="W983" i="5"/>
  <c r="X983" i="5"/>
  <c r="B984" i="5"/>
  <c r="AB984" i="5" s="1"/>
  <c r="C984" i="5"/>
  <c r="D984" i="5"/>
  <c r="E984" i="5"/>
  <c r="F984" i="5"/>
  <c r="G984" i="5"/>
  <c r="H984" i="5"/>
  <c r="H1150" i="5" s="1"/>
  <c r="I984" i="5"/>
  <c r="J984" i="5"/>
  <c r="K984" i="5"/>
  <c r="L984" i="5"/>
  <c r="L1150" i="5" s="1"/>
  <c r="M984" i="5"/>
  <c r="N984" i="5"/>
  <c r="O984" i="5"/>
  <c r="P984" i="5"/>
  <c r="P1150" i="5" s="1"/>
  <c r="Q984" i="5"/>
  <c r="R984" i="5"/>
  <c r="S984" i="5"/>
  <c r="T984" i="5"/>
  <c r="T1150" i="5" s="1"/>
  <c r="U984" i="5"/>
  <c r="V984" i="5"/>
  <c r="W984" i="5"/>
  <c r="X984" i="5"/>
  <c r="X1150" i="5" s="1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AC985" i="5" s="1"/>
  <c r="O985" i="5"/>
  <c r="P985" i="5"/>
  <c r="Q985" i="5"/>
  <c r="R985" i="5"/>
  <c r="S985" i="5"/>
  <c r="T985" i="5"/>
  <c r="U985" i="5"/>
  <c r="V985" i="5"/>
  <c r="W985" i="5"/>
  <c r="X985" i="5"/>
  <c r="B986" i="5"/>
  <c r="AB986" i="5" s="1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AC987" i="5" s="1"/>
  <c r="O987" i="5"/>
  <c r="P987" i="5"/>
  <c r="Q987" i="5"/>
  <c r="R987" i="5"/>
  <c r="S987" i="5"/>
  <c r="T987" i="5"/>
  <c r="U987" i="5"/>
  <c r="V987" i="5"/>
  <c r="W987" i="5"/>
  <c r="X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B990" i="5"/>
  <c r="AB990" i="5" s="1"/>
  <c r="C990" i="5"/>
  <c r="D990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AC991" i="5" s="1"/>
  <c r="O991" i="5"/>
  <c r="P991" i="5"/>
  <c r="Q991" i="5"/>
  <c r="R991" i="5"/>
  <c r="S991" i="5"/>
  <c r="T991" i="5"/>
  <c r="U991" i="5"/>
  <c r="V991" i="5"/>
  <c r="W991" i="5"/>
  <c r="X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B994" i="5"/>
  <c r="AB994" i="5" s="1"/>
  <c r="C994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AC995" i="5" s="1"/>
  <c r="O995" i="5"/>
  <c r="P995" i="5"/>
  <c r="Q995" i="5"/>
  <c r="R995" i="5"/>
  <c r="S995" i="5"/>
  <c r="T995" i="5"/>
  <c r="U995" i="5"/>
  <c r="V995" i="5"/>
  <c r="W995" i="5"/>
  <c r="X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B997" i="5"/>
  <c r="C997" i="5"/>
  <c r="D997" i="5"/>
  <c r="E997" i="5"/>
  <c r="F997" i="5"/>
  <c r="G997" i="5"/>
  <c r="H997" i="5"/>
  <c r="I997" i="5"/>
  <c r="J997" i="5"/>
  <c r="K997" i="5"/>
  <c r="L997" i="5"/>
  <c r="M997" i="5"/>
  <c r="N997" i="5"/>
  <c r="O997" i="5"/>
  <c r="P997" i="5"/>
  <c r="Q997" i="5"/>
  <c r="R997" i="5"/>
  <c r="S997" i="5"/>
  <c r="T997" i="5"/>
  <c r="U997" i="5"/>
  <c r="V997" i="5"/>
  <c r="W997" i="5"/>
  <c r="X997" i="5"/>
  <c r="B998" i="5"/>
  <c r="C998" i="5"/>
  <c r="D998" i="5"/>
  <c r="E998" i="5"/>
  <c r="F998" i="5"/>
  <c r="G998" i="5"/>
  <c r="H998" i="5"/>
  <c r="I998" i="5"/>
  <c r="J998" i="5"/>
  <c r="K998" i="5"/>
  <c r="L998" i="5"/>
  <c r="M998" i="5"/>
  <c r="N998" i="5"/>
  <c r="O998" i="5"/>
  <c r="P998" i="5"/>
  <c r="Q998" i="5"/>
  <c r="R998" i="5"/>
  <c r="S998" i="5"/>
  <c r="T998" i="5"/>
  <c r="U998" i="5"/>
  <c r="V998" i="5"/>
  <c r="W998" i="5"/>
  <c r="X998" i="5"/>
  <c r="B999" i="5"/>
  <c r="C999" i="5"/>
  <c r="D999" i="5"/>
  <c r="E999" i="5"/>
  <c r="F999" i="5"/>
  <c r="G999" i="5"/>
  <c r="H999" i="5"/>
  <c r="I999" i="5"/>
  <c r="J999" i="5"/>
  <c r="K999" i="5"/>
  <c r="L999" i="5"/>
  <c r="M999" i="5"/>
  <c r="N999" i="5"/>
  <c r="AC999" i="5" s="1"/>
  <c r="O999" i="5"/>
  <c r="P999" i="5"/>
  <c r="Q999" i="5"/>
  <c r="R999" i="5"/>
  <c r="S999" i="5"/>
  <c r="T999" i="5"/>
  <c r="U999" i="5"/>
  <c r="V999" i="5"/>
  <c r="W999" i="5"/>
  <c r="X999" i="5"/>
  <c r="B1000" i="5"/>
  <c r="C1000" i="5"/>
  <c r="D1000" i="5"/>
  <c r="E1000" i="5"/>
  <c r="F1000" i="5"/>
  <c r="G1000" i="5"/>
  <c r="H1000" i="5"/>
  <c r="I1000" i="5"/>
  <c r="J1000" i="5"/>
  <c r="K1000" i="5"/>
  <c r="L1000" i="5"/>
  <c r="M1000" i="5"/>
  <c r="N1000" i="5"/>
  <c r="O1000" i="5"/>
  <c r="P1000" i="5"/>
  <c r="Q1000" i="5"/>
  <c r="R1000" i="5"/>
  <c r="S1000" i="5"/>
  <c r="T1000" i="5"/>
  <c r="U1000" i="5"/>
  <c r="V1000" i="5"/>
  <c r="W1000" i="5"/>
  <c r="X1000" i="5"/>
  <c r="B1001" i="5"/>
  <c r="C1001" i="5"/>
  <c r="D1001" i="5"/>
  <c r="E1001" i="5"/>
  <c r="F1001" i="5"/>
  <c r="G1001" i="5"/>
  <c r="H1001" i="5"/>
  <c r="I1001" i="5"/>
  <c r="J1001" i="5"/>
  <c r="K1001" i="5"/>
  <c r="L1001" i="5"/>
  <c r="M1001" i="5"/>
  <c r="N1001" i="5"/>
  <c r="O1001" i="5"/>
  <c r="P1001" i="5"/>
  <c r="Q1001" i="5"/>
  <c r="R1001" i="5"/>
  <c r="S1001" i="5"/>
  <c r="T1001" i="5"/>
  <c r="U1001" i="5"/>
  <c r="V1001" i="5"/>
  <c r="W1001" i="5"/>
  <c r="X1001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AC1003" i="5" s="1"/>
  <c r="O1003" i="5"/>
  <c r="P1003" i="5"/>
  <c r="Q1003" i="5"/>
  <c r="R1003" i="5"/>
  <c r="S1003" i="5"/>
  <c r="T1003" i="5"/>
  <c r="U1003" i="5"/>
  <c r="V1003" i="5"/>
  <c r="W1003" i="5"/>
  <c r="X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AC1007" i="5" s="1"/>
  <c r="Q1007" i="5"/>
  <c r="R1007" i="5"/>
  <c r="S1007" i="5"/>
  <c r="T1007" i="5"/>
  <c r="U1007" i="5"/>
  <c r="V1007" i="5"/>
  <c r="W1007" i="5"/>
  <c r="X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AC1009" i="5" s="1"/>
  <c r="Q1009" i="5"/>
  <c r="R1009" i="5"/>
  <c r="S1009" i="5"/>
  <c r="T1009" i="5"/>
  <c r="U1009" i="5"/>
  <c r="V1009" i="5"/>
  <c r="W1009" i="5"/>
  <c r="X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AC1011" i="5" s="1"/>
  <c r="Q1011" i="5"/>
  <c r="R1011" i="5"/>
  <c r="S1011" i="5"/>
  <c r="T1011" i="5"/>
  <c r="U1011" i="5"/>
  <c r="V1011" i="5"/>
  <c r="W1011" i="5"/>
  <c r="X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AC1013" i="5" s="1"/>
  <c r="Q1013" i="5"/>
  <c r="R1013" i="5"/>
  <c r="S1013" i="5"/>
  <c r="T1013" i="5"/>
  <c r="U1013" i="5"/>
  <c r="V1013" i="5"/>
  <c r="W1013" i="5"/>
  <c r="X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AC1015" i="5" s="1"/>
  <c r="Q1015" i="5"/>
  <c r="R1015" i="5"/>
  <c r="S1015" i="5"/>
  <c r="T1015" i="5"/>
  <c r="U1015" i="5"/>
  <c r="V1015" i="5"/>
  <c r="W1015" i="5"/>
  <c r="X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AC1017" i="5" s="1"/>
  <c r="Q1017" i="5"/>
  <c r="R1017" i="5"/>
  <c r="S1017" i="5"/>
  <c r="T1017" i="5"/>
  <c r="U1017" i="5"/>
  <c r="V1017" i="5"/>
  <c r="W1017" i="5"/>
  <c r="X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AC1019" i="5" s="1"/>
  <c r="Q1019" i="5"/>
  <c r="R1019" i="5"/>
  <c r="S1019" i="5"/>
  <c r="T1019" i="5"/>
  <c r="U1019" i="5"/>
  <c r="V1019" i="5"/>
  <c r="W1019" i="5"/>
  <c r="X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AC1021" i="5" s="1"/>
  <c r="Q1021" i="5"/>
  <c r="R1021" i="5"/>
  <c r="S1021" i="5"/>
  <c r="T1021" i="5"/>
  <c r="U1021" i="5"/>
  <c r="V1021" i="5"/>
  <c r="W1021" i="5"/>
  <c r="X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AC1023" i="5" s="1"/>
  <c r="Q1023" i="5"/>
  <c r="R1023" i="5"/>
  <c r="S1023" i="5"/>
  <c r="T1023" i="5"/>
  <c r="U1023" i="5"/>
  <c r="V1023" i="5"/>
  <c r="W1023" i="5"/>
  <c r="X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AC1025" i="5" s="1"/>
  <c r="Q1025" i="5"/>
  <c r="R1025" i="5"/>
  <c r="S1025" i="5"/>
  <c r="T1025" i="5"/>
  <c r="U1025" i="5"/>
  <c r="V1025" i="5"/>
  <c r="W1025" i="5"/>
  <c r="X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AC1027" i="5" s="1"/>
  <c r="Q1027" i="5"/>
  <c r="R1027" i="5"/>
  <c r="S1027" i="5"/>
  <c r="T1027" i="5"/>
  <c r="U1027" i="5"/>
  <c r="V1027" i="5"/>
  <c r="W1027" i="5"/>
  <c r="X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AC1029" i="5" s="1"/>
  <c r="Q1029" i="5"/>
  <c r="R1029" i="5"/>
  <c r="S1029" i="5"/>
  <c r="T1029" i="5"/>
  <c r="U1029" i="5"/>
  <c r="V1029" i="5"/>
  <c r="W1029" i="5"/>
  <c r="X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AC1031" i="5" s="1"/>
  <c r="Q1031" i="5"/>
  <c r="R1031" i="5"/>
  <c r="S1031" i="5"/>
  <c r="T1031" i="5"/>
  <c r="U1031" i="5"/>
  <c r="V1031" i="5"/>
  <c r="W1031" i="5"/>
  <c r="X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B1033" i="5"/>
  <c r="C1033" i="5"/>
  <c r="D1033" i="5"/>
  <c r="E1033" i="5"/>
  <c r="F1033" i="5"/>
  <c r="G1033" i="5"/>
  <c r="H1033" i="5"/>
  <c r="I1033" i="5"/>
  <c r="J1033" i="5"/>
  <c r="K1033" i="5"/>
  <c r="L1033" i="5"/>
  <c r="M1033" i="5"/>
  <c r="N1033" i="5"/>
  <c r="O1033" i="5"/>
  <c r="P1033" i="5"/>
  <c r="AC1033" i="5" s="1"/>
  <c r="Q1033" i="5"/>
  <c r="R1033" i="5"/>
  <c r="S1033" i="5"/>
  <c r="T1033" i="5"/>
  <c r="U1033" i="5"/>
  <c r="V1033" i="5"/>
  <c r="W1033" i="5"/>
  <c r="X1033" i="5"/>
  <c r="B1034" i="5"/>
  <c r="C1034" i="5"/>
  <c r="D1034" i="5"/>
  <c r="E1034" i="5"/>
  <c r="F1034" i="5"/>
  <c r="G1034" i="5"/>
  <c r="H1034" i="5"/>
  <c r="I1034" i="5"/>
  <c r="J1034" i="5"/>
  <c r="K1034" i="5"/>
  <c r="L1034" i="5"/>
  <c r="M1034" i="5"/>
  <c r="N1034" i="5"/>
  <c r="O1034" i="5"/>
  <c r="P1034" i="5"/>
  <c r="Q1034" i="5"/>
  <c r="R1034" i="5"/>
  <c r="S1034" i="5"/>
  <c r="T1034" i="5"/>
  <c r="U1034" i="5"/>
  <c r="V1034" i="5"/>
  <c r="W1034" i="5"/>
  <c r="X1034" i="5"/>
  <c r="B1035" i="5"/>
  <c r="C1035" i="5"/>
  <c r="D1035" i="5"/>
  <c r="E1035" i="5"/>
  <c r="F1035" i="5"/>
  <c r="G1035" i="5"/>
  <c r="H1035" i="5"/>
  <c r="I1035" i="5"/>
  <c r="J1035" i="5"/>
  <c r="K1035" i="5"/>
  <c r="L1035" i="5"/>
  <c r="M1035" i="5"/>
  <c r="N1035" i="5"/>
  <c r="O1035" i="5"/>
  <c r="P1035" i="5"/>
  <c r="AC1035" i="5" s="1"/>
  <c r="Q1035" i="5"/>
  <c r="R1035" i="5"/>
  <c r="S1035" i="5"/>
  <c r="T1035" i="5"/>
  <c r="U1035" i="5"/>
  <c r="V1035" i="5"/>
  <c r="W1035" i="5"/>
  <c r="X1035" i="5"/>
  <c r="B1036" i="5"/>
  <c r="C1036" i="5"/>
  <c r="D1036" i="5"/>
  <c r="E1036" i="5"/>
  <c r="F1036" i="5"/>
  <c r="G1036" i="5"/>
  <c r="H1036" i="5"/>
  <c r="I1036" i="5"/>
  <c r="J1036" i="5"/>
  <c r="K1036" i="5"/>
  <c r="L1036" i="5"/>
  <c r="M1036" i="5"/>
  <c r="N1036" i="5"/>
  <c r="O1036" i="5"/>
  <c r="P1036" i="5"/>
  <c r="Q1036" i="5"/>
  <c r="R1036" i="5"/>
  <c r="S1036" i="5"/>
  <c r="T1036" i="5"/>
  <c r="U1036" i="5"/>
  <c r="V1036" i="5"/>
  <c r="W1036" i="5"/>
  <c r="X1036" i="5"/>
  <c r="B1037" i="5"/>
  <c r="C1037" i="5"/>
  <c r="D1037" i="5"/>
  <c r="E1037" i="5"/>
  <c r="F1037" i="5"/>
  <c r="G1037" i="5"/>
  <c r="H1037" i="5"/>
  <c r="I1037" i="5"/>
  <c r="J1037" i="5"/>
  <c r="K1037" i="5"/>
  <c r="L1037" i="5"/>
  <c r="M1037" i="5"/>
  <c r="N1037" i="5"/>
  <c r="O1037" i="5"/>
  <c r="P1037" i="5"/>
  <c r="AC1037" i="5" s="1"/>
  <c r="Q1037" i="5"/>
  <c r="R1037" i="5"/>
  <c r="S1037" i="5"/>
  <c r="T1037" i="5"/>
  <c r="U1037" i="5"/>
  <c r="V1037" i="5"/>
  <c r="W1037" i="5"/>
  <c r="X1037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AC1039" i="5" s="1"/>
  <c r="Q1039" i="5"/>
  <c r="R1039" i="5"/>
  <c r="S1039" i="5"/>
  <c r="T1039" i="5"/>
  <c r="U1039" i="5"/>
  <c r="V1039" i="5"/>
  <c r="W1039" i="5"/>
  <c r="X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AC1041" i="5" s="1"/>
  <c r="Q1041" i="5"/>
  <c r="R1041" i="5"/>
  <c r="S1041" i="5"/>
  <c r="T1041" i="5"/>
  <c r="U1041" i="5"/>
  <c r="V1041" i="5"/>
  <c r="W1041" i="5"/>
  <c r="X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AC1043" i="5" s="1"/>
  <c r="Q1043" i="5"/>
  <c r="R1043" i="5"/>
  <c r="S1043" i="5"/>
  <c r="T1043" i="5"/>
  <c r="U1043" i="5"/>
  <c r="V1043" i="5"/>
  <c r="W1043" i="5"/>
  <c r="X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AC1045" i="5" s="1"/>
  <c r="Q1045" i="5"/>
  <c r="R1045" i="5"/>
  <c r="S1045" i="5"/>
  <c r="T1045" i="5"/>
  <c r="U1045" i="5"/>
  <c r="V1045" i="5"/>
  <c r="W1045" i="5"/>
  <c r="X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AC1047" i="5" s="1"/>
  <c r="Q1047" i="5"/>
  <c r="R1047" i="5"/>
  <c r="S1047" i="5"/>
  <c r="T1047" i="5"/>
  <c r="U1047" i="5"/>
  <c r="V1047" i="5"/>
  <c r="W1047" i="5"/>
  <c r="X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AC1049" i="5" s="1"/>
  <c r="Q1049" i="5"/>
  <c r="R1049" i="5"/>
  <c r="S1049" i="5"/>
  <c r="T1049" i="5"/>
  <c r="U1049" i="5"/>
  <c r="V1049" i="5"/>
  <c r="W1049" i="5"/>
  <c r="X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AC1051" i="5" s="1"/>
  <c r="Q1051" i="5"/>
  <c r="R1051" i="5"/>
  <c r="S1051" i="5"/>
  <c r="T1051" i="5"/>
  <c r="U1051" i="5"/>
  <c r="V1051" i="5"/>
  <c r="W1051" i="5"/>
  <c r="X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AC1053" i="5" s="1"/>
  <c r="Q1053" i="5"/>
  <c r="R1053" i="5"/>
  <c r="S1053" i="5"/>
  <c r="T1053" i="5"/>
  <c r="U1053" i="5"/>
  <c r="V1053" i="5"/>
  <c r="W1053" i="5"/>
  <c r="X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AC1055" i="5" s="1"/>
  <c r="Q1055" i="5"/>
  <c r="R1055" i="5"/>
  <c r="S1055" i="5"/>
  <c r="T1055" i="5"/>
  <c r="U1055" i="5"/>
  <c r="V1055" i="5"/>
  <c r="W1055" i="5"/>
  <c r="X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AC1057" i="5" s="1"/>
  <c r="Q1057" i="5"/>
  <c r="R1057" i="5"/>
  <c r="S1057" i="5"/>
  <c r="T1057" i="5"/>
  <c r="U1057" i="5"/>
  <c r="V1057" i="5"/>
  <c r="W1057" i="5"/>
  <c r="X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AC1060" i="5" s="1"/>
  <c r="Q1060" i="5"/>
  <c r="R1060" i="5"/>
  <c r="S1060" i="5"/>
  <c r="T1060" i="5"/>
  <c r="U1060" i="5"/>
  <c r="V1060" i="5"/>
  <c r="W1060" i="5"/>
  <c r="X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AC1062" i="5" s="1"/>
  <c r="O1062" i="5"/>
  <c r="P1062" i="5"/>
  <c r="Q1062" i="5"/>
  <c r="R1062" i="5"/>
  <c r="S1062" i="5"/>
  <c r="T1062" i="5"/>
  <c r="U1062" i="5"/>
  <c r="V1062" i="5"/>
  <c r="W1062" i="5"/>
  <c r="X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AC1066" i="5" s="1"/>
  <c r="O1066" i="5"/>
  <c r="P1066" i="5"/>
  <c r="Q1066" i="5"/>
  <c r="R1066" i="5"/>
  <c r="S1066" i="5"/>
  <c r="T1066" i="5"/>
  <c r="U1066" i="5"/>
  <c r="V1066" i="5"/>
  <c r="W1066" i="5"/>
  <c r="X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B1070" i="5"/>
  <c r="C1070" i="5"/>
  <c r="D1070" i="5"/>
  <c r="E1070" i="5"/>
  <c r="F1070" i="5"/>
  <c r="G1070" i="5"/>
  <c r="H1070" i="5"/>
  <c r="I1070" i="5"/>
  <c r="J1070" i="5"/>
  <c r="L1070" i="5"/>
  <c r="M1070" i="5"/>
  <c r="N1070" i="5"/>
  <c r="O1070" i="5"/>
  <c r="P1070" i="5"/>
  <c r="Q1070" i="5"/>
  <c r="R1070" i="5"/>
  <c r="S1070" i="5"/>
  <c r="T1070" i="5"/>
  <c r="U1070" i="5"/>
  <c r="V1070" i="5"/>
  <c r="W1070" i="5"/>
  <c r="X1070" i="5"/>
  <c r="Y1070" i="5"/>
  <c r="Z1070" i="5"/>
  <c r="AA1070" i="5"/>
  <c r="AC1070" i="5"/>
  <c r="B1071" i="5"/>
  <c r="C1071" i="5"/>
  <c r="D1071" i="5"/>
  <c r="E1071" i="5"/>
  <c r="F1071" i="5"/>
  <c r="G1071" i="5"/>
  <c r="H1071" i="5"/>
  <c r="I1071" i="5"/>
  <c r="J1071" i="5"/>
  <c r="L1071" i="5"/>
  <c r="M1071" i="5"/>
  <c r="N1071" i="5"/>
  <c r="O1071" i="5"/>
  <c r="P1071" i="5"/>
  <c r="Q1071" i="5"/>
  <c r="R1071" i="5"/>
  <c r="S1071" i="5"/>
  <c r="T1071" i="5"/>
  <c r="U1071" i="5"/>
  <c r="V1071" i="5"/>
  <c r="W1071" i="5"/>
  <c r="X1071" i="5"/>
  <c r="Y1071" i="5"/>
  <c r="Z1071" i="5"/>
  <c r="AA1071" i="5"/>
  <c r="AC1071" i="5"/>
  <c r="B1072" i="5"/>
  <c r="C1072" i="5"/>
  <c r="D1072" i="5"/>
  <c r="E1072" i="5"/>
  <c r="F1072" i="5"/>
  <c r="G1072" i="5"/>
  <c r="H1072" i="5"/>
  <c r="I1072" i="5"/>
  <c r="J1072" i="5"/>
  <c r="L1072" i="5"/>
  <c r="M1072" i="5"/>
  <c r="N1072" i="5"/>
  <c r="O1072" i="5"/>
  <c r="P1072" i="5"/>
  <c r="Q1072" i="5"/>
  <c r="R1072" i="5"/>
  <c r="S1072" i="5"/>
  <c r="T1072" i="5"/>
  <c r="U1072" i="5"/>
  <c r="V1072" i="5"/>
  <c r="W1072" i="5"/>
  <c r="X1072" i="5"/>
  <c r="Z1072" i="5"/>
  <c r="AA1072" i="5"/>
  <c r="B1073" i="5"/>
  <c r="C1073" i="5"/>
  <c r="D1073" i="5"/>
  <c r="E1073" i="5"/>
  <c r="F1073" i="5"/>
  <c r="G1073" i="5"/>
  <c r="H1073" i="5"/>
  <c r="I1073" i="5"/>
  <c r="J1073" i="5"/>
  <c r="L1073" i="5"/>
  <c r="M1073" i="5"/>
  <c r="N1073" i="5"/>
  <c r="O1073" i="5"/>
  <c r="P1073" i="5"/>
  <c r="Q1073" i="5"/>
  <c r="R1073" i="5"/>
  <c r="S1073" i="5"/>
  <c r="T1073" i="5"/>
  <c r="U1073" i="5"/>
  <c r="V1073" i="5"/>
  <c r="W1073" i="5"/>
  <c r="X1073" i="5"/>
  <c r="AB1073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AC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AC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AC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AC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AC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AC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AC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AC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AC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AC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AC1088" i="5"/>
  <c r="B1089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AC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AC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AC1091" i="5"/>
  <c r="B1092" i="5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AC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AC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AC1094" i="5"/>
  <c r="A1095" i="5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AC1095" i="5"/>
  <c r="A1096" i="5"/>
  <c r="B1096" i="5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AC1096" i="5"/>
  <c r="A1097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AC1097" i="5"/>
  <c r="A1098" i="5"/>
  <c r="B1098" i="5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AC1098" i="5"/>
  <c r="A1099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AC1099" i="5"/>
  <c r="A1100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AC1100" i="5"/>
  <c r="A1101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AC1101" i="5"/>
  <c r="A1102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AC1102" i="5"/>
  <c r="A1103" i="5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AC1103" i="5"/>
  <c r="A1104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AC1104" i="5"/>
  <c r="A1105" i="5"/>
  <c r="B1105" i="5"/>
  <c r="C1105" i="5"/>
  <c r="D1105" i="5"/>
  <c r="E1105" i="5"/>
  <c r="F1105" i="5"/>
  <c r="G1105" i="5"/>
  <c r="H1105" i="5"/>
  <c r="I1105" i="5"/>
  <c r="J1105" i="5"/>
  <c r="K1105" i="5"/>
  <c r="L1105" i="5"/>
  <c r="M1105" i="5"/>
  <c r="N1105" i="5"/>
  <c r="O1105" i="5"/>
  <c r="P1105" i="5"/>
  <c r="Q1105" i="5"/>
  <c r="R1105" i="5"/>
  <c r="S1105" i="5"/>
  <c r="T1105" i="5"/>
  <c r="U1105" i="5"/>
  <c r="V1105" i="5"/>
  <c r="W1105" i="5"/>
  <c r="X1105" i="5"/>
  <c r="AC1105" i="5"/>
  <c r="A1106" i="5"/>
  <c r="B1106" i="5"/>
  <c r="C1106" i="5"/>
  <c r="D1106" i="5"/>
  <c r="E1106" i="5"/>
  <c r="F1106" i="5"/>
  <c r="G1106" i="5"/>
  <c r="H1106" i="5"/>
  <c r="I1106" i="5"/>
  <c r="J1106" i="5"/>
  <c r="K1106" i="5"/>
  <c r="L1106" i="5"/>
  <c r="M1106" i="5"/>
  <c r="N1106" i="5"/>
  <c r="O1106" i="5"/>
  <c r="P1106" i="5"/>
  <c r="Q1106" i="5"/>
  <c r="R1106" i="5"/>
  <c r="S1106" i="5"/>
  <c r="T1106" i="5"/>
  <c r="U1106" i="5"/>
  <c r="V1106" i="5"/>
  <c r="W1106" i="5"/>
  <c r="X1106" i="5"/>
  <c r="AC1106" i="5"/>
  <c r="A1107" i="5"/>
  <c r="B1107" i="5"/>
  <c r="C1107" i="5"/>
  <c r="D1107" i="5"/>
  <c r="E1107" i="5"/>
  <c r="F1107" i="5"/>
  <c r="G1107" i="5"/>
  <c r="H1107" i="5"/>
  <c r="I1107" i="5"/>
  <c r="J1107" i="5"/>
  <c r="K1107" i="5"/>
  <c r="L1107" i="5"/>
  <c r="M1107" i="5"/>
  <c r="N1107" i="5"/>
  <c r="O1107" i="5"/>
  <c r="P1107" i="5"/>
  <c r="Q1107" i="5"/>
  <c r="R1107" i="5"/>
  <c r="S1107" i="5"/>
  <c r="T1107" i="5"/>
  <c r="U1107" i="5"/>
  <c r="V1107" i="5"/>
  <c r="W1107" i="5"/>
  <c r="X1107" i="5"/>
  <c r="AC1107" i="5"/>
  <c r="A1108" i="5"/>
  <c r="B1108" i="5"/>
  <c r="C1108" i="5"/>
  <c r="D1108" i="5"/>
  <c r="E1108" i="5"/>
  <c r="F1108" i="5"/>
  <c r="G1108" i="5"/>
  <c r="H1108" i="5"/>
  <c r="I1108" i="5"/>
  <c r="J1108" i="5"/>
  <c r="K1108" i="5"/>
  <c r="L1108" i="5"/>
  <c r="M1108" i="5"/>
  <c r="N1108" i="5"/>
  <c r="O1108" i="5"/>
  <c r="P1108" i="5"/>
  <c r="Q1108" i="5"/>
  <c r="R1108" i="5"/>
  <c r="S1108" i="5"/>
  <c r="T1108" i="5"/>
  <c r="U1108" i="5"/>
  <c r="V1108" i="5"/>
  <c r="W1108" i="5"/>
  <c r="X1108" i="5"/>
  <c r="AC1108" i="5"/>
  <c r="A1109" i="5"/>
  <c r="B1109" i="5"/>
  <c r="C1109" i="5"/>
  <c r="D1109" i="5"/>
  <c r="E1109" i="5"/>
  <c r="F1109" i="5"/>
  <c r="G1109" i="5"/>
  <c r="H1109" i="5"/>
  <c r="I1109" i="5"/>
  <c r="J1109" i="5"/>
  <c r="K1109" i="5"/>
  <c r="L1109" i="5"/>
  <c r="M1109" i="5"/>
  <c r="N1109" i="5"/>
  <c r="O1109" i="5"/>
  <c r="P1109" i="5"/>
  <c r="Q1109" i="5"/>
  <c r="R1109" i="5"/>
  <c r="S1109" i="5"/>
  <c r="T1109" i="5"/>
  <c r="U1109" i="5"/>
  <c r="V1109" i="5"/>
  <c r="W1109" i="5"/>
  <c r="X1109" i="5"/>
  <c r="AC1109" i="5"/>
  <c r="A1110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AC1110" i="5"/>
  <c r="A1111" i="5"/>
  <c r="B1111" i="5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AC1111" i="5"/>
  <c r="A1112" i="5"/>
  <c r="B1112" i="5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AC1112" i="5"/>
  <c r="A1113" i="5"/>
  <c r="B1113" i="5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AC1113" i="5"/>
  <c r="A1114" i="5"/>
  <c r="B1114" i="5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AC1114" i="5"/>
  <c r="A1115" i="5"/>
  <c r="B1115" i="5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AC1115" i="5"/>
  <c r="A1116" i="5"/>
  <c r="B1116" i="5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AC1116" i="5"/>
  <c r="A1117" i="5"/>
  <c r="B1117" i="5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AC1117" i="5"/>
  <c r="A1118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AC1118" i="5"/>
  <c r="A1119" i="5"/>
  <c r="B1119" i="5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AC1119" i="5"/>
  <c r="A1120" i="5"/>
  <c r="B1120" i="5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AC1120" i="5"/>
  <c r="A1121" i="5"/>
  <c r="B1121" i="5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AC1121" i="5"/>
  <c r="A1122" i="5"/>
  <c r="B1122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AC1122" i="5"/>
  <c r="A1123" i="5"/>
  <c r="B1123" i="5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AC1123" i="5"/>
  <c r="A1124" i="5"/>
  <c r="B1124" i="5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AC1124" i="5"/>
  <c r="A1125" i="5"/>
  <c r="B1125" i="5" s="1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AC1125" i="5"/>
  <c r="A1126" i="5"/>
  <c r="B1126" i="5" s="1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AC1126" i="5"/>
  <c r="A1127" i="5"/>
  <c r="B1127" i="5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AC1127" i="5"/>
  <c r="A1128" i="5"/>
  <c r="B1128" i="5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A1129" i="5"/>
  <c r="B1129" i="5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A1130" i="5"/>
  <c r="B1130" i="5" s="1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A1131" i="5"/>
  <c r="B1131" i="5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A1132" i="5"/>
  <c r="B1132" i="5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A1133" i="5"/>
  <c r="B1133" i="5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A1134" i="5"/>
  <c r="B1134" i="5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A1135" i="5"/>
  <c r="B1135" i="5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A1136" i="5"/>
  <c r="B1136" i="5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A1137" i="5"/>
  <c r="B1137" i="5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A1138" i="5"/>
  <c r="B1138" i="5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A1139" i="5"/>
  <c r="B1139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A1140" i="5"/>
  <c r="B1140" i="5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A1141" i="5"/>
  <c r="B1141" i="5"/>
  <c r="C1141" i="5"/>
  <c r="D1141" i="5"/>
  <c r="E1141" i="5"/>
  <c r="F1141" i="5"/>
  <c r="G1141" i="5"/>
  <c r="H1141" i="5"/>
  <c r="I1141" i="5"/>
  <c r="J1141" i="5"/>
  <c r="K1141" i="5"/>
  <c r="L1141" i="5"/>
  <c r="M1141" i="5"/>
  <c r="N1141" i="5"/>
  <c r="O1141" i="5"/>
  <c r="P1141" i="5"/>
  <c r="Q1141" i="5"/>
  <c r="R1141" i="5"/>
  <c r="S1141" i="5"/>
  <c r="T1141" i="5"/>
  <c r="U1141" i="5"/>
  <c r="V1141" i="5"/>
  <c r="W1141" i="5"/>
  <c r="X1141" i="5"/>
  <c r="A1142" i="5"/>
  <c r="B1142" i="5"/>
  <c r="C1142" i="5"/>
  <c r="D1142" i="5"/>
  <c r="E1142" i="5"/>
  <c r="F1142" i="5"/>
  <c r="G1142" i="5"/>
  <c r="H1142" i="5"/>
  <c r="I1142" i="5"/>
  <c r="J1142" i="5"/>
  <c r="K1142" i="5"/>
  <c r="L1142" i="5"/>
  <c r="M1142" i="5"/>
  <c r="N1142" i="5"/>
  <c r="O1142" i="5"/>
  <c r="P1142" i="5"/>
  <c r="Q1142" i="5"/>
  <c r="R1142" i="5"/>
  <c r="S1142" i="5"/>
  <c r="T1142" i="5"/>
  <c r="U1142" i="5"/>
  <c r="V1142" i="5"/>
  <c r="W1142" i="5"/>
  <c r="X1142" i="5"/>
  <c r="A1143" i="5"/>
  <c r="B1143" i="5"/>
  <c r="C1143" i="5"/>
  <c r="D1143" i="5"/>
  <c r="E1143" i="5"/>
  <c r="F1143" i="5"/>
  <c r="G1143" i="5"/>
  <c r="H1143" i="5"/>
  <c r="I1143" i="5"/>
  <c r="J1143" i="5"/>
  <c r="K1143" i="5"/>
  <c r="L1143" i="5"/>
  <c r="M1143" i="5"/>
  <c r="N1143" i="5"/>
  <c r="O1143" i="5"/>
  <c r="P1143" i="5"/>
  <c r="Q1143" i="5"/>
  <c r="R1143" i="5"/>
  <c r="S1143" i="5"/>
  <c r="T1143" i="5"/>
  <c r="U1143" i="5"/>
  <c r="V1143" i="5"/>
  <c r="W1143" i="5"/>
  <c r="X1143" i="5"/>
  <c r="A1144" i="5"/>
  <c r="B1144" i="5"/>
  <c r="C1144" i="5"/>
  <c r="D1144" i="5"/>
  <c r="E1144" i="5"/>
  <c r="F1144" i="5"/>
  <c r="G1144" i="5"/>
  <c r="H1144" i="5"/>
  <c r="I1144" i="5"/>
  <c r="J1144" i="5"/>
  <c r="K1144" i="5"/>
  <c r="L1144" i="5"/>
  <c r="M1144" i="5"/>
  <c r="N1144" i="5"/>
  <c r="O1144" i="5"/>
  <c r="P1144" i="5"/>
  <c r="Q1144" i="5"/>
  <c r="R1144" i="5"/>
  <c r="S1144" i="5"/>
  <c r="T1144" i="5"/>
  <c r="U1144" i="5"/>
  <c r="V1144" i="5"/>
  <c r="W1144" i="5"/>
  <c r="X1144" i="5"/>
  <c r="A1145" i="5"/>
  <c r="B1145" i="5"/>
  <c r="C1145" i="5"/>
  <c r="D1145" i="5"/>
  <c r="E1145" i="5"/>
  <c r="F1145" i="5"/>
  <c r="G1145" i="5"/>
  <c r="H1145" i="5"/>
  <c r="I1145" i="5"/>
  <c r="J1145" i="5"/>
  <c r="K1145" i="5"/>
  <c r="L1145" i="5"/>
  <c r="M1145" i="5"/>
  <c r="N1145" i="5"/>
  <c r="O1145" i="5"/>
  <c r="P1145" i="5"/>
  <c r="Q1145" i="5"/>
  <c r="R1145" i="5"/>
  <c r="S1145" i="5"/>
  <c r="T1145" i="5"/>
  <c r="U1145" i="5"/>
  <c r="V1145" i="5"/>
  <c r="W1145" i="5"/>
  <c r="X1145" i="5"/>
  <c r="A1146" i="5"/>
  <c r="B1146" i="5"/>
  <c r="C1146" i="5"/>
  <c r="D1146" i="5"/>
  <c r="E1146" i="5"/>
  <c r="F1146" i="5"/>
  <c r="G1146" i="5"/>
  <c r="H1146" i="5"/>
  <c r="I1146" i="5"/>
  <c r="J1146" i="5"/>
  <c r="K1146" i="5"/>
  <c r="L1146" i="5"/>
  <c r="M1146" i="5"/>
  <c r="N1146" i="5"/>
  <c r="O1146" i="5"/>
  <c r="P1146" i="5"/>
  <c r="Q1146" i="5"/>
  <c r="R1146" i="5"/>
  <c r="S1146" i="5"/>
  <c r="T1146" i="5"/>
  <c r="U1146" i="5"/>
  <c r="V1146" i="5"/>
  <c r="W1146" i="5"/>
  <c r="X1146" i="5"/>
  <c r="A1147" i="5"/>
  <c r="B1147" i="5"/>
  <c r="C1147" i="5"/>
  <c r="D1147" i="5"/>
  <c r="E1147" i="5"/>
  <c r="F1147" i="5"/>
  <c r="G1147" i="5"/>
  <c r="H1147" i="5"/>
  <c r="I1147" i="5"/>
  <c r="J1147" i="5"/>
  <c r="K1147" i="5"/>
  <c r="L1147" i="5"/>
  <c r="M1147" i="5"/>
  <c r="N1147" i="5"/>
  <c r="O1147" i="5"/>
  <c r="P1147" i="5"/>
  <c r="Q1147" i="5"/>
  <c r="R1147" i="5"/>
  <c r="S1147" i="5"/>
  <c r="T1147" i="5"/>
  <c r="U1147" i="5"/>
  <c r="V1147" i="5"/>
  <c r="W1147" i="5"/>
  <c r="X1147" i="5"/>
  <c r="A1148" i="5"/>
  <c r="B1148" i="5"/>
  <c r="C1148" i="5"/>
  <c r="D1148" i="5"/>
  <c r="E1148" i="5"/>
  <c r="F1148" i="5"/>
  <c r="G1148" i="5"/>
  <c r="H1148" i="5"/>
  <c r="I1148" i="5"/>
  <c r="J1148" i="5"/>
  <c r="K1148" i="5"/>
  <c r="L1148" i="5"/>
  <c r="M1148" i="5"/>
  <c r="N1148" i="5"/>
  <c r="O1148" i="5"/>
  <c r="P1148" i="5"/>
  <c r="Q1148" i="5"/>
  <c r="R1148" i="5"/>
  <c r="S1148" i="5"/>
  <c r="T1148" i="5"/>
  <c r="U1148" i="5"/>
  <c r="V1148" i="5"/>
  <c r="W1148" i="5"/>
  <c r="X1148" i="5"/>
  <c r="A1149" i="5"/>
  <c r="B1149" i="5"/>
  <c r="C1149" i="5"/>
  <c r="D1149" i="5"/>
  <c r="E1149" i="5"/>
  <c r="F1149" i="5"/>
  <c r="G1149" i="5"/>
  <c r="H1149" i="5"/>
  <c r="I1149" i="5"/>
  <c r="J1149" i="5"/>
  <c r="K1149" i="5"/>
  <c r="L1149" i="5"/>
  <c r="M1149" i="5"/>
  <c r="N1149" i="5"/>
  <c r="O1149" i="5"/>
  <c r="P1149" i="5"/>
  <c r="Q1149" i="5"/>
  <c r="R1149" i="5"/>
  <c r="S1149" i="5"/>
  <c r="T1149" i="5"/>
  <c r="U1149" i="5"/>
  <c r="V1149" i="5"/>
  <c r="W1149" i="5"/>
  <c r="X1149" i="5"/>
  <c r="A1150" i="5"/>
  <c r="B1150" i="5"/>
  <c r="C1150" i="5"/>
  <c r="D1150" i="5"/>
  <c r="E1150" i="5"/>
  <c r="F1150" i="5"/>
  <c r="G1150" i="5"/>
  <c r="I1150" i="5"/>
  <c r="J1150" i="5"/>
  <c r="K1150" i="5"/>
  <c r="M1150" i="5"/>
  <c r="N1150" i="5"/>
  <c r="O1150" i="5"/>
  <c r="Q1150" i="5"/>
  <c r="R1150" i="5"/>
  <c r="S1150" i="5"/>
  <c r="U1150" i="5"/>
  <c r="V1150" i="5"/>
  <c r="W1150" i="5"/>
  <c r="A1151" i="5"/>
  <c r="B1151" i="5"/>
  <c r="C1151" i="5"/>
  <c r="E1151" i="5"/>
  <c r="F1151" i="5"/>
  <c r="G1151" i="5"/>
  <c r="I1151" i="5"/>
  <c r="J1151" i="5"/>
  <c r="K1151" i="5"/>
  <c r="M1151" i="5"/>
  <c r="N1151" i="5"/>
  <c r="O1151" i="5"/>
  <c r="Q1151" i="5"/>
  <c r="R1151" i="5"/>
  <c r="S1151" i="5"/>
  <c r="U1151" i="5"/>
  <c r="V1151" i="5"/>
  <c r="W1151" i="5"/>
  <c r="A1152" i="5"/>
  <c r="B1152" i="5"/>
  <c r="C1152" i="5"/>
  <c r="E1152" i="5"/>
  <c r="F1152" i="5"/>
  <c r="G1152" i="5"/>
  <c r="I1152" i="5"/>
  <c r="J1152" i="5"/>
  <c r="K1152" i="5"/>
  <c r="M1152" i="5"/>
  <c r="N1152" i="5"/>
  <c r="O1152" i="5"/>
  <c r="Q1152" i="5"/>
  <c r="R1152" i="5"/>
  <c r="S1152" i="5"/>
  <c r="U1152" i="5"/>
  <c r="V1152" i="5"/>
  <c r="W1152" i="5"/>
  <c r="A1153" i="5"/>
  <c r="B1153" i="5"/>
  <c r="C1153" i="5"/>
  <c r="E1153" i="5"/>
  <c r="F1153" i="5"/>
  <c r="G1153" i="5"/>
  <c r="H1153" i="5"/>
  <c r="I1153" i="5"/>
  <c r="J1153" i="5"/>
  <c r="K1153" i="5"/>
  <c r="L1153" i="5"/>
  <c r="M1153" i="5"/>
  <c r="N1153" i="5"/>
  <c r="O1153" i="5"/>
  <c r="P1153" i="5"/>
  <c r="Q1153" i="5"/>
  <c r="R1153" i="5"/>
  <c r="S1153" i="5"/>
  <c r="T1153" i="5"/>
  <c r="U1153" i="5"/>
  <c r="V1153" i="5"/>
  <c r="W1153" i="5"/>
  <c r="X1153" i="5"/>
  <c r="A1154" i="5"/>
  <c r="B1154" i="5"/>
  <c r="C1154" i="5"/>
  <c r="D1154" i="5"/>
  <c r="E1154" i="5"/>
  <c r="F1154" i="5"/>
  <c r="G1154" i="5"/>
  <c r="H1154" i="5"/>
  <c r="I1154" i="5"/>
  <c r="J1154" i="5"/>
  <c r="K1154" i="5"/>
  <c r="L1154" i="5"/>
  <c r="M1154" i="5"/>
  <c r="N1154" i="5"/>
  <c r="O1154" i="5"/>
  <c r="P1154" i="5"/>
  <c r="Q1154" i="5"/>
  <c r="R1154" i="5"/>
  <c r="S1154" i="5"/>
  <c r="T1154" i="5"/>
  <c r="U1154" i="5"/>
  <c r="V1154" i="5"/>
  <c r="W1154" i="5"/>
  <c r="X1154" i="5"/>
  <c r="A1155" i="5"/>
  <c r="B1155" i="5"/>
  <c r="C1155" i="5"/>
  <c r="D1155" i="5"/>
  <c r="E1155" i="5"/>
  <c r="F1155" i="5"/>
  <c r="G1155" i="5"/>
  <c r="H1155" i="5"/>
  <c r="I1155" i="5"/>
  <c r="J1155" i="5"/>
  <c r="K1155" i="5"/>
  <c r="L1155" i="5"/>
  <c r="M1155" i="5"/>
  <c r="N1155" i="5"/>
  <c r="O1155" i="5"/>
  <c r="P1155" i="5"/>
  <c r="Q1155" i="5"/>
  <c r="R1155" i="5"/>
  <c r="S1155" i="5"/>
  <c r="T1155" i="5"/>
  <c r="U1155" i="5"/>
  <c r="V1155" i="5"/>
  <c r="W1155" i="5"/>
  <c r="X1155" i="5"/>
  <c r="A1156" i="5"/>
  <c r="B1156" i="5"/>
  <c r="C1156" i="5"/>
  <c r="D1156" i="5"/>
  <c r="E1156" i="5"/>
  <c r="F1156" i="5"/>
  <c r="G1156" i="5"/>
  <c r="H1156" i="5"/>
  <c r="I1156" i="5"/>
  <c r="J1156" i="5"/>
  <c r="K1156" i="5"/>
  <c r="L1156" i="5"/>
  <c r="M1156" i="5"/>
  <c r="N1156" i="5"/>
  <c r="O1156" i="5"/>
  <c r="P1156" i="5"/>
  <c r="Q1156" i="5"/>
  <c r="R1156" i="5"/>
  <c r="S1156" i="5"/>
  <c r="T1156" i="5"/>
  <c r="U1156" i="5"/>
  <c r="V1156" i="5"/>
  <c r="W1156" i="5"/>
  <c r="X1156" i="5"/>
  <c r="A1157" i="5"/>
  <c r="B1157" i="5"/>
  <c r="C1157" i="5"/>
  <c r="D1157" i="5"/>
  <c r="E1157" i="5"/>
  <c r="F1157" i="5"/>
  <c r="G1157" i="5"/>
  <c r="H1157" i="5"/>
  <c r="I1157" i="5"/>
  <c r="J1157" i="5"/>
  <c r="K1157" i="5"/>
  <c r="L1157" i="5"/>
  <c r="M1157" i="5"/>
  <c r="N1157" i="5"/>
  <c r="O1157" i="5"/>
  <c r="P1157" i="5"/>
  <c r="Q1157" i="5"/>
  <c r="R1157" i="5"/>
  <c r="S1157" i="5"/>
  <c r="T1157" i="5"/>
  <c r="U1157" i="5"/>
  <c r="V1157" i="5"/>
  <c r="W1157" i="5"/>
  <c r="X1157" i="5"/>
  <c r="E9" i="4"/>
  <c r="J12" i="4"/>
  <c r="J13" i="4"/>
  <c r="J14" i="4"/>
  <c r="J15" i="4"/>
  <c r="J16" i="4"/>
  <c r="B17" i="4"/>
  <c r="C17" i="4"/>
  <c r="D17" i="4"/>
  <c r="E17" i="4"/>
  <c r="F17" i="4"/>
  <c r="G17" i="4"/>
  <c r="H17" i="4"/>
  <c r="I17" i="4"/>
  <c r="J17" i="4"/>
  <c r="B18" i="4"/>
  <c r="C18" i="4"/>
  <c r="D18" i="4"/>
  <c r="E18" i="4"/>
  <c r="F18" i="4"/>
  <c r="G18" i="4"/>
  <c r="H18" i="4"/>
  <c r="I18" i="4"/>
  <c r="J18" i="4"/>
  <c r="B19" i="4"/>
  <c r="C19" i="4"/>
  <c r="D19" i="4"/>
  <c r="E19" i="4"/>
  <c r="F19" i="4"/>
  <c r="G19" i="4"/>
  <c r="H19" i="4"/>
  <c r="I19" i="4"/>
  <c r="J19" i="4"/>
  <c r="B20" i="4"/>
  <c r="C20" i="4"/>
  <c r="D20" i="4"/>
  <c r="E20" i="4"/>
  <c r="F20" i="4"/>
  <c r="G20" i="4"/>
  <c r="H20" i="4"/>
  <c r="I20" i="4"/>
  <c r="J20" i="4"/>
  <c r="B21" i="4"/>
  <c r="C21" i="4"/>
  <c r="D21" i="4"/>
  <c r="E21" i="4"/>
  <c r="F21" i="4"/>
  <c r="G21" i="4"/>
  <c r="H21" i="4"/>
  <c r="I21" i="4"/>
  <c r="J21" i="4"/>
  <c r="B22" i="4"/>
  <c r="C22" i="4"/>
  <c r="D22" i="4"/>
  <c r="E22" i="4"/>
  <c r="F22" i="4"/>
  <c r="G22" i="4"/>
  <c r="H22" i="4"/>
  <c r="I22" i="4"/>
  <c r="J22" i="4"/>
  <c r="B23" i="4"/>
  <c r="C23" i="4"/>
  <c r="D23" i="4"/>
  <c r="E23" i="4"/>
  <c r="F23" i="4"/>
  <c r="G23" i="4"/>
  <c r="H23" i="4"/>
  <c r="I23" i="4"/>
  <c r="J23" i="4"/>
  <c r="B24" i="4"/>
  <c r="C24" i="4"/>
  <c r="D24" i="4"/>
  <c r="E24" i="4"/>
  <c r="F24" i="4"/>
  <c r="G24" i="4"/>
  <c r="H24" i="4"/>
  <c r="I24" i="4"/>
  <c r="J24" i="4"/>
  <c r="B25" i="4"/>
  <c r="C25" i="4"/>
  <c r="D25" i="4"/>
  <c r="E25" i="4"/>
  <c r="F25" i="4"/>
  <c r="G25" i="4"/>
  <c r="H25" i="4"/>
  <c r="I25" i="4"/>
  <c r="J25" i="4"/>
  <c r="B26" i="4"/>
  <c r="C26" i="4"/>
  <c r="D26" i="4"/>
  <c r="E26" i="4"/>
  <c r="F26" i="4"/>
  <c r="G26" i="4"/>
  <c r="H26" i="4"/>
  <c r="I26" i="4"/>
  <c r="J26" i="4"/>
  <c r="B27" i="4"/>
  <c r="C27" i="4"/>
  <c r="D27" i="4"/>
  <c r="E27" i="4"/>
  <c r="F27" i="4"/>
  <c r="G27" i="4"/>
  <c r="H27" i="4"/>
  <c r="I27" i="4"/>
  <c r="J27" i="4"/>
  <c r="B28" i="4"/>
  <c r="C28" i="4"/>
  <c r="D28" i="4"/>
  <c r="E28" i="4"/>
  <c r="F28" i="4"/>
  <c r="G28" i="4"/>
  <c r="H28" i="4"/>
  <c r="I28" i="4"/>
  <c r="J28" i="4"/>
  <c r="B29" i="4"/>
  <c r="C29" i="4"/>
  <c r="D29" i="4"/>
  <c r="E29" i="4"/>
  <c r="F29" i="4"/>
  <c r="G29" i="4"/>
  <c r="H29" i="4"/>
  <c r="I29" i="4"/>
  <c r="J29" i="4"/>
  <c r="B30" i="4"/>
  <c r="C30" i="4"/>
  <c r="D30" i="4"/>
  <c r="E30" i="4"/>
  <c r="F30" i="4"/>
  <c r="G30" i="4"/>
  <c r="H30" i="4"/>
  <c r="I30" i="4"/>
  <c r="J30" i="4"/>
  <c r="B31" i="4"/>
  <c r="C31" i="4"/>
  <c r="D31" i="4"/>
  <c r="E31" i="4"/>
  <c r="F31" i="4"/>
  <c r="G31" i="4"/>
  <c r="H31" i="4"/>
  <c r="I31" i="4"/>
  <c r="J31" i="4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B1003" i="4"/>
  <c r="C1003" i="4"/>
  <c r="D1003" i="4"/>
  <c r="E1003" i="4"/>
  <c r="F1003" i="4"/>
  <c r="G1003" i="4"/>
  <c r="H1003" i="4"/>
  <c r="I1003" i="4"/>
  <c r="J1003" i="4"/>
  <c r="B1004" i="4"/>
  <c r="C1004" i="4"/>
  <c r="D1004" i="4"/>
  <c r="E1004" i="4"/>
  <c r="F1004" i="4"/>
  <c r="G1004" i="4"/>
  <c r="H1004" i="4"/>
  <c r="I1004" i="4"/>
  <c r="J1004" i="4"/>
  <c r="B1005" i="4"/>
  <c r="C1005" i="4"/>
  <c r="D1005" i="4"/>
  <c r="E1005" i="4"/>
  <c r="F1005" i="4"/>
  <c r="G1005" i="4"/>
  <c r="H1005" i="4"/>
  <c r="I1005" i="4"/>
  <c r="J1005" i="4"/>
  <c r="B1006" i="4"/>
  <c r="C1006" i="4"/>
  <c r="D1006" i="4"/>
  <c r="E1006" i="4"/>
  <c r="F1006" i="4"/>
  <c r="G1006" i="4"/>
  <c r="H1006" i="4"/>
  <c r="I1006" i="4"/>
  <c r="J1006" i="4"/>
  <c r="B1007" i="4"/>
  <c r="C1007" i="4"/>
  <c r="D1007" i="4"/>
  <c r="E1007" i="4"/>
  <c r="F1007" i="4"/>
  <c r="G1007" i="4"/>
  <c r="H1007" i="4"/>
  <c r="I1007" i="4"/>
  <c r="J1007" i="4"/>
  <c r="B1008" i="4"/>
  <c r="C1008" i="4"/>
  <c r="D1008" i="4"/>
  <c r="E1008" i="4"/>
  <c r="F1008" i="4"/>
  <c r="G1008" i="4"/>
  <c r="H1008" i="4"/>
  <c r="I1008" i="4"/>
  <c r="J1008" i="4"/>
  <c r="B1009" i="4"/>
  <c r="C1009" i="4"/>
  <c r="D1009" i="4"/>
  <c r="E1009" i="4"/>
  <c r="F1009" i="4"/>
  <c r="G1009" i="4"/>
  <c r="H1009" i="4"/>
  <c r="I1009" i="4"/>
  <c r="J1009" i="4"/>
  <c r="B1010" i="4"/>
  <c r="C1010" i="4"/>
  <c r="D1010" i="4"/>
  <c r="E1010" i="4"/>
  <c r="F1010" i="4"/>
  <c r="G1010" i="4"/>
  <c r="H1010" i="4"/>
  <c r="I1010" i="4"/>
  <c r="J1010" i="4"/>
  <c r="B1011" i="4"/>
  <c r="C1011" i="4"/>
  <c r="D1011" i="4"/>
  <c r="E1011" i="4"/>
  <c r="F1011" i="4"/>
  <c r="G1011" i="4"/>
  <c r="H1011" i="4"/>
  <c r="I1011" i="4"/>
  <c r="J1011" i="4"/>
  <c r="B1012" i="4"/>
  <c r="C1012" i="4"/>
  <c r="D1012" i="4"/>
  <c r="E1012" i="4"/>
  <c r="F1012" i="4"/>
  <c r="G1012" i="4"/>
  <c r="H1012" i="4"/>
  <c r="I1012" i="4"/>
  <c r="J1012" i="4"/>
  <c r="B1013" i="4"/>
  <c r="C1013" i="4"/>
  <c r="D1013" i="4"/>
  <c r="E1013" i="4"/>
  <c r="F1013" i="4"/>
  <c r="G1013" i="4"/>
  <c r="H1013" i="4"/>
  <c r="I1013" i="4"/>
  <c r="J1013" i="4"/>
  <c r="B1014" i="4"/>
  <c r="C1014" i="4"/>
  <c r="D1014" i="4"/>
  <c r="E1014" i="4"/>
  <c r="F1014" i="4"/>
  <c r="G1014" i="4"/>
  <c r="H1014" i="4"/>
  <c r="I1014" i="4"/>
  <c r="J1014" i="4"/>
  <c r="B1015" i="4"/>
  <c r="C1015" i="4"/>
  <c r="D1015" i="4"/>
  <c r="E1015" i="4"/>
  <c r="F1015" i="4"/>
  <c r="G1015" i="4"/>
  <c r="H1015" i="4"/>
  <c r="I1015" i="4"/>
  <c r="J1015" i="4"/>
  <c r="B1016" i="4"/>
  <c r="C1016" i="4"/>
  <c r="D1016" i="4"/>
  <c r="E1016" i="4"/>
  <c r="F1016" i="4"/>
  <c r="G1016" i="4"/>
  <c r="H1016" i="4"/>
  <c r="I1016" i="4"/>
  <c r="J1016" i="4"/>
  <c r="B1017" i="4"/>
  <c r="C1017" i="4"/>
  <c r="D1017" i="4"/>
  <c r="E1017" i="4"/>
  <c r="F1017" i="4"/>
  <c r="G1017" i="4"/>
  <c r="H1017" i="4"/>
  <c r="I1017" i="4"/>
  <c r="J1017" i="4"/>
  <c r="B1018" i="4"/>
  <c r="C1018" i="4"/>
  <c r="D1018" i="4"/>
  <c r="E1018" i="4"/>
  <c r="F1018" i="4"/>
  <c r="G1018" i="4"/>
  <c r="H1018" i="4"/>
  <c r="I1018" i="4"/>
  <c r="J1018" i="4"/>
  <c r="B1019" i="4"/>
  <c r="C1019" i="4"/>
  <c r="D1019" i="4"/>
  <c r="E1019" i="4"/>
  <c r="F1019" i="4"/>
  <c r="G1019" i="4"/>
  <c r="H1019" i="4"/>
  <c r="I1019" i="4"/>
  <c r="J1019" i="4"/>
  <c r="B1020" i="4"/>
  <c r="C1020" i="4"/>
  <c r="D1020" i="4"/>
  <c r="E1020" i="4"/>
  <c r="F1020" i="4"/>
  <c r="G1020" i="4"/>
  <c r="H1020" i="4"/>
  <c r="I1020" i="4"/>
  <c r="J1020" i="4"/>
  <c r="B1021" i="4"/>
  <c r="C1021" i="4"/>
  <c r="D1021" i="4"/>
  <c r="E1021" i="4"/>
  <c r="F1021" i="4"/>
  <c r="G1021" i="4"/>
  <c r="H1021" i="4"/>
  <c r="I1021" i="4"/>
  <c r="J1021" i="4"/>
  <c r="B1022" i="4"/>
  <c r="C1022" i="4"/>
  <c r="D1022" i="4"/>
  <c r="E1022" i="4"/>
  <c r="F1022" i="4"/>
  <c r="G1022" i="4"/>
  <c r="H1022" i="4"/>
  <c r="I1022" i="4"/>
  <c r="J1022" i="4"/>
  <c r="B1023" i="4"/>
  <c r="C1023" i="4"/>
  <c r="D1023" i="4"/>
  <c r="E1023" i="4"/>
  <c r="F1023" i="4"/>
  <c r="G1023" i="4"/>
  <c r="H1023" i="4"/>
  <c r="I1023" i="4"/>
  <c r="J1023" i="4"/>
  <c r="B1024" i="4"/>
  <c r="C1024" i="4"/>
  <c r="D1024" i="4"/>
  <c r="E1024" i="4"/>
  <c r="F1024" i="4"/>
  <c r="G1024" i="4"/>
  <c r="H1024" i="4"/>
  <c r="I1024" i="4"/>
  <c r="J1024" i="4"/>
  <c r="B1025" i="4"/>
  <c r="C1025" i="4"/>
  <c r="D1025" i="4"/>
  <c r="E1025" i="4"/>
  <c r="F1025" i="4"/>
  <c r="G1025" i="4"/>
  <c r="H1025" i="4"/>
  <c r="I1025" i="4"/>
  <c r="J1025" i="4"/>
  <c r="B1026" i="4"/>
  <c r="C1026" i="4"/>
  <c r="D1026" i="4"/>
  <c r="E1026" i="4"/>
  <c r="F1026" i="4"/>
  <c r="G1026" i="4"/>
  <c r="H1026" i="4"/>
  <c r="I1026" i="4"/>
  <c r="J1026" i="4"/>
  <c r="B1027" i="4"/>
  <c r="C1027" i="4"/>
  <c r="D1027" i="4"/>
  <c r="E1027" i="4"/>
  <c r="F1027" i="4"/>
  <c r="G1027" i="4"/>
  <c r="H1027" i="4"/>
  <c r="I1027" i="4"/>
  <c r="J1027" i="4"/>
  <c r="B1028" i="4"/>
  <c r="C1028" i="4"/>
  <c r="D1028" i="4"/>
  <c r="E1028" i="4"/>
  <c r="F1028" i="4"/>
  <c r="G1028" i="4"/>
  <c r="H1028" i="4"/>
  <c r="I1028" i="4"/>
  <c r="J1028" i="4"/>
  <c r="B1029" i="4"/>
  <c r="C1029" i="4"/>
  <c r="D1029" i="4"/>
  <c r="E1029" i="4"/>
  <c r="F1029" i="4"/>
  <c r="G1029" i="4"/>
  <c r="H1029" i="4"/>
  <c r="I1029" i="4"/>
  <c r="J1029" i="4"/>
  <c r="B1030" i="4"/>
  <c r="C1030" i="4"/>
  <c r="D1030" i="4"/>
  <c r="E1030" i="4"/>
  <c r="F1030" i="4"/>
  <c r="G1030" i="4"/>
  <c r="H1030" i="4"/>
  <c r="I1030" i="4"/>
  <c r="J1030" i="4"/>
  <c r="B1031" i="4"/>
  <c r="C1031" i="4"/>
  <c r="D1031" i="4"/>
  <c r="E1031" i="4"/>
  <c r="F1031" i="4"/>
  <c r="G1031" i="4"/>
  <c r="H1031" i="4"/>
  <c r="I1031" i="4"/>
  <c r="J1031" i="4"/>
  <c r="B1032" i="4"/>
  <c r="C1032" i="4"/>
  <c r="D1032" i="4"/>
  <c r="E1032" i="4"/>
  <c r="F1032" i="4"/>
  <c r="G1032" i="4"/>
  <c r="H1032" i="4"/>
  <c r="I1032" i="4"/>
  <c r="J1032" i="4"/>
  <c r="B1033" i="4"/>
  <c r="C1033" i="4"/>
  <c r="D1033" i="4"/>
  <c r="E1033" i="4"/>
  <c r="F1033" i="4"/>
  <c r="G1033" i="4"/>
  <c r="H1033" i="4"/>
  <c r="I1033" i="4"/>
  <c r="J1033" i="4"/>
  <c r="B1034" i="4"/>
  <c r="C1034" i="4"/>
  <c r="D1034" i="4"/>
  <c r="E1034" i="4"/>
  <c r="F1034" i="4"/>
  <c r="G1034" i="4"/>
  <c r="H1034" i="4"/>
  <c r="I1034" i="4"/>
  <c r="J1034" i="4"/>
  <c r="B1035" i="4"/>
  <c r="C1035" i="4"/>
  <c r="D1035" i="4"/>
  <c r="E1035" i="4"/>
  <c r="F1035" i="4"/>
  <c r="G1035" i="4"/>
  <c r="H1035" i="4"/>
  <c r="I1035" i="4"/>
  <c r="J1035" i="4"/>
  <c r="B1036" i="4"/>
  <c r="C1036" i="4"/>
  <c r="D1036" i="4"/>
  <c r="E1036" i="4"/>
  <c r="F1036" i="4"/>
  <c r="G1036" i="4"/>
  <c r="H1036" i="4"/>
  <c r="I1036" i="4"/>
  <c r="J1036" i="4"/>
  <c r="B1037" i="4"/>
  <c r="C1037" i="4"/>
  <c r="D1037" i="4"/>
  <c r="E1037" i="4"/>
  <c r="F1037" i="4"/>
  <c r="G1037" i="4"/>
  <c r="H1037" i="4"/>
  <c r="I1037" i="4"/>
  <c r="J1037" i="4"/>
  <c r="B1038" i="4"/>
  <c r="C1038" i="4"/>
  <c r="D1038" i="4"/>
  <c r="E1038" i="4"/>
  <c r="F1038" i="4"/>
  <c r="G1038" i="4"/>
  <c r="H1038" i="4"/>
  <c r="I1038" i="4"/>
  <c r="J1038" i="4"/>
  <c r="B1039" i="4"/>
  <c r="C1039" i="4"/>
  <c r="D1039" i="4"/>
  <c r="E1039" i="4"/>
  <c r="F1039" i="4"/>
  <c r="G1039" i="4"/>
  <c r="H1039" i="4"/>
  <c r="I1039" i="4"/>
  <c r="J1039" i="4"/>
  <c r="B1040" i="4"/>
  <c r="C1040" i="4"/>
  <c r="D1040" i="4"/>
  <c r="E1040" i="4"/>
  <c r="F1040" i="4"/>
  <c r="G1040" i="4"/>
  <c r="H1040" i="4"/>
  <c r="I1040" i="4"/>
  <c r="J1040" i="4"/>
  <c r="B1041" i="4"/>
  <c r="C1041" i="4"/>
  <c r="D1041" i="4"/>
  <c r="E1041" i="4"/>
  <c r="F1041" i="4"/>
  <c r="G1041" i="4"/>
  <c r="H1041" i="4"/>
  <c r="I1041" i="4"/>
  <c r="J1041" i="4"/>
  <c r="B1042" i="4"/>
  <c r="C1042" i="4"/>
  <c r="D1042" i="4"/>
  <c r="E1042" i="4"/>
  <c r="F1042" i="4"/>
  <c r="G1042" i="4"/>
  <c r="H1042" i="4"/>
  <c r="I1042" i="4"/>
  <c r="J1042" i="4"/>
  <c r="B1043" i="4"/>
  <c r="C1043" i="4"/>
  <c r="D1043" i="4"/>
  <c r="E1043" i="4"/>
  <c r="F1043" i="4"/>
  <c r="G1043" i="4"/>
  <c r="H1043" i="4"/>
  <c r="I1043" i="4"/>
  <c r="J1043" i="4"/>
  <c r="B1044" i="4"/>
  <c r="C1044" i="4"/>
  <c r="D1044" i="4"/>
  <c r="E1044" i="4"/>
  <c r="F1044" i="4"/>
  <c r="G1044" i="4"/>
  <c r="H1044" i="4"/>
  <c r="I1044" i="4"/>
  <c r="J1044" i="4"/>
  <c r="B1045" i="4"/>
  <c r="C1045" i="4"/>
  <c r="D1045" i="4"/>
  <c r="E1045" i="4"/>
  <c r="F1045" i="4"/>
  <c r="G1045" i="4"/>
  <c r="H1045" i="4"/>
  <c r="I1045" i="4"/>
  <c r="J1045" i="4"/>
  <c r="B1046" i="4"/>
  <c r="C1046" i="4"/>
  <c r="D1046" i="4"/>
  <c r="E1046" i="4"/>
  <c r="F1046" i="4"/>
  <c r="G1046" i="4"/>
  <c r="H1046" i="4"/>
  <c r="I1046" i="4"/>
  <c r="J1046" i="4"/>
  <c r="B1047" i="4"/>
  <c r="C1047" i="4"/>
  <c r="D1047" i="4"/>
  <c r="E1047" i="4"/>
  <c r="F1047" i="4"/>
  <c r="G1047" i="4"/>
  <c r="H1047" i="4"/>
  <c r="I1047" i="4"/>
  <c r="J1047" i="4"/>
  <c r="B1048" i="4"/>
  <c r="C1048" i="4"/>
  <c r="D1048" i="4"/>
  <c r="E1048" i="4"/>
  <c r="F1048" i="4"/>
  <c r="G1048" i="4"/>
  <c r="H1048" i="4"/>
  <c r="I1048" i="4"/>
  <c r="J1048" i="4"/>
  <c r="B1049" i="4"/>
  <c r="C1049" i="4"/>
  <c r="D1049" i="4"/>
  <c r="E1049" i="4"/>
  <c r="F1049" i="4"/>
  <c r="G1049" i="4"/>
  <c r="H1049" i="4"/>
  <c r="I1049" i="4"/>
  <c r="J1049" i="4"/>
  <c r="B1050" i="4"/>
  <c r="C1050" i="4"/>
  <c r="D1050" i="4"/>
  <c r="E1050" i="4"/>
  <c r="F1050" i="4"/>
  <c r="G1050" i="4"/>
  <c r="H1050" i="4"/>
  <c r="I1050" i="4"/>
  <c r="J1050" i="4"/>
  <c r="B1051" i="4"/>
  <c r="C1051" i="4"/>
  <c r="D1051" i="4"/>
  <c r="E1051" i="4"/>
  <c r="F1051" i="4"/>
  <c r="G1051" i="4"/>
  <c r="H1051" i="4"/>
  <c r="I1051" i="4"/>
  <c r="J1051" i="4"/>
  <c r="B1052" i="4"/>
  <c r="C1052" i="4"/>
  <c r="D1052" i="4"/>
  <c r="E1052" i="4"/>
  <c r="F1052" i="4"/>
  <c r="G1052" i="4"/>
  <c r="H1052" i="4"/>
  <c r="I1052" i="4"/>
  <c r="J1052" i="4"/>
  <c r="B1053" i="4"/>
  <c r="C1053" i="4"/>
  <c r="D1053" i="4"/>
  <c r="E1053" i="4"/>
  <c r="F1053" i="4"/>
  <c r="G1053" i="4"/>
  <c r="H1053" i="4"/>
  <c r="I1053" i="4"/>
  <c r="J1053" i="4"/>
  <c r="B1054" i="4"/>
  <c r="C1054" i="4"/>
  <c r="D1054" i="4"/>
  <c r="E1054" i="4"/>
  <c r="F1054" i="4"/>
  <c r="G1054" i="4"/>
  <c r="H1054" i="4"/>
  <c r="I1054" i="4"/>
  <c r="J1054" i="4"/>
  <c r="B1055" i="4"/>
  <c r="C1055" i="4"/>
  <c r="D1055" i="4"/>
  <c r="E1055" i="4"/>
  <c r="F1055" i="4"/>
  <c r="G1055" i="4"/>
  <c r="H1055" i="4"/>
  <c r="I1055" i="4"/>
  <c r="J1055" i="4"/>
  <c r="B1056" i="4"/>
  <c r="C1056" i="4"/>
  <c r="D1056" i="4"/>
  <c r="E1056" i="4"/>
  <c r="F1056" i="4"/>
  <c r="G1056" i="4"/>
  <c r="H1056" i="4"/>
  <c r="I1056" i="4"/>
  <c r="J1056" i="4"/>
  <c r="B1057" i="4"/>
  <c r="C1057" i="4"/>
  <c r="D1057" i="4"/>
  <c r="E1057" i="4"/>
  <c r="F1057" i="4"/>
  <c r="G1057" i="4"/>
  <c r="H1057" i="4"/>
  <c r="I1057" i="4"/>
  <c r="J1057" i="4"/>
  <c r="B1058" i="4"/>
  <c r="C1058" i="4"/>
  <c r="D1058" i="4"/>
  <c r="E1058" i="4"/>
  <c r="F1058" i="4"/>
  <c r="G1058" i="4"/>
  <c r="H1058" i="4"/>
  <c r="I1058" i="4"/>
  <c r="J1058" i="4"/>
  <c r="B1059" i="4"/>
  <c r="C1059" i="4"/>
  <c r="D1059" i="4"/>
  <c r="E1059" i="4"/>
  <c r="F1059" i="4"/>
  <c r="G1059" i="4"/>
  <c r="H1059" i="4"/>
  <c r="I1059" i="4"/>
  <c r="J1059" i="4"/>
  <c r="B1060" i="4"/>
  <c r="C1060" i="4"/>
  <c r="D1060" i="4"/>
  <c r="E1060" i="4"/>
  <c r="F1060" i="4"/>
  <c r="G1060" i="4"/>
  <c r="H1060" i="4"/>
  <c r="I1060" i="4"/>
  <c r="J1060" i="4"/>
  <c r="B1061" i="4"/>
  <c r="C1061" i="4"/>
  <c r="D1061" i="4"/>
  <c r="E1061" i="4"/>
  <c r="F1061" i="4"/>
  <c r="G1061" i="4"/>
  <c r="H1061" i="4"/>
  <c r="I1061" i="4"/>
  <c r="J1061" i="4"/>
  <c r="B1062" i="4"/>
  <c r="C1062" i="4"/>
  <c r="D1062" i="4"/>
  <c r="E1062" i="4"/>
  <c r="F1062" i="4"/>
  <c r="G1062" i="4"/>
  <c r="H1062" i="4"/>
  <c r="I1062" i="4"/>
  <c r="J1062" i="4"/>
  <c r="B1063" i="4"/>
  <c r="C1063" i="4"/>
  <c r="D1063" i="4"/>
  <c r="E1063" i="4"/>
  <c r="F1063" i="4"/>
  <c r="G1063" i="4"/>
  <c r="H1063" i="4"/>
  <c r="I1063" i="4"/>
  <c r="J1063" i="4"/>
  <c r="B1064" i="4"/>
  <c r="C1064" i="4"/>
  <c r="D1064" i="4"/>
  <c r="E1064" i="4"/>
  <c r="F1064" i="4"/>
  <c r="G1064" i="4"/>
  <c r="H1064" i="4"/>
  <c r="I1064" i="4"/>
  <c r="J1064" i="4"/>
  <c r="B1065" i="4"/>
  <c r="C1065" i="4"/>
  <c r="D1065" i="4"/>
  <c r="E1065" i="4"/>
  <c r="F1065" i="4"/>
  <c r="G1065" i="4"/>
  <c r="H1065" i="4"/>
  <c r="I1065" i="4"/>
  <c r="J1065" i="4"/>
  <c r="B1066" i="4"/>
  <c r="C1066" i="4"/>
  <c r="D1066" i="4"/>
  <c r="E1066" i="4"/>
  <c r="F1066" i="4"/>
  <c r="G1066" i="4"/>
  <c r="H1066" i="4"/>
  <c r="I1066" i="4"/>
  <c r="J1066" i="4"/>
  <c r="B1067" i="4"/>
  <c r="C1067" i="4"/>
  <c r="D1067" i="4"/>
  <c r="E1067" i="4"/>
  <c r="F1067" i="4"/>
  <c r="G1067" i="4"/>
  <c r="H1067" i="4"/>
  <c r="I1067" i="4"/>
  <c r="J1067" i="4"/>
  <c r="B1069" i="4"/>
  <c r="C1069" i="4"/>
  <c r="D1069" i="4"/>
  <c r="E1069" i="4"/>
  <c r="F1069" i="4"/>
  <c r="G1069" i="4"/>
  <c r="H1069" i="4"/>
  <c r="I1069" i="4"/>
  <c r="J1069" i="4"/>
  <c r="B1070" i="4"/>
  <c r="C1070" i="4"/>
  <c r="D1070" i="4"/>
  <c r="E1070" i="4"/>
  <c r="F1070" i="4"/>
  <c r="G1070" i="4"/>
  <c r="H1070" i="4"/>
  <c r="I1070" i="4"/>
  <c r="J1070" i="4"/>
  <c r="B1071" i="4"/>
  <c r="C1071" i="4"/>
  <c r="D1071" i="4"/>
  <c r="E1071" i="4"/>
  <c r="F1071" i="4"/>
  <c r="G1071" i="4"/>
  <c r="H1071" i="4"/>
  <c r="I1071" i="4"/>
  <c r="J1071" i="4"/>
  <c r="B1072" i="4"/>
  <c r="C1072" i="4"/>
  <c r="D1072" i="4"/>
  <c r="E1072" i="4"/>
  <c r="F1072" i="4"/>
  <c r="G1072" i="4"/>
  <c r="H1072" i="4"/>
  <c r="I1072" i="4"/>
  <c r="J1072" i="4"/>
  <c r="B1073" i="4"/>
  <c r="C1073" i="4"/>
  <c r="D1073" i="4"/>
  <c r="E1073" i="4"/>
  <c r="F1073" i="4"/>
  <c r="G1073" i="4"/>
  <c r="H1073" i="4"/>
  <c r="I1073" i="4"/>
  <c r="J1073" i="4"/>
  <c r="B1074" i="4"/>
  <c r="C1074" i="4"/>
  <c r="D1074" i="4"/>
  <c r="E1074" i="4"/>
  <c r="F1074" i="4"/>
  <c r="G1074" i="4"/>
  <c r="H1074" i="4"/>
  <c r="I1074" i="4"/>
  <c r="J1074" i="4"/>
  <c r="B1075" i="4"/>
  <c r="C1075" i="4"/>
  <c r="D1075" i="4"/>
  <c r="E1075" i="4"/>
  <c r="F1075" i="4"/>
  <c r="G1075" i="4"/>
  <c r="H1075" i="4"/>
  <c r="I1075" i="4"/>
  <c r="J1075" i="4"/>
  <c r="B1076" i="4"/>
  <c r="C1076" i="4"/>
  <c r="D1076" i="4"/>
  <c r="E1076" i="4"/>
  <c r="F1076" i="4"/>
  <c r="G1076" i="4"/>
  <c r="H1076" i="4"/>
  <c r="I1076" i="4"/>
  <c r="J1076" i="4"/>
  <c r="B1077" i="4"/>
  <c r="C1077" i="4"/>
  <c r="D1077" i="4"/>
  <c r="E1077" i="4"/>
  <c r="F1077" i="4"/>
  <c r="G1077" i="4"/>
  <c r="H1077" i="4"/>
  <c r="I1077" i="4"/>
  <c r="J1077" i="4"/>
  <c r="B1078" i="4"/>
  <c r="C1078" i="4"/>
  <c r="D1078" i="4"/>
  <c r="E1078" i="4"/>
  <c r="F1078" i="4"/>
  <c r="G1078" i="4"/>
  <c r="H1078" i="4"/>
  <c r="I1078" i="4"/>
  <c r="J1078" i="4"/>
  <c r="B1079" i="4"/>
  <c r="C1079" i="4"/>
  <c r="D1079" i="4"/>
  <c r="E1079" i="4"/>
  <c r="F1079" i="4"/>
  <c r="G1079" i="4"/>
  <c r="H1079" i="4"/>
  <c r="I1079" i="4"/>
  <c r="J1079" i="4"/>
  <c r="B1080" i="4"/>
  <c r="C1080" i="4"/>
  <c r="D1080" i="4"/>
  <c r="E1080" i="4"/>
  <c r="F1080" i="4"/>
  <c r="G1080" i="4"/>
  <c r="H1080" i="4"/>
  <c r="I1080" i="4"/>
  <c r="J1080" i="4"/>
  <c r="B1081" i="4"/>
  <c r="C1081" i="4"/>
  <c r="D1081" i="4"/>
  <c r="E1081" i="4"/>
  <c r="F1081" i="4"/>
  <c r="G1081" i="4"/>
  <c r="H1081" i="4"/>
  <c r="I1081" i="4"/>
  <c r="J1081" i="4"/>
  <c r="B1082" i="4"/>
  <c r="C1082" i="4"/>
  <c r="D1082" i="4"/>
  <c r="E1082" i="4"/>
  <c r="F1082" i="4"/>
  <c r="G1082" i="4"/>
  <c r="H1082" i="4"/>
  <c r="I1082" i="4"/>
  <c r="J1082" i="4"/>
  <c r="B1083" i="4"/>
  <c r="C1083" i="4"/>
  <c r="D1083" i="4"/>
  <c r="E1083" i="4"/>
  <c r="F1083" i="4"/>
  <c r="G1083" i="4"/>
  <c r="H1083" i="4"/>
  <c r="I1083" i="4"/>
  <c r="J1083" i="4"/>
  <c r="B1084" i="4"/>
  <c r="C1084" i="4"/>
  <c r="D1084" i="4"/>
  <c r="E1084" i="4"/>
  <c r="F1084" i="4"/>
  <c r="G1084" i="4"/>
  <c r="H1084" i="4"/>
  <c r="I1084" i="4"/>
  <c r="J1084" i="4"/>
  <c r="B1085" i="4"/>
  <c r="C1085" i="4"/>
  <c r="D1085" i="4"/>
  <c r="E1085" i="4"/>
  <c r="F1085" i="4"/>
  <c r="G1085" i="4"/>
  <c r="H1085" i="4"/>
  <c r="I1085" i="4"/>
  <c r="J1085" i="4"/>
  <c r="B1086" i="4"/>
  <c r="C1086" i="4"/>
  <c r="D1086" i="4"/>
  <c r="E1086" i="4"/>
  <c r="F1086" i="4"/>
  <c r="G1086" i="4"/>
  <c r="H1086" i="4"/>
  <c r="I1086" i="4"/>
  <c r="J1086" i="4"/>
  <c r="B1087" i="4"/>
  <c r="C1087" i="4"/>
  <c r="D1087" i="4"/>
  <c r="E1087" i="4"/>
  <c r="F1087" i="4"/>
  <c r="G1087" i="4"/>
  <c r="H1087" i="4"/>
  <c r="I1087" i="4"/>
  <c r="J1087" i="4"/>
  <c r="B1088" i="4"/>
  <c r="C1088" i="4"/>
  <c r="D1088" i="4"/>
  <c r="E1088" i="4"/>
  <c r="F1088" i="4"/>
  <c r="G1088" i="4"/>
  <c r="H1088" i="4"/>
  <c r="I1088" i="4"/>
  <c r="J1088" i="4"/>
  <c r="B1089" i="4"/>
  <c r="C1089" i="4"/>
  <c r="D1089" i="4"/>
  <c r="E1089" i="4"/>
  <c r="F1089" i="4"/>
  <c r="G1089" i="4"/>
  <c r="H1089" i="4"/>
  <c r="I1089" i="4"/>
  <c r="J1089" i="4"/>
  <c r="B1090" i="4"/>
  <c r="C1090" i="4"/>
  <c r="D1090" i="4"/>
  <c r="E1090" i="4"/>
  <c r="F1090" i="4"/>
  <c r="G1090" i="4"/>
  <c r="H1090" i="4"/>
  <c r="I1090" i="4"/>
  <c r="J1090" i="4"/>
  <c r="B1091" i="4"/>
  <c r="C1091" i="4"/>
  <c r="D1091" i="4"/>
  <c r="E1091" i="4"/>
  <c r="F1091" i="4"/>
  <c r="G1091" i="4"/>
  <c r="H1091" i="4"/>
  <c r="I1091" i="4"/>
  <c r="J1091" i="4"/>
  <c r="B1092" i="4"/>
  <c r="C1092" i="4"/>
  <c r="D1092" i="4"/>
  <c r="E1092" i="4"/>
  <c r="F1092" i="4"/>
  <c r="G1092" i="4"/>
  <c r="H1092" i="4"/>
  <c r="I1092" i="4"/>
  <c r="J1092" i="4"/>
  <c r="B1093" i="4"/>
  <c r="C1093" i="4"/>
  <c r="D1093" i="4"/>
  <c r="E1093" i="4"/>
  <c r="F1093" i="4"/>
  <c r="G1093" i="4"/>
  <c r="H1093" i="4"/>
  <c r="I1093" i="4"/>
  <c r="J1093" i="4"/>
  <c r="A1094" i="4"/>
  <c r="B1094" i="4"/>
  <c r="C1094" i="4"/>
  <c r="D1094" i="4"/>
  <c r="E1094" i="4"/>
  <c r="F1094" i="4"/>
  <c r="G1094" i="4"/>
  <c r="H1094" i="4"/>
  <c r="I1094" i="4"/>
  <c r="J1094" i="4"/>
  <c r="A1095" i="4"/>
  <c r="B1095" i="4"/>
  <c r="C1095" i="4"/>
  <c r="D1095" i="4"/>
  <c r="E1095" i="4"/>
  <c r="F1095" i="4"/>
  <c r="G1095" i="4"/>
  <c r="H1095" i="4"/>
  <c r="I1095" i="4"/>
  <c r="J1095" i="4"/>
  <c r="A1096" i="4"/>
  <c r="B1096" i="4"/>
  <c r="C1096" i="4"/>
  <c r="D1096" i="4"/>
  <c r="E1096" i="4"/>
  <c r="F1096" i="4"/>
  <c r="G1096" i="4"/>
  <c r="H1096" i="4"/>
  <c r="I1096" i="4"/>
  <c r="J1096" i="4"/>
  <c r="A1097" i="4"/>
  <c r="B1097" i="4"/>
  <c r="C1097" i="4"/>
  <c r="D1097" i="4"/>
  <c r="E1097" i="4"/>
  <c r="F1097" i="4"/>
  <c r="G1097" i="4"/>
  <c r="H1097" i="4"/>
  <c r="I1097" i="4"/>
  <c r="J1097" i="4"/>
  <c r="A1098" i="4"/>
  <c r="B1098" i="4"/>
  <c r="C1098" i="4"/>
  <c r="D1098" i="4"/>
  <c r="E1098" i="4"/>
  <c r="F1098" i="4"/>
  <c r="G1098" i="4"/>
  <c r="H1098" i="4"/>
  <c r="I1098" i="4"/>
  <c r="J1098" i="4"/>
  <c r="A1099" i="4"/>
  <c r="B1099" i="4"/>
  <c r="C1099" i="4"/>
  <c r="D1099" i="4"/>
  <c r="E1099" i="4"/>
  <c r="F1099" i="4"/>
  <c r="G1099" i="4"/>
  <c r="H1099" i="4"/>
  <c r="I1099" i="4"/>
  <c r="J1099" i="4"/>
  <c r="A1100" i="4"/>
  <c r="B1100" i="4"/>
  <c r="C1100" i="4"/>
  <c r="D1100" i="4"/>
  <c r="E1100" i="4"/>
  <c r="F1100" i="4"/>
  <c r="G1100" i="4"/>
  <c r="H1100" i="4"/>
  <c r="I1100" i="4"/>
  <c r="J1100" i="4"/>
  <c r="A1101" i="4"/>
  <c r="B1101" i="4"/>
  <c r="C1101" i="4"/>
  <c r="D1101" i="4"/>
  <c r="E1101" i="4"/>
  <c r="F1101" i="4"/>
  <c r="G1101" i="4"/>
  <c r="H1101" i="4"/>
  <c r="I1101" i="4"/>
  <c r="J1101" i="4"/>
  <c r="A1102" i="4"/>
  <c r="B1102" i="4"/>
  <c r="C1102" i="4"/>
  <c r="D1102" i="4"/>
  <c r="E1102" i="4"/>
  <c r="F1102" i="4"/>
  <c r="G1102" i="4"/>
  <c r="H1102" i="4"/>
  <c r="I1102" i="4"/>
  <c r="J1102" i="4"/>
  <c r="A1103" i="4"/>
  <c r="B1103" i="4"/>
  <c r="C1103" i="4"/>
  <c r="D1103" i="4"/>
  <c r="E1103" i="4"/>
  <c r="F1103" i="4"/>
  <c r="G1103" i="4"/>
  <c r="H1103" i="4"/>
  <c r="I1103" i="4"/>
  <c r="J1103" i="4"/>
  <c r="A1104" i="4"/>
  <c r="B1104" i="4"/>
  <c r="C1104" i="4"/>
  <c r="D1104" i="4"/>
  <c r="E1104" i="4"/>
  <c r="F1104" i="4"/>
  <c r="G1104" i="4"/>
  <c r="H1104" i="4"/>
  <c r="I1104" i="4"/>
  <c r="J1104" i="4"/>
  <c r="A1105" i="4"/>
  <c r="B1105" i="4"/>
  <c r="C1105" i="4"/>
  <c r="D1105" i="4"/>
  <c r="E1105" i="4"/>
  <c r="F1105" i="4"/>
  <c r="G1105" i="4"/>
  <c r="H1105" i="4"/>
  <c r="I1105" i="4"/>
  <c r="J1105" i="4"/>
  <c r="A1106" i="4"/>
  <c r="B1106" i="4"/>
  <c r="C1106" i="4"/>
  <c r="D1106" i="4"/>
  <c r="E1106" i="4"/>
  <c r="F1106" i="4"/>
  <c r="G1106" i="4"/>
  <c r="H1106" i="4"/>
  <c r="I1106" i="4"/>
  <c r="J1106" i="4"/>
  <c r="A1107" i="4"/>
  <c r="B1107" i="4"/>
  <c r="C1107" i="4"/>
  <c r="D1107" i="4"/>
  <c r="E1107" i="4"/>
  <c r="F1107" i="4"/>
  <c r="G1107" i="4"/>
  <c r="H1107" i="4"/>
  <c r="I1107" i="4"/>
  <c r="J1107" i="4"/>
  <c r="A1108" i="4"/>
  <c r="B1108" i="4"/>
  <c r="C1108" i="4"/>
  <c r="D1108" i="4"/>
  <c r="E1108" i="4"/>
  <c r="F1108" i="4"/>
  <c r="G1108" i="4"/>
  <c r="H1108" i="4"/>
  <c r="I1108" i="4"/>
  <c r="J1108" i="4"/>
  <c r="A1109" i="4"/>
  <c r="B1109" i="4"/>
  <c r="C1109" i="4"/>
  <c r="D1109" i="4"/>
  <c r="E1109" i="4"/>
  <c r="F1109" i="4"/>
  <c r="G1109" i="4"/>
  <c r="H1109" i="4"/>
  <c r="I1109" i="4"/>
  <c r="J1109" i="4"/>
  <c r="A1110" i="4"/>
  <c r="B1110" i="4"/>
  <c r="C1110" i="4"/>
  <c r="D1110" i="4"/>
  <c r="E1110" i="4"/>
  <c r="F1110" i="4"/>
  <c r="G1110" i="4"/>
  <c r="H1110" i="4"/>
  <c r="I1110" i="4"/>
  <c r="J1110" i="4"/>
  <c r="A1111" i="4"/>
  <c r="B1111" i="4"/>
  <c r="C1111" i="4"/>
  <c r="D1111" i="4"/>
  <c r="E1111" i="4"/>
  <c r="F1111" i="4"/>
  <c r="G1111" i="4"/>
  <c r="H1111" i="4"/>
  <c r="I1111" i="4"/>
  <c r="J1111" i="4"/>
  <c r="A1112" i="4"/>
  <c r="B1112" i="4"/>
  <c r="C1112" i="4"/>
  <c r="D1112" i="4"/>
  <c r="E1112" i="4"/>
  <c r="F1112" i="4"/>
  <c r="G1112" i="4"/>
  <c r="H1112" i="4"/>
  <c r="I1112" i="4"/>
  <c r="J1112" i="4"/>
  <c r="A1113" i="4"/>
  <c r="B1113" i="4"/>
  <c r="C1113" i="4"/>
  <c r="D1113" i="4"/>
  <c r="E1113" i="4"/>
  <c r="F1113" i="4"/>
  <c r="G1113" i="4"/>
  <c r="H1113" i="4"/>
  <c r="I1113" i="4"/>
  <c r="J1113" i="4"/>
  <c r="A1114" i="4"/>
  <c r="B1114" i="4"/>
  <c r="C1114" i="4"/>
  <c r="D1114" i="4"/>
  <c r="E1114" i="4"/>
  <c r="F1114" i="4"/>
  <c r="G1114" i="4"/>
  <c r="H1114" i="4"/>
  <c r="I1114" i="4"/>
  <c r="J1114" i="4"/>
  <c r="A1115" i="4"/>
  <c r="B1115" i="4"/>
  <c r="C1115" i="4"/>
  <c r="D1115" i="4"/>
  <c r="E1115" i="4"/>
  <c r="F1115" i="4"/>
  <c r="G1115" i="4"/>
  <c r="H1115" i="4"/>
  <c r="I1115" i="4"/>
  <c r="J1115" i="4"/>
  <c r="A1116" i="4"/>
  <c r="B1116" i="4"/>
  <c r="C1116" i="4"/>
  <c r="D1116" i="4"/>
  <c r="E1116" i="4"/>
  <c r="F1116" i="4"/>
  <c r="G1116" i="4"/>
  <c r="H1116" i="4"/>
  <c r="I1116" i="4"/>
  <c r="J1116" i="4"/>
  <c r="A1117" i="4"/>
  <c r="B1117" i="4"/>
  <c r="C1117" i="4"/>
  <c r="D1117" i="4"/>
  <c r="E1117" i="4"/>
  <c r="F1117" i="4"/>
  <c r="G1117" i="4"/>
  <c r="H1117" i="4"/>
  <c r="I1117" i="4"/>
  <c r="J1117" i="4"/>
  <c r="A1118" i="4"/>
  <c r="B1118" i="4"/>
  <c r="C1118" i="4"/>
  <c r="D1118" i="4"/>
  <c r="E1118" i="4"/>
  <c r="F1118" i="4"/>
  <c r="G1118" i="4"/>
  <c r="H1118" i="4"/>
  <c r="I1118" i="4"/>
  <c r="J1118" i="4"/>
  <c r="A1119" i="4"/>
  <c r="B1119" i="4"/>
  <c r="C1119" i="4"/>
  <c r="D1119" i="4"/>
  <c r="E1119" i="4"/>
  <c r="F1119" i="4"/>
  <c r="G1119" i="4"/>
  <c r="H1119" i="4"/>
  <c r="I1119" i="4"/>
  <c r="J1119" i="4"/>
  <c r="A1120" i="4"/>
  <c r="B1120" i="4"/>
  <c r="C1120" i="4"/>
  <c r="D1120" i="4"/>
  <c r="E1120" i="4"/>
  <c r="F1120" i="4"/>
  <c r="G1120" i="4"/>
  <c r="H1120" i="4"/>
  <c r="I1120" i="4"/>
  <c r="J1120" i="4"/>
  <c r="A1121" i="4"/>
  <c r="B1121" i="4"/>
  <c r="C1121" i="4"/>
  <c r="D1121" i="4"/>
  <c r="E1121" i="4"/>
  <c r="F1121" i="4"/>
  <c r="G1121" i="4"/>
  <c r="H1121" i="4"/>
  <c r="I1121" i="4"/>
  <c r="J1121" i="4"/>
  <c r="A1122" i="4"/>
  <c r="B1122" i="4"/>
  <c r="C1122" i="4"/>
  <c r="D1122" i="4"/>
  <c r="E1122" i="4"/>
  <c r="F1122" i="4"/>
  <c r="G1122" i="4"/>
  <c r="H1122" i="4"/>
  <c r="I1122" i="4"/>
  <c r="J1122" i="4"/>
  <c r="A1123" i="4"/>
  <c r="B1123" i="4"/>
  <c r="C1123" i="4"/>
  <c r="D1123" i="4"/>
  <c r="E1123" i="4"/>
  <c r="F1123" i="4"/>
  <c r="G1123" i="4"/>
  <c r="H1123" i="4"/>
  <c r="I1123" i="4"/>
  <c r="J1123" i="4"/>
  <c r="A1124" i="4"/>
  <c r="B1124" i="4"/>
  <c r="C1124" i="4"/>
  <c r="D1124" i="4"/>
  <c r="E1124" i="4"/>
  <c r="F1124" i="4"/>
  <c r="G1124" i="4"/>
  <c r="H1124" i="4"/>
  <c r="I1124" i="4"/>
  <c r="J1124" i="4"/>
  <c r="A1125" i="4"/>
  <c r="B1125" i="4"/>
  <c r="C1125" i="4"/>
  <c r="D1125" i="4"/>
  <c r="E1125" i="4"/>
  <c r="F1125" i="4"/>
  <c r="G1125" i="4"/>
  <c r="H1125" i="4"/>
  <c r="I1125" i="4"/>
  <c r="J1125" i="4"/>
  <c r="A1126" i="4"/>
  <c r="B1126" i="4"/>
  <c r="C1126" i="4"/>
  <c r="D1126" i="4"/>
  <c r="E1126" i="4"/>
  <c r="F1126" i="4"/>
  <c r="G1126" i="4"/>
  <c r="H1126" i="4"/>
  <c r="I1126" i="4"/>
  <c r="J1126" i="4"/>
  <c r="A1127" i="4"/>
  <c r="B1127" i="4"/>
  <c r="C1127" i="4"/>
  <c r="D1127" i="4"/>
  <c r="E1127" i="4"/>
  <c r="F1127" i="4"/>
  <c r="G1127" i="4"/>
  <c r="H1127" i="4"/>
  <c r="I1127" i="4"/>
  <c r="J1127" i="4"/>
  <c r="A1128" i="4"/>
  <c r="B1128" i="4"/>
  <c r="C1128" i="4"/>
  <c r="D1128" i="4"/>
  <c r="E1128" i="4"/>
  <c r="F1128" i="4"/>
  <c r="G1128" i="4"/>
  <c r="H1128" i="4"/>
  <c r="I1128" i="4"/>
  <c r="J1128" i="4"/>
  <c r="A1129" i="4"/>
  <c r="B1129" i="4"/>
  <c r="C1129" i="4"/>
  <c r="D1129" i="4"/>
  <c r="E1129" i="4"/>
  <c r="F1129" i="4"/>
  <c r="G1129" i="4"/>
  <c r="H1129" i="4"/>
  <c r="I1129" i="4"/>
  <c r="J1129" i="4"/>
  <c r="A1130" i="4"/>
  <c r="B1130" i="4"/>
  <c r="C1130" i="4"/>
  <c r="D1130" i="4"/>
  <c r="E1130" i="4"/>
  <c r="F1130" i="4"/>
  <c r="G1130" i="4"/>
  <c r="H1130" i="4"/>
  <c r="I1130" i="4"/>
  <c r="J1130" i="4"/>
  <c r="A1131" i="4"/>
  <c r="B1131" i="4"/>
  <c r="C1131" i="4"/>
  <c r="D1131" i="4"/>
  <c r="E1131" i="4"/>
  <c r="F1131" i="4"/>
  <c r="G1131" i="4"/>
  <c r="H1131" i="4"/>
  <c r="I1131" i="4"/>
  <c r="J1131" i="4"/>
  <c r="A1132" i="4"/>
  <c r="B1132" i="4"/>
  <c r="C1132" i="4"/>
  <c r="D1132" i="4"/>
  <c r="E1132" i="4"/>
  <c r="F1132" i="4"/>
  <c r="G1132" i="4"/>
  <c r="H1132" i="4"/>
  <c r="I1132" i="4"/>
  <c r="J1132" i="4"/>
  <c r="A1133" i="4"/>
  <c r="B1133" i="4"/>
  <c r="C1133" i="4"/>
  <c r="D1133" i="4"/>
  <c r="E1133" i="4"/>
  <c r="F1133" i="4"/>
  <c r="G1133" i="4"/>
  <c r="H1133" i="4"/>
  <c r="I1133" i="4"/>
  <c r="J1133" i="4"/>
  <c r="A1134" i="4"/>
  <c r="B1134" i="4"/>
  <c r="C1134" i="4"/>
  <c r="D1134" i="4"/>
  <c r="E1134" i="4"/>
  <c r="F1134" i="4"/>
  <c r="G1134" i="4"/>
  <c r="H1134" i="4"/>
  <c r="I1134" i="4"/>
  <c r="J1134" i="4"/>
  <c r="A1135" i="4"/>
  <c r="B1135" i="4"/>
  <c r="C1135" i="4"/>
  <c r="D1135" i="4"/>
  <c r="E1135" i="4"/>
  <c r="F1135" i="4"/>
  <c r="G1135" i="4"/>
  <c r="H1135" i="4"/>
  <c r="I1135" i="4"/>
  <c r="J1135" i="4"/>
  <c r="A1136" i="4"/>
  <c r="B1136" i="4"/>
  <c r="C1136" i="4"/>
  <c r="D1136" i="4"/>
  <c r="E1136" i="4"/>
  <c r="F1136" i="4"/>
  <c r="G1136" i="4"/>
  <c r="H1136" i="4"/>
  <c r="I1136" i="4"/>
  <c r="J1136" i="4"/>
  <c r="A1137" i="4"/>
  <c r="B1137" i="4"/>
  <c r="C1137" i="4"/>
  <c r="D1137" i="4"/>
  <c r="E1137" i="4"/>
  <c r="F1137" i="4"/>
  <c r="G1137" i="4"/>
  <c r="H1137" i="4"/>
  <c r="I1137" i="4"/>
  <c r="J1137" i="4"/>
  <c r="A1138" i="4"/>
  <c r="B1138" i="4"/>
  <c r="C1138" i="4"/>
  <c r="D1138" i="4"/>
  <c r="E1138" i="4"/>
  <c r="F1138" i="4"/>
  <c r="G1138" i="4"/>
  <c r="H1138" i="4"/>
  <c r="I1138" i="4"/>
  <c r="J1138" i="4"/>
  <c r="A1139" i="4"/>
  <c r="B1139" i="4"/>
  <c r="C1139" i="4"/>
  <c r="D1139" i="4"/>
  <c r="E1139" i="4"/>
  <c r="F1139" i="4"/>
  <c r="G1139" i="4"/>
  <c r="H1139" i="4"/>
  <c r="I1139" i="4"/>
  <c r="J1139" i="4"/>
  <c r="A1140" i="4"/>
  <c r="B1140" i="4"/>
  <c r="C1140" i="4"/>
  <c r="D1140" i="4"/>
  <c r="E1140" i="4"/>
  <c r="F1140" i="4"/>
  <c r="G1140" i="4"/>
  <c r="H1140" i="4"/>
  <c r="I1140" i="4"/>
  <c r="J1140" i="4"/>
  <c r="A1141" i="4"/>
  <c r="B1141" i="4"/>
  <c r="C1141" i="4"/>
  <c r="D1141" i="4"/>
  <c r="E1141" i="4"/>
  <c r="F1141" i="4"/>
  <c r="G1141" i="4"/>
  <c r="H1141" i="4"/>
  <c r="I1141" i="4"/>
  <c r="J1141" i="4"/>
  <c r="A1142" i="4"/>
  <c r="B1142" i="4"/>
  <c r="C1142" i="4"/>
  <c r="D1142" i="4"/>
  <c r="E1142" i="4"/>
  <c r="F1142" i="4"/>
  <c r="G1142" i="4"/>
  <c r="H1142" i="4"/>
  <c r="I1142" i="4"/>
  <c r="J1142" i="4"/>
  <c r="A1143" i="4"/>
  <c r="B1143" i="4"/>
  <c r="C1143" i="4"/>
  <c r="D1143" i="4"/>
  <c r="E1143" i="4"/>
  <c r="F1143" i="4"/>
  <c r="G1143" i="4"/>
  <c r="H1143" i="4"/>
  <c r="I1143" i="4"/>
  <c r="J1143" i="4"/>
  <c r="A1144" i="4"/>
  <c r="B1144" i="4"/>
  <c r="C1144" i="4"/>
  <c r="D1144" i="4"/>
  <c r="E1144" i="4"/>
  <c r="F1144" i="4"/>
  <c r="G1144" i="4"/>
  <c r="H1144" i="4"/>
  <c r="I1144" i="4"/>
  <c r="J1144" i="4"/>
  <c r="A1145" i="4"/>
  <c r="B1145" i="4"/>
  <c r="C1145" i="4"/>
  <c r="D1145" i="4"/>
  <c r="E1145" i="4"/>
  <c r="F1145" i="4"/>
  <c r="G1145" i="4"/>
  <c r="H1145" i="4"/>
  <c r="I1145" i="4"/>
  <c r="J1145" i="4"/>
  <c r="A1146" i="4"/>
  <c r="B1146" i="4"/>
  <c r="C1146" i="4"/>
  <c r="D1146" i="4"/>
  <c r="E1146" i="4"/>
  <c r="F1146" i="4"/>
  <c r="G1146" i="4"/>
  <c r="H1146" i="4"/>
  <c r="I1146" i="4"/>
  <c r="J1146" i="4"/>
  <c r="A1147" i="4"/>
  <c r="B1147" i="4"/>
  <c r="C1147" i="4"/>
  <c r="D1147" i="4"/>
  <c r="E1147" i="4"/>
  <c r="F1147" i="4"/>
  <c r="G1147" i="4"/>
  <c r="H1147" i="4"/>
  <c r="I1147" i="4"/>
  <c r="J1147" i="4"/>
  <c r="A1148" i="4"/>
  <c r="B1148" i="4"/>
  <c r="C1148" i="4"/>
  <c r="D1148" i="4"/>
  <c r="E1148" i="4"/>
  <c r="F1148" i="4"/>
  <c r="G1148" i="4"/>
  <c r="H1148" i="4"/>
  <c r="I1148" i="4"/>
  <c r="J1148" i="4"/>
  <c r="A1149" i="4"/>
  <c r="B1149" i="4"/>
  <c r="C1149" i="4"/>
  <c r="D1149" i="4"/>
  <c r="E1149" i="4"/>
  <c r="F1149" i="4"/>
  <c r="G1149" i="4"/>
  <c r="H1149" i="4"/>
  <c r="I1149" i="4"/>
  <c r="J1149" i="4"/>
  <c r="A1150" i="4"/>
  <c r="B1150" i="4"/>
  <c r="C1150" i="4"/>
  <c r="D1150" i="4"/>
  <c r="E1150" i="4"/>
  <c r="F1150" i="4"/>
  <c r="G1150" i="4"/>
  <c r="H1150" i="4"/>
  <c r="I1150" i="4"/>
  <c r="J1150" i="4"/>
  <c r="A1151" i="4"/>
  <c r="B1151" i="4"/>
  <c r="C1151" i="4"/>
  <c r="D1151" i="4"/>
  <c r="E1151" i="4"/>
  <c r="F1151" i="4"/>
  <c r="G1151" i="4"/>
  <c r="H1151" i="4"/>
  <c r="I1151" i="4"/>
  <c r="J1151" i="4"/>
  <c r="A1152" i="4"/>
  <c r="B1152" i="4"/>
  <c r="C1152" i="4"/>
  <c r="D1152" i="4"/>
  <c r="E1152" i="4"/>
  <c r="F1152" i="4"/>
  <c r="G1152" i="4"/>
  <c r="H1152" i="4"/>
  <c r="I1152" i="4"/>
  <c r="J1152" i="4"/>
  <c r="A1153" i="4"/>
  <c r="B1153" i="4"/>
  <c r="C1153" i="4"/>
  <c r="D1153" i="4"/>
  <c r="E1153" i="4"/>
  <c r="F1153" i="4"/>
  <c r="G1153" i="4"/>
  <c r="H1153" i="4"/>
  <c r="I1153" i="4"/>
  <c r="J1153" i="4"/>
  <c r="A1154" i="4"/>
  <c r="B1154" i="4"/>
  <c r="C1154" i="4"/>
  <c r="D1154" i="4"/>
  <c r="E1154" i="4"/>
  <c r="F1154" i="4"/>
  <c r="G1154" i="4"/>
  <c r="H1154" i="4"/>
  <c r="I1154" i="4"/>
  <c r="J1154" i="4"/>
  <c r="A1155" i="4"/>
  <c r="B1155" i="4"/>
  <c r="C1155" i="4"/>
  <c r="D1155" i="4"/>
  <c r="E1155" i="4"/>
  <c r="F1155" i="4"/>
  <c r="G1155" i="4"/>
  <c r="H1155" i="4"/>
  <c r="I1155" i="4"/>
  <c r="J1155" i="4"/>
  <c r="A1156" i="4"/>
  <c r="B1156" i="4"/>
  <c r="C1156" i="4"/>
  <c r="D1156" i="4"/>
  <c r="E1156" i="4"/>
  <c r="F1156" i="4"/>
  <c r="G1156" i="4"/>
  <c r="H1156" i="4"/>
  <c r="I1156" i="4"/>
  <c r="J1156" i="4"/>
  <c r="D9" i="3"/>
  <c r="B17" i="3"/>
  <c r="C17" i="3"/>
  <c r="D17" i="3"/>
  <c r="E17" i="3"/>
  <c r="F17" i="3"/>
  <c r="G17" i="3"/>
  <c r="H17" i="3"/>
  <c r="I17" i="3"/>
  <c r="J17" i="3"/>
  <c r="K17" i="3"/>
  <c r="B18" i="3"/>
  <c r="C18" i="3"/>
  <c r="D18" i="3"/>
  <c r="E18" i="3"/>
  <c r="F18" i="3"/>
  <c r="G18" i="3"/>
  <c r="H18" i="3"/>
  <c r="I18" i="3"/>
  <c r="J18" i="3"/>
  <c r="K18" i="3"/>
  <c r="B19" i="3"/>
  <c r="C19" i="3"/>
  <c r="D19" i="3"/>
  <c r="E19" i="3"/>
  <c r="F19" i="3"/>
  <c r="G19" i="3"/>
  <c r="H19" i="3"/>
  <c r="I19" i="3"/>
  <c r="J19" i="3"/>
  <c r="K19" i="3"/>
  <c r="B20" i="3"/>
  <c r="C20" i="3"/>
  <c r="D20" i="3"/>
  <c r="E20" i="3"/>
  <c r="F20" i="3"/>
  <c r="G20" i="3"/>
  <c r="H20" i="3"/>
  <c r="I20" i="3"/>
  <c r="J20" i="3"/>
  <c r="K20" i="3"/>
  <c r="B21" i="3"/>
  <c r="C21" i="3"/>
  <c r="D21" i="3"/>
  <c r="E21" i="3"/>
  <c r="F21" i="3"/>
  <c r="G21" i="3"/>
  <c r="H21" i="3"/>
  <c r="I21" i="3"/>
  <c r="J21" i="3"/>
  <c r="K21" i="3"/>
  <c r="B22" i="3"/>
  <c r="C22" i="3"/>
  <c r="D22" i="3"/>
  <c r="E22" i="3"/>
  <c r="F22" i="3"/>
  <c r="G22" i="3"/>
  <c r="H22" i="3"/>
  <c r="I22" i="3"/>
  <c r="J22" i="3"/>
  <c r="K22" i="3"/>
  <c r="B23" i="3"/>
  <c r="C23" i="3"/>
  <c r="D23" i="3"/>
  <c r="E23" i="3"/>
  <c r="F23" i="3"/>
  <c r="G23" i="3"/>
  <c r="H23" i="3"/>
  <c r="I23" i="3"/>
  <c r="J23" i="3"/>
  <c r="K23" i="3"/>
  <c r="B24" i="3"/>
  <c r="C24" i="3"/>
  <c r="D24" i="3"/>
  <c r="E24" i="3"/>
  <c r="F24" i="3"/>
  <c r="G24" i="3"/>
  <c r="H24" i="3"/>
  <c r="I24" i="3"/>
  <c r="J24" i="3"/>
  <c r="K24" i="3"/>
  <c r="B25" i="3"/>
  <c r="C25" i="3"/>
  <c r="D25" i="3"/>
  <c r="E25" i="3"/>
  <c r="F25" i="3"/>
  <c r="G25" i="3"/>
  <c r="H25" i="3"/>
  <c r="I25" i="3"/>
  <c r="J25" i="3"/>
  <c r="K25" i="3"/>
  <c r="B26" i="3"/>
  <c r="C26" i="3"/>
  <c r="D26" i="3"/>
  <c r="E26" i="3"/>
  <c r="F26" i="3"/>
  <c r="G26" i="3"/>
  <c r="H26" i="3"/>
  <c r="I26" i="3"/>
  <c r="J26" i="3"/>
  <c r="K26" i="3"/>
  <c r="B27" i="3"/>
  <c r="C27" i="3"/>
  <c r="D27" i="3"/>
  <c r="E27" i="3"/>
  <c r="F27" i="3"/>
  <c r="G27" i="3"/>
  <c r="H27" i="3"/>
  <c r="I27" i="3"/>
  <c r="J27" i="3"/>
  <c r="K27" i="3"/>
  <c r="B28" i="3"/>
  <c r="C28" i="3"/>
  <c r="D28" i="3"/>
  <c r="E28" i="3"/>
  <c r="F28" i="3"/>
  <c r="G28" i="3"/>
  <c r="H28" i="3"/>
  <c r="I28" i="3"/>
  <c r="J28" i="3"/>
  <c r="K28" i="3"/>
  <c r="B29" i="3"/>
  <c r="C29" i="3"/>
  <c r="D29" i="3"/>
  <c r="E29" i="3"/>
  <c r="F29" i="3"/>
  <c r="G29" i="3"/>
  <c r="H29" i="3"/>
  <c r="I29" i="3"/>
  <c r="J29" i="3"/>
  <c r="K29" i="3"/>
  <c r="B30" i="3"/>
  <c r="C30" i="3"/>
  <c r="D30" i="3"/>
  <c r="E30" i="3"/>
  <c r="F30" i="3"/>
  <c r="G30" i="3"/>
  <c r="H30" i="3"/>
  <c r="I30" i="3"/>
  <c r="J30" i="3"/>
  <c r="K30" i="3"/>
  <c r="B31" i="3"/>
  <c r="C31" i="3"/>
  <c r="D31" i="3"/>
  <c r="E31" i="3"/>
  <c r="F31" i="3"/>
  <c r="G31" i="3"/>
  <c r="H31" i="3"/>
  <c r="I31" i="3"/>
  <c r="J31" i="3"/>
  <c r="K31" i="3"/>
  <c r="B32" i="3"/>
  <c r="C32" i="3"/>
  <c r="D32" i="3"/>
  <c r="E32" i="3"/>
  <c r="F32" i="3"/>
  <c r="G32" i="3"/>
  <c r="H32" i="3"/>
  <c r="I32" i="3"/>
  <c r="J32" i="3"/>
  <c r="K32" i="3"/>
  <c r="B33" i="3"/>
  <c r="C33" i="3"/>
  <c r="D33" i="3"/>
  <c r="E33" i="3"/>
  <c r="F33" i="3"/>
  <c r="G33" i="3"/>
  <c r="H33" i="3"/>
  <c r="I33" i="3"/>
  <c r="J33" i="3"/>
  <c r="K33" i="3"/>
  <c r="B34" i="3"/>
  <c r="C34" i="3"/>
  <c r="D34" i="3"/>
  <c r="E34" i="3"/>
  <c r="F34" i="3"/>
  <c r="G34" i="3"/>
  <c r="H34" i="3"/>
  <c r="I34" i="3"/>
  <c r="J34" i="3"/>
  <c r="K34" i="3"/>
  <c r="B35" i="3"/>
  <c r="C35" i="3"/>
  <c r="D35" i="3"/>
  <c r="E35" i="3"/>
  <c r="F35" i="3"/>
  <c r="G35" i="3"/>
  <c r="H35" i="3"/>
  <c r="I35" i="3"/>
  <c r="J35" i="3"/>
  <c r="K35" i="3"/>
  <c r="B36" i="3"/>
  <c r="C36" i="3"/>
  <c r="D36" i="3"/>
  <c r="E36" i="3"/>
  <c r="F36" i="3"/>
  <c r="G36" i="3"/>
  <c r="H36" i="3"/>
  <c r="I36" i="3"/>
  <c r="J36" i="3"/>
  <c r="K36" i="3"/>
  <c r="B37" i="3"/>
  <c r="C37" i="3"/>
  <c r="D37" i="3"/>
  <c r="E37" i="3"/>
  <c r="F37" i="3"/>
  <c r="G37" i="3"/>
  <c r="H37" i="3"/>
  <c r="I37" i="3"/>
  <c r="J37" i="3"/>
  <c r="K37" i="3"/>
  <c r="B38" i="3"/>
  <c r="C38" i="3"/>
  <c r="D38" i="3"/>
  <c r="E38" i="3"/>
  <c r="F38" i="3"/>
  <c r="G38" i="3"/>
  <c r="H38" i="3"/>
  <c r="I38" i="3"/>
  <c r="J38" i="3"/>
  <c r="K38" i="3"/>
  <c r="B39" i="3"/>
  <c r="C39" i="3"/>
  <c r="D39" i="3"/>
  <c r="E39" i="3"/>
  <c r="F39" i="3"/>
  <c r="G39" i="3"/>
  <c r="H39" i="3"/>
  <c r="I39" i="3"/>
  <c r="J39" i="3"/>
  <c r="K39" i="3"/>
  <c r="B40" i="3"/>
  <c r="C40" i="3"/>
  <c r="D40" i="3"/>
  <c r="E40" i="3"/>
  <c r="F40" i="3"/>
  <c r="G40" i="3"/>
  <c r="H40" i="3"/>
  <c r="I40" i="3"/>
  <c r="J40" i="3"/>
  <c r="K40" i="3"/>
  <c r="B41" i="3"/>
  <c r="C41" i="3"/>
  <c r="D41" i="3"/>
  <c r="E41" i="3"/>
  <c r="F41" i="3"/>
  <c r="G41" i="3"/>
  <c r="H41" i="3"/>
  <c r="I41" i="3"/>
  <c r="J41" i="3"/>
  <c r="K41" i="3"/>
  <c r="B42" i="3"/>
  <c r="C42" i="3"/>
  <c r="D42" i="3"/>
  <c r="E42" i="3"/>
  <c r="F42" i="3"/>
  <c r="G42" i="3"/>
  <c r="H42" i="3"/>
  <c r="I42" i="3"/>
  <c r="J42" i="3"/>
  <c r="K42" i="3"/>
  <c r="B43" i="3"/>
  <c r="C43" i="3"/>
  <c r="D43" i="3"/>
  <c r="E43" i="3"/>
  <c r="F43" i="3"/>
  <c r="G43" i="3"/>
  <c r="H43" i="3"/>
  <c r="I43" i="3"/>
  <c r="J43" i="3"/>
  <c r="K43" i="3"/>
  <c r="B44" i="3"/>
  <c r="C44" i="3"/>
  <c r="D44" i="3"/>
  <c r="E44" i="3"/>
  <c r="F44" i="3"/>
  <c r="G44" i="3"/>
  <c r="H44" i="3"/>
  <c r="I44" i="3"/>
  <c r="J44" i="3"/>
  <c r="K44" i="3"/>
  <c r="B45" i="3"/>
  <c r="C45" i="3"/>
  <c r="D45" i="3"/>
  <c r="E45" i="3"/>
  <c r="F45" i="3"/>
  <c r="G45" i="3"/>
  <c r="H45" i="3"/>
  <c r="I45" i="3"/>
  <c r="J45" i="3"/>
  <c r="K45" i="3"/>
  <c r="B46" i="3"/>
  <c r="C46" i="3"/>
  <c r="D46" i="3"/>
  <c r="E46" i="3"/>
  <c r="F46" i="3"/>
  <c r="G46" i="3"/>
  <c r="H46" i="3"/>
  <c r="I46" i="3"/>
  <c r="J46" i="3"/>
  <c r="K46" i="3"/>
  <c r="B47" i="3"/>
  <c r="C47" i="3"/>
  <c r="D47" i="3"/>
  <c r="E47" i="3"/>
  <c r="F47" i="3"/>
  <c r="G47" i="3"/>
  <c r="H47" i="3"/>
  <c r="I47" i="3"/>
  <c r="J47" i="3"/>
  <c r="K47" i="3"/>
  <c r="B48" i="3"/>
  <c r="C48" i="3"/>
  <c r="D48" i="3"/>
  <c r="E48" i="3"/>
  <c r="F48" i="3"/>
  <c r="G48" i="3"/>
  <c r="H48" i="3"/>
  <c r="I48" i="3"/>
  <c r="J48" i="3"/>
  <c r="K48" i="3"/>
  <c r="B49" i="3"/>
  <c r="C49" i="3"/>
  <c r="D49" i="3"/>
  <c r="E49" i="3"/>
  <c r="F49" i="3"/>
  <c r="G49" i="3"/>
  <c r="H49" i="3"/>
  <c r="I49" i="3"/>
  <c r="J49" i="3"/>
  <c r="K49" i="3"/>
  <c r="B50" i="3"/>
  <c r="C50" i="3"/>
  <c r="D50" i="3"/>
  <c r="E50" i="3"/>
  <c r="F50" i="3"/>
  <c r="G50" i="3"/>
  <c r="H50" i="3"/>
  <c r="I50" i="3"/>
  <c r="J50" i="3"/>
  <c r="K50" i="3"/>
  <c r="B51" i="3"/>
  <c r="C51" i="3"/>
  <c r="D51" i="3"/>
  <c r="E51" i="3"/>
  <c r="F51" i="3"/>
  <c r="G51" i="3"/>
  <c r="H51" i="3"/>
  <c r="I51" i="3"/>
  <c r="J51" i="3"/>
  <c r="K51" i="3"/>
  <c r="B52" i="3"/>
  <c r="C52" i="3"/>
  <c r="D52" i="3"/>
  <c r="E52" i="3"/>
  <c r="F52" i="3"/>
  <c r="G52" i="3"/>
  <c r="H52" i="3"/>
  <c r="I52" i="3"/>
  <c r="J52" i="3"/>
  <c r="K52" i="3"/>
  <c r="B53" i="3"/>
  <c r="C53" i="3"/>
  <c r="D53" i="3"/>
  <c r="E53" i="3"/>
  <c r="F53" i="3"/>
  <c r="G53" i="3"/>
  <c r="H53" i="3"/>
  <c r="I53" i="3"/>
  <c r="J53" i="3"/>
  <c r="K53" i="3"/>
  <c r="B54" i="3"/>
  <c r="C54" i="3"/>
  <c r="D54" i="3"/>
  <c r="E54" i="3"/>
  <c r="F54" i="3"/>
  <c r="G54" i="3"/>
  <c r="H54" i="3"/>
  <c r="I54" i="3"/>
  <c r="J54" i="3"/>
  <c r="K54" i="3"/>
  <c r="B55" i="3"/>
  <c r="C55" i="3"/>
  <c r="D55" i="3"/>
  <c r="E55" i="3"/>
  <c r="F55" i="3"/>
  <c r="G55" i="3"/>
  <c r="H55" i="3"/>
  <c r="I55" i="3"/>
  <c r="J55" i="3"/>
  <c r="K55" i="3"/>
  <c r="B56" i="3"/>
  <c r="C56" i="3"/>
  <c r="D56" i="3"/>
  <c r="E56" i="3"/>
  <c r="F56" i="3"/>
  <c r="G56" i="3"/>
  <c r="H56" i="3"/>
  <c r="I56" i="3"/>
  <c r="J56" i="3"/>
  <c r="K56" i="3"/>
  <c r="B57" i="3"/>
  <c r="C57" i="3"/>
  <c r="D57" i="3"/>
  <c r="E57" i="3"/>
  <c r="F57" i="3"/>
  <c r="G57" i="3"/>
  <c r="H57" i="3"/>
  <c r="I57" i="3"/>
  <c r="J57" i="3"/>
  <c r="K57" i="3"/>
  <c r="B58" i="3"/>
  <c r="C58" i="3"/>
  <c r="D58" i="3"/>
  <c r="E58" i="3"/>
  <c r="F58" i="3"/>
  <c r="G58" i="3"/>
  <c r="H58" i="3"/>
  <c r="I58" i="3"/>
  <c r="J58" i="3"/>
  <c r="K58" i="3"/>
  <c r="B59" i="3"/>
  <c r="C59" i="3"/>
  <c r="D59" i="3"/>
  <c r="E59" i="3"/>
  <c r="F59" i="3"/>
  <c r="G59" i="3"/>
  <c r="H59" i="3"/>
  <c r="I59" i="3"/>
  <c r="J59" i="3"/>
  <c r="K59" i="3"/>
  <c r="B60" i="3"/>
  <c r="C60" i="3"/>
  <c r="D60" i="3"/>
  <c r="E60" i="3"/>
  <c r="F60" i="3"/>
  <c r="G60" i="3"/>
  <c r="H60" i="3"/>
  <c r="I60" i="3"/>
  <c r="J60" i="3"/>
  <c r="K60" i="3"/>
  <c r="B61" i="3"/>
  <c r="C61" i="3"/>
  <c r="D61" i="3"/>
  <c r="E61" i="3"/>
  <c r="F61" i="3"/>
  <c r="G61" i="3"/>
  <c r="H61" i="3"/>
  <c r="I61" i="3"/>
  <c r="J61" i="3"/>
  <c r="K61" i="3"/>
  <c r="B62" i="3"/>
  <c r="C62" i="3"/>
  <c r="D62" i="3"/>
  <c r="E62" i="3"/>
  <c r="F62" i="3"/>
  <c r="G62" i="3"/>
  <c r="H62" i="3"/>
  <c r="I62" i="3"/>
  <c r="J62" i="3"/>
  <c r="K62" i="3"/>
  <c r="B63" i="3"/>
  <c r="C63" i="3"/>
  <c r="D63" i="3"/>
  <c r="E63" i="3"/>
  <c r="F63" i="3"/>
  <c r="G63" i="3"/>
  <c r="H63" i="3"/>
  <c r="I63" i="3"/>
  <c r="J63" i="3"/>
  <c r="K63" i="3"/>
  <c r="B64" i="3"/>
  <c r="C64" i="3"/>
  <c r="D64" i="3"/>
  <c r="E64" i="3"/>
  <c r="F64" i="3"/>
  <c r="G64" i="3"/>
  <c r="H64" i="3"/>
  <c r="I64" i="3"/>
  <c r="J64" i="3"/>
  <c r="K64" i="3"/>
  <c r="B65" i="3"/>
  <c r="C65" i="3"/>
  <c r="D65" i="3"/>
  <c r="E65" i="3"/>
  <c r="F65" i="3"/>
  <c r="G65" i="3"/>
  <c r="H65" i="3"/>
  <c r="I65" i="3"/>
  <c r="J65" i="3"/>
  <c r="K65" i="3"/>
  <c r="B66" i="3"/>
  <c r="C66" i="3"/>
  <c r="D66" i="3"/>
  <c r="E66" i="3"/>
  <c r="F66" i="3"/>
  <c r="G66" i="3"/>
  <c r="H66" i="3"/>
  <c r="I66" i="3"/>
  <c r="J66" i="3"/>
  <c r="K66" i="3"/>
  <c r="B67" i="3"/>
  <c r="C67" i="3"/>
  <c r="D67" i="3"/>
  <c r="E67" i="3"/>
  <c r="F67" i="3"/>
  <c r="G67" i="3"/>
  <c r="H67" i="3"/>
  <c r="I67" i="3"/>
  <c r="J67" i="3"/>
  <c r="K67" i="3"/>
  <c r="B68" i="3"/>
  <c r="C68" i="3"/>
  <c r="D68" i="3"/>
  <c r="E68" i="3"/>
  <c r="F68" i="3"/>
  <c r="G68" i="3"/>
  <c r="H68" i="3"/>
  <c r="I68" i="3"/>
  <c r="J68" i="3"/>
  <c r="K68" i="3"/>
  <c r="B69" i="3"/>
  <c r="C69" i="3"/>
  <c r="D69" i="3"/>
  <c r="E69" i="3"/>
  <c r="F69" i="3"/>
  <c r="G69" i="3"/>
  <c r="H69" i="3"/>
  <c r="I69" i="3"/>
  <c r="J69" i="3"/>
  <c r="K69" i="3"/>
  <c r="B70" i="3"/>
  <c r="C70" i="3"/>
  <c r="D70" i="3"/>
  <c r="E70" i="3"/>
  <c r="F70" i="3"/>
  <c r="G70" i="3"/>
  <c r="H70" i="3"/>
  <c r="I70" i="3"/>
  <c r="J70" i="3"/>
  <c r="K70" i="3"/>
  <c r="B71" i="3"/>
  <c r="C71" i="3"/>
  <c r="D71" i="3"/>
  <c r="E71" i="3"/>
  <c r="F71" i="3"/>
  <c r="G71" i="3"/>
  <c r="H71" i="3"/>
  <c r="I71" i="3"/>
  <c r="J71" i="3"/>
  <c r="K71" i="3"/>
  <c r="B72" i="3"/>
  <c r="C72" i="3"/>
  <c r="D72" i="3"/>
  <c r="E72" i="3"/>
  <c r="F72" i="3"/>
  <c r="G72" i="3"/>
  <c r="H72" i="3"/>
  <c r="I72" i="3"/>
  <c r="J72" i="3"/>
  <c r="K72" i="3"/>
  <c r="B73" i="3"/>
  <c r="C73" i="3"/>
  <c r="D73" i="3"/>
  <c r="E73" i="3"/>
  <c r="F73" i="3"/>
  <c r="G73" i="3"/>
  <c r="H73" i="3"/>
  <c r="I73" i="3"/>
  <c r="J73" i="3"/>
  <c r="K73" i="3"/>
  <c r="B74" i="3"/>
  <c r="C74" i="3"/>
  <c r="D74" i="3"/>
  <c r="E74" i="3"/>
  <c r="F74" i="3"/>
  <c r="G74" i="3"/>
  <c r="H74" i="3"/>
  <c r="I74" i="3"/>
  <c r="J74" i="3"/>
  <c r="K74" i="3"/>
  <c r="B75" i="3"/>
  <c r="C75" i="3"/>
  <c r="D75" i="3"/>
  <c r="E75" i="3"/>
  <c r="F75" i="3"/>
  <c r="G75" i="3"/>
  <c r="H75" i="3"/>
  <c r="I75" i="3"/>
  <c r="J75" i="3"/>
  <c r="K75" i="3"/>
  <c r="B76" i="3"/>
  <c r="C76" i="3"/>
  <c r="D76" i="3"/>
  <c r="E76" i="3"/>
  <c r="F76" i="3"/>
  <c r="G76" i="3"/>
  <c r="H76" i="3"/>
  <c r="I76" i="3"/>
  <c r="J76" i="3"/>
  <c r="K76" i="3"/>
  <c r="B77" i="3"/>
  <c r="C77" i="3"/>
  <c r="D77" i="3"/>
  <c r="E77" i="3"/>
  <c r="F77" i="3"/>
  <c r="G77" i="3"/>
  <c r="H77" i="3"/>
  <c r="I77" i="3"/>
  <c r="J77" i="3"/>
  <c r="K77" i="3"/>
  <c r="B78" i="3"/>
  <c r="C78" i="3"/>
  <c r="D78" i="3"/>
  <c r="E78" i="3"/>
  <c r="F78" i="3"/>
  <c r="G78" i="3"/>
  <c r="H78" i="3"/>
  <c r="I78" i="3"/>
  <c r="J78" i="3"/>
  <c r="K78" i="3"/>
  <c r="B79" i="3"/>
  <c r="C79" i="3"/>
  <c r="D79" i="3"/>
  <c r="E79" i="3"/>
  <c r="F79" i="3"/>
  <c r="G79" i="3"/>
  <c r="H79" i="3"/>
  <c r="I79" i="3"/>
  <c r="J79" i="3"/>
  <c r="K79" i="3"/>
  <c r="B80" i="3"/>
  <c r="C80" i="3"/>
  <c r="D80" i="3"/>
  <c r="E80" i="3"/>
  <c r="F80" i="3"/>
  <c r="G80" i="3"/>
  <c r="H80" i="3"/>
  <c r="I80" i="3"/>
  <c r="J80" i="3"/>
  <c r="K80" i="3"/>
  <c r="B81" i="3"/>
  <c r="C81" i="3"/>
  <c r="D81" i="3"/>
  <c r="E81" i="3"/>
  <c r="F81" i="3"/>
  <c r="G81" i="3"/>
  <c r="H81" i="3"/>
  <c r="I81" i="3"/>
  <c r="J81" i="3"/>
  <c r="K81" i="3"/>
  <c r="B82" i="3"/>
  <c r="C82" i="3"/>
  <c r="D82" i="3"/>
  <c r="E82" i="3"/>
  <c r="F82" i="3"/>
  <c r="G82" i="3"/>
  <c r="H82" i="3"/>
  <c r="I82" i="3"/>
  <c r="J82" i="3"/>
  <c r="K82" i="3"/>
  <c r="B83" i="3"/>
  <c r="C83" i="3"/>
  <c r="D83" i="3"/>
  <c r="E83" i="3"/>
  <c r="F83" i="3"/>
  <c r="G83" i="3"/>
  <c r="H83" i="3"/>
  <c r="I83" i="3"/>
  <c r="J83" i="3"/>
  <c r="K83" i="3"/>
  <c r="B84" i="3"/>
  <c r="C84" i="3"/>
  <c r="D84" i="3"/>
  <c r="E84" i="3"/>
  <c r="F84" i="3"/>
  <c r="G84" i="3"/>
  <c r="H84" i="3"/>
  <c r="I84" i="3"/>
  <c r="J84" i="3"/>
  <c r="K84" i="3"/>
  <c r="B85" i="3"/>
  <c r="C85" i="3"/>
  <c r="D85" i="3"/>
  <c r="E85" i="3"/>
  <c r="F85" i="3"/>
  <c r="G85" i="3"/>
  <c r="H85" i="3"/>
  <c r="I85" i="3"/>
  <c r="J85" i="3"/>
  <c r="K85" i="3"/>
  <c r="B86" i="3"/>
  <c r="C86" i="3"/>
  <c r="D86" i="3"/>
  <c r="E86" i="3"/>
  <c r="F86" i="3"/>
  <c r="G86" i="3"/>
  <c r="H86" i="3"/>
  <c r="I86" i="3"/>
  <c r="J86" i="3"/>
  <c r="K86" i="3"/>
  <c r="B87" i="3"/>
  <c r="C87" i="3"/>
  <c r="D87" i="3"/>
  <c r="E87" i="3"/>
  <c r="F87" i="3"/>
  <c r="G87" i="3"/>
  <c r="H87" i="3"/>
  <c r="I87" i="3"/>
  <c r="J87" i="3"/>
  <c r="K87" i="3"/>
  <c r="B88" i="3"/>
  <c r="C88" i="3"/>
  <c r="D88" i="3"/>
  <c r="E88" i="3"/>
  <c r="F88" i="3"/>
  <c r="G88" i="3"/>
  <c r="H88" i="3"/>
  <c r="I88" i="3"/>
  <c r="J88" i="3"/>
  <c r="K88" i="3"/>
  <c r="B89" i="3"/>
  <c r="C89" i="3"/>
  <c r="D89" i="3"/>
  <c r="E89" i="3"/>
  <c r="F89" i="3"/>
  <c r="G89" i="3"/>
  <c r="H89" i="3"/>
  <c r="I89" i="3"/>
  <c r="J89" i="3"/>
  <c r="K89" i="3"/>
  <c r="B90" i="3"/>
  <c r="C90" i="3"/>
  <c r="D90" i="3"/>
  <c r="E90" i="3"/>
  <c r="F90" i="3"/>
  <c r="G90" i="3"/>
  <c r="H90" i="3"/>
  <c r="I90" i="3"/>
  <c r="J90" i="3"/>
  <c r="K90" i="3"/>
  <c r="B91" i="3"/>
  <c r="C91" i="3"/>
  <c r="D91" i="3"/>
  <c r="E91" i="3"/>
  <c r="F91" i="3"/>
  <c r="G91" i="3"/>
  <c r="H91" i="3"/>
  <c r="I91" i="3"/>
  <c r="J91" i="3"/>
  <c r="K91" i="3"/>
  <c r="B92" i="3"/>
  <c r="C92" i="3"/>
  <c r="D92" i="3"/>
  <c r="E92" i="3"/>
  <c r="F92" i="3"/>
  <c r="G92" i="3"/>
  <c r="H92" i="3"/>
  <c r="I92" i="3"/>
  <c r="J92" i="3"/>
  <c r="K92" i="3"/>
  <c r="B93" i="3"/>
  <c r="C93" i="3"/>
  <c r="D93" i="3"/>
  <c r="E93" i="3"/>
  <c r="F93" i="3"/>
  <c r="G93" i="3"/>
  <c r="H93" i="3"/>
  <c r="I93" i="3"/>
  <c r="J93" i="3"/>
  <c r="K93" i="3"/>
  <c r="B94" i="3"/>
  <c r="C94" i="3"/>
  <c r="D94" i="3"/>
  <c r="E94" i="3"/>
  <c r="F94" i="3"/>
  <c r="G94" i="3"/>
  <c r="H94" i="3"/>
  <c r="I94" i="3"/>
  <c r="J94" i="3"/>
  <c r="K94" i="3"/>
  <c r="B95" i="3"/>
  <c r="C95" i="3"/>
  <c r="D95" i="3"/>
  <c r="E95" i="3"/>
  <c r="F95" i="3"/>
  <c r="G95" i="3"/>
  <c r="H95" i="3"/>
  <c r="I95" i="3"/>
  <c r="J95" i="3"/>
  <c r="K95" i="3"/>
  <c r="B96" i="3"/>
  <c r="C96" i="3"/>
  <c r="D96" i="3"/>
  <c r="E96" i="3"/>
  <c r="F96" i="3"/>
  <c r="G96" i="3"/>
  <c r="H96" i="3"/>
  <c r="I96" i="3"/>
  <c r="J96" i="3"/>
  <c r="K96" i="3"/>
  <c r="B97" i="3"/>
  <c r="C97" i="3"/>
  <c r="D97" i="3"/>
  <c r="E97" i="3"/>
  <c r="F97" i="3"/>
  <c r="G97" i="3"/>
  <c r="H97" i="3"/>
  <c r="I97" i="3"/>
  <c r="J97" i="3"/>
  <c r="K97" i="3"/>
  <c r="B98" i="3"/>
  <c r="C98" i="3"/>
  <c r="D98" i="3"/>
  <c r="E98" i="3"/>
  <c r="F98" i="3"/>
  <c r="G98" i="3"/>
  <c r="H98" i="3"/>
  <c r="I98" i="3"/>
  <c r="J98" i="3"/>
  <c r="K98" i="3"/>
  <c r="B99" i="3"/>
  <c r="C99" i="3"/>
  <c r="D99" i="3"/>
  <c r="E99" i="3"/>
  <c r="F99" i="3"/>
  <c r="G99" i="3"/>
  <c r="H99" i="3"/>
  <c r="I99" i="3"/>
  <c r="J99" i="3"/>
  <c r="K99" i="3"/>
  <c r="B100" i="3"/>
  <c r="C100" i="3"/>
  <c r="D100" i="3"/>
  <c r="E100" i="3"/>
  <c r="F100" i="3"/>
  <c r="G100" i="3"/>
  <c r="H100" i="3"/>
  <c r="I100" i="3"/>
  <c r="J100" i="3"/>
  <c r="K100" i="3"/>
  <c r="B101" i="3"/>
  <c r="C101" i="3"/>
  <c r="D101" i="3"/>
  <c r="E101" i="3"/>
  <c r="F101" i="3"/>
  <c r="G101" i="3"/>
  <c r="H101" i="3"/>
  <c r="I101" i="3"/>
  <c r="J101" i="3"/>
  <c r="K101" i="3"/>
  <c r="B102" i="3"/>
  <c r="C102" i="3"/>
  <c r="D102" i="3"/>
  <c r="E102" i="3"/>
  <c r="F102" i="3"/>
  <c r="G102" i="3"/>
  <c r="H102" i="3"/>
  <c r="I102" i="3"/>
  <c r="J102" i="3"/>
  <c r="K102" i="3"/>
  <c r="B103" i="3"/>
  <c r="C103" i="3"/>
  <c r="D103" i="3"/>
  <c r="E103" i="3"/>
  <c r="F103" i="3"/>
  <c r="G103" i="3"/>
  <c r="H103" i="3"/>
  <c r="I103" i="3"/>
  <c r="J103" i="3"/>
  <c r="K103" i="3"/>
  <c r="B104" i="3"/>
  <c r="C104" i="3"/>
  <c r="D104" i="3"/>
  <c r="E104" i="3"/>
  <c r="F104" i="3"/>
  <c r="G104" i="3"/>
  <c r="H104" i="3"/>
  <c r="I104" i="3"/>
  <c r="J104" i="3"/>
  <c r="K104" i="3"/>
  <c r="B105" i="3"/>
  <c r="C105" i="3"/>
  <c r="D105" i="3"/>
  <c r="E105" i="3"/>
  <c r="F105" i="3"/>
  <c r="G105" i="3"/>
  <c r="H105" i="3"/>
  <c r="I105" i="3"/>
  <c r="J105" i="3"/>
  <c r="K105" i="3"/>
  <c r="B106" i="3"/>
  <c r="C106" i="3"/>
  <c r="D106" i="3"/>
  <c r="E106" i="3"/>
  <c r="F106" i="3"/>
  <c r="G106" i="3"/>
  <c r="H106" i="3"/>
  <c r="I106" i="3"/>
  <c r="J106" i="3"/>
  <c r="K106" i="3"/>
  <c r="B107" i="3"/>
  <c r="C107" i="3"/>
  <c r="D107" i="3"/>
  <c r="E107" i="3"/>
  <c r="F107" i="3"/>
  <c r="G107" i="3"/>
  <c r="H107" i="3"/>
  <c r="I107" i="3"/>
  <c r="J107" i="3"/>
  <c r="K107" i="3"/>
  <c r="B108" i="3"/>
  <c r="C108" i="3"/>
  <c r="D108" i="3"/>
  <c r="E108" i="3"/>
  <c r="F108" i="3"/>
  <c r="G108" i="3"/>
  <c r="H108" i="3"/>
  <c r="I108" i="3"/>
  <c r="J108" i="3"/>
  <c r="K108" i="3"/>
  <c r="B109" i="3"/>
  <c r="C109" i="3"/>
  <c r="D109" i="3"/>
  <c r="E109" i="3"/>
  <c r="F109" i="3"/>
  <c r="G109" i="3"/>
  <c r="H109" i="3"/>
  <c r="I109" i="3"/>
  <c r="J109" i="3"/>
  <c r="K109" i="3"/>
  <c r="B110" i="3"/>
  <c r="C110" i="3"/>
  <c r="D110" i="3"/>
  <c r="E110" i="3"/>
  <c r="F110" i="3"/>
  <c r="G110" i="3"/>
  <c r="H110" i="3"/>
  <c r="I110" i="3"/>
  <c r="J110" i="3"/>
  <c r="K110" i="3"/>
  <c r="B111" i="3"/>
  <c r="C111" i="3"/>
  <c r="D111" i="3"/>
  <c r="E111" i="3"/>
  <c r="F111" i="3"/>
  <c r="G111" i="3"/>
  <c r="H111" i="3"/>
  <c r="I111" i="3"/>
  <c r="J111" i="3"/>
  <c r="K111" i="3"/>
  <c r="B112" i="3"/>
  <c r="C112" i="3"/>
  <c r="D112" i="3"/>
  <c r="E112" i="3"/>
  <c r="F112" i="3"/>
  <c r="G112" i="3"/>
  <c r="H112" i="3"/>
  <c r="I112" i="3"/>
  <c r="J112" i="3"/>
  <c r="K112" i="3"/>
  <c r="B113" i="3"/>
  <c r="C113" i="3"/>
  <c r="D113" i="3"/>
  <c r="E113" i="3"/>
  <c r="F113" i="3"/>
  <c r="G113" i="3"/>
  <c r="H113" i="3"/>
  <c r="I113" i="3"/>
  <c r="J113" i="3"/>
  <c r="K113" i="3"/>
  <c r="B114" i="3"/>
  <c r="C114" i="3"/>
  <c r="D114" i="3"/>
  <c r="E114" i="3"/>
  <c r="F114" i="3"/>
  <c r="G114" i="3"/>
  <c r="H114" i="3"/>
  <c r="I114" i="3"/>
  <c r="J114" i="3"/>
  <c r="K114" i="3"/>
  <c r="B115" i="3"/>
  <c r="C115" i="3"/>
  <c r="D115" i="3"/>
  <c r="E115" i="3"/>
  <c r="F115" i="3"/>
  <c r="G115" i="3"/>
  <c r="H115" i="3"/>
  <c r="I115" i="3"/>
  <c r="J115" i="3"/>
  <c r="K115" i="3"/>
  <c r="B116" i="3"/>
  <c r="C116" i="3"/>
  <c r="D116" i="3"/>
  <c r="E116" i="3"/>
  <c r="F116" i="3"/>
  <c r="G116" i="3"/>
  <c r="H116" i="3"/>
  <c r="I116" i="3"/>
  <c r="J116" i="3"/>
  <c r="K116" i="3"/>
  <c r="B117" i="3"/>
  <c r="C117" i="3"/>
  <c r="D117" i="3"/>
  <c r="E117" i="3"/>
  <c r="F117" i="3"/>
  <c r="G117" i="3"/>
  <c r="H117" i="3"/>
  <c r="I117" i="3"/>
  <c r="J117" i="3"/>
  <c r="K117" i="3"/>
  <c r="B118" i="3"/>
  <c r="C118" i="3"/>
  <c r="D118" i="3"/>
  <c r="E118" i="3"/>
  <c r="F118" i="3"/>
  <c r="G118" i="3"/>
  <c r="H118" i="3"/>
  <c r="I118" i="3"/>
  <c r="J118" i="3"/>
  <c r="K118" i="3"/>
  <c r="B119" i="3"/>
  <c r="C119" i="3"/>
  <c r="D119" i="3"/>
  <c r="E119" i="3"/>
  <c r="F119" i="3"/>
  <c r="G119" i="3"/>
  <c r="H119" i="3"/>
  <c r="I119" i="3"/>
  <c r="J119" i="3"/>
  <c r="K119" i="3"/>
  <c r="B120" i="3"/>
  <c r="C120" i="3"/>
  <c r="D120" i="3"/>
  <c r="E120" i="3"/>
  <c r="F120" i="3"/>
  <c r="G120" i="3"/>
  <c r="H120" i="3"/>
  <c r="I120" i="3"/>
  <c r="J120" i="3"/>
  <c r="K120" i="3"/>
  <c r="B121" i="3"/>
  <c r="C121" i="3"/>
  <c r="D121" i="3"/>
  <c r="E121" i="3"/>
  <c r="F121" i="3"/>
  <c r="G121" i="3"/>
  <c r="H121" i="3"/>
  <c r="I121" i="3"/>
  <c r="J121" i="3"/>
  <c r="K121" i="3"/>
  <c r="B122" i="3"/>
  <c r="C122" i="3"/>
  <c r="D122" i="3"/>
  <c r="E122" i="3"/>
  <c r="F122" i="3"/>
  <c r="G122" i="3"/>
  <c r="H122" i="3"/>
  <c r="I122" i="3"/>
  <c r="J122" i="3"/>
  <c r="K122" i="3"/>
  <c r="B123" i="3"/>
  <c r="C123" i="3"/>
  <c r="D123" i="3"/>
  <c r="E123" i="3"/>
  <c r="F123" i="3"/>
  <c r="G123" i="3"/>
  <c r="H123" i="3"/>
  <c r="I123" i="3"/>
  <c r="J123" i="3"/>
  <c r="K123" i="3"/>
  <c r="B124" i="3"/>
  <c r="C124" i="3"/>
  <c r="D124" i="3"/>
  <c r="E124" i="3"/>
  <c r="F124" i="3"/>
  <c r="G124" i="3"/>
  <c r="H124" i="3"/>
  <c r="I124" i="3"/>
  <c r="J124" i="3"/>
  <c r="K124" i="3"/>
  <c r="B125" i="3"/>
  <c r="C125" i="3"/>
  <c r="D125" i="3"/>
  <c r="E125" i="3"/>
  <c r="F125" i="3"/>
  <c r="G125" i="3"/>
  <c r="H125" i="3"/>
  <c r="I125" i="3"/>
  <c r="J125" i="3"/>
  <c r="K125" i="3"/>
  <c r="B126" i="3"/>
  <c r="C126" i="3"/>
  <c r="D126" i="3"/>
  <c r="E126" i="3"/>
  <c r="F126" i="3"/>
  <c r="G126" i="3"/>
  <c r="H126" i="3"/>
  <c r="I126" i="3"/>
  <c r="J126" i="3"/>
  <c r="K126" i="3"/>
  <c r="B127" i="3"/>
  <c r="C127" i="3"/>
  <c r="D127" i="3"/>
  <c r="E127" i="3"/>
  <c r="F127" i="3"/>
  <c r="G127" i="3"/>
  <c r="H127" i="3"/>
  <c r="I127" i="3"/>
  <c r="J127" i="3"/>
  <c r="K127" i="3"/>
  <c r="B128" i="3"/>
  <c r="C128" i="3"/>
  <c r="D128" i="3"/>
  <c r="E128" i="3"/>
  <c r="F128" i="3"/>
  <c r="G128" i="3"/>
  <c r="H128" i="3"/>
  <c r="I128" i="3"/>
  <c r="J128" i="3"/>
  <c r="K128" i="3"/>
  <c r="B129" i="3"/>
  <c r="C129" i="3"/>
  <c r="D129" i="3"/>
  <c r="E129" i="3"/>
  <c r="F129" i="3"/>
  <c r="G129" i="3"/>
  <c r="H129" i="3"/>
  <c r="I129" i="3"/>
  <c r="J129" i="3"/>
  <c r="K129" i="3"/>
  <c r="B130" i="3"/>
  <c r="C130" i="3"/>
  <c r="D130" i="3"/>
  <c r="E130" i="3"/>
  <c r="F130" i="3"/>
  <c r="G130" i="3"/>
  <c r="H130" i="3"/>
  <c r="I130" i="3"/>
  <c r="J130" i="3"/>
  <c r="K130" i="3"/>
  <c r="B131" i="3"/>
  <c r="C131" i="3"/>
  <c r="D131" i="3"/>
  <c r="E131" i="3"/>
  <c r="F131" i="3"/>
  <c r="G131" i="3"/>
  <c r="H131" i="3"/>
  <c r="I131" i="3"/>
  <c r="J131" i="3"/>
  <c r="K131" i="3"/>
  <c r="B132" i="3"/>
  <c r="C132" i="3"/>
  <c r="D132" i="3"/>
  <c r="E132" i="3"/>
  <c r="F132" i="3"/>
  <c r="G132" i="3"/>
  <c r="H132" i="3"/>
  <c r="I132" i="3"/>
  <c r="J132" i="3"/>
  <c r="K132" i="3"/>
  <c r="B133" i="3"/>
  <c r="C133" i="3"/>
  <c r="D133" i="3"/>
  <c r="E133" i="3"/>
  <c r="F133" i="3"/>
  <c r="G133" i="3"/>
  <c r="H133" i="3"/>
  <c r="I133" i="3"/>
  <c r="J133" i="3"/>
  <c r="K133" i="3"/>
  <c r="B134" i="3"/>
  <c r="C134" i="3"/>
  <c r="D134" i="3"/>
  <c r="E134" i="3"/>
  <c r="F134" i="3"/>
  <c r="G134" i="3"/>
  <c r="H134" i="3"/>
  <c r="I134" i="3"/>
  <c r="J134" i="3"/>
  <c r="K134" i="3"/>
  <c r="B135" i="3"/>
  <c r="C135" i="3"/>
  <c r="D135" i="3"/>
  <c r="E135" i="3"/>
  <c r="F135" i="3"/>
  <c r="G135" i="3"/>
  <c r="H135" i="3"/>
  <c r="I135" i="3"/>
  <c r="J135" i="3"/>
  <c r="K135" i="3"/>
  <c r="B136" i="3"/>
  <c r="C136" i="3"/>
  <c r="D136" i="3"/>
  <c r="E136" i="3"/>
  <c r="F136" i="3"/>
  <c r="G136" i="3"/>
  <c r="H136" i="3"/>
  <c r="I136" i="3"/>
  <c r="J136" i="3"/>
  <c r="K136" i="3"/>
  <c r="B137" i="3"/>
  <c r="C137" i="3"/>
  <c r="D137" i="3"/>
  <c r="E137" i="3"/>
  <c r="F137" i="3"/>
  <c r="G137" i="3"/>
  <c r="H137" i="3"/>
  <c r="I137" i="3"/>
  <c r="J137" i="3"/>
  <c r="K137" i="3"/>
  <c r="B138" i="3"/>
  <c r="C138" i="3"/>
  <c r="D138" i="3"/>
  <c r="E138" i="3"/>
  <c r="F138" i="3"/>
  <c r="G138" i="3"/>
  <c r="H138" i="3"/>
  <c r="I138" i="3"/>
  <c r="J138" i="3"/>
  <c r="K138" i="3"/>
  <c r="B139" i="3"/>
  <c r="C139" i="3"/>
  <c r="D139" i="3"/>
  <c r="E139" i="3"/>
  <c r="F139" i="3"/>
  <c r="G139" i="3"/>
  <c r="H139" i="3"/>
  <c r="I139" i="3"/>
  <c r="J139" i="3"/>
  <c r="K139" i="3"/>
  <c r="B140" i="3"/>
  <c r="C140" i="3"/>
  <c r="D140" i="3"/>
  <c r="E140" i="3"/>
  <c r="F140" i="3"/>
  <c r="G140" i="3"/>
  <c r="H140" i="3"/>
  <c r="I140" i="3"/>
  <c r="J140" i="3"/>
  <c r="K140" i="3"/>
  <c r="B141" i="3"/>
  <c r="C141" i="3"/>
  <c r="D141" i="3"/>
  <c r="E141" i="3"/>
  <c r="F141" i="3"/>
  <c r="G141" i="3"/>
  <c r="H141" i="3"/>
  <c r="I141" i="3"/>
  <c r="J141" i="3"/>
  <c r="K141" i="3"/>
  <c r="B142" i="3"/>
  <c r="C142" i="3"/>
  <c r="D142" i="3"/>
  <c r="E142" i="3"/>
  <c r="F142" i="3"/>
  <c r="G142" i="3"/>
  <c r="H142" i="3"/>
  <c r="I142" i="3"/>
  <c r="J142" i="3"/>
  <c r="K142" i="3"/>
  <c r="B143" i="3"/>
  <c r="C143" i="3"/>
  <c r="D143" i="3"/>
  <c r="E143" i="3"/>
  <c r="F143" i="3"/>
  <c r="G143" i="3"/>
  <c r="H143" i="3"/>
  <c r="I143" i="3"/>
  <c r="J143" i="3"/>
  <c r="K143" i="3"/>
  <c r="B144" i="3"/>
  <c r="C144" i="3"/>
  <c r="D144" i="3"/>
  <c r="E144" i="3"/>
  <c r="F144" i="3"/>
  <c r="G144" i="3"/>
  <c r="H144" i="3"/>
  <c r="I144" i="3"/>
  <c r="J144" i="3"/>
  <c r="K144" i="3"/>
  <c r="B145" i="3"/>
  <c r="C145" i="3"/>
  <c r="D145" i="3"/>
  <c r="E145" i="3"/>
  <c r="F145" i="3"/>
  <c r="G145" i="3"/>
  <c r="H145" i="3"/>
  <c r="I145" i="3"/>
  <c r="J145" i="3"/>
  <c r="K145" i="3"/>
  <c r="B146" i="3"/>
  <c r="C146" i="3"/>
  <c r="D146" i="3"/>
  <c r="E146" i="3"/>
  <c r="F146" i="3"/>
  <c r="G146" i="3"/>
  <c r="H146" i="3"/>
  <c r="I146" i="3"/>
  <c r="J146" i="3"/>
  <c r="K146" i="3"/>
  <c r="B147" i="3"/>
  <c r="C147" i="3"/>
  <c r="D147" i="3"/>
  <c r="E147" i="3"/>
  <c r="F147" i="3"/>
  <c r="G147" i="3"/>
  <c r="H147" i="3"/>
  <c r="I147" i="3"/>
  <c r="J147" i="3"/>
  <c r="K147" i="3"/>
  <c r="B148" i="3"/>
  <c r="C148" i="3"/>
  <c r="D148" i="3"/>
  <c r="E148" i="3"/>
  <c r="F148" i="3"/>
  <c r="G148" i="3"/>
  <c r="H148" i="3"/>
  <c r="I148" i="3"/>
  <c r="J148" i="3"/>
  <c r="K148" i="3"/>
  <c r="B149" i="3"/>
  <c r="C149" i="3"/>
  <c r="D149" i="3"/>
  <c r="E149" i="3"/>
  <c r="F149" i="3"/>
  <c r="G149" i="3"/>
  <c r="H149" i="3"/>
  <c r="I149" i="3"/>
  <c r="J149" i="3"/>
  <c r="K149" i="3"/>
  <c r="B150" i="3"/>
  <c r="C150" i="3"/>
  <c r="D150" i="3"/>
  <c r="E150" i="3"/>
  <c r="F150" i="3"/>
  <c r="G150" i="3"/>
  <c r="H150" i="3"/>
  <c r="I150" i="3"/>
  <c r="J150" i="3"/>
  <c r="K150" i="3"/>
  <c r="B151" i="3"/>
  <c r="C151" i="3"/>
  <c r="D151" i="3"/>
  <c r="E151" i="3"/>
  <c r="F151" i="3"/>
  <c r="G151" i="3"/>
  <c r="H151" i="3"/>
  <c r="I151" i="3"/>
  <c r="J151" i="3"/>
  <c r="K151" i="3"/>
  <c r="B152" i="3"/>
  <c r="C152" i="3"/>
  <c r="D152" i="3"/>
  <c r="E152" i="3"/>
  <c r="F152" i="3"/>
  <c r="G152" i="3"/>
  <c r="H152" i="3"/>
  <c r="I152" i="3"/>
  <c r="J152" i="3"/>
  <c r="K152" i="3"/>
  <c r="B153" i="3"/>
  <c r="C153" i="3"/>
  <c r="D153" i="3"/>
  <c r="E153" i="3"/>
  <c r="F153" i="3"/>
  <c r="G153" i="3"/>
  <c r="H153" i="3"/>
  <c r="I153" i="3"/>
  <c r="J153" i="3"/>
  <c r="K153" i="3"/>
  <c r="B154" i="3"/>
  <c r="C154" i="3"/>
  <c r="D154" i="3"/>
  <c r="E154" i="3"/>
  <c r="F154" i="3"/>
  <c r="G154" i="3"/>
  <c r="H154" i="3"/>
  <c r="I154" i="3"/>
  <c r="J154" i="3"/>
  <c r="K154" i="3"/>
  <c r="B155" i="3"/>
  <c r="C155" i="3"/>
  <c r="D155" i="3"/>
  <c r="E155" i="3"/>
  <c r="F155" i="3"/>
  <c r="G155" i="3"/>
  <c r="H155" i="3"/>
  <c r="I155" i="3"/>
  <c r="J155" i="3"/>
  <c r="K155" i="3"/>
  <c r="B156" i="3"/>
  <c r="C156" i="3"/>
  <c r="D156" i="3"/>
  <c r="E156" i="3"/>
  <c r="F156" i="3"/>
  <c r="G156" i="3"/>
  <c r="H156" i="3"/>
  <c r="I156" i="3"/>
  <c r="J156" i="3"/>
  <c r="K156" i="3"/>
  <c r="B157" i="3"/>
  <c r="C157" i="3"/>
  <c r="D157" i="3"/>
  <c r="E157" i="3"/>
  <c r="F157" i="3"/>
  <c r="G157" i="3"/>
  <c r="H157" i="3"/>
  <c r="I157" i="3"/>
  <c r="J157" i="3"/>
  <c r="K157" i="3"/>
  <c r="B158" i="3"/>
  <c r="C158" i="3"/>
  <c r="D158" i="3"/>
  <c r="E158" i="3"/>
  <c r="F158" i="3"/>
  <c r="G158" i="3"/>
  <c r="H158" i="3"/>
  <c r="I158" i="3"/>
  <c r="J158" i="3"/>
  <c r="K158" i="3"/>
  <c r="B159" i="3"/>
  <c r="C159" i="3"/>
  <c r="D159" i="3"/>
  <c r="E159" i="3"/>
  <c r="F159" i="3"/>
  <c r="G159" i="3"/>
  <c r="H159" i="3"/>
  <c r="I159" i="3"/>
  <c r="J159" i="3"/>
  <c r="K159" i="3"/>
  <c r="B160" i="3"/>
  <c r="C160" i="3"/>
  <c r="D160" i="3"/>
  <c r="E160" i="3"/>
  <c r="F160" i="3"/>
  <c r="G160" i="3"/>
  <c r="H160" i="3"/>
  <c r="I160" i="3"/>
  <c r="J160" i="3"/>
  <c r="K160" i="3"/>
  <c r="B161" i="3"/>
  <c r="C161" i="3"/>
  <c r="D161" i="3"/>
  <c r="E161" i="3"/>
  <c r="F161" i="3"/>
  <c r="G161" i="3"/>
  <c r="H161" i="3"/>
  <c r="I161" i="3"/>
  <c r="J161" i="3"/>
  <c r="K161" i="3"/>
  <c r="B162" i="3"/>
  <c r="C162" i="3"/>
  <c r="D162" i="3"/>
  <c r="E162" i="3"/>
  <c r="F162" i="3"/>
  <c r="G162" i="3"/>
  <c r="H162" i="3"/>
  <c r="I162" i="3"/>
  <c r="J162" i="3"/>
  <c r="K162" i="3"/>
  <c r="B163" i="3"/>
  <c r="C163" i="3"/>
  <c r="D163" i="3"/>
  <c r="E163" i="3"/>
  <c r="F163" i="3"/>
  <c r="G163" i="3"/>
  <c r="H163" i="3"/>
  <c r="I163" i="3"/>
  <c r="J163" i="3"/>
  <c r="K163" i="3"/>
  <c r="B164" i="3"/>
  <c r="C164" i="3"/>
  <c r="D164" i="3"/>
  <c r="E164" i="3"/>
  <c r="F164" i="3"/>
  <c r="G164" i="3"/>
  <c r="H164" i="3"/>
  <c r="I164" i="3"/>
  <c r="J164" i="3"/>
  <c r="K164" i="3"/>
  <c r="B165" i="3"/>
  <c r="C165" i="3"/>
  <c r="D165" i="3"/>
  <c r="E165" i="3"/>
  <c r="F165" i="3"/>
  <c r="G165" i="3"/>
  <c r="H165" i="3"/>
  <c r="I165" i="3"/>
  <c r="J165" i="3"/>
  <c r="K165" i="3"/>
  <c r="B166" i="3"/>
  <c r="C166" i="3"/>
  <c r="D166" i="3"/>
  <c r="E166" i="3"/>
  <c r="F166" i="3"/>
  <c r="G166" i="3"/>
  <c r="H166" i="3"/>
  <c r="I166" i="3"/>
  <c r="J166" i="3"/>
  <c r="K166" i="3"/>
  <c r="B167" i="3"/>
  <c r="C167" i="3"/>
  <c r="D167" i="3"/>
  <c r="E167" i="3"/>
  <c r="F167" i="3"/>
  <c r="G167" i="3"/>
  <c r="H167" i="3"/>
  <c r="I167" i="3"/>
  <c r="J167" i="3"/>
  <c r="K167" i="3"/>
  <c r="B168" i="3"/>
  <c r="C168" i="3"/>
  <c r="D168" i="3"/>
  <c r="E168" i="3"/>
  <c r="F168" i="3"/>
  <c r="G168" i="3"/>
  <c r="H168" i="3"/>
  <c r="I168" i="3"/>
  <c r="J168" i="3"/>
  <c r="K168" i="3"/>
  <c r="B169" i="3"/>
  <c r="C169" i="3"/>
  <c r="D169" i="3"/>
  <c r="E169" i="3"/>
  <c r="F169" i="3"/>
  <c r="G169" i="3"/>
  <c r="H169" i="3"/>
  <c r="I169" i="3"/>
  <c r="J169" i="3"/>
  <c r="K169" i="3"/>
  <c r="B170" i="3"/>
  <c r="C170" i="3"/>
  <c r="D170" i="3"/>
  <c r="E170" i="3"/>
  <c r="F170" i="3"/>
  <c r="G170" i="3"/>
  <c r="H170" i="3"/>
  <c r="I170" i="3"/>
  <c r="J170" i="3"/>
  <c r="K170" i="3"/>
  <c r="B171" i="3"/>
  <c r="C171" i="3"/>
  <c r="D171" i="3"/>
  <c r="E171" i="3"/>
  <c r="F171" i="3"/>
  <c r="G171" i="3"/>
  <c r="H171" i="3"/>
  <c r="I171" i="3"/>
  <c r="J171" i="3"/>
  <c r="K171" i="3"/>
  <c r="B172" i="3"/>
  <c r="C172" i="3"/>
  <c r="D172" i="3"/>
  <c r="E172" i="3"/>
  <c r="F172" i="3"/>
  <c r="G172" i="3"/>
  <c r="H172" i="3"/>
  <c r="I172" i="3"/>
  <c r="J172" i="3"/>
  <c r="K172" i="3"/>
  <c r="B173" i="3"/>
  <c r="C173" i="3"/>
  <c r="D173" i="3"/>
  <c r="E173" i="3"/>
  <c r="F173" i="3"/>
  <c r="G173" i="3"/>
  <c r="H173" i="3"/>
  <c r="I173" i="3"/>
  <c r="J173" i="3"/>
  <c r="K173" i="3"/>
  <c r="B174" i="3"/>
  <c r="C174" i="3"/>
  <c r="D174" i="3"/>
  <c r="E174" i="3"/>
  <c r="F174" i="3"/>
  <c r="G174" i="3"/>
  <c r="H174" i="3"/>
  <c r="I174" i="3"/>
  <c r="J174" i="3"/>
  <c r="K174" i="3"/>
  <c r="B175" i="3"/>
  <c r="C175" i="3"/>
  <c r="D175" i="3"/>
  <c r="E175" i="3"/>
  <c r="F175" i="3"/>
  <c r="G175" i="3"/>
  <c r="H175" i="3"/>
  <c r="I175" i="3"/>
  <c r="J175" i="3"/>
  <c r="K175" i="3"/>
  <c r="B176" i="3"/>
  <c r="C176" i="3"/>
  <c r="D176" i="3"/>
  <c r="E176" i="3"/>
  <c r="F176" i="3"/>
  <c r="G176" i="3"/>
  <c r="H176" i="3"/>
  <c r="I176" i="3"/>
  <c r="J176" i="3"/>
  <c r="K176" i="3"/>
  <c r="B177" i="3"/>
  <c r="C177" i="3"/>
  <c r="D177" i="3"/>
  <c r="E177" i="3"/>
  <c r="F177" i="3"/>
  <c r="G177" i="3"/>
  <c r="H177" i="3"/>
  <c r="I177" i="3"/>
  <c r="J177" i="3"/>
  <c r="K177" i="3"/>
  <c r="B178" i="3"/>
  <c r="C178" i="3"/>
  <c r="D178" i="3"/>
  <c r="E178" i="3"/>
  <c r="F178" i="3"/>
  <c r="G178" i="3"/>
  <c r="H178" i="3"/>
  <c r="I178" i="3"/>
  <c r="J178" i="3"/>
  <c r="K178" i="3"/>
  <c r="B179" i="3"/>
  <c r="C179" i="3"/>
  <c r="D179" i="3"/>
  <c r="E179" i="3"/>
  <c r="F179" i="3"/>
  <c r="G179" i="3"/>
  <c r="H179" i="3"/>
  <c r="I179" i="3"/>
  <c r="J179" i="3"/>
  <c r="K179" i="3"/>
  <c r="B180" i="3"/>
  <c r="C180" i="3"/>
  <c r="D180" i="3"/>
  <c r="E180" i="3"/>
  <c r="F180" i="3"/>
  <c r="G180" i="3"/>
  <c r="H180" i="3"/>
  <c r="I180" i="3"/>
  <c r="J180" i="3"/>
  <c r="K180" i="3"/>
  <c r="B181" i="3"/>
  <c r="C181" i="3"/>
  <c r="D181" i="3"/>
  <c r="E181" i="3"/>
  <c r="F181" i="3"/>
  <c r="G181" i="3"/>
  <c r="H181" i="3"/>
  <c r="I181" i="3"/>
  <c r="J181" i="3"/>
  <c r="K181" i="3"/>
  <c r="B182" i="3"/>
  <c r="C182" i="3"/>
  <c r="D182" i="3"/>
  <c r="E182" i="3"/>
  <c r="F182" i="3"/>
  <c r="G182" i="3"/>
  <c r="H182" i="3"/>
  <c r="I182" i="3"/>
  <c r="J182" i="3"/>
  <c r="K182" i="3"/>
  <c r="B183" i="3"/>
  <c r="C183" i="3"/>
  <c r="D183" i="3"/>
  <c r="E183" i="3"/>
  <c r="F183" i="3"/>
  <c r="G183" i="3"/>
  <c r="H183" i="3"/>
  <c r="I183" i="3"/>
  <c r="J183" i="3"/>
  <c r="K183" i="3"/>
  <c r="B184" i="3"/>
  <c r="C184" i="3"/>
  <c r="D184" i="3"/>
  <c r="E184" i="3"/>
  <c r="F184" i="3"/>
  <c r="G184" i="3"/>
  <c r="H184" i="3"/>
  <c r="I184" i="3"/>
  <c r="J184" i="3"/>
  <c r="K184" i="3"/>
  <c r="B185" i="3"/>
  <c r="C185" i="3"/>
  <c r="D185" i="3"/>
  <c r="E185" i="3"/>
  <c r="F185" i="3"/>
  <c r="G185" i="3"/>
  <c r="H185" i="3"/>
  <c r="I185" i="3"/>
  <c r="J185" i="3"/>
  <c r="K185" i="3"/>
  <c r="B186" i="3"/>
  <c r="C186" i="3"/>
  <c r="D186" i="3"/>
  <c r="E186" i="3"/>
  <c r="F186" i="3"/>
  <c r="G186" i="3"/>
  <c r="H186" i="3"/>
  <c r="I186" i="3"/>
  <c r="J186" i="3"/>
  <c r="K186" i="3"/>
  <c r="B187" i="3"/>
  <c r="C187" i="3"/>
  <c r="D187" i="3"/>
  <c r="E187" i="3"/>
  <c r="F187" i="3"/>
  <c r="G187" i="3"/>
  <c r="H187" i="3"/>
  <c r="I187" i="3"/>
  <c r="J187" i="3"/>
  <c r="K187" i="3"/>
  <c r="B188" i="3"/>
  <c r="C188" i="3"/>
  <c r="D188" i="3"/>
  <c r="E188" i="3"/>
  <c r="F188" i="3"/>
  <c r="G188" i="3"/>
  <c r="H188" i="3"/>
  <c r="I188" i="3"/>
  <c r="J188" i="3"/>
  <c r="K188" i="3"/>
  <c r="B189" i="3"/>
  <c r="C189" i="3"/>
  <c r="D189" i="3"/>
  <c r="E189" i="3"/>
  <c r="F189" i="3"/>
  <c r="G189" i="3"/>
  <c r="H189" i="3"/>
  <c r="I189" i="3"/>
  <c r="J189" i="3"/>
  <c r="K189" i="3"/>
  <c r="B190" i="3"/>
  <c r="C190" i="3"/>
  <c r="D190" i="3"/>
  <c r="E190" i="3"/>
  <c r="F190" i="3"/>
  <c r="G190" i="3"/>
  <c r="H190" i="3"/>
  <c r="I190" i="3"/>
  <c r="J190" i="3"/>
  <c r="K190" i="3"/>
  <c r="B191" i="3"/>
  <c r="C191" i="3"/>
  <c r="D191" i="3"/>
  <c r="E191" i="3"/>
  <c r="F191" i="3"/>
  <c r="G191" i="3"/>
  <c r="H191" i="3"/>
  <c r="I191" i="3"/>
  <c r="J191" i="3"/>
  <c r="K191" i="3"/>
  <c r="B192" i="3"/>
  <c r="C192" i="3"/>
  <c r="D192" i="3"/>
  <c r="E192" i="3"/>
  <c r="F192" i="3"/>
  <c r="G192" i="3"/>
  <c r="H192" i="3"/>
  <c r="I192" i="3"/>
  <c r="J192" i="3"/>
  <c r="K192" i="3"/>
  <c r="B193" i="3"/>
  <c r="C193" i="3"/>
  <c r="D193" i="3"/>
  <c r="E193" i="3"/>
  <c r="F193" i="3"/>
  <c r="G193" i="3"/>
  <c r="H193" i="3"/>
  <c r="I193" i="3"/>
  <c r="J193" i="3"/>
  <c r="K193" i="3"/>
  <c r="B194" i="3"/>
  <c r="C194" i="3"/>
  <c r="D194" i="3"/>
  <c r="E194" i="3"/>
  <c r="F194" i="3"/>
  <c r="G194" i="3"/>
  <c r="H194" i="3"/>
  <c r="I194" i="3"/>
  <c r="J194" i="3"/>
  <c r="K194" i="3"/>
  <c r="B195" i="3"/>
  <c r="C195" i="3"/>
  <c r="D195" i="3"/>
  <c r="E195" i="3"/>
  <c r="F195" i="3"/>
  <c r="G195" i="3"/>
  <c r="H195" i="3"/>
  <c r="I195" i="3"/>
  <c r="J195" i="3"/>
  <c r="K195" i="3"/>
  <c r="B196" i="3"/>
  <c r="C196" i="3"/>
  <c r="D196" i="3"/>
  <c r="E196" i="3"/>
  <c r="F196" i="3"/>
  <c r="G196" i="3"/>
  <c r="H196" i="3"/>
  <c r="I196" i="3"/>
  <c r="J196" i="3"/>
  <c r="K196" i="3"/>
  <c r="B197" i="3"/>
  <c r="C197" i="3"/>
  <c r="D197" i="3"/>
  <c r="E197" i="3"/>
  <c r="F197" i="3"/>
  <c r="G197" i="3"/>
  <c r="H197" i="3"/>
  <c r="I197" i="3"/>
  <c r="J197" i="3"/>
  <c r="K197" i="3"/>
  <c r="B198" i="3"/>
  <c r="C198" i="3"/>
  <c r="D198" i="3"/>
  <c r="E198" i="3"/>
  <c r="F198" i="3"/>
  <c r="G198" i="3"/>
  <c r="H198" i="3"/>
  <c r="I198" i="3"/>
  <c r="J198" i="3"/>
  <c r="K198" i="3"/>
  <c r="B199" i="3"/>
  <c r="C199" i="3"/>
  <c r="D199" i="3"/>
  <c r="E199" i="3"/>
  <c r="F199" i="3"/>
  <c r="G199" i="3"/>
  <c r="H199" i="3"/>
  <c r="I199" i="3"/>
  <c r="J199" i="3"/>
  <c r="K199" i="3"/>
  <c r="B200" i="3"/>
  <c r="C200" i="3"/>
  <c r="D200" i="3"/>
  <c r="E200" i="3"/>
  <c r="F200" i="3"/>
  <c r="G200" i="3"/>
  <c r="H200" i="3"/>
  <c r="I200" i="3"/>
  <c r="J200" i="3"/>
  <c r="K200" i="3"/>
  <c r="B201" i="3"/>
  <c r="C201" i="3"/>
  <c r="D201" i="3"/>
  <c r="E201" i="3"/>
  <c r="F201" i="3"/>
  <c r="G201" i="3"/>
  <c r="H201" i="3"/>
  <c r="I201" i="3"/>
  <c r="J201" i="3"/>
  <c r="K201" i="3"/>
  <c r="B202" i="3"/>
  <c r="C202" i="3"/>
  <c r="D202" i="3"/>
  <c r="E202" i="3"/>
  <c r="F202" i="3"/>
  <c r="G202" i="3"/>
  <c r="H202" i="3"/>
  <c r="I202" i="3"/>
  <c r="J202" i="3"/>
  <c r="K202" i="3"/>
  <c r="B203" i="3"/>
  <c r="C203" i="3"/>
  <c r="D203" i="3"/>
  <c r="E203" i="3"/>
  <c r="F203" i="3"/>
  <c r="G203" i="3"/>
  <c r="H203" i="3"/>
  <c r="I203" i="3"/>
  <c r="J203" i="3"/>
  <c r="K203" i="3"/>
  <c r="B204" i="3"/>
  <c r="C204" i="3"/>
  <c r="D204" i="3"/>
  <c r="E204" i="3"/>
  <c r="F204" i="3"/>
  <c r="G204" i="3"/>
  <c r="H204" i="3"/>
  <c r="I204" i="3"/>
  <c r="J204" i="3"/>
  <c r="K204" i="3"/>
  <c r="B205" i="3"/>
  <c r="C205" i="3"/>
  <c r="D205" i="3"/>
  <c r="E205" i="3"/>
  <c r="F205" i="3"/>
  <c r="G205" i="3"/>
  <c r="H205" i="3"/>
  <c r="I205" i="3"/>
  <c r="J205" i="3"/>
  <c r="K205" i="3"/>
  <c r="B206" i="3"/>
  <c r="C206" i="3"/>
  <c r="D206" i="3"/>
  <c r="E206" i="3"/>
  <c r="F206" i="3"/>
  <c r="G206" i="3"/>
  <c r="H206" i="3"/>
  <c r="I206" i="3"/>
  <c r="J206" i="3"/>
  <c r="K206" i="3"/>
  <c r="B207" i="3"/>
  <c r="C207" i="3"/>
  <c r="D207" i="3"/>
  <c r="E207" i="3"/>
  <c r="F207" i="3"/>
  <c r="G207" i="3"/>
  <c r="H207" i="3"/>
  <c r="I207" i="3"/>
  <c r="J207" i="3"/>
  <c r="K207" i="3"/>
  <c r="B208" i="3"/>
  <c r="C208" i="3"/>
  <c r="D208" i="3"/>
  <c r="E208" i="3"/>
  <c r="F208" i="3"/>
  <c r="G208" i="3"/>
  <c r="H208" i="3"/>
  <c r="I208" i="3"/>
  <c r="J208" i="3"/>
  <c r="K208" i="3"/>
  <c r="B209" i="3"/>
  <c r="C209" i="3"/>
  <c r="D209" i="3"/>
  <c r="E209" i="3"/>
  <c r="F209" i="3"/>
  <c r="G209" i="3"/>
  <c r="H209" i="3"/>
  <c r="I209" i="3"/>
  <c r="J209" i="3"/>
  <c r="K209" i="3"/>
  <c r="B210" i="3"/>
  <c r="C210" i="3"/>
  <c r="D210" i="3"/>
  <c r="E210" i="3"/>
  <c r="F210" i="3"/>
  <c r="G210" i="3"/>
  <c r="H210" i="3"/>
  <c r="I210" i="3"/>
  <c r="J210" i="3"/>
  <c r="K210" i="3"/>
  <c r="B211" i="3"/>
  <c r="C211" i="3"/>
  <c r="D211" i="3"/>
  <c r="E211" i="3"/>
  <c r="F211" i="3"/>
  <c r="G211" i="3"/>
  <c r="H211" i="3"/>
  <c r="I211" i="3"/>
  <c r="J211" i="3"/>
  <c r="K211" i="3"/>
  <c r="B212" i="3"/>
  <c r="C212" i="3"/>
  <c r="D212" i="3"/>
  <c r="E212" i="3"/>
  <c r="F212" i="3"/>
  <c r="G212" i="3"/>
  <c r="H212" i="3"/>
  <c r="I212" i="3"/>
  <c r="J212" i="3"/>
  <c r="K212" i="3"/>
  <c r="B213" i="3"/>
  <c r="C213" i="3"/>
  <c r="D213" i="3"/>
  <c r="E213" i="3"/>
  <c r="F213" i="3"/>
  <c r="G213" i="3"/>
  <c r="H213" i="3"/>
  <c r="I213" i="3"/>
  <c r="J213" i="3"/>
  <c r="K213" i="3"/>
  <c r="B214" i="3"/>
  <c r="C214" i="3"/>
  <c r="D214" i="3"/>
  <c r="E214" i="3"/>
  <c r="F214" i="3"/>
  <c r="G214" i="3"/>
  <c r="H214" i="3"/>
  <c r="I214" i="3"/>
  <c r="J214" i="3"/>
  <c r="K214" i="3"/>
  <c r="B215" i="3"/>
  <c r="C215" i="3"/>
  <c r="D215" i="3"/>
  <c r="E215" i="3"/>
  <c r="F215" i="3"/>
  <c r="G215" i="3"/>
  <c r="H215" i="3"/>
  <c r="I215" i="3"/>
  <c r="J215" i="3"/>
  <c r="K215" i="3"/>
  <c r="B216" i="3"/>
  <c r="C216" i="3"/>
  <c r="D216" i="3"/>
  <c r="E216" i="3"/>
  <c r="F216" i="3"/>
  <c r="G216" i="3"/>
  <c r="H216" i="3"/>
  <c r="I216" i="3"/>
  <c r="J216" i="3"/>
  <c r="K216" i="3"/>
  <c r="B217" i="3"/>
  <c r="C217" i="3"/>
  <c r="D217" i="3"/>
  <c r="E217" i="3"/>
  <c r="F217" i="3"/>
  <c r="G217" i="3"/>
  <c r="H217" i="3"/>
  <c r="I217" i="3"/>
  <c r="J217" i="3"/>
  <c r="K217" i="3"/>
  <c r="B218" i="3"/>
  <c r="C218" i="3"/>
  <c r="D218" i="3"/>
  <c r="E218" i="3"/>
  <c r="F218" i="3"/>
  <c r="G218" i="3"/>
  <c r="H218" i="3"/>
  <c r="I218" i="3"/>
  <c r="J218" i="3"/>
  <c r="K218" i="3"/>
  <c r="B219" i="3"/>
  <c r="C219" i="3"/>
  <c r="D219" i="3"/>
  <c r="E219" i="3"/>
  <c r="F219" i="3"/>
  <c r="G219" i="3"/>
  <c r="H219" i="3"/>
  <c r="I219" i="3"/>
  <c r="J219" i="3"/>
  <c r="K219" i="3"/>
  <c r="B220" i="3"/>
  <c r="C220" i="3"/>
  <c r="D220" i="3"/>
  <c r="E220" i="3"/>
  <c r="F220" i="3"/>
  <c r="G220" i="3"/>
  <c r="H220" i="3"/>
  <c r="I220" i="3"/>
  <c r="J220" i="3"/>
  <c r="K220" i="3"/>
  <c r="B221" i="3"/>
  <c r="C221" i="3"/>
  <c r="D221" i="3"/>
  <c r="E221" i="3"/>
  <c r="F221" i="3"/>
  <c r="G221" i="3"/>
  <c r="H221" i="3"/>
  <c r="I221" i="3"/>
  <c r="J221" i="3"/>
  <c r="K221" i="3"/>
  <c r="B222" i="3"/>
  <c r="C222" i="3"/>
  <c r="D222" i="3"/>
  <c r="E222" i="3"/>
  <c r="F222" i="3"/>
  <c r="G222" i="3"/>
  <c r="H222" i="3"/>
  <c r="I222" i="3"/>
  <c r="J222" i="3"/>
  <c r="K222" i="3"/>
  <c r="B223" i="3"/>
  <c r="C223" i="3"/>
  <c r="D223" i="3"/>
  <c r="E223" i="3"/>
  <c r="F223" i="3"/>
  <c r="G223" i="3"/>
  <c r="H223" i="3"/>
  <c r="I223" i="3"/>
  <c r="J223" i="3"/>
  <c r="K223" i="3"/>
  <c r="B224" i="3"/>
  <c r="C224" i="3"/>
  <c r="D224" i="3"/>
  <c r="E224" i="3"/>
  <c r="F224" i="3"/>
  <c r="G224" i="3"/>
  <c r="H224" i="3"/>
  <c r="I224" i="3"/>
  <c r="J224" i="3"/>
  <c r="K224" i="3"/>
  <c r="B225" i="3"/>
  <c r="C225" i="3"/>
  <c r="D225" i="3"/>
  <c r="E225" i="3"/>
  <c r="F225" i="3"/>
  <c r="G225" i="3"/>
  <c r="H225" i="3"/>
  <c r="I225" i="3"/>
  <c r="J225" i="3"/>
  <c r="K225" i="3"/>
  <c r="B226" i="3"/>
  <c r="C226" i="3"/>
  <c r="D226" i="3"/>
  <c r="E226" i="3"/>
  <c r="F226" i="3"/>
  <c r="G226" i="3"/>
  <c r="H226" i="3"/>
  <c r="I226" i="3"/>
  <c r="J226" i="3"/>
  <c r="K226" i="3"/>
  <c r="B227" i="3"/>
  <c r="C227" i="3"/>
  <c r="D227" i="3"/>
  <c r="E227" i="3"/>
  <c r="F227" i="3"/>
  <c r="G227" i="3"/>
  <c r="H227" i="3"/>
  <c r="I227" i="3"/>
  <c r="J227" i="3"/>
  <c r="K227" i="3"/>
  <c r="B228" i="3"/>
  <c r="C228" i="3"/>
  <c r="D228" i="3"/>
  <c r="E228" i="3"/>
  <c r="F228" i="3"/>
  <c r="G228" i="3"/>
  <c r="H228" i="3"/>
  <c r="I228" i="3"/>
  <c r="J228" i="3"/>
  <c r="K228" i="3"/>
  <c r="B229" i="3"/>
  <c r="C229" i="3"/>
  <c r="D229" i="3"/>
  <c r="E229" i="3"/>
  <c r="F229" i="3"/>
  <c r="G229" i="3"/>
  <c r="H229" i="3"/>
  <c r="I229" i="3"/>
  <c r="J229" i="3"/>
  <c r="K229" i="3"/>
  <c r="B230" i="3"/>
  <c r="C230" i="3"/>
  <c r="D230" i="3"/>
  <c r="E230" i="3"/>
  <c r="F230" i="3"/>
  <c r="G230" i="3"/>
  <c r="H230" i="3"/>
  <c r="I230" i="3"/>
  <c r="J230" i="3"/>
  <c r="K230" i="3"/>
  <c r="B231" i="3"/>
  <c r="C231" i="3"/>
  <c r="D231" i="3"/>
  <c r="E231" i="3"/>
  <c r="F231" i="3"/>
  <c r="G231" i="3"/>
  <c r="H231" i="3"/>
  <c r="I231" i="3"/>
  <c r="J231" i="3"/>
  <c r="K231" i="3"/>
  <c r="B232" i="3"/>
  <c r="C232" i="3"/>
  <c r="D232" i="3"/>
  <c r="E232" i="3"/>
  <c r="F232" i="3"/>
  <c r="G232" i="3"/>
  <c r="H232" i="3"/>
  <c r="I232" i="3"/>
  <c r="J232" i="3"/>
  <c r="K232" i="3"/>
  <c r="B233" i="3"/>
  <c r="C233" i="3"/>
  <c r="D233" i="3"/>
  <c r="E233" i="3"/>
  <c r="F233" i="3"/>
  <c r="G233" i="3"/>
  <c r="H233" i="3"/>
  <c r="I233" i="3"/>
  <c r="J233" i="3"/>
  <c r="K233" i="3"/>
  <c r="B234" i="3"/>
  <c r="C234" i="3"/>
  <c r="D234" i="3"/>
  <c r="E234" i="3"/>
  <c r="F234" i="3"/>
  <c r="G234" i="3"/>
  <c r="H234" i="3"/>
  <c r="I234" i="3"/>
  <c r="J234" i="3"/>
  <c r="K234" i="3"/>
  <c r="B235" i="3"/>
  <c r="C235" i="3"/>
  <c r="D235" i="3"/>
  <c r="E235" i="3"/>
  <c r="F235" i="3"/>
  <c r="G235" i="3"/>
  <c r="H235" i="3"/>
  <c r="I235" i="3"/>
  <c r="J235" i="3"/>
  <c r="K235" i="3"/>
  <c r="B236" i="3"/>
  <c r="C236" i="3"/>
  <c r="D236" i="3"/>
  <c r="E236" i="3"/>
  <c r="F236" i="3"/>
  <c r="G236" i="3"/>
  <c r="H236" i="3"/>
  <c r="I236" i="3"/>
  <c r="J236" i="3"/>
  <c r="K236" i="3"/>
  <c r="B237" i="3"/>
  <c r="C237" i="3"/>
  <c r="D237" i="3"/>
  <c r="E237" i="3"/>
  <c r="F237" i="3"/>
  <c r="G237" i="3"/>
  <c r="H237" i="3"/>
  <c r="I237" i="3"/>
  <c r="J237" i="3"/>
  <c r="K237" i="3"/>
  <c r="B238" i="3"/>
  <c r="C238" i="3"/>
  <c r="D238" i="3"/>
  <c r="E238" i="3"/>
  <c r="F238" i="3"/>
  <c r="G238" i="3"/>
  <c r="H238" i="3"/>
  <c r="I238" i="3"/>
  <c r="J238" i="3"/>
  <c r="K238" i="3"/>
  <c r="B239" i="3"/>
  <c r="C239" i="3"/>
  <c r="D239" i="3"/>
  <c r="E239" i="3"/>
  <c r="F239" i="3"/>
  <c r="G239" i="3"/>
  <c r="H239" i="3"/>
  <c r="I239" i="3"/>
  <c r="J239" i="3"/>
  <c r="K239" i="3"/>
  <c r="B240" i="3"/>
  <c r="C240" i="3"/>
  <c r="D240" i="3"/>
  <c r="E240" i="3"/>
  <c r="F240" i="3"/>
  <c r="G240" i="3"/>
  <c r="H240" i="3"/>
  <c r="I240" i="3"/>
  <c r="J240" i="3"/>
  <c r="K240" i="3"/>
  <c r="B241" i="3"/>
  <c r="C241" i="3"/>
  <c r="D241" i="3"/>
  <c r="E241" i="3"/>
  <c r="F241" i="3"/>
  <c r="G241" i="3"/>
  <c r="H241" i="3"/>
  <c r="I241" i="3"/>
  <c r="J241" i="3"/>
  <c r="K241" i="3"/>
  <c r="B242" i="3"/>
  <c r="C242" i="3"/>
  <c r="D242" i="3"/>
  <c r="E242" i="3"/>
  <c r="F242" i="3"/>
  <c r="G242" i="3"/>
  <c r="H242" i="3"/>
  <c r="I242" i="3"/>
  <c r="J242" i="3"/>
  <c r="K242" i="3"/>
  <c r="B243" i="3"/>
  <c r="C243" i="3"/>
  <c r="D243" i="3"/>
  <c r="E243" i="3"/>
  <c r="F243" i="3"/>
  <c r="G243" i="3"/>
  <c r="H243" i="3"/>
  <c r="I243" i="3"/>
  <c r="J243" i="3"/>
  <c r="K243" i="3"/>
  <c r="B244" i="3"/>
  <c r="C244" i="3"/>
  <c r="D244" i="3"/>
  <c r="E244" i="3"/>
  <c r="F244" i="3"/>
  <c r="G244" i="3"/>
  <c r="H244" i="3"/>
  <c r="I244" i="3"/>
  <c r="J244" i="3"/>
  <c r="K244" i="3"/>
  <c r="B245" i="3"/>
  <c r="C245" i="3"/>
  <c r="D245" i="3"/>
  <c r="E245" i="3"/>
  <c r="F245" i="3"/>
  <c r="G245" i="3"/>
  <c r="H245" i="3"/>
  <c r="I245" i="3"/>
  <c r="J245" i="3"/>
  <c r="K245" i="3"/>
  <c r="B246" i="3"/>
  <c r="C246" i="3"/>
  <c r="D246" i="3"/>
  <c r="E246" i="3"/>
  <c r="F246" i="3"/>
  <c r="G246" i="3"/>
  <c r="H246" i="3"/>
  <c r="I246" i="3"/>
  <c r="J246" i="3"/>
  <c r="K246" i="3"/>
  <c r="B247" i="3"/>
  <c r="C247" i="3"/>
  <c r="D247" i="3"/>
  <c r="E247" i="3"/>
  <c r="F247" i="3"/>
  <c r="G247" i="3"/>
  <c r="H247" i="3"/>
  <c r="I247" i="3"/>
  <c r="J247" i="3"/>
  <c r="K247" i="3"/>
  <c r="B248" i="3"/>
  <c r="C248" i="3"/>
  <c r="D248" i="3"/>
  <c r="E248" i="3"/>
  <c r="F248" i="3"/>
  <c r="G248" i="3"/>
  <c r="H248" i="3"/>
  <c r="I248" i="3"/>
  <c r="J248" i="3"/>
  <c r="K248" i="3"/>
  <c r="B249" i="3"/>
  <c r="C249" i="3"/>
  <c r="D249" i="3"/>
  <c r="E249" i="3"/>
  <c r="F249" i="3"/>
  <c r="G249" i="3"/>
  <c r="H249" i="3"/>
  <c r="I249" i="3"/>
  <c r="J249" i="3"/>
  <c r="K249" i="3"/>
  <c r="B250" i="3"/>
  <c r="C250" i="3"/>
  <c r="D250" i="3"/>
  <c r="E250" i="3"/>
  <c r="F250" i="3"/>
  <c r="G250" i="3"/>
  <c r="H250" i="3"/>
  <c r="I250" i="3"/>
  <c r="J250" i="3"/>
  <c r="K250" i="3"/>
  <c r="B251" i="3"/>
  <c r="C251" i="3"/>
  <c r="D251" i="3"/>
  <c r="E251" i="3"/>
  <c r="F251" i="3"/>
  <c r="G251" i="3"/>
  <c r="H251" i="3"/>
  <c r="I251" i="3"/>
  <c r="J251" i="3"/>
  <c r="K251" i="3"/>
  <c r="B252" i="3"/>
  <c r="C252" i="3"/>
  <c r="D252" i="3"/>
  <c r="E252" i="3"/>
  <c r="F252" i="3"/>
  <c r="G252" i="3"/>
  <c r="H252" i="3"/>
  <c r="I252" i="3"/>
  <c r="J252" i="3"/>
  <c r="K252" i="3"/>
  <c r="B253" i="3"/>
  <c r="C253" i="3"/>
  <c r="D253" i="3"/>
  <c r="E253" i="3"/>
  <c r="F253" i="3"/>
  <c r="G253" i="3"/>
  <c r="H253" i="3"/>
  <c r="I253" i="3"/>
  <c r="J253" i="3"/>
  <c r="K253" i="3"/>
  <c r="B254" i="3"/>
  <c r="C254" i="3"/>
  <c r="D254" i="3"/>
  <c r="E254" i="3"/>
  <c r="F254" i="3"/>
  <c r="G254" i="3"/>
  <c r="H254" i="3"/>
  <c r="I254" i="3"/>
  <c r="J254" i="3"/>
  <c r="K254" i="3"/>
  <c r="B255" i="3"/>
  <c r="C255" i="3"/>
  <c r="D255" i="3"/>
  <c r="E255" i="3"/>
  <c r="F255" i="3"/>
  <c r="G255" i="3"/>
  <c r="H255" i="3"/>
  <c r="I255" i="3"/>
  <c r="J255" i="3"/>
  <c r="K255" i="3"/>
  <c r="B256" i="3"/>
  <c r="C256" i="3"/>
  <c r="D256" i="3"/>
  <c r="E256" i="3"/>
  <c r="F256" i="3"/>
  <c r="G256" i="3"/>
  <c r="H256" i="3"/>
  <c r="I256" i="3"/>
  <c r="J256" i="3"/>
  <c r="K256" i="3"/>
  <c r="B257" i="3"/>
  <c r="C257" i="3"/>
  <c r="D257" i="3"/>
  <c r="E257" i="3"/>
  <c r="F257" i="3"/>
  <c r="G257" i="3"/>
  <c r="H257" i="3"/>
  <c r="I257" i="3"/>
  <c r="J257" i="3"/>
  <c r="K257" i="3"/>
  <c r="B258" i="3"/>
  <c r="C258" i="3"/>
  <c r="D258" i="3"/>
  <c r="E258" i="3"/>
  <c r="F258" i="3"/>
  <c r="G258" i="3"/>
  <c r="H258" i="3"/>
  <c r="I258" i="3"/>
  <c r="J258" i="3"/>
  <c r="K258" i="3"/>
  <c r="B259" i="3"/>
  <c r="C259" i="3"/>
  <c r="D259" i="3"/>
  <c r="E259" i="3"/>
  <c r="F259" i="3"/>
  <c r="G259" i="3"/>
  <c r="H259" i="3"/>
  <c r="I259" i="3"/>
  <c r="J259" i="3"/>
  <c r="K259" i="3"/>
  <c r="B260" i="3"/>
  <c r="C260" i="3"/>
  <c r="D260" i="3"/>
  <c r="E260" i="3"/>
  <c r="F260" i="3"/>
  <c r="G260" i="3"/>
  <c r="H260" i="3"/>
  <c r="I260" i="3"/>
  <c r="J260" i="3"/>
  <c r="K260" i="3"/>
  <c r="B261" i="3"/>
  <c r="C261" i="3"/>
  <c r="D261" i="3"/>
  <c r="E261" i="3"/>
  <c r="F261" i="3"/>
  <c r="G261" i="3"/>
  <c r="H261" i="3"/>
  <c r="I261" i="3"/>
  <c r="J261" i="3"/>
  <c r="K261" i="3"/>
  <c r="B262" i="3"/>
  <c r="C262" i="3"/>
  <c r="D262" i="3"/>
  <c r="E262" i="3"/>
  <c r="F262" i="3"/>
  <c r="G262" i="3"/>
  <c r="H262" i="3"/>
  <c r="I262" i="3"/>
  <c r="J262" i="3"/>
  <c r="K262" i="3"/>
  <c r="B263" i="3"/>
  <c r="C263" i="3"/>
  <c r="D263" i="3"/>
  <c r="E263" i="3"/>
  <c r="F263" i="3"/>
  <c r="G263" i="3"/>
  <c r="H263" i="3"/>
  <c r="I263" i="3"/>
  <c r="J263" i="3"/>
  <c r="K263" i="3"/>
  <c r="B264" i="3"/>
  <c r="C264" i="3"/>
  <c r="D264" i="3"/>
  <c r="E264" i="3"/>
  <c r="F264" i="3"/>
  <c r="G264" i="3"/>
  <c r="H264" i="3"/>
  <c r="I264" i="3"/>
  <c r="J264" i="3"/>
  <c r="K264" i="3"/>
  <c r="B265" i="3"/>
  <c r="C265" i="3"/>
  <c r="D265" i="3"/>
  <c r="E265" i="3"/>
  <c r="F265" i="3"/>
  <c r="G265" i="3"/>
  <c r="H265" i="3"/>
  <c r="I265" i="3"/>
  <c r="J265" i="3"/>
  <c r="K265" i="3"/>
  <c r="B266" i="3"/>
  <c r="C266" i="3"/>
  <c r="D266" i="3"/>
  <c r="E266" i="3"/>
  <c r="F266" i="3"/>
  <c r="G266" i="3"/>
  <c r="H266" i="3"/>
  <c r="I266" i="3"/>
  <c r="J266" i="3"/>
  <c r="K266" i="3"/>
  <c r="B267" i="3"/>
  <c r="C267" i="3"/>
  <c r="D267" i="3"/>
  <c r="E267" i="3"/>
  <c r="F267" i="3"/>
  <c r="G267" i="3"/>
  <c r="H267" i="3"/>
  <c r="I267" i="3"/>
  <c r="J267" i="3"/>
  <c r="K267" i="3"/>
  <c r="B268" i="3"/>
  <c r="C268" i="3"/>
  <c r="D268" i="3"/>
  <c r="E268" i="3"/>
  <c r="F268" i="3"/>
  <c r="G268" i="3"/>
  <c r="H268" i="3"/>
  <c r="I268" i="3"/>
  <c r="J268" i="3"/>
  <c r="K268" i="3"/>
  <c r="B269" i="3"/>
  <c r="C269" i="3"/>
  <c r="D269" i="3"/>
  <c r="E269" i="3"/>
  <c r="F269" i="3"/>
  <c r="G269" i="3"/>
  <c r="H269" i="3"/>
  <c r="I269" i="3"/>
  <c r="J269" i="3"/>
  <c r="K269" i="3"/>
  <c r="B270" i="3"/>
  <c r="C270" i="3"/>
  <c r="D270" i="3"/>
  <c r="E270" i="3"/>
  <c r="F270" i="3"/>
  <c r="G270" i="3"/>
  <c r="H270" i="3"/>
  <c r="I270" i="3"/>
  <c r="J270" i="3"/>
  <c r="K270" i="3"/>
  <c r="B271" i="3"/>
  <c r="C271" i="3"/>
  <c r="D271" i="3"/>
  <c r="E271" i="3"/>
  <c r="F271" i="3"/>
  <c r="G271" i="3"/>
  <c r="H271" i="3"/>
  <c r="I271" i="3"/>
  <c r="J271" i="3"/>
  <c r="K271" i="3"/>
  <c r="B272" i="3"/>
  <c r="C272" i="3"/>
  <c r="D272" i="3"/>
  <c r="E272" i="3"/>
  <c r="F272" i="3"/>
  <c r="G272" i="3"/>
  <c r="H272" i="3"/>
  <c r="I272" i="3"/>
  <c r="J272" i="3"/>
  <c r="K272" i="3"/>
  <c r="B273" i="3"/>
  <c r="C273" i="3"/>
  <c r="D273" i="3"/>
  <c r="E273" i="3"/>
  <c r="F273" i="3"/>
  <c r="G273" i="3"/>
  <c r="H273" i="3"/>
  <c r="I273" i="3"/>
  <c r="J273" i="3"/>
  <c r="K273" i="3"/>
  <c r="B274" i="3"/>
  <c r="C274" i="3"/>
  <c r="D274" i="3"/>
  <c r="E274" i="3"/>
  <c r="F274" i="3"/>
  <c r="G274" i="3"/>
  <c r="H274" i="3"/>
  <c r="I274" i="3"/>
  <c r="J274" i="3"/>
  <c r="K274" i="3"/>
  <c r="B275" i="3"/>
  <c r="C275" i="3"/>
  <c r="D275" i="3"/>
  <c r="E275" i="3"/>
  <c r="F275" i="3"/>
  <c r="G275" i="3"/>
  <c r="H275" i="3"/>
  <c r="I275" i="3"/>
  <c r="J275" i="3"/>
  <c r="K275" i="3"/>
  <c r="B276" i="3"/>
  <c r="C276" i="3"/>
  <c r="D276" i="3"/>
  <c r="E276" i="3"/>
  <c r="F276" i="3"/>
  <c r="G276" i="3"/>
  <c r="H276" i="3"/>
  <c r="I276" i="3"/>
  <c r="J276" i="3"/>
  <c r="K276" i="3"/>
  <c r="B277" i="3"/>
  <c r="C277" i="3"/>
  <c r="D277" i="3"/>
  <c r="E277" i="3"/>
  <c r="F277" i="3"/>
  <c r="G277" i="3"/>
  <c r="H277" i="3"/>
  <c r="I277" i="3"/>
  <c r="J277" i="3"/>
  <c r="K277" i="3"/>
  <c r="B278" i="3"/>
  <c r="C278" i="3"/>
  <c r="D278" i="3"/>
  <c r="E278" i="3"/>
  <c r="F278" i="3"/>
  <c r="G278" i="3"/>
  <c r="H278" i="3"/>
  <c r="I278" i="3"/>
  <c r="J278" i="3"/>
  <c r="K278" i="3"/>
  <c r="B279" i="3"/>
  <c r="C279" i="3"/>
  <c r="D279" i="3"/>
  <c r="E279" i="3"/>
  <c r="F279" i="3"/>
  <c r="G279" i="3"/>
  <c r="H279" i="3"/>
  <c r="I279" i="3"/>
  <c r="J279" i="3"/>
  <c r="K279" i="3"/>
  <c r="B280" i="3"/>
  <c r="C280" i="3"/>
  <c r="D280" i="3"/>
  <c r="E280" i="3"/>
  <c r="F280" i="3"/>
  <c r="G280" i="3"/>
  <c r="H280" i="3"/>
  <c r="I280" i="3"/>
  <c r="J280" i="3"/>
  <c r="K280" i="3"/>
  <c r="B281" i="3"/>
  <c r="C281" i="3"/>
  <c r="D281" i="3"/>
  <c r="E281" i="3"/>
  <c r="F281" i="3"/>
  <c r="G281" i="3"/>
  <c r="H281" i="3"/>
  <c r="I281" i="3"/>
  <c r="J281" i="3"/>
  <c r="K281" i="3"/>
  <c r="B282" i="3"/>
  <c r="C282" i="3"/>
  <c r="D282" i="3"/>
  <c r="E282" i="3"/>
  <c r="F282" i="3"/>
  <c r="G282" i="3"/>
  <c r="H282" i="3"/>
  <c r="I282" i="3"/>
  <c r="J282" i="3"/>
  <c r="K282" i="3"/>
  <c r="B283" i="3"/>
  <c r="C283" i="3"/>
  <c r="D283" i="3"/>
  <c r="E283" i="3"/>
  <c r="F283" i="3"/>
  <c r="G283" i="3"/>
  <c r="H283" i="3"/>
  <c r="I283" i="3"/>
  <c r="J283" i="3"/>
  <c r="K283" i="3"/>
  <c r="B284" i="3"/>
  <c r="C284" i="3"/>
  <c r="D284" i="3"/>
  <c r="E284" i="3"/>
  <c r="F284" i="3"/>
  <c r="G284" i="3"/>
  <c r="H284" i="3"/>
  <c r="I284" i="3"/>
  <c r="J284" i="3"/>
  <c r="K284" i="3"/>
  <c r="B285" i="3"/>
  <c r="C285" i="3"/>
  <c r="D285" i="3"/>
  <c r="E285" i="3"/>
  <c r="F285" i="3"/>
  <c r="G285" i="3"/>
  <c r="H285" i="3"/>
  <c r="I285" i="3"/>
  <c r="J285" i="3"/>
  <c r="K285" i="3"/>
  <c r="B286" i="3"/>
  <c r="C286" i="3"/>
  <c r="D286" i="3"/>
  <c r="E286" i="3"/>
  <c r="F286" i="3"/>
  <c r="G286" i="3"/>
  <c r="H286" i="3"/>
  <c r="I286" i="3"/>
  <c r="J286" i="3"/>
  <c r="K286" i="3"/>
  <c r="B287" i="3"/>
  <c r="C287" i="3"/>
  <c r="D287" i="3"/>
  <c r="E287" i="3"/>
  <c r="F287" i="3"/>
  <c r="G287" i="3"/>
  <c r="H287" i="3"/>
  <c r="I287" i="3"/>
  <c r="J287" i="3"/>
  <c r="K287" i="3"/>
  <c r="B288" i="3"/>
  <c r="C288" i="3"/>
  <c r="D288" i="3"/>
  <c r="E288" i="3"/>
  <c r="F288" i="3"/>
  <c r="G288" i="3"/>
  <c r="H288" i="3"/>
  <c r="I288" i="3"/>
  <c r="J288" i="3"/>
  <c r="K288" i="3"/>
  <c r="B289" i="3"/>
  <c r="C289" i="3"/>
  <c r="D289" i="3"/>
  <c r="E289" i="3"/>
  <c r="F289" i="3"/>
  <c r="G289" i="3"/>
  <c r="H289" i="3"/>
  <c r="I289" i="3"/>
  <c r="J289" i="3"/>
  <c r="K289" i="3"/>
  <c r="B290" i="3"/>
  <c r="C290" i="3"/>
  <c r="D290" i="3"/>
  <c r="E290" i="3"/>
  <c r="F290" i="3"/>
  <c r="G290" i="3"/>
  <c r="H290" i="3"/>
  <c r="I290" i="3"/>
  <c r="J290" i="3"/>
  <c r="K290" i="3"/>
  <c r="B291" i="3"/>
  <c r="C291" i="3"/>
  <c r="D291" i="3"/>
  <c r="E291" i="3"/>
  <c r="F291" i="3"/>
  <c r="G291" i="3"/>
  <c r="H291" i="3"/>
  <c r="I291" i="3"/>
  <c r="J291" i="3"/>
  <c r="K291" i="3"/>
  <c r="B292" i="3"/>
  <c r="C292" i="3"/>
  <c r="D292" i="3"/>
  <c r="E292" i="3"/>
  <c r="F292" i="3"/>
  <c r="G292" i="3"/>
  <c r="H292" i="3"/>
  <c r="I292" i="3"/>
  <c r="J292" i="3"/>
  <c r="K292" i="3"/>
  <c r="B293" i="3"/>
  <c r="C293" i="3"/>
  <c r="D293" i="3"/>
  <c r="E293" i="3"/>
  <c r="F293" i="3"/>
  <c r="G293" i="3"/>
  <c r="H293" i="3"/>
  <c r="I293" i="3"/>
  <c r="J293" i="3"/>
  <c r="K293" i="3"/>
  <c r="B294" i="3"/>
  <c r="C294" i="3"/>
  <c r="D294" i="3"/>
  <c r="E294" i="3"/>
  <c r="F294" i="3"/>
  <c r="G294" i="3"/>
  <c r="H294" i="3"/>
  <c r="I294" i="3"/>
  <c r="J294" i="3"/>
  <c r="K294" i="3"/>
  <c r="B295" i="3"/>
  <c r="C295" i="3"/>
  <c r="D295" i="3"/>
  <c r="E295" i="3"/>
  <c r="F295" i="3"/>
  <c r="G295" i="3"/>
  <c r="H295" i="3"/>
  <c r="I295" i="3"/>
  <c r="J295" i="3"/>
  <c r="K295" i="3"/>
  <c r="B296" i="3"/>
  <c r="C296" i="3"/>
  <c r="D296" i="3"/>
  <c r="E296" i="3"/>
  <c r="F296" i="3"/>
  <c r="G296" i="3"/>
  <c r="H296" i="3"/>
  <c r="I296" i="3"/>
  <c r="J296" i="3"/>
  <c r="K296" i="3"/>
  <c r="B297" i="3"/>
  <c r="C297" i="3"/>
  <c r="D297" i="3"/>
  <c r="E297" i="3"/>
  <c r="F297" i="3"/>
  <c r="G297" i="3"/>
  <c r="H297" i="3"/>
  <c r="I297" i="3"/>
  <c r="J297" i="3"/>
  <c r="K297" i="3"/>
  <c r="B298" i="3"/>
  <c r="C298" i="3"/>
  <c r="D298" i="3"/>
  <c r="E298" i="3"/>
  <c r="F298" i="3"/>
  <c r="G298" i="3"/>
  <c r="H298" i="3"/>
  <c r="I298" i="3"/>
  <c r="J298" i="3"/>
  <c r="K298" i="3"/>
  <c r="B299" i="3"/>
  <c r="C299" i="3"/>
  <c r="D299" i="3"/>
  <c r="E299" i="3"/>
  <c r="F299" i="3"/>
  <c r="G299" i="3"/>
  <c r="H299" i="3"/>
  <c r="I299" i="3"/>
  <c r="J299" i="3"/>
  <c r="K299" i="3"/>
  <c r="B300" i="3"/>
  <c r="C300" i="3"/>
  <c r="D300" i="3"/>
  <c r="E300" i="3"/>
  <c r="F300" i="3"/>
  <c r="G300" i="3"/>
  <c r="H300" i="3"/>
  <c r="I300" i="3"/>
  <c r="J300" i="3"/>
  <c r="K300" i="3"/>
  <c r="B301" i="3"/>
  <c r="C301" i="3"/>
  <c r="D301" i="3"/>
  <c r="E301" i="3"/>
  <c r="F301" i="3"/>
  <c r="G301" i="3"/>
  <c r="H301" i="3"/>
  <c r="I301" i="3"/>
  <c r="J301" i="3"/>
  <c r="K301" i="3"/>
  <c r="B302" i="3"/>
  <c r="C302" i="3"/>
  <c r="D302" i="3"/>
  <c r="E302" i="3"/>
  <c r="F302" i="3"/>
  <c r="G302" i="3"/>
  <c r="H302" i="3"/>
  <c r="I302" i="3"/>
  <c r="J302" i="3"/>
  <c r="K302" i="3"/>
  <c r="B303" i="3"/>
  <c r="C303" i="3"/>
  <c r="D303" i="3"/>
  <c r="E303" i="3"/>
  <c r="F303" i="3"/>
  <c r="G303" i="3"/>
  <c r="H303" i="3"/>
  <c r="I303" i="3"/>
  <c r="J303" i="3"/>
  <c r="K303" i="3"/>
  <c r="B304" i="3"/>
  <c r="C304" i="3"/>
  <c r="D304" i="3"/>
  <c r="E304" i="3"/>
  <c r="F304" i="3"/>
  <c r="G304" i="3"/>
  <c r="H304" i="3"/>
  <c r="I304" i="3"/>
  <c r="J304" i="3"/>
  <c r="K304" i="3"/>
  <c r="B305" i="3"/>
  <c r="C305" i="3"/>
  <c r="D305" i="3"/>
  <c r="E305" i="3"/>
  <c r="F305" i="3"/>
  <c r="G305" i="3"/>
  <c r="H305" i="3"/>
  <c r="I305" i="3"/>
  <c r="J305" i="3"/>
  <c r="K305" i="3"/>
  <c r="B306" i="3"/>
  <c r="C306" i="3"/>
  <c r="D306" i="3"/>
  <c r="E306" i="3"/>
  <c r="F306" i="3"/>
  <c r="G306" i="3"/>
  <c r="H306" i="3"/>
  <c r="I306" i="3"/>
  <c r="J306" i="3"/>
  <c r="K306" i="3"/>
  <c r="B307" i="3"/>
  <c r="C307" i="3"/>
  <c r="D307" i="3"/>
  <c r="E307" i="3"/>
  <c r="F307" i="3"/>
  <c r="G307" i="3"/>
  <c r="H307" i="3"/>
  <c r="I307" i="3"/>
  <c r="J307" i="3"/>
  <c r="K307" i="3"/>
  <c r="B308" i="3"/>
  <c r="C308" i="3"/>
  <c r="D308" i="3"/>
  <c r="E308" i="3"/>
  <c r="F308" i="3"/>
  <c r="G308" i="3"/>
  <c r="H308" i="3"/>
  <c r="I308" i="3"/>
  <c r="J308" i="3"/>
  <c r="K308" i="3"/>
  <c r="B309" i="3"/>
  <c r="C309" i="3"/>
  <c r="D309" i="3"/>
  <c r="E309" i="3"/>
  <c r="F309" i="3"/>
  <c r="G309" i="3"/>
  <c r="H309" i="3"/>
  <c r="I309" i="3"/>
  <c r="J309" i="3"/>
  <c r="K309" i="3"/>
  <c r="B310" i="3"/>
  <c r="C310" i="3"/>
  <c r="D310" i="3"/>
  <c r="E310" i="3"/>
  <c r="F310" i="3"/>
  <c r="G310" i="3"/>
  <c r="H310" i="3"/>
  <c r="I310" i="3"/>
  <c r="J310" i="3"/>
  <c r="K310" i="3"/>
  <c r="B311" i="3"/>
  <c r="C311" i="3"/>
  <c r="D311" i="3"/>
  <c r="E311" i="3"/>
  <c r="F311" i="3"/>
  <c r="G311" i="3"/>
  <c r="H311" i="3"/>
  <c r="I311" i="3"/>
  <c r="J311" i="3"/>
  <c r="K311" i="3"/>
  <c r="B312" i="3"/>
  <c r="C312" i="3"/>
  <c r="D312" i="3"/>
  <c r="E312" i="3"/>
  <c r="F312" i="3"/>
  <c r="G312" i="3"/>
  <c r="H312" i="3"/>
  <c r="I312" i="3"/>
  <c r="J312" i="3"/>
  <c r="K312" i="3"/>
  <c r="B313" i="3"/>
  <c r="C313" i="3"/>
  <c r="D313" i="3"/>
  <c r="E313" i="3"/>
  <c r="F313" i="3"/>
  <c r="G313" i="3"/>
  <c r="H313" i="3"/>
  <c r="I313" i="3"/>
  <c r="J313" i="3"/>
  <c r="K313" i="3"/>
  <c r="B314" i="3"/>
  <c r="C314" i="3"/>
  <c r="D314" i="3"/>
  <c r="E314" i="3"/>
  <c r="F314" i="3"/>
  <c r="G314" i="3"/>
  <c r="H314" i="3"/>
  <c r="I314" i="3"/>
  <c r="J314" i="3"/>
  <c r="K314" i="3"/>
  <c r="B315" i="3"/>
  <c r="C315" i="3"/>
  <c r="D315" i="3"/>
  <c r="E315" i="3"/>
  <c r="F315" i="3"/>
  <c r="G315" i="3"/>
  <c r="H315" i="3"/>
  <c r="I315" i="3"/>
  <c r="J315" i="3"/>
  <c r="K315" i="3"/>
  <c r="B316" i="3"/>
  <c r="C316" i="3"/>
  <c r="D316" i="3"/>
  <c r="E316" i="3"/>
  <c r="F316" i="3"/>
  <c r="G316" i="3"/>
  <c r="H316" i="3"/>
  <c r="I316" i="3"/>
  <c r="J316" i="3"/>
  <c r="K316" i="3"/>
  <c r="B317" i="3"/>
  <c r="C317" i="3"/>
  <c r="D317" i="3"/>
  <c r="E317" i="3"/>
  <c r="F317" i="3"/>
  <c r="G317" i="3"/>
  <c r="H317" i="3"/>
  <c r="I317" i="3"/>
  <c r="J317" i="3"/>
  <c r="K317" i="3"/>
  <c r="B318" i="3"/>
  <c r="C318" i="3"/>
  <c r="D318" i="3"/>
  <c r="E318" i="3"/>
  <c r="F318" i="3"/>
  <c r="G318" i="3"/>
  <c r="H318" i="3"/>
  <c r="I318" i="3"/>
  <c r="J318" i="3"/>
  <c r="K318" i="3"/>
  <c r="B319" i="3"/>
  <c r="C319" i="3"/>
  <c r="D319" i="3"/>
  <c r="E319" i="3"/>
  <c r="F319" i="3"/>
  <c r="G319" i="3"/>
  <c r="H319" i="3"/>
  <c r="I319" i="3"/>
  <c r="J319" i="3"/>
  <c r="K319" i="3"/>
  <c r="B320" i="3"/>
  <c r="C320" i="3"/>
  <c r="D320" i="3"/>
  <c r="E320" i="3"/>
  <c r="F320" i="3"/>
  <c r="G320" i="3"/>
  <c r="H320" i="3"/>
  <c r="I320" i="3"/>
  <c r="J320" i="3"/>
  <c r="K320" i="3"/>
  <c r="B321" i="3"/>
  <c r="C321" i="3"/>
  <c r="D321" i="3"/>
  <c r="E321" i="3"/>
  <c r="F321" i="3"/>
  <c r="G321" i="3"/>
  <c r="H321" i="3"/>
  <c r="I321" i="3"/>
  <c r="J321" i="3"/>
  <c r="K321" i="3"/>
  <c r="B322" i="3"/>
  <c r="C322" i="3"/>
  <c r="D322" i="3"/>
  <c r="E322" i="3"/>
  <c r="F322" i="3"/>
  <c r="G322" i="3"/>
  <c r="H322" i="3"/>
  <c r="I322" i="3"/>
  <c r="J322" i="3"/>
  <c r="K322" i="3"/>
  <c r="B323" i="3"/>
  <c r="C323" i="3"/>
  <c r="D323" i="3"/>
  <c r="E323" i="3"/>
  <c r="F323" i="3"/>
  <c r="G323" i="3"/>
  <c r="H323" i="3"/>
  <c r="I323" i="3"/>
  <c r="J323" i="3"/>
  <c r="K323" i="3"/>
  <c r="B324" i="3"/>
  <c r="C324" i="3"/>
  <c r="D324" i="3"/>
  <c r="E324" i="3"/>
  <c r="F324" i="3"/>
  <c r="G324" i="3"/>
  <c r="H324" i="3"/>
  <c r="I324" i="3"/>
  <c r="J324" i="3"/>
  <c r="K324" i="3"/>
  <c r="B325" i="3"/>
  <c r="C325" i="3"/>
  <c r="D325" i="3"/>
  <c r="E325" i="3"/>
  <c r="F325" i="3"/>
  <c r="G325" i="3"/>
  <c r="H325" i="3"/>
  <c r="I325" i="3"/>
  <c r="J325" i="3"/>
  <c r="K325" i="3"/>
  <c r="B326" i="3"/>
  <c r="C326" i="3"/>
  <c r="D326" i="3"/>
  <c r="E326" i="3"/>
  <c r="F326" i="3"/>
  <c r="G326" i="3"/>
  <c r="H326" i="3"/>
  <c r="I326" i="3"/>
  <c r="J326" i="3"/>
  <c r="K326" i="3"/>
  <c r="B327" i="3"/>
  <c r="C327" i="3"/>
  <c r="D327" i="3"/>
  <c r="E327" i="3"/>
  <c r="F327" i="3"/>
  <c r="G327" i="3"/>
  <c r="H327" i="3"/>
  <c r="I327" i="3"/>
  <c r="J327" i="3"/>
  <c r="K327" i="3"/>
  <c r="B328" i="3"/>
  <c r="C328" i="3"/>
  <c r="D328" i="3"/>
  <c r="E328" i="3"/>
  <c r="F328" i="3"/>
  <c r="G328" i="3"/>
  <c r="H328" i="3"/>
  <c r="I328" i="3"/>
  <c r="J328" i="3"/>
  <c r="K328" i="3"/>
  <c r="B329" i="3"/>
  <c r="C329" i="3"/>
  <c r="D329" i="3"/>
  <c r="E329" i="3"/>
  <c r="F329" i="3"/>
  <c r="G329" i="3"/>
  <c r="H329" i="3"/>
  <c r="I329" i="3"/>
  <c r="J329" i="3"/>
  <c r="K329" i="3"/>
  <c r="B330" i="3"/>
  <c r="C330" i="3"/>
  <c r="D330" i="3"/>
  <c r="E330" i="3"/>
  <c r="F330" i="3"/>
  <c r="G330" i="3"/>
  <c r="H330" i="3"/>
  <c r="I330" i="3"/>
  <c r="J330" i="3"/>
  <c r="K330" i="3"/>
  <c r="B331" i="3"/>
  <c r="C331" i="3"/>
  <c r="D331" i="3"/>
  <c r="E331" i="3"/>
  <c r="F331" i="3"/>
  <c r="G331" i="3"/>
  <c r="H331" i="3"/>
  <c r="I331" i="3"/>
  <c r="J331" i="3"/>
  <c r="K331" i="3"/>
  <c r="B332" i="3"/>
  <c r="C332" i="3"/>
  <c r="D332" i="3"/>
  <c r="E332" i="3"/>
  <c r="F332" i="3"/>
  <c r="G332" i="3"/>
  <c r="H332" i="3"/>
  <c r="I332" i="3"/>
  <c r="J332" i="3"/>
  <c r="K332" i="3"/>
  <c r="B333" i="3"/>
  <c r="C333" i="3"/>
  <c r="D333" i="3"/>
  <c r="E333" i="3"/>
  <c r="F333" i="3"/>
  <c r="G333" i="3"/>
  <c r="H333" i="3"/>
  <c r="I333" i="3"/>
  <c r="J333" i="3"/>
  <c r="K333" i="3"/>
  <c r="B334" i="3"/>
  <c r="C334" i="3"/>
  <c r="D334" i="3"/>
  <c r="E334" i="3"/>
  <c r="F334" i="3"/>
  <c r="G334" i="3"/>
  <c r="H334" i="3"/>
  <c r="I334" i="3"/>
  <c r="J334" i="3"/>
  <c r="K334" i="3"/>
  <c r="B335" i="3"/>
  <c r="C335" i="3"/>
  <c r="D335" i="3"/>
  <c r="E335" i="3"/>
  <c r="F335" i="3"/>
  <c r="G335" i="3"/>
  <c r="H335" i="3"/>
  <c r="I335" i="3"/>
  <c r="J335" i="3"/>
  <c r="K335" i="3"/>
  <c r="B336" i="3"/>
  <c r="C336" i="3"/>
  <c r="D336" i="3"/>
  <c r="E336" i="3"/>
  <c r="F336" i="3"/>
  <c r="G336" i="3"/>
  <c r="H336" i="3"/>
  <c r="I336" i="3"/>
  <c r="J336" i="3"/>
  <c r="K336" i="3"/>
  <c r="B337" i="3"/>
  <c r="C337" i="3"/>
  <c r="D337" i="3"/>
  <c r="E337" i="3"/>
  <c r="F337" i="3"/>
  <c r="G337" i="3"/>
  <c r="H337" i="3"/>
  <c r="I337" i="3"/>
  <c r="J337" i="3"/>
  <c r="K337" i="3"/>
  <c r="B338" i="3"/>
  <c r="C338" i="3"/>
  <c r="D338" i="3"/>
  <c r="E338" i="3"/>
  <c r="F338" i="3"/>
  <c r="G338" i="3"/>
  <c r="H338" i="3"/>
  <c r="I338" i="3"/>
  <c r="J338" i="3"/>
  <c r="K338" i="3"/>
  <c r="B339" i="3"/>
  <c r="C339" i="3"/>
  <c r="D339" i="3"/>
  <c r="E339" i="3"/>
  <c r="F339" i="3"/>
  <c r="G339" i="3"/>
  <c r="H339" i="3"/>
  <c r="I339" i="3"/>
  <c r="J339" i="3"/>
  <c r="K339" i="3"/>
  <c r="B340" i="3"/>
  <c r="C340" i="3"/>
  <c r="D340" i="3"/>
  <c r="E340" i="3"/>
  <c r="F340" i="3"/>
  <c r="G340" i="3"/>
  <c r="H340" i="3"/>
  <c r="I340" i="3"/>
  <c r="J340" i="3"/>
  <c r="K340" i="3"/>
  <c r="B341" i="3"/>
  <c r="C341" i="3"/>
  <c r="D341" i="3"/>
  <c r="E341" i="3"/>
  <c r="F341" i="3"/>
  <c r="G341" i="3"/>
  <c r="H341" i="3"/>
  <c r="I341" i="3"/>
  <c r="J341" i="3"/>
  <c r="K341" i="3"/>
  <c r="B342" i="3"/>
  <c r="C342" i="3"/>
  <c r="D342" i="3"/>
  <c r="E342" i="3"/>
  <c r="F342" i="3"/>
  <c r="G342" i="3"/>
  <c r="H342" i="3"/>
  <c r="I342" i="3"/>
  <c r="J342" i="3"/>
  <c r="K342" i="3"/>
  <c r="B343" i="3"/>
  <c r="C343" i="3"/>
  <c r="D343" i="3"/>
  <c r="E343" i="3"/>
  <c r="F343" i="3"/>
  <c r="G343" i="3"/>
  <c r="H343" i="3"/>
  <c r="I343" i="3"/>
  <c r="J343" i="3"/>
  <c r="K343" i="3"/>
  <c r="B344" i="3"/>
  <c r="C344" i="3"/>
  <c r="D344" i="3"/>
  <c r="E344" i="3"/>
  <c r="F344" i="3"/>
  <c r="G344" i="3"/>
  <c r="H344" i="3"/>
  <c r="I344" i="3"/>
  <c r="J344" i="3"/>
  <c r="K344" i="3"/>
  <c r="B345" i="3"/>
  <c r="C345" i="3"/>
  <c r="D345" i="3"/>
  <c r="E345" i="3"/>
  <c r="F345" i="3"/>
  <c r="G345" i="3"/>
  <c r="H345" i="3"/>
  <c r="I345" i="3"/>
  <c r="J345" i="3"/>
  <c r="K345" i="3"/>
  <c r="B346" i="3"/>
  <c r="C346" i="3"/>
  <c r="D346" i="3"/>
  <c r="E346" i="3"/>
  <c r="F346" i="3"/>
  <c r="G346" i="3"/>
  <c r="H346" i="3"/>
  <c r="I346" i="3"/>
  <c r="J346" i="3"/>
  <c r="K346" i="3"/>
  <c r="B347" i="3"/>
  <c r="C347" i="3"/>
  <c r="D347" i="3"/>
  <c r="E347" i="3"/>
  <c r="F347" i="3"/>
  <c r="G347" i="3"/>
  <c r="H347" i="3"/>
  <c r="I347" i="3"/>
  <c r="J347" i="3"/>
  <c r="K347" i="3"/>
  <c r="B348" i="3"/>
  <c r="C348" i="3"/>
  <c r="D348" i="3"/>
  <c r="E348" i="3"/>
  <c r="F348" i="3"/>
  <c r="G348" i="3"/>
  <c r="H348" i="3"/>
  <c r="I348" i="3"/>
  <c r="J348" i="3"/>
  <c r="K348" i="3"/>
  <c r="B349" i="3"/>
  <c r="C349" i="3"/>
  <c r="D349" i="3"/>
  <c r="E349" i="3"/>
  <c r="F349" i="3"/>
  <c r="G349" i="3"/>
  <c r="H349" i="3"/>
  <c r="I349" i="3"/>
  <c r="J349" i="3"/>
  <c r="K349" i="3"/>
  <c r="B350" i="3"/>
  <c r="C350" i="3"/>
  <c r="D350" i="3"/>
  <c r="E350" i="3"/>
  <c r="F350" i="3"/>
  <c r="G350" i="3"/>
  <c r="H350" i="3"/>
  <c r="I350" i="3"/>
  <c r="J350" i="3"/>
  <c r="K350" i="3"/>
  <c r="B351" i="3"/>
  <c r="C351" i="3"/>
  <c r="D351" i="3"/>
  <c r="E351" i="3"/>
  <c r="F351" i="3"/>
  <c r="G351" i="3"/>
  <c r="H351" i="3"/>
  <c r="I351" i="3"/>
  <c r="J351" i="3"/>
  <c r="K351" i="3"/>
  <c r="B352" i="3"/>
  <c r="C352" i="3"/>
  <c r="D352" i="3"/>
  <c r="E352" i="3"/>
  <c r="F352" i="3"/>
  <c r="G352" i="3"/>
  <c r="H352" i="3"/>
  <c r="I352" i="3"/>
  <c r="J352" i="3"/>
  <c r="K352" i="3"/>
  <c r="B353" i="3"/>
  <c r="C353" i="3"/>
  <c r="D353" i="3"/>
  <c r="E353" i="3"/>
  <c r="F353" i="3"/>
  <c r="G353" i="3"/>
  <c r="H353" i="3"/>
  <c r="I353" i="3"/>
  <c r="J353" i="3"/>
  <c r="K353" i="3"/>
  <c r="B354" i="3"/>
  <c r="C354" i="3"/>
  <c r="D354" i="3"/>
  <c r="E354" i="3"/>
  <c r="F354" i="3"/>
  <c r="G354" i="3"/>
  <c r="H354" i="3"/>
  <c r="I354" i="3"/>
  <c r="J354" i="3"/>
  <c r="K354" i="3"/>
  <c r="B355" i="3"/>
  <c r="C355" i="3"/>
  <c r="D355" i="3"/>
  <c r="E355" i="3"/>
  <c r="F355" i="3"/>
  <c r="G355" i="3"/>
  <c r="H355" i="3"/>
  <c r="I355" i="3"/>
  <c r="J355" i="3"/>
  <c r="K355" i="3"/>
  <c r="B356" i="3"/>
  <c r="C356" i="3"/>
  <c r="D356" i="3"/>
  <c r="E356" i="3"/>
  <c r="F356" i="3"/>
  <c r="G356" i="3"/>
  <c r="H356" i="3"/>
  <c r="I356" i="3"/>
  <c r="J356" i="3"/>
  <c r="K356" i="3"/>
  <c r="B357" i="3"/>
  <c r="C357" i="3"/>
  <c r="D357" i="3"/>
  <c r="E357" i="3"/>
  <c r="F357" i="3"/>
  <c r="G357" i="3"/>
  <c r="H357" i="3"/>
  <c r="I357" i="3"/>
  <c r="J357" i="3"/>
  <c r="K357" i="3"/>
  <c r="B358" i="3"/>
  <c r="C358" i="3"/>
  <c r="D358" i="3"/>
  <c r="E358" i="3"/>
  <c r="F358" i="3"/>
  <c r="G358" i="3"/>
  <c r="H358" i="3"/>
  <c r="I358" i="3"/>
  <c r="J358" i="3"/>
  <c r="K358" i="3"/>
  <c r="B359" i="3"/>
  <c r="C359" i="3"/>
  <c r="D359" i="3"/>
  <c r="E359" i="3"/>
  <c r="F359" i="3"/>
  <c r="G359" i="3"/>
  <c r="H359" i="3"/>
  <c r="I359" i="3"/>
  <c r="J359" i="3"/>
  <c r="K359" i="3"/>
  <c r="B360" i="3"/>
  <c r="C360" i="3"/>
  <c r="D360" i="3"/>
  <c r="E360" i="3"/>
  <c r="F360" i="3"/>
  <c r="G360" i="3"/>
  <c r="H360" i="3"/>
  <c r="I360" i="3"/>
  <c r="J360" i="3"/>
  <c r="K360" i="3"/>
  <c r="B361" i="3"/>
  <c r="C361" i="3"/>
  <c r="D361" i="3"/>
  <c r="E361" i="3"/>
  <c r="F361" i="3"/>
  <c r="G361" i="3"/>
  <c r="H361" i="3"/>
  <c r="I361" i="3"/>
  <c r="J361" i="3"/>
  <c r="K361" i="3"/>
  <c r="B362" i="3"/>
  <c r="C362" i="3"/>
  <c r="D362" i="3"/>
  <c r="E362" i="3"/>
  <c r="F362" i="3"/>
  <c r="G362" i="3"/>
  <c r="H362" i="3"/>
  <c r="I362" i="3"/>
  <c r="J362" i="3"/>
  <c r="K362" i="3"/>
  <c r="B363" i="3"/>
  <c r="C363" i="3"/>
  <c r="D363" i="3"/>
  <c r="E363" i="3"/>
  <c r="F363" i="3"/>
  <c r="G363" i="3"/>
  <c r="H363" i="3"/>
  <c r="I363" i="3"/>
  <c r="J363" i="3"/>
  <c r="K363" i="3"/>
  <c r="B364" i="3"/>
  <c r="C364" i="3"/>
  <c r="D364" i="3"/>
  <c r="E364" i="3"/>
  <c r="F364" i="3"/>
  <c r="G364" i="3"/>
  <c r="H364" i="3"/>
  <c r="I364" i="3"/>
  <c r="J364" i="3"/>
  <c r="K364" i="3"/>
  <c r="B365" i="3"/>
  <c r="C365" i="3"/>
  <c r="D365" i="3"/>
  <c r="E365" i="3"/>
  <c r="F365" i="3"/>
  <c r="G365" i="3"/>
  <c r="H365" i="3"/>
  <c r="I365" i="3"/>
  <c r="J365" i="3"/>
  <c r="K365" i="3"/>
  <c r="B366" i="3"/>
  <c r="C366" i="3"/>
  <c r="D366" i="3"/>
  <c r="E366" i="3"/>
  <c r="F366" i="3"/>
  <c r="G366" i="3"/>
  <c r="H366" i="3"/>
  <c r="I366" i="3"/>
  <c r="J366" i="3"/>
  <c r="K366" i="3"/>
  <c r="B367" i="3"/>
  <c r="C367" i="3"/>
  <c r="D367" i="3"/>
  <c r="E367" i="3"/>
  <c r="F367" i="3"/>
  <c r="G367" i="3"/>
  <c r="H367" i="3"/>
  <c r="I367" i="3"/>
  <c r="J367" i="3"/>
  <c r="K367" i="3"/>
  <c r="B368" i="3"/>
  <c r="C368" i="3"/>
  <c r="D368" i="3"/>
  <c r="E368" i="3"/>
  <c r="F368" i="3"/>
  <c r="G368" i="3"/>
  <c r="H368" i="3"/>
  <c r="I368" i="3"/>
  <c r="J368" i="3"/>
  <c r="K368" i="3"/>
  <c r="B369" i="3"/>
  <c r="C369" i="3"/>
  <c r="D369" i="3"/>
  <c r="E369" i="3"/>
  <c r="F369" i="3"/>
  <c r="G369" i="3"/>
  <c r="H369" i="3"/>
  <c r="I369" i="3"/>
  <c r="J369" i="3"/>
  <c r="K369" i="3"/>
  <c r="B370" i="3"/>
  <c r="C370" i="3"/>
  <c r="D370" i="3"/>
  <c r="E370" i="3"/>
  <c r="F370" i="3"/>
  <c r="G370" i="3"/>
  <c r="H370" i="3"/>
  <c r="I370" i="3"/>
  <c r="J370" i="3"/>
  <c r="K370" i="3"/>
  <c r="B371" i="3"/>
  <c r="C371" i="3"/>
  <c r="D371" i="3"/>
  <c r="E371" i="3"/>
  <c r="F371" i="3"/>
  <c r="G371" i="3"/>
  <c r="H371" i="3"/>
  <c r="I371" i="3"/>
  <c r="J371" i="3"/>
  <c r="K371" i="3"/>
  <c r="B372" i="3"/>
  <c r="C372" i="3"/>
  <c r="D372" i="3"/>
  <c r="E372" i="3"/>
  <c r="F372" i="3"/>
  <c r="G372" i="3"/>
  <c r="H372" i="3"/>
  <c r="I372" i="3"/>
  <c r="J372" i="3"/>
  <c r="K372" i="3"/>
  <c r="B373" i="3"/>
  <c r="C373" i="3"/>
  <c r="D373" i="3"/>
  <c r="E373" i="3"/>
  <c r="F373" i="3"/>
  <c r="G373" i="3"/>
  <c r="H373" i="3"/>
  <c r="I373" i="3"/>
  <c r="J373" i="3"/>
  <c r="K373" i="3"/>
  <c r="B374" i="3"/>
  <c r="C374" i="3"/>
  <c r="D374" i="3"/>
  <c r="E374" i="3"/>
  <c r="F374" i="3"/>
  <c r="G374" i="3"/>
  <c r="H374" i="3"/>
  <c r="I374" i="3"/>
  <c r="J374" i="3"/>
  <c r="K374" i="3"/>
  <c r="B375" i="3"/>
  <c r="C375" i="3"/>
  <c r="D375" i="3"/>
  <c r="E375" i="3"/>
  <c r="F375" i="3"/>
  <c r="G375" i="3"/>
  <c r="H375" i="3"/>
  <c r="I375" i="3"/>
  <c r="J375" i="3"/>
  <c r="K375" i="3"/>
  <c r="B376" i="3"/>
  <c r="C376" i="3"/>
  <c r="D376" i="3"/>
  <c r="E376" i="3"/>
  <c r="F376" i="3"/>
  <c r="G376" i="3"/>
  <c r="H376" i="3"/>
  <c r="I376" i="3"/>
  <c r="J376" i="3"/>
  <c r="K376" i="3"/>
  <c r="B377" i="3"/>
  <c r="C377" i="3"/>
  <c r="D377" i="3"/>
  <c r="E377" i="3"/>
  <c r="F377" i="3"/>
  <c r="G377" i="3"/>
  <c r="H377" i="3"/>
  <c r="I377" i="3"/>
  <c r="J377" i="3"/>
  <c r="K377" i="3"/>
  <c r="B378" i="3"/>
  <c r="C378" i="3"/>
  <c r="D378" i="3"/>
  <c r="E378" i="3"/>
  <c r="F378" i="3"/>
  <c r="G378" i="3"/>
  <c r="H378" i="3"/>
  <c r="I378" i="3"/>
  <c r="J378" i="3"/>
  <c r="K378" i="3"/>
  <c r="B379" i="3"/>
  <c r="C379" i="3"/>
  <c r="D379" i="3"/>
  <c r="E379" i="3"/>
  <c r="F379" i="3"/>
  <c r="G379" i="3"/>
  <c r="H379" i="3"/>
  <c r="I379" i="3"/>
  <c r="J379" i="3"/>
  <c r="K379" i="3"/>
  <c r="B380" i="3"/>
  <c r="C380" i="3"/>
  <c r="D380" i="3"/>
  <c r="E380" i="3"/>
  <c r="F380" i="3"/>
  <c r="G380" i="3"/>
  <c r="H380" i="3"/>
  <c r="I380" i="3"/>
  <c r="J380" i="3"/>
  <c r="K380" i="3"/>
  <c r="B381" i="3"/>
  <c r="C381" i="3"/>
  <c r="D381" i="3"/>
  <c r="E381" i="3"/>
  <c r="F381" i="3"/>
  <c r="G381" i="3"/>
  <c r="H381" i="3"/>
  <c r="I381" i="3"/>
  <c r="J381" i="3"/>
  <c r="K381" i="3"/>
  <c r="B382" i="3"/>
  <c r="C382" i="3"/>
  <c r="D382" i="3"/>
  <c r="E382" i="3"/>
  <c r="F382" i="3"/>
  <c r="G382" i="3"/>
  <c r="H382" i="3"/>
  <c r="I382" i="3"/>
  <c r="J382" i="3"/>
  <c r="K382" i="3"/>
  <c r="B383" i="3"/>
  <c r="C383" i="3"/>
  <c r="D383" i="3"/>
  <c r="E383" i="3"/>
  <c r="F383" i="3"/>
  <c r="G383" i="3"/>
  <c r="H383" i="3"/>
  <c r="I383" i="3"/>
  <c r="J383" i="3"/>
  <c r="K383" i="3"/>
  <c r="B384" i="3"/>
  <c r="C384" i="3"/>
  <c r="D384" i="3"/>
  <c r="E384" i="3"/>
  <c r="F384" i="3"/>
  <c r="G384" i="3"/>
  <c r="H384" i="3"/>
  <c r="I384" i="3"/>
  <c r="J384" i="3"/>
  <c r="K384" i="3"/>
  <c r="B385" i="3"/>
  <c r="C385" i="3"/>
  <c r="D385" i="3"/>
  <c r="E385" i="3"/>
  <c r="F385" i="3"/>
  <c r="G385" i="3"/>
  <c r="H385" i="3"/>
  <c r="I385" i="3"/>
  <c r="J385" i="3"/>
  <c r="K385" i="3"/>
  <c r="B386" i="3"/>
  <c r="C386" i="3"/>
  <c r="D386" i="3"/>
  <c r="E386" i="3"/>
  <c r="F386" i="3"/>
  <c r="G386" i="3"/>
  <c r="H386" i="3"/>
  <c r="I386" i="3"/>
  <c r="J386" i="3"/>
  <c r="K386" i="3"/>
  <c r="B387" i="3"/>
  <c r="C387" i="3"/>
  <c r="D387" i="3"/>
  <c r="E387" i="3"/>
  <c r="F387" i="3"/>
  <c r="G387" i="3"/>
  <c r="H387" i="3"/>
  <c r="I387" i="3"/>
  <c r="J387" i="3"/>
  <c r="K387" i="3"/>
  <c r="B388" i="3"/>
  <c r="C388" i="3"/>
  <c r="D388" i="3"/>
  <c r="E388" i="3"/>
  <c r="F388" i="3"/>
  <c r="G388" i="3"/>
  <c r="H388" i="3"/>
  <c r="I388" i="3"/>
  <c r="J388" i="3"/>
  <c r="K388" i="3"/>
  <c r="B389" i="3"/>
  <c r="C389" i="3"/>
  <c r="D389" i="3"/>
  <c r="E389" i="3"/>
  <c r="F389" i="3"/>
  <c r="G389" i="3"/>
  <c r="H389" i="3"/>
  <c r="I389" i="3"/>
  <c r="J389" i="3"/>
  <c r="K389" i="3"/>
  <c r="B390" i="3"/>
  <c r="C390" i="3"/>
  <c r="D390" i="3"/>
  <c r="E390" i="3"/>
  <c r="F390" i="3"/>
  <c r="G390" i="3"/>
  <c r="H390" i="3"/>
  <c r="I390" i="3"/>
  <c r="J390" i="3"/>
  <c r="K390" i="3"/>
  <c r="B391" i="3"/>
  <c r="C391" i="3"/>
  <c r="D391" i="3"/>
  <c r="E391" i="3"/>
  <c r="F391" i="3"/>
  <c r="G391" i="3"/>
  <c r="H391" i="3"/>
  <c r="I391" i="3"/>
  <c r="J391" i="3"/>
  <c r="K391" i="3"/>
  <c r="B392" i="3"/>
  <c r="C392" i="3"/>
  <c r="D392" i="3"/>
  <c r="E392" i="3"/>
  <c r="F392" i="3"/>
  <c r="G392" i="3"/>
  <c r="H392" i="3"/>
  <c r="I392" i="3"/>
  <c r="J392" i="3"/>
  <c r="K392" i="3"/>
  <c r="B393" i="3"/>
  <c r="C393" i="3"/>
  <c r="D393" i="3"/>
  <c r="E393" i="3"/>
  <c r="F393" i="3"/>
  <c r="G393" i="3"/>
  <c r="H393" i="3"/>
  <c r="I393" i="3"/>
  <c r="J393" i="3"/>
  <c r="K393" i="3"/>
  <c r="B394" i="3"/>
  <c r="C394" i="3"/>
  <c r="D394" i="3"/>
  <c r="E394" i="3"/>
  <c r="F394" i="3"/>
  <c r="G394" i="3"/>
  <c r="H394" i="3"/>
  <c r="I394" i="3"/>
  <c r="J394" i="3"/>
  <c r="K394" i="3"/>
  <c r="B395" i="3"/>
  <c r="C395" i="3"/>
  <c r="D395" i="3"/>
  <c r="E395" i="3"/>
  <c r="F395" i="3"/>
  <c r="G395" i="3"/>
  <c r="H395" i="3"/>
  <c r="I395" i="3"/>
  <c r="J395" i="3"/>
  <c r="K395" i="3"/>
  <c r="B396" i="3"/>
  <c r="C396" i="3"/>
  <c r="D396" i="3"/>
  <c r="E396" i="3"/>
  <c r="F396" i="3"/>
  <c r="G396" i="3"/>
  <c r="H396" i="3"/>
  <c r="I396" i="3"/>
  <c r="J396" i="3"/>
  <c r="K396" i="3"/>
  <c r="B397" i="3"/>
  <c r="C397" i="3"/>
  <c r="D397" i="3"/>
  <c r="E397" i="3"/>
  <c r="F397" i="3"/>
  <c r="G397" i="3"/>
  <c r="H397" i="3"/>
  <c r="I397" i="3"/>
  <c r="J397" i="3"/>
  <c r="K397" i="3"/>
  <c r="B398" i="3"/>
  <c r="C398" i="3"/>
  <c r="D398" i="3"/>
  <c r="E398" i="3"/>
  <c r="F398" i="3"/>
  <c r="G398" i="3"/>
  <c r="H398" i="3"/>
  <c r="I398" i="3"/>
  <c r="J398" i="3"/>
  <c r="K398" i="3"/>
  <c r="B399" i="3"/>
  <c r="C399" i="3"/>
  <c r="D399" i="3"/>
  <c r="E399" i="3"/>
  <c r="F399" i="3"/>
  <c r="G399" i="3"/>
  <c r="H399" i="3"/>
  <c r="I399" i="3"/>
  <c r="J399" i="3"/>
  <c r="K399" i="3"/>
  <c r="B400" i="3"/>
  <c r="C400" i="3"/>
  <c r="D400" i="3"/>
  <c r="E400" i="3"/>
  <c r="F400" i="3"/>
  <c r="G400" i="3"/>
  <c r="H400" i="3"/>
  <c r="I400" i="3"/>
  <c r="J400" i="3"/>
  <c r="K400" i="3"/>
  <c r="B401" i="3"/>
  <c r="C401" i="3"/>
  <c r="D401" i="3"/>
  <c r="E401" i="3"/>
  <c r="F401" i="3"/>
  <c r="G401" i="3"/>
  <c r="H401" i="3"/>
  <c r="I401" i="3"/>
  <c r="J401" i="3"/>
  <c r="K401" i="3"/>
  <c r="B402" i="3"/>
  <c r="C402" i="3"/>
  <c r="D402" i="3"/>
  <c r="E402" i="3"/>
  <c r="F402" i="3"/>
  <c r="G402" i="3"/>
  <c r="H402" i="3"/>
  <c r="I402" i="3"/>
  <c r="J402" i="3"/>
  <c r="K402" i="3"/>
  <c r="B403" i="3"/>
  <c r="C403" i="3"/>
  <c r="D403" i="3"/>
  <c r="E403" i="3"/>
  <c r="F403" i="3"/>
  <c r="G403" i="3"/>
  <c r="H403" i="3"/>
  <c r="I403" i="3"/>
  <c r="J403" i="3"/>
  <c r="K403" i="3"/>
  <c r="B404" i="3"/>
  <c r="C404" i="3"/>
  <c r="D404" i="3"/>
  <c r="E404" i="3"/>
  <c r="F404" i="3"/>
  <c r="G404" i="3"/>
  <c r="H404" i="3"/>
  <c r="I404" i="3"/>
  <c r="J404" i="3"/>
  <c r="K404" i="3"/>
  <c r="B405" i="3"/>
  <c r="C405" i="3"/>
  <c r="D405" i="3"/>
  <c r="E405" i="3"/>
  <c r="F405" i="3"/>
  <c r="G405" i="3"/>
  <c r="H405" i="3"/>
  <c r="I405" i="3"/>
  <c r="J405" i="3"/>
  <c r="K405" i="3"/>
  <c r="B406" i="3"/>
  <c r="C406" i="3"/>
  <c r="D406" i="3"/>
  <c r="E406" i="3"/>
  <c r="F406" i="3"/>
  <c r="G406" i="3"/>
  <c r="H406" i="3"/>
  <c r="I406" i="3"/>
  <c r="J406" i="3"/>
  <c r="K406" i="3"/>
  <c r="B407" i="3"/>
  <c r="C407" i="3"/>
  <c r="D407" i="3"/>
  <c r="E407" i="3"/>
  <c r="F407" i="3"/>
  <c r="G407" i="3"/>
  <c r="H407" i="3"/>
  <c r="I407" i="3"/>
  <c r="J407" i="3"/>
  <c r="K407" i="3"/>
  <c r="B408" i="3"/>
  <c r="C408" i="3"/>
  <c r="D408" i="3"/>
  <c r="E408" i="3"/>
  <c r="F408" i="3"/>
  <c r="G408" i="3"/>
  <c r="H408" i="3"/>
  <c r="I408" i="3"/>
  <c r="J408" i="3"/>
  <c r="K408" i="3"/>
  <c r="B409" i="3"/>
  <c r="C409" i="3"/>
  <c r="D409" i="3"/>
  <c r="E409" i="3"/>
  <c r="F409" i="3"/>
  <c r="G409" i="3"/>
  <c r="H409" i="3"/>
  <c r="I409" i="3"/>
  <c r="J409" i="3"/>
  <c r="K409" i="3"/>
  <c r="B410" i="3"/>
  <c r="C410" i="3"/>
  <c r="D410" i="3"/>
  <c r="E410" i="3"/>
  <c r="F410" i="3"/>
  <c r="G410" i="3"/>
  <c r="H410" i="3"/>
  <c r="I410" i="3"/>
  <c r="J410" i="3"/>
  <c r="K410" i="3"/>
  <c r="B411" i="3"/>
  <c r="C411" i="3"/>
  <c r="D411" i="3"/>
  <c r="E411" i="3"/>
  <c r="F411" i="3"/>
  <c r="G411" i="3"/>
  <c r="H411" i="3"/>
  <c r="I411" i="3"/>
  <c r="J411" i="3"/>
  <c r="K411" i="3"/>
  <c r="B412" i="3"/>
  <c r="C412" i="3"/>
  <c r="D412" i="3"/>
  <c r="E412" i="3"/>
  <c r="F412" i="3"/>
  <c r="G412" i="3"/>
  <c r="H412" i="3"/>
  <c r="I412" i="3"/>
  <c r="J412" i="3"/>
  <c r="K412" i="3"/>
  <c r="B413" i="3"/>
  <c r="C413" i="3"/>
  <c r="D413" i="3"/>
  <c r="E413" i="3"/>
  <c r="F413" i="3"/>
  <c r="G413" i="3"/>
  <c r="H413" i="3"/>
  <c r="I413" i="3"/>
  <c r="J413" i="3"/>
  <c r="K413" i="3"/>
  <c r="B414" i="3"/>
  <c r="C414" i="3"/>
  <c r="D414" i="3"/>
  <c r="E414" i="3"/>
  <c r="F414" i="3"/>
  <c r="G414" i="3"/>
  <c r="H414" i="3"/>
  <c r="I414" i="3"/>
  <c r="J414" i="3"/>
  <c r="K414" i="3"/>
  <c r="B415" i="3"/>
  <c r="C415" i="3"/>
  <c r="D415" i="3"/>
  <c r="E415" i="3"/>
  <c r="F415" i="3"/>
  <c r="G415" i="3"/>
  <c r="H415" i="3"/>
  <c r="I415" i="3"/>
  <c r="J415" i="3"/>
  <c r="K415" i="3"/>
  <c r="B416" i="3"/>
  <c r="C416" i="3"/>
  <c r="D416" i="3"/>
  <c r="E416" i="3"/>
  <c r="F416" i="3"/>
  <c r="G416" i="3"/>
  <c r="H416" i="3"/>
  <c r="I416" i="3"/>
  <c r="J416" i="3"/>
  <c r="K416" i="3"/>
  <c r="B417" i="3"/>
  <c r="C417" i="3"/>
  <c r="D417" i="3"/>
  <c r="E417" i="3"/>
  <c r="F417" i="3"/>
  <c r="G417" i="3"/>
  <c r="H417" i="3"/>
  <c r="I417" i="3"/>
  <c r="J417" i="3"/>
  <c r="K417" i="3"/>
  <c r="B418" i="3"/>
  <c r="C418" i="3"/>
  <c r="D418" i="3"/>
  <c r="E418" i="3"/>
  <c r="F418" i="3"/>
  <c r="G418" i="3"/>
  <c r="H418" i="3"/>
  <c r="I418" i="3"/>
  <c r="J418" i="3"/>
  <c r="K418" i="3"/>
  <c r="B419" i="3"/>
  <c r="C419" i="3"/>
  <c r="D419" i="3"/>
  <c r="E419" i="3"/>
  <c r="F419" i="3"/>
  <c r="G419" i="3"/>
  <c r="H419" i="3"/>
  <c r="I419" i="3"/>
  <c r="J419" i="3"/>
  <c r="K419" i="3"/>
  <c r="B420" i="3"/>
  <c r="C420" i="3"/>
  <c r="D420" i="3"/>
  <c r="E420" i="3"/>
  <c r="F420" i="3"/>
  <c r="G420" i="3"/>
  <c r="H420" i="3"/>
  <c r="I420" i="3"/>
  <c r="J420" i="3"/>
  <c r="K420" i="3"/>
  <c r="B421" i="3"/>
  <c r="C421" i="3"/>
  <c r="D421" i="3"/>
  <c r="E421" i="3"/>
  <c r="F421" i="3"/>
  <c r="G421" i="3"/>
  <c r="H421" i="3"/>
  <c r="I421" i="3"/>
  <c r="J421" i="3"/>
  <c r="K421" i="3"/>
  <c r="B422" i="3"/>
  <c r="C422" i="3"/>
  <c r="D422" i="3"/>
  <c r="E422" i="3"/>
  <c r="F422" i="3"/>
  <c r="G422" i="3"/>
  <c r="H422" i="3"/>
  <c r="I422" i="3"/>
  <c r="J422" i="3"/>
  <c r="K422" i="3"/>
  <c r="B423" i="3"/>
  <c r="C423" i="3"/>
  <c r="D423" i="3"/>
  <c r="E423" i="3"/>
  <c r="F423" i="3"/>
  <c r="G423" i="3"/>
  <c r="H423" i="3"/>
  <c r="I423" i="3"/>
  <c r="J423" i="3"/>
  <c r="K423" i="3"/>
  <c r="B424" i="3"/>
  <c r="C424" i="3"/>
  <c r="D424" i="3"/>
  <c r="E424" i="3"/>
  <c r="F424" i="3"/>
  <c r="G424" i="3"/>
  <c r="H424" i="3"/>
  <c r="I424" i="3"/>
  <c r="J424" i="3"/>
  <c r="K424" i="3"/>
  <c r="B425" i="3"/>
  <c r="C425" i="3"/>
  <c r="D425" i="3"/>
  <c r="E425" i="3"/>
  <c r="F425" i="3"/>
  <c r="G425" i="3"/>
  <c r="H425" i="3"/>
  <c r="I425" i="3"/>
  <c r="J425" i="3"/>
  <c r="K425" i="3"/>
  <c r="B426" i="3"/>
  <c r="C426" i="3"/>
  <c r="D426" i="3"/>
  <c r="E426" i="3"/>
  <c r="F426" i="3"/>
  <c r="G426" i="3"/>
  <c r="H426" i="3"/>
  <c r="I426" i="3"/>
  <c r="J426" i="3"/>
  <c r="K426" i="3"/>
  <c r="B427" i="3"/>
  <c r="C427" i="3"/>
  <c r="D427" i="3"/>
  <c r="E427" i="3"/>
  <c r="F427" i="3"/>
  <c r="G427" i="3"/>
  <c r="H427" i="3"/>
  <c r="I427" i="3"/>
  <c r="J427" i="3"/>
  <c r="K427" i="3"/>
  <c r="B428" i="3"/>
  <c r="C428" i="3"/>
  <c r="D428" i="3"/>
  <c r="E428" i="3"/>
  <c r="F428" i="3"/>
  <c r="G428" i="3"/>
  <c r="H428" i="3"/>
  <c r="I428" i="3"/>
  <c r="J428" i="3"/>
  <c r="K428" i="3"/>
  <c r="B429" i="3"/>
  <c r="C429" i="3"/>
  <c r="D429" i="3"/>
  <c r="E429" i="3"/>
  <c r="F429" i="3"/>
  <c r="G429" i="3"/>
  <c r="H429" i="3"/>
  <c r="I429" i="3"/>
  <c r="J429" i="3"/>
  <c r="K429" i="3"/>
  <c r="B430" i="3"/>
  <c r="C430" i="3"/>
  <c r="D430" i="3"/>
  <c r="E430" i="3"/>
  <c r="F430" i="3"/>
  <c r="G430" i="3"/>
  <c r="H430" i="3"/>
  <c r="I430" i="3"/>
  <c r="J430" i="3"/>
  <c r="K430" i="3"/>
  <c r="B431" i="3"/>
  <c r="C431" i="3"/>
  <c r="D431" i="3"/>
  <c r="E431" i="3"/>
  <c r="F431" i="3"/>
  <c r="G431" i="3"/>
  <c r="H431" i="3"/>
  <c r="I431" i="3"/>
  <c r="J431" i="3"/>
  <c r="K431" i="3"/>
  <c r="B432" i="3"/>
  <c r="C432" i="3"/>
  <c r="D432" i="3"/>
  <c r="E432" i="3"/>
  <c r="F432" i="3"/>
  <c r="G432" i="3"/>
  <c r="H432" i="3"/>
  <c r="I432" i="3"/>
  <c r="J432" i="3"/>
  <c r="K432" i="3"/>
  <c r="B433" i="3"/>
  <c r="C433" i="3"/>
  <c r="D433" i="3"/>
  <c r="E433" i="3"/>
  <c r="F433" i="3"/>
  <c r="G433" i="3"/>
  <c r="H433" i="3"/>
  <c r="I433" i="3"/>
  <c r="J433" i="3"/>
  <c r="K433" i="3"/>
  <c r="B434" i="3"/>
  <c r="C434" i="3"/>
  <c r="D434" i="3"/>
  <c r="E434" i="3"/>
  <c r="F434" i="3"/>
  <c r="G434" i="3"/>
  <c r="H434" i="3"/>
  <c r="I434" i="3"/>
  <c r="J434" i="3"/>
  <c r="K434" i="3"/>
  <c r="B435" i="3"/>
  <c r="C435" i="3"/>
  <c r="D435" i="3"/>
  <c r="E435" i="3"/>
  <c r="F435" i="3"/>
  <c r="G435" i="3"/>
  <c r="H435" i="3"/>
  <c r="I435" i="3"/>
  <c r="J435" i="3"/>
  <c r="K435" i="3"/>
  <c r="B436" i="3"/>
  <c r="C436" i="3"/>
  <c r="D436" i="3"/>
  <c r="E436" i="3"/>
  <c r="F436" i="3"/>
  <c r="G436" i="3"/>
  <c r="H436" i="3"/>
  <c r="I436" i="3"/>
  <c r="J436" i="3"/>
  <c r="K436" i="3"/>
  <c r="B437" i="3"/>
  <c r="C437" i="3"/>
  <c r="D437" i="3"/>
  <c r="E437" i="3"/>
  <c r="F437" i="3"/>
  <c r="G437" i="3"/>
  <c r="H437" i="3"/>
  <c r="I437" i="3"/>
  <c r="J437" i="3"/>
  <c r="K437" i="3"/>
  <c r="B438" i="3"/>
  <c r="C438" i="3"/>
  <c r="D438" i="3"/>
  <c r="E438" i="3"/>
  <c r="F438" i="3"/>
  <c r="G438" i="3"/>
  <c r="H438" i="3"/>
  <c r="I438" i="3"/>
  <c r="J438" i="3"/>
  <c r="K438" i="3"/>
  <c r="B439" i="3"/>
  <c r="C439" i="3"/>
  <c r="D439" i="3"/>
  <c r="E439" i="3"/>
  <c r="F439" i="3"/>
  <c r="G439" i="3"/>
  <c r="H439" i="3"/>
  <c r="I439" i="3"/>
  <c r="J439" i="3"/>
  <c r="K439" i="3"/>
  <c r="B440" i="3"/>
  <c r="C440" i="3"/>
  <c r="D440" i="3"/>
  <c r="E440" i="3"/>
  <c r="F440" i="3"/>
  <c r="G440" i="3"/>
  <c r="H440" i="3"/>
  <c r="I440" i="3"/>
  <c r="J440" i="3"/>
  <c r="K440" i="3"/>
  <c r="B441" i="3"/>
  <c r="C441" i="3"/>
  <c r="D441" i="3"/>
  <c r="E441" i="3"/>
  <c r="F441" i="3"/>
  <c r="G441" i="3"/>
  <c r="H441" i="3"/>
  <c r="I441" i="3"/>
  <c r="J441" i="3"/>
  <c r="K441" i="3"/>
  <c r="B442" i="3"/>
  <c r="C442" i="3"/>
  <c r="D442" i="3"/>
  <c r="E442" i="3"/>
  <c r="F442" i="3"/>
  <c r="G442" i="3"/>
  <c r="H442" i="3"/>
  <c r="I442" i="3"/>
  <c r="J442" i="3"/>
  <c r="K442" i="3"/>
  <c r="B443" i="3"/>
  <c r="C443" i="3"/>
  <c r="D443" i="3"/>
  <c r="E443" i="3"/>
  <c r="F443" i="3"/>
  <c r="G443" i="3"/>
  <c r="H443" i="3"/>
  <c r="I443" i="3"/>
  <c r="J443" i="3"/>
  <c r="K443" i="3"/>
  <c r="B444" i="3"/>
  <c r="C444" i="3"/>
  <c r="D444" i="3"/>
  <c r="E444" i="3"/>
  <c r="F444" i="3"/>
  <c r="G444" i="3"/>
  <c r="H444" i="3"/>
  <c r="I444" i="3"/>
  <c r="J444" i="3"/>
  <c r="K444" i="3"/>
  <c r="B445" i="3"/>
  <c r="C445" i="3"/>
  <c r="D445" i="3"/>
  <c r="E445" i="3"/>
  <c r="F445" i="3"/>
  <c r="G445" i="3"/>
  <c r="H445" i="3"/>
  <c r="I445" i="3"/>
  <c r="J445" i="3"/>
  <c r="K445" i="3"/>
  <c r="B446" i="3"/>
  <c r="C446" i="3"/>
  <c r="D446" i="3"/>
  <c r="E446" i="3"/>
  <c r="F446" i="3"/>
  <c r="G446" i="3"/>
  <c r="H446" i="3"/>
  <c r="I446" i="3"/>
  <c r="J446" i="3"/>
  <c r="K446" i="3"/>
  <c r="B447" i="3"/>
  <c r="C447" i="3"/>
  <c r="D447" i="3"/>
  <c r="E447" i="3"/>
  <c r="F447" i="3"/>
  <c r="G447" i="3"/>
  <c r="H447" i="3"/>
  <c r="I447" i="3"/>
  <c r="J447" i="3"/>
  <c r="K447" i="3"/>
  <c r="B448" i="3"/>
  <c r="C448" i="3"/>
  <c r="D448" i="3"/>
  <c r="E448" i="3"/>
  <c r="F448" i="3"/>
  <c r="G448" i="3"/>
  <c r="H448" i="3"/>
  <c r="I448" i="3"/>
  <c r="J448" i="3"/>
  <c r="K448" i="3"/>
  <c r="B449" i="3"/>
  <c r="C449" i="3"/>
  <c r="D449" i="3"/>
  <c r="E449" i="3"/>
  <c r="F449" i="3"/>
  <c r="G449" i="3"/>
  <c r="H449" i="3"/>
  <c r="I449" i="3"/>
  <c r="J449" i="3"/>
  <c r="K449" i="3"/>
  <c r="B450" i="3"/>
  <c r="C450" i="3"/>
  <c r="D450" i="3"/>
  <c r="E450" i="3"/>
  <c r="F450" i="3"/>
  <c r="G450" i="3"/>
  <c r="H450" i="3"/>
  <c r="I450" i="3"/>
  <c r="J450" i="3"/>
  <c r="K450" i="3"/>
  <c r="B451" i="3"/>
  <c r="C451" i="3"/>
  <c r="D451" i="3"/>
  <c r="E451" i="3"/>
  <c r="F451" i="3"/>
  <c r="G451" i="3"/>
  <c r="H451" i="3"/>
  <c r="I451" i="3"/>
  <c r="J451" i="3"/>
  <c r="K451" i="3"/>
  <c r="B452" i="3"/>
  <c r="C452" i="3"/>
  <c r="D452" i="3"/>
  <c r="E452" i="3"/>
  <c r="F452" i="3"/>
  <c r="G452" i="3"/>
  <c r="H452" i="3"/>
  <c r="I452" i="3"/>
  <c r="J452" i="3"/>
  <c r="K452" i="3"/>
  <c r="B453" i="3"/>
  <c r="C453" i="3"/>
  <c r="D453" i="3"/>
  <c r="E453" i="3"/>
  <c r="F453" i="3"/>
  <c r="G453" i="3"/>
  <c r="H453" i="3"/>
  <c r="I453" i="3"/>
  <c r="J453" i="3"/>
  <c r="K453" i="3"/>
  <c r="B454" i="3"/>
  <c r="C454" i="3"/>
  <c r="D454" i="3"/>
  <c r="E454" i="3"/>
  <c r="F454" i="3"/>
  <c r="G454" i="3"/>
  <c r="H454" i="3"/>
  <c r="I454" i="3"/>
  <c r="J454" i="3"/>
  <c r="K454" i="3"/>
  <c r="B455" i="3"/>
  <c r="C455" i="3"/>
  <c r="D455" i="3"/>
  <c r="E455" i="3"/>
  <c r="F455" i="3"/>
  <c r="G455" i="3"/>
  <c r="H455" i="3"/>
  <c r="I455" i="3"/>
  <c r="J455" i="3"/>
  <c r="K455" i="3"/>
  <c r="B456" i="3"/>
  <c r="C456" i="3"/>
  <c r="D456" i="3"/>
  <c r="E456" i="3"/>
  <c r="F456" i="3"/>
  <c r="G456" i="3"/>
  <c r="H456" i="3"/>
  <c r="I456" i="3"/>
  <c r="J456" i="3"/>
  <c r="K456" i="3"/>
  <c r="B457" i="3"/>
  <c r="C457" i="3"/>
  <c r="D457" i="3"/>
  <c r="E457" i="3"/>
  <c r="F457" i="3"/>
  <c r="G457" i="3"/>
  <c r="H457" i="3"/>
  <c r="I457" i="3"/>
  <c r="J457" i="3"/>
  <c r="K457" i="3"/>
  <c r="B458" i="3"/>
  <c r="C458" i="3"/>
  <c r="D458" i="3"/>
  <c r="E458" i="3"/>
  <c r="F458" i="3"/>
  <c r="G458" i="3"/>
  <c r="H458" i="3"/>
  <c r="I458" i="3"/>
  <c r="J458" i="3"/>
  <c r="K458" i="3"/>
  <c r="B459" i="3"/>
  <c r="C459" i="3"/>
  <c r="D459" i="3"/>
  <c r="E459" i="3"/>
  <c r="F459" i="3"/>
  <c r="G459" i="3"/>
  <c r="H459" i="3"/>
  <c r="I459" i="3"/>
  <c r="J459" i="3"/>
  <c r="K459" i="3"/>
  <c r="B460" i="3"/>
  <c r="C460" i="3"/>
  <c r="D460" i="3"/>
  <c r="E460" i="3"/>
  <c r="F460" i="3"/>
  <c r="G460" i="3"/>
  <c r="H460" i="3"/>
  <c r="I460" i="3"/>
  <c r="J460" i="3"/>
  <c r="K460" i="3"/>
  <c r="B461" i="3"/>
  <c r="C461" i="3"/>
  <c r="D461" i="3"/>
  <c r="E461" i="3"/>
  <c r="F461" i="3"/>
  <c r="G461" i="3"/>
  <c r="H461" i="3"/>
  <c r="I461" i="3"/>
  <c r="J461" i="3"/>
  <c r="K461" i="3"/>
  <c r="B462" i="3"/>
  <c r="C462" i="3"/>
  <c r="D462" i="3"/>
  <c r="E462" i="3"/>
  <c r="F462" i="3"/>
  <c r="G462" i="3"/>
  <c r="H462" i="3"/>
  <c r="I462" i="3"/>
  <c r="J462" i="3"/>
  <c r="K462" i="3"/>
  <c r="B463" i="3"/>
  <c r="C463" i="3"/>
  <c r="D463" i="3"/>
  <c r="E463" i="3"/>
  <c r="F463" i="3"/>
  <c r="G463" i="3"/>
  <c r="H463" i="3"/>
  <c r="I463" i="3"/>
  <c r="J463" i="3"/>
  <c r="K463" i="3"/>
  <c r="B464" i="3"/>
  <c r="C464" i="3"/>
  <c r="D464" i="3"/>
  <c r="E464" i="3"/>
  <c r="F464" i="3"/>
  <c r="G464" i="3"/>
  <c r="H464" i="3"/>
  <c r="I464" i="3"/>
  <c r="J464" i="3"/>
  <c r="K464" i="3"/>
  <c r="B465" i="3"/>
  <c r="C465" i="3"/>
  <c r="D465" i="3"/>
  <c r="E465" i="3"/>
  <c r="F465" i="3"/>
  <c r="G465" i="3"/>
  <c r="H465" i="3"/>
  <c r="I465" i="3"/>
  <c r="J465" i="3"/>
  <c r="K465" i="3"/>
  <c r="B466" i="3"/>
  <c r="C466" i="3"/>
  <c r="D466" i="3"/>
  <c r="E466" i="3"/>
  <c r="F466" i="3"/>
  <c r="G466" i="3"/>
  <c r="H466" i="3"/>
  <c r="I466" i="3"/>
  <c r="J466" i="3"/>
  <c r="K466" i="3"/>
  <c r="B467" i="3"/>
  <c r="C467" i="3"/>
  <c r="D467" i="3"/>
  <c r="E467" i="3"/>
  <c r="F467" i="3"/>
  <c r="G467" i="3"/>
  <c r="H467" i="3"/>
  <c r="I467" i="3"/>
  <c r="J467" i="3"/>
  <c r="K467" i="3"/>
  <c r="B468" i="3"/>
  <c r="C468" i="3"/>
  <c r="D468" i="3"/>
  <c r="E468" i="3"/>
  <c r="F468" i="3"/>
  <c r="G468" i="3"/>
  <c r="H468" i="3"/>
  <c r="I468" i="3"/>
  <c r="J468" i="3"/>
  <c r="K468" i="3"/>
  <c r="B469" i="3"/>
  <c r="C469" i="3"/>
  <c r="D469" i="3"/>
  <c r="E469" i="3"/>
  <c r="F469" i="3"/>
  <c r="G469" i="3"/>
  <c r="H469" i="3"/>
  <c r="I469" i="3"/>
  <c r="J469" i="3"/>
  <c r="K469" i="3"/>
  <c r="B470" i="3"/>
  <c r="C470" i="3"/>
  <c r="D470" i="3"/>
  <c r="E470" i="3"/>
  <c r="F470" i="3"/>
  <c r="G470" i="3"/>
  <c r="H470" i="3"/>
  <c r="I470" i="3"/>
  <c r="J470" i="3"/>
  <c r="K470" i="3"/>
  <c r="B471" i="3"/>
  <c r="C471" i="3"/>
  <c r="D471" i="3"/>
  <c r="E471" i="3"/>
  <c r="F471" i="3"/>
  <c r="G471" i="3"/>
  <c r="H471" i="3"/>
  <c r="I471" i="3"/>
  <c r="J471" i="3"/>
  <c r="K471" i="3"/>
  <c r="B472" i="3"/>
  <c r="C472" i="3"/>
  <c r="D472" i="3"/>
  <c r="E472" i="3"/>
  <c r="F472" i="3"/>
  <c r="G472" i="3"/>
  <c r="H472" i="3"/>
  <c r="I472" i="3"/>
  <c r="J472" i="3"/>
  <c r="K472" i="3"/>
  <c r="B473" i="3"/>
  <c r="C473" i="3"/>
  <c r="D473" i="3"/>
  <c r="E473" i="3"/>
  <c r="F473" i="3"/>
  <c r="G473" i="3"/>
  <c r="H473" i="3"/>
  <c r="I473" i="3"/>
  <c r="J473" i="3"/>
  <c r="K473" i="3"/>
  <c r="B474" i="3"/>
  <c r="C474" i="3"/>
  <c r="D474" i="3"/>
  <c r="E474" i="3"/>
  <c r="F474" i="3"/>
  <c r="G474" i="3"/>
  <c r="H474" i="3"/>
  <c r="I474" i="3"/>
  <c r="J474" i="3"/>
  <c r="K474" i="3"/>
  <c r="B475" i="3"/>
  <c r="C475" i="3"/>
  <c r="D475" i="3"/>
  <c r="E475" i="3"/>
  <c r="F475" i="3"/>
  <c r="G475" i="3"/>
  <c r="H475" i="3"/>
  <c r="I475" i="3"/>
  <c r="J475" i="3"/>
  <c r="K475" i="3"/>
  <c r="B476" i="3"/>
  <c r="C476" i="3"/>
  <c r="D476" i="3"/>
  <c r="E476" i="3"/>
  <c r="F476" i="3"/>
  <c r="G476" i="3"/>
  <c r="H476" i="3"/>
  <c r="I476" i="3"/>
  <c r="J476" i="3"/>
  <c r="K476" i="3"/>
  <c r="B477" i="3"/>
  <c r="C477" i="3"/>
  <c r="D477" i="3"/>
  <c r="E477" i="3"/>
  <c r="F477" i="3"/>
  <c r="G477" i="3"/>
  <c r="H477" i="3"/>
  <c r="I477" i="3"/>
  <c r="J477" i="3"/>
  <c r="K477" i="3"/>
  <c r="B478" i="3"/>
  <c r="C478" i="3"/>
  <c r="D478" i="3"/>
  <c r="E478" i="3"/>
  <c r="F478" i="3"/>
  <c r="G478" i="3"/>
  <c r="H478" i="3"/>
  <c r="I478" i="3"/>
  <c r="J478" i="3"/>
  <c r="K478" i="3"/>
  <c r="B479" i="3"/>
  <c r="C479" i="3"/>
  <c r="D479" i="3"/>
  <c r="E479" i="3"/>
  <c r="F479" i="3"/>
  <c r="G479" i="3"/>
  <c r="H479" i="3"/>
  <c r="I479" i="3"/>
  <c r="J479" i="3"/>
  <c r="K479" i="3"/>
  <c r="B480" i="3"/>
  <c r="C480" i="3"/>
  <c r="D480" i="3"/>
  <c r="E480" i="3"/>
  <c r="F480" i="3"/>
  <c r="G480" i="3"/>
  <c r="H480" i="3"/>
  <c r="I480" i="3"/>
  <c r="J480" i="3"/>
  <c r="K480" i="3"/>
  <c r="B481" i="3"/>
  <c r="C481" i="3"/>
  <c r="D481" i="3"/>
  <c r="E481" i="3"/>
  <c r="F481" i="3"/>
  <c r="G481" i="3"/>
  <c r="H481" i="3"/>
  <c r="I481" i="3"/>
  <c r="J481" i="3"/>
  <c r="K481" i="3"/>
  <c r="B482" i="3"/>
  <c r="C482" i="3"/>
  <c r="D482" i="3"/>
  <c r="E482" i="3"/>
  <c r="F482" i="3"/>
  <c r="G482" i="3"/>
  <c r="H482" i="3"/>
  <c r="I482" i="3"/>
  <c r="J482" i="3"/>
  <c r="K482" i="3"/>
  <c r="B483" i="3"/>
  <c r="C483" i="3"/>
  <c r="D483" i="3"/>
  <c r="E483" i="3"/>
  <c r="F483" i="3"/>
  <c r="G483" i="3"/>
  <c r="H483" i="3"/>
  <c r="I483" i="3"/>
  <c r="J483" i="3"/>
  <c r="K483" i="3"/>
  <c r="B484" i="3"/>
  <c r="C484" i="3"/>
  <c r="D484" i="3"/>
  <c r="E484" i="3"/>
  <c r="F484" i="3"/>
  <c r="G484" i="3"/>
  <c r="H484" i="3"/>
  <c r="I484" i="3"/>
  <c r="J484" i="3"/>
  <c r="K484" i="3"/>
  <c r="B485" i="3"/>
  <c r="C485" i="3"/>
  <c r="D485" i="3"/>
  <c r="E485" i="3"/>
  <c r="F485" i="3"/>
  <c r="G485" i="3"/>
  <c r="H485" i="3"/>
  <c r="I485" i="3"/>
  <c r="J485" i="3"/>
  <c r="K485" i="3"/>
  <c r="B486" i="3"/>
  <c r="C486" i="3"/>
  <c r="D486" i="3"/>
  <c r="E486" i="3"/>
  <c r="F486" i="3"/>
  <c r="G486" i="3"/>
  <c r="H486" i="3"/>
  <c r="I486" i="3"/>
  <c r="J486" i="3"/>
  <c r="K486" i="3"/>
  <c r="B487" i="3"/>
  <c r="C487" i="3"/>
  <c r="D487" i="3"/>
  <c r="E487" i="3"/>
  <c r="F487" i="3"/>
  <c r="G487" i="3"/>
  <c r="H487" i="3"/>
  <c r="I487" i="3"/>
  <c r="J487" i="3"/>
  <c r="K487" i="3"/>
  <c r="B488" i="3"/>
  <c r="C488" i="3"/>
  <c r="D488" i="3"/>
  <c r="E488" i="3"/>
  <c r="F488" i="3"/>
  <c r="G488" i="3"/>
  <c r="H488" i="3"/>
  <c r="I488" i="3"/>
  <c r="J488" i="3"/>
  <c r="K488" i="3"/>
  <c r="B489" i="3"/>
  <c r="C489" i="3"/>
  <c r="D489" i="3"/>
  <c r="E489" i="3"/>
  <c r="F489" i="3"/>
  <c r="G489" i="3"/>
  <c r="H489" i="3"/>
  <c r="I489" i="3"/>
  <c r="J489" i="3"/>
  <c r="K489" i="3"/>
  <c r="B490" i="3"/>
  <c r="C490" i="3"/>
  <c r="D490" i="3"/>
  <c r="E490" i="3"/>
  <c r="F490" i="3"/>
  <c r="G490" i="3"/>
  <c r="H490" i="3"/>
  <c r="I490" i="3"/>
  <c r="J490" i="3"/>
  <c r="K490" i="3"/>
  <c r="B491" i="3"/>
  <c r="C491" i="3"/>
  <c r="D491" i="3"/>
  <c r="E491" i="3"/>
  <c r="F491" i="3"/>
  <c r="G491" i="3"/>
  <c r="H491" i="3"/>
  <c r="I491" i="3"/>
  <c r="J491" i="3"/>
  <c r="K491" i="3"/>
  <c r="B492" i="3"/>
  <c r="C492" i="3"/>
  <c r="D492" i="3"/>
  <c r="E492" i="3"/>
  <c r="F492" i="3"/>
  <c r="G492" i="3"/>
  <c r="H492" i="3"/>
  <c r="I492" i="3"/>
  <c r="J492" i="3"/>
  <c r="K492" i="3"/>
  <c r="B493" i="3"/>
  <c r="C493" i="3"/>
  <c r="D493" i="3"/>
  <c r="E493" i="3"/>
  <c r="F493" i="3"/>
  <c r="G493" i="3"/>
  <c r="H493" i="3"/>
  <c r="I493" i="3"/>
  <c r="J493" i="3"/>
  <c r="K493" i="3"/>
  <c r="B494" i="3"/>
  <c r="C494" i="3"/>
  <c r="D494" i="3"/>
  <c r="E494" i="3"/>
  <c r="F494" i="3"/>
  <c r="G494" i="3"/>
  <c r="H494" i="3"/>
  <c r="I494" i="3"/>
  <c r="J494" i="3"/>
  <c r="K494" i="3"/>
  <c r="B495" i="3"/>
  <c r="C495" i="3"/>
  <c r="D495" i="3"/>
  <c r="E495" i="3"/>
  <c r="F495" i="3"/>
  <c r="G495" i="3"/>
  <c r="H495" i="3"/>
  <c r="I495" i="3"/>
  <c r="J495" i="3"/>
  <c r="K495" i="3"/>
  <c r="B496" i="3"/>
  <c r="C496" i="3"/>
  <c r="D496" i="3"/>
  <c r="E496" i="3"/>
  <c r="F496" i="3"/>
  <c r="G496" i="3"/>
  <c r="H496" i="3"/>
  <c r="I496" i="3"/>
  <c r="J496" i="3"/>
  <c r="K496" i="3"/>
  <c r="B497" i="3"/>
  <c r="C497" i="3"/>
  <c r="D497" i="3"/>
  <c r="E497" i="3"/>
  <c r="F497" i="3"/>
  <c r="G497" i="3"/>
  <c r="H497" i="3"/>
  <c r="I497" i="3"/>
  <c r="J497" i="3"/>
  <c r="K497" i="3"/>
  <c r="B498" i="3"/>
  <c r="C498" i="3"/>
  <c r="D498" i="3"/>
  <c r="E498" i="3"/>
  <c r="F498" i="3"/>
  <c r="G498" i="3"/>
  <c r="H498" i="3"/>
  <c r="I498" i="3"/>
  <c r="J498" i="3"/>
  <c r="K498" i="3"/>
  <c r="B499" i="3"/>
  <c r="C499" i="3"/>
  <c r="D499" i="3"/>
  <c r="E499" i="3"/>
  <c r="F499" i="3"/>
  <c r="G499" i="3"/>
  <c r="H499" i="3"/>
  <c r="I499" i="3"/>
  <c r="J499" i="3"/>
  <c r="K499" i="3"/>
  <c r="B500" i="3"/>
  <c r="C500" i="3"/>
  <c r="D500" i="3"/>
  <c r="E500" i="3"/>
  <c r="F500" i="3"/>
  <c r="G500" i="3"/>
  <c r="H500" i="3"/>
  <c r="I500" i="3"/>
  <c r="J500" i="3"/>
  <c r="K500" i="3"/>
  <c r="B501" i="3"/>
  <c r="C501" i="3"/>
  <c r="D501" i="3"/>
  <c r="E501" i="3"/>
  <c r="F501" i="3"/>
  <c r="G501" i="3"/>
  <c r="H501" i="3"/>
  <c r="I501" i="3"/>
  <c r="J501" i="3"/>
  <c r="K501" i="3"/>
  <c r="B502" i="3"/>
  <c r="C502" i="3"/>
  <c r="D502" i="3"/>
  <c r="E502" i="3"/>
  <c r="F502" i="3"/>
  <c r="G502" i="3"/>
  <c r="H502" i="3"/>
  <c r="I502" i="3"/>
  <c r="J502" i="3"/>
  <c r="K502" i="3"/>
  <c r="B503" i="3"/>
  <c r="C503" i="3"/>
  <c r="D503" i="3"/>
  <c r="E503" i="3"/>
  <c r="F503" i="3"/>
  <c r="G503" i="3"/>
  <c r="H503" i="3"/>
  <c r="I503" i="3"/>
  <c r="J503" i="3"/>
  <c r="K503" i="3"/>
  <c r="B504" i="3"/>
  <c r="C504" i="3"/>
  <c r="D504" i="3"/>
  <c r="E504" i="3"/>
  <c r="F504" i="3"/>
  <c r="G504" i="3"/>
  <c r="H504" i="3"/>
  <c r="I504" i="3"/>
  <c r="J504" i="3"/>
  <c r="K504" i="3"/>
  <c r="B505" i="3"/>
  <c r="C505" i="3"/>
  <c r="D505" i="3"/>
  <c r="E505" i="3"/>
  <c r="F505" i="3"/>
  <c r="G505" i="3"/>
  <c r="H505" i="3"/>
  <c r="I505" i="3"/>
  <c r="J505" i="3"/>
  <c r="K505" i="3"/>
  <c r="B506" i="3"/>
  <c r="C506" i="3"/>
  <c r="D506" i="3"/>
  <c r="E506" i="3"/>
  <c r="F506" i="3"/>
  <c r="G506" i="3"/>
  <c r="H506" i="3"/>
  <c r="I506" i="3"/>
  <c r="J506" i="3"/>
  <c r="K506" i="3"/>
  <c r="B507" i="3"/>
  <c r="C507" i="3"/>
  <c r="D507" i="3"/>
  <c r="E507" i="3"/>
  <c r="F507" i="3"/>
  <c r="G507" i="3"/>
  <c r="H507" i="3"/>
  <c r="I507" i="3"/>
  <c r="J507" i="3"/>
  <c r="K507" i="3"/>
  <c r="B508" i="3"/>
  <c r="C508" i="3"/>
  <c r="D508" i="3"/>
  <c r="E508" i="3"/>
  <c r="F508" i="3"/>
  <c r="G508" i="3"/>
  <c r="H508" i="3"/>
  <c r="I508" i="3"/>
  <c r="J508" i="3"/>
  <c r="K508" i="3"/>
  <c r="B509" i="3"/>
  <c r="C509" i="3"/>
  <c r="D509" i="3"/>
  <c r="E509" i="3"/>
  <c r="F509" i="3"/>
  <c r="G509" i="3"/>
  <c r="H509" i="3"/>
  <c r="I509" i="3"/>
  <c r="J509" i="3"/>
  <c r="K509" i="3"/>
  <c r="B510" i="3"/>
  <c r="C510" i="3"/>
  <c r="D510" i="3"/>
  <c r="E510" i="3"/>
  <c r="F510" i="3"/>
  <c r="G510" i="3"/>
  <c r="H510" i="3"/>
  <c r="I510" i="3"/>
  <c r="J510" i="3"/>
  <c r="K510" i="3"/>
  <c r="B511" i="3"/>
  <c r="C511" i="3"/>
  <c r="D511" i="3"/>
  <c r="E511" i="3"/>
  <c r="F511" i="3"/>
  <c r="G511" i="3"/>
  <c r="H511" i="3"/>
  <c r="I511" i="3"/>
  <c r="J511" i="3"/>
  <c r="K511" i="3"/>
  <c r="B512" i="3"/>
  <c r="C512" i="3"/>
  <c r="D512" i="3"/>
  <c r="E512" i="3"/>
  <c r="F512" i="3"/>
  <c r="G512" i="3"/>
  <c r="H512" i="3"/>
  <c r="I512" i="3"/>
  <c r="J512" i="3"/>
  <c r="K512" i="3"/>
  <c r="B513" i="3"/>
  <c r="C513" i="3"/>
  <c r="D513" i="3"/>
  <c r="E513" i="3"/>
  <c r="F513" i="3"/>
  <c r="G513" i="3"/>
  <c r="H513" i="3"/>
  <c r="I513" i="3"/>
  <c r="J513" i="3"/>
  <c r="K513" i="3"/>
  <c r="B514" i="3"/>
  <c r="C514" i="3"/>
  <c r="D514" i="3"/>
  <c r="E514" i="3"/>
  <c r="F514" i="3"/>
  <c r="G514" i="3"/>
  <c r="H514" i="3"/>
  <c r="I514" i="3"/>
  <c r="J514" i="3"/>
  <c r="K514" i="3"/>
  <c r="B515" i="3"/>
  <c r="C515" i="3"/>
  <c r="D515" i="3"/>
  <c r="E515" i="3"/>
  <c r="F515" i="3"/>
  <c r="G515" i="3"/>
  <c r="H515" i="3"/>
  <c r="I515" i="3"/>
  <c r="J515" i="3"/>
  <c r="K515" i="3"/>
  <c r="B516" i="3"/>
  <c r="C516" i="3"/>
  <c r="D516" i="3"/>
  <c r="E516" i="3"/>
  <c r="F516" i="3"/>
  <c r="G516" i="3"/>
  <c r="H516" i="3"/>
  <c r="I516" i="3"/>
  <c r="J516" i="3"/>
  <c r="K516" i="3"/>
  <c r="B517" i="3"/>
  <c r="C517" i="3"/>
  <c r="D517" i="3"/>
  <c r="E517" i="3"/>
  <c r="F517" i="3"/>
  <c r="G517" i="3"/>
  <c r="H517" i="3"/>
  <c r="I517" i="3"/>
  <c r="J517" i="3"/>
  <c r="K517" i="3"/>
  <c r="B518" i="3"/>
  <c r="C518" i="3"/>
  <c r="D518" i="3"/>
  <c r="E518" i="3"/>
  <c r="F518" i="3"/>
  <c r="G518" i="3"/>
  <c r="H518" i="3"/>
  <c r="I518" i="3"/>
  <c r="J518" i="3"/>
  <c r="K518" i="3"/>
  <c r="B519" i="3"/>
  <c r="C519" i="3"/>
  <c r="D519" i="3"/>
  <c r="E519" i="3"/>
  <c r="F519" i="3"/>
  <c r="G519" i="3"/>
  <c r="H519" i="3"/>
  <c r="I519" i="3"/>
  <c r="J519" i="3"/>
  <c r="K519" i="3"/>
  <c r="B520" i="3"/>
  <c r="C520" i="3"/>
  <c r="D520" i="3"/>
  <c r="E520" i="3"/>
  <c r="F520" i="3"/>
  <c r="G520" i="3"/>
  <c r="H520" i="3"/>
  <c r="I520" i="3"/>
  <c r="J520" i="3"/>
  <c r="K520" i="3"/>
  <c r="B521" i="3"/>
  <c r="C521" i="3"/>
  <c r="D521" i="3"/>
  <c r="E521" i="3"/>
  <c r="F521" i="3"/>
  <c r="G521" i="3"/>
  <c r="H521" i="3"/>
  <c r="I521" i="3"/>
  <c r="J521" i="3"/>
  <c r="K521" i="3"/>
  <c r="B522" i="3"/>
  <c r="C522" i="3"/>
  <c r="D522" i="3"/>
  <c r="E522" i="3"/>
  <c r="F522" i="3"/>
  <c r="G522" i="3"/>
  <c r="H522" i="3"/>
  <c r="I522" i="3"/>
  <c r="J522" i="3"/>
  <c r="K522" i="3"/>
  <c r="B523" i="3"/>
  <c r="C523" i="3"/>
  <c r="D523" i="3"/>
  <c r="E523" i="3"/>
  <c r="F523" i="3"/>
  <c r="G523" i="3"/>
  <c r="H523" i="3"/>
  <c r="I523" i="3"/>
  <c r="J523" i="3"/>
  <c r="K523" i="3"/>
  <c r="B524" i="3"/>
  <c r="C524" i="3"/>
  <c r="D524" i="3"/>
  <c r="E524" i="3"/>
  <c r="F524" i="3"/>
  <c r="G524" i="3"/>
  <c r="H524" i="3"/>
  <c r="I524" i="3"/>
  <c r="J524" i="3"/>
  <c r="K524" i="3"/>
  <c r="B525" i="3"/>
  <c r="C525" i="3"/>
  <c r="D525" i="3"/>
  <c r="E525" i="3"/>
  <c r="F525" i="3"/>
  <c r="G525" i="3"/>
  <c r="H525" i="3"/>
  <c r="I525" i="3"/>
  <c r="J525" i="3"/>
  <c r="K525" i="3"/>
  <c r="B526" i="3"/>
  <c r="C526" i="3"/>
  <c r="D526" i="3"/>
  <c r="E526" i="3"/>
  <c r="F526" i="3"/>
  <c r="G526" i="3"/>
  <c r="H526" i="3"/>
  <c r="I526" i="3"/>
  <c r="J526" i="3"/>
  <c r="K526" i="3"/>
  <c r="B527" i="3"/>
  <c r="C527" i="3"/>
  <c r="D527" i="3"/>
  <c r="E527" i="3"/>
  <c r="F527" i="3"/>
  <c r="G527" i="3"/>
  <c r="H527" i="3"/>
  <c r="I527" i="3"/>
  <c r="J527" i="3"/>
  <c r="K527" i="3"/>
  <c r="B528" i="3"/>
  <c r="C528" i="3"/>
  <c r="D528" i="3"/>
  <c r="E528" i="3"/>
  <c r="F528" i="3"/>
  <c r="G528" i="3"/>
  <c r="H528" i="3"/>
  <c r="I528" i="3"/>
  <c r="J528" i="3"/>
  <c r="K528" i="3"/>
  <c r="B529" i="3"/>
  <c r="C529" i="3"/>
  <c r="D529" i="3"/>
  <c r="E529" i="3"/>
  <c r="F529" i="3"/>
  <c r="G529" i="3"/>
  <c r="H529" i="3"/>
  <c r="I529" i="3"/>
  <c r="J529" i="3"/>
  <c r="K529" i="3"/>
  <c r="B530" i="3"/>
  <c r="C530" i="3"/>
  <c r="D530" i="3"/>
  <c r="E530" i="3"/>
  <c r="F530" i="3"/>
  <c r="G530" i="3"/>
  <c r="H530" i="3"/>
  <c r="I530" i="3"/>
  <c r="J530" i="3"/>
  <c r="K530" i="3"/>
  <c r="B531" i="3"/>
  <c r="C531" i="3"/>
  <c r="D531" i="3"/>
  <c r="E531" i="3"/>
  <c r="F531" i="3"/>
  <c r="G531" i="3"/>
  <c r="H531" i="3"/>
  <c r="I531" i="3"/>
  <c r="J531" i="3"/>
  <c r="K531" i="3"/>
  <c r="B532" i="3"/>
  <c r="C532" i="3"/>
  <c r="D532" i="3"/>
  <c r="E532" i="3"/>
  <c r="F532" i="3"/>
  <c r="G532" i="3"/>
  <c r="H532" i="3"/>
  <c r="I532" i="3"/>
  <c r="J532" i="3"/>
  <c r="K532" i="3"/>
  <c r="B533" i="3"/>
  <c r="C533" i="3"/>
  <c r="D533" i="3"/>
  <c r="E533" i="3"/>
  <c r="F533" i="3"/>
  <c r="G533" i="3"/>
  <c r="H533" i="3"/>
  <c r="I533" i="3"/>
  <c r="J533" i="3"/>
  <c r="K533" i="3"/>
  <c r="B534" i="3"/>
  <c r="C534" i="3"/>
  <c r="D534" i="3"/>
  <c r="E534" i="3"/>
  <c r="F534" i="3"/>
  <c r="G534" i="3"/>
  <c r="H534" i="3"/>
  <c r="I534" i="3"/>
  <c r="J534" i="3"/>
  <c r="K534" i="3"/>
  <c r="B535" i="3"/>
  <c r="C535" i="3"/>
  <c r="D535" i="3"/>
  <c r="E535" i="3"/>
  <c r="F535" i="3"/>
  <c r="G535" i="3"/>
  <c r="H535" i="3"/>
  <c r="I535" i="3"/>
  <c r="J535" i="3"/>
  <c r="K535" i="3"/>
  <c r="B536" i="3"/>
  <c r="C536" i="3"/>
  <c r="D536" i="3"/>
  <c r="E536" i="3"/>
  <c r="F536" i="3"/>
  <c r="G536" i="3"/>
  <c r="H536" i="3"/>
  <c r="I536" i="3"/>
  <c r="J536" i="3"/>
  <c r="K536" i="3"/>
  <c r="B537" i="3"/>
  <c r="C537" i="3"/>
  <c r="D537" i="3"/>
  <c r="E537" i="3"/>
  <c r="F537" i="3"/>
  <c r="G537" i="3"/>
  <c r="H537" i="3"/>
  <c r="I537" i="3"/>
  <c r="J537" i="3"/>
  <c r="K537" i="3"/>
  <c r="B538" i="3"/>
  <c r="C538" i="3"/>
  <c r="D538" i="3"/>
  <c r="E538" i="3"/>
  <c r="F538" i="3"/>
  <c r="G538" i="3"/>
  <c r="H538" i="3"/>
  <c r="I538" i="3"/>
  <c r="J538" i="3"/>
  <c r="K538" i="3"/>
  <c r="B539" i="3"/>
  <c r="C539" i="3"/>
  <c r="D539" i="3"/>
  <c r="E539" i="3"/>
  <c r="F539" i="3"/>
  <c r="G539" i="3"/>
  <c r="H539" i="3"/>
  <c r="I539" i="3"/>
  <c r="J539" i="3"/>
  <c r="K539" i="3"/>
  <c r="B540" i="3"/>
  <c r="C540" i="3"/>
  <c r="D540" i="3"/>
  <c r="E540" i="3"/>
  <c r="F540" i="3"/>
  <c r="G540" i="3"/>
  <c r="H540" i="3"/>
  <c r="I540" i="3"/>
  <c r="J540" i="3"/>
  <c r="K540" i="3"/>
  <c r="B541" i="3"/>
  <c r="C541" i="3"/>
  <c r="D541" i="3"/>
  <c r="E541" i="3"/>
  <c r="F541" i="3"/>
  <c r="G541" i="3"/>
  <c r="H541" i="3"/>
  <c r="I541" i="3"/>
  <c r="J541" i="3"/>
  <c r="K541" i="3"/>
  <c r="B542" i="3"/>
  <c r="C542" i="3"/>
  <c r="D542" i="3"/>
  <c r="E542" i="3"/>
  <c r="F542" i="3"/>
  <c r="G542" i="3"/>
  <c r="H542" i="3"/>
  <c r="I542" i="3"/>
  <c r="J542" i="3"/>
  <c r="K542" i="3"/>
  <c r="B543" i="3"/>
  <c r="C543" i="3"/>
  <c r="D543" i="3"/>
  <c r="E543" i="3"/>
  <c r="F543" i="3"/>
  <c r="G543" i="3"/>
  <c r="H543" i="3"/>
  <c r="I543" i="3"/>
  <c r="J543" i="3"/>
  <c r="K543" i="3"/>
  <c r="B544" i="3"/>
  <c r="C544" i="3"/>
  <c r="D544" i="3"/>
  <c r="E544" i="3"/>
  <c r="F544" i="3"/>
  <c r="G544" i="3"/>
  <c r="H544" i="3"/>
  <c r="I544" i="3"/>
  <c r="J544" i="3"/>
  <c r="K544" i="3"/>
  <c r="B545" i="3"/>
  <c r="C545" i="3"/>
  <c r="D545" i="3"/>
  <c r="E545" i="3"/>
  <c r="F545" i="3"/>
  <c r="G545" i="3"/>
  <c r="H545" i="3"/>
  <c r="I545" i="3"/>
  <c r="J545" i="3"/>
  <c r="K545" i="3"/>
  <c r="B546" i="3"/>
  <c r="C546" i="3"/>
  <c r="D546" i="3"/>
  <c r="E546" i="3"/>
  <c r="F546" i="3"/>
  <c r="G546" i="3"/>
  <c r="H546" i="3"/>
  <c r="I546" i="3"/>
  <c r="J546" i="3"/>
  <c r="K546" i="3"/>
  <c r="B547" i="3"/>
  <c r="C547" i="3"/>
  <c r="D547" i="3"/>
  <c r="E547" i="3"/>
  <c r="F547" i="3"/>
  <c r="G547" i="3"/>
  <c r="H547" i="3"/>
  <c r="I547" i="3"/>
  <c r="J547" i="3"/>
  <c r="K547" i="3"/>
  <c r="B548" i="3"/>
  <c r="C548" i="3"/>
  <c r="D548" i="3"/>
  <c r="E548" i="3"/>
  <c r="F548" i="3"/>
  <c r="G548" i="3"/>
  <c r="H548" i="3"/>
  <c r="I548" i="3"/>
  <c r="J548" i="3"/>
  <c r="K548" i="3"/>
  <c r="B549" i="3"/>
  <c r="C549" i="3"/>
  <c r="D549" i="3"/>
  <c r="E549" i="3"/>
  <c r="F549" i="3"/>
  <c r="G549" i="3"/>
  <c r="H549" i="3"/>
  <c r="I549" i="3"/>
  <c r="J549" i="3"/>
  <c r="K549" i="3"/>
  <c r="B550" i="3"/>
  <c r="C550" i="3"/>
  <c r="D550" i="3"/>
  <c r="E550" i="3"/>
  <c r="F550" i="3"/>
  <c r="G550" i="3"/>
  <c r="H550" i="3"/>
  <c r="I550" i="3"/>
  <c r="J550" i="3"/>
  <c r="K550" i="3"/>
  <c r="B551" i="3"/>
  <c r="C551" i="3"/>
  <c r="D551" i="3"/>
  <c r="E551" i="3"/>
  <c r="F551" i="3"/>
  <c r="G551" i="3"/>
  <c r="H551" i="3"/>
  <c r="I551" i="3"/>
  <c r="J551" i="3"/>
  <c r="K551" i="3"/>
  <c r="B552" i="3"/>
  <c r="C552" i="3"/>
  <c r="D552" i="3"/>
  <c r="E552" i="3"/>
  <c r="F552" i="3"/>
  <c r="G552" i="3"/>
  <c r="H552" i="3"/>
  <c r="I552" i="3"/>
  <c r="J552" i="3"/>
  <c r="K552" i="3"/>
  <c r="B553" i="3"/>
  <c r="C553" i="3"/>
  <c r="D553" i="3"/>
  <c r="E553" i="3"/>
  <c r="F553" i="3"/>
  <c r="G553" i="3"/>
  <c r="H553" i="3"/>
  <c r="I553" i="3"/>
  <c r="J553" i="3"/>
  <c r="K553" i="3"/>
  <c r="B554" i="3"/>
  <c r="C554" i="3"/>
  <c r="D554" i="3"/>
  <c r="E554" i="3"/>
  <c r="F554" i="3"/>
  <c r="G554" i="3"/>
  <c r="H554" i="3"/>
  <c r="I554" i="3"/>
  <c r="J554" i="3"/>
  <c r="K554" i="3"/>
  <c r="B555" i="3"/>
  <c r="C555" i="3"/>
  <c r="D555" i="3"/>
  <c r="E555" i="3"/>
  <c r="F555" i="3"/>
  <c r="G555" i="3"/>
  <c r="H555" i="3"/>
  <c r="I555" i="3"/>
  <c r="J555" i="3"/>
  <c r="K555" i="3"/>
  <c r="B556" i="3"/>
  <c r="C556" i="3"/>
  <c r="D556" i="3"/>
  <c r="E556" i="3"/>
  <c r="F556" i="3"/>
  <c r="G556" i="3"/>
  <c r="H556" i="3"/>
  <c r="I556" i="3"/>
  <c r="J556" i="3"/>
  <c r="K556" i="3"/>
  <c r="B557" i="3"/>
  <c r="C557" i="3"/>
  <c r="D557" i="3"/>
  <c r="E557" i="3"/>
  <c r="F557" i="3"/>
  <c r="G557" i="3"/>
  <c r="H557" i="3"/>
  <c r="I557" i="3"/>
  <c r="J557" i="3"/>
  <c r="K557" i="3"/>
  <c r="B558" i="3"/>
  <c r="C558" i="3"/>
  <c r="D558" i="3"/>
  <c r="E558" i="3"/>
  <c r="F558" i="3"/>
  <c r="G558" i="3"/>
  <c r="H558" i="3"/>
  <c r="I558" i="3"/>
  <c r="J558" i="3"/>
  <c r="K558" i="3"/>
  <c r="B559" i="3"/>
  <c r="C559" i="3"/>
  <c r="D559" i="3"/>
  <c r="E559" i="3"/>
  <c r="F559" i="3"/>
  <c r="G559" i="3"/>
  <c r="H559" i="3"/>
  <c r="I559" i="3"/>
  <c r="J559" i="3"/>
  <c r="K559" i="3"/>
  <c r="B560" i="3"/>
  <c r="C560" i="3"/>
  <c r="D560" i="3"/>
  <c r="E560" i="3"/>
  <c r="F560" i="3"/>
  <c r="G560" i="3"/>
  <c r="H560" i="3"/>
  <c r="I560" i="3"/>
  <c r="J560" i="3"/>
  <c r="K560" i="3"/>
  <c r="B561" i="3"/>
  <c r="C561" i="3"/>
  <c r="D561" i="3"/>
  <c r="E561" i="3"/>
  <c r="F561" i="3"/>
  <c r="G561" i="3"/>
  <c r="H561" i="3"/>
  <c r="I561" i="3"/>
  <c r="J561" i="3"/>
  <c r="K561" i="3"/>
  <c r="B562" i="3"/>
  <c r="C562" i="3"/>
  <c r="D562" i="3"/>
  <c r="E562" i="3"/>
  <c r="F562" i="3"/>
  <c r="G562" i="3"/>
  <c r="H562" i="3"/>
  <c r="I562" i="3"/>
  <c r="J562" i="3"/>
  <c r="K562" i="3"/>
  <c r="B563" i="3"/>
  <c r="C563" i="3"/>
  <c r="D563" i="3"/>
  <c r="E563" i="3"/>
  <c r="F563" i="3"/>
  <c r="G563" i="3"/>
  <c r="H563" i="3"/>
  <c r="I563" i="3"/>
  <c r="J563" i="3"/>
  <c r="K563" i="3"/>
  <c r="B564" i="3"/>
  <c r="C564" i="3"/>
  <c r="D564" i="3"/>
  <c r="E564" i="3"/>
  <c r="F564" i="3"/>
  <c r="G564" i="3"/>
  <c r="H564" i="3"/>
  <c r="I564" i="3"/>
  <c r="J564" i="3"/>
  <c r="K564" i="3"/>
  <c r="B565" i="3"/>
  <c r="C565" i="3"/>
  <c r="D565" i="3"/>
  <c r="E565" i="3"/>
  <c r="F565" i="3"/>
  <c r="G565" i="3"/>
  <c r="H565" i="3"/>
  <c r="I565" i="3"/>
  <c r="J565" i="3"/>
  <c r="K565" i="3"/>
  <c r="B566" i="3"/>
  <c r="C566" i="3"/>
  <c r="D566" i="3"/>
  <c r="E566" i="3"/>
  <c r="F566" i="3"/>
  <c r="G566" i="3"/>
  <c r="H566" i="3"/>
  <c r="I566" i="3"/>
  <c r="J566" i="3"/>
  <c r="K566" i="3"/>
  <c r="B567" i="3"/>
  <c r="C567" i="3"/>
  <c r="D567" i="3"/>
  <c r="E567" i="3"/>
  <c r="F567" i="3"/>
  <c r="G567" i="3"/>
  <c r="H567" i="3"/>
  <c r="I567" i="3"/>
  <c r="J567" i="3"/>
  <c r="K567" i="3"/>
  <c r="B568" i="3"/>
  <c r="C568" i="3"/>
  <c r="D568" i="3"/>
  <c r="E568" i="3"/>
  <c r="F568" i="3"/>
  <c r="G568" i="3"/>
  <c r="H568" i="3"/>
  <c r="I568" i="3"/>
  <c r="J568" i="3"/>
  <c r="K568" i="3"/>
  <c r="B569" i="3"/>
  <c r="C569" i="3"/>
  <c r="D569" i="3"/>
  <c r="E569" i="3"/>
  <c r="F569" i="3"/>
  <c r="G569" i="3"/>
  <c r="H569" i="3"/>
  <c r="I569" i="3"/>
  <c r="J569" i="3"/>
  <c r="K569" i="3"/>
  <c r="B570" i="3"/>
  <c r="C570" i="3"/>
  <c r="D570" i="3"/>
  <c r="E570" i="3"/>
  <c r="F570" i="3"/>
  <c r="G570" i="3"/>
  <c r="H570" i="3"/>
  <c r="I570" i="3"/>
  <c r="J570" i="3"/>
  <c r="K570" i="3"/>
  <c r="B571" i="3"/>
  <c r="C571" i="3"/>
  <c r="D571" i="3"/>
  <c r="E571" i="3"/>
  <c r="F571" i="3"/>
  <c r="G571" i="3"/>
  <c r="H571" i="3"/>
  <c r="I571" i="3"/>
  <c r="J571" i="3"/>
  <c r="K571" i="3"/>
  <c r="B572" i="3"/>
  <c r="C572" i="3"/>
  <c r="D572" i="3"/>
  <c r="E572" i="3"/>
  <c r="F572" i="3"/>
  <c r="G572" i="3"/>
  <c r="H572" i="3"/>
  <c r="I572" i="3"/>
  <c r="J572" i="3"/>
  <c r="K572" i="3"/>
  <c r="B573" i="3"/>
  <c r="C573" i="3"/>
  <c r="D573" i="3"/>
  <c r="E573" i="3"/>
  <c r="F573" i="3"/>
  <c r="G573" i="3"/>
  <c r="H573" i="3"/>
  <c r="I573" i="3"/>
  <c r="J573" i="3"/>
  <c r="K573" i="3"/>
  <c r="B574" i="3"/>
  <c r="C574" i="3"/>
  <c r="D574" i="3"/>
  <c r="E574" i="3"/>
  <c r="F574" i="3"/>
  <c r="G574" i="3"/>
  <c r="H574" i="3"/>
  <c r="I574" i="3"/>
  <c r="J574" i="3"/>
  <c r="K574" i="3"/>
  <c r="B575" i="3"/>
  <c r="C575" i="3"/>
  <c r="D575" i="3"/>
  <c r="E575" i="3"/>
  <c r="F575" i="3"/>
  <c r="G575" i="3"/>
  <c r="H575" i="3"/>
  <c r="I575" i="3"/>
  <c r="J575" i="3"/>
  <c r="K575" i="3"/>
  <c r="B576" i="3"/>
  <c r="C576" i="3"/>
  <c r="D576" i="3"/>
  <c r="E576" i="3"/>
  <c r="F576" i="3"/>
  <c r="G576" i="3"/>
  <c r="H576" i="3"/>
  <c r="I576" i="3"/>
  <c r="J576" i="3"/>
  <c r="K576" i="3"/>
  <c r="B577" i="3"/>
  <c r="C577" i="3"/>
  <c r="D577" i="3"/>
  <c r="E577" i="3"/>
  <c r="F577" i="3"/>
  <c r="G577" i="3"/>
  <c r="H577" i="3"/>
  <c r="I577" i="3"/>
  <c r="J577" i="3"/>
  <c r="K577" i="3"/>
  <c r="B578" i="3"/>
  <c r="C578" i="3"/>
  <c r="D578" i="3"/>
  <c r="E578" i="3"/>
  <c r="F578" i="3"/>
  <c r="G578" i="3"/>
  <c r="H578" i="3"/>
  <c r="I578" i="3"/>
  <c r="J578" i="3"/>
  <c r="K578" i="3"/>
  <c r="B579" i="3"/>
  <c r="C579" i="3"/>
  <c r="D579" i="3"/>
  <c r="E579" i="3"/>
  <c r="F579" i="3"/>
  <c r="G579" i="3"/>
  <c r="H579" i="3"/>
  <c r="I579" i="3"/>
  <c r="J579" i="3"/>
  <c r="K579" i="3"/>
  <c r="B580" i="3"/>
  <c r="C580" i="3"/>
  <c r="D580" i="3"/>
  <c r="E580" i="3"/>
  <c r="F580" i="3"/>
  <c r="G580" i="3"/>
  <c r="H580" i="3"/>
  <c r="I580" i="3"/>
  <c r="J580" i="3"/>
  <c r="K580" i="3"/>
  <c r="B581" i="3"/>
  <c r="C581" i="3"/>
  <c r="D581" i="3"/>
  <c r="E581" i="3"/>
  <c r="F581" i="3"/>
  <c r="G581" i="3"/>
  <c r="H581" i="3"/>
  <c r="I581" i="3"/>
  <c r="J581" i="3"/>
  <c r="K581" i="3"/>
  <c r="B582" i="3"/>
  <c r="C582" i="3"/>
  <c r="D582" i="3"/>
  <c r="E582" i="3"/>
  <c r="F582" i="3"/>
  <c r="G582" i="3"/>
  <c r="H582" i="3"/>
  <c r="I582" i="3"/>
  <c r="J582" i="3"/>
  <c r="K582" i="3"/>
  <c r="B583" i="3"/>
  <c r="C583" i="3"/>
  <c r="D583" i="3"/>
  <c r="E583" i="3"/>
  <c r="F583" i="3"/>
  <c r="G583" i="3"/>
  <c r="H583" i="3"/>
  <c r="I583" i="3"/>
  <c r="J583" i="3"/>
  <c r="K583" i="3"/>
  <c r="B584" i="3"/>
  <c r="C584" i="3"/>
  <c r="D584" i="3"/>
  <c r="E584" i="3"/>
  <c r="F584" i="3"/>
  <c r="G584" i="3"/>
  <c r="H584" i="3"/>
  <c r="I584" i="3"/>
  <c r="J584" i="3"/>
  <c r="K584" i="3"/>
  <c r="B585" i="3"/>
  <c r="C585" i="3"/>
  <c r="D585" i="3"/>
  <c r="E585" i="3"/>
  <c r="F585" i="3"/>
  <c r="G585" i="3"/>
  <c r="H585" i="3"/>
  <c r="I585" i="3"/>
  <c r="J585" i="3"/>
  <c r="K585" i="3"/>
  <c r="B586" i="3"/>
  <c r="C586" i="3"/>
  <c r="D586" i="3"/>
  <c r="E586" i="3"/>
  <c r="F586" i="3"/>
  <c r="G586" i="3"/>
  <c r="H586" i="3"/>
  <c r="I586" i="3"/>
  <c r="J586" i="3"/>
  <c r="K586" i="3"/>
  <c r="B587" i="3"/>
  <c r="C587" i="3"/>
  <c r="D587" i="3"/>
  <c r="E587" i="3"/>
  <c r="F587" i="3"/>
  <c r="G587" i="3"/>
  <c r="H587" i="3"/>
  <c r="I587" i="3"/>
  <c r="J587" i="3"/>
  <c r="K587" i="3"/>
  <c r="B588" i="3"/>
  <c r="C588" i="3"/>
  <c r="D588" i="3"/>
  <c r="E588" i="3"/>
  <c r="F588" i="3"/>
  <c r="G588" i="3"/>
  <c r="H588" i="3"/>
  <c r="I588" i="3"/>
  <c r="J588" i="3"/>
  <c r="K588" i="3"/>
  <c r="B589" i="3"/>
  <c r="C589" i="3"/>
  <c r="D589" i="3"/>
  <c r="E589" i="3"/>
  <c r="F589" i="3"/>
  <c r="G589" i="3"/>
  <c r="H589" i="3"/>
  <c r="I589" i="3"/>
  <c r="J589" i="3"/>
  <c r="K589" i="3"/>
  <c r="B590" i="3"/>
  <c r="C590" i="3"/>
  <c r="D590" i="3"/>
  <c r="E590" i="3"/>
  <c r="F590" i="3"/>
  <c r="G590" i="3"/>
  <c r="H590" i="3"/>
  <c r="I590" i="3"/>
  <c r="J590" i="3"/>
  <c r="K590" i="3"/>
  <c r="B591" i="3"/>
  <c r="C591" i="3"/>
  <c r="D591" i="3"/>
  <c r="E591" i="3"/>
  <c r="F591" i="3"/>
  <c r="G591" i="3"/>
  <c r="H591" i="3"/>
  <c r="I591" i="3"/>
  <c r="J591" i="3"/>
  <c r="K591" i="3"/>
  <c r="B592" i="3"/>
  <c r="C592" i="3"/>
  <c r="D592" i="3"/>
  <c r="E592" i="3"/>
  <c r="F592" i="3"/>
  <c r="G592" i="3"/>
  <c r="H592" i="3"/>
  <c r="I592" i="3"/>
  <c r="J592" i="3"/>
  <c r="K592" i="3"/>
  <c r="B593" i="3"/>
  <c r="C593" i="3"/>
  <c r="D593" i="3"/>
  <c r="E593" i="3"/>
  <c r="F593" i="3"/>
  <c r="G593" i="3"/>
  <c r="H593" i="3"/>
  <c r="I593" i="3"/>
  <c r="J593" i="3"/>
  <c r="K593" i="3"/>
  <c r="B594" i="3"/>
  <c r="C594" i="3"/>
  <c r="D594" i="3"/>
  <c r="E594" i="3"/>
  <c r="F594" i="3"/>
  <c r="G594" i="3"/>
  <c r="H594" i="3"/>
  <c r="I594" i="3"/>
  <c r="J594" i="3"/>
  <c r="K594" i="3"/>
  <c r="B595" i="3"/>
  <c r="C595" i="3"/>
  <c r="D595" i="3"/>
  <c r="E595" i="3"/>
  <c r="F595" i="3"/>
  <c r="G595" i="3"/>
  <c r="H595" i="3"/>
  <c r="I595" i="3"/>
  <c r="J595" i="3"/>
  <c r="K595" i="3"/>
  <c r="B596" i="3"/>
  <c r="C596" i="3"/>
  <c r="D596" i="3"/>
  <c r="E596" i="3"/>
  <c r="F596" i="3"/>
  <c r="G596" i="3"/>
  <c r="H596" i="3"/>
  <c r="I596" i="3"/>
  <c r="J596" i="3"/>
  <c r="K596" i="3"/>
  <c r="B597" i="3"/>
  <c r="C597" i="3"/>
  <c r="D597" i="3"/>
  <c r="E597" i="3"/>
  <c r="F597" i="3"/>
  <c r="G597" i="3"/>
  <c r="H597" i="3"/>
  <c r="I597" i="3"/>
  <c r="J597" i="3"/>
  <c r="K597" i="3"/>
  <c r="B598" i="3"/>
  <c r="C598" i="3"/>
  <c r="D598" i="3"/>
  <c r="E598" i="3"/>
  <c r="F598" i="3"/>
  <c r="G598" i="3"/>
  <c r="H598" i="3"/>
  <c r="I598" i="3"/>
  <c r="J598" i="3"/>
  <c r="K598" i="3"/>
  <c r="B599" i="3"/>
  <c r="C599" i="3"/>
  <c r="D599" i="3"/>
  <c r="E599" i="3"/>
  <c r="F599" i="3"/>
  <c r="G599" i="3"/>
  <c r="H599" i="3"/>
  <c r="I599" i="3"/>
  <c r="J599" i="3"/>
  <c r="K599" i="3"/>
  <c r="B600" i="3"/>
  <c r="C600" i="3"/>
  <c r="D600" i="3"/>
  <c r="E600" i="3"/>
  <c r="F600" i="3"/>
  <c r="G600" i="3"/>
  <c r="H600" i="3"/>
  <c r="I600" i="3"/>
  <c r="J600" i="3"/>
  <c r="K600" i="3"/>
  <c r="B601" i="3"/>
  <c r="C601" i="3"/>
  <c r="D601" i="3"/>
  <c r="E601" i="3"/>
  <c r="F601" i="3"/>
  <c r="G601" i="3"/>
  <c r="H601" i="3"/>
  <c r="I601" i="3"/>
  <c r="J601" i="3"/>
  <c r="K601" i="3"/>
  <c r="B602" i="3"/>
  <c r="C602" i="3"/>
  <c r="D602" i="3"/>
  <c r="E602" i="3"/>
  <c r="F602" i="3"/>
  <c r="G602" i="3"/>
  <c r="H602" i="3"/>
  <c r="I602" i="3"/>
  <c r="J602" i="3"/>
  <c r="K602" i="3"/>
  <c r="B603" i="3"/>
  <c r="C603" i="3"/>
  <c r="D603" i="3"/>
  <c r="E603" i="3"/>
  <c r="F603" i="3"/>
  <c r="G603" i="3"/>
  <c r="H603" i="3"/>
  <c r="I603" i="3"/>
  <c r="J603" i="3"/>
  <c r="K603" i="3"/>
  <c r="B604" i="3"/>
  <c r="C604" i="3"/>
  <c r="D604" i="3"/>
  <c r="E604" i="3"/>
  <c r="F604" i="3"/>
  <c r="G604" i="3"/>
  <c r="H604" i="3"/>
  <c r="I604" i="3"/>
  <c r="J604" i="3"/>
  <c r="K604" i="3"/>
  <c r="B605" i="3"/>
  <c r="C605" i="3"/>
  <c r="D605" i="3"/>
  <c r="E605" i="3"/>
  <c r="F605" i="3"/>
  <c r="G605" i="3"/>
  <c r="H605" i="3"/>
  <c r="I605" i="3"/>
  <c r="J605" i="3"/>
  <c r="K605" i="3"/>
  <c r="B606" i="3"/>
  <c r="C606" i="3"/>
  <c r="D606" i="3"/>
  <c r="E606" i="3"/>
  <c r="F606" i="3"/>
  <c r="G606" i="3"/>
  <c r="H606" i="3"/>
  <c r="I606" i="3"/>
  <c r="J606" i="3"/>
  <c r="K606" i="3"/>
  <c r="B607" i="3"/>
  <c r="C607" i="3"/>
  <c r="D607" i="3"/>
  <c r="E607" i="3"/>
  <c r="F607" i="3"/>
  <c r="G607" i="3"/>
  <c r="H607" i="3"/>
  <c r="I607" i="3"/>
  <c r="J607" i="3"/>
  <c r="K607" i="3"/>
  <c r="B608" i="3"/>
  <c r="C608" i="3"/>
  <c r="D608" i="3"/>
  <c r="E608" i="3"/>
  <c r="F608" i="3"/>
  <c r="G608" i="3"/>
  <c r="H608" i="3"/>
  <c r="I608" i="3"/>
  <c r="J608" i="3"/>
  <c r="K608" i="3"/>
  <c r="B609" i="3"/>
  <c r="C609" i="3"/>
  <c r="D609" i="3"/>
  <c r="E609" i="3"/>
  <c r="F609" i="3"/>
  <c r="G609" i="3"/>
  <c r="H609" i="3"/>
  <c r="I609" i="3"/>
  <c r="J609" i="3"/>
  <c r="K609" i="3"/>
  <c r="B610" i="3"/>
  <c r="C610" i="3"/>
  <c r="D610" i="3"/>
  <c r="E610" i="3"/>
  <c r="F610" i="3"/>
  <c r="G610" i="3"/>
  <c r="H610" i="3"/>
  <c r="I610" i="3"/>
  <c r="J610" i="3"/>
  <c r="K610" i="3"/>
  <c r="B611" i="3"/>
  <c r="C611" i="3"/>
  <c r="D611" i="3"/>
  <c r="E611" i="3"/>
  <c r="F611" i="3"/>
  <c r="G611" i="3"/>
  <c r="H611" i="3"/>
  <c r="I611" i="3"/>
  <c r="J611" i="3"/>
  <c r="K611" i="3"/>
  <c r="B612" i="3"/>
  <c r="C612" i="3"/>
  <c r="D612" i="3"/>
  <c r="E612" i="3"/>
  <c r="F612" i="3"/>
  <c r="G612" i="3"/>
  <c r="H612" i="3"/>
  <c r="I612" i="3"/>
  <c r="J612" i="3"/>
  <c r="K612" i="3"/>
  <c r="B613" i="3"/>
  <c r="C613" i="3"/>
  <c r="D613" i="3"/>
  <c r="E613" i="3"/>
  <c r="F613" i="3"/>
  <c r="G613" i="3"/>
  <c r="H613" i="3"/>
  <c r="I613" i="3"/>
  <c r="J613" i="3"/>
  <c r="K613" i="3"/>
  <c r="B614" i="3"/>
  <c r="C614" i="3"/>
  <c r="D614" i="3"/>
  <c r="E614" i="3"/>
  <c r="F614" i="3"/>
  <c r="G614" i="3"/>
  <c r="H614" i="3"/>
  <c r="I614" i="3"/>
  <c r="J614" i="3"/>
  <c r="K614" i="3"/>
  <c r="B615" i="3"/>
  <c r="C615" i="3"/>
  <c r="D615" i="3"/>
  <c r="E615" i="3"/>
  <c r="F615" i="3"/>
  <c r="G615" i="3"/>
  <c r="H615" i="3"/>
  <c r="I615" i="3"/>
  <c r="J615" i="3"/>
  <c r="K615" i="3"/>
  <c r="B616" i="3"/>
  <c r="C616" i="3"/>
  <c r="D616" i="3"/>
  <c r="E616" i="3"/>
  <c r="F616" i="3"/>
  <c r="G616" i="3"/>
  <c r="H616" i="3"/>
  <c r="I616" i="3"/>
  <c r="J616" i="3"/>
  <c r="K616" i="3"/>
  <c r="B617" i="3"/>
  <c r="C617" i="3"/>
  <c r="D617" i="3"/>
  <c r="E617" i="3"/>
  <c r="F617" i="3"/>
  <c r="G617" i="3"/>
  <c r="H617" i="3"/>
  <c r="I617" i="3"/>
  <c r="J617" i="3"/>
  <c r="K617" i="3"/>
  <c r="B618" i="3"/>
  <c r="C618" i="3"/>
  <c r="D618" i="3"/>
  <c r="E618" i="3"/>
  <c r="F618" i="3"/>
  <c r="G618" i="3"/>
  <c r="H618" i="3"/>
  <c r="I618" i="3"/>
  <c r="J618" i="3"/>
  <c r="K618" i="3"/>
  <c r="B619" i="3"/>
  <c r="C619" i="3"/>
  <c r="D619" i="3"/>
  <c r="E619" i="3"/>
  <c r="F619" i="3"/>
  <c r="G619" i="3"/>
  <c r="H619" i="3"/>
  <c r="I619" i="3"/>
  <c r="J619" i="3"/>
  <c r="K619" i="3"/>
  <c r="B620" i="3"/>
  <c r="C620" i="3"/>
  <c r="D620" i="3"/>
  <c r="E620" i="3"/>
  <c r="F620" i="3"/>
  <c r="G620" i="3"/>
  <c r="H620" i="3"/>
  <c r="I620" i="3"/>
  <c r="J620" i="3"/>
  <c r="K620" i="3"/>
  <c r="B621" i="3"/>
  <c r="C621" i="3"/>
  <c r="D621" i="3"/>
  <c r="E621" i="3"/>
  <c r="F621" i="3"/>
  <c r="G621" i="3"/>
  <c r="H621" i="3"/>
  <c r="I621" i="3"/>
  <c r="J621" i="3"/>
  <c r="K621" i="3"/>
  <c r="B622" i="3"/>
  <c r="C622" i="3"/>
  <c r="D622" i="3"/>
  <c r="E622" i="3"/>
  <c r="F622" i="3"/>
  <c r="G622" i="3"/>
  <c r="H622" i="3"/>
  <c r="I622" i="3"/>
  <c r="J622" i="3"/>
  <c r="K622" i="3"/>
  <c r="B623" i="3"/>
  <c r="C623" i="3"/>
  <c r="D623" i="3"/>
  <c r="E623" i="3"/>
  <c r="F623" i="3"/>
  <c r="G623" i="3"/>
  <c r="H623" i="3"/>
  <c r="I623" i="3"/>
  <c r="J623" i="3"/>
  <c r="K623" i="3"/>
  <c r="B624" i="3"/>
  <c r="C624" i="3"/>
  <c r="D624" i="3"/>
  <c r="E624" i="3"/>
  <c r="F624" i="3"/>
  <c r="G624" i="3"/>
  <c r="H624" i="3"/>
  <c r="I624" i="3"/>
  <c r="J624" i="3"/>
  <c r="K624" i="3"/>
  <c r="B625" i="3"/>
  <c r="C625" i="3"/>
  <c r="D625" i="3"/>
  <c r="E625" i="3"/>
  <c r="F625" i="3"/>
  <c r="G625" i="3"/>
  <c r="H625" i="3"/>
  <c r="I625" i="3"/>
  <c r="J625" i="3"/>
  <c r="K625" i="3"/>
  <c r="B626" i="3"/>
  <c r="C626" i="3"/>
  <c r="D626" i="3"/>
  <c r="E626" i="3"/>
  <c r="F626" i="3"/>
  <c r="G626" i="3"/>
  <c r="H626" i="3"/>
  <c r="I626" i="3"/>
  <c r="J626" i="3"/>
  <c r="K626" i="3"/>
  <c r="B627" i="3"/>
  <c r="C627" i="3"/>
  <c r="D627" i="3"/>
  <c r="E627" i="3"/>
  <c r="F627" i="3"/>
  <c r="G627" i="3"/>
  <c r="H627" i="3"/>
  <c r="I627" i="3"/>
  <c r="J627" i="3"/>
  <c r="K627" i="3"/>
  <c r="B628" i="3"/>
  <c r="C628" i="3"/>
  <c r="D628" i="3"/>
  <c r="E628" i="3"/>
  <c r="F628" i="3"/>
  <c r="G628" i="3"/>
  <c r="H628" i="3"/>
  <c r="I628" i="3"/>
  <c r="J628" i="3"/>
  <c r="K628" i="3"/>
  <c r="B629" i="3"/>
  <c r="C629" i="3"/>
  <c r="D629" i="3"/>
  <c r="E629" i="3"/>
  <c r="F629" i="3"/>
  <c r="G629" i="3"/>
  <c r="H629" i="3"/>
  <c r="I629" i="3"/>
  <c r="J629" i="3"/>
  <c r="K629" i="3"/>
  <c r="B630" i="3"/>
  <c r="C630" i="3"/>
  <c r="D630" i="3"/>
  <c r="E630" i="3"/>
  <c r="F630" i="3"/>
  <c r="G630" i="3"/>
  <c r="H630" i="3"/>
  <c r="I630" i="3"/>
  <c r="J630" i="3"/>
  <c r="K630" i="3"/>
  <c r="B631" i="3"/>
  <c r="C631" i="3"/>
  <c r="D631" i="3"/>
  <c r="E631" i="3"/>
  <c r="F631" i="3"/>
  <c r="G631" i="3"/>
  <c r="H631" i="3"/>
  <c r="I631" i="3"/>
  <c r="J631" i="3"/>
  <c r="K631" i="3"/>
  <c r="B632" i="3"/>
  <c r="C632" i="3"/>
  <c r="D632" i="3"/>
  <c r="E632" i="3"/>
  <c r="F632" i="3"/>
  <c r="G632" i="3"/>
  <c r="H632" i="3"/>
  <c r="I632" i="3"/>
  <c r="J632" i="3"/>
  <c r="K632" i="3"/>
  <c r="B633" i="3"/>
  <c r="C633" i="3"/>
  <c r="D633" i="3"/>
  <c r="E633" i="3"/>
  <c r="F633" i="3"/>
  <c r="G633" i="3"/>
  <c r="H633" i="3"/>
  <c r="I633" i="3"/>
  <c r="J633" i="3"/>
  <c r="K633" i="3"/>
  <c r="B634" i="3"/>
  <c r="C634" i="3"/>
  <c r="D634" i="3"/>
  <c r="E634" i="3"/>
  <c r="F634" i="3"/>
  <c r="G634" i="3"/>
  <c r="H634" i="3"/>
  <c r="I634" i="3"/>
  <c r="J634" i="3"/>
  <c r="K634" i="3"/>
  <c r="B635" i="3"/>
  <c r="C635" i="3"/>
  <c r="D635" i="3"/>
  <c r="E635" i="3"/>
  <c r="F635" i="3"/>
  <c r="G635" i="3"/>
  <c r="H635" i="3"/>
  <c r="I635" i="3"/>
  <c r="J635" i="3"/>
  <c r="K635" i="3"/>
  <c r="B636" i="3"/>
  <c r="C636" i="3"/>
  <c r="D636" i="3"/>
  <c r="E636" i="3"/>
  <c r="F636" i="3"/>
  <c r="G636" i="3"/>
  <c r="H636" i="3"/>
  <c r="I636" i="3"/>
  <c r="J636" i="3"/>
  <c r="K636" i="3"/>
  <c r="B637" i="3"/>
  <c r="C637" i="3"/>
  <c r="D637" i="3"/>
  <c r="E637" i="3"/>
  <c r="F637" i="3"/>
  <c r="G637" i="3"/>
  <c r="H637" i="3"/>
  <c r="I637" i="3"/>
  <c r="J637" i="3"/>
  <c r="K637" i="3"/>
  <c r="B638" i="3"/>
  <c r="C638" i="3"/>
  <c r="D638" i="3"/>
  <c r="E638" i="3"/>
  <c r="F638" i="3"/>
  <c r="G638" i="3"/>
  <c r="H638" i="3"/>
  <c r="I638" i="3"/>
  <c r="J638" i="3"/>
  <c r="K638" i="3"/>
  <c r="B639" i="3"/>
  <c r="C639" i="3"/>
  <c r="D639" i="3"/>
  <c r="E639" i="3"/>
  <c r="F639" i="3"/>
  <c r="G639" i="3"/>
  <c r="H639" i="3"/>
  <c r="I639" i="3"/>
  <c r="J639" i="3"/>
  <c r="K639" i="3"/>
  <c r="B640" i="3"/>
  <c r="C640" i="3"/>
  <c r="D640" i="3"/>
  <c r="E640" i="3"/>
  <c r="F640" i="3"/>
  <c r="G640" i="3"/>
  <c r="H640" i="3"/>
  <c r="I640" i="3"/>
  <c r="J640" i="3"/>
  <c r="K640" i="3"/>
  <c r="B641" i="3"/>
  <c r="C641" i="3"/>
  <c r="D641" i="3"/>
  <c r="E641" i="3"/>
  <c r="F641" i="3"/>
  <c r="G641" i="3"/>
  <c r="H641" i="3"/>
  <c r="I641" i="3"/>
  <c r="J641" i="3"/>
  <c r="K641" i="3"/>
  <c r="B642" i="3"/>
  <c r="C642" i="3"/>
  <c r="D642" i="3"/>
  <c r="E642" i="3"/>
  <c r="F642" i="3"/>
  <c r="G642" i="3"/>
  <c r="H642" i="3"/>
  <c r="I642" i="3"/>
  <c r="J642" i="3"/>
  <c r="K642" i="3"/>
  <c r="B643" i="3"/>
  <c r="C643" i="3"/>
  <c r="D643" i="3"/>
  <c r="E643" i="3"/>
  <c r="F643" i="3"/>
  <c r="G643" i="3"/>
  <c r="H643" i="3"/>
  <c r="I643" i="3"/>
  <c r="J643" i="3"/>
  <c r="K643" i="3"/>
  <c r="B644" i="3"/>
  <c r="C644" i="3"/>
  <c r="D644" i="3"/>
  <c r="E644" i="3"/>
  <c r="F644" i="3"/>
  <c r="G644" i="3"/>
  <c r="H644" i="3"/>
  <c r="I644" i="3"/>
  <c r="J644" i="3"/>
  <c r="K644" i="3"/>
  <c r="B645" i="3"/>
  <c r="C645" i="3"/>
  <c r="D645" i="3"/>
  <c r="E645" i="3"/>
  <c r="F645" i="3"/>
  <c r="G645" i="3"/>
  <c r="H645" i="3"/>
  <c r="I645" i="3"/>
  <c r="J645" i="3"/>
  <c r="K645" i="3"/>
  <c r="B646" i="3"/>
  <c r="C646" i="3"/>
  <c r="D646" i="3"/>
  <c r="E646" i="3"/>
  <c r="F646" i="3"/>
  <c r="G646" i="3"/>
  <c r="H646" i="3"/>
  <c r="I646" i="3"/>
  <c r="J646" i="3"/>
  <c r="K646" i="3"/>
  <c r="B647" i="3"/>
  <c r="C647" i="3"/>
  <c r="D647" i="3"/>
  <c r="E647" i="3"/>
  <c r="F647" i="3"/>
  <c r="G647" i="3"/>
  <c r="H647" i="3"/>
  <c r="I647" i="3"/>
  <c r="J647" i="3"/>
  <c r="K647" i="3"/>
  <c r="B648" i="3"/>
  <c r="C648" i="3"/>
  <c r="D648" i="3"/>
  <c r="E648" i="3"/>
  <c r="F648" i="3"/>
  <c r="G648" i="3"/>
  <c r="H648" i="3"/>
  <c r="I648" i="3"/>
  <c r="J648" i="3"/>
  <c r="K648" i="3"/>
  <c r="B649" i="3"/>
  <c r="C649" i="3"/>
  <c r="D649" i="3"/>
  <c r="E649" i="3"/>
  <c r="F649" i="3"/>
  <c r="G649" i="3"/>
  <c r="H649" i="3"/>
  <c r="I649" i="3"/>
  <c r="J649" i="3"/>
  <c r="K649" i="3"/>
  <c r="B650" i="3"/>
  <c r="C650" i="3"/>
  <c r="D650" i="3"/>
  <c r="E650" i="3"/>
  <c r="F650" i="3"/>
  <c r="G650" i="3"/>
  <c r="H650" i="3"/>
  <c r="I650" i="3"/>
  <c r="J650" i="3"/>
  <c r="K650" i="3"/>
  <c r="B651" i="3"/>
  <c r="C651" i="3"/>
  <c r="D651" i="3"/>
  <c r="E651" i="3"/>
  <c r="F651" i="3"/>
  <c r="G651" i="3"/>
  <c r="H651" i="3"/>
  <c r="I651" i="3"/>
  <c r="J651" i="3"/>
  <c r="K651" i="3"/>
  <c r="B652" i="3"/>
  <c r="C652" i="3"/>
  <c r="D652" i="3"/>
  <c r="E652" i="3"/>
  <c r="F652" i="3"/>
  <c r="G652" i="3"/>
  <c r="H652" i="3"/>
  <c r="I652" i="3"/>
  <c r="J652" i="3"/>
  <c r="K652" i="3"/>
  <c r="B653" i="3"/>
  <c r="C653" i="3"/>
  <c r="D653" i="3"/>
  <c r="E653" i="3"/>
  <c r="F653" i="3"/>
  <c r="G653" i="3"/>
  <c r="H653" i="3"/>
  <c r="I653" i="3"/>
  <c r="J653" i="3"/>
  <c r="K653" i="3"/>
  <c r="B654" i="3"/>
  <c r="C654" i="3"/>
  <c r="D654" i="3"/>
  <c r="E654" i="3"/>
  <c r="F654" i="3"/>
  <c r="G654" i="3"/>
  <c r="H654" i="3"/>
  <c r="I654" i="3"/>
  <c r="J654" i="3"/>
  <c r="K654" i="3"/>
  <c r="B655" i="3"/>
  <c r="C655" i="3"/>
  <c r="D655" i="3"/>
  <c r="E655" i="3"/>
  <c r="F655" i="3"/>
  <c r="G655" i="3"/>
  <c r="H655" i="3"/>
  <c r="I655" i="3"/>
  <c r="J655" i="3"/>
  <c r="K655" i="3"/>
  <c r="B656" i="3"/>
  <c r="C656" i="3"/>
  <c r="D656" i="3"/>
  <c r="E656" i="3"/>
  <c r="F656" i="3"/>
  <c r="G656" i="3"/>
  <c r="H656" i="3"/>
  <c r="I656" i="3"/>
  <c r="J656" i="3"/>
  <c r="K656" i="3"/>
  <c r="B657" i="3"/>
  <c r="C657" i="3"/>
  <c r="D657" i="3"/>
  <c r="E657" i="3"/>
  <c r="F657" i="3"/>
  <c r="G657" i="3"/>
  <c r="H657" i="3"/>
  <c r="I657" i="3"/>
  <c r="J657" i="3"/>
  <c r="K657" i="3"/>
  <c r="B658" i="3"/>
  <c r="C658" i="3"/>
  <c r="D658" i="3"/>
  <c r="E658" i="3"/>
  <c r="F658" i="3"/>
  <c r="G658" i="3"/>
  <c r="H658" i="3"/>
  <c r="I658" i="3"/>
  <c r="J658" i="3"/>
  <c r="K658" i="3"/>
  <c r="B659" i="3"/>
  <c r="C659" i="3"/>
  <c r="D659" i="3"/>
  <c r="E659" i="3"/>
  <c r="F659" i="3"/>
  <c r="G659" i="3"/>
  <c r="H659" i="3"/>
  <c r="I659" i="3"/>
  <c r="J659" i="3"/>
  <c r="K659" i="3"/>
  <c r="B660" i="3"/>
  <c r="C660" i="3"/>
  <c r="D660" i="3"/>
  <c r="E660" i="3"/>
  <c r="F660" i="3"/>
  <c r="G660" i="3"/>
  <c r="H660" i="3"/>
  <c r="I660" i="3"/>
  <c r="J660" i="3"/>
  <c r="K660" i="3"/>
  <c r="B661" i="3"/>
  <c r="C661" i="3"/>
  <c r="D661" i="3"/>
  <c r="E661" i="3"/>
  <c r="F661" i="3"/>
  <c r="G661" i="3"/>
  <c r="H661" i="3"/>
  <c r="I661" i="3"/>
  <c r="J661" i="3"/>
  <c r="K661" i="3"/>
  <c r="B662" i="3"/>
  <c r="C662" i="3"/>
  <c r="D662" i="3"/>
  <c r="E662" i="3"/>
  <c r="F662" i="3"/>
  <c r="G662" i="3"/>
  <c r="H662" i="3"/>
  <c r="I662" i="3"/>
  <c r="J662" i="3"/>
  <c r="K662" i="3"/>
  <c r="B663" i="3"/>
  <c r="C663" i="3"/>
  <c r="D663" i="3"/>
  <c r="E663" i="3"/>
  <c r="F663" i="3"/>
  <c r="G663" i="3"/>
  <c r="H663" i="3"/>
  <c r="I663" i="3"/>
  <c r="J663" i="3"/>
  <c r="K663" i="3"/>
  <c r="B664" i="3"/>
  <c r="C664" i="3"/>
  <c r="D664" i="3"/>
  <c r="E664" i="3"/>
  <c r="F664" i="3"/>
  <c r="G664" i="3"/>
  <c r="H664" i="3"/>
  <c r="I664" i="3"/>
  <c r="J664" i="3"/>
  <c r="K664" i="3"/>
  <c r="B665" i="3"/>
  <c r="C665" i="3"/>
  <c r="D665" i="3"/>
  <c r="E665" i="3"/>
  <c r="F665" i="3"/>
  <c r="G665" i="3"/>
  <c r="H665" i="3"/>
  <c r="I665" i="3"/>
  <c r="J665" i="3"/>
  <c r="K665" i="3"/>
  <c r="B666" i="3"/>
  <c r="C666" i="3"/>
  <c r="D666" i="3"/>
  <c r="E666" i="3"/>
  <c r="F666" i="3"/>
  <c r="G666" i="3"/>
  <c r="H666" i="3"/>
  <c r="I666" i="3"/>
  <c r="J666" i="3"/>
  <c r="K666" i="3"/>
  <c r="B667" i="3"/>
  <c r="C667" i="3"/>
  <c r="D667" i="3"/>
  <c r="E667" i="3"/>
  <c r="F667" i="3"/>
  <c r="G667" i="3"/>
  <c r="H667" i="3"/>
  <c r="I667" i="3"/>
  <c r="J667" i="3"/>
  <c r="K667" i="3"/>
  <c r="B668" i="3"/>
  <c r="C668" i="3"/>
  <c r="D668" i="3"/>
  <c r="E668" i="3"/>
  <c r="F668" i="3"/>
  <c r="G668" i="3"/>
  <c r="H668" i="3"/>
  <c r="I668" i="3"/>
  <c r="J668" i="3"/>
  <c r="K668" i="3"/>
  <c r="B669" i="3"/>
  <c r="C669" i="3"/>
  <c r="D669" i="3"/>
  <c r="E669" i="3"/>
  <c r="F669" i="3"/>
  <c r="G669" i="3"/>
  <c r="H669" i="3"/>
  <c r="I669" i="3"/>
  <c r="J669" i="3"/>
  <c r="K669" i="3"/>
  <c r="B670" i="3"/>
  <c r="C670" i="3"/>
  <c r="D670" i="3"/>
  <c r="E670" i="3"/>
  <c r="F670" i="3"/>
  <c r="G670" i="3"/>
  <c r="H670" i="3"/>
  <c r="I670" i="3"/>
  <c r="J670" i="3"/>
  <c r="K670" i="3"/>
  <c r="B671" i="3"/>
  <c r="C671" i="3"/>
  <c r="D671" i="3"/>
  <c r="E671" i="3"/>
  <c r="F671" i="3"/>
  <c r="G671" i="3"/>
  <c r="H671" i="3"/>
  <c r="I671" i="3"/>
  <c r="J671" i="3"/>
  <c r="K671" i="3"/>
  <c r="B672" i="3"/>
  <c r="C672" i="3"/>
  <c r="D672" i="3"/>
  <c r="E672" i="3"/>
  <c r="F672" i="3"/>
  <c r="G672" i="3"/>
  <c r="H672" i="3"/>
  <c r="I672" i="3"/>
  <c r="J672" i="3"/>
  <c r="K672" i="3"/>
  <c r="B673" i="3"/>
  <c r="C673" i="3"/>
  <c r="D673" i="3"/>
  <c r="E673" i="3"/>
  <c r="F673" i="3"/>
  <c r="G673" i="3"/>
  <c r="H673" i="3"/>
  <c r="I673" i="3"/>
  <c r="J673" i="3"/>
  <c r="K673" i="3"/>
  <c r="B674" i="3"/>
  <c r="C674" i="3"/>
  <c r="D674" i="3"/>
  <c r="E674" i="3"/>
  <c r="F674" i="3"/>
  <c r="G674" i="3"/>
  <c r="H674" i="3"/>
  <c r="I674" i="3"/>
  <c r="J674" i="3"/>
  <c r="K674" i="3"/>
  <c r="B675" i="3"/>
  <c r="C675" i="3"/>
  <c r="D675" i="3"/>
  <c r="E675" i="3"/>
  <c r="F675" i="3"/>
  <c r="G675" i="3"/>
  <c r="H675" i="3"/>
  <c r="I675" i="3"/>
  <c r="J675" i="3"/>
  <c r="K675" i="3"/>
  <c r="B676" i="3"/>
  <c r="C676" i="3"/>
  <c r="D676" i="3"/>
  <c r="E676" i="3"/>
  <c r="F676" i="3"/>
  <c r="G676" i="3"/>
  <c r="H676" i="3"/>
  <c r="I676" i="3"/>
  <c r="J676" i="3"/>
  <c r="K676" i="3"/>
  <c r="B677" i="3"/>
  <c r="C677" i="3"/>
  <c r="D677" i="3"/>
  <c r="E677" i="3"/>
  <c r="F677" i="3"/>
  <c r="G677" i="3"/>
  <c r="H677" i="3"/>
  <c r="I677" i="3"/>
  <c r="J677" i="3"/>
  <c r="K677" i="3"/>
  <c r="B678" i="3"/>
  <c r="C678" i="3"/>
  <c r="D678" i="3"/>
  <c r="E678" i="3"/>
  <c r="F678" i="3"/>
  <c r="G678" i="3"/>
  <c r="H678" i="3"/>
  <c r="I678" i="3"/>
  <c r="J678" i="3"/>
  <c r="K678" i="3"/>
  <c r="B679" i="3"/>
  <c r="C679" i="3"/>
  <c r="D679" i="3"/>
  <c r="E679" i="3"/>
  <c r="F679" i="3"/>
  <c r="G679" i="3"/>
  <c r="H679" i="3"/>
  <c r="I679" i="3"/>
  <c r="J679" i="3"/>
  <c r="K679" i="3"/>
  <c r="B680" i="3"/>
  <c r="C680" i="3"/>
  <c r="D680" i="3"/>
  <c r="E680" i="3"/>
  <c r="F680" i="3"/>
  <c r="G680" i="3"/>
  <c r="H680" i="3"/>
  <c r="I680" i="3"/>
  <c r="J680" i="3"/>
  <c r="K680" i="3"/>
  <c r="B681" i="3"/>
  <c r="C681" i="3"/>
  <c r="D681" i="3"/>
  <c r="E681" i="3"/>
  <c r="F681" i="3"/>
  <c r="G681" i="3"/>
  <c r="H681" i="3"/>
  <c r="I681" i="3"/>
  <c r="J681" i="3"/>
  <c r="K681" i="3"/>
  <c r="B682" i="3"/>
  <c r="C682" i="3"/>
  <c r="D682" i="3"/>
  <c r="E682" i="3"/>
  <c r="F682" i="3"/>
  <c r="G682" i="3"/>
  <c r="H682" i="3"/>
  <c r="I682" i="3"/>
  <c r="J682" i="3"/>
  <c r="K682" i="3"/>
  <c r="B683" i="3"/>
  <c r="C683" i="3"/>
  <c r="D683" i="3"/>
  <c r="E683" i="3"/>
  <c r="F683" i="3"/>
  <c r="G683" i="3"/>
  <c r="H683" i="3"/>
  <c r="I683" i="3"/>
  <c r="J683" i="3"/>
  <c r="K683" i="3"/>
  <c r="B684" i="3"/>
  <c r="C684" i="3"/>
  <c r="D684" i="3"/>
  <c r="E684" i="3"/>
  <c r="F684" i="3"/>
  <c r="G684" i="3"/>
  <c r="H684" i="3"/>
  <c r="I684" i="3"/>
  <c r="J684" i="3"/>
  <c r="K684" i="3"/>
  <c r="B685" i="3"/>
  <c r="C685" i="3"/>
  <c r="D685" i="3"/>
  <c r="E685" i="3"/>
  <c r="F685" i="3"/>
  <c r="G685" i="3"/>
  <c r="H685" i="3"/>
  <c r="I685" i="3"/>
  <c r="J685" i="3"/>
  <c r="K685" i="3"/>
  <c r="B686" i="3"/>
  <c r="C686" i="3"/>
  <c r="D686" i="3"/>
  <c r="E686" i="3"/>
  <c r="F686" i="3"/>
  <c r="G686" i="3"/>
  <c r="H686" i="3"/>
  <c r="I686" i="3"/>
  <c r="J686" i="3"/>
  <c r="K686" i="3"/>
  <c r="B687" i="3"/>
  <c r="C687" i="3"/>
  <c r="D687" i="3"/>
  <c r="E687" i="3"/>
  <c r="F687" i="3"/>
  <c r="G687" i="3"/>
  <c r="H687" i="3"/>
  <c r="I687" i="3"/>
  <c r="J687" i="3"/>
  <c r="K687" i="3"/>
  <c r="B688" i="3"/>
  <c r="C688" i="3"/>
  <c r="D688" i="3"/>
  <c r="E688" i="3"/>
  <c r="F688" i="3"/>
  <c r="G688" i="3"/>
  <c r="H688" i="3"/>
  <c r="I688" i="3"/>
  <c r="J688" i="3"/>
  <c r="K688" i="3"/>
  <c r="B689" i="3"/>
  <c r="C689" i="3"/>
  <c r="D689" i="3"/>
  <c r="E689" i="3"/>
  <c r="F689" i="3"/>
  <c r="G689" i="3"/>
  <c r="H689" i="3"/>
  <c r="I689" i="3"/>
  <c r="J689" i="3"/>
  <c r="K689" i="3"/>
  <c r="B690" i="3"/>
  <c r="C690" i="3"/>
  <c r="D690" i="3"/>
  <c r="E690" i="3"/>
  <c r="F690" i="3"/>
  <c r="G690" i="3"/>
  <c r="H690" i="3"/>
  <c r="I690" i="3"/>
  <c r="J690" i="3"/>
  <c r="K690" i="3"/>
  <c r="B691" i="3"/>
  <c r="C691" i="3"/>
  <c r="D691" i="3"/>
  <c r="E691" i="3"/>
  <c r="F691" i="3"/>
  <c r="G691" i="3"/>
  <c r="H691" i="3"/>
  <c r="I691" i="3"/>
  <c r="J691" i="3"/>
  <c r="K691" i="3"/>
  <c r="B692" i="3"/>
  <c r="C692" i="3"/>
  <c r="D692" i="3"/>
  <c r="E692" i="3"/>
  <c r="F692" i="3"/>
  <c r="G692" i="3"/>
  <c r="H692" i="3"/>
  <c r="I692" i="3"/>
  <c r="J692" i="3"/>
  <c r="K692" i="3"/>
  <c r="B693" i="3"/>
  <c r="C693" i="3"/>
  <c r="D693" i="3"/>
  <c r="E693" i="3"/>
  <c r="F693" i="3"/>
  <c r="G693" i="3"/>
  <c r="H693" i="3"/>
  <c r="I693" i="3"/>
  <c r="J693" i="3"/>
  <c r="K693" i="3"/>
  <c r="B694" i="3"/>
  <c r="C694" i="3"/>
  <c r="D694" i="3"/>
  <c r="E694" i="3"/>
  <c r="F694" i="3"/>
  <c r="G694" i="3"/>
  <c r="H694" i="3"/>
  <c r="I694" i="3"/>
  <c r="J694" i="3"/>
  <c r="K694" i="3"/>
  <c r="B695" i="3"/>
  <c r="C695" i="3"/>
  <c r="D695" i="3"/>
  <c r="E695" i="3"/>
  <c r="F695" i="3"/>
  <c r="G695" i="3"/>
  <c r="H695" i="3"/>
  <c r="I695" i="3"/>
  <c r="J695" i="3"/>
  <c r="K695" i="3"/>
  <c r="B696" i="3"/>
  <c r="C696" i="3"/>
  <c r="D696" i="3"/>
  <c r="E696" i="3"/>
  <c r="F696" i="3"/>
  <c r="G696" i="3"/>
  <c r="H696" i="3"/>
  <c r="I696" i="3"/>
  <c r="J696" i="3"/>
  <c r="K696" i="3"/>
  <c r="B697" i="3"/>
  <c r="C697" i="3"/>
  <c r="D697" i="3"/>
  <c r="E697" i="3"/>
  <c r="F697" i="3"/>
  <c r="G697" i="3"/>
  <c r="H697" i="3"/>
  <c r="I697" i="3"/>
  <c r="J697" i="3"/>
  <c r="K697" i="3"/>
  <c r="B698" i="3"/>
  <c r="C698" i="3"/>
  <c r="D698" i="3"/>
  <c r="E698" i="3"/>
  <c r="F698" i="3"/>
  <c r="G698" i="3"/>
  <c r="H698" i="3"/>
  <c r="I698" i="3"/>
  <c r="J698" i="3"/>
  <c r="K698" i="3"/>
  <c r="B699" i="3"/>
  <c r="C699" i="3"/>
  <c r="D699" i="3"/>
  <c r="E699" i="3"/>
  <c r="F699" i="3"/>
  <c r="G699" i="3"/>
  <c r="H699" i="3"/>
  <c r="I699" i="3"/>
  <c r="J699" i="3"/>
  <c r="K699" i="3"/>
  <c r="B700" i="3"/>
  <c r="C700" i="3"/>
  <c r="D700" i="3"/>
  <c r="E700" i="3"/>
  <c r="F700" i="3"/>
  <c r="G700" i="3"/>
  <c r="H700" i="3"/>
  <c r="I700" i="3"/>
  <c r="J700" i="3"/>
  <c r="K700" i="3"/>
  <c r="B701" i="3"/>
  <c r="C701" i="3"/>
  <c r="D701" i="3"/>
  <c r="E701" i="3"/>
  <c r="F701" i="3"/>
  <c r="G701" i="3"/>
  <c r="H701" i="3"/>
  <c r="I701" i="3"/>
  <c r="J701" i="3"/>
  <c r="K701" i="3"/>
  <c r="B702" i="3"/>
  <c r="C702" i="3"/>
  <c r="D702" i="3"/>
  <c r="E702" i="3"/>
  <c r="F702" i="3"/>
  <c r="G702" i="3"/>
  <c r="H702" i="3"/>
  <c r="I702" i="3"/>
  <c r="J702" i="3"/>
  <c r="K702" i="3"/>
  <c r="B703" i="3"/>
  <c r="C703" i="3"/>
  <c r="D703" i="3"/>
  <c r="E703" i="3"/>
  <c r="F703" i="3"/>
  <c r="G703" i="3"/>
  <c r="H703" i="3"/>
  <c r="I703" i="3"/>
  <c r="J703" i="3"/>
  <c r="K703" i="3"/>
  <c r="B704" i="3"/>
  <c r="C704" i="3"/>
  <c r="D704" i="3"/>
  <c r="E704" i="3"/>
  <c r="F704" i="3"/>
  <c r="G704" i="3"/>
  <c r="H704" i="3"/>
  <c r="I704" i="3"/>
  <c r="J704" i="3"/>
  <c r="K704" i="3"/>
  <c r="B705" i="3"/>
  <c r="C705" i="3"/>
  <c r="D705" i="3"/>
  <c r="E705" i="3"/>
  <c r="F705" i="3"/>
  <c r="G705" i="3"/>
  <c r="H705" i="3"/>
  <c r="I705" i="3"/>
  <c r="J705" i="3"/>
  <c r="K705" i="3"/>
  <c r="B706" i="3"/>
  <c r="C706" i="3"/>
  <c r="D706" i="3"/>
  <c r="E706" i="3"/>
  <c r="F706" i="3"/>
  <c r="G706" i="3"/>
  <c r="H706" i="3"/>
  <c r="I706" i="3"/>
  <c r="J706" i="3"/>
  <c r="K706" i="3"/>
  <c r="B707" i="3"/>
  <c r="C707" i="3"/>
  <c r="D707" i="3"/>
  <c r="E707" i="3"/>
  <c r="F707" i="3"/>
  <c r="G707" i="3"/>
  <c r="H707" i="3"/>
  <c r="I707" i="3"/>
  <c r="J707" i="3"/>
  <c r="K707" i="3"/>
  <c r="B708" i="3"/>
  <c r="C708" i="3"/>
  <c r="D708" i="3"/>
  <c r="E708" i="3"/>
  <c r="F708" i="3"/>
  <c r="G708" i="3"/>
  <c r="H708" i="3"/>
  <c r="I708" i="3"/>
  <c r="J708" i="3"/>
  <c r="K708" i="3"/>
  <c r="B709" i="3"/>
  <c r="C709" i="3"/>
  <c r="D709" i="3"/>
  <c r="E709" i="3"/>
  <c r="F709" i="3"/>
  <c r="G709" i="3"/>
  <c r="H709" i="3"/>
  <c r="I709" i="3"/>
  <c r="J709" i="3"/>
  <c r="K709" i="3"/>
  <c r="B710" i="3"/>
  <c r="C710" i="3"/>
  <c r="D710" i="3"/>
  <c r="E710" i="3"/>
  <c r="F710" i="3"/>
  <c r="G710" i="3"/>
  <c r="H710" i="3"/>
  <c r="I710" i="3"/>
  <c r="J710" i="3"/>
  <c r="K710" i="3"/>
  <c r="B711" i="3"/>
  <c r="C711" i="3"/>
  <c r="D711" i="3"/>
  <c r="E711" i="3"/>
  <c r="F711" i="3"/>
  <c r="G711" i="3"/>
  <c r="H711" i="3"/>
  <c r="I711" i="3"/>
  <c r="J711" i="3"/>
  <c r="K711" i="3"/>
  <c r="B712" i="3"/>
  <c r="C712" i="3"/>
  <c r="D712" i="3"/>
  <c r="E712" i="3"/>
  <c r="F712" i="3"/>
  <c r="G712" i="3"/>
  <c r="H712" i="3"/>
  <c r="I712" i="3"/>
  <c r="J712" i="3"/>
  <c r="K712" i="3"/>
  <c r="B713" i="3"/>
  <c r="C713" i="3"/>
  <c r="D713" i="3"/>
  <c r="E713" i="3"/>
  <c r="F713" i="3"/>
  <c r="G713" i="3"/>
  <c r="H713" i="3"/>
  <c r="I713" i="3"/>
  <c r="J713" i="3"/>
  <c r="K713" i="3"/>
  <c r="B714" i="3"/>
  <c r="C714" i="3"/>
  <c r="D714" i="3"/>
  <c r="E714" i="3"/>
  <c r="F714" i="3"/>
  <c r="G714" i="3"/>
  <c r="H714" i="3"/>
  <c r="I714" i="3"/>
  <c r="J714" i="3"/>
  <c r="K714" i="3"/>
  <c r="B715" i="3"/>
  <c r="C715" i="3"/>
  <c r="D715" i="3"/>
  <c r="E715" i="3"/>
  <c r="F715" i="3"/>
  <c r="G715" i="3"/>
  <c r="H715" i="3"/>
  <c r="I715" i="3"/>
  <c r="J715" i="3"/>
  <c r="K715" i="3"/>
  <c r="B716" i="3"/>
  <c r="C716" i="3"/>
  <c r="D716" i="3"/>
  <c r="E716" i="3"/>
  <c r="F716" i="3"/>
  <c r="G716" i="3"/>
  <c r="H716" i="3"/>
  <c r="I716" i="3"/>
  <c r="J716" i="3"/>
  <c r="K716" i="3"/>
  <c r="B717" i="3"/>
  <c r="C717" i="3"/>
  <c r="D717" i="3"/>
  <c r="E717" i="3"/>
  <c r="F717" i="3"/>
  <c r="G717" i="3"/>
  <c r="H717" i="3"/>
  <c r="I717" i="3"/>
  <c r="J717" i="3"/>
  <c r="K717" i="3"/>
  <c r="B718" i="3"/>
  <c r="C718" i="3"/>
  <c r="D718" i="3"/>
  <c r="E718" i="3"/>
  <c r="F718" i="3"/>
  <c r="G718" i="3"/>
  <c r="H718" i="3"/>
  <c r="I718" i="3"/>
  <c r="J718" i="3"/>
  <c r="K718" i="3"/>
  <c r="B719" i="3"/>
  <c r="C719" i="3"/>
  <c r="D719" i="3"/>
  <c r="E719" i="3"/>
  <c r="F719" i="3"/>
  <c r="G719" i="3"/>
  <c r="H719" i="3"/>
  <c r="I719" i="3"/>
  <c r="J719" i="3"/>
  <c r="K719" i="3"/>
  <c r="B720" i="3"/>
  <c r="C720" i="3"/>
  <c r="D720" i="3"/>
  <c r="E720" i="3"/>
  <c r="F720" i="3"/>
  <c r="G720" i="3"/>
  <c r="H720" i="3"/>
  <c r="I720" i="3"/>
  <c r="J720" i="3"/>
  <c r="K720" i="3"/>
  <c r="B721" i="3"/>
  <c r="C721" i="3"/>
  <c r="D721" i="3"/>
  <c r="E721" i="3"/>
  <c r="F721" i="3"/>
  <c r="G721" i="3"/>
  <c r="H721" i="3"/>
  <c r="I721" i="3"/>
  <c r="J721" i="3"/>
  <c r="K721" i="3"/>
  <c r="B722" i="3"/>
  <c r="C722" i="3"/>
  <c r="D722" i="3"/>
  <c r="E722" i="3"/>
  <c r="F722" i="3"/>
  <c r="G722" i="3"/>
  <c r="H722" i="3"/>
  <c r="I722" i="3"/>
  <c r="J722" i="3"/>
  <c r="K722" i="3"/>
  <c r="B723" i="3"/>
  <c r="C723" i="3"/>
  <c r="D723" i="3"/>
  <c r="E723" i="3"/>
  <c r="F723" i="3"/>
  <c r="G723" i="3"/>
  <c r="H723" i="3"/>
  <c r="I723" i="3"/>
  <c r="J723" i="3"/>
  <c r="K723" i="3"/>
  <c r="B724" i="3"/>
  <c r="C724" i="3"/>
  <c r="D724" i="3"/>
  <c r="E724" i="3"/>
  <c r="F724" i="3"/>
  <c r="G724" i="3"/>
  <c r="H724" i="3"/>
  <c r="I724" i="3"/>
  <c r="J724" i="3"/>
  <c r="K724" i="3"/>
  <c r="B725" i="3"/>
  <c r="C725" i="3"/>
  <c r="D725" i="3"/>
  <c r="E725" i="3"/>
  <c r="F725" i="3"/>
  <c r="G725" i="3"/>
  <c r="H725" i="3"/>
  <c r="I725" i="3"/>
  <c r="J725" i="3"/>
  <c r="K725" i="3"/>
  <c r="B726" i="3"/>
  <c r="C726" i="3"/>
  <c r="D726" i="3"/>
  <c r="E726" i="3"/>
  <c r="F726" i="3"/>
  <c r="G726" i="3"/>
  <c r="H726" i="3"/>
  <c r="I726" i="3"/>
  <c r="J726" i="3"/>
  <c r="K726" i="3"/>
  <c r="B727" i="3"/>
  <c r="C727" i="3"/>
  <c r="D727" i="3"/>
  <c r="E727" i="3"/>
  <c r="F727" i="3"/>
  <c r="G727" i="3"/>
  <c r="H727" i="3"/>
  <c r="I727" i="3"/>
  <c r="J727" i="3"/>
  <c r="K727" i="3"/>
  <c r="B728" i="3"/>
  <c r="C728" i="3"/>
  <c r="D728" i="3"/>
  <c r="E728" i="3"/>
  <c r="F728" i="3"/>
  <c r="G728" i="3"/>
  <c r="H728" i="3"/>
  <c r="I728" i="3"/>
  <c r="J728" i="3"/>
  <c r="K728" i="3"/>
  <c r="B729" i="3"/>
  <c r="C729" i="3"/>
  <c r="D729" i="3"/>
  <c r="E729" i="3"/>
  <c r="F729" i="3"/>
  <c r="G729" i="3"/>
  <c r="H729" i="3"/>
  <c r="I729" i="3"/>
  <c r="J729" i="3"/>
  <c r="K729" i="3"/>
  <c r="B730" i="3"/>
  <c r="C730" i="3"/>
  <c r="D730" i="3"/>
  <c r="E730" i="3"/>
  <c r="F730" i="3"/>
  <c r="G730" i="3"/>
  <c r="H730" i="3"/>
  <c r="I730" i="3"/>
  <c r="J730" i="3"/>
  <c r="K730" i="3"/>
  <c r="B731" i="3"/>
  <c r="C731" i="3"/>
  <c r="D731" i="3"/>
  <c r="E731" i="3"/>
  <c r="F731" i="3"/>
  <c r="G731" i="3"/>
  <c r="H731" i="3"/>
  <c r="I731" i="3"/>
  <c r="J731" i="3"/>
  <c r="K731" i="3"/>
  <c r="B732" i="3"/>
  <c r="C732" i="3"/>
  <c r="D732" i="3"/>
  <c r="E732" i="3"/>
  <c r="F732" i="3"/>
  <c r="G732" i="3"/>
  <c r="H732" i="3"/>
  <c r="I732" i="3"/>
  <c r="J732" i="3"/>
  <c r="K732" i="3"/>
  <c r="B733" i="3"/>
  <c r="C733" i="3"/>
  <c r="D733" i="3"/>
  <c r="E733" i="3"/>
  <c r="F733" i="3"/>
  <c r="G733" i="3"/>
  <c r="H733" i="3"/>
  <c r="I733" i="3"/>
  <c r="J733" i="3"/>
  <c r="K733" i="3"/>
  <c r="B734" i="3"/>
  <c r="C734" i="3"/>
  <c r="D734" i="3"/>
  <c r="E734" i="3"/>
  <c r="F734" i="3"/>
  <c r="G734" i="3"/>
  <c r="H734" i="3"/>
  <c r="I734" i="3"/>
  <c r="J734" i="3"/>
  <c r="K734" i="3"/>
  <c r="B735" i="3"/>
  <c r="C735" i="3"/>
  <c r="D735" i="3"/>
  <c r="E735" i="3"/>
  <c r="F735" i="3"/>
  <c r="G735" i="3"/>
  <c r="H735" i="3"/>
  <c r="I735" i="3"/>
  <c r="J735" i="3"/>
  <c r="K735" i="3"/>
  <c r="B736" i="3"/>
  <c r="C736" i="3"/>
  <c r="D736" i="3"/>
  <c r="E736" i="3"/>
  <c r="F736" i="3"/>
  <c r="G736" i="3"/>
  <c r="H736" i="3"/>
  <c r="I736" i="3"/>
  <c r="J736" i="3"/>
  <c r="K736" i="3"/>
  <c r="B737" i="3"/>
  <c r="C737" i="3"/>
  <c r="D737" i="3"/>
  <c r="E737" i="3"/>
  <c r="F737" i="3"/>
  <c r="G737" i="3"/>
  <c r="H737" i="3"/>
  <c r="I737" i="3"/>
  <c r="J737" i="3"/>
  <c r="K737" i="3"/>
  <c r="B738" i="3"/>
  <c r="C738" i="3"/>
  <c r="D738" i="3"/>
  <c r="E738" i="3"/>
  <c r="F738" i="3"/>
  <c r="G738" i="3"/>
  <c r="H738" i="3"/>
  <c r="I738" i="3"/>
  <c r="J738" i="3"/>
  <c r="K738" i="3"/>
  <c r="B739" i="3"/>
  <c r="C739" i="3"/>
  <c r="D739" i="3"/>
  <c r="E739" i="3"/>
  <c r="F739" i="3"/>
  <c r="G739" i="3"/>
  <c r="H739" i="3"/>
  <c r="I739" i="3"/>
  <c r="J739" i="3"/>
  <c r="K739" i="3"/>
  <c r="B740" i="3"/>
  <c r="C740" i="3"/>
  <c r="D740" i="3"/>
  <c r="E740" i="3"/>
  <c r="F740" i="3"/>
  <c r="G740" i="3"/>
  <c r="H740" i="3"/>
  <c r="I740" i="3"/>
  <c r="J740" i="3"/>
  <c r="K740" i="3"/>
  <c r="B741" i="3"/>
  <c r="C741" i="3"/>
  <c r="D741" i="3"/>
  <c r="E741" i="3"/>
  <c r="F741" i="3"/>
  <c r="G741" i="3"/>
  <c r="H741" i="3"/>
  <c r="I741" i="3"/>
  <c r="J741" i="3"/>
  <c r="K741" i="3"/>
  <c r="B742" i="3"/>
  <c r="C742" i="3"/>
  <c r="D742" i="3"/>
  <c r="E742" i="3"/>
  <c r="F742" i="3"/>
  <c r="G742" i="3"/>
  <c r="H742" i="3"/>
  <c r="I742" i="3"/>
  <c r="J742" i="3"/>
  <c r="K742" i="3"/>
  <c r="B743" i="3"/>
  <c r="C743" i="3"/>
  <c r="D743" i="3"/>
  <c r="E743" i="3"/>
  <c r="F743" i="3"/>
  <c r="G743" i="3"/>
  <c r="H743" i="3"/>
  <c r="I743" i="3"/>
  <c r="J743" i="3"/>
  <c r="K743" i="3"/>
  <c r="B744" i="3"/>
  <c r="C744" i="3"/>
  <c r="D744" i="3"/>
  <c r="E744" i="3"/>
  <c r="F744" i="3"/>
  <c r="G744" i="3"/>
  <c r="H744" i="3"/>
  <c r="I744" i="3"/>
  <c r="J744" i="3"/>
  <c r="K744" i="3"/>
  <c r="B745" i="3"/>
  <c r="C745" i="3"/>
  <c r="D745" i="3"/>
  <c r="E745" i="3"/>
  <c r="F745" i="3"/>
  <c r="G745" i="3"/>
  <c r="H745" i="3"/>
  <c r="I745" i="3"/>
  <c r="J745" i="3"/>
  <c r="K745" i="3"/>
  <c r="B746" i="3"/>
  <c r="C746" i="3"/>
  <c r="D746" i="3"/>
  <c r="E746" i="3"/>
  <c r="F746" i="3"/>
  <c r="G746" i="3"/>
  <c r="H746" i="3"/>
  <c r="I746" i="3"/>
  <c r="J746" i="3"/>
  <c r="K746" i="3"/>
  <c r="B747" i="3"/>
  <c r="C747" i="3"/>
  <c r="D747" i="3"/>
  <c r="E747" i="3"/>
  <c r="F747" i="3"/>
  <c r="G747" i="3"/>
  <c r="H747" i="3"/>
  <c r="I747" i="3"/>
  <c r="J747" i="3"/>
  <c r="K747" i="3"/>
  <c r="B748" i="3"/>
  <c r="C748" i="3"/>
  <c r="D748" i="3"/>
  <c r="E748" i="3"/>
  <c r="F748" i="3"/>
  <c r="G748" i="3"/>
  <c r="H748" i="3"/>
  <c r="I748" i="3"/>
  <c r="J748" i="3"/>
  <c r="K748" i="3"/>
  <c r="B749" i="3"/>
  <c r="C749" i="3"/>
  <c r="D749" i="3"/>
  <c r="E749" i="3"/>
  <c r="F749" i="3"/>
  <c r="G749" i="3"/>
  <c r="H749" i="3"/>
  <c r="I749" i="3"/>
  <c r="J749" i="3"/>
  <c r="K749" i="3"/>
  <c r="B750" i="3"/>
  <c r="C750" i="3"/>
  <c r="D750" i="3"/>
  <c r="E750" i="3"/>
  <c r="F750" i="3"/>
  <c r="G750" i="3"/>
  <c r="H750" i="3"/>
  <c r="I750" i="3"/>
  <c r="J750" i="3"/>
  <c r="K750" i="3"/>
  <c r="B751" i="3"/>
  <c r="C751" i="3"/>
  <c r="D751" i="3"/>
  <c r="E751" i="3"/>
  <c r="F751" i="3"/>
  <c r="G751" i="3"/>
  <c r="H751" i="3"/>
  <c r="I751" i="3"/>
  <c r="J751" i="3"/>
  <c r="K751" i="3"/>
  <c r="B752" i="3"/>
  <c r="C752" i="3"/>
  <c r="D752" i="3"/>
  <c r="E752" i="3"/>
  <c r="F752" i="3"/>
  <c r="G752" i="3"/>
  <c r="H752" i="3"/>
  <c r="I752" i="3"/>
  <c r="J752" i="3"/>
  <c r="K752" i="3"/>
  <c r="B753" i="3"/>
  <c r="C753" i="3"/>
  <c r="D753" i="3"/>
  <c r="E753" i="3"/>
  <c r="F753" i="3"/>
  <c r="G753" i="3"/>
  <c r="H753" i="3"/>
  <c r="I753" i="3"/>
  <c r="J753" i="3"/>
  <c r="K753" i="3"/>
  <c r="B754" i="3"/>
  <c r="C754" i="3"/>
  <c r="D754" i="3"/>
  <c r="E754" i="3"/>
  <c r="F754" i="3"/>
  <c r="G754" i="3"/>
  <c r="H754" i="3"/>
  <c r="I754" i="3"/>
  <c r="J754" i="3"/>
  <c r="K754" i="3"/>
  <c r="B755" i="3"/>
  <c r="C755" i="3"/>
  <c r="D755" i="3"/>
  <c r="E755" i="3"/>
  <c r="F755" i="3"/>
  <c r="G755" i="3"/>
  <c r="H755" i="3"/>
  <c r="I755" i="3"/>
  <c r="J755" i="3"/>
  <c r="K755" i="3"/>
  <c r="B756" i="3"/>
  <c r="C756" i="3"/>
  <c r="D756" i="3"/>
  <c r="E756" i="3"/>
  <c r="F756" i="3"/>
  <c r="G756" i="3"/>
  <c r="H756" i="3"/>
  <c r="I756" i="3"/>
  <c r="J756" i="3"/>
  <c r="K756" i="3"/>
  <c r="B757" i="3"/>
  <c r="C757" i="3"/>
  <c r="D757" i="3"/>
  <c r="E757" i="3"/>
  <c r="F757" i="3"/>
  <c r="G757" i="3"/>
  <c r="H757" i="3"/>
  <c r="I757" i="3"/>
  <c r="J757" i="3"/>
  <c r="K757" i="3"/>
  <c r="B758" i="3"/>
  <c r="C758" i="3"/>
  <c r="D758" i="3"/>
  <c r="E758" i="3"/>
  <c r="F758" i="3"/>
  <c r="G758" i="3"/>
  <c r="H758" i="3"/>
  <c r="I758" i="3"/>
  <c r="J758" i="3"/>
  <c r="K758" i="3"/>
  <c r="B759" i="3"/>
  <c r="C759" i="3"/>
  <c r="D759" i="3"/>
  <c r="E759" i="3"/>
  <c r="F759" i="3"/>
  <c r="G759" i="3"/>
  <c r="H759" i="3"/>
  <c r="I759" i="3"/>
  <c r="J759" i="3"/>
  <c r="K759" i="3"/>
  <c r="B760" i="3"/>
  <c r="C760" i="3"/>
  <c r="D760" i="3"/>
  <c r="E760" i="3"/>
  <c r="F760" i="3"/>
  <c r="G760" i="3"/>
  <c r="H760" i="3"/>
  <c r="I760" i="3"/>
  <c r="J760" i="3"/>
  <c r="K760" i="3"/>
  <c r="B761" i="3"/>
  <c r="C761" i="3"/>
  <c r="D761" i="3"/>
  <c r="E761" i="3"/>
  <c r="F761" i="3"/>
  <c r="G761" i="3"/>
  <c r="H761" i="3"/>
  <c r="I761" i="3"/>
  <c r="J761" i="3"/>
  <c r="K761" i="3"/>
  <c r="B762" i="3"/>
  <c r="C762" i="3"/>
  <c r="D762" i="3"/>
  <c r="E762" i="3"/>
  <c r="F762" i="3"/>
  <c r="G762" i="3"/>
  <c r="H762" i="3"/>
  <c r="I762" i="3"/>
  <c r="J762" i="3"/>
  <c r="K762" i="3"/>
  <c r="B763" i="3"/>
  <c r="C763" i="3"/>
  <c r="D763" i="3"/>
  <c r="E763" i="3"/>
  <c r="F763" i="3"/>
  <c r="G763" i="3"/>
  <c r="H763" i="3"/>
  <c r="I763" i="3"/>
  <c r="J763" i="3"/>
  <c r="K763" i="3"/>
  <c r="B764" i="3"/>
  <c r="C764" i="3"/>
  <c r="D764" i="3"/>
  <c r="E764" i="3"/>
  <c r="F764" i="3"/>
  <c r="G764" i="3"/>
  <c r="H764" i="3"/>
  <c r="I764" i="3"/>
  <c r="J764" i="3"/>
  <c r="K764" i="3"/>
  <c r="B765" i="3"/>
  <c r="C765" i="3"/>
  <c r="D765" i="3"/>
  <c r="E765" i="3"/>
  <c r="F765" i="3"/>
  <c r="G765" i="3"/>
  <c r="H765" i="3"/>
  <c r="I765" i="3"/>
  <c r="J765" i="3"/>
  <c r="K765" i="3"/>
  <c r="B766" i="3"/>
  <c r="C766" i="3"/>
  <c r="D766" i="3"/>
  <c r="E766" i="3"/>
  <c r="F766" i="3"/>
  <c r="G766" i="3"/>
  <c r="H766" i="3"/>
  <c r="I766" i="3"/>
  <c r="J766" i="3"/>
  <c r="K766" i="3"/>
  <c r="B767" i="3"/>
  <c r="C767" i="3"/>
  <c r="D767" i="3"/>
  <c r="E767" i="3"/>
  <c r="F767" i="3"/>
  <c r="G767" i="3"/>
  <c r="H767" i="3"/>
  <c r="I767" i="3"/>
  <c r="J767" i="3"/>
  <c r="K767" i="3"/>
  <c r="B768" i="3"/>
  <c r="C768" i="3"/>
  <c r="D768" i="3"/>
  <c r="E768" i="3"/>
  <c r="F768" i="3"/>
  <c r="G768" i="3"/>
  <c r="H768" i="3"/>
  <c r="I768" i="3"/>
  <c r="J768" i="3"/>
  <c r="K768" i="3"/>
  <c r="B769" i="3"/>
  <c r="C769" i="3"/>
  <c r="D769" i="3"/>
  <c r="E769" i="3"/>
  <c r="F769" i="3"/>
  <c r="G769" i="3"/>
  <c r="H769" i="3"/>
  <c r="I769" i="3"/>
  <c r="J769" i="3"/>
  <c r="K769" i="3"/>
  <c r="B770" i="3"/>
  <c r="C770" i="3"/>
  <c r="D770" i="3"/>
  <c r="E770" i="3"/>
  <c r="F770" i="3"/>
  <c r="G770" i="3"/>
  <c r="H770" i="3"/>
  <c r="I770" i="3"/>
  <c r="J770" i="3"/>
  <c r="K770" i="3"/>
  <c r="B771" i="3"/>
  <c r="C771" i="3"/>
  <c r="D771" i="3"/>
  <c r="E771" i="3"/>
  <c r="F771" i="3"/>
  <c r="G771" i="3"/>
  <c r="H771" i="3"/>
  <c r="I771" i="3"/>
  <c r="J771" i="3"/>
  <c r="K771" i="3"/>
  <c r="B772" i="3"/>
  <c r="C772" i="3"/>
  <c r="D772" i="3"/>
  <c r="E772" i="3"/>
  <c r="F772" i="3"/>
  <c r="G772" i="3"/>
  <c r="H772" i="3"/>
  <c r="I772" i="3"/>
  <c r="J772" i="3"/>
  <c r="K772" i="3"/>
  <c r="B773" i="3"/>
  <c r="C773" i="3"/>
  <c r="D773" i="3"/>
  <c r="E773" i="3"/>
  <c r="F773" i="3"/>
  <c r="G773" i="3"/>
  <c r="H773" i="3"/>
  <c r="I773" i="3"/>
  <c r="J773" i="3"/>
  <c r="K773" i="3"/>
  <c r="B774" i="3"/>
  <c r="C774" i="3"/>
  <c r="D774" i="3"/>
  <c r="E774" i="3"/>
  <c r="F774" i="3"/>
  <c r="G774" i="3"/>
  <c r="H774" i="3"/>
  <c r="I774" i="3"/>
  <c r="J774" i="3"/>
  <c r="K774" i="3"/>
  <c r="B775" i="3"/>
  <c r="C775" i="3"/>
  <c r="D775" i="3"/>
  <c r="E775" i="3"/>
  <c r="F775" i="3"/>
  <c r="G775" i="3"/>
  <c r="H775" i="3"/>
  <c r="I775" i="3"/>
  <c r="J775" i="3"/>
  <c r="K775" i="3"/>
  <c r="B776" i="3"/>
  <c r="C776" i="3"/>
  <c r="D776" i="3"/>
  <c r="E776" i="3"/>
  <c r="F776" i="3"/>
  <c r="G776" i="3"/>
  <c r="H776" i="3"/>
  <c r="I776" i="3"/>
  <c r="J776" i="3"/>
  <c r="K776" i="3"/>
  <c r="B777" i="3"/>
  <c r="C777" i="3"/>
  <c r="D777" i="3"/>
  <c r="E777" i="3"/>
  <c r="F777" i="3"/>
  <c r="G777" i="3"/>
  <c r="H777" i="3"/>
  <c r="I777" i="3"/>
  <c r="J777" i="3"/>
  <c r="K777" i="3"/>
  <c r="B778" i="3"/>
  <c r="C778" i="3"/>
  <c r="D778" i="3"/>
  <c r="E778" i="3"/>
  <c r="F778" i="3"/>
  <c r="G778" i="3"/>
  <c r="H778" i="3"/>
  <c r="I778" i="3"/>
  <c r="J778" i="3"/>
  <c r="K778" i="3"/>
  <c r="B779" i="3"/>
  <c r="C779" i="3"/>
  <c r="D779" i="3"/>
  <c r="E779" i="3"/>
  <c r="F779" i="3"/>
  <c r="G779" i="3"/>
  <c r="H779" i="3"/>
  <c r="I779" i="3"/>
  <c r="J779" i="3"/>
  <c r="K779" i="3"/>
  <c r="B780" i="3"/>
  <c r="C780" i="3"/>
  <c r="D780" i="3"/>
  <c r="E780" i="3"/>
  <c r="F780" i="3"/>
  <c r="G780" i="3"/>
  <c r="H780" i="3"/>
  <c r="I780" i="3"/>
  <c r="J780" i="3"/>
  <c r="K780" i="3"/>
  <c r="B781" i="3"/>
  <c r="C781" i="3"/>
  <c r="D781" i="3"/>
  <c r="E781" i="3"/>
  <c r="F781" i="3"/>
  <c r="G781" i="3"/>
  <c r="H781" i="3"/>
  <c r="I781" i="3"/>
  <c r="J781" i="3"/>
  <c r="K781" i="3"/>
  <c r="B782" i="3"/>
  <c r="C782" i="3"/>
  <c r="D782" i="3"/>
  <c r="E782" i="3"/>
  <c r="F782" i="3"/>
  <c r="G782" i="3"/>
  <c r="H782" i="3"/>
  <c r="I782" i="3"/>
  <c r="J782" i="3"/>
  <c r="K782" i="3"/>
  <c r="B783" i="3"/>
  <c r="C783" i="3"/>
  <c r="D783" i="3"/>
  <c r="E783" i="3"/>
  <c r="F783" i="3"/>
  <c r="G783" i="3"/>
  <c r="H783" i="3"/>
  <c r="I783" i="3"/>
  <c r="J783" i="3"/>
  <c r="K783" i="3"/>
  <c r="B784" i="3"/>
  <c r="C784" i="3"/>
  <c r="D784" i="3"/>
  <c r="E784" i="3"/>
  <c r="F784" i="3"/>
  <c r="G784" i="3"/>
  <c r="H784" i="3"/>
  <c r="I784" i="3"/>
  <c r="J784" i="3"/>
  <c r="K784" i="3"/>
  <c r="B785" i="3"/>
  <c r="C785" i="3"/>
  <c r="D785" i="3"/>
  <c r="E785" i="3"/>
  <c r="F785" i="3"/>
  <c r="G785" i="3"/>
  <c r="H785" i="3"/>
  <c r="I785" i="3"/>
  <c r="J785" i="3"/>
  <c r="K785" i="3"/>
  <c r="B786" i="3"/>
  <c r="C786" i="3"/>
  <c r="D786" i="3"/>
  <c r="E786" i="3"/>
  <c r="F786" i="3"/>
  <c r="G786" i="3"/>
  <c r="H786" i="3"/>
  <c r="I786" i="3"/>
  <c r="J786" i="3"/>
  <c r="K786" i="3"/>
  <c r="B787" i="3"/>
  <c r="C787" i="3"/>
  <c r="D787" i="3"/>
  <c r="E787" i="3"/>
  <c r="F787" i="3"/>
  <c r="G787" i="3"/>
  <c r="H787" i="3"/>
  <c r="I787" i="3"/>
  <c r="J787" i="3"/>
  <c r="K787" i="3"/>
  <c r="B788" i="3"/>
  <c r="C788" i="3"/>
  <c r="D788" i="3"/>
  <c r="E788" i="3"/>
  <c r="F788" i="3"/>
  <c r="G788" i="3"/>
  <c r="H788" i="3"/>
  <c r="I788" i="3"/>
  <c r="J788" i="3"/>
  <c r="K788" i="3"/>
  <c r="B789" i="3"/>
  <c r="C789" i="3"/>
  <c r="D789" i="3"/>
  <c r="E789" i="3"/>
  <c r="F789" i="3"/>
  <c r="G789" i="3"/>
  <c r="H789" i="3"/>
  <c r="I789" i="3"/>
  <c r="J789" i="3"/>
  <c r="K789" i="3"/>
  <c r="B790" i="3"/>
  <c r="C790" i="3"/>
  <c r="D790" i="3"/>
  <c r="E790" i="3"/>
  <c r="F790" i="3"/>
  <c r="G790" i="3"/>
  <c r="H790" i="3"/>
  <c r="I790" i="3"/>
  <c r="J790" i="3"/>
  <c r="K790" i="3"/>
  <c r="B791" i="3"/>
  <c r="C791" i="3"/>
  <c r="D791" i="3"/>
  <c r="E791" i="3"/>
  <c r="F791" i="3"/>
  <c r="G791" i="3"/>
  <c r="H791" i="3"/>
  <c r="I791" i="3"/>
  <c r="J791" i="3"/>
  <c r="K791" i="3"/>
  <c r="B792" i="3"/>
  <c r="C792" i="3"/>
  <c r="D792" i="3"/>
  <c r="E792" i="3"/>
  <c r="F792" i="3"/>
  <c r="G792" i="3"/>
  <c r="H792" i="3"/>
  <c r="I792" i="3"/>
  <c r="J792" i="3"/>
  <c r="K792" i="3"/>
  <c r="B793" i="3"/>
  <c r="C793" i="3"/>
  <c r="D793" i="3"/>
  <c r="E793" i="3"/>
  <c r="F793" i="3"/>
  <c r="G793" i="3"/>
  <c r="H793" i="3"/>
  <c r="I793" i="3"/>
  <c r="J793" i="3"/>
  <c r="K793" i="3"/>
  <c r="B794" i="3"/>
  <c r="C794" i="3"/>
  <c r="D794" i="3"/>
  <c r="E794" i="3"/>
  <c r="F794" i="3"/>
  <c r="G794" i="3"/>
  <c r="H794" i="3"/>
  <c r="I794" i="3"/>
  <c r="J794" i="3"/>
  <c r="K794" i="3"/>
  <c r="B795" i="3"/>
  <c r="C795" i="3"/>
  <c r="D795" i="3"/>
  <c r="E795" i="3"/>
  <c r="F795" i="3"/>
  <c r="G795" i="3"/>
  <c r="H795" i="3"/>
  <c r="I795" i="3"/>
  <c r="J795" i="3"/>
  <c r="K795" i="3"/>
  <c r="B796" i="3"/>
  <c r="C796" i="3"/>
  <c r="D796" i="3"/>
  <c r="E796" i="3"/>
  <c r="F796" i="3"/>
  <c r="G796" i="3"/>
  <c r="H796" i="3"/>
  <c r="I796" i="3"/>
  <c r="J796" i="3"/>
  <c r="K796" i="3"/>
  <c r="B797" i="3"/>
  <c r="C797" i="3"/>
  <c r="D797" i="3"/>
  <c r="E797" i="3"/>
  <c r="F797" i="3"/>
  <c r="G797" i="3"/>
  <c r="H797" i="3"/>
  <c r="I797" i="3"/>
  <c r="J797" i="3"/>
  <c r="K797" i="3"/>
  <c r="B798" i="3"/>
  <c r="C798" i="3"/>
  <c r="D798" i="3"/>
  <c r="E798" i="3"/>
  <c r="F798" i="3"/>
  <c r="G798" i="3"/>
  <c r="H798" i="3"/>
  <c r="I798" i="3"/>
  <c r="J798" i="3"/>
  <c r="K798" i="3"/>
  <c r="B799" i="3"/>
  <c r="C799" i="3"/>
  <c r="D799" i="3"/>
  <c r="E799" i="3"/>
  <c r="F799" i="3"/>
  <c r="G799" i="3"/>
  <c r="H799" i="3"/>
  <c r="I799" i="3"/>
  <c r="J799" i="3"/>
  <c r="K799" i="3"/>
  <c r="B800" i="3"/>
  <c r="C800" i="3"/>
  <c r="D800" i="3"/>
  <c r="E800" i="3"/>
  <c r="F800" i="3"/>
  <c r="G800" i="3"/>
  <c r="H800" i="3"/>
  <c r="I800" i="3"/>
  <c r="J800" i="3"/>
  <c r="K800" i="3"/>
  <c r="B801" i="3"/>
  <c r="C801" i="3"/>
  <c r="D801" i="3"/>
  <c r="E801" i="3"/>
  <c r="F801" i="3"/>
  <c r="G801" i="3"/>
  <c r="H801" i="3"/>
  <c r="I801" i="3"/>
  <c r="J801" i="3"/>
  <c r="K801" i="3"/>
  <c r="B802" i="3"/>
  <c r="C802" i="3"/>
  <c r="D802" i="3"/>
  <c r="E802" i="3"/>
  <c r="F802" i="3"/>
  <c r="G802" i="3"/>
  <c r="H802" i="3"/>
  <c r="I802" i="3"/>
  <c r="J802" i="3"/>
  <c r="K802" i="3"/>
  <c r="B803" i="3"/>
  <c r="C803" i="3"/>
  <c r="D803" i="3"/>
  <c r="E803" i="3"/>
  <c r="F803" i="3"/>
  <c r="G803" i="3"/>
  <c r="H803" i="3"/>
  <c r="I803" i="3"/>
  <c r="J803" i="3"/>
  <c r="K803" i="3"/>
  <c r="B804" i="3"/>
  <c r="C804" i="3"/>
  <c r="D804" i="3"/>
  <c r="E804" i="3"/>
  <c r="F804" i="3"/>
  <c r="G804" i="3"/>
  <c r="H804" i="3"/>
  <c r="I804" i="3"/>
  <c r="J804" i="3"/>
  <c r="K804" i="3"/>
  <c r="B805" i="3"/>
  <c r="C805" i="3"/>
  <c r="D805" i="3"/>
  <c r="E805" i="3"/>
  <c r="F805" i="3"/>
  <c r="G805" i="3"/>
  <c r="H805" i="3"/>
  <c r="I805" i="3"/>
  <c r="J805" i="3"/>
  <c r="K805" i="3"/>
  <c r="B806" i="3"/>
  <c r="C806" i="3"/>
  <c r="D806" i="3"/>
  <c r="E806" i="3"/>
  <c r="F806" i="3"/>
  <c r="G806" i="3"/>
  <c r="H806" i="3"/>
  <c r="I806" i="3"/>
  <c r="J806" i="3"/>
  <c r="K806" i="3"/>
  <c r="B807" i="3"/>
  <c r="C807" i="3"/>
  <c r="D807" i="3"/>
  <c r="E807" i="3"/>
  <c r="F807" i="3"/>
  <c r="G807" i="3"/>
  <c r="H807" i="3"/>
  <c r="I807" i="3"/>
  <c r="J807" i="3"/>
  <c r="K807" i="3"/>
  <c r="B808" i="3"/>
  <c r="C808" i="3"/>
  <c r="D808" i="3"/>
  <c r="E808" i="3"/>
  <c r="F808" i="3"/>
  <c r="G808" i="3"/>
  <c r="H808" i="3"/>
  <c r="I808" i="3"/>
  <c r="J808" i="3"/>
  <c r="K808" i="3"/>
  <c r="B809" i="3"/>
  <c r="C809" i="3"/>
  <c r="D809" i="3"/>
  <c r="E809" i="3"/>
  <c r="F809" i="3"/>
  <c r="G809" i="3"/>
  <c r="H809" i="3"/>
  <c r="I809" i="3"/>
  <c r="J809" i="3"/>
  <c r="K809" i="3"/>
  <c r="B810" i="3"/>
  <c r="C810" i="3"/>
  <c r="D810" i="3"/>
  <c r="E810" i="3"/>
  <c r="F810" i="3"/>
  <c r="G810" i="3"/>
  <c r="H810" i="3"/>
  <c r="I810" i="3"/>
  <c r="J810" i="3"/>
  <c r="K810" i="3"/>
  <c r="B811" i="3"/>
  <c r="C811" i="3"/>
  <c r="D811" i="3"/>
  <c r="E811" i="3"/>
  <c r="F811" i="3"/>
  <c r="G811" i="3"/>
  <c r="H811" i="3"/>
  <c r="I811" i="3"/>
  <c r="J811" i="3"/>
  <c r="K811" i="3"/>
  <c r="B812" i="3"/>
  <c r="C812" i="3"/>
  <c r="D812" i="3"/>
  <c r="E812" i="3"/>
  <c r="F812" i="3"/>
  <c r="G812" i="3"/>
  <c r="H812" i="3"/>
  <c r="I812" i="3"/>
  <c r="J812" i="3"/>
  <c r="K812" i="3"/>
  <c r="B813" i="3"/>
  <c r="C813" i="3"/>
  <c r="D813" i="3"/>
  <c r="E813" i="3"/>
  <c r="F813" i="3"/>
  <c r="G813" i="3"/>
  <c r="H813" i="3"/>
  <c r="I813" i="3"/>
  <c r="J813" i="3"/>
  <c r="K813" i="3"/>
  <c r="B814" i="3"/>
  <c r="C814" i="3"/>
  <c r="D814" i="3"/>
  <c r="E814" i="3"/>
  <c r="F814" i="3"/>
  <c r="G814" i="3"/>
  <c r="H814" i="3"/>
  <c r="I814" i="3"/>
  <c r="J814" i="3"/>
  <c r="K814" i="3"/>
  <c r="B815" i="3"/>
  <c r="C815" i="3"/>
  <c r="D815" i="3"/>
  <c r="E815" i="3"/>
  <c r="F815" i="3"/>
  <c r="G815" i="3"/>
  <c r="H815" i="3"/>
  <c r="I815" i="3"/>
  <c r="J815" i="3"/>
  <c r="K815" i="3"/>
  <c r="B816" i="3"/>
  <c r="C816" i="3"/>
  <c r="D816" i="3"/>
  <c r="E816" i="3"/>
  <c r="F816" i="3"/>
  <c r="G816" i="3"/>
  <c r="H816" i="3"/>
  <c r="I816" i="3"/>
  <c r="J816" i="3"/>
  <c r="K816" i="3"/>
  <c r="B817" i="3"/>
  <c r="C817" i="3"/>
  <c r="D817" i="3"/>
  <c r="E817" i="3"/>
  <c r="F817" i="3"/>
  <c r="G817" i="3"/>
  <c r="H817" i="3"/>
  <c r="I817" i="3"/>
  <c r="J817" i="3"/>
  <c r="K817" i="3"/>
  <c r="B818" i="3"/>
  <c r="C818" i="3"/>
  <c r="D818" i="3"/>
  <c r="E818" i="3"/>
  <c r="F818" i="3"/>
  <c r="G818" i="3"/>
  <c r="H818" i="3"/>
  <c r="I818" i="3"/>
  <c r="J818" i="3"/>
  <c r="K818" i="3"/>
  <c r="B819" i="3"/>
  <c r="C819" i="3"/>
  <c r="D819" i="3"/>
  <c r="E819" i="3"/>
  <c r="F819" i="3"/>
  <c r="G819" i="3"/>
  <c r="H819" i="3"/>
  <c r="I819" i="3"/>
  <c r="J819" i="3"/>
  <c r="K819" i="3"/>
  <c r="B820" i="3"/>
  <c r="C820" i="3"/>
  <c r="D820" i="3"/>
  <c r="E820" i="3"/>
  <c r="F820" i="3"/>
  <c r="G820" i="3"/>
  <c r="H820" i="3"/>
  <c r="I820" i="3"/>
  <c r="J820" i="3"/>
  <c r="K820" i="3"/>
  <c r="B821" i="3"/>
  <c r="C821" i="3"/>
  <c r="D821" i="3"/>
  <c r="E821" i="3"/>
  <c r="F821" i="3"/>
  <c r="G821" i="3"/>
  <c r="H821" i="3"/>
  <c r="I821" i="3"/>
  <c r="J821" i="3"/>
  <c r="K821" i="3"/>
  <c r="B822" i="3"/>
  <c r="C822" i="3"/>
  <c r="D822" i="3"/>
  <c r="E822" i="3"/>
  <c r="F822" i="3"/>
  <c r="G822" i="3"/>
  <c r="H822" i="3"/>
  <c r="I822" i="3"/>
  <c r="J822" i="3"/>
  <c r="K822" i="3"/>
  <c r="B823" i="3"/>
  <c r="C823" i="3"/>
  <c r="D823" i="3"/>
  <c r="E823" i="3"/>
  <c r="F823" i="3"/>
  <c r="G823" i="3"/>
  <c r="H823" i="3"/>
  <c r="I823" i="3"/>
  <c r="J823" i="3"/>
  <c r="K823" i="3"/>
  <c r="B824" i="3"/>
  <c r="C824" i="3"/>
  <c r="D824" i="3"/>
  <c r="E824" i="3"/>
  <c r="F824" i="3"/>
  <c r="G824" i="3"/>
  <c r="H824" i="3"/>
  <c r="I824" i="3"/>
  <c r="J824" i="3"/>
  <c r="K824" i="3"/>
  <c r="B825" i="3"/>
  <c r="C825" i="3"/>
  <c r="D825" i="3"/>
  <c r="E825" i="3"/>
  <c r="F825" i="3"/>
  <c r="G825" i="3"/>
  <c r="H825" i="3"/>
  <c r="I825" i="3"/>
  <c r="J825" i="3"/>
  <c r="K825" i="3"/>
  <c r="B826" i="3"/>
  <c r="C826" i="3"/>
  <c r="D826" i="3"/>
  <c r="E826" i="3"/>
  <c r="F826" i="3"/>
  <c r="G826" i="3"/>
  <c r="H826" i="3"/>
  <c r="I826" i="3"/>
  <c r="J826" i="3"/>
  <c r="K826" i="3"/>
  <c r="B827" i="3"/>
  <c r="C827" i="3"/>
  <c r="D827" i="3"/>
  <c r="E827" i="3"/>
  <c r="F827" i="3"/>
  <c r="G827" i="3"/>
  <c r="H827" i="3"/>
  <c r="I827" i="3"/>
  <c r="J827" i="3"/>
  <c r="K827" i="3"/>
  <c r="B828" i="3"/>
  <c r="C828" i="3"/>
  <c r="D828" i="3"/>
  <c r="E828" i="3"/>
  <c r="F828" i="3"/>
  <c r="G828" i="3"/>
  <c r="H828" i="3"/>
  <c r="I828" i="3"/>
  <c r="J828" i="3"/>
  <c r="K828" i="3"/>
  <c r="B829" i="3"/>
  <c r="C829" i="3"/>
  <c r="D829" i="3"/>
  <c r="E829" i="3"/>
  <c r="F829" i="3"/>
  <c r="G829" i="3"/>
  <c r="H829" i="3"/>
  <c r="I829" i="3"/>
  <c r="J829" i="3"/>
  <c r="K829" i="3"/>
  <c r="B830" i="3"/>
  <c r="C830" i="3"/>
  <c r="D830" i="3"/>
  <c r="E830" i="3"/>
  <c r="F830" i="3"/>
  <c r="G830" i="3"/>
  <c r="H830" i="3"/>
  <c r="I830" i="3"/>
  <c r="J830" i="3"/>
  <c r="K830" i="3"/>
  <c r="B831" i="3"/>
  <c r="C831" i="3"/>
  <c r="D831" i="3"/>
  <c r="E831" i="3"/>
  <c r="F831" i="3"/>
  <c r="G831" i="3"/>
  <c r="H831" i="3"/>
  <c r="I831" i="3"/>
  <c r="J831" i="3"/>
  <c r="K831" i="3"/>
  <c r="B832" i="3"/>
  <c r="C832" i="3"/>
  <c r="D832" i="3"/>
  <c r="E832" i="3"/>
  <c r="F832" i="3"/>
  <c r="G832" i="3"/>
  <c r="H832" i="3"/>
  <c r="I832" i="3"/>
  <c r="J832" i="3"/>
  <c r="K832" i="3"/>
  <c r="B833" i="3"/>
  <c r="C833" i="3"/>
  <c r="D833" i="3"/>
  <c r="E833" i="3"/>
  <c r="F833" i="3"/>
  <c r="G833" i="3"/>
  <c r="H833" i="3"/>
  <c r="I833" i="3"/>
  <c r="J833" i="3"/>
  <c r="K833" i="3"/>
  <c r="B834" i="3"/>
  <c r="C834" i="3"/>
  <c r="D834" i="3"/>
  <c r="E834" i="3"/>
  <c r="F834" i="3"/>
  <c r="G834" i="3"/>
  <c r="H834" i="3"/>
  <c r="I834" i="3"/>
  <c r="J834" i="3"/>
  <c r="K834" i="3"/>
  <c r="B835" i="3"/>
  <c r="C835" i="3"/>
  <c r="D835" i="3"/>
  <c r="E835" i="3"/>
  <c r="F835" i="3"/>
  <c r="G835" i="3"/>
  <c r="H835" i="3"/>
  <c r="I835" i="3"/>
  <c r="J835" i="3"/>
  <c r="K835" i="3"/>
  <c r="B836" i="3"/>
  <c r="C836" i="3"/>
  <c r="D836" i="3"/>
  <c r="E836" i="3"/>
  <c r="F836" i="3"/>
  <c r="G836" i="3"/>
  <c r="H836" i="3"/>
  <c r="I836" i="3"/>
  <c r="J836" i="3"/>
  <c r="K836" i="3"/>
  <c r="B837" i="3"/>
  <c r="C837" i="3"/>
  <c r="D837" i="3"/>
  <c r="E837" i="3"/>
  <c r="F837" i="3"/>
  <c r="G837" i="3"/>
  <c r="H837" i="3"/>
  <c r="I837" i="3"/>
  <c r="J837" i="3"/>
  <c r="K837" i="3"/>
  <c r="B838" i="3"/>
  <c r="C838" i="3"/>
  <c r="D838" i="3"/>
  <c r="E838" i="3"/>
  <c r="F838" i="3"/>
  <c r="G838" i="3"/>
  <c r="H838" i="3"/>
  <c r="I838" i="3"/>
  <c r="J838" i="3"/>
  <c r="K838" i="3"/>
  <c r="B839" i="3"/>
  <c r="C839" i="3"/>
  <c r="D839" i="3"/>
  <c r="E839" i="3"/>
  <c r="F839" i="3"/>
  <c r="G839" i="3"/>
  <c r="H839" i="3"/>
  <c r="I839" i="3"/>
  <c r="J839" i="3"/>
  <c r="K839" i="3"/>
  <c r="B840" i="3"/>
  <c r="C840" i="3"/>
  <c r="D840" i="3"/>
  <c r="E840" i="3"/>
  <c r="F840" i="3"/>
  <c r="G840" i="3"/>
  <c r="H840" i="3"/>
  <c r="I840" i="3"/>
  <c r="J840" i="3"/>
  <c r="K840" i="3"/>
  <c r="B841" i="3"/>
  <c r="C841" i="3"/>
  <c r="D841" i="3"/>
  <c r="E841" i="3"/>
  <c r="F841" i="3"/>
  <c r="G841" i="3"/>
  <c r="H841" i="3"/>
  <c r="I841" i="3"/>
  <c r="J841" i="3"/>
  <c r="K841" i="3"/>
  <c r="B842" i="3"/>
  <c r="C842" i="3"/>
  <c r="D842" i="3"/>
  <c r="E842" i="3"/>
  <c r="F842" i="3"/>
  <c r="G842" i="3"/>
  <c r="H842" i="3"/>
  <c r="I842" i="3"/>
  <c r="J842" i="3"/>
  <c r="K842" i="3"/>
  <c r="B843" i="3"/>
  <c r="C843" i="3"/>
  <c r="D843" i="3"/>
  <c r="E843" i="3"/>
  <c r="F843" i="3"/>
  <c r="G843" i="3"/>
  <c r="H843" i="3"/>
  <c r="I843" i="3"/>
  <c r="J843" i="3"/>
  <c r="K843" i="3"/>
  <c r="B844" i="3"/>
  <c r="C844" i="3"/>
  <c r="D844" i="3"/>
  <c r="E844" i="3"/>
  <c r="F844" i="3"/>
  <c r="G844" i="3"/>
  <c r="H844" i="3"/>
  <c r="I844" i="3"/>
  <c r="J844" i="3"/>
  <c r="K844" i="3"/>
  <c r="B845" i="3"/>
  <c r="C845" i="3"/>
  <c r="D845" i="3"/>
  <c r="E845" i="3"/>
  <c r="F845" i="3"/>
  <c r="G845" i="3"/>
  <c r="H845" i="3"/>
  <c r="I845" i="3"/>
  <c r="J845" i="3"/>
  <c r="K845" i="3"/>
  <c r="B846" i="3"/>
  <c r="C846" i="3"/>
  <c r="D846" i="3"/>
  <c r="E846" i="3"/>
  <c r="F846" i="3"/>
  <c r="G846" i="3"/>
  <c r="H846" i="3"/>
  <c r="I846" i="3"/>
  <c r="J846" i="3"/>
  <c r="K846" i="3"/>
  <c r="B847" i="3"/>
  <c r="C847" i="3"/>
  <c r="D847" i="3"/>
  <c r="E847" i="3"/>
  <c r="F847" i="3"/>
  <c r="G847" i="3"/>
  <c r="H847" i="3"/>
  <c r="I847" i="3"/>
  <c r="J847" i="3"/>
  <c r="K847" i="3"/>
  <c r="B848" i="3"/>
  <c r="C848" i="3"/>
  <c r="D848" i="3"/>
  <c r="E848" i="3"/>
  <c r="F848" i="3"/>
  <c r="G848" i="3"/>
  <c r="H848" i="3"/>
  <c r="I848" i="3"/>
  <c r="J848" i="3"/>
  <c r="K848" i="3"/>
  <c r="B849" i="3"/>
  <c r="C849" i="3"/>
  <c r="D849" i="3"/>
  <c r="E849" i="3"/>
  <c r="F849" i="3"/>
  <c r="G849" i="3"/>
  <c r="H849" i="3"/>
  <c r="I849" i="3"/>
  <c r="J849" i="3"/>
  <c r="K849" i="3"/>
  <c r="B850" i="3"/>
  <c r="C850" i="3"/>
  <c r="D850" i="3"/>
  <c r="E850" i="3"/>
  <c r="F850" i="3"/>
  <c r="G850" i="3"/>
  <c r="H850" i="3"/>
  <c r="I850" i="3"/>
  <c r="J850" i="3"/>
  <c r="K850" i="3"/>
  <c r="B851" i="3"/>
  <c r="C851" i="3"/>
  <c r="D851" i="3"/>
  <c r="E851" i="3"/>
  <c r="F851" i="3"/>
  <c r="G851" i="3"/>
  <c r="H851" i="3"/>
  <c r="I851" i="3"/>
  <c r="J851" i="3"/>
  <c r="K851" i="3"/>
  <c r="B852" i="3"/>
  <c r="C852" i="3"/>
  <c r="D852" i="3"/>
  <c r="E852" i="3"/>
  <c r="F852" i="3"/>
  <c r="G852" i="3"/>
  <c r="H852" i="3"/>
  <c r="I852" i="3"/>
  <c r="J852" i="3"/>
  <c r="K852" i="3"/>
  <c r="B853" i="3"/>
  <c r="C853" i="3"/>
  <c r="D853" i="3"/>
  <c r="E853" i="3"/>
  <c r="F853" i="3"/>
  <c r="G853" i="3"/>
  <c r="H853" i="3"/>
  <c r="I853" i="3"/>
  <c r="J853" i="3"/>
  <c r="K853" i="3"/>
  <c r="B854" i="3"/>
  <c r="C854" i="3"/>
  <c r="D854" i="3"/>
  <c r="E854" i="3"/>
  <c r="F854" i="3"/>
  <c r="G854" i="3"/>
  <c r="H854" i="3"/>
  <c r="I854" i="3"/>
  <c r="J854" i="3"/>
  <c r="K854" i="3"/>
  <c r="B855" i="3"/>
  <c r="C855" i="3"/>
  <c r="D855" i="3"/>
  <c r="E855" i="3"/>
  <c r="F855" i="3"/>
  <c r="G855" i="3"/>
  <c r="H855" i="3"/>
  <c r="I855" i="3"/>
  <c r="J855" i="3"/>
  <c r="K855" i="3"/>
  <c r="B856" i="3"/>
  <c r="C856" i="3"/>
  <c r="D856" i="3"/>
  <c r="E856" i="3"/>
  <c r="F856" i="3"/>
  <c r="G856" i="3"/>
  <c r="H856" i="3"/>
  <c r="I856" i="3"/>
  <c r="J856" i="3"/>
  <c r="K856" i="3"/>
  <c r="B857" i="3"/>
  <c r="C857" i="3"/>
  <c r="D857" i="3"/>
  <c r="E857" i="3"/>
  <c r="F857" i="3"/>
  <c r="G857" i="3"/>
  <c r="H857" i="3"/>
  <c r="I857" i="3"/>
  <c r="J857" i="3"/>
  <c r="K857" i="3"/>
  <c r="B858" i="3"/>
  <c r="C858" i="3"/>
  <c r="D858" i="3"/>
  <c r="E858" i="3"/>
  <c r="F858" i="3"/>
  <c r="G858" i="3"/>
  <c r="H858" i="3"/>
  <c r="I858" i="3"/>
  <c r="J858" i="3"/>
  <c r="K858" i="3"/>
  <c r="B859" i="3"/>
  <c r="C859" i="3"/>
  <c r="D859" i="3"/>
  <c r="E859" i="3"/>
  <c r="F859" i="3"/>
  <c r="G859" i="3"/>
  <c r="H859" i="3"/>
  <c r="I859" i="3"/>
  <c r="J859" i="3"/>
  <c r="K859" i="3"/>
  <c r="B860" i="3"/>
  <c r="C860" i="3"/>
  <c r="D860" i="3"/>
  <c r="E860" i="3"/>
  <c r="F860" i="3"/>
  <c r="G860" i="3"/>
  <c r="H860" i="3"/>
  <c r="I860" i="3"/>
  <c r="J860" i="3"/>
  <c r="K860" i="3"/>
  <c r="B861" i="3"/>
  <c r="C861" i="3"/>
  <c r="D861" i="3"/>
  <c r="E861" i="3"/>
  <c r="F861" i="3"/>
  <c r="G861" i="3"/>
  <c r="H861" i="3"/>
  <c r="I861" i="3"/>
  <c r="J861" i="3"/>
  <c r="K861" i="3"/>
  <c r="B862" i="3"/>
  <c r="C862" i="3"/>
  <c r="D862" i="3"/>
  <c r="E862" i="3"/>
  <c r="F862" i="3"/>
  <c r="G862" i="3"/>
  <c r="H862" i="3"/>
  <c r="I862" i="3"/>
  <c r="J862" i="3"/>
  <c r="K862" i="3"/>
  <c r="B863" i="3"/>
  <c r="C863" i="3"/>
  <c r="D863" i="3"/>
  <c r="E863" i="3"/>
  <c r="F863" i="3"/>
  <c r="G863" i="3"/>
  <c r="H863" i="3"/>
  <c r="I863" i="3"/>
  <c r="J863" i="3"/>
  <c r="K863" i="3"/>
  <c r="B864" i="3"/>
  <c r="C864" i="3"/>
  <c r="D864" i="3"/>
  <c r="E864" i="3"/>
  <c r="F864" i="3"/>
  <c r="G864" i="3"/>
  <c r="H864" i="3"/>
  <c r="I864" i="3"/>
  <c r="J864" i="3"/>
  <c r="K864" i="3"/>
  <c r="B865" i="3"/>
  <c r="C865" i="3"/>
  <c r="D865" i="3"/>
  <c r="E865" i="3"/>
  <c r="F865" i="3"/>
  <c r="G865" i="3"/>
  <c r="H865" i="3"/>
  <c r="I865" i="3"/>
  <c r="J865" i="3"/>
  <c r="K865" i="3"/>
  <c r="B866" i="3"/>
  <c r="C866" i="3"/>
  <c r="D866" i="3"/>
  <c r="E866" i="3"/>
  <c r="F866" i="3"/>
  <c r="G866" i="3"/>
  <c r="H866" i="3"/>
  <c r="I866" i="3"/>
  <c r="J866" i="3"/>
  <c r="K866" i="3"/>
  <c r="B867" i="3"/>
  <c r="C867" i="3"/>
  <c r="D867" i="3"/>
  <c r="E867" i="3"/>
  <c r="F867" i="3"/>
  <c r="G867" i="3"/>
  <c r="H867" i="3"/>
  <c r="I867" i="3"/>
  <c r="J867" i="3"/>
  <c r="K867" i="3"/>
  <c r="B868" i="3"/>
  <c r="C868" i="3"/>
  <c r="D868" i="3"/>
  <c r="E868" i="3"/>
  <c r="F868" i="3"/>
  <c r="G868" i="3"/>
  <c r="H868" i="3"/>
  <c r="I868" i="3"/>
  <c r="J868" i="3"/>
  <c r="K868" i="3"/>
  <c r="B869" i="3"/>
  <c r="C869" i="3"/>
  <c r="D869" i="3"/>
  <c r="E869" i="3"/>
  <c r="F869" i="3"/>
  <c r="G869" i="3"/>
  <c r="H869" i="3"/>
  <c r="I869" i="3"/>
  <c r="J869" i="3"/>
  <c r="K869" i="3"/>
  <c r="B870" i="3"/>
  <c r="C870" i="3"/>
  <c r="D870" i="3"/>
  <c r="E870" i="3"/>
  <c r="F870" i="3"/>
  <c r="G870" i="3"/>
  <c r="H870" i="3"/>
  <c r="I870" i="3"/>
  <c r="J870" i="3"/>
  <c r="K870" i="3"/>
  <c r="B871" i="3"/>
  <c r="C871" i="3"/>
  <c r="D871" i="3"/>
  <c r="E871" i="3"/>
  <c r="F871" i="3"/>
  <c r="G871" i="3"/>
  <c r="H871" i="3"/>
  <c r="I871" i="3"/>
  <c r="J871" i="3"/>
  <c r="K871" i="3"/>
  <c r="B872" i="3"/>
  <c r="C872" i="3"/>
  <c r="D872" i="3"/>
  <c r="E872" i="3"/>
  <c r="F872" i="3"/>
  <c r="G872" i="3"/>
  <c r="H872" i="3"/>
  <c r="I872" i="3"/>
  <c r="J872" i="3"/>
  <c r="K872" i="3"/>
  <c r="B873" i="3"/>
  <c r="C873" i="3"/>
  <c r="D873" i="3"/>
  <c r="E873" i="3"/>
  <c r="F873" i="3"/>
  <c r="G873" i="3"/>
  <c r="H873" i="3"/>
  <c r="I873" i="3"/>
  <c r="J873" i="3"/>
  <c r="K873" i="3"/>
  <c r="B874" i="3"/>
  <c r="C874" i="3"/>
  <c r="D874" i="3"/>
  <c r="E874" i="3"/>
  <c r="F874" i="3"/>
  <c r="G874" i="3"/>
  <c r="H874" i="3"/>
  <c r="I874" i="3"/>
  <c r="J874" i="3"/>
  <c r="K874" i="3"/>
  <c r="B875" i="3"/>
  <c r="C875" i="3"/>
  <c r="D875" i="3"/>
  <c r="E875" i="3"/>
  <c r="F875" i="3"/>
  <c r="G875" i="3"/>
  <c r="H875" i="3"/>
  <c r="I875" i="3"/>
  <c r="J875" i="3"/>
  <c r="K875" i="3"/>
  <c r="B876" i="3"/>
  <c r="C876" i="3"/>
  <c r="D876" i="3"/>
  <c r="E876" i="3"/>
  <c r="F876" i="3"/>
  <c r="G876" i="3"/>
  <c r="H876" i="3"/>
  <c r="I876" i="3"/>
  <c r="J876" i="3"/>
  <c r="K876" i="3"/>
  <c r="B877" i="3"/>
  <c r="C877" i="3"/>
  <c r="D877" i="3"/>
  <c r="E877" i="3"/>
  <c r="F877" i="3"/>
  <c r="G877" i="3"/>
  <c r="H877" i="3"/>
  <c r="I877" i="3"/>
  <c r="J877" i="3"/>
  <c r="K877" i="3"/>
  <c r="B878" i="3"/>
  <c r="C878" i="3"/>
  <c r="D878" i="3"/>
  <c r="E878" i="3"/>
  <c r="F878" i="3"/>
  <c r="G878" i="3"/>
  <c r="H878" i="3"/>
  <c r="I878" i="3"/>
  <c r="J878" i="3"/>
  <c r="K878" i="3"/>
  <c r="B879" i="3"/>
  <c r="C879" i="3"/>
  <c r="D879" i="3"/>
  <c r="E879" i="3"/>
  <c r="F879" i="3"/>
  <c r="G879" i="3"/>
  <c r="H879" i="3"/>
  <c r="I879" i="3"/>
  <c r="J879" i="3"/>
  <c r="K879" i="3"/>
  <c r="B880" i="3"/>
  <c r="C880" i="3"/>
  <c r="D880" i="3"/>
  <c r="E880" i="3"/>
  <c r="F880" i="3"/>
  <c r="G880" i="3"/>
  <c r="H880" i="3"/>
  <c r="I880" i="3"/>
  <c r="J880" i="3"/>
  <c r="K880" i="3"/>
  <c r="B881" i="3"/>
  <c r="C881" i="3"/>
  <c r="D881" i="3"/>
  <c r="E881" i="3"/>
  <c r="F881" i="3"/>
  <c r="G881" i="3"/>
  <c r="H881" i="3"/>
  <c r="I881" i="3"/>
  <c r="J881" i="3"/>
  <c r="K881" i="3"/>
  <c r="B882" i="3"/>
  <c r="C882" i="3"/>
  <c r="D882" i="3"/>
  <c r="E882" i="3"/>
  <c r="F882" i="3"/>
  <c r="G882" i="3"/>
  <c r="H882" i="3"/>
  <c r="I882" i="3"/>
  <c r="J882" i="3"/>
  <c r="K882" i="3"/>
  <c r="B883" i="3"/>
  <c r="C883" i="3"/>
  <c r="D883" i="3"/>
  <c r="E883" i="3"/>
  <c r="F883" i="3"/>
  <c r="G883" i="3"/>
  <c r="H883" i="3"/>
  <c r="I883" i="3"/>
  <c r="J883" i="3"/>
  <c r="K883" i="3"/>
  <c r="B884" i="3"/>
  <c r="C884" i="3"/>
  <c r="D884" i="3"/>
  <c r="E884" i="3"/>
  <c r="F884" i="3"/>
  <c r="G884" i="3"/>
  <c r="H884" i="3"/>
  <c r="I884" i="3"/>
  <c r="J884" i="3"/>
  <c r="K884" i="3"/>
  <c r="B885" i="3"/>
  <c r="C885" i="3"/>
  <c r="D885" i="3"/>
  <c r="E885" i="3"/>
  <c r="F885" i="3"/>
  <c r="G885" i="3"/>
  <c r="H885" i="3"/>
  <c r="I885" i="3"/>
  <c r="J885" i="3"/>
  <c r="K885" i="3"/>
  <c r="B886" i="3"/>
  <c r="C886" i="3"/>
  <c r="D886" i="3"/>
  <c r="E886" i="3"/>
  <c r="F886" i="3"/>
  <c r="G886" i="3"/>
  <c r="H886" i="3"/>
  <c r="I886" i="3"/>
  <c r="J886" i="3"/>
  <c r="K886" i="3"/>
  <c r="B887" i="3"/>
  <c r="C887" i="3"/>
  <c r="D887" i="3"/>
  <c r="E887" i="3"/>
  <c r="F887" i="3"/>
  <c r="G887" i="3"/>
  <c r="H887" i="3"/>
  <c r="I887" i="3"/>
  <c r="J887" i="3"/>
  <c r="K887" i="3"/>
  <c r="B888" i="3"/>
  <c r="C888" i="3"/>
  <c r="D888" i="3"/>
  <c r="E888" i="3"/>
  <c r="F888" i="3"/>
  <c r="G888" i="3"/>
  <c r="H888" i="3"/>
  <c r="I888" i="3"/>
  <c r="J888" i="3"/>
  <c r="K888" i="3"/>
  <c r="B889" i="3"/>
  <c r="C889" i="3"/>
  <c r="D889" i="3"/>
  <c r="E889" i="3"/>
  <c r="F889" i="3"/>
  <c r="G889" i="3"/>
  <c r="H889" i="3"/>
  <c r="I889" i="3"/>
  <c r="J889" i="3"/>
  <c r="K889" i="3"/>
  <c r="B890" i="3"/>
  <c r="C890" i="3"/>
  <c r="D890" i="3"/>
  <c r="E890" i="3"/>
  <c r="F890" i="3"/>
  <c r="G890" i="3"/>
  <c r="H890" i="3"/>
  <c r="I890" i="3"/>
  <c r="J890" i="3"/>
  <c r="K890" i="3"/>
  <c r="B891" i="3"/>
  <c r="C891" i="3"/>
  <c r="D891" i="3"/>
  <c r="E891" i="3"/>
  <c r="F891" i="3"/>
  <c r="G891" i="3"/>
  <c r="H891" i="3"/>
  <c r="I891" i="3"/>
  <c r="J891" i="3"/>
  <c r="K891" i="3"/>
  <c r="B892" i="3"/>
  <c r="C892" i="3"/>
  <c r="D892" i="3"/>
  <c r="E892" i="3"/>
  <c r="F892" i="3"/>
  <c r="G892" i="3"/>
  <c r="H892" i="3"/>
  <c r="I892" i="3"/>
  <c r="J892" i="3"/>
  <c r="K892" i="3"/>
  <c r="B893" i="3"/>
  <c r="C893" i="3"/>
  <c r="D893" i="3"/>
  <c r="E893" i="3"/>
  <c r="F893" i="3"/>
  <c r="G893" i="3"/>
  <c r="H893" i="3"/>
  <c r="I893" i="3"/>
  <c r="J893" i="3"/>
  <c r="K893" i="3"/>
  <c r="B894" i="3"/>
  <c r="C894" i="3"/>
  <c r="D894" i="3"/>
  <c r="E894" i="3"/>
  <c r="F894" i="3"/>
  <c r="G894" i="3"/>
  <c r="H894" i="3"/>
  <c r="I894" i="3"/>
  <c r="J894" i="3"/>
  <c r="K894" i="3"/>
  <c r="B895" i="3"/>
  <c r="C895" i="3"/>
  <c r="D895" i="3"/>
  <c r="E895" i="3"/>
  <c r="F895" i="3"/>
  <c r="G895" i="3"/>
  <c r="H895" i="3"/>
  <c r="I895" i="3"/>
  <c r="J895" i="3"/>
  <c r="K895" i="3"/>
  <c r="B896" i="3"/>
  <c r="C896" i="3"/>
  <c r="D896" i="3"/>
  <c r="E896" i="3"/>
  <c r="F896" i="3"/>
  <c r="G896" i="3"/>
  <c r="H896" i="3"/>
  <c r="I896" i="3"/>
  <c r="J896" i="3"/>
  <c r="K896" i="3"/>
  <c r="B897" i="3"/>
  <c r="C897" i="3"/>
  <c r="D897" i="3"/>
  <c r="E897" i="3"/>
  <c r="F897" i="3"/>
  <c r="G897" i="3"/>
  <c r="H897" i="3"/>
  <c r="I897" i="3"/>
  <c r="J897" i="3"/>
  <c r="K897" i="3"/>
  <c r="B898" i="3"/>
  <c r="C898" i="3"/>
  <c r="D898" i="3"/>
  <c r="E898" i="3"/>
  <c r="F898" i="3"/>
  <c r="G898" i="3"/>
  <c r="H898" i="3"/>
  <c r="I898" i="3"/>
  <c r="J898" i="3"/>
  <c r="K898" i="3"/>
  <c r="B899" i="3"/>
  <c r="C899" i="3"/>
  <c r="D899" i="3"/>
  <c r="E899" i="3"/>
  <c r="F899" i="3"/>
  <c r="G899" i="3"/>
  <c r="H899" i="3"/>
  <c r="I899" i="3"/>
  <c r="J899" i="3"/>
  <c r="K899" i="3"/>
  <c r="B900" i="3"/>
  <c r="C900" i="3"/>
  <c r="D900" i="3"/>
  <c r="E900" i="3"/>
  <c r="F900" i="3"/>
  <c r="G900" i="3"/>
  <c r="H900" i="3"/>
  <c r="I900" i="3"/>
  <c r="J900" i="3"/>
  <c r="K900" i="3"/>
  <c r="B901" i="3"/>
  <c r="C901" i="3"/>
  <c r="D901" i="3"/>
  <c r="E901" i="3"/>
  <c r="F901" i="3"/>
  <c r="G901" i="3"/>
  <c r="H901" i="3"/>
  <c r="I901" i="3"/>
  <c r="J901" i="3"/>
  <c r="K901" i="3"/>
  <c r="B902" i="3"/>
  <c r="C902" i="3"/>
  <c r="D902" i="3"/>
  <c r="E902" i="3"/>
  <c r="F902" i="3"/>
  <c r="G902" i="3"/>
  <c r="H902" i="3"/>
  <c r="I902" i="3"/>
  <c r="J902" i="3"/>
  <c r="K902" i="3"/>
  <c r="B903" i="3"/>
  <c r="C903" i="3"/>
  <c r="D903" i="3"/>
  <c r="E903" i="3"/>
  <c r="F903" i="3"/>
  <c r="G903" i="3"/>
  <c r="H903" i="3"/>
  <c r="I903" i="3"/>
  <c r="J903" i="3"/>
  <c r="K903" i="3"/>
  <c r="B904" i="3"/>
  <c r="C904" i="3"/>
  <c r="D904" i="3"/>
  <c r="E904" i="3"/>
  <c r="F904" i="3"/>
  <c r="G904" i="3"/>
  <c r="H904" i="3"/>
  <c r="I904" i="3"/>
  <c r="J904" i="3"/>
  <c r="K904" i="3"/>
  <c r="B905" i="3"/>
  <c r="C905" i="3"/>
  <c r="D905" i="3"/>
  <c r="E905" i="3"/>
  <c r="F905" i="3"/>
  <c r="G905" i="3"/>
  <c r="H905" i="3"/>
  <c r="I905" i="3"/>
  <c r="J905" i="3"/>
  <c r="K905" i="3"/>
  <c r="B906" i="3"/>
  <c r="C906" i="3"/>
  <c r="D906" i="3"/>
  <c r="E906" i="3"/>
  <c r="F906" i="3"/>
  <c r="G906" i="3"/>
  <c r="H906" i="3"/>
  <c r="I906" i="3"/>
  <c r="J906" i="3"/>
  <c r="K906" i="3"/>
  <c r="B907" i="3"/>
  <c r="C907" i="3"/>
  <c r="D907" i="3"/>
  <c r="E907" i="3"/>
  <c r="F907" i="3"/>
  <c r="G907" i="3"/>
  <c r="H907" i="3"/>
  <c r="I907" i="3"/>
  <c r="J907" i="3"/>
  <c r="K907" i="3"/>
  <c r="B908" i="3"/>
  <c r="C908" i="3"/>
  <c r="D908" i="3"/>
  <c r="E908" i="3"/>
  <c r="F908" i="3"/>
  <c r="G908" i="3"/>
  <c r="H908" i="3"/>
  <c r="I908" i="3"/>
  <c r="J908" i="3"/>
  <c r="K908" i="3"/>
  <c r="B909" i="3"/>
  <c r="C909" i="3"/>
  <c r="D909" i="3"/>
  <c r="E909" i="3"/>
  <c r="F909" i="3"/>
  <c r="G909" i="3"/>
  <c r="H909" i="3"/>
  <c r="I909" i="3"/>
  <c r="J909" i="3"/>
  <c r="K909" i="3"/>
  <c r="B910" i="3"/>
  <c r="C910" i="3"/>
  <c r="D910" i="3"/>
  <c r="E910" i="3"/>
  <c r="F910" i="3"/>
  <c r="G910" i="3"/>
  <c r="H910" i="3"/>
  <c r="I910" i="3"/>
  <c r="J910" i="3"/>
  <c r="K910" i="3"/>
  <c r="B911" i="3"/>
  <c r="C911" i="3"/>
  <c r="D911" i="3"/>
  <c r="E911" i="3"/>
  <c r="F911" i="3"/>
  <c r="G911" i="3"/>
  <c r="H911" i="3"/>
  <c r="I911" i="3"/>
  <c r="J911" i="3"/>
  <c r="K911" i="3"/>
  <c r="B912" i="3"/>
  <c r="C912" i="3"/>
  <c r="D912" i="3"/>
  <c r="E912" i="3"/>
  <c r="F912" i="3"/>
  <c r="G912" i="3"/>
  <c r="H912" i="3"/>
  <c r="I912" i="3"/>
  <c r="J912" i="3"/>
  <c r="K912" i="3"/>
  <c r="B913" i="3"/>
  <c r="C913" i="3"/>
  <c r="D913" i="3"/>
  <c r="E913" i="3"/>
  <c r="F913" i="3"/>
  <c r="G913" i="3"/>
  <c r="H913" i="3"/>
  <c r="I913" i="3"/>
  <c r="J913" i="3"/>
  <c r="K913" i="3"/>
  <c r="B914" i="3"/>
  <c r="C914" i="3"/>
  <c r="D914" i="3"/>
  <c r="E914" i="3"/>
  <c r="F914" i="3"/>
  <c r="G914" i="3"/>
  <c r="H914" i="3"/>
  <c r="I914" i="3"/>
  <c r="J914" i="3"/>
  <c r="K914" i="3"/>
  <c r="B915" i="3"/>
  <c r="C915" i="3"/>
  <c r="D915" i="3"/>
  <c r="E915" i="3"/>
  <c r="F915" i="3"/>
  <c r="G915" i="3"/>
  <c r="H915" i="3"/>
  <c r="I915" i="3"/>
  <c r="J915" i="3"/>
  <c r="K915" i="3"/>
  <c r="B916" i="3"/>
  <c r="C916" i="3"/>
  <c r="D916" i="3"/>
  <c r="E916" i="3"/>
  <c r="F916" i="3"/>
  <c r="G916" i="3"/>
  <c r="H916" i="3"/>
  <c r="I916" i="3"/>
  <c r="J916" i="3"/>
  <c r="K916" i="3"/>
  <c r="B917" i="3"/>
  <c r="C917" i="3"/>
  <c r="D917" i="3"/>
  <c r="E917" i="3"/>
  <c r="F917" i="3"/>
  <c r="G917" i="3"/>
  <c r="H917" i="3"/>
  <c r="I917" i="3"/>
  <c r="J917" i="3"/>
  <c r="K917" i="3"/>
  <c r="B918" i="3"/>
  <c r="C918" i="3"/>
  <c r="D918" i="3"/>
  <c r="E918" i="3"/>
  <c r="F918" i="3"/>
  <c r="G918" i="3"/>
  <c r="H918" i="3"/>
  <c r="I918" i="3"/>
  <c r="J918" i="3"/>
  <c r="K918" i="3"/>
  <c r="B919" i="3"/>
  <c r="C919" i="3"/>
  <c r="D919" i="3"/>
  <c r="E919" i="3"/>
  <c r="F919" i="3"/>
  <c r="G919" i="3"/>
  <c r="H919" i="3"/>
  <c r="I919" i="3"/>
  <c r="J919" i="3"/>
  <c r="K919" i="3"/>
  <c r="B920" i="3"/>
  <c r="C920" i="3"/>
  <c r="D920" i="3"/>
  <c r="E920" i="3"/>
  <c r="F920" i="3"/>
  <c r="G920" i="3"/>
  <c r="H920" i="3"/>
  <c r="I920" i="3"/>
  <c r="J920" i="3"/>
  <c r="K920" i="3"/>
  <c r="B921" i="3"/>
  <c r="C921" i="3"/>
  <c r="D921" i="3"/>
  <c r="E921" i="3"/>
  <c r="F921" i="3"/>
  <c r="G921" i="3"/>
  <c r="H921" i="3"/>
  <c r="I921" i="3"/>
  <c r="J921" i="3"/>
  <c r="K921" i="3"/>
  <c r="B922" i="3"/>
  <c r="C922" i="3"/>
  <c r="D922" i="3"/>
  <c r="E922" i="3"/>
  <c r="F922" i="3"/>
  <c r="G922" i="3"/>
  <c r="H922" i="3"/>
  <c r="I922" i="3"/>
  <c r="J922" i="3"/>
  <c r="K922" i="3"/>
  <c r="B923" i="3"/>
  <c r="C923" i="3"/>
  <c r="D923" i="3"/>
  <c r="E923" i="3"/>
  <c r="F923" i="3"/>
  <c r="G923" i="3"/>
  <c r="H923" i="3"/>
  <c r="I923" i="3"/>
  <c r="J923" i="3"/>
  <c r="K923" i="3"/>
  <c r="B924" i="3"/>
  <c r="C924" i="3"/>
  <c r="D924" i="3"/>
  <c r="E924" i="3"/>
  <c r="F924" i="3"/>
  <c r="G924" i="3"/>
  <c r="H924" i="3"/>
  <c r="I924" i="3"/>
  <c r="J924" i="3"/>
  <c r="K924" i="3"/>
  <c r="B925" i="3"/>
  <c r="C925" i="3"/>
  <c r="D925" i="3"/>
  <c r="E925" i="3"/>
  <c r="F925" i="3"/>
  <c r="G925" i="3"/>
  <c r="H925" i="3"/>
  <c r="I925" i="3"/>
  <c r="J925" i="3"/>
  <c r="K925" i="3"/>
  <c r="B926" i="3"/>
  <c r="C926" i="3"/>
  <c r="D926" i="3"/>
  <c r="E926" i="3"/>
  <c r="F926" i="3"/>
  <c r="G926" i="3"/>
  <c r="H926" i="3"/>
  <c r="I926" i="3"/>
  <c r="J926" i="3"/>
  <c r="K926" i="3"/>
  <c r="B927" i="3"/>
  <c r="C927" i="3"/>
  <c r="D927" i="3"/>
  <c r="E927" i="3"/>
  <c r="F927" i="3"/>
  <c r="G927" i="3"/>
  <c r="H927" i="3"/>
  <c r="I927" i="3"/>
  <c r="J927" i="3"/>
  <c r="K927" i="3"/>
  <c r="B928" i="3"/>
  <c r="C928" i="3"/>
  <c r="D928" i="3"/>
  <c r="E928" i="3"/>
  <c r="F928" i="3"/>
  <c r="G928" i="3"/>
  <c r="H928" i="3"/>
  <c r="I928" i="3"/>
  <c r="J928" i="3"/>
  <c r="K928" i="3"/>
  <c r="B929" i="3"/>
  <c r="C929" i="3"/>
  <c r="D929" i="3"/>
  <c r="E929" i="3"/>
  <c r="F929" i="3"/>
  <c r="G929" i="3"/>
  <c r="H929" i="3"/>
  <c r="I929" i="3"/>
  <c r="J929" i="3"/>
  <c r="K929" i="3"/>
  <c r="B930" i="3"/>
  <c r="C930" i="3"/>
  <c r="D930" i="3"/>
  <c r="E930" i="3"/>
  <c r="F930" i="3"/>
  <c r="G930" i="3"/>
  <c r="H930" i="3"/>
  <c r="I930" i="3"/>
  <c r="J930" i="3"/>
  <c r="K930" i="3"/>
  <c r="B931" i="3"/>
  <c r="C931" i="3"/>
  <c r="D931" i="3"/>
  <c r="E931" i="3"/>
  <c r="F931" i="3"/>
  <c r="G931" i="3"/>
  <c r="H931" i="3"/>
  <c r="I931" i="3"/>
  <c r="J931" i="3"/>
  <c r="K931" i="3"/>
  <c r="B932" i="3"/>
  <c r="C932" i="3"/>
  <c r="D932" i="3"/>
  <c r="E932" i="3"/>
  <c r="F932" i="3"/>
  <c r="G932" i="3"/>
  <c r="H932" i="3"/>
  <c r="I932" i="3"/>
  <c r="J932" i="3"/>
  <c r="K932" i="3"/>
  <c r="B933" i="3"/>
  <c r="C933" i="3"/>
  <c r="D933" i="3"/>
  <c r="E933" i="3"/>
  <c r="F933" i="3"/>
  <c r="G933" i="3"/>
  <c r="H933" i="3"/>
  <c r="I933" i="3"/>
  <c r="J933" i="3"/>
  <c r="K933" i="3"/>
  <c r="B934" i="3"/>
  <c r="C934" i="3"/>
  <c r="D934" i="3"/>
  <c r="E934" i="3"/>
  <c r="F934" i="3"/>
  <c r="G934" i="3"/>
  <c r="H934" i="3"/>
  <c r="I934" i="3"/>
  <c r="J934" i="3"/>
  <c r="K934" i="3"/>
  <c r="B935" i="3"/>
  <c r="C935" i="3"/>
  <c r="D935" i="3"/>
  <c r="E935" i="3"/>
  <c r="F935" i="3"/>
  <c r="G935" i="3"/>
  <c r="H935" i="3"/>
  <c r="I935" i="3"/>
  <c r="J935" i="3"/>
  <c r="K935" i="3"/>
  <c r="B936" i="3"/>
  <c r="C936" i="3"/>
  <c r="D936" i="3"/>
  <c r="E936" i="3"/>
  <c r="F936" i="3"/>
  <c r="G936" i="3"/>
  <c r="H936" i="3"/>
  <c r="I936" i="3"/>
  <c r="J936" i="3"/>
  <c r="K936" i="3"/>
  <c r="B937" i="3"/>
  <c r="C937" i="3"/>
  <c r="D937" i="3"/>
  <c r="E937" i="3"/>
  <c r="F937" i="3"/>
  <c r="G937" i="3"/>
  <c r="H937" i="3"/>
  <c r="I937" i="3"/>
  <c r="J937" i="3"/>
  <c r="K937" i="3"/>
  <c r="B938" i="3"/>
  <c r="C938" i="3"/>
  <c r="D938" i="3"/>
  <c r="E938" i="3"/>
  <c r="F938" i="3"/>
  <c r="G938" i="3"/>
  <c r="H938" i="3"/>
  <c r="I938" i="3"/>
  <c r="J938" i="3"/>
  <c r="K938" i="3"/>
  <c r="B939" i="3"/>
  <c r="C939" i="3"/>
  <c r="D939" i="3"/>
  <c r="E939" i="3"/>
  <c r="F939" i="3"/>
  <c r="G939" i="3"/>
  <c r="H939" i="3"/>
  <c r="I939" i="3"/>
  <c r="J939" i="3"/>
  <c r="K939" i="3"/>
  <c r="B940" i="3"/>
  <c r="C940" i="3"/>
  <c r="D940" i="3"/>
  <c r="E940" i="3"/>
  <c r="F940" i="3"/>
  <c r="G940" i="3"/>
  <c r="H940" i="3"/>
  <c r="I940" i="3"/>
  <c r="J940" i="3"/>
  <c r="K940" i="3"/>
  <c r="B941" i="3"/>
  <c r="C941" i="3"/>
  <c r="D941" i="3"/>
  <c r="E941" i="3"/>
  <c r="F941" i="3"/>
  <c r="G941" i="3"/>
  <c r="H941" i="3"/>
  <c r="I941" i="3"/>
  <c r="J941" i="3"/>
  <c r="K941" i="3"/>
  <c r="B942" i="3"/>
  <c r="C942" i="3"/>
  <c r="D942" i="3"/>
  <c r="E942" i="3"/>
  <c r="F942" i="3"/>
  <c r="G942" i="3"/>
  <c r="H942" i="3"/>
  <c r="I942" i="3"/>
  <c r="J942" i="3"/>
  <c r="K942" i="3"/>
  <c r="B943" i="3"/>
  <c r="C943" i="3"/>
  <c r="D943" i="3"/>
  <c r="E943" i="3"/>
  <c r="F943" i="3"/>
  <c r="G943" i="3"/>
  <c r="H943" i="3"/>
  <c r="I943" i="3"/>
  <c r="J943" i="3"/>
  <c r="K943" i="3"/>
  <c r="B944" i="3"/>
  <c r="C944" i="3"/>
  <c r="D944" i="3"/>
  <c r="E944" i="3"/>
  <c r="F944" i="3"/>
  <c r="G944" i="3"/>
  <c r="H944" i="3"/>
  <c r="I944" i="3"/>
  <c r="J944" i="3"/>
  <c r="K944" i="3"/>
  <c r="B945" i="3"/>
  <c r="C945" i="3"/>
  <c r="D945" i="3"/>
  <c r="E945" i="3"/>
  <c r="F945" i="3"/>
  <c r="G945" i="3"/>
  <c r="H945" i="3"/>
  <c r="I945" i="3"/>
  <c r="J945" i="3"/>
  <c r="K945" i="3"/>
  <c r="B946" i="3"/>
  <c r="C946" i="3"/>
  <c r="D946" i="3"/>
  <c r="E946" i="3"/>
  <c r="F946" i="3"/>
  <c r="G946" i="3"/>
  <c r="H946" i="3"/>
  <c r="I946" i="3"/>
  <c r="J946" i="3"/>
  <c r="K946" i="3"/>
  <c r="B947" i="3"/>
  <c r="C947" i="3"/>
  <c r="D947" i="3"/>
  <c r="E947" i="3"/>
  <c r="F947" i="3"/>
  <c r="G947" i="3"/>
  <c r="H947" i="3"/>
  <c r="I947" i="3"/>
  <c r="J947" i="3"/>
  <c r="K947" i="3"/>
  <c r="B948" i="3"/>
  <c r="C948" i="3"/>
  <c r="D948" i="3"/>
  <c r="E948" i="3"/>
  <c r="F948" i="3"/>
  <c r="G948" i="3"/>
  <c r="H948" i="3"/>
  <c r="I948" i="3"/>
  <c r="J948" i="3"/>
  <c r="K948" i="3"/>
  <c r="B949" i="3"/>
  <c r="C949" i="3"/>
  <c r="D949" i="3"/>
  <c r="E949" i="3"/>
  <c r="F949" i="3"/>
  <c r="G949" i="3"/>
  <c r="H949" i="3"/>
  <c r="I949" i="3"/>
  <c r="J949" i="3"/>
  <c r="K949" i="3"/>
  <c r="B950" i="3"/>
  <c r="C950" i="3"/>
  <c r="D950" i="3"/>
  <c r="E950" i="3"/>
  <c r="F950" i="3"/>
  <c r="G950" i="3"/>
  <c r="H950" i="3"/>
  <c r="I950" i="3"/>
  <c r="J950" i="3"/>
  <c r="K950" i="3"/>
  <c r="B951" i="3"/>
  <c r="C951" i="3"/>
  <c r="D951" i="3"/>
  <c r="E951" i="3"/>
  <c r="F951" i="3"/>
  <c r="G951" i="3"/>
  <c r="H951" i="3"/>
  <c r="I951" i="3"/>
  <c r="J951" i="3"/>
  <c r="K951" i="3"/>
  <c r="B952" i="3"/>
  <c r="C952" i="3"/>
  <c r="D952" i="3"/>
  <c r="E952" i="3"/>
  <c r="F952" i="3"/>
  <c r="G952" i="3"/>
  <c r="H952" i="3"/>
  <c r="I952" i="3"/>
  <c r="J952" i="3"/>
  <c r="K952" i="3"/>
  <c r="B953" i="3"/>
  <c r="C953" i="3"/>
  <c r="D953" i="3"/>
  <c r="E953" i="3"/>
  <c r="F953" i="3"/>
  <c r="G953" i="3"/>
  <c r="H953" i="3"/>
  <c r="I953" i="3"/>
  <c r="J953" i="3"/>
  <c r="K953" i="3"/>
  <c r="B954" i="3"/>
  <c r="C954" i="3"/>
  <c r="D954" i="3"/>
  <c r="E954" i="3"/>
  <c r="F954" i="3"/>
  <c r="G954" i="3"/>
  <c r="H954" i="3"/>
  <c r="I954" i="3"/>
  <c r="J954" i="3"/>
  <c r="K954" i="3"/>
  <c r="B955" i="3"/>
  <c r="C955" i="3"/>
  <c r="D955" i="3"/>
  <c r="E955" i="3"/>
  <c r="F955" i="3"/>
  <c r="G955" i="3"/>
  <c r="H955" i="3"/>
  <c r="I955" i="3"/>
  <c r="J955" i="3"/>
  <c r="K955" i="3"/>
  <c r="B956" i="3"/>
  <c r="C956" i="3"/>
  <c r="D956" i="3"/>
  <c r="E956" i="3"/>
  <c r="F956" i="3"/>
  <c r="G956" i="3"/>
  <c r="H956" i="3"/>
  <c r="I956" i="3"/>
  <c r="J956" i="3"/>
  <c r="K956" i="3"/>
  <c r="B957" i="3"/>
  <c r="C957" i="3"/>
  <c r="D957" i="3"/>
  <c r="E957" i="3"/>
  <c r="F957" i="3"/>
  <c r="G957" i="3"/>
  <c r="H957" i="3"/>
  <c r="I957" i="3"/>
  <c r="J957" i="3"/>
  <c r="K957" i="3"/>
  <c r="B958" i="3"/>
  <c r="C958" i="3"/>
  <c r="D958" i="3"/>
  <c r="E958" i="3"/>
  <c r="F958" i="3"/>
  <c r="G958" i="3"/>
  <c r="H958" i="3"/>
  <c r="I958" i="3"/>
  <c r="J958" i="3"/>
  <c r="K958" i="3"/>
  <c r="B959" i="3"/>
  <c r="C959" i="3"/>
  <c r="D959" i="3"/>
  <c r="E959" i="3"/>
  <c r="F959" i="3"/>
  <c r="G959" i="3"/>
  <c r="H959" i="3"/>
  <c r="I959" i="3"/>
  <c r="J959" i="3"/>
  <c r="K959" i="3"/>
  <c r="B960" i="3"/>
  <c r="C960" i="3"/>
  <c r="D960" i="3"/>
  <c r="E960" i="3"/>
  <c r="F960" i="3"/>
  <c r="G960" i="3"/>
  <c r="H960" i="3"/>
  <c r="I960" i="3"/>
  <c r="J960" i="3"/>
  <c r="K960" i="3"/>
  <c r="B961" i="3"/>
  <c r="C961" i="3"/>
  <c r="D961" i="3"/>
  <c r="E961" i="3"/>
  <c r="F961" i="3"/>
  <c r="G961" i="3"/>
  <c r="H961" i="3"/>
  <c r="I961" i="3"/>
  <c r="J961" i="3"/>
  <c r="K961" i="3"/>
  <c r="B962" i="3"/>
  <c r="C962" i="3"/>
  <c r="D962" i="3"/>
  <c r="E962" i="3"/>
  <c r="F962" i="3"/>
  <c r="G962" i="3"/>
  <c r="H962" i="3"/>
  <c r="I962" i="3"/>
  <c r="J962" i="3"/>
  <c r="K962" i="3"/>
  <c r="B963" i="3"/>
  <c r="C963" i="3"/>
  <c r="D963" i="3"/>
  <c r="E963" i="3"/>
  <c r="F963" i="3"/>
  <c r="G963" i="3"/>
  <c r="H963" i="3"/>
  <c r="I963" i="3"/>
  <c r="J963" i="3"/>
  <c r="K963" i="3"/>
  <c r="B964" i="3"/>
  <c r="C964" i="3"/>
  <c r="D964" i="3"/>
  <c r="E964" i="3"/>
  <c r="F964" i="3"/>
  <c r="G964" i="3"/>
  <c r="H964" i="3"/>
  <c r="I964" i="3"/>
  <c r="J964" i="3"/>
  <c r="K964" i="3"/>
  <c r="B965" i="3"/>
  <c r="C965" i="3"/>
  <c r="D965" i="3"/>
  <c r="E965" i="3"/>
  <c r="F965" i="3"/>
  <c r="G965" i="3"/>
  <c r="H965" i="3"/>
  <c r="I965" i="3"/>
  <c r="J965" i="3"/>
  <c r="K965" i="3"/>
  <c r="B966" i="3"/>
  <c r="C966" i="3"/>
  <c r="D966" i="3"/>
  <c r="E966" i="3"/>
  <c r="F966" i="3"/>
  <c r="G966" i="3"/>
  <c r="H966" i="3"/>
  <c r="I966" i="3"/>
  <c r="J966" i="3"/>
  <c r="K966" i="3"/>
  <c r="B967" i="3"/>
  <c r="C967" i="3"/>
  <c r="D967" i="3"/>
  <c r="E967" i="3"/>
  <c r="F967" i="3"/>
  <c r="G967" i="3"/>
  <c r="H967" i="3"/>
  <c r="I967" i="3"/>
  <c r="J967" i="3"/>
  <c r="K967" i="3"/>
  <c r="B968" i="3"/>
  <c r="C968" i="3"/>
  <c r="D968" i="3"/>
  <c r="E968" i="3"/>
  <c r="F968" i="3"/>
  <c r="G968" i="3"/>
  <c r="H968" i="3"/>
  <c r="I968" i="3"/>
  <c r="J968" i="3"/>
  <c r="K968" i="3"/>
  <c r="B969" i="3"/>
  <c r="C969" i="3"/>
  <c r="D969" i="3"/>
  <c r="E969" i="3"/>
  <c r="F969" i="3"/>
  <c r="G969" i="3"/>
  <c r="H969" i="3"/>
  <c r="I969" i="3"/>
  <c r="J969" i="3"/>
  <c r="K969" i="3"/>
  <c r="B970" i="3"/>
  <c r="C970" i="3"/>
  <c r="D970" i="3"/>
  <c r="E970" i="3"/>
  <c r="F970" i="3"/>
  <c r="G970" i="3"/>
  <c r="H970" i="3"/>
  <c r="I970" i="3"/>
  <c r="J970" i="3"/>
  <c r="K970" i="3"/>
  <c r="B971" i="3"/>
  <c r="C971" i="3"/>
  <c r="D971" i="3"/>
  <c r="E971" i="3"/>
  <c r="F971" i="3"/>
  <c r="G971" i="3"/>
  <c r="H971" i="3"/>
  <c r="I971" i="3"/>
  <c r="J971" i="3"/>
  <c r="K971" i="3"/>
  <c r="B972" i="3"/>
  <c r="C972" i="3"/>
  <c r="D972" i="3"/>
  <c r="E972" i="3"/>
  <c r="F972" i="3"/>
  <c r="G972" i="3"/>
  <c r="H972" i="3"/>
  <c r="I972" i="3"/>
  <c r="J972" i="3"/>
  <c r="K972" i="3"/>
  <c r="B973" i="3"/>
  <c r="C973" i="3"/>
  <c r="D973" i="3"/>
  <c r="E973" i="3"/>
  <c r="F973" i="3"/>
  <c r="G973" i="3"/>
  <c r="H973" i="3"/>
  <c r="I973" i="3"/>
  <c r="J973" i="3"/>
  <c r="K973" i="3"/>
  <c r="B974" i="3"/>
  <c r="C974" i="3"/>
  <c r="D974" i="3"/>
  <c r="E974" i="3"/>
  <c r="F974" i="3"/>
  <c r="G974" i="3"/>
  <c r="H974" i="3"/>
  <c r="I974" i="3"/>
  <c r="J974" i="3"/>
  <c r="K974" i="3"/>
  <c r="B975" i="3"/>
  <c r="C975" i="3"/>
  <c r="D975" i="3"/>
  <c r="E975" i="3"/>
  <c r="F975" i="3"/>
  <c r="G975" i="3"/>
  <c r="H975" i="3"/>
  <c r="I975" i="3"/>
  <c r="J975" i="3"/>
  <c r="K975" i="3"/>
  <c r="B976" i="3"/>
  <c r="C976" i="3"/>
  <c r="D976" i="3"/>
  <c r="E976" i="3"/>
  <c r="F976" i="3"/>
  <c r="G976" i="3"/>
  <c r="H976" i="3"/>
  <c r="I976" i="3"/>
  <c r="J976" i="3"/>
  <c r="K976" i="3"/>
  <c r="B977" i="3"/>
  <c r="C977" i="3"/>
  <c r="D977" i="3"/>
  <c r="E977" i="3"/>
  <c r="F977" i="3"/>
  <c r="G977" i="3"/>
  <c r="H977" i="3"/>
  <c r="I977" i="3"/>
  <c r="J977" i="3"/>
  <c r="K977" i="3"/>
  <c r="B978" i="3"/>
  <c r="C978" i="3"/>
  <c r="D978" i="3"/>
  <c r="E978" i="3"/>
  <c r="F978" i="3"/>
  <c r="G978" i="3"/>
  <c r="H978" i="3"/>
  <c r="I978" i="3"/>
  <c r="J978" i="3"/>
  <c r="K978" i="3"/>
  <c r="B979" i="3"/>
  <c r="C979" i="3"/>
  <c r="D979" i="3"/>
  <c r="E979" i="3"/>
  <c r="F979" i="3"/>
  <c r="G979" i="3"/>
  <c r="H979" i="3"/>
  <c r="I979" i="3"/>
  <c r="J979" i="3"/>
  <c r="K979" i="3"/>
  <c r="B980" i="3"/>
  <c r="C980" i="3"/>
  <c r="D980" i="3"/>
  <c r="E980" i="3"/>
  <c r="F980" i="3"/>
  <c r="G980" i="3"/>
  <c r="H980" i="3"/>
  <c r="I980" i="3"/>
  <c r="J980" i="3"/>
  <c r="K980" i="3"/>
  <c r="B981" i="3"/>
  <c r="C981" i="3"/>
  <c r="D981" i="3"/>
  <c r="E981" i="3"/>
  <c r="F981" i="3"/>
  <c r="G981" i="3"/>
  <c r="H981" i="3"/>
  <c r="I981" i="3"/>
  <c r="J981" i="3"/>
  <c r="K981" i="3"/>
  <c r="B982" i="3"/>
  <c r="C982" i="3"/>
  <c r="D982" i="3"/>
  <c r="E982" i="3"/>
  <c r="F982" i="3"/>
  <c r="G982" i="3"/>
  <c r="H982" i="3"/>
  <c r="I982" i="3"/>
  <c r="J982" i="3"/>
  <c r="K982" i="3"/>
  <c r="B983" i="3"/>
  <c r="C983" i="3"/>
  <c r="D983" i="3"/>
  <c r="E983" i="3"/>
  <c r="F983" i="3"/>
  <c r="G983" i="3"/>
  <c r="H983" i="3"/>
  <c r="I983" i="3"/>
  <c r="J983" i="3"/>
  <c r="K983" i="3"/>
  <c r="B984" i="3"/>
  <c r="C984" i="3"/>
  <c r="D984" i="3"/>
  <c r="E984" i="3"/>
  <c r="F984" i="3"/>
  <c r="G984" i="3"/>
  <c r="H984" i="3"/>
  <c r="I984" i="3"/>
  <c r="J984" i="3"/>
  <c r="K984" i="3"/>
  <c r="B985" i="3"/>
  <c r="C985" i="3"/>
  <c r="D985" i="3"/>
  <c r="E985" i="3"/>
  <c r="F985" i="3"/>
  <c r="G985" i="3"/>
  <c r="H985" i="3"/>
  <c r="I985" i="3"/>
  <c r="J985" i="3"/>
  <c r="K985" i="3"/>
  <c r="B986" i="3"/>
  <c r="C986" i="3"/>
  <c r="D986" i="3"/>
  <c r="E986" i="3"/>
  <c r="F986" i="3"/>
  <c r="G986" i="3"/>
  <c r="H986" i="3"/>
  <c r="I986" i="3"/>
  <c r="J986" i="3"/>
  <c r="K986" i="3"/>
  <c r="B987" i="3"/>
  <c r="C987" i="3"/>
  <c r="D987" i="3"/>
  <c r="E987" i="3"/>
  <c r="F987" i="3"/>
  <c r="G987" i="3"/>
  <c r="H987" i="3"/>
  <c r="I987" i="3"/>
  <c r="J987" i="3"/>
  <c r="K987" i="3"/>
  <c r="B988" i="3"/>
  <c r="C988" i="3"/>
  <c r="D988" i="3"/>
  <c r="E988" i="3"/>
  <c r="F988" i="3"/>
  <c r="G988" i="3"/>
  <c r="H988" i="3"/>
  <c r="I988" i="3"/>
  <c r="J988" i="3"/>
  <c r="K988" i="3"/>
  <c r="B989" i="3"/>
  <c r="C989" i="3"/>
  <c r="D989" i="3"/>
  <c r="E989" i="3"/>
  <c r="F989" i="3"/>
  <c r="G989" i="3"/>
  <c r="H989" i="3"/>
  <c r="I989" i="3"/>
  <c r="J989" i="3"/>
  <c r="K989" i="3"/>
  <c r="B990" i="3"/>
  <c r="C990" i="3"/>
  <c r="D990" i="3"/>
  <c r="E990" i="3"/>
  <c r="F990" i="3"/>
  <c r="G990" i="3"/>
  <c r="H990" i="3"/>
  <c r="I990" i="3"/>
  <c r="J990" i="3"/>
  <c r="K990" i="3"/>
  <c r="B991" i="3"/>
  <c r="C991" i="3"/>
  <c r="D991" i="3"/>
  <c r="E991" i="3"/>
  <c r="F991" i="3"/>
  <c r="G991" i="3"/>
  <c r="H991" i="3"/>
  <c r="I991" i="3"/>
  <c r="J991" i="3"/>
  <c r="K991" i="3"/>
  <c r="B992" i="3"/>
  <c r="C992" i="3"/>
  <c r="D992" i="3"/>
  <c r="E992" i="3"/>
  <c r="F992" i="3"/>
  <c r="G992" i="3"/>
  <c r="H992" i="3"/>
  <c r="I992" i="3"/>
  <c r="J992" i="3"/>
  <c r="K992" i="3"/>
  <c r="B993" i="3"/>
  <c r="C993" i="3"/>
  <c r="D993" i="3"/>
  <c r="E993" i="3"/>
  <c r="F993" i="3"/>
  <c r="G993" i="3"/>
  <c r="H993" i="3"/>
  <c r="I993" i="3"/>
  <c r="J993" i="3"/>
  <c r="K993" i="3"/>
  <c r="B994" i="3"/>
  <c r="C994" i="3"/>
  <c r="D994" i="3"/>
  <c r="E994" i="3"/>
  <c r="F994" i="3"/>
  <c r="G994" i="3"/>
  <c r="H994" i="3"/>
  <c r="I994" i="3"/>
  <c r="J994" i="3"/>
  <c r="K994" i="3"/>
  <c r="B995" i="3"/>
  <c r="C995" i="3"/>
  <c r="D995" i="3"/>
  <c r="E995" i="3"/>
  <c r="F995" i="3"/>
  <c r="G995" i="3"/>
  <c r="H995" i="3"/>
  <c r="I995" i="3"/>
  <c r="J995" i="3"/>
  <c r="K995" i="3"/>
  <c r="B996" i="3"/>
  <c r="C996" i="3"/>
  <c r="D996" i="3"/>
  <c r="E996" i="3"/>
  <c r="F996" i="3"/>
  <c r="G996" i="3"/>
  <c r="H996" i="3"/>
  <c r="I996" i="3"/>
  <c r="J996" i="3"/>
  <c r="K996" i="3"/>
  <c r="B997" i="3"/>
  <c r="C997" i="3"/>
  <c r="D997" i="3"/>
  <c r="E997" i="3"/>
  <c r="F997" i="3"/>
  <c r="G997" i="3"/>
  <c r="H997" i="3"/>
  <c r="I997" i="3"/>
  <c r="J997" i="3"/>
  <c r="K997" i="3"/>
  <c r="B998" i="3"/>
  <c r="C998" i="3"/>
  <c r="D998" i="3"/>
  <c r="E998" i="3"/>
  <c r="F998" i="3"/>
  <c r="G998" i="3"/>
  <c r="H998" i="3"/>
  <c r="I998" i="3"/>
  <c r="J998" i="3"/>
  <c r="K998" i="3"/>
  <c r="B999" i="3"/>
  <c r="C999" i="3"/>
  <c r="D999" i="3"/>
  <c r="E999" i="3"/>
  <c r="F999" i="3"/>
  <c r="G999" i="3"/>
  <c r="H999" i="3"/>
  <c r="I999" i="3"/>
  <c r="J999" i="3"/>
  <c r="K999" i="3"/>
  <c r="B1000" i="3"/>
  <c r="C1000" i="3"/>
  <c r="D1000" i="3"/>
  <c r="E1000" i="3"/>
  <c r="F1000" i="3"/>
  <c r="G1000" i="3"/>
  <c r="H1000" i="3"/>
  <c r="I1000" i="3"/>
  <c r="J1000" i="3"/>
  <c r="K1000" i="3"/>
  <c r="B1001" i="3"/>
  <c r="C1001" i="3"/>
  <c r="D1001" i="3"/>
  <c r="E1001" i="3"/>
  <c r="F1001" i="3"/>
  <c r="G1001" i="3"/>
  <c r="H1001" i="3"/>
  <c r="I1001" i="3"/>
  <c r="J1001" i="3"/>
  <c r="K1001" i="3"/>
  <c r="B1002" i="3"/>
  <c r="C1002" i="3"/>
  <c r="D1002" i="3"/>
  <c r="E1002" i="3"/>
  <c r="F1002" i="3"/>
  <c r="G1002" i="3"/>
  <c r="H1002" i="3"/>
  <c r="I1002" i="3"/>
  <c r="J1002" i="3"/>
  <c r="K1002" i="3"/>
  <c r="B1003" i="3"/>
  <c r="C1003" i="3"/>
  <c r="D1003" i="3"/>
  <c r="E1003" i="3"/>
  <c r="F1003" i="3"/>
  <c r="G1003" i="3"/>
  <c r="H1003" i="3"/>
  <c r="I1003" i="3"/>
  <c r="J1003" i="3"/>
  <c r="K1003" i="3"/>
  <c r="B1004" i="3"/>
  <c r="C1004" i="3"/>
  <c r="D1004" i="3"/>
  <c r="E1004" i="3"/>
  <c r="F1004" i="3"/>
  <c r="G1004" i="3"/>
  <c r="H1004" i="3"/>
  <c r="I1004" i="3"/>
  <c r="J1004" i="3"/>
  <c r="K1004" i="3"/>
  <c r="B1005" i="3"/>
  <c r="C1005" i="3"/>
  <c r="D1005" i="3"/>
  <c r="E1005" i="3"/>
  <c r="F1005" i="3"/>
  <c r="G1005" i="3"/>
  <c r="H1005" i="3"/>
  <c r="I1005" i="3"/>
  <c r="J1005" i="3"/>
  <c r="K1005" i="3"/>
  <c r="B1006" i="3"/>
  <c r="C1006" i="3"/>
  <c r="D1006" i="3"/>
  <c r="E1006" i="3"/>
  <c r="F1006" i="3"/>
  <c r="G1006" i="3"/>
  <c r="H1006" i="3"/>
  <c r="I1006" i="3"/>
  <c r="J1006" i="3"/>
  <c r="K1006" i="3"/>
  <c r="B1007" i="3"/>
  <c r="C1007" i="3"/>
  <c r="D1007" i="3"/>
  <c r="E1007" i="3"/>
  <c r="F1007" i="3"/>
  <c r="G1007" i="3"/>
  <c r="H1007" i="3"/>
  <c r="I1007" i="3"/>
  <c r="J1007" i="3"/>
  <c r="K1007" i="3"/>
  <c r="B1008" i="3"/>
  <c r="C1008" i="3"/>
  <c r="D1008" i="3"/>
  <c r="E1008" i="3"/>
  <c r="F1008" i="3"/>
  <c r="G1008" i="3"/>
  <c r="H1008" i="3"/>
  <c r="I1008" i="3"/>
  <c r="J1008" i="3"/>
  <c r="K1008" i="3"/>
  <c r="B1009" i="3"/>
  <c r="C1009" i="3"/>
  <c r="D1009" i="3"/>
  <c r="E1009" i="3"/>
  <c r="F1009" i="3"/>
  <c r="G1009" i="3"/>
  <c r="H1009" i="3"/>
  <c r="I1009" i="3"/>
  <c r="J1009" i="3"/>
  <c r="K1009" i="3"/>
  <c r="B1010" i="3"/>
  <c r="C1010" i="3"/>
  <c r="D1010" i="3"/>
  <c r="E1010" i="3"/>
  <c r="F1010" i="3"/>
  <c r="G1010" i="3"/>
  <c r="H1010" i="3"/>
  <c r="I1010" i="3"/>
  <c r="J1010" i="3"/>
  <c r="K1010" i="3"/>
  <c r="B1011" i="3"/>
  <c r="C1011" i="3"/>
  <c r="D1011" i="3"/>
  <c r="E1011" i="3"/>
  <c r="F1011" i="3"/>
  <c r="G1011" i="3"/>
  <c r="H1011" i="3"/>
  <c r="I1011" i="3"/>
  <c r="J1011" i="3"/>
  <c r="K1011" i="3"/>
  <c r="B1012" i="3"/>
  <c r="C1012" i="3"/>
  <c r="D1012" i="3"/>
  <c r="E1012" i="3"/>
  <c r="F1012" i="3"/>
  <c r="G1012" i="3"/>
  <c r="H1012" i="3"/>
  <c r="I1012" i="3"/>
  <c r="J1012" i="3"/>
  <c r="K1012" i="3"/>
  <c r="B1013" i="3"/>
  <c r="C1013" i="3"/>
  <c r="D1013" i="3"/>
  <c r="E1013" i="3"/>
  <c r="F1013" i="3"/>
  <c r="G1013" i="3"/>
  <c r="H1013" i="3"/>
  <c r="I1013" i="3"/>
  <c r="J1013" i="3"/>
  <c r="K1013" i="3"/>
  <c r="B1014" i="3"/>
  <c r="C1014" i="3"/>
  <c r="D1014" i="3"/>
  <c r="E1014" i="3"/>
  <c r="F1014" i="3"/>
  <c r="G1014" i="3"/>
  <c r="H1014" i="3"/>
  <c r="I1014" i="3"/>
  <c r="J1014" i="3"/>
  <c r="K1014" i="3"/>
  <c r="B1015" i="3"/>
  <c r="C1015" i="3"/>
  <c r="D1015" i="3"/>
  <c r="E1015" i="3"/>
  <c r="F1015" i="3"/>
  <c r="G1015" i="3"/>
  <c r="H1015" i="3"/>
  <c r="I1015" i="3"/>
  <c r="J1015" i="3"/>
  <c r="K1015" i="3"/>
  <c r="B1016" i="3"/>
  <c r="C1016" i="3"/>
  <c r="D1016" i="3"/>
  <c r="E1016" i="3"/>
  <c r="F1016" i="3"/>
  <c r="G1016" i="3"/>
  <c r="H1016" i="3"/>
  <c r="I1016" i="3"/>
  <c r="J1016" i="3"/>
  <c r="K1016" i="3"/>
  <c r="B1017" i="3"/>
  <c r="C1017" i="3"/>
  <c r="D1017" i="3"/>
  <c r="E1017" i="3"/>
  <c r="F1017" i="3"/>
  <c r="G1017" i="3"/>
  <c r="H1017" i="3"/>
  <c r="I1017" i="3"/>
  <c r="J1017" i="3"/>
  <c r="K1017" i="3"/>
  <c r="B1018" i="3"/>
  <c r="C1018" i="3"/>
  <c r="D1018" i="3"/>
  <c r="E1018" i="3"/>
  <c r="F1018" i="3"/>
  <c r="G1018" i="3"/>
  <c r="H1018" i="3"/>
  <c r="I1018" i="3"/>
  <c r="J1018" i="3"/>
  <c r="K1018" i="3"/>
  <c r="B1019" i="3"/>
  <c r="C1019" i="3"/>
  <c r="D1019" i="3"/>
  <c r="E1019" i="3"/>
  <c r="F1019" i="3"/>
  <c r="G1019" i="3"/>
  <c r="H1019" i="3"/>
  <c r="I1019" i="3"/>
  <c r="J1019" i="3"/>
  <c r="K1019" i="3"/>
  <c r="B1020" i="3"/>
  <c r="C1020" i="3"/>
  <c r="D1020" i="3"/>
  <c r="E1020" i="3"/>
  <c r="F1020" i="3"/>
  <c r="G1020" i="3"/>
  <c r="H1020" i="3"/>
  <c r="I1020" i="3"/>
  <c r="J1020" i="3"/>
  <c r="K1020" i="3"/>
  <c r="B1021" i="3"/>
  <c r="C1021" i="3"/>
  <c r="D1021" i="3"/>
  <c r="E1021" i="3"/>
  <c r="F1021" i="3"/>
  <c r="G1021" i="3"/>
  <c r="H1021" i="3"/>
  <c r="I1021" i="3"/>
  <c r="J1021" i="3"/>
  <c r="K1021" i="3"/>
  <c r="B1022" i="3"/>
  <c r="C1022" i="3"/>
  <c r="D1022" i="3"/>
  <c r="E1022" i="3"/>
  <c r="F1022" i="3"/>
  <c r="G1022" i="3"/>
  <c r="H1022" i="3"/>
  <c r="I1022" i="3"/>
  <c r="J1022" i="3"/>
  <c r="K1022" i="3"/>
  <c r="B1023" i="3"/>
  <c r="C1023" i="3"/>
  <c r="D1023" i="3"/>
  <c r="E1023" i="3"/>
  <c r="F1023" i="3"/>
  <c r="G1023" i="3"/>
  <c r="H1023" i="3"/>
  <c r="I1023" i="3"/>
  <c r="J1023" i="3"/>
  <c r="K1023" i="3"/>
  <c r="B1024" i="3"/>
  <c r="C1024" i="3"/>
  <c r="D1024" i="3"/>
  <c r="E1024" i="3"/>
  <c r="F1024" i="3"/>
  <c r="G1024" i="3"/>
  <c r="H1024" i="3"/>
  <c r="I1024" i="3"/>
  <c r="J1024" i="3"/>
  <c r="K1024" i="3"/>
  <c r="B1025" i="3"/>
  <c r="C1025" i="3"/>
  <c r="D1025" i="3"/>
  <c r="E1025" i="3"/>
  <c r="F1025" i="3"/>
  <c r="G1025" i="3"/>
  <c r="H1025" i="3"/>
  <c r="I1025" i="3"/>
  <c r="J1025" i="3"/>
  <c r="K1025" i="3"/>
  <c r="B1026" i="3"/>
  <c r="C1026" i="3"/>
  <c r="D1026" i="3"/>
  <c r="E1026" i="3"/>
  <c r="F1026" i="3"/>
  <c r="G1026" i="3"/>
  <c r="H1026" i="3"/>
  <c r="I1026" i="3"/>
  <c r="J1026" i="3"/>
  <c r="K1026" i="3"/>
  <c r="B1027" i="3"/>
  <c r="C1027" i="3"/>
  <c r="D1027" i="3"/>
  <c r="E1027" i="3"/>
  <c r="F1027" i="3"/>
  <c r="G1027" i="3"/>
  <c r="H1027" i="3"/>
  <c r="I1027" i="3"/>
  <c r="J1027" i="3"/>
  <c r="K1027" i="3"/>
  <c r="B1028" i="3"/>
  <c r="C1028" i="3"/>
  <c r="D1028" i="3"/>
  <c r="E1028" i="3"/>
  <c r="F1028" i="3"/>
  <c r="G1028" i="3"/>
  <c r="H1028" i="3"/>
  <c r="I1028" i="3"/>
  <c r="J1028" i="3"/>
  <c r="K1028" i="3"/>
  <c r="B1029" i="3"/>
  <c r="C1029" i="3"/>
  <c r="D1029" i="3"/>
  <c r="E1029" i="3"/>
  <c r="F1029" i="3"/>
  <c r="G1029" i="3"/>
  <c r="H1029" i="3"/>
  <c r="I1029" i="3"/>
  <c r="J1029" i="3"/>
  <c r="K1029" i="3"/>
  <c r="B1030" i="3"/>
  <c r="C1030" i="3"/>
  <c r="D1030" i="3"/>
  <c r="E1030" i="3"/>
  <c r="F1030" i="3"/>
  <c r="G1030" i="3"/>
  <c r="H1030" i="3"/>
  <c r="I1030" i="3"/>
  <c r="J1030" i="3"/>
  <c r="K1030" i="3"/>
  <c r="B1031" i="3"/>
  <c r="C1031" i="3"/>
  <c r="D1031" i="3"/>
  <c r="E1031" i="3"/>
  <c r="F1031" i="3"/>
  <c r="G1031" i="3"/>
  <c r="H1031" i="3"/>
  <c r="I1031" i="3"/>
  <c r="J1031" i="3"/>
  <c r="K1031" i="3"/>
  <c r="B1032" i="3"/>
  <c r="C1032" i="3"/>
  <c r="D1032" i="3"/>
  <c r="E1032" i="3"/>
  <c r="F1032" i="3"/>
  <c r="G1032" i="3"/>
  <c r="H1032" i="3"/>
  <c r="I1032" i="3"/>
  <c r="J1032" i="3"/>
  <c r="K1032" i="3"/>
  <c r="B1033" i="3"/>
  <c r="C1033" i="3"/>
  <c r="D1033" i="3"/>
  <c r="E1033" i="3"/>
  <c r="F1033" i="3"/>
  <c r="G1033" i="3"/>
  <c r="H1033" i="3"/>
  <c r="I1033" i="3"/>
  <c r="J1033" i="3"/>
  <c r="K1033" i="3"/>
  <c r="B1034" i="3"/>
  <c r="C1034" i="3"/>
  <c r="D1034" i="3"/>
  <c r="E1034" i="3"/>
  <c r="F1034" i="3"/>
  <c r="G1034" i="3"/>
  <c r="H1034" i="3"/>
  <c r="I1034" i="3"/>
  <c r="J1034" i="3"/>
  <c r="K1034" i="3"/>
  <c r="B1035" i="3"/>
  <c r="C1035" i="3"/>
  <c r="D1035" i="3"/>
  <c r="E1035" i="3"/>
  <c r="F1035" i="3"/>
  <c r="G1035" i="3"/>
  <c r="H1035" i="3"/>
  <c r="I1035" i="3"/>
  <c r="J1035" i="3"/>
  <c r="K1035" i="3"/>
  <c r="B1036" i="3"/>
  <c r="C1036" i="3"/>
  <c r="D1036" i="3"/>
  <c r="E1036" i="3"/>
  <c r="F1036" i="3"/>
  <c r="G1036" i="3"/>
  <c r="H1036" i="3"/>
  <c r="I1036" i="3"/>
  <c r="J1036" i="3"/>
  <c r="K1036" i="3"/>
  <c r="B1037" i="3"/>
  <c r="C1037" i="3"/>
  <c r="D1037" i="3"/>
  <c r="E1037" i="3"/>
  <c r="F1037" i="3"/>
  <c r="G1037" i="3"/>
  <c r="H1037" i="3"/>
  <c r="I1037" i="3"/>
  <c r="J1037" i="3"/>
  <c r="K1037" i="3"/>
  <c r="B1038" i="3"/>
  <c r="C1038" i="3"/>
  <c r="D1038" i="3"/>
  <c r="E1038" i="3"/>
  <c r="F1038" i="3"/>
  <c r="G1038" i="3"/>
  <c r="H1038" i="3"/>
  <c r="I1038" i="3"/>
  <c r="J1038" i="3"/>
  <c r="K1038" i="3"/>
  <c r="B1039" i="3"/>
  <c r="C1039" i="3"/>
  <c r="D1039" i="3"/>
  <c r="E1039" i="3"/>
  <c r="F1039" i="3"/>
  <c r="G1039" i="3"/>
  <c r="H1039" i="3"/>
  <c r="I1039" i="3"/>
  <c r="J1039" i="3"/>
  <c r="K1039" i="3"/>
  <c r="B1040" i="3"/>
  <c r="C1040" i="3"/>
  <c r="D1040" i="3"/>
  <c r="E1040" i="3"/>
  <c r="F1040" i="3"/>
  <c r="G1040" i="3"/>
  <c r="H1040" i="3"/>
  <c r="I1040" i="3"/>
  <c r="J1040" i="3"/>
  <c r="K1040" i="3"/>
  <c r="B1041" i="3"/>
  <c r="C1041" i="3"/>
  <c r="D1041" i="3"/>
  <c r="E1041" i="3"/>
  <c r="F1041" i="3"/>
  <c r="G1041" i="3"/>
  <c r="H1041" i="3"/>
  <c r="I1041" i="3"/>
  <c r="J1041" i="3"/>
  <c r="K1041" i="3"/>
  <c r="B1042" i="3"/>
  <c r="C1042" i="3"/>
  <c r="D1042" i="3"/>
  <c r="E1042" i="3"/>
  <c r="F1042" i="3"/>
  <c r="G1042" i="3"/>
  <c r="H1042" i="3"/>
  <c r="I1042" i="3"/>
  <c r="J1042" i="3"/>
  <c r="K1042" i="3"/>
  <c r="B1043" i="3"/>
  <c r="C1043" i="3"/>
  <c r="D1043" i="3"/>
  <c r="E1043" i="3"/>
  <c r="F1043" i="3"/>
  <c r="G1043" i="3"/>
  <c r="H1043" i="3"/>
  <c r="I1043" i="3"/>
  <c r="J1043" i="3"/>
  <c r="K1043" i="3"/>
  <c r="B1044" i="3"/>
  <c r="C1044" i="3"/>
  <c r="D1044" i="3"/>
  <c r="E1044" i="3"/>
  <c r="F1044" i="3"/>
  <c r="G1044" i="3"/>
  <c r="H1044" i="3"/>
  <c r="I1044" i="3"/>
  <c r="J1044" i="3"/>
  <c r="K1044" i="3"/>
  <c r="B1045" i="3"/>
  <c r="C1045" i="3"/>
  <c r="D1045" i="3"/>
  <c r="E1045" i="3"/>
  <c r="F1045" i="3"/>
  <c r="G1045" i="3"/>
  <c r="H1045" i="3"/>
  <c r="I1045" i="3"/>
  <c r="J1045" i="3"/>
  <c r="K1045" i="3"/>
  <c r="B1046" i="3"/>
  <c r="C1046" i="3"/>
  <c r="D1046" i="3"/>
  <c r="E1046" i="3"/>
  <c r="F1046" i="3"/>
  <c r="G1046" i="3"/>
  <c r="H1046" i="3"/>
  <c r="I1046" i="3"/>
  <c r="J1046" i="3"/>
  <c r="K1046" i="3"/>
  <c r="B1047" i="3"/>
  <c r="C1047" i="3"/>
  <c r="D1047" i="3"/>
  <c r="E1047" i="3"/>
  <c r="F1047" i="3"/>
  <c r="G1047" i="3"/>
  <c r="H1047" i="3"/>
  <c r="I1047" i="3"/>
  <c r="J1047" i="3"/>
  <c r="K1047" i="3"/>
  <c r="B1048" i="3"/>
  <c r="C1048" i="3"/>
  <c r="D1048" i="3"/>
  <c r="E1048" i="3"/>
  <c r="F1048" i="3"/>
  <c r="G1048" i="3"/>
  <c r="H1048" i="3"/>
  <c r="I1048" i="3"/>
  <c r="J1048" i="3"/>
  <c r="K1048" i="3"/>
  <c r="B1049" i="3"/>
  <c r="C1049" i="3"/>
  <c r="D1049" i="3"/>
  <c r="E1049" i="3"/>
  <c r="F1049" i="3"/>
  <c r="G1049" i="3"/>
  <c r="H1049" i="3"/>
  <c r="I1049" i="3"/>
  <c r="J1049" i="3"/>
  <c r="K1049" i="3"/>
  <c r="B1050" i="3"/>
  <c r="C1050" i="3"/>
  <c r="D1050" i="3"/>
  <c r="E1050" i="3"/>
  <c r="F1050" i="3"/>
  <c r="G1050" i="3"/>
  <c r="H1050" i="3"/>
  <c r="I1050" i="3"/>
  <c r="J1050" i="3"/>
  <c r="K1050" i="3"/>
  <c r="B1051" i="3"/>
  <c r="C1051" i="3"/>
  <c r="D1051" i="3"/>
  <c r="E1051" i="3"/>
  <c r="F1051" i="3"/>
  <c r="G1051" i="3"/>
  <c r="H1051" i="3"/>
  <c r="I1051" i="3"/>
  <c r="J1051" i="3"/>
  <c r="K1051" i="3"/>
  <c r="B1052" i="3"/>
  <c r="C1052" i="3"/>
  <c r="D1052" i="3"/>
  <c r="E1052" i="3"/>
  <c r="F1052" i="3"/>
  <c r="G1052" i="3"/>
  <c r="H1052" i="3"/>
  <c r="I1052" i="3"/>
  <c r="J1052" i="3"/>
  <c r="K1052" i="3"/>
  <c r="B1053" i="3"/>
  <c r="C1053" i="3"/>
  <c r="D1053" i="3"/>
  <c r="E1053" i="3"/>
  <c r="F1053" i="3"/>
  <c r="G1053" i="3"/>
  <c r="H1053" i="3"/>
  <c r="I1053" i="3"/>
  <c r="J1053" i="3"/>
  <c r="K1053" i="3"/>
  <c r="B1054" i="3"/>
  <c r="C1054" i="3"/>
  <c r="D1054" i="3"/>
  <c r="E1054" i="3"/>
  <c r="F1054" i="3"/>
  <c r="G1054" i="3"/>
  <c r="H1054" i="3"/>
  <c r="I1054" i="3"/>
  <c r="J1054" i="3"/>
  <c r="K1054" i="3"/>
  <c r="B1055" i="3"/>
  <c r="C1055" i="3"/>
  <c r="D1055" i="3"/>
  <c r="E1055" i="3"/>
  <c r="F1055" i="3"/>
  <c r="G1055" i="3"/>
  <c r="H1055" i="3"/>
  <c r="I1055" i="3"/>
  <c r="J1055" i="3"/>
  <c r="K1055" i="3"/>
  <c r="B1056" i="3"/>
  <c r="C1056" i="3"/>
  <c r="D1056" i="3"/>
  <c r="E1056" i="3"/>
  <c r="F1056" i="3"/>
  <c r="G1056" i="3"/>
  <c r="H1056" i="3"/>
  <c r="I1056" i="3"/>
  <c r="J1056" i="3"/>
  <c r="K1056" i="3"/>
  <c r="B1057" i="3"/>
  <c r="C1057" i="3"/>
  <c r="D1057" i="3"/>
  <c r="E1057" i="3"/>
  <c r="F1057" i="3"/>
  <c r="G1057" i="3"/>
  <c r="H1057" i="3"/>
  <c r="I1057" i="3"/>
  <c r="J1057" i="3"/>
  <c r="K1057" i="3"/>
  <c r="B1058" i="3"/>
  <c r="C1058" i="3"/>
  <c r="D1058" i="3"/>
  <c r="E1058" i="3"/>
  <c r="F1058" i="3"/>
  <c r="G1058" i="3"/>
  <c r="H1058" i="3"/>
  <c r="I1058" i="3"/>
  <c r="J1058" i="3"/>
  <c r="K1058" i="3"/>
  <c r="B1059" i="3"/>
  <c r="C1059" i="3"/>
  <c r="D1059" i="3"/>
  <c r="E1059" i="3"/>
  <c r="F1059" i="3"/>
  <c r="G1059" i="3"/>
  <c r="H1059" i="3"/>
  <c r="I1059" i="3"/>
  <c r="J1059" i="3"/>
  <c r="K1059" i="3"/>
  <c r="B1060" i="3"/>
  <c r="C1060" i="3"/>
  <c r="D1060" i="3"/>
  <c r="E1060" i="3"/>
  <c r="F1060" i="3"/>
  <c r="G1060" i="3"/>
  <c r="H1060" i="3"/>
  <c r="I1060" i="3"/>
  <c r="J1060" i="3"/>
  <c r="K1060" i="3"/>
  <c r="B1061" i="3"/>
  <c r="C1061" i="3"/>
  <c r="D1061" i="3"/>
  <c r="E1061" i="3"/>
  <c r="F1061" i="3"/>
  <c r="G1061" i="3"/>
  <c r="H1061" i="3"/>
  <c r="I1061" i="3"/>
  <c r="J1061" i="3"/>
  <c r="K1061" i="3"/>
  <c r="B1062" i="3"/>
  <c r="C1062" i="3"/>
  <c r="D1062" i="3"/>
  <c r="E1062" i="3"/>
  <c r="F1062" i="3"/>
  <c r="G1062" i="3"/>
  <c r="H1062" i="3"/>
  <c r="I1062" i="3"/>
  <c r="J1062" i="3"/>
  <c r="K1062" i="3"/>
  <c r="B1063" i="3"/>
  <c r="C1063" i="3"/>
  <c r="D1063" i="3"/>
  <c r="E1063" i="3"/>
  <c r="F1063" i="3"/>
  <c r="G1063" i="3"/>
  <c r="H1063" i="3"/>
  <c r="I1063" i="3"/>
  <c r="J1063" i="3"/>
  <c r="K1063" i="3"/>
  <c r="B1064" i="3"/>
  <c r="C1064" i="3"/>
  <c r="D1064" i="3"/>
  <c r="E1064" i="3"/>
  <c r="F1064" i="3"/>
  <c r="G1064" i="3"/>
  <c r="H1064" i="3"/>
  <c r="I1064" i="3"/>
  <c r="J1064" i="3"/>
  <c r="K1064" i="3"/>
  <c r="B1065" i="3"/>
  <c r="C1065" i="3"/>
  <c r="D1065" i="3"/>
  <c r="E1065" i="3"/>
  <c r="F1065" i="3"/>
  <c r="G1065" i="3"/>
  <c r="H1065" i="3"/>
  <c r="I1065" i="3"/>
  <c r="J1065" i="3"/>
  <c r="K1065" i="3"/>
  <c r="B1066" i="3"/>
  <c r="C1066" i="3"/>
  <c r="D1066" i="3"/>
  <c r="E1066" i="3"/>
  <c r="F1066" i="3"/>
  <c r="G1066" i="3"/>
  <c r="H1066" i="3"/>
  <c r="I1066" i="3"/>
  <c r="J1066" i="3"/>
  <c r="K1066" i="3"/>
  <c r="B1067" i="3"/>
  <c r="C1067" i="3"/>
  <c r="D1067" i="3"/>
  <c r="E1067" i="3"/>
  <c r="F1067" i="3"/>
  <c r="G1067" i="3"/>
  <c r="H1067" i="3"/>
  <c r="I1067" i="3"/>
  <c r="J1067" i="3"/>
  <c r="K1067" i="3"/>
  <c r="B1069" i="3"/>
  <c r="C1069" i="3"/>
  <c r="E1069" i="3"/>
  <c r="F1069" i="3"/>
  <c r="G1069" i="3"/>
  <c r="H1069" i="3"/>
  <c r="I1069" i="3"/>
  <c r="J1069" i="3"/>
  <c r="K1069" i="3"/>
  <c r="B1070" i="3"/>
  <c r="C1070" i="3"/>
  <c r="E1070" i="3"/>
  <c r="F1070" i="3"/>
  <c r="G1070" i="3"/>
  <c r="H1070" i="3"/>
  <c r="I1070" i="3"/>
  <c r="J1070" i="3"/>
  <c r="K1070" i="3"/>
  <c r="B1071" i="3"/>
  <c r="C1071" i="3"/>
  <c r="E1071" i="3"/>
  <c r="F1071" i="3"/>
  <c r="G1071" i="3"/>
  <c r="H1071" i="3"/>
  <c r="I1071" i="3"/>
  <c r="J1071" i="3"/>
  <c r="K1071" i="3"/>
  <c r="B1072" i="3"/>
  <c r="C1072" i="3"/>
  <c r="E1072" i="3"/>
  <c r="F1072" i="3"/>
  <c r="G1072" i="3"/>
  <c r="H1072" i="3"/>
  <c r="I1072" i="3"/>
  <c r="J1072" i="3"/>
  <c r="K1072" i="3"/>
  <c r="B1073" i="3"/>
  <c r="C1073" i="3"/>
  <c r="E1073" i="3"/>
  <c r="F1073" i="3"/>
  <c r="G1073" i="3"/>
  <c r="H1073" i="3"/>
  <c r="I1073" i="3"/>
  <c r="J1073" i="3"/>
  <c r="K1073" i="3"/>
  <c r="B1074" i="3"/>
  <c r="C1074" i="3"/>
  <c r="E1074" i="3"/>
  <c r="F1074" i="3"/>
  <c r="G1074" i="3"/>
  <c r="H1074" i="3"/>
  <c r="I1074" i="3"/>
  <c r="J1074" i="3"/>
  <c r="K1074" i="3"/>
  <c r="B1075" i="3"/>
  <c r="C1075" i="3"/>
  <c r="E1075" i="3"/>
  <c r="F1075" i="3"/>
  <c r="G1075" i="3"/>
  <c r="H1075" i="3"/>
  <c r="I1075" i="3"/>
  <c r="J1075" i="3"/>
  <c r="K1075" i="3"/>
  <c r="B1076" i="3"/>
  <c r="C1076" i="3"/>
  <c r="E1076" i="3"/>
  <c r="F1076" i="3"/>
  <c r="G1076" i="3"/>
  <c r="H1076" i="3"/>
  <c r="I1076" i="3"/>
  <c r="J1076" i="3"/>
  <c r="K1076" i="3"/>
  <c r="B1077" i="3"/>
  <c r="C1077" i="3"/>
  <c r="E1077" i="3"/>
  <c r="F1077" i="3"/>
  <c r="G1077" i="3"/>
  <c r="H1077" i="3"/>
  <c r="I1077" i="3"/>
  <c r="J1077" i="3"/>
  <c r="K1077" i="3"/>
  <c r="B1078" i="3"/>
  <c r="C1078" i="3"/>
  <c r="E1078" i="3"/>
  <c r="F1078" i="3"/>
  <c r="G1078" i="3"/>
  <c r="H1078" i="3"/>
  <c r="I1078" i="3"/>
  <c r="J1078" i="3"/>
  <c r="K1078" i="3"/>
  <c r="B1079" i="3"/>
  <c r="C1079" i="3"/>
  <c r="E1079" i="3"/>
  <c r="F1079" i="3"/>
  <c r="G1079" i="3"/>
  <c r="H1079" i="3"/>
  <c r="I1079" i="3"/>
  <c r="J1079" i="3"/>
  <c r="K1079" i="3"/>
  <c r="B1080" i="3"/>
  <c r="C1080" i="3"/>
  <c r="E1080" i="3"/>
  <c r="F1080" i="3"/>
  <c r="G1080" i="3"/>
  <c r="H1080" i="3"/>
  <c r="I1080" i="3"/>
  <c r="J1080" i="3"/>
  <c r="K1080" i="3"/>
  <c r="B1081" i="3"/>
  <c r="C1081" i="3"/>
  <c r="E1081" i="3"/>
  <c r="F1081" i="3"/>
  <c r="G1081" i="3"/>
  <c r="H1081" i="3"/>
  <c r="I1081" i="3"/>
  <c r="J1081" i="3"/>
  <c r="K1081" i="3"/>
  <c r="B1082" i="3"/>
  <c r="C1082" i="3"/>
  <c r="E1082" i="3"/>
  <c r="F1082" i="3"/>
  <c r="G1082" i="3"/>
  <c r="H1082" i="3"/>
  <c r="I1082" i="3"/>
  <c r="J1082" i="3"/>
  <c r="K1082" i="3"/>
  <c r="B1083" i="3"/>
  <c r="C1083" i="3"/>
  <c r="E1083" i="3"/>
  <c r="F1083" i="3"/>
  <c r="G1083" i="3"/>
  <c r="H1083" i="3"/>
  <c r="I1083" i="3"/>
  <c r="J1083" i="3"/>
  <c r="K1083" i="3"/>
  <c r="B1084" i="3"/>
  <c r="C1084" i="3"/>
  <c r="E1084" i="3"/>
  <c r="F1084" i="3"/>
  <c r="G1084" i="3"/>
  <c r="H1084" i="3"/>
  <c r="I1084" i="3"/>
  <c r="J1084" i="3"/>
  <c r="K1084" i="3"/>
  <c r="B1085" i="3"/>
  <c r="C1085" i="3"/>
  <c r="E1085" i="3"/>
  <c r="F1085" i="3"/>
  <c r="G1085" i="3"/>
  <c r="H1085" i="3"/>
  <c r="I1085" i="3"/>
  <c r="J1085" i="3"/>
  <c r="K1085" i="3"/>
  <c r="B1086" i="3"/>
  <c r="C1086" i="3"/>
  <c r="E1086" i="3"/>
  <c r="F1086" i="3"/>
  <c r="G1086" i="3"/>
  <c r="H1086" i="3"/>
  <c r="I1086" i="3"/>
  <c r="J1086" i="3"/>
  <c r="K1086" i="3"/>
  <c r="B1087" i="3"/>
  <c r="C1087" i="3"/>
  <c r="E1087" i="3"/>
  <c r="F1087" i="3"/>
  <c r="G1087" i="3"/>
  <c r="H1087" i="3"/>
  <c r="I1087" i="3"/>
  <c r="J1087" i="3"/>
  <c r="K1087" i="3"/>
  <c r="B1088" i="3"/>
  <c r="C1088" i="3"/>
  <c r="E1088" i="3"/>
  <c r="F1088" i="3"/>
  <c r="G1088" i="3"/>
  <c r="H1088" i="3"/>
  <c r="I1088" i="3"/>
  <c r="J1088" i="3"/>
  <c r="K1088" i="3"/>
  <c r="B1089" i="3"/>
  <c r="C1089" i="3"/>
  <c r="E1089" i="3"/>
  <c r="F1089" i="3"/>
  <c r="G1089" i="3"/>
  <c r="H1089" i="3"/>
  <c r="I1089" i="3"/>
  <c r="J1089" i="3"/>
  <c r="K1089" i="3"/>
  <c r="B1090" i="3"/>
  <c r="C1090" i="3"/>
  <c r="E1090" i="3"/>
  <c r="F1090" i="3"/>
  <c r="G1090" i="3"/>
  <c r="H1090" i="3"/>
  <c r="I1090" i="3"/>
  <c r="J1090" i="3"/>
  <c r="K1090" i="3"/>
  <c r="B1091" i="3"/>
  <c r="C1091" i="3"/>
  <c r="E1091" i="3"/>
  <c r="F1091" i="3"/>
  <c r="G1091" i="3"/>
  <c r="H1091" i="3"/>
  <c r="I1091" i="3"/>
  <c r="J1091" i="3"/>
  <c r="K1091" i="3"/>
  <c r="B1092" i="3"/>
  <c r="C1092" i="3"/>
  <c r="E1092" i="3"/>
  <c r="F1092" i="3"/>
  <c r="G1092" i="3"/>
  <c r="H1092" i="3"/>
  <c r="I1092" i="3"/>
  <c r="J1092" i="3"/>
  <c r="K1092" i="3"/>
  <c r="B1093" i="3"/>
  <c r="C1093" i="3"/>
  <c r="E1093" i="3"/>
  <c r="F1093" i="3"/>
  <c r="G1093" i="3"/>
  <c r="H1093" i="3"/>
  <c r="I1093" i="3"/>
  <c r="J1093" i="3"/>
  <c r="K1093" i="3"/>
  <c r="A1094" i="3"/>
  <c r="B1094" i="3"/>
  <c r="C1094" i="3"/>
  <c r="E1094" i="3"/>
  <c r="F1094" i="3"/>
  <c r="G1094" i="3"/>
  <c r="H1094" i="3"/>
  <c r="I1094" i="3"/>
  <c r="J1094" i="3"/>
  <c r="K1094" i="3"/>
  <c r="A1095" i="3"/>
  <c r="B1095" i="3"/>
  <c r="C1095" i="3"/>
  <c r="E1095" i="3"/>
  <c r="F1095" i="3"/>
  <c r="G1095" i="3"/>
  <c r="H1095" i="3"/>
  <c r="I1095" i="3"/>
  <c r="J1095" i="3"/>
  <c r="K1095" i="3"/>
  <c r="A1096" i="3"/>
  <c r="B1096" i="3"/>
  <c r="C1096" i="3"/>
  <c r="E1096" i="3"/>
  <c r="F1096" i="3"/>
  <c r="G1096" i="3"/>
  <c r="H1096" i="3"/>
  <c r="I1096" i="3"/>
  <c r="J1096" i="3"/>
  <c r="K1096" i="3"/>
  <c r="A1097" i="3"/>
  <c r="B1097" i="3"/>
  <c r="C1097" i="3"/>
  <c r="E1097" i="3"/>
  <c r="F1097" i="3"/>
  <c r="G1097" i="3"/>
  <c r="H1097" i="3"/>
  <c r="I1097" i="3"/>
  <c r="J1097" i="3"/>
  <c r="K1097" i="3"/>
  <c r="A1098" i="3"/>
  <c r="B1098" i="3"/>
  <c r="C1098" i="3"/>
  <c r="E1098" i="3"/>
  <c r="F1098" i="3"/>
  <c r="G1098" i="3"/>
  <c r="H1098" i="3"/>
  <c r="I1098" i="3"/>
  <c r="J1098" i="3"/>
  <c r="K1098" i="3"/>
  <c r="A1099" i="3"/>
  <c r="B1099" i="3"/>
  <c r="C1099" i="3"/>
  <c r="E1099" i="3"/>
  <c r="F1099" i="3"/>
  <c r="G1099" i="3"/>
  <c r="H1099" i="3"/>
  <c r="I1099" i="3"/>
  <c r="J1099" i="3"/>
  <c r="K1099" i="3"/>
  <c r="A1100" i="3"/>
  <c r="B1100" i="3"/>
  <c r="C1100" i="3"/>
  <c r="E1100" i="3"/>
  <c r="F1100" i="3"/>
  <c r="G1100" i="3"/>
  <c r="H1100" i="3"/>
  <c r="I1100" i="3"/>
  <c r="J1100" i="3"/>
  <c r="K1100" i="3"/>
  <c r="A1101" i="3"/>
  <c r="B1101" i="3"/>
  <c r="C1101" i="3"/>
  <c r="E1101" i="3"/>
  <c r="F1101" i="3"/>
  <c r="G1101" i="3"/>
  <c r="H1101" i="3"/>
  <c r="I1101" i="3"/>
  <c r="J1101" i="3"/>
  <c r="K1101" i="3"/>
  <c r="A1102" i="3"/>
  <c r="B1102" i="3"/>
  <c r="C1102" i="3"/>
  <c r="E1102" i="3"/>
  <c r="F1102" i="3"/>
  <c r="G1102" i="3"/>
  <c r="H1102" i="3"/>
  <c r="I1102" i="3"/>
  <c r="J1102" i="3"/>
  <c r="K1102" i="3"/>
  <c r="A1103" i="3"/>
  <c r="B1103" i="3"/>
  <c r="C1103" i="3"/>
  <c r="E1103" i="3"/>
  <c r="F1103" i="3"/>
  <c r="G1103" i="3"/>
  <c r="H1103" i="3"/>
  <c r="I1103" i="3"/>
  <c r="J1103" i="3"/>
  <c r="K1103" i="3"/>
  <c r="A1104" i="3"/>
  <c r="B1104" i="3"/>
  <c r="C1104" i="3"/>
  <c r="E1104" i="3"/>
  <c r="F1104" i="3"/>
  <c r="G1104" i="3"/>
  <c r="H1104" i="3"/>
  <c r="I1104" i="3"/>
  <c r="J1104" i="3"/>
  <c r="K1104" i="3"/>
  <c r="A1105" i="3"/>
  <c r="B1105" i="3"/>
  <c r="C1105" i="3"/>
  <c r="E1105" i="3"/>
  <c r="F1105" i="3"/>
  <c r="G1105" i="3"/>
  <c r="H1105" i="3"/>
  <c r="I1105" i="3"/>
  <c r="J1105" i="3"/>
  <c r="K1105" i="3"/>
  <c r="A1106" i="3"/>
  <c r="B1106" i="3"/>
  <c r="C1106" i="3"/>
  <c r="E1106" i="3"/>
  <c r="F1106" i="3"/>
  <c r="G1106" i="3"/>
  <c r="H1106" i="3"/>
  <c r="I1106" i="3"/>
  <c r="J1106" i="3"/>
  <c r="K1106" i="3"/>
  <c r="A1107" i="3"/>
  <c r="B1107" i="3"/>
  <c r="C1107" i="3"/>
  <c r="E1107" i="3"/>
  <c r="F1107" i="3"/>
  <c r="G1107" i="3"/>
  <c r="H1107" i="3"/>
  <c r="I1107" i="3"/>
  <c r="J1107" i="3"/>
  <c r="K1107" i="3"/>
  <c r="A1108" i="3"/>
  <c r="B1108" i="3"/>
  <c r="C1108" i="3"/>
  <c r="E1108" i="3"/>
  <c r="F1108" i="3"/>
  <c r="G1108" i="3"/>
  <c r="H1108" i="3"/>
  <c r="I1108" i="3"/>
  <c r="J1108" i="3"/>
  <c r="K1108" i="3"/>
  <c r="A1109" i="3"/>
  <c r="B1109" i="3"/>
  <c r="C1109" i="3"/>
  <c r="E1109" i="3"/>
  <c r="F1109" i="3"/>
  <c r="G1109" i="3"/>
  <c r="H1109" i="3"/>
  <c r="I1109" i="3"/>
  <c r="J1109" i="3"/>
  <c r="K1109" i="3"/>
  <c r="A1110" i="3"/>
  <c r="B1110" i="3"/>
  <c r="C1110" i="3"/>
  <c r="E1110" i="3"/>
  <c r="F1110" i="3"/>
  <c r="G1110" i="3"/>
  <c r="H1110" i="3"/>
  <c r="I1110" i="3"/>
  <c r="J1110" i="3"/>
  <c r="K1110" i="3"/>
  <c r="A1111" i="3"/>
  <c r="B1111" i="3"/>
  <c r="C1111" i="3"/>
  <c r="E1111" i="3"/>
  <c r="F1111" i="3"/>
  <c r="G1111" i="3"/>
  <c r="H1111" i="3"/>
  <c r="I1111" i="3"/>
  <c r="J1111" i="3"/>
  <c r="K1111" i="3"/>
  <c r="A1112" i="3"/>
  <c r="B1112" i="3"/>
  <c r="C1112" i="3"/>
  <c r="E1112" i="3"/>
  <c r="F1112" i="3"/>
  <c r="G1112" i="3"/>
  <c r="H1112" i="3"/>
  <c r="I1112" i="3"/>
  <c r="J1112" i="3"/>
  <c r="K1112" i="3"/>
  <c r="A1113" i="3"/>
  <c r="B1113" i="3"/>
  <c r="C1113" i="3"/>
  <c r="E1113" i="3"/>
  <c r="F1113" i="3"/>
  <c r="G1113" i="3"/>
  <c r="H1113" i="3"/>
  <c r="I1113" i="3"/>
  <c r="J1113" i="3"/>
  <c r="K1113" i="3"/>
  <c r="A1114" i="3"/>
  <c r="B1114" i="3"/>
  <c r="C1114" i="3"/>
  <c r="E1114" i="3"/>
  <c r="F1114" i="3"/>
  <c r="G1114" i="3"/>
  <c r="H1114" i="3"/>
  <c r="I1114" i="3"/>
  <c r="J1114" i="3"/>
  <c r="K1114" i="3"/>
  <c r="A1115" i="3"/>
  <c r="B1115" i="3"/>
  <c r="C1115" i="3"/>
  <c r="E1115" i="3"/>
  <c r="F1115" i="3"/>
  <c r="G1115" i="3"/>
  <c r="H1115" i="3"/>
  <c r="I1115" i="3"/>
  <c r="J1115" i="3"/>
  <c r="K1115" i="3"/>
  <c r="A1116" i="3"/>
  <c r="B1116" i="3"/>
  <c r="C1116" i="3"/>
  <c r="E1116" i="3"/>
  <c r="F1116" i="3"/>
  <c r="G1116" i="3"/>
  <c r="H1116" i="3"/>
  <c r="I1116" i="3"/>
  <c r="J1116" i="3"/>
  <c r="K1116" i="3"/>
  <c r="A1117" i="3"/>
  <c r="B1117" i="3"/>
  <c r="C1117" i="3"/>
  <c r="E1117" i="3"/>
  <c r="F1117" i="3"/>
  <c r="G1117" i="3"/>
  <c r="H1117" i="3"/>
  <c r="I1117" i="3"/>
  <c r="J1117" i="3"/>
  <c r="K1117" i="3"/>
  <c r="A1118" i="3"/>
  <c r="B1118" i="3"/>
  <c r="C1118" i="3"/>
  <c r="E1118" i="3"/>
  <c r="F1118" i="3"/>
  <c r="G1118" i="3"/>
  <c r="H1118" i="3"/>
  <c r="I1118" i="3"/>
  <c r="J1118" i="3"/>
  <c r="K1118" i="3"/>
  <c r="A1119" i="3"/>
  <c r="B1119" i="3"/>
  <c r="C1119" i="3"/>
  <c r="E1119" i="3"/>
  <c r="F1119" i="3"/>
  <c r="G1119" i="3"/>
  <c r="H1119" i="3"/>
  <c r="I1119" i="3"/>
  <c r="J1119" i="3"/>
  <c r="K1119" i="3"/>
  <c r="A1120" i="3"/>
  <c r="B1120" i="3"/>
  <c r="C1120" i="3"/>
  <c r="E1120" i="3"/>
  <c r="F1120" i="3"/>
  <c r="G1120" i="3"/>
  <c r="H1120" i="3"/>
  <c r="I1120" i="3"/>
  <c r="J1120" i="3"/>
  <c r="K1120" i="3"/>
  <c r="A1121" i="3"/>
  <c r="B1121" i="3"/>
  <c r="C1121" i="3"/>
  <c r="E1121" i="3"/>
  <c r="F1121" i="3"/>
  <c r="G1121" i="3"/>
  <c r="H1121" i="3"/>
  <c r="I1121" i="3"/>
  <c r="J1121" i="3"/>
  <c r="K1121" i="3"/>
  <c r="A1122" i="3"/>
  <c r="B1122" i="3"/>
  <c r="C1122" i="3"/>
  <c r="E1122" i="3"/>
  <c r="F1122" i="3"/>
  <c r="G1122" i="3"/>
  <c r="H1122" i="3"/>
  <c r="I1122" i="3"/>
  <c r="J1122" i="3"/>
  <c r="K1122" i="3"/>
  <c r="A1123" i="3"/>
  <c r="B1123" i="3"/>
  <c r="C1123" i="3"/>
  <c r="E1123" i="3"/>
  <c r="F1123" i="3"/>
  <c r="G1123" i="3"/>
  <c r="H1123" i="3"/>
  <c r="I1123" i="3"/>
  <c r="J1123" i="3"/>
  <c r="K1123" i="3"/>
  <c r="A1124" i="3"/>
  <c r="B1124" i="3"/>
  <c r="C1124" i="3"/>
  <c r="E1124" i="3"/>
  <c r="F1124" i="3"/>
  <c r="G1124" i="3"/>
  <c r="H1124" i="3"/>
  <c r="I1124" i="3"/>
  <c r="J1124" i="3"/>
  <c r="K1124" i="3"/>
  <c r="A1125" i="3"/>
  <c r="B1125" i="3"/>
  <c r="C1125" i="3"/>
  <c r="E1125" i="3"/>
  <c r="F1125" i="3"/>
  <c r="G1125" i="3"/>
  <c r="H1125" i="3"/>
  <c r="I1125" i="3"/>
  <c r="J1125" i="3"/>
  <c r="K1125" i="3"/>
  <c r="A1126" i="3"/>
  <c r="B1126" i="3"/>
  <c r="C1126" i="3"/>
  <c r="E1126" i="3"/>
  <c r="F1126" i="3"/>
  <c r="G1126" i="3"/>
  <c r="H1126" i="3"/>
  <c r="I1126" i="3"/>
  <c r="J1126" i="3"/>
  <c r="K1126" i="3"/>
  <c r="A1127" i="3"/>
  <c r="B1127" i="3"/>
  <c r="C1127" i="3"/>
  <c r="E1127" i="3"/>
  <c r="F1127" i="3"/>
  <c r="G1127" i="3"/>
  <c r="H1127" i="3"/>
  <c r="I1127" i="3"/>
  <c r="J1127" i="3"/>
  <c r="K1127" i="3"/>
  <c r="A1128" i="3"/>
  <c r="B1128" i="3"/>
  <c r="C1128" i="3"/>
  <c r="E1128" i="3"/>
  <c r="F1128" i="3"/>
  <c r="G1128" i="3"/>
  <c r="H1128" i="3"/>
  <c r="I1128" i="3"/>
  <c r="J1128" i="3"/>
  <c r="K1128" i="3"/>
  <c r="A1129" i="3"/>
  <c r="B1129" i="3"/>
  <c r="C1129" i="3"/>
  <c r="E1129" i="3"/>
  <c r="F1129" i="3"/>
  <c r="G1129" i="3"/>
  <c r="H1129" i="3"/>
  <c r="I1129" i="3"/>
  <c r="J1129" i="3"/>
  <c r="K1129" i="3"/>
  <c r="A1130" i="3"/>
  <c r="B1130" i="3"/>
  <c r="C1130" i="3"/>
  <c r="E1130" i="3"/>
  <c r="F1130" i="3"/>
  <c r="G1130" i="3"/>
  <c r="H1130" i="3"/>
  <c r="I1130" i="3"/>
  <c r="J1130" i="3"/>
  <c r="K1130" i="3"/>
  <c r="A1131" i="3"/>
  <c r="B1131" i="3"/>
  <c r="C1131" i="3"/>
  <c r="E1131" i="3"/>
  <c r="F1131" i="3"/>
  <c r="G1131" i="3"/>
  <c r="H1131" i="3"/>
  <c r="I1131" i="3"/>
  <c r="J1131" i="3"/>
  <c r="K1131" i="3"/>
  <c r="A1132" i="3"/>
  <c r="B1132" i="3"/>
  <c r="C1132" i="3"/>
  <c r="E1132" i="3"/>
  <c r="F1132" i="3"/>
  <c r="G1132" i="3"/>
  <c r="H1132" i="3"/>
  <c r="I1132" i="3"/>
  <c r="J1132" i="3"/>
  <c r="K1132" i="3"/>
  <c r="A1133" i="3"/>
  <c r="B1133" i="3"/>
  <c r="C1133" i="3"/>
  <c r="E1133" i="3"/>
  <c r="F1133" i="3"/>
  <c r="G1133" i="3"/>
  <c r="H1133" i="3"/>
  <c r="I1133" i="3"/>
  <c r="J1133" i="3"/>
  <c r="K1133" i="3"/>
  <c r="A1134" i="3"/>
  <c r="B1134" i="3"/>
  <c r="C1134" i="3"/>
  <c r="E1134" i="3"/>
  <c r="F1134" i="3"/>
  <c r="G1134" i="3"/>
  <c r="H1134" i="3"/>
  <c r="I1134" i="3"/>
  <c r="J1134" i="3"/>
  <c r="K1134" i="3"/>
  <c r="A1135" i="3"/>
  <c r="B1135" i="3"/>
  <c r="C1135" i="3"/>
  <c r="E1135" i="3"/>
  <c r="F1135" i="3"/>
  <c r="G1135" i="3"/>
  <c r="H1135" i="3"/>
  <c r="I1135" i="3"/>
  <c r="J1135" i="3"/>
  <c r="K1135" i="3"/>
  <c r="A1136" i="3"/>
  <c r="B1136" i="3"/>
  <c r="C1136" i="3"/>
  <c r="E1136" i="3"/>
  <c r="F1136" i="3"/>
  <c r="G1136" i="3"/>
  <c r="H1136" i="3"/>
  <c r="I1136" i="3"/>
  <c r="J1136" i="3"/>
  <c r="K1136" i="3"/>
  <c r="A1137" i="3"/>
  <c r="B1137" i="3"/>
  <c r="C1137" i="3"/>
  <c r="E1137" i="3"/>
  <c r="F1137" i="3"/>
  <c r="G1137" i="3"/>
  <c r="H1137" i="3"/>
  <c r="I1137" i="3"/>
  <c r="J1137" i="3"/>
  <c r="K1137" i="3"/>
  <c r="A1138" i="3"/>
  <c r="B1138" i="3"/>
  <c r="C1138" i="3"/>
  <c r="E1138" i="3"/>
  <c r="F1138" i="3"/>
  <c r="G1138" i="3"/>
  <c r="H1138" i="3"/>
  <c r="I1138" i="3"/>
  <c r="J1138" i="3"/>
  <c r="K1138" i="3"/>
  <c r="A1139" i="3"/>
  <c r="B1139" i="3"/>
  <c r="C1139" i="3"/>
  <c r="E1139" i="3"/>
  <c r="F1139" i="3"/>
  <c r="G1139" i="3"/>
  <c r="H1139" i="3"/>
  <c r="I1139" i="3"/>
  <c r="J1139" i="3"/>
  <c r="K1139" i="3"/>
  <c r="A1140" i="3"/>
  <c r="B1140" i="3"/>
  <c r="C1140" i="3"/>
  <c r="E1140" i="3"/>
  <c r="F1140" i="3"/>
  <c r="G1140" i="3"/>
  <c r="H1140" i="3"/>
  <c r="I1140" i="3"/>
  <c r="J1140" i="3"/>
  <c r="K1140" i="3"/>
  <c r="A1141" i="3"/>
  <c r="B1141" i="3"/>
  <c r="C1141" i="3"/>
  <c r="E1141" i="3"/>
  <c r="F1141" i="3"/>
  <c r="G1141" i="3"/>
  <c r="H1141" i="3"/>
  <c r="I1141" i="3"/>
  <c r="J1141" i="3"/>
  <c r="K1141" i="3"/>
  <c r="A1142" i="3"/>
  <c r="B1142" i="3"/>
  <c r="C1142" i="3"/>
  <c r="E1142" i="3"/>
  <c r="F1142" i="3"/>
  <c r="G1142" i="3"/>
  <c r="H1142" i="3"/>
  <c r="I1142" i="3"/>
  <c r="J1142" i="3"/>
  <c r="K1142" i="3"/>
  <c r="A1143" i="3"/>
  <c r="B1143" i="3"/>
  <c r="C1143" i="3"/>
  <c r="E1143" i="3"/>
  <c r="F1143" i="3"/>
  <c r="G1143" i="3"/>
  <c r="H1143" i="3"/>
  <c r="I1143" i="3"/>
  <c r="J1143" i="3"/>
  <c r="K1143" i="3"/>
  <c r="A1144" i="3"/>
  <c r="B1144" i="3"/>
  <c r="C1144" i="3"/>
  <c r="E1144" i="3"/>
  <c r="F1144" i="3"/>
  <c r="G1144" i="3"/>
  <c r="H1144" i="3"/>
  <c r="I1144" i="3"/>
  <c r="J1144" i="3"/>
  <c r="K1144" i="3"/>
  <c r="A1145" i="3"/>
  <c r="B1145" i="3"/>
  <c r="C1145" i="3"/>
  <c r="E1145" i="3"/>
  <c r="F1145" i="3"/>
  <c r="G1145" i="3"/>
  <c r="H1145" i="3"/>
  <c r="I1145" i="3"/>
  <c r="J1145" i="3"/>
  <c r="K1145" i="3"/>
  <c r="A1146" i="3"/>
  <c r="B1146" i="3"/>
  <c r="C1146" i="3"/>
  <c r="E1146" i="3"/>
  <c r="F1146" i="3"/>
  <c r="G1146" i="3"/>
  <c r="H1146" i="3"/>
  <c r="I1146" i="3"/>
  <c r="J1146" i="3"/>
  <c r="K1146" i="3"/>
  <c r="A1147" i="3"/>
  <c r="B1147" i="3"/>
  <c r="C1147" i="3"/>
  <c r="E1147" i="3"/>
  <c r="F1147" i="3"/>
  <c r="G1147" i="3"/>
  <c r="H1147" i="3"/>
  <c r="I1147" i="3"/>
  <c r="J1147" i="3"/>
  <c r="K1147" i="3"/>
  <c r="A1148" i="3"/>
  <c r="B1148" i="3"/>
  <c r="C1148" i="3"/>
  <c r="E1148" i="3"/>
  <c r="F1148" i="3"/>
  <c r="G1148" i="3"/>
  <c r="H1148" i="3"/>
  <c r="I1148" i="3"/>
  <c r="J1148" i="3"/>
  <c r="K1148" i="3"/>
  <c r="A1149" i="3"/>
  <c r="B1149" i="3"/>
  <c r="C1149" i="3"/>
  <c r="E1149" i="3"/>
  <c r="F1149" i="3"/>
  <c r="G1149" i="3"/>
  <c r="H1149" i="3"/>
  <c r="I1149" i="3"/>
  <c r="J1149" i="3"/>
  <c r="K1149" i="3"/>
  <c r="A1150" i="3"/>
  <c r="B1150" i="3"/>
  <c r="C1150" i="3"/>
  <c r="E1150" i="3"/>
  <c r="F1150" i="3"/>
  <c r="G1150" i="3"/>
  <c r="H1150" i="3"/>
  <c r="I1150" i="3"/>
  <c r="J1150" i="3"/>
  <c r="K1150" i="3"/>
  <c r="A1151" i="3"/>
  <c r="B1151" i="3"/>
  <c r="C1151" i="3"/>
  <c r="E1151" i="3"/>
  <c r="F1151" i="3"/>
  <c r="G1151" i="3"/>
  <c r="H1151" i="3"/>
  <c r="I1151" i="3"/>
  <c r="J1151" i="3"/>
  <c r="K1151" i="3"/>
  <c r="A1152" i="3"/>
  <c r="B1152" i="3"/>
  <c r="C1152" i="3"/>
  <c r="E1152" i="3"/>
  <c r="F1152" i="3"/>
  <c r="G1152" i="3"/>
  <c r="H1152" i="3"/>
  <c r="I1152" i="3"/>
  <c r="J1152" i="3"/>
  <c r="K1152" i="3"/>
  <c r="A1153" i="3"/>
  <c r="B1153" i="3"/>
  <c r="C1153" i="3"/>
  <c r="E1153" i="3"/>
  <c r="F1153" i="3"/>
  <c r="G1153" i="3"/>
  <c r="H1153" i="3"/>
  <c r="I1153" i="3"/>
  <c r="J1153" i="3"/>
  <c r="K1153" i="3"/>
  <c r="A1154" i="3"/>
  <c r="B1154" i="3"/>
  <c r="C1154" i="3"/>
  <c r="E1154" i="3"/>
  <c r="F1154" i="3"/>
  <c r="G1154" i="3"/>
  <c r="H1154" i="3"/>
  <c r="I1154" i="3"/>
  <c r="J1154" i="3"/>
  <c r="K1154" i="3"/>
  <c r="A1155" i="3"/>
  <c r="B1155" i="3"/>
  <c r="C1155" i="3"/>
  <c r="E1155" i="3"/>
  <c r="F1155" i="3"/>
  <c r="G1155" i="3"/>
  <c r="H1155" i="3"/>
  <c r="I1155" i="3"/>
  <c r="J1155" i="3"/>
  <c r="K1155" i="3"/>
  <c r="A1156" i="3"/>
  <c r="B1156" i="3"/>
  <c r="C1156" i="3"/>
  <c r="E1156" i="3"/>
  <c r="F1156" i="3"/>
  <c r="G1156" i="3"/>
  <c r="H1156" i="3"/>
  <c r="I1156" i="3"/>
  <c r="J1156" i="3"/>
  <c r="K1156" i="3"/>
  <c r="C9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B675" i="2"/>
  <c r="C675" i="2"/>
  <c r="D675" i="2"/>
  <c r="E675" i="2"/>
  <c r="F675" i="2"/>
  <c r="G675" i="2"/>
  <c r="H675" i="2"/>
  <c r="I675" i="2"/>
  <c r="J675" i="2"/>
  <c r="K675" i="2"/>
  <c r="L675" i="2"/>
  <c r="M675" i="2"/>
  <c r="N675" i="2"/>
  <c r="O675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O676" i="2"/>
  <c r="B677" i="2"/>
  <c r="C677" i="2"/>
  <c r="D677" i="2"/>
  <c r="E677" i="2"/>
  <c r="F677" i="2"/>
  <c r="G677" i="2"/>
  <c r="H677" i="2"/>
  <c r="I677" i="2"/>
  <c r="J677" i="2"/>
  <c r="K677" i="2"/>
  <c r="L677" i="2"/>
  <c r="M677" i="2"/>
  <c r="N677" i="2"/>
  <c r="O677" i="2"/>
  <c r="B678" i="2"/>
  <c r="C678" i="2"/>
  <c r="D678" i="2"/>
  <c r="E678" i="2"/>
  <c r="F678" i="2"/>
  <c r="G678" i="2"/>
  <c r="H678" i="2"/>
  <c r="I678" i="2"/>
  <c r="J678" i="2"/>
  <c r="K678" i="2"/>
  <c r="L678" i="2"/>
  <c r="M678" i="2"/>
  <c r="N678" i="2"/>
  <c r="O678" i="2"/>
  <c r="B679" i="2"/>
  <c r="C679" i="2"/>
  <c r="D679" i="2"/>
  <c r="E679" i="2"/>
  <c r="F679" i="2"/>
  <c r="G679" i="2"/>
  <c r="H679" i="2"/>
  <c r="I679" i="2"/>
  <c r="J679" i="2"/>
  <c r="K679" i="2"/>
  <c r="L679" i="2"/>
  <c r="M679" i="2"/>
  <c r="N679" i="2"/>
  <c r="O679" i="2"/>
  <c r="B680" i="2"/>
  <c r="C680" i="2"/>
  <c r="D680" i="2"/>
  <c r="E680" i="2"/>
  <c r="F680" i="2"/>
  <c r="G680" i="2"/>
  <c r="H680" i="2"/>
  <c r="I680" i="2"/>
  <c r="J680" i="2"/>
  <c r="K680" i="2"/>
  <c r="L680" i="2"/>
  <c r="M680" i="2"/>
  <c r="N680" i="2"/>
  <c r="O680" i="2"/>
  <c r="B681" i="2"/>
  <c r="C681" i="2"/>
  <c r="D681" i="2"/>
  <c r="E681" i="2"/>
  <c r="F681" i="2"/>
  <c r="G681" i="2"/>
  <c r="H681" i="2"/>
  <c r="I681" i="2"/>
  <c r="J681" i="2"/>
  <c r="K681" i="2"/>
  <c r="L681" i="2"/>
  <c r="M681" i="2"/>
  <c r="N681" i="2"/>
  <c r="O681" i="2"/>
  <c r="B682" i="2"/>
  <c r="C682" i="2"/>
  <c r="D682" i="2"/>
  <c r="E682" i="2"/>
  <c r="F682" i="2"/>
  <c r="G682" i="2"/>
  <c r="H682" i="2"/>
  <c r="I682" i="2"/>
  <c r="J682" i="2"/>
  <c r="K682" i="2"/>
  <c r="L682" i="2"/>
  <c r="M682" i="2"/>
  <c r="N682" i="2"/>
  <c r="O682" i="2"/>
  <c r="B683" i="2"/>
  <c r="C683" i="2"/>
  <c r="D683" i="2"/>
  <c r="E683" i="2"/>
  <c r="F683" i="2"/>
  <c r="G683" i="2"/>
  <c r="H683" i="2"/>
  <c r="I683" i="2"/>
  <c r="J683" i="2"/>
  <c r="K683" i="2"/>
  <c r="L683" i="2"/>
  <c r="M683" i="2"/>
  <c r="N683" i="2"/>
  <c r="O683" i="2"/>
  <c r="B684" i="2"/>
  <c r="C684" i="2"/>
  <c r="D684" i="2"/>
  <c r="E684" i="2"/>
  <c r="F684" i="2"/>
  <c r="G684" i="2"/>
  <c r="H684" i="2"/>
  <c r="I684" i="2"/>
  <c r="J684" i="2"/>
  <c r="K684" i="2"/>
  <c r="L684" i="2"/>
  <c r="M684" i="2"/>
  <c r="N684" i="2"/>
  <c r="O684" i="2"/>
  <c r="B685" i="2"/>
  <c r="C685" i="2"/>
  <c r="D685" i="2"/>
  <c r="E685" i="2"/>
  <c r="F685" i="2"/>
  <c r="G685" i="2"/>
  <c r="H685" i="2"/>
  <c r="I685" i="2"/>
  <c r="J685" i="2"/>
  <c r="K685" i="2"/>
  <c r="L685" i="2"/>
  <c r="M685" i="2"/>
  <c r="N685" i="2"/>
  <c r="O685" i="2"/>
  <c r="B686" i="2"/>
  <c r="C686" i="2"/>
  <c r="D686" i="2"/>
  <c r="E686" i="2"/>
  <c r="F686" i="2"/>
  <c r="G686" i="2"/>
  <c r="H686" i="2"/>
  <c r="I686" i="2"/>
  <c r="J686" i="2"/>
  <c r="K686" i="2"/>
  <c r="L686" i="2"/>
  <c r="M686" i="2"/>
  <c r="N686" i="2"/>
  <c r="O686" i="2"/>
  <c r="B687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B688" i="2"/>
  <c r="C688" i="2"/>
  <c r="D688" i="2"/>
  <c r="E688" i="2"/>
  <c r="F688" i="2"/>
  <c r="G688" i="2"/>
  <c r="H688" i="2"/>
  <c r="I688" i="2"/>
  <c r="J688" i="2"/>
  <c r="K688" i="2"/>
  <c r="L688" i="2"/>
  <c r="M688" i="2"/>
  <c r="N688" i="2"/>
  <c r="O688" i="2"/>
  <c r="B689" i="2"/>
  <c r="C689" i="2"/>
  <c r="D689" i="2"/>
  <c r="E689" i="2"/>
  <c r="F689" i="2"/>
  <c r="G689" i="2"/>
  <c r="H689" i="2"/>
  <c r="I689" i="2"/>
  <c r="J689" i="2"/>
  <c r="K689" i="2"/>
  <c r="L689" i="2"/>
  <c r="M689" i="2"/>
  <c r="N689" i="2"/>
  <c r="O689" i="2"/>
  <c r="B690" i="2"/>
  <c r="C690" i="2"/>
  <c r="D690" i="2"/>
  <c r="E690" i="2"/>
  <c r="F690" i="2"/>
  <c r="G690" i="2"/>
  <c r="H690" i="2"/>
  <c r="I690" i="2"/>
  <c r="J690" i="2"/>
  <c r="K690" i="2"/>
  <c r="L690" i="2"/>
  <c r="M690" i="2"/>
  <c r="N690" i="2"/>
  <c r="O690" i="2"/>
  <c r="B691" i="2"/>
  <c r="C691" i="2"/>
  <c r="D691" i="2"/>
  <c r="E691" i="2"/>
  <c r="F691" i="2"/>
  <c r="G691" i="2"/>
  <c r="H691" i="2"/>
  <c r="I691" i="2"/>
  <c r="J691" i="2"/>
  <c r="K691" i="2"/>
  <c r="L691" i="2"/>
  <c r="M691" i="2"/>
  <c r="N691" i="2"/>
  <c r="O691" i="2"/>
  <c r="B692" i="2"/>
  <c r="C692" i="2"/>
  <c r="D692" i="2"/>
  <c r="E692" i="2"/>
  <c r="F692" i="2"/>
  <c r="G692" i="2"/>
  <c r="H692" i="2"/>
  <c r="I692" i="2"/>
  <c r="J692" i="2"/>
  <c r="K692" i="2"/>
  <c r="L692" i="2"/>
  <c r="M692" i="2"/>
  <c r="N692" i="2"/>
  <c r="O692" i="2"/>
  <c r="B693" i="2"/>
  <c r="C693" i="2"/>
  <c r="D693" i="2"/>
  <c r="E693" i="2"/>
  <c r="F693" i="2"/>
  <c r="G693" i="2"/>
  <c r="H693" i="2"/>
  <c r="I693" i="2"/>
  <c r="J693" i="2"/>
  <c r="K693" i="2"/>
  <c r="L693" i="2"/>
  <c r="M693" i="2"/>
  <c r="N693" i="2"/>
  <c r="O693" i="2"/>
  <c r="B694" i="2"/>
  <c r="C694" i="2"/>
  <c r="D694" i="2"/>
  <c r="E694" i="2"/>
  <c r="F694" i="2"/>
  <c r="G694" i="2"/>
  <c r="H694" i="2"/>
  <c r="I694" i="2"/>
  <c r="J694" i="2"/>
  <c r="K694" i="2"/>
  <c r="L694" i="2"/>
  <c r="M694" i="2"/>
  <c r="N694" i="2"/>
  <c r="O694" i="2"/>
  <c r="B695" i="2"/>
  <c r="C695" i="2"/>
  <c r="D695" i="2"/>
  <c r="E695" i="2"/>
  <c r="F695" i="2"/>
  <c r="G695" i="2"/>
  <c r="H695" i="2"/>
  <c r="I695" i="2"/>
  <c r="J695" i="2"/>
  <c r="K695" i="2"/>
  <c r="L695" i="2"/>
  <c r="M695" i="2"/>
  <c r="N695" i="2"/>
  <c r="O695" i="2"/>
  <c r="B696" i="2"/>
  <c r="C696" i="2"/>
  <c r="D696" i="2"/>
  <c r="E696" i="2"/>
  <c r="F696" i="2"/>
  <c r="G696" i="2"/>
  <c r="H696" i="2"/>
  <c r="I696" i="2"/>
  <c r="J696" i="2"/>
  <c r="K696" i="2"/>
  <c r="L696" i="2"/>
  <c r="M696" i="2"/>
  <c r="N696" i="2"/>
  <c r="O696" i="2"/>
  <c r="B697" i="2"/>
  <c r="C697" i="2"/>
  <c r="D697" i="2"/>
  <c r="E697" i="2"/>
  <c r="F697" i="2"/>
  <c r="G697" i="2"/>
  <c r="H697" i="2"/>
  <c r="I697" i="2"/>
  <c r="J697" i="2"/>
  <c r="K697" i="2"/>
  <c r="L697" i="2"/>
  <c r="M697" i="2"/>
  <c r="N697" i="2"/>
  <c r="O697" i="2"/>
  <c r="B698" i="2"/>
  <c r="C698" i="2"/>
  <c r="D698" i="2"/>
  <c r="E698" i="2"/>
  <c r="F698" i="2"/>
  <c r="G698" i="2"/>
  <c r="H698" i="2"/>
  <c r="I698" i="2"/>
  <c r="J698" i="2"/>
  <c r="K698" i="2"/>
  <c r="L698" i="2"/>
  <c r="M698" i="2"/>
  <c r="N698" i="2"/>
  <c r="O698" i="2"/>
  <c r="B699" i="2"/>
  <c r="C699" i="2"/>
  <c r="D699" i="2"/>
  <c r="E699" i="2"/>
  <c r="F699" i="2"/>
  <c r="G699" i="2"/>
  <c r="H699" i="2"/>
  <c r="I699" i="2"/>
  <c r="J699" i="2"/>
  <c r="K699" i="2"/>
  <c r="L699" i="2"/>
  <c r="M699" i="2"/>
  <c r="N699" i="2"/>
  <c r="O699" i="2"/>
  <c r="B700" i="2"/>
  <c r="C700" i="2"/>
  <c r="D700" i="2"/>
  <c r="E700" i="2"/>
  <c r="F700" i="2"/>
  <c r="G700" i="2"/>
  <c r="H700" i="2"/>
  <c r="I700" i="2"/>
  <c r="J700" i="2"/>
  <c r="K700" i="2"/>
  <c r="L700" i="2"/>
  <c r="M700" i="2"/>
  <c r="N700" i="2"/>
  <c r="O700" i="2"/>
  <c r="B701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B702" i="2"/>
  <c r="C702" i="2"/>
  <c r="D702" i="2"/>
  <c r="E702" i="2"/>
  <c r="F702" i="2"/>
  <c r="G702" i="2"/>
  <c r="H702" i="2"/>
  <c r="I702" i="2"/>
  <c r="J702" i="2"/>
  <c r="K702" i="2"/>
  <c r="L702" i="2"/>
  <c r="M702" i="2"/>
  <c r="N702" i="2"/>
  <c r="O702" i="2"/>
  <c r="B703" i="2"/>
  <c r="C703" i="2"/>
  <c r="D703" i="2"/>
  <c r="E703" i="2"/>
  <c r="F703" i="2"/>
  <c r="G703" i="2"/>
  <c r="H703" i="2"/>
  <c r="I703" i="2"/>
  <c r="J703" i="2"/>
  <c r="K703" i="2"/>
  <c r="L703" i="2"/>
  <c r="M703" i="2"/>
  <c r="N703" i="2"/>
  <c r="O703" i="2"/>
  <c r="B704" i="2"/>
  <c r="C704" i="2"/>
  <c r="D704" i="2"/>
  <c r="E704" i="2"/>
  <c r="F704" i="2"/>
  <c r="G704" i="2"/>
  <c r="H704" i="2"/>
  <c r="I704" i="2"/>
  <c r="J704" i="2"/>
  <c r="K704" i="2"/>
  <c r="L704" i="2"/>
  <c r="M704" i="2"/>
  <c r="N704" i="2"/>
  <c r="O704" i="2"/>
  <c r="B705" i="2"/>
  <c r="C705" i="2"/>
  <c r="D705" i="2"/>
  <c r="E705" i="2"/>
  <c r="F705" i="2"/>
  <c r="G705" i="2"/>
  <c r="H705" i="2"/>
  <c r="I705" i="2"/>
  <c r="J705" i="2"/>
  <c r="K705" i="2"/>
  <c r="L705" i="2"/>
  <c r="M705" i="2"/>
  <c r="N705" i="2"/>
  <c r="O705" i="2"/>
  <c r="B706" i="2"/>
  <c r="C706" i="2"/>
  <c r="D706" i="2"/>
  <c r="E706" i="2"/>
  <c r="F706" i="2"/>
  <c r="G706" i="2"/>
  <c r="H706" i="2"/>
  <c r="I706" i="2"/>
  <c r="J706" i="2"/>
  <c r="K706" i="2"/>
  <c r="L706" i="2"/>
  <c r="M706" i="2"/>
  <c r="N706" i="2"/>
  <c r="O706" i="2"/>
  <c r="B707" i="2"/>
  <c r="C707" i="2"/>
  <c r="D707" i="2"/>
  <c r="E707" i="2"/>
  <c r="F707" i="2"/>
  <c r="G707" i="2"/>
  <c r="H707" i="2"/>
  <c r="I707" i="2"/>
  <c r="J707" i="2"/>
  <c r="K707" i="2"/>
  <c r="L707" i="2"/>
  <c r="M707" i="2"/>
  <c r="N707" i="2"/>
  <c r="O707" i="2"/>
  <c r="B708" i="2"/>
  <c r="C708" i="2"/>
  <c r="D708" i="2"/>
  <c r="E708" i="2"/>
  <c r="F708" i="2"/>
  <c r="G708" i="2"/>
  <c r="H708" i="2"/>
  <c r="I708" i="2"/>
  <c r="J708" i="2"/>
  <c r="K708" i="2"/>
  <c r="L708" i="2"/>
  <c r="M708" i="2"/>
  <c r="N708" i="2"/>
  <c r="O708" i="2"/>
  <c r="B709" i="2"/>
  <c r="C709" i="2"/>
  <c r="D709" i="2"/>
  <c r="E709" i="2"/>
  <c r="F709" i="2"/>
  <c r="G709" i="2"/>
  <c r="H709" i="2"/>
  <c r="I709" i="2"/>
  <c r="J709" i="2"/>
  <c r="K709" i="2"/>
  <c r="L709" i="2"/>
  <c r="M709" i="2"/>
  <c r="N709" i="2"/>
  <c r="O709" i="2"/>
  <c r="B710" i="2"/>
  <c r="C710" i="2"/>
  <c r="D710" i="2"/>
  <c r="E710" i="2"/>
  <c r="F710" i="2"/>
  <c r="G710" i="2"/>
  <c r="H710" i="2"/>
  <c r="I710" i="2"/>
  <c r="J710" i="2"/>
  <c r="K710" i="2"/>
  <c r="L710" i="2"/>
  <c r="M710" i="2"/>
  <c r="N710" i="2"/>
  <c r="O710" i="2"/>
  <c r="B711" i="2"/>
  <c r="C711" i="2"/>
  <c r="D711" i="2"/>
  <c r="E711" i="2"/>
  <c r="F711" i="2"/>
  <c r="G711" i="2"/>
  <c r="H711" i="2"/>
  <c r="I711" i="2"/>
  <c r="J711" i="2"/>
  <c r="K711" i="2"/>
  <c r="L711" i="2"/>
  <c r="M711" i="2"/>
  <c r="N711" i="2"/>
  <c r="O711" i="2"/>
  <c r="B712" i="2"/>
  <c r="C712" i="2"/>
  <c r="D712" i="2"/>
  <c r="E712" i="2"/>
  <c r="F712" i="2"/>
  <c r="G712" i="2"/>
  <c r="H712" i="2"/>
  <c r="I712" i="2"/>
  <c r="J712" i="2"/>
  <c r="K712" i="2"/>
  <c r="L712" i="2"/>
  <c r="M712" i="2"/>
  <c r="N712" i="2"/>
  <c r="O712" i="2"/>
  <c r="B713" i="2"/>
  <c r="C713" i="2"/>
  <c r="D713" i="2"/>
  <c r="E713" i="2"/>
  <c r="F713" i="2"/>
  <c r="G713" i="2"/>
  <c r="H713" i="2"/>
  <c r="I713" i="2"/>
  <c r="J713" i="2"/>
  <c r="K713" i="2"/>
  <c r="L713" i="2"/>
  <c r="M713" i="2"/>
  <c r="N713" i="2"/>
  <c r="O713" i="2"/>
  <c r="B714" i="2"/>
  <c r="C714" i="2"/>
  <c r="D714" i="2"/>
  <c r="E714" i="2"/>
  <c r="F714" i="2"/>
  <c r="G714" i="2"/>
  <c r="H714" i="2"/>
  <c r="I714" i="2"/>
  <c r="J714" i="2"/>
  <c r="K714" i="2"/>
  <c r="L714" i="2"/>
  <c r="M714" i="2"/>
  <c r="N714" i="2"/>
  <c r="O714" i="2"/>
  <c r="B715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B716" i="2"/>
  <c r="C716" i="2"/>
  <c r="D716" i="2"/>
  <c r="E716" i="2"/>
  <c r="F716" i="2"/>
  <c r="G716" i="2"/>
  <c r="H716" i="2"/>
  <c r="I716" i="2"/>
  <c r="J716" i="2"/>
  <c r="K716" i="2"/>
  <c r="L716" i="2"/>
  <c r="M716" i="2"/>
  <c r="N716" i="2"/>
  <c r="O716" i="2"/>
  <c r="B717" i="2"/>
  <c r="C717" i="2"/>
  <c r="D717" i="2"/>
  <c r="E717" i="2"/>
  <c r="F717" i="2"/>
  <c r="G717" i="2"/>
  <c r="H717" i="2"/>
  <c r="I717" i="2"/>
  <c r="J717" i="2"/>
  <c r="K717" i="2"/>
  <c r="L717" i="2"/>
  <c r="M717" i="2"/>
  <c r="N717" i="2"/>
  <c r="O717" i="2"/>
  <c r="B718" i="2"/>
  <c r="C718" i="2"/>
  <c r="D718" i="2"/>
  <c r="E718" i="2"/>
  <c r="F718" i="2"/>
  <c r="G718" i="2"/>
  <c r="H718" i="2"/>
  <c r="I718" i="2"/>
  <c r="J718" i="2"/>
  <c r="K718" i="2"/>
  <c r="L718" i="2"/>
  <c r="M718" i="2"/>
  <c r="N718" i="2"/>
  <c r="O718" i="2"/>
  <c r="B719" i="2"/>
  <c r="C719" i="2"/>
  <c r="D719" i="2"/>
  <c r="E719" i="2"/>
  <c r="F719" i="2"/>
  <c r="G719" i="2"/>
  <c r="H719" i="2"/>
  <c r="I719" i="2"/>
  <c r="J719" i="2"/>
  <c r="K719" i="2"/>
  <c r="L719" i="2"/>
  <c r="M719" i="2"/>
  <c r="N719" i="2"/>
  <c r="O719" i="2"/>
  <c r="B720" i="2"/>
  <c r="C720" i="2"/>
  <c r="D720" i="2"/>
  <c r="E720" i="2"/>
  <c r="F720" i="2"/>
  <c r="G720" i="2"/>
  <c r="H720" i="2"/>
  <c r="I720" i="2"/>
  <c r="J720" i="2"/>
  <c r="K720" i="2"/>
  <c r="L720" i="2"/>
  <c r="M720" i="2"/>
  <c r="N720" i="2"/>
  <c r="O720" i="2"/>
  <c r="B721" i="2"/>
  <c r="C721" i="2"/>
  <c r="D721" i="2"/>
  <c r="E721" i="2"/>
  <c r="F721" i="2"/>
  <c r="G721" i="2"/>
  <c r="H721" i="2"/>
  <c r="I721" i="2"/>
  <c r="J721" i="2"/>
  <c r="K721" i="2"/>
  <c r="L721" i="2"/>
  <c r="M721" i="2"/>
  <c r="N721" i="2"/>
  <c r="O721" i="2"/>
  <c r="B722" i="2"/>
  <c r="C722" i="2"/>
  <c r="D722" i="2"/>
  <c r="E722" i="2"/>
  <c r="F722" i="2"/>
  <c r="G722" i="2"/>
  <c r="H722" i="2"/>
  <c r="I722" i="2"/>
  <c r="J722" i="2"/>
  <c r="K722" i="2"/>
  <c r="L722" i="2"/>
  <c r="M722" i="2"/>
  <c r="N722" i="2"/>
  <c r="O722" i="2"/>
  <c r="B723" i="2"/>
  <c r="C723" i="2"/>
  <c r="D723" i="2"/>
  <c r="E723" i="2"/>
  <c r="F723" i="2"/>
  <c r="G723" i="2"/>
  <c r="H723" i="2"/>
  <c r="I723" i="2"/>
  <c r="J723" i="2"/>
  <c r="K723" i="2"/>
  <c r="L723" i="2"/>
  <c r="M723" i="2"/>
  <c r="N723" i="2"/>
  <c r="O723" i="2"/>
  <c r="B724" i="2"/>
  <c r="C724" i="2"/>
  <c r="D724" i="2"/>
  <c r="E724" i="2"/>
  <c r="F724" i="2"/>
  <c r="G724" i="2"/>
  <c r="H724" i="2"/>
  <c r="I724" i="2"/>
  <c r="J724" i="2"/>
  <c r="K724" i="2"/>
  <c r="L724" i="2"/>
  <c r="M724" i="2"/>
  <c r="N724" i="2"/>
  <c r="O724" i="2"/>
  <c r="B725" i="2"/>
  <c r="C725" i="2"/>
  <c r="D725" i="2"/>
  <c r="E725" i="2"/>
  <c r="F725" i="2"/>
  <c r="G725" i="2"/>
  <c r="H725" i="2"/>
  <c r="I725" i="2"/>
  <c r="J725" i="2"/>
  <c r="K725" i="2"/>
  <c r="L725" i="2"/>
  <c r="M725" i="2"/>
  <c r="N725" i="2"/>
  <c r="O725" i="2"/>
  <c r="B726" i="2"/>
  <c r="C726" i="2"/>
  <c r="D726" i="2"/>
  <c r="E726" i="2"/>
  <c r="F726" i="2"/>
  <c r="G726" i="2"/>
  <c r="H726" i="2"/>
  <c r="I726" i="2"/>
  <c r="J726" i="2"/>
  <c r="K726" i="2"/>
  <c r="L726" i="2"/>
  <c r="M726" i="2"/>
  <c r="N726" i="2"/>
  <c r="O726" i="2"/>
  <c r="B727" i="2"/>
  <c r="C727" i="2"/>
  <c r="D727" i="2"/>
  <c r="E727" i="2"/>
  <c r="F727" i="2"/>
  <c r="G727" i="2"/>
  <c r="H727" i="2"/>
  <c r="I727" i="2"/>
  <c r="J727" i="2"/>
  <c r="K727" i="2"/>
  <c r="L727" i="2"/>
  <c r="M727" i="2"/>
  <c r="N727" i="2"/>
  <c r="O727" i="2"/>
  <c r="B728" i="2"/>
  <c r="C728" i="2"/>
  <c r="D728" i="2"/>
  <c r="E728" i="2"/>
  <c r="F728" i="2"/>
  <c r="G728" i="2"/>
  <c r="H728" i="2"/>
  <c r="I728" i="2"/>
  <c r="J728" i="2"/>
  <c r="K728" i="2"/>
  <c r="L728" i="2"/>
  <c r="M728" i="2"/>
  <c r="N728" i="2"/>
  <c r="O728" i="2"/>
  <c r="B729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B730" i="2"/>
  <c r="C730" i="2"/>
  <c r="D730" i="2"/>
  <c r="E730" i="2"/>
  <c r="F730" i="2"/>
  <c r="G730" i="2"/>
  <c r="H730" i="2"/>
  <c r="I730" i="2"/>
  <c r="J730" i="2"/>
  <c r="K730" i="2"/>
  <c r="L730" i="2"/>
  <c r="M730" i="2"/>
  <c r="N730" i="2"/>
  <c r="O730" i="2"/>
  <c r="B731" i="2"/>
  <c r="C731" i="2"/>
  <c r="D731" i="2"/>
  <c r="E731" i="2"/>
  <c r="F731" i="2"/>
  <c r="G731" i="2"/>
  <c r="H731" i="2"/>
  <c r="I731" i="2"/>
  <c r="J731" i="2"/>
  <c r="K731" i="2"/>
  <c r="L731" i="2"/>
  <c r="M731" i="2"/>
  <c r="N731" i="2"/>
  <c r="O731" i="2"/>
  <c r="B732" i="2"/>
  <c r="C732" i="2"/>
  <c r="D732" i="2"/>
  <c r="E732" i="2"/>
  <c r="F732" i="2"/>
  <c r="G732" i="2"/>
  <c r="H732" i="2"/>
  <c r="I732" i="2"/>
  <c r="J732" i="2"/>
  <c r="K732" i="2"/>
  <c r="L732" i="2"/>
  <c r="M732" i="2"/>
  <c r="N732" i="2"/>
  <c r="O732" i="2"/>
  <c r="B733" i="2"/>
  <c r="C733" i="2"/>
  <c r="D733" i="2"/>
  <c r="E733" i="2"/>
  <c r="F733" i="2"/>
  <c r="G733" i="2"/>
  <c r="H733" i="2"/>
  <c r="I733" i="2"/>
  <c r="J733" i="2"/>
  <c r="K733" i="2"/>
  <c r="L733" i="2"/>
  <c r="M733" i="2"/>
  <c r="N733" i="2"/>
  <c r="O733" i="2"/>
  <c r="B734" i="2"/>
  <c r="C734" i="2"/>
  <c r="D734" i="2"/>
  <c r="E734" i="2"/>
  <c r="F734" i="2"/>
  <c r="G734" i="2"/>
  <c r="H734" i="2"/>
  <c r="I734" i="2"/>
  <c r="J734" i="2"/>
  <c r="K734" i="2"/>
  <c r="L734" i="2"/>
  <c r="M734" i="2"/>
  <c r="N734" i="2"/>
  <c r="O734" i="2"/>
  <c r="B735" i="2"/>
  <c r="C735" i="2"/>
  <c r="D735" i="2"/>
  <c r="E735" i="2"/>
  <c r="F735" i="2"/>
  <c r="G735" i="2"/>
  <c r="H735" i="2"/>
  <c r="I735" i="2"/>
  <c r="J735" i="2"/>
  <c r="K735" i="2"/>
  <c r="L735" i="2"/>
  <c r="M735" i="2"/>
  <c r="N735" i="2"/>
  <c r="O735" i="2"/>
  <c r="B736" i="2"/>
  <c r="C736" i="2"/>
  <c r="D736" i="2"/>
  <c r="E736" i="2"/>
  <c r="F736" i="2"/>
  <c r="G736" i="2"/>
  <c r="H736" i="2"/>
  <c r="I736" i="2"/>
  <c r="J736" i="2"/>
  <c r="K736" i="2"/>
  <c r="L736" i="2"/>
  <c r="M736" i="2"/>
  <c r="N736" i="2"/>
  <c r="O736" i="2"/>
  <c r="B737" i="2"/>
  <c r="C737" i="2"/>
  <c r="D737" i="2"/>
  <c r="E737" i="2"/>
  <c r="F737" i="2"/>
  <c r="G737" i="2"/>
  <c r="H737" i="2"/>
  <c r="I737" i="2"/>
  <c r="J737" i="2"/>
  <c r="K737" i="2"/>
  <c r="L737" i="2"/>
  <c r="M737" i="2"/>
  <c r="N737" i="2"/>
  <c r="O737" i="2"/>
  <c r="B738" i="2"/>
  <c r="C738" i="2"/>
  <c r="D738" i="2"/>
  <c r="E738" i="2"/>
  <c r="F738" i="2"/>
  <c r="G738" i="2"/>
  <c r="H738" i="2"/>
  <c r="I738" i="2"/>
  <c r="J738" i="2"/>
  <c r="K738" i="2"/>
  <c r="L738" i="2"/>
  <c r="M738" i="2"/>
  <c r="N738" i="2"/>
  <c r="O738" i="2"/>
  <c r="B739" i="2"/>
  <c r="C739" i="2"/>
  <c r="D739" i="2"/>
  <c r="E739" i="2"/>
  <c r="F739" i="2"/>
  <c r="G739" i="2"/>
  <c r="H739" i="2"/>
  <c r="I739" i="2"/>
  <c r="J739" i="2"/>
  <c r="K739" i="2"/>
  <c r="L739" i="2"/>
  <c r="M739" i="2"/>
  <c r="N739" i="2"/>
  <c r="O739" i="2"/>
  <c r="B740" i="2"/>
  <c r="C740" i="2"/>
  <c r="D740" i="2"/>
  <c r="E740" i="2"/>
  <c r="F740" i="2"/>
  <c r="G740" i="2"/>
  <c r="H740" i="2"/>
  <c r="I740" i="2"/>
  <c r="J740" i="2"/>
  <c r="K740" i="2"/>
  <c r="L740" i="2"/>
  <c r="M740" i="2"/>
  <c r="N740" i="2"/>
  <c r="O740" i="2"/>
  <c r="B741" i="2"/>
  <c r="C741" i="2"/>
  <c r="D741" i="2"/>
  <c r="E741" i="2"/>
  <c r="F741" i="2"/>
  <c r="G741" i="2"/>
  <c r="H741" i="2"/>
  <c r="I741" i="2"/>
  <c r="J741" i="2"/>
  <c r="K741" i="2"/>
  <c r="L741" i="2"/>
  <c r="M741" i="2"/>
  <c r="N741" i="2"/>
  <c r="O741" i="2"/>
  <c r="B742" i="2"/>
  <c r="C742" i="2"/>
  <c r="D742" i="2"/>
  <c r="E742" i="2"/>
  <c r="F742" i="2"/>
  <c r="G742" i="2"/>
  <c r="H742" i="2"/>
  <c r="I742" i="2"/>
  <c r="J742" i="2"/>
  <c r="K742" i="2"/>
  <c r="L742" i="2"/>
  <c r="M742" i="2"/>
  <c r="N742" i="2"/>
  <c r="O742" i="2"/>
  <c r="B743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B744" i="2"/>
  <c r="C744" i="2"/>
  <c r="D744" i="2"/>
  <c r="E744" i="2"/>
  <c r="F744" i="2"/>
  <c r="G744" i="2"/>
  <c r="H744" i="2"/>
  <c r="I744" i="2"/>
  <c r="J744" i="2"/>
  <c r="K744" i="2"/>
  <c r="L744" i="2"/>
  <c r="M744" i="2"/>
  <c r="N744" i="2"/>
  <c r="O744" i="2"/>
  <c r="B745" i="2"/>
  <c r="C745" i="2"/>
  <c r="D745" i="2"/>
  <c r="E745" i="2"/>
  <c r="F745" i="2"/>
  <c r="G745" i="2"/>
  <c r="H745" i="2"/>
  <c r="I745" i="2"/>
  <c r="J745" i="2"/>
  <c r="K745" i="2"/>
  <c r="L745" i="2"/>
  <c r="M745" i="2"/>
  <c r="N745" i="2"/>
  <c r="O745" i="2"/>
  <c r="B746" i="2"/>
  <c r="C746" i="2"/>
  <c r="D746" i="2"/>
  <c r="E746" i="2"/>
  <c r="F746" i="2"/>
  <c r="G746" i="2"/>
  <c r="H746" i="2"/>
  <c r="I746" i="2"/>
  <c r="J746" i="2"/>
  <c r="K746" i="2"/>
  <c r="L746" i="2"/>
  <c r="M746" i="2"/>
  <c r="N746" i="2"/>
  <c r="O746" i="2"/>
  <c r="B747" i="2"/>
  <c r="C747" i="2"/>
  <c r="D747" i="2"/>
  <c r="E747" i="2"/>
  <c r="F747" i="2"/>
  <c r="G747" i="2"/>
  <c r="H747" i="2"/>
  <c r="I747" i="2"/>
  <c r="J747" i="2"/>
  <c r="K747" i="2"/>
  <c r="L747" i="2"/>
  <c r="M747" i="2"/>
  <c r="N747" i="2"/>
  <c r="O747" i="2"/>
  <c r="B748" i="2"/>
  <c r="C748" i="2"/>
  <c r="D748" i="2"/>
  <c r="E748" i="2"/>
  <c r="F748" i="2"/>
  <c r="G748" i="2"/>
  <c r="H748" i="2"/>
  <c r="I748" i="2"/>
  <c r="J748" i="2"/>
  <c r="K748" i="2"/>
  <c r="L748" i="2"/>
  <c r="M748" i="2"/>
  <c r="N748" i="2"/>
  <c r="O748" i="2"/>
  <c r="B749" i="2"/>
  <c r="C749" i="2"/>
  <c r="D749" i="2"/>
  <c r="E749" i="2"/>
  <c r="F749" i="2"/>
  <c r="G749" i="2"/>
  <c r="H749" i="2"/>
  <c r="I749" i="2"/>
  <c r="J749" i="2"/>
  <c r="K749" i="2"/>
  <c r="L749" i="2"/>
  <c r="M749" i="2"/>
  <c r="N749" i="2"/>
  <c r="O749" i="2"/>
  <c r="B750" i="2"/>
  <c r="C750" i="2"/>
  <c r="D750" i="2"/>
  <c r="E750" i="2"/>
  <c r="F750" i="2"/>
  <c r="G750" i="2"/>
  <c r="H750" i="2"/>
  <c r="I750" i="2"/>
  <c r="J750" i="2"/>
  <c r="K750" i="2"/>
  <c r="L750" i="2"/>
  <c r="M750" i="2"/>
  <c r="N750" i="2"/>
  <c r="O750" i="2"/>
  <c r="B751" i="2"/>
  <c r="C751" i="2"/>
  <c r="D751" i="2"/>
  <c r="E751" i="2"/>
  <c r="F751" i="2"/>
  <c r="G751" i="2"/>
  <c r="H751" i="2"/>
  <c r="I751" i="2"/>
  <c r="J751" i="2"/>
  <c r="K751" i="2"/>
  <c r="L751" i="2"/>
  <c r="M751" i="2"/>
  <c r="N751" i="2"/>
  <c r="O751" i="2"/>
  <c r="B752" i="2"/>
  <c r="C752" i="2"/>
  <c r="D752" i="2"/>
  <c r="E752" i="2"/>
  <c r="F752" i="2"/>
  <c r="G752" i="2"/>
  <c r="H752" i="2"/>
  <c r="I752" i="2"/>
  <c r="J752" i="2"/>
  <c r="K752" i="2"/>
  <c r="L752" i="2"/>
  <c r="M752" i="2"/>
  <c r="N752" i="2"/>
  <c r="O752" i="2"/>
  <c r="B753" i="2"/>
  <c r="C753" i="2"/>
  <c r="D753" i="2"/>
  <c r="E753" i="2"/>
  <c r="F753" i="2"/>
  <c r="G753" i="2"/>
  <c r="H753" i="2"/>
  <c r="I753" i="2"/>
  <c r="J753" i="2"/>
  <c r="K753" i="2"/>
  <c r="L753" i="2"/>
  <c r="M753" i="2"/>
  <c r="N753" i="2"/>
  <c r="O753" i="2"/>
  <c r="B754" i="2"/>
  <c r="C754" i="2"/>
  <c r="D754" i="2"/>
  <c r="E754" i="2"/>
  <c r="F754" i="2"/>
  <c r="G754" i="2"/>
  <c r="H754" i="2"/>
  <c r="I754" i="2"/>
  <c r="J754" i="2"/>
  <c r="K754" i="2"/>
  <c r="L754" i="2"/>
  <c r="M754" i="2"/>
  <c r="N754" i="2"/>
  <c r="O754" i="2"/>
  <c r="B755" i="2"/>
  <c r="C755" i="2"/>
  <c r="D755" i="2"/>
  <c r="E755" i="2"/>
  <c r="F755" i="2"/>
  <c r="G755" i="2"/>
  <c r="H755" i="2"/>
  <c r="I755" i="2"/>
  <c r="J755" i="2"/>
  <c r="K755" i="2"/>
  <c r="L755" i="2"/>
  <c r="M755" i="2"/>
  <c r="N755" i="2"/>
  <c r="O755" i="2"/>
  <c r="B756" i="2"/>
  <c r="C756" i="2"/>
  <c r="D756" i="2"/>
  <c r="E756" i="2"/>
  <c r="F756" i="2"/>
  <c r="G756" i="2"/>
  <c r="H756" i="2"/>
  <c r="I756" i="2"/>
  <c r="J756" i="2"/>
  <c r="K756" i="2"/>
  <c r="L756" i="2"/>
  <c r="M756" i="2"/>
  <c r="N756" i="2"/>
  <c r="O756" i="2"/>
  <c r="B757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B758" i="2"/>
  <c r="C758" i="2"/>
  <c r="D758" i="2"/>
  <c r="E758" i="2"/>
  <c r="F758" i="2"/>
  <c r="G758" i="2"/>
  <c r="H758" i="2"/>
  <c r="I758" i="2"/>
  <c r="J758" i="2"/>
  <c r="K758" i="2"/>
  <c r="L758" i="2"/>
  <c r="M758" i="2"/>
  <c r="N758" i="2"/>
  <c r="O758" i="2"/>
  <c r="B759" i="2"/>
  <c r="C759" i="2"/>
  <c r="D759" i="2"/>
  <c r="E759" i="2"/>
  <c r="F759" i="2"/>
  <c r="G759" i="2"/>
  <c r="H759" i="2"/>
  <c r="I759" i="2"/>
  <c r="J759" i="2"/>
  <c r="K759" i="2"/>
  <c r="L759" i="2"/>
  <c r="M759" i="2"/>
  <c r="N759" i="2"/>
  <c r="O759" i="2"/>
  <c r="B760" i="2"/>
  <c r="C760" i="2"/>
  <c r="D760" i="2"/>
  <c r="E760" i="2"/>
  <c r="F760" i="2"/>
  <c r="G760" i="2"/>
  <c r="H760" i="2"/>
  <c r="I760" i="2"/>
  <c r="J760" i="2"/>
  <c r="K760" i="2"/>
  <c r="L760" i="2"/>
  <c r="M760" i="2"/>
  <c r="N760" i="2"/>
  <c r="O760" i="2"/>
  <c r="B761" i="2"/>
  <c r="C761" i="2"/>
  <c r="D761" i="2"/>
  <c r="E761" i="2"/>
  <c r="F761" i="2"/>
  <c r="G761" i="2"/>
  <c r="H761" i="2"/>
  <c r="I761" i="2"/>
  <c r="J761" i="2"/>
  <c r="K761" i="2"/>
  <c r="L761" i="2"/>
  <c r="M761" i="2"/>
  <c r="N761" i="2"/>
  <c r="O761" i="2"/>
  <c r="B762" i="2"/>
  <c r="C762" i="2"/>
  <c r="D762" i="2"/>
  <c r="E762" i="2"/>
  <c r="F762" i="2"/>
  <c r="G762" i="2"/>
  <c r="H762" i="2"/>
  <c r="I762" i="2"/>
  <c r="J762" i="2"/>
  <c r="K762" i="2"/>
  <c r="L762" i="2"/>
  <c r="M762" i="2"/>
  <c r="N762" i="2"/>
  <c r="O762" i="2"/>
  <c r="B763" i="2"/>
  <c r="C763" i="2"/>
  <c r="D763" i="2"/>
  <c r="E763" i="2"/>
  <c r="F763" i="2"/>
  <c r="G763" i="2"/>
  <c r="H763" i="2"/>
  <c r="I763" i="2"/>
  <c r="J763" i="2"/>
  <c r="K763" i="2"/>
  <c r="L763" i="2"/>
  <c r="M763" i="2"/>
  <c r="N763" i="2"/>
  <c r="O763" i="2"/>
  <c r="B764" i="2"/>
  <c r="C764" i="2"/>
  <c r="D764" i="2"/>
  <c r="E764" i="2"/>
  <c r="F764" i="2"/>
  <c r="G764" i="2"/>
  <c r="H764" i="2"/>
  <c r="I764" i="2"/>
  <c r="J764" i="2"/>
  <c r="K764" i="2"/>
  <c r="L764" i="2"/>
  <c r="M764" i="2"/>
  <c r="N764" i="2"/>
  <c r="O764" i="2"/>
  <c r="B765" i="2"/>
  <c r="C765" i="2"/>
  <c r="D765" i="2"/>
  <c r="E765" i="2"/>
  <c r="F765" i="2"/>
  <c r="G765" i="2"/>
  <c r="H765" i="2"/>
  <c r="I765" i="2"/>
  <c r="J765" i="2"/>
  <c r="K765" i="2"/>
  <c r="L765" i="2"/>
  <c r="M765" i="2"/>
  <c r="N765" i="2"/>
  <c r="O765" i="2"/>
  <c r="B766" i="2"/>
  <c r="C766" i="2"/>
  <c r="D766" i="2"/>
  <c r="E766" i="2"/>
  <c r="F766" i="2"/>
  <c r="G766" i="2"/>
  <c r="H766" i="2"/>
  <c r="I766" i="2"/>
  <c r="J766" i="2"/>
  <c r="K766" i="2"/>
  <c r="L766" i="2"/>
  <c r="M766" i="2"/>
  <c r="N766" i="2"/>
  <c r="O766" i="2"/>
  <c r="B767" i="2"/>
  <c r="C767" i="2"/>
  <c r="D767" i="2"/>
  <c r="E767" i="2"/>
  <c r="F767" i="2"/>
  <c r="G767" i="2"/>
  <c r="H767" i="2"/>
  <c r="I767" i="2"/>
  <c r="J767" i="2"/>
  <c r="K767" i="2"/>
  <c r="L767" i="2"/>
  <c r="M767" i="2"/>
  <c r="N767" i="2"/>
  <c r="O767" i="2"/>
  <c r="B768" i="2"/>
  <c r="C768" i="2"/>
  <c r="D768" i="2"/>
  <c r="E768" i="2"/>
  <c r="F768" i="2"/>
  <c r="G768" i="2"/>
  <c r="H768" i="2"/>
  <c r="I768" i="2"/>
  <c r="J768" i="2"/>
  <c r="K768" i="2"/>
  <c r="L768" i="2"/>
  <c r="M768" i="2"/>
  <c r="N768" i="2"/>
  <c r="O768" i="2"/>
  <c r="B769" i="2"/>
  <c r="C769" i="2"/>
  <c r="D769" i="2"/>
  <c r="E769" i="2"/>
  <c r="F769" i="2"/>
  <c r="G769" i="2"/>
  <c r="H769" i="2"/>
  <c r="I769" i="2"/>
  <c r="J769" i="2"/>
  <c r="K769" i="2"/>
  <c r="L769" i="2"/>
  <c r="M769" i="2"/>
  <c r="N769" i="2"/>
  <c r="O769" i="2"/>
  <c r="B770" i="2"/>
  <c r="C770" i="2"/>
  <c r="D770" i="2"/>
  <c r="E770" i="2"/>
  <c r="F770" i="2"/>
  <c r="G770" i="2"/>
  <c r="H770" i="2"/>
  <c r="I770" i="2"/>
  <c r="J770" i="2"/>
  <c r="K770" i="2"/>
  <c r="L770" i="2"/>
  <c r="M770" i="2"/>
  <c r="N770" i="2"/>
  <c r="O770" i="2"/>
  <c r="B771" i="2"/>
  <c r="C771" i="2"/>
  <c r="D771" i="2"/>
  <c r="E771" i="2"/>
  <c r="F771" i="2"/>
  <c r="G771" i="2"/>
  <c r="H771" i="2"/>
  <c r="I771" i="2"/>
  <c r="J771" i="2"/>
  <c r="K771" i="2"/>
  <c r="L771" i="2"/>
  <c r="M771" i="2"/>
  <c r="N771" i="2"/>
  <c r="O771" i="2"/>
  <c r="B772" i="2"/>
  <c r="C772" i="2"/>
  <c r="D772" i="2"/>
  <c r="E772" i="2"/>
  <c r="F772" i="2"/>
  <c r="G772" i="2"/>
  <c r="H772" i="2"/>
  <c r="I772" i="2"/>
  <c r="J772" i="2"/>
  <c r="K772" i="2"/>
  <c r="L772" i="2"/>
  <c r="M772" i="2"/>
  <c r="N772" i="2"/>
  <c r="O772" i="2"/>
  <c r="B773" i="2"/>
  <c r="C773" i="2"/>
  <c r="D773" i="2"/>
  <c r="E773" i="2"/>
  <c r="F773" i="2"/>
  <c r="G773" i="2"/>
  <c r="H773" i="2"/>
  <c r="I773" i="2"/>
  <c r="J773" i="2"/>
  <c r="K773" i="2"/>
  <c r="L773" i="2"/>
  <c r="M773" i="2"/>
  <c r="N773" i="2"/>
  <c r="O773" i="2"/>
  <c r="B774" i="2"/>
  <c r="C774" i="2"/>
  <c r="D774" i="2"/>
  <c r="E774" i="2"/>
  <c r="F774" i="2"/>
  <c r="G774" i="2"/>
  <c r="H774" i="2"/>
  <c r="I774" i="2"/>
  <c r="J774" i="2"/>
  <c r="K774" i="2"/>
  <c r="L774" i="2"/>
  <c r="M774" i="2"/>
  <c r="N774" i="2"/>
  <c r="O774" i="2"/>
  <c r="B775" i="2"/>
  <c r="C775" i="2"/>
  <c r="D775" i="2"/>
  <c r="E775" i="2"/>
  <c r="F775" i="2"/>
  <c r="G775" i="2"/>
  <c r="H775" i="2"/>
  <c r="I775" i="2"/>
  <c r="J775" i="2"/>
  <c r="K775" i="2"/>
  <c r="L775" i="2"/>
  <c r="M775" i="2"/>
  <c r="N775" i="2"/>
  <c r="O775" i="2"/>
  <c r="B776" i="2"/>
  <c r="C776" i="2"/>
  <c r="D776" i="2"/>
  <c r="E776" i="2"/>
  <c r="F776" i="2"/>
  <c r="G776" i="2"/>
  <c r="H776" i="2"/>
  <c r="I776" i="2"/>
  <c r="J776" i="2"/>
  <c r="K776" i="2"/>
  <c r="L776" i="2"/>
  <c r="M776" i="2"/>
  <c r="N776" i="2"/>
  <c r="O776" i="2"/>
  <c r="B777" i="2"/>
  <c r="C777" i="2"/>
  <c r="D777" i="2"/>
  <c r="E777" i="2"/>
  <c r="F777" i="2"/>
  <c r="G777" i="2"/>
  <c r="H777" i="2"/>
  <c r="I777" i="2"/>
  <c r="J777" i="2"/>
  <c r="K777" i="2"/>
  <c r="L777" i="2"/>
  <c r="M777" i="2"/>
  <c r="N777" i="2"/>
  <c r="O777" i="2"/>
  <c r="B778" i="2"/>
  <c r="C778" i="2"/>
  <c r="D778" i="2"/>
  <c r="E778" i="2"/>
  <c r="F778" i="2"/>
  <c r="G778" i="2"/>
  <c r="H778" i="2"/>
  <c r="I778" i="2"/>
  <c r="J778" i="2"/>
  <c r="K778" i="2"/>
  <c r="L778" i="2"/>
  <c r="M778" i="2"/>
  <c r="N778" i="2"/>
  <c r="O778" i="2"/>
  <c r="B779" i="2"/>
  <c r="C779" i="2"/>
  <c r="D779" i="2"/>
  <c r="E779" i="2"/>
  <c r="F779" i="2"/>
  <c r="G779" i="2"/>
  <c r="H779" i="2"/>
  <c r="I779" i="2"/>
  <c r="J779" i="2"/>
  <c r="K779" i="2"/>
  <c r="L779" i="2"/>
  <c r="M779" i="2"/>
  <c r="N779" i="2"/>
  <c r="O779" i="2"/>
  <c r="B780" i="2"/>
  <c r="C780" i="2"/>
  <c r="D780" i="2"/>
  <c r="E780" i="2"/>
  <c r="F780" i="2"/>
  <c r="G780" i="2"/>
  <c r="H780" i="2"/>
  <c r="I780" i="2"/>
  <c r="J780" i="2"/>
  <c r="K780" i="2"/>
  <c r="L780" i="2"/>
  <c r="M780" i="2"/>
  <c r="N780" i="2"/>
  <c r="O780" i="2"/>
  <c r="B781" i="2"/>
  <c r="C781" i="2"/>
  <c r="D781" i="2"/>
  <c r="E781" i="2"/>
  <c r="F781" i="2"/>
  <c r="G781" i="2"/>
  <c r="H781" i="2"/>
  <c r="I781" i="2"/>
  <c r="J781" i="2"/>
  <c r="K781" i="2"/>
  <c r="L781" i="2"/>
  <c r="M781" i="2"/>
  <c r="N781" i="2"/>
  <c r="O781" i="2"/>
  <c r="B782" i="2"/>
  <c r="C782" i="2"/>
  <c r="D782" i="2"/>
  <c r="E782" i="2"/>
  <c r="F782" i="2"/>
  <c r="G782" i="2"/>
  <c r="H782" i="2"/>
  <c r="I782" i="2"/>
  <c r="J782" i="2"/>
  <c r="K782" i="2"/>
  <c r="L782" i="2"/>
  <c r="M782" i="2"/>
  <c r="N782" i="2"/>
  <c r="O782" i="2"/>
  <c r="B783" i="2"/>
  <c r="C783" i="2"/>
  <c r="D783" i="2"/>
  <c r="E783" i="2"/>
  <c r="F783" i="2"/>
  <c r="G783" i="2"/>
  <c r="H783" i="2"/>
  <c r="I783" i="2"/>
  <c r="J783" i="2"/>
  <c r="K783" i="2"/>
  <c r="L783" i="2"/>
  <c r="M783" i="2"/>
  <c r="N783" i="2"/>
  <c r="O783" i="2"/>
  <c r="B784" i="2"/>
  <c r="C784" i="2"/>
  <c r="D784" i="2"/>
  <c r="E784" i="2"/>
  <c r="F784" i="2"/>
  <c r="G784" i="2"/>
  <c r="H784" i="2"/>
  <c r="I784" i="2"/>
  <c r="J784" i="2"/>
  <c r="K784" i="2"/>
  <c r="L784" i="2"/>
  <c r="M784" i="2"/>
  <c r="N784" i="2"/>
  <c r="O784" i="2"/>
  <c r="B785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B786" i="2"/>
  <c r="C786" i="2"/>
  <c r="D786" i="2"/>
  <c r="E786" i="2"/>
  <c r="F786" i="2"/>
  <c r="G786" i="2"/>
  <c r="H786" i="2"/>
  <c r="I786" i="2"/>
  <c r="J786" i="2"/>
  <c r="K786" i="2"/>
  <c r="L786" i="2"/>
  <c r="M786" i="2"/>
  <c r="N786" i="2"/>
  <c r="O786" i="2"/>
  <c r="B787" i="2"/>
  <c r="C787" i="2"/>
  <c r="D787" i="2"/>
  <c r="E787" i="2"/>
  <c r="F787" i="2"/>
  <c r="G787" i="2"/>
  <c r="H787" i="2"/>
  <c r="I787" i="2"/>
  <c r="J787" i="2"/>
  <c r="K787" i="2"/>
  <c r="L787" i="2"/>
  <c r="M787" i="2"/>
  <c r="N787" i="2"/>
  <c r="O787" i="2"/>
  <c r="B788" i="2"/>
  <c r="C788" i="2"/>
  <c r="D788" i="2"/>
  <c r="E788" i="2"/>
  <c r="F788" i="2"/>
  <c r="G788" i="2"/>
  <c r="H788" i="2"/>
  <c r="I788" i="2"/>
  <c r="J788" i="2"/>
  <c r="K788" i="2"/>
  <c r="L788" i="2"/>
  <c r="M788" i="2"/>
  <c r="N788" i="2"/>
  <c r="O788" i="2"/>
  <c r="B789" i="2"/>
  <c r="C789" i="2"/>
  <c r="D789" i="2"/>
  <c r="E789" i="2"/>
  <c r="F789" i="2"/>
  <c r="G789" i="2"/>
  <c r="H789" i="2"/>
  <c r="I789" i="2"/>
  <c r="J789" i="2"/>
  <c r="K789" i="2"/>
  <c r="L789" i="2"/>
  <c r="M789" i="2"/>
  <c r="N789" i="2"/>
  <c r="O789" i="2"/>
  <c r="B790" i="2"/>
  <c r="C790" i="2"/>
  <c r="D790" i="2"/>
  <c r="E790" i="2"/>
  <c r="F790" i="2"/>
  <c r="G790" i="2"/>
  <c r="H790" i="2"/>
  <c r="I790" i="2"/>
  <c r="J790" i="2"/>
  <c r="K790" i="2"/>
  <c r="L790" i="2"/>
  <c r="M790" i="2"/>
  <c r="N790" i="2"/>
  <c r="O790" i="2"/>
  <c r="B791" i="2"/>
  <c r="C791" i="2"/>
  <c r="D791" i="2"/>
  <c r="E791" i="2"/>
  <c r="F791" i="2"/>
  <c r="G791" i="2"/>
  <c r="H791" i="2"/>
  <c r="I791" i="2"/>
  <c r="J791" i="2"/>
  <c r="K791" i="2"/>
  <c r="L791" i="2"/>
  <c r="M791" i="2"/>
  <c r="N791" i="2"/>
  <c r="O791" i="2"/>
  <c r="B792" i="2"/>
  <c r="C792" i="2"/>
  <c r="D792" i="2"/>
  <c r="E792" i="2"/>
  <c r="F792" i="2"/>
  <c r="G792" i="2"/>
  <c r="H792" i="2"/>
  <c r="I792" i="2"/>
  <c r="J792" i="2"/>
  <c r="K792" i="2"/>
  <c r="L792" i="2"/>
  <c r="M792" i="2"/>
  <c r="N792" i="2"/>
  <c r="O792" i="2"/>
  <c r="B793" i="2"/>
  <c r="C793" i="2"/>
  <c r="D793" i="2"/>
  <c r="E793" i="2"/>
  <c r="F793" i="2"/>
  <c r="G793" i="2"/>
  <c r="H793" i="2"/>
  <c r="I793" i="2"/>
  <c r="J793" i="2"/>
  <c r="K793" i="2"/>
  <c r="L793" i="2"/>
  <c r="M793" i="2"/>
  <c r="N793" i="2"/>
  <c r="O793" i="2"/>
  <c r="B794" i="2"/>
  <c r="C794" i="2"/>
  <c r="D794" i="2"/>
  <c r="E794" i="2"/>
  <c r="F794" i="2"/>
  <c r="G794" i="2"/>
  <c r="H794" i="2"/>
  <c r="I794" i="2"/>
  <c r="J794" i="2"/>
  <c r="K794" i="2"/>
  <c r="L794" i="2"/>
  <c r="M794" i="2"/>
  <c r="N794" i="2"/>
  <c r="O794" i="2"/>
  <c r="B795" i="2"/>
  <c r="C795" i="2"/>
  <c r="D795" i="2"/>
  <c r="E795" i="2"/>
  <c r="F795" i="2"/>
  <c r="G795" i="2"/>
  <c r="H795" i="2"/>
  <c r="I795" i="2"/>
  <c r="J795" i="2"/>
  <c r="K795" i="2"/>
  <c r="L795" i="2"/>
  <c r="M795" i="2"/>
  <c r="N795" i="2"/>
  <c r="O795" i="2"/>
  <c r="B796" i="2"/>
  <c r="C796" i="2"/>
  <c r="D796" i="2"/>
  <c r="E796" i="2"/>
  <c r="F796" i="2"/>
  <c r="G796" i="2"/>
  <c r="H796" i="2"/>
  <c r="I796" i="2"/>
  <c r="J796" i="2"/>
  <c r="K796" i="2"/>
  <c r="L796" i="2"/>
  <c r="M796" i="2"/>
  <c r="N796" i="2"/>
  <c r="O796" i="2"/>
  <c r="B797" i="2"/>
  <c r="C797" i="2"/>
  <c r="D797" i="2"/>
  <c r="E797" i="2"/>
  <c r="F797" i="2"/>
  <c r="G797" i="2"/>
  <c r="H797" i="2"/>
  <c r="I797" i="2"/>
  <c r="J797" i="2"/>
  <c r="K797" i="2"/>
  <c r="L797" i="2"/>
  <c r="M797" i="2"/>
  <c r="N797" i="2"/>
  <c r="O797" i="2"/>
  <c r="B798" i="2"/>
  <c r="C798" i="2"/>
  <c r="D798" i="2"/>
  <c r="E798" i="2"/>
  <c r="F798" i="2"/>
  <c r="G798" i="2"/>
  <c r="H798" i="2"/>
  <c r="I798" i="2"/>
  <c r="J798" i="2"/>
  <c r="K798" i="2"/>
  <c r="L798" i="2"/>
  <c r="M798" i="2"/>
  <c r="N798" i="2"/>
  <c r="O798" i="2"/>
  <c r="B799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B800" i="2"/>
  <c r="C800" i="2"/>
  <c r="D800" i="2"/>
  <c r="E800" i="2"/>
  <c r="F800" i="2"/>
  <c r="G800" i="2"/>
  <c r="H800" i="2"/>
  <c r="I800" i="2"/>
  <c r="J800" i="2"/>
  <c r="K800" i="2"/>
  <c r="L800" i="2"/>
  <c r="M800" i="2"/>
  <c r="N800" i="2"/>
  <c r="O800" i="2"/>
  <c r="B801" i="2"/>
  <c r="C801" i="2"/>
  <c r="D801" i="2"/>
  <c r="E801" i="2"/>
  <c r="F801" i="2"/>
  <c r="G801" i="2"/>
  <c r="H801" i="2"/>
  <c r="I801" i="2"/>
  <c r="J801" i="2"/>
  <c r="K801" i="2"/>
  <c r="L801" i="2"/>
  <c r="M801" i="2"/>
  <c r="N801" i="2"/>
  <c r="O801" i="2"/>
  <c r="B802" i="2"/>
  <c r="C802" i="2"/>
  <c r="D802" i="2"/>
  <c r="E802" i="2"/>
  <c r="F802" i="2"/>
  <c r="G802" i="2"/>
  <c r="H802" i="2"/>
  <c r="I802" i="2"/>
  <c r="J802" i="2"/>
  <c r="K802" i="2"/>
  <c r="L802" i="2"/>
  <c r="M802" i="2"/>
  <c r="N802" i="2"/>
  <c r="O802" i="2"/>
  <c r="B803" i="2"/>
  <c r="C803" i="2"/>
  <c r="D803" i="2"/>
  <c r="E803" i="2"/>
  <c r="F803" i="2"/>
  <c r="G803" i="2"/>
  <c r="H803" i="2"/>
  <c r="I803" i="2"/>
  <c r="J803" i="2"/>
  <c r="K803" i="2"/>
  <c r="L803" i="2"/>
  <c r="M803" i="2"/>
  <c r="N803" i="2"/>
  <c r="O803" i="2"/>
  <c r="B804" i="2"/>
  <c r="C804" i="2"/>
  <c r="D804" i="2"/>
  <c r="E804" i="2"/>
  <c r="F804" i="2"/>
  <c r="G804" i="2"/>
  <c r="H804" i="2"/>
  <c r="I804" i="2"/>
  <c r="J804" i="2"/>
  <c r="K804" i="2"/>
  <c r="L804" i="2"/>
  <c r="M804" i="2"/>
  <c r="N804" i="2"/>
  <c r="O804" i="2"/>
  <c r="B805" i="2"/>
  <c r="C805" i="2"/>
  <c r="D805" i="2"/>
  <c r="E805" i="2"/>
  <c r="F805" i="2"/>
  <c r="G805" i="2"/>
  <c r="H805" i="2"/>
  <c r="I805" i="2"/>
  <c r="J805" i="2"/>
  <c r="K805" i="2"/>
  <c r="L805" i="2"/>
  <c r="M805" i="2"/>
  <c r="N805" i="2"/>
  <c r="O805" i="2"/>
  <c r="B806" i="2"/>
  <c r="C806" i="2"/>
  <c r="D806" i="2"/>
  <c r="E806" i="2"/>
  <c r="F806" i="2"/>
  <c r="G806" i="2"/>
  <c r="H806" i="2"/>
  <c r="I806" i="2"/>
  <c r="J806" i="2"/>
  <c r="K806" i="2"/>
  <c r="L806" i="2"/>
  <c r="M806" i="2"/>
  <c r="N806" i="2"/>
  <c r="O806" i="2"/>
  <c r="B807" i="2"/>
  <c r="C807" i="2"/>
  <c r="D807" i="2"/>
  <c r="E807" i="2"/>
  <c r="F807" i="2"/>
  <c r="G807" i="2"/>
  <c r="H807" i="2"/>
  <c r="I807" i="2"/>
  <c r="J807" i="2"/>
  <c r="K807" i="2"/>
  <c r="L807" i="2"/>
  <c r="M807" i="2"/>
  <c r="N807" i="2"/>
  <c r="O807" i="2"/>
  <c r="B808" i="2"/>
  <c r="C808" i="2"/>
  <c r="D808" i="2"/>
  <c r="E808" i="2"/>
  <c r="F808" i="2"/>
  <c r="G808" i="2"/>
  <c r="H808" i="2"/>
  <c r="I808" i="2"/>
  <c r="J808" i="2"/>
  <c r="K808" i="2"/>
  <c r="L808" i="2"/>
  <c r="M808" i="2"/>
  <c r="N808" i="2"/>
  <c r="O808" i="2"/>
  <c r="B809" i="2"/>
  <c r="C809" i="2"/>
  <c r="D809" i="2"/>
  <c r="E809" i="2"/>
  <c r="F809" i="2"/>
  <c r="G809" i="2"/>
  <c r="H809" i="2"/>
  <c r="I809" i="2"/>
  <c r="J809" i="2"/>
  <c r="K809" i="2"/>
  <c r="L809" i="2"/>
  <c r="M809" i="2"/>
  <c r="N809" i="2"/>
  <c r="O809" i="2"/>
  <c r="B810" i="2"/>
  <c r="C810" i="2"/>
  <c r="D810" i="2"/>
  <c r="E810" i="2"/>
  <c r="F810" i="2"/>
  <c r="G810" i="2"/>
  <c r="H810" i="2"/>
  <c r="I810" i="2"/>
  <c r="J810" i="2"/>
  <c r="K810" i="2"/>
  <c r="L810" i="2"/>
  <c r="M810" i="2"/>
  <c r="N810" i="2"/>
  <c r="O810" i="2"/>
  <c r="B811" i="2"/>
  <c r="C811" i="2"/>
  <c r="D811" i="2"/>
  <c r="E811" i="2"/>
  <c r="F811" i="2"/>
  <c r="G811" i="2"/>
  <c r="H811" i="2"/>
  <c r="I811" i="2"/>
  <c r="J811" i="2"/>
  <c r="K811" i="2"/>
  <c r="L811" i="2"/>
  <c r="M811" i="2"/>
  <c r="N811" i="2"/>
  <c r="O811" i="2"/>
  <c r="B812" i="2"/>
  <c r="C812" i="2"/>
  <c r="D812" i="2"/>
  <c r="E812" i="2"/>
  <c r="F812" i="2"/>
  <c r="G812" i="2"/>
  <c r="H812" i="2"/>
  <c r="I812" i="2"/>
  <c r="J812" i="2"/>
  <c r="K812" i="2"/>
  <c r="L812" i="2"/>
  <c r="M812" i="2"/>
  <c r="N812" i="2"/>
  <c r="O812" i="2"/>
  <c r="B813" i="2"/>
  <c r="C813" i="2"/>
  <c r="D813" i="2"/>
  <c r="E813" i="2"/>
  <c r="F813" i="2"/>
  <c r="G813" i="2"/>
  <c r="H813" i="2"/>
  <c r="I813" i="2"/>
  <c r="J813" i="2"/>
  <c r="K813" i="2"/>
  <c r="L813" i="2"/>
  <c r="M813" i="2"/>
  <c r="N813" i="2"/>
  <c r="O813" i="2"/>
  <c r="B814" i="2"/>
  <c r="C814" i="2"/>
  <c r="D814" i="2"/>
  <c r="E814" i="2"/>
  <c r="F814" i="2"/>
  <c r="G814" i="2"/>
  <c r="H814" i="2"/>
  <c r="I814" i="2"/>
  <c r="J814" i="2"/>
  <c r="K814" i="2"/>
  <c r="L814" i="2"/>
  <c r="M814" i="2"/>
  <c r="N814" i="2"/>
  <c r="O814" i="2"/>
  <c r="B815" i="2"/>
  <c r="C815" i="2"/>
  <c r="D815" i="2"/>
  <c r="E815" i="2"/>
  <c r="F815" i="2"/>
  <c r="G815" i="2"/>
  <c r="H815" i="2"/>
  <c r="I815" i="2"/>
  <c r="J815" i="2"/>
  <c r="K815" i="2"/>
  <c r="L815" i="2"/>
  <c r="M815" i="2"/>
  <c r="N815" i="2"/>
  <c r="O815" i="2"/>
  <c r="B816" i="2"/>
  <c r="C816" i="2"/>
  <c r="D816" i="2"/>
  <c r="E816" i="2"/>
  <c r="F816" i="2"/>
  <c r="G816" i="2"/>
  <c r="H816" i="2"/>
  <c r="I816" i="2"/>
  <c r="J816" i="2"/>
  <c r="K816" i="2"/>
  <c r="L816" i="2"/>
  <c r="M816" i="2"/>
  <c r="N816" i="2"/>
  <c r="O816" i="2"/>
  <c r="B817" i="2"/>
  <c r="C817" i="2"/>
  <c r="D817" i="2"/>
  <c r="E817" i="2"/>
  <c r="F817" i="2"/>
  <c r="G817" i="2"/>
  <c r="H817" i="2"/>
  <c r="I817" i="2"/>
  <c r="J817" i="2"/>
  <c r="K817" i="2"/>
  <c r="L817" i="2"/>
  <c r="M817" i="2"/>
  <c r="N817" i="2"/>
  <c r="O817" i="2"/>
  <c r="B818" i="2"/>
  <c r="C818" i="2"/>
  <c r="D818" i="2"/>
  <c r="E818" i="2"/>
  <c r="F818" i="2"/>
  <c r="G818" i="2"/>
  <c r="H818" i="2"/>
  <c r="I818" i="2"/>
  <c r="J818" i="2"/>
  <c r="K818" i="2"/>
  <c r="L818" i="2"/>
  <c r="M818" i="2"/>
  <c r="N818" i="2"/>
  <c r="O818" i="2"/>
  <c r="B819" i="2"/>
  <c r="C819" i="2"/>
  <c r="D819" i="2"/>
  <c r="E819" i="2"/>
  <c r="F819" i="2"/>
  <c r="G819" i="2"/>
  <c r="H819" i="2"/>
  <c r="I819" i="2"/>
  <c r="J819" i="2"/>
  <c r="K819" i="2"/>
  <c r="L819" i="2"/>
  <c r="M819" i="2"/>
  <c r="N819" i="2"/>
  <c r="O819" i="2"/>
  <c r="B820" i="2"/>
  <c r="C820" i="2"/>
  <c r="D820" i="2"/>
  <c r="E820" i="2"/>
  <c r="F820" i="2"/>
  <c r="G820" i="2"/>
  <c r="H820" i="2"/>
  <c r="I820" i="2"/>
  <c r="J820" i="2"/>
  <c r="K820" i="2"/>
  <c r="L820" i="2"/>
  <c r="M820" i="2"/>
  <c r="N820" i="2"/>
  <c r="O820" i="2"/>
  <c r="B821" i="2"/>
  <c r="C821" i="2"/>
  <c r="D821" i="2"/>
  <c r="E821" i="2"/>
  <c r="F821" i="2"/>
  <c r="G821" i="2"/>
  <c r="H821" i="2"/>
  <c r="I821" i="2"/>
  <c r="J821" i="2"/>
  <c r="K821" i="2"/>
  <c r="L821" i="2"/>
  <c r="M821" i="2"/>
  <c r="N821" i="2"/>
  <c r="O821" i="2"/>
  <c r="B822" i="2"/>
  <c r="C822" i="2"/>
  <c r="D822" i="2"/>
  <c r="E822" i="2"/>
  <c r="F822" i="2"/>
  <c r="G822" i="2"/>
  <c r="H822" i="2"/>
  <c r="I822" i="2"/>
  <c r="J822" i="2"/>
  <c r="K822" i="2"/>
  <c r="L822" i="2"/>
  <c r="M822" i="2"/>
  <c r="N822" i="2"/>
  <c r="O822" i="2"/>
  <c r="B823" i="2"/>
  <c r="C823" i="2"/>
  <c r="D823" i="2"/>
  <c r="E823" i="2"/>
  <c r="F823" i="2"/>
  <c r="G823" i="2"/>
  <c r="H823" i="2"/>
  <c r="I823" i="2"/>
  <c r="J823" i="2"/>
  <c r="K823" i="2"/>
  <c r="L823" i="2"/>
  <c r="M823" i="2"/>
  <c r="N823" i="2"/>
  <c r="O823" i="2"/>
  <c r="B824" i="2"/>
  <c r="C824" i="2"/>
  <c r="D824" i="2"/>
  <c r="E824" i="2"/>
  <c r="F824" i="2"/>
  <c r="G824" i="2"/>
  <c r="H824" i="2"/>
  <c r="I824" i="2"/>
  <c r="J824" i="2"/>
  <c r="K824" i="2"/>
  <c r="L824" i="2"/>
  <c r="M824" i="2"/>
  <c r="N824" i="2"/>
  <c r="O824" i="2"/>
  <c r="B825" i="2"/>
  <c r="C825" i="2"/>
  <c r="D825" i="2"/>
  <c r="E825" i="2"/>
  <c r="F825" i="2"/>
  <c r="G825" i="2"/>
  <c r="H825" i="2"/>
  <c r="I825" i="2"/>
  <c r="J825" i="2"/>
  <c r="K825" i="2"/>
  <c r="L825" i="2"/>
  <c r="M825" i="2"/>
  <c r="N825" i="2"/>
  <c r="O825" i="2"/>
  <c r="B826" i="2"/>
  <c r="C826" i="2"/>
  <c r="D826" i="2"/>
  <c r="E826" i="2"/>
  <c r="F826" i="2"/>
  <c r="G826" i="2"/>
  <c r="H826" i="2"/>
  <c r="I826" i="2"/>
  <c r="J826" i="2"/>
  <c r="K826" i="2"/>
  <c r="L826" i="2"/>
  <c r="M826" i="2"/>
  <c r="N826" i="2"/>
  <c r="O826" i="2"/>
  <c r="B827" i="2"/>
  <c r="C827" i="2"/>
  <c r="D827" i="2"/>
  <c r="E827" i="2"/>
  <c r="F827" i="2"/>
  <c r="G827" i="2"/>
  <c r="H827" i="2"/>
  <c r="I827" i="2"/>
  <c r="J827" i="2"/>
  <c r="K827" i="2"/>
  <c r="L827" i="2"/>
  <c r="M827" i="2"/>
  <c r="N827" i="2"/>
  <c r="O827" i="2"/>
  <c r="B828" i="2"/>
  <c r="C828" i="2"/>
  <c r="D828" i="2"/>
  <c r="E828" i="2"/>
  <c r="F828" i="2"/>
  <c r="G828" i="2"/>
  <c r="H828" i="2"/>
  <c r="I828" i="2"/>
  <c r="J828" i="2"/>
  <c r="K828" i="2"/>
  <c r="L828" i="2"/>
  <c r="M828" i="2"/>
  <c r="N828" i="2"/>
  <c r="O828" i="2"/>
  <c r="B829" i="2"/>
  <c r="C829" i="2"/>
  <c r="D829" i="2"/>
  <c r="E829" i="2"/>
  <c r="F829" i="2"/>
  <c r="G829" i="2"/>
  <c r="H829" i="2"/>
  <c r="I829" i="2"/>
  <c r="J829" i="2"/>
  <c r="K829" i="2"/>
  <c r="L829" i="2"/>
  <c r="M829" i="2"/>
  <c r="N829" i="2"/>
  <c r="O829" i="2"/>
  <c r="B830" i="2"/>
  <c r="C830" i="2"/>
  <c r="D830" i="2"/>
  <c r="E830" i="2"/>
  <c r="F830" i="2"/>
  <c r="G830" i="2"/>
  <c r="H830" i="2"/>
  <c r="I830" i="2"/>
  <c r="J830" i="2"/>
  <c r="K830" i="2"/>
  <c r="L830" i="2"/>
  <c r="M830" i="2"/>
  <c r="N830" i="2"/>
  <c r="O830" i="2"/>
  <c r="B831" i="2"/>
  <c r="C831" i="2"/>
  <c r="D831" i="2"/>
  <c r="E831" i="2"/>
  <c r="F831" i="2"/>
  <c r="G831" i="2"/>
  <c r="H831" i="2"/>
  <c r="I831" i="2"/>
  <c r="J831" i="2"/>
  <c r="K831" i="2"/>
  <c r="L831" i="2"/>
  <c r="M831" i="2"/>
  <c r="N831" i="2"/>
  <c r="O831" i="2"/>
  <c r="B832" i="2"/>
  <c r="C832" i="2"/>
  <c r="D832" i="2"/>
  <c r="E832" i="2"/>
  <c r="F832" i="2"/>
  <c r="G832" i="2"/>
  <c r="H832" i="2"/>
  <c r="I832" i="2"/>
  <c r="J832" i="2"/>
  <c r="K832" i="2"/>
  <c r="L832" i="2"/>
  <c r="M832" i="2"/>
  <c r="N832" i="2"/>
  <c r="O832" i="2"/>
  <c r="B833" i="2"/>
  <c r="C833" i="2"/>
  <c r="D833" i="2"/>
  <c r="E833" i="2"/>
  <c r="F833" i="2"/>
  <c r="G833" i="2"/>
  <c r="H833" i="2"/>
  <c r="I833" i="2"/>
  <c r="J833" i="2"/>
  <c r="K833" i="2"/>
  <c r="L833" i="2"/>
  <c r="M833" i="2"/>
  <c r="N833" i="2"/>
  <c r="O833" i="2"/>
  <c r="B834" i="2"/>
  <c r="C834" i="2"/>
  <c r="D834" i="2"/>
  <c r="E834" i="2"/>
  <c r="F834" i="2"/>
  <c r="G834" i="2"/>
  <c r="H834" i="2"/>
  <c r="I834" i="2"/>
  <c r="J834" i="2"/>
  <c r="K834" i="2"/>
  <c r="L834" i="2"/>
  <c r="M834" i="2"/>
  <c r="N834" i="2"/>
  <c r="O834" i="2"/>
  <c r="B835" i="2"/>
  <c r="C835" i="2"/>
  <c r="D835" i="2"/>
  <c r="E835" i="2"/>
  <c r="F835" i="2"/>
  <c r="G835" i="2"/>
  <c r="H835" i="2"/>
  <c r="I835" i="2"/>
  <c r="J835" i="2"/>
  <c r="K835" i="2"/>
  <c r="L835" i="2"/>
  <c r="M835" i="2"/>
  <c r="N835" i="2"/>
  <c r="O835" i="2"/>
  <c r="B836" i="2"/>
  <c r="C836" i="2"/>
  <c r="D836" i="2"/>
  <c r="E836" i="2"/>
  <c r="F836" i="2"/>
  <c r="G836" i="2"/>
  <c r="H836" i="2"/>
  <c r="I836" i="2"/>
  <c r="J836" i="2"/>
  <c r="K836" i="2"/>
  <c r="L836" i="2"/>
  <c r="M836" i="2"/>
  <c r="N836" i="2"/>
  <c r="O836" i="2"/>
  <c r="B837" i="2"/>
  <c r="C837" i="2"/>
  <c r="D837" i="2"/>
  <c r="E837" i="2"/>
  <c r="F837" i="2"/>
  <c r="G837" i="2"/>
  <c r="H837" i="2"/>
  <c r="I837" i="2"/>
  <c r="J837" i="2"/>
  <c r="K837" i="2"/>
  <c r="L837" i="2"/>
  <c r="M837" i="2"/>
  <c r="N837" i="2"/>
  <c r="O837" i="2"/>
  <c r="B838" i="2"/>
  <c r="C838" i="2"/>
  <c r="D838" i="2"/>
  <c r="E838" i="2"/>
  <c r="F838" i="2"/>
  <c r="G838" i="2"/>
  <c r="H838" i="2"/>
  <c r="I838" i="2"/>
  <c r="J838" i="2"/>
  <c r="K838" i="2"/>
  <c r="L838" i="2"/>
  <c r="M838" i="2"/>
  <c r="N838" i="2"/>
  <c r="O838" i="2"/>
  <c r="B839" i="2"/>
  <c r="C839" i="2"/>
  <c r="D839" i="2"/>
  <c r="E839" i="2"/>
  <c r="F839" i="2"/>
  <c r="G839" i="2"/>
  <c r="H839" i="2"/>
  <c r="I839" i="2"/>
  <c r="J839" i="2"/>
  <c r="K839" i="2"/>
  <c r="L839" i="2"/>
  <c r="M839" i="2"/>
  <c r="N839" i="2"/>
  <c r="O839" i="2"/>
  <c r="B840" i="2"/>
  <c r="C840" i="2"/>
  <c r="D840" i="2"/>
  <c r="E840" i="2"/>
  <c r="F840" i="2"/>
  <c r="G840" i="2"/>
  <c r="H840" i="2"/>
  <c r="I840" i="2"/>
  <c r="J840" i="2"/>
  <c r="K840" i="2"/>
  <c r="L840" i="2"/>
  <c r="M840" i="2"/>
  <c r="N840" i="2"/>
  <c r="O840" i="2"/>
  <c r="B841" i="2"/>
  <c r="C841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B842" i="2"/>
  <c r="C842" i="2"/>
  <c r="D842" i="2"/>
  <c r="E842" i="2"/>
  <c r="F842" i="2"/>
  <c r="G842" i="2"/>
  <c r="H842" i="2"/>
  <c r="I842" i="2"/>
  <c r="J842" i="2"/>
  <c r="K842" i="2"/>
  <c r="L842" i="2"/>
  <c r="M842" i="2"/>
  <c r="N842" i="2"/>
  <c r="O842" i="2"/>
  <c r="B843" i="2"/>
  <c r="C843" i="2"/>
  <c r="D843" i="2"/>
  <c r="E843" i="2"/>
  <c r="F843" i="2"/>
  <c r="G843" i="2"/>
  <c r="H843" i="2"/>
  <c r="I843" i="2"/>
  <c r="J843" i="2"/>
  <c r="K843" i="2"/>
  <c r="L843" i="2"/>
  <c r="M843" i="2"/>
  <c r="N843" i="2"/>
  <c r="O843" i="2"/>
  <c r="B844" i="2"/>
  <c r="C844" i="2"/>
  <c r="D844" i="2"/>
  <c r="E844" i="2"/>
  <c r="F844" i="2"/>
  <c r="G844" i="2"/>
  <c r="H844" i="2"/>
  <c r="I844" i="2"/>
  <c r="J844" i="2"/>
  <c r="K844" i="2"/>
  <c r="L844" i="2"/>
  <c r="M844" i="2"/>
  <c r="N844" i="2"/>
  <c r="O844" i="2"/>
  <c r="B845" i="2"/>
  <c r="C845" i="2"/>
  <c r="D845" i="2"/>
  <c r="E845" i="2"/>
  <c r="F845" i="2"/>
  <c r="G845" i="2"/>
  <c r="H845" i="2"/>
  <c r="I845" i="2"/>
  <c r="J845" i="2"/>
  <c r="K845" i="2"/>
  <c r="L845" i="2"/>
  <c r="M845" i="2"/>
  <c r="N845" i="2"/>
  <c r="O845" i="2"/>
  <c r="B846" i="2"/>
  <c r="C846" i="2"/>
  <c r="D846" i="2"/>
  <c r="E846" i="2"/>
  <c r="F846" i="2"/>
  <c r="G846" i="2"/>
  <c r="H846" i="2"/>
  <c r="I846" i="2"/>
  <c r="J846" i="2"/>
  <c r="K846" i="2"/>
  <c r="L846" i="2"/>
  <c r="M846" i="2"/>
  <c r="N846" i="2"/>
  <c r="O846" i="2"/>
  <c r="B847" i="2"/>
  <c r="C847" i="2"/>
  <c r="D847" i="2"/>
  <c r="E847" i="2"/>
  <c r="F847" i="2"/>
  <c r="G847" i="2"/>
  <c r="H847" i="2"/>
  <c r="I847" i="2"/>
  <c r="J847" i="2"/>
  <c r="K847" i="2"/>
  <c r="L847" i="2"/>
  <c r="M847" i="2"/>
  <c r="N847" i="2"/>
  <c r="O847" i="2"/>
  <c r="B848" i="2"/>
  <c r="C848" i="2"/>
  <c r="D848" i="2"/>
  <c r="E848" i="2"/>
  <c r="F848" i="2"/>
  <c r="G848" i="2"/>
  <c r="H848" i="2"/>
  <c r="I848" i="2"/>
  <c r="J848" i="2"/>
  <c r="K848" i="2"/>
  <c r="L848" i="2"/>
  <c r="M848" i="2"/>
  <c r="N848" i="2"/>
  <c r="O848" i="2"/>
  <c r="B849" i="2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B850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B851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B852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B853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B854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B855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B856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B857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B858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B859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B860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B861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B862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B863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B864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B865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B866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B867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B868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B869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B870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B871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B872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B873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B874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B875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B876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B877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B878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B879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B880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B881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B882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B883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B884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B885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B886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B887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B888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B889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B890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B891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B892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B893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B894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B895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B896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B897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B898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B899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B900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B901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B902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B903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B904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B905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B906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B907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B908" i="2"/>
  <c r="C908" i="2"/>
  <c r="D908" i="2"/>
  <c r="E908" i="2"/>
  <c r="F908" i="2"/>
  <c r="G908" i="2"/>
  <c r="H908" i="2"/>
  <c r="I908" i="2"/>
  <c r="J908" i="2"/>
  <c r="K908" i="2"/>
  <c r="L908" i="2"/>
  <c r="M908" i="2"/>
  <c r="N908" i="2"/>
  <c r="O908" i="2"/>
  <c r="B909" i="2"/>
  <c r="C909" i="2"/>
  <c r="D909" i="2"/>
  <c r="E909" i="2"/>
  <c r="F909" i="2"/>
  <c r="G909" i="2"/>
  <c r="H909" i="2"/>
  <c r="I909" i="2"/>
  <c r="J909" i="2"/>
  <c r="K909" i="2"/>
  <c r="L909" i="2"/>
  <c r="M909" i="2"/>
  <c r="N909" i="2"/>
  <c r="O909" i="2"/>
  <c r="B910" i="2"/>
  <c r="C910" i="2"/>
  <c r="D910" i="2"/>
  <c r="E910" i="2"/>
  <c r="F910" i="2"/>
  <c r="G910" i="2"/>
  <c r="H910" i="2"/>
  <c r="I910" i="2"/>
  <c r="J910" i="2"/>
  <c r="K910" i="2"/>
  <c r="L910" i="2"/>
  <c r="M910" i="2"/>
  <c r="N910" i="2"/>
  <c r="O910" i="2"/>
  <c r="B911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B912" i="2"/>
  <c r="C912" i="2"/>
  <c r="D912" i="2"/>
  <c r="E912" i="2"/>
  <c r="F912" i="2"/>
  <c r="G912" i="2"/>
  <c r="H912" i="2"/>
  <c r="I912" i="2"/>
  <c r="J912" i="2"/>
  <c r="K912" i="2"/>
  <c r="L912" i="2"/>
  <c r="M912" i="2"/>
  <c r="N912" i="2"/>
  <c r="O912" i="2"/>
  <c r="B913" i="2"/>
  <c r="C913" i="2"/>
  <c r="D913" i="2"/>
  <c r="E913" i="2"/>
  <c r="F913" i="2"/>
  <c r="G913" i="2"/>
  <c r="H913" i="2"/>
  <c r="I913" i="2"/>
  <c r="J913" i="2"/>
  <c r="K913" i="2"/>
  <c r="L913" i="2"/>
  <c r="M913" i="2"/>
  <c r="N913" i="2"/>
  <c r="O913" i="2"/>
  <c r="B914" i="2"/>
  <c r="C914" i="2"/>
  <c r="D914" i="2"/>
  <c r="E914" i="2"/>
  <c r="F914" i="2"/>
  <c r="G914" i="2"/>
  <c r="H914" i="2"/>
  <c r="I914" i="2"/>
  <c r="J914" i="2"/>
  <c r="K914" i="2"/>
  <c r="L914" i="2"/>
  <c r="M914" i="2"/>
  <c r="N914" i="2"/>
  <c r="O914" i="2"/>
  <c r="B915" i="2"/>
  <c r="C915" i="2"/>
  <c r="D915" i="2"/>
  <c r="E915" i="2"/>
  <c r="F915" i="2"/>
  <c r="G915" i="2"/>
  <c r="H915" i="2"/>
  <c r="I915" i="2"/>
  <c r="J915" i="2"/>
  <c r="K915" i="2"/>
  <c r="L915" i="2"/>
  <c r="M915" i="2"/>
  <c r="N915" i="2"/>
  <c r="O915" i="2"/>
  <c r="B916" i="2"/>
  <c r="C916" i="2"/>
  <c r="D916" i="2"/>
  <c r="E916" i="2"/>
  <c r="F916" i="2"/>
  <c r="G916" i="2"/>
  <c r="H916" i="2"/>
  <c r="I916" i="2"/>
  <c r="J916" i="2"/>
  <c r="K916" i="2"/>
  <c r="L916" i="2"/>
  <c r="M916" i="2"/>
  <c r="N916" i="2"/>
  <c r="O916" i="2"/>
  <c r="B917" i="2"/>
  <c r="C917" i="2"/>
  <c r="D917" i="2"/>
  <c r="E917" i="2"/>
  <c r="F917" i="2"/>
  <c r="G917" i="2"/>
  <c r="H917" i="2"/>
  <c r="I917" i="2"/>
  <c r="J917" i="2"/>
  <c r="K917" i="2"/>
  <c r="L917" i="2"/>
  <c r="M917" i="2"/>
  <c r="N917" i="2"/>
  <c r="O917" i="2"/>
  <c r="B918" i="2"/>
  <c r="C918" i="2"/>
  <c r="D918" i="2"/>
  <c r="E918" i="2"/>
  <c r="F918" i="2"/>
  <c r="G918" i="2"/>
  <c r="H918" i="2"/>
  <c r="I918" i="2"/>
  <c r="J918" i="2"/>
  <c r="K918" i="2"/>
  <c r="L918" i="2"/>
  <c r="M918" i="2"/>
  <c r="N918" i="2"/>
  <c r="O918" i="2"/>
  <c r="B919" i="2"/>
  <c r="C919" i="2"/>
  <c r="D919" i="2"/>
  <c r="E919" i="2"/>
  <c r="F919" i="2"/>
  <c r="G919" i="2"/>
  <c r="H919" i="2"/>
  <c r="I919" i="2"/>
  <c r="J919" i="2"/>
  <c r="K919" i="2"/>
  <c r="L919" i="2"/>
  <c r="M919" i="2"/>
  <c r="N919" i="2"/>
  <c r="O919" i="2"/>
  <c r="B920" i="2"/>
  <c r="C920" i="2"/>
  <c r="D920" i="2"/>
  <c r="E920" i="2"/>
  <c r="F920" i="2"/>
  <c r="G920" i="2"/>
  <c r="H920" i="2"/>
  <c r="I920" i="2"/>
  <c r="J920" i="2"/>
  <c r="K920" i="2"/>
  <c r="L920" i="2"/>
  <c r="M920" i="2"/>
  <c r="N920" i="2"/>
  <c r="O920" i="2"/>
  <c r="B921" i="2"/>
  <c r="C921" i="2"/>
  <c r="D921" i="2"/>
  <c r="E921" i="2"/>
  <c r="F921" i="2"/>
  <c r="G921" i="2"/>
  <c r="H921" i="2"/>
  <c r="I921" i="2"/>
  <c r="J921" i="2"/>
  <c r="K921" i="2"/>
  <c r="L921" i="2"/>
  <c r="M921" i="2"/>
  <c r="N921" i="2"/>
  <c r="O921" i="2"/>
  <c r="B922" i="2"/>
  <c r="C922" i="2"/>
  <c r="D922" i="2"/>
  <c r="E922" i="2"/>
  <c r="F922" i="2"/>
  <c r="G922" i="2"/>
  <c r="H922" i="2"/>
  <c r="I922" i="2"/>
  <c r="J922" i="2"/>
  <c r="K922" i="2"/>
  <c r="L922" i="2"/>
  <c r="M922" i="2"/>
  <c r="N922" i="2"/>
  <c r="O922" i="2"/>
  <c r="B923" i="2"/>
  <c r="C923" i="2"/>
  <c r="D923" i="2"/>
  <c r="E923" i="2"/>
  <c r="F923" i="2"/>
  <c r="G923" i="2"/>
  <c r="H923" i="2"/>
  <c r="I923" i="2"/>
  <c r="J923" i="2"/>
  <c r="K923" i="2"/>
  <c r="L923" i="2"/>
  <c r="M923" i="2"/>
  <c r="N923" i="2"/>
  <c r="O923" i="2"/>
  <c r="B924" i="2"/>
  <c r="C924" i="2"/>
  <c r="D924" i="2"/>
  <c r="E924" i="2"/>
  <c r="F924" i="2"/>
  <c r="G924" i="2"/>
  <c r="H924" i="2"/>
  <c r="I924" i="2"/>
  <c r="J924" i="2"/>
  <c r="K924" i="2"/>
  <c r="L924" i="2"/>
  <c r="M924" i="2"/>
  <c r="N924" i="2"/>
  <c r="O924" i="2"/>
  <c r="B925" i="2"/>
  <c r="C925" i="2"/>
  <c r="D925" i="2"/>
  <c r="E925" i="2"/>
  <c r="F925" i="2"/>
  <c r="G925" i="2"/>
  <c r="H925" i="2"/>
  <c r="I925" i="2"/>
  <c r="J925" i="2"/>
  <c r="K925" i="2"/>
  <c r="L925" i="2"/>
  <c r="M925" i="2"/>
  <c r="N925" i="2"/>
  <c r="O925" i="2"/>
  <c r="B926" i="2"/>
  <c r="C926" i="2"/>
  <c r="D926" i="2"/>
  <c r="E926" i="2"/>
  <c r="F926" i="2"/>
  <c r="G926" i="2"/>
  <c r="H926" i="2"/>
  <c r="I926" i="2"/>
  <c r="J926" i="2"/>
  <c r="K926" i="2"/>
  <c r="L926" i="2"/>
  <c r="M926" i="2"/>
  <c r="N926" i="2"/>
  <c r="O926" i="2"/>
  <c r="B927" i="2"/>
  <c r="C927" i="2"/>
  <c r="D927" i="2"/>
  <c r="E927" i="2"/>
  <c r="F927" i="2"/>
  <c r="G927" i="2"/>
  <c r="H927" i="2"/>
  <c r="I927" i="2"/>
  <c r="J927" i="2"/>
  <c r="K927" i="2"/>
  <c r="L927" i="2"/>
  <c r="M927" i="2"/>
  <c r="N927" i="2"/>
  <c r="O927" i="2"/>
  <c r="B928" i="2"/>
  <c r="C928" i="2"/>
  <c r="D928" i="2"/>
  <c r="E928" i="2"/>
  <c r="F928" i="2"/>
  <c r="G928" i="2"/>
  <c r="H928" i="2"/>
  <c r="I928" i="2"/>
  <c r="J928" i="2"/>
  <c r="K928" i="2"/>
  <c r="L928" i="2"/>
  <c r="M928" i="2"/>
  <c r="N928" i="2"/>
  <c r="O928" i="2"/>
  <c r="B929" i="2"/>
  <c r="C929" i="2"/>
  <c r="D929" i="2"/>
  <c r="E929" i="2"/>
  <c r="F929" i="2"/>
  <c r="G929" i="2"/>
  <c r="H929" i="2"/>
  <c r="I929" i="2"/>
  <c r="J929" i="2"/>
  <c r="K929" i="2"/>
  <c r="L929" i="2"/>
  <c r="M929" i="2"/>
  <c r="N929" i="2"/>
  <c r="O929" i="2"/>
  <c r="B930" i="2"/>
  <c r="C930" i="2"/>
  <c r="D930" i="2"/>
  <c r="E930" i="2"/>
  <c r="F930" i="2"/>
  <c r="G930" i="2"/>
  <c r="H930" i="2"/>
  <c r="I930" i="2"/>
  <c r="J930" i="2"/>
  <c r="K930" i="2"/>
  <c r="L930" i="2"/>
  <c r="M930" i="2"/>
  <c r="N930" i="2"/>
  <c r="O930" i="2"/>
  <c r="B931" i="2"/>
  <c r="C931" i="2"/>
  <c r="D931" i="2"/>
  <c r="E931" i="2"/>
  <c r="F931" i="2"/>
  <c r="G931" i="2"/>
  <c r="H931" i="2"/>
  <c r="I931" i="2"/>
  <c r="J931" i="2"/>
  <c r="K931" i="2"/>
  <c r="L931" i="2"/>
  <c r="M931" i="2"/>
  <c r="N931" i="2"/>
  <c r="O931" i="2"/>
  <c r="B932" i="2"/>
  <c r="C932" i="2"/>
  <c r="D932" i="2"/>
  <c r="E932" i="2"/>
  <c r="F932" i="2"/>
  <c r="G932" i="2"/>
  <c r="H932" i="2"/>
  <c r="I932" i="2"/>
  <c r="J932" i="2"/>
  <c r="K932" i="2"/>
  <c r="L932" i="2"/>
  <c r="M932" i="2"/>
  <c r="N932" i="2"/>
  <c r="O932" i="2"/>
  <c r="B933" i="2"/>
  <c r="C933" i="2"/>
  <c r="D933" i="2"/>
  <c r="E933" i="2"/>
  <c r="F933" i="2"/>
  <c r="G933" i="2"/>
  <c r="H933" i="2"/>
  <c r="I933" i="2"/>
  <c r="J933" i="2"/>
  <c r="K933" i="2"/>
  <c r="L933" i="2"/>
  <c r="M933" i="2"/>
  <c r="N933" i="2"/>
  <c r="O933" i="2"/>
  <c r="B934" i="2"/>
  <c r="C934" i="2"/>
  <c r="D934" i="2"/>
  <c r="E934" i="2"/>
  <c r="F934" i="2"/>
  <c r="G934" i="2"/>
  <c r="H934" i="2"/>
  <c r="I934" i="2"/>
  <c r="J934" i="2"/>
  <c r="K934" i="2"/>
  <c r="L934" i="2"/>
  <c r="M934" i="2"/>
  <c r="N934" i="2"/>
  <c r="O934" i="2"/>
  <c r="B935" i="2"/>
  <c r="C935" i="2"/>
  <c r="D935" i="2"/>
  <c r="E935" i="2"/>
  <c r="F935" i="2"/>
  <c r="G935" i="2"/>
  <c r="H935" i="2"/>
  <c r="I935" i="2"/>
  <c r="J935" i="2"/>
  <c r="K935" i="2"/>
  <c r="L935" i="2"/>
  <c r="M935" i="2"/>
  <c r="N935" i="2"/>
  <c r="O935" i="2"/>
  <c r="B936" i="2"/>
  <c r="C936" i="2"/>
  <c r="D936" i="2"/>
  <c r="E936" i="2"/>
  <c r="F936" i="2"/>
  <c r="G936" i="2"/>
  <c r="H936" i="2"/>
  <c r="I936" i="2"/>
  <c r="J936" i="2"/>
  <c r="K936" i="2"/>
  <c r="L936" i="2"/>
  <c r="M936" i="2"/>
  <c r="N936" i="2"/>
  <c r="O936" i="2"/>
  <c r="B937" i="2"/>
  <c r="C937" i="2"/>
  <c r="D937" i="2"/>
  <c r="E937" i="2"/>
  <c r="F937" i="2"/>
  <c r="G937" i="2"/>
  <c r="H937" i="2"/>
  <c r="I937" i="2"/>
  <c r="J937" i="2"/>
  <c r="K937" i="2"/>
  <c r="L937" i="2"/>
  <c r="M937" i="2"/>
  <c r="N937" i="2"/>
  <c r="O937" i="2"/>
  <c r="B938" i="2"/>
  <c r="C938" i="2"/>
  <c r="D938" i="2"/>
  <c r="E938" i="2"/>
  <c r="F938" i="2"/>
  <c r="G938" i="2"/>
  <c r="H938" i="2"/>
  <c r="I938" i="2"/>
  <c r="J938" i="2"/>
  <c r="K938" i="2"/>
  <c r="L938" i="2"/>
  <c r="M938" i="2"/>
  <c r="N938" i="2"/>
  <c r="O938" i="2"/>
  <c r="B939" i="2"/>
  <c r="C939" i="2"/>
  <c r="D939" i="2"/>
  <c r="E939" i="2"/>
  <c r="F939" i="2"/>
  <c r="G939" i="2"/>
  <c r="H939" i="2"/>
  <c r="I939" i="2"/>
  <c r="J939" i="2"/>
  <c r="K939" i="2"/>
  <c r="L939" i="2"/>
  <c r="M939" i="2"/>
  <c r="N939" i="2"/>
  <c r="O939" i="2"/>
  <c r="B940" i="2"/>
  <c r="C940" i="2"/>
  <c r="D940" i="2"/>
  <c r="E940" i="2"/>
  <c r="F940" i="2"/>
  <c r="G940" i="2"/>
  <c r="H940" i="2"/>
  <c r="I940" i="2"/>
  <c r="J940" i="2"/>
  <c r="K940" i="2"/>
  <c r="L940" i="2"/>
  <c r="M940" i="2"/>
  <c r="N940" i="2"/>
  <c r="O940" i="2"/>
  <c r="B941" i="2"/>
  <c r="C941" i="2"/>
  <c r="D941" i="2"/>
  <c r="E941" i="2"/>
  <c r="F941" i="2"/>
  <c r="G941" i="2"/>
  <c r="H941" i="2"/>
  <c r="I941" i="2"/>
  <c r="J941" i="2"/>
  <c r="K941" i="2"/>
  <c r="L941" i="2"/>
  <c r="M941" i="2"/>
  <c r="N941" i="2"/>
  <c r="O941" i="2"/>
  <c r="B942" i="2"/>
  <c r="C942" i="2"/>
  <c r="D942" i="2"/>
  <c r="E942" i="2"/>
  <c r="F942" i="2"/>
  <c r="G942" i="2"/>
  <c r="H942" i="2"/>
  <c r="I942" i="2"/>
  <c r="J942" i="2"/>
  <c r="K942" i="2"/>
  <c r="L942" i="2"/>
  <c r="M942" i="2"/>
  <c r="N942" i="2"/>
  <c r="O942" i="2"/>
  <c r="B943" i="2"/>
  <c r="C943" i="2"/>
  <c r="D943" i="2"/>
  <c r="E943" i="2"/>
  <c r="F943" i="2"/>
  <c r="G943" i="2"/>
  <c r="H943" i="2"/>
  <c r="I943" i="2"/>
  <c r="J943" i="2"/>
  <c r="K943" i="2"/>
  <c r="L943" i="2"/>
  <c r="M943" i="2"/>
  <c r="N943" i="2"/>
  <c r="O943" i="2"/>
  <c r="B944" i="2"/>
  <c r="C944" i="2"/>
  <c r="D944" i="2"/>
  <c r="E944" i="2"/>
  <c r="F944" i="2"/>
  <c r="G944" i="2"/>
  <c r="H944" i="2"/>
  <c r="I944" i="2"/>
  <c r="J944" i="2"/>
  <c r="K944" i="2"/>
  <c r="L944" i="2"/>
  <c r="M944" i="2"/>
  <c r="N944" i="2"/>
  <c r="O944" i="2"/>
  <c r="B945" i="2"/>
  <c r="C945" i="2"/>
  <c r="D945" i="2"/>
  <c r="E945" i="2"/>
  <c r="F945" i="2"/>
  <c r="G945" i="2"/>
  <c r="H945" i="2"/>
  <c r="I945" i="2"/>
  <c r="J945" i="2"/>
  <c r="K945" i="2"/>
  <c r="L945" i="2"/>
  <c r="M945" i="2"/>
  <c r="N945" i="2"/>
  <c r="O945" i="2"/>
  <c r="B946" i="2"/>
  <c r="C946" i="2"/>
  <c r="D946" i="2"/>
  <c r="E946" i="2"/>
  <c r="F946" i="2"/>
  <c r="G946" i="2"/>
  <c r="H946" i="2"/>
  <c r="I946" i="2"/>
  <c r="J946" i="2"/>
  <c r="K946" i="2"/>
  <c r="L946" i="2"/>
  <c r="M946" i="2"/>
  <c r="N946" i="2"/>
  <c r="O946" i="2"/>
  <c r="B947" i="2"/>
  <c r="C947" i="2"/>
  <c r="D947" i="2"/>
  <c r="E947" i="2"/>
  <c r="F947" i="2"/>
  <c r="G947" i="2"/>
  <c r="H947" i="2"/>
  <c r="I947" i="2"/>
  <c r="J947" i="2"/>
  <c r="K947" i="2"/>
  <c r="L947" i="2"/>
  <c r="M947" i="2"/>
  <c r="N947" i="2"/>
  <c r="O947" i="2"/>
  <c r="B948" i="2"/>
  <c r="C948" i="2"/>
  <c r="D948" i="2"/>
  <c r="E948" i="2"/>
  <c r="F948" i="2"/>
  <c r="G948" i="2"/>
  <c r="H948" i="2"/>
  <c r="I948" i="2"/>
  <c r="J948" i="2"/>
  <c r="K948" i="2"/>
  <c r="L948" i="2"/>
  <c r="M948" i="2"/>
  <c r="N948" i="2"/>
  <c r="O948" i="2"/>
  <c r="B949" i="2"/>
  <c r="C949" i="2"/>
  <c r="D949" i="2"/>
  <c r="E949" i="2"/>
  <c r="F949" i="2"/>
  <c r="G949" i="2"/>
  <c r="H949" i="2"/>
  <c r="I949" i="2"/>
  <c r="J949" i="2"/>
  <c r="K949" i="2"/>
  <c r="L949" i="2"/>
  <c r="M949" i="2"/>
  <c r="N949" i="2"/>
  <c r="O949" i="2"/>
  <c r="B950" i="2"/>
  <c r="C950" i="2"/>
  <c r="D950" i="2"/>
  <c r="E950" i="2"/>
  <c r="F950" i="2"/>
  <c r="G950" i="2"/>
  <c r="H950" i="2"/>
  <c r="I950" i="2"/>
  <c r="J950" i="2"/>
  <c r="K950" i="2"/>
  <c r="L950" i="2"/>
  <c r="M950" i="2"/>
  <c r="N950" i="2"/>
  <c r="O950" i="2"/>
  <c r="B951" i="2"/>
  <c r="C951" i="2"/>
  <c r="D951" i="2"/>
  <c r="E951" i="2"/>
  <c r="F951" i="2"/>
  <c r="G951" i="2"/>
  <c r="H951" i="2"/>
  <c r="I951" i="2"/>
  <c r="J951" i="2"/>
  <c r="K951" i="2"/>
  <c r="L951" i="2"/>
  <c r="M951" i="2"/>
  <c r="N951" i="2"/>
  <c r="O951" i="2"/>
  <c r="B952" i="2"/>
  <c r="C952" i="2"/>
  <c r="D952" i="2"/>
  <c r="E952" i="2"/>
  <c r="F952" i="2"/>
  <c r="G952" i="2"/>
  <c r="H952" i="2"/>
  <c r="I952" i="2"/>
  <c r="J952" i="2"/>
  <c r="K952" i="2"/>
  <c r="L952" i="2"/>
  <c r="M952" i="2"/>
  <c r="N952" i="2"/>
  <c r="O952" i="2"/>
  <c r="B953" i="2"/>
  <c r="C953" i="2"/>
  <c r="D953" i="2"/>
  <c r="E953" i="2"/>
  <c r="F953" i="2"/>
  <c r="G953" i="2"/>
  <c r="H953" i="2"/>
  <c r="I953" i="2"/>
  <c r="J953" i="2"/>
  <c r="K953" i="2"/>
  <c r="L953" i="2"/>
  <c r="M953" i="2"/>
  <c r="N953" i="2"/>
  <c r="O953" i="2"/>
  <c r="B954" i="2"/>
  <c r="C954" i="2"/>
  <c r="D954" i="2"/>
  <c r="E954" i="2"/>
  <c r="F954" i="2"/>
  <c r="G954" i="2"/>
  <c r="H954" i="2"/>
  <c r="I954" i="2"/>
  <c r="J954" i="2"/>
  <c r="K954" i="2"/>
  <c r="L954" i="2"/>
  <c r="M954" i="2"/>
  <c r="N954" i="2"/>
  <c r="O954" i="2"/>
  <c r="B955" i="2"/>
  <c r="C955" i="2"/>
  <c r="D955" i="2"/>
  <c r="E955" i="2"/>
  <c r="F955" i="2"/>
  <c r="G955" i="2"/>
  <c r="H955" i="2"/>
  <c r="I955" i="2"/>
  <c r="J955" i="2"/>
  <c r="K955" i="2"/>
  <c r="L955" i="2"/>
  <c r="M955" i="2"/>
  <c r="N955" i="2"/>
  <c r="O955" i="2"/>
  <c r="B956" i="2"/>
  <c r="C956" i="2"/>
  <c r="D956" i="2"/>
  <c r="E956" i="2"/>
  <c r="F956" i="2"/>
  <c r="G956" i="2"/>
  <c r="H956" i="2"/>
  <c r="I956" i="2"/>
  <c r="J956" i="2"/>
  <c r="K956" i="2"/>
  <c r="L956" i="2"/>
  <c r="M956" i="2"/>
  <c r="N956" i="2"/>
  <c r="O956" i="2"/>
  <c r="B957" i="2"/>
  <c r="C957" i="2"/>
  <c r="D957" i="2"/>
  <c r="E957" i="2"/>
  <c r="F957" i="2"/>
  <c r="G957" i="2"/>
  <c r="H957" i="2"/>
  <c r="I957" i="2"/>
  <c r="J957" i="2"/>
  <c r="K957" i="2"/>
  <c r="L957" i="2"/>
  <c r="M957" i="2"/>
  <c r="N957" i="2"/>
  <c r="O957" i="2"/>
  <c r="B958" i="2"/>
  <c r="C958" i="2"/>
  <c r="D958" i="2"/>
  <c r="E958" i="2"/>
  <c r="F958" i="2"/>
  <c r="G958" i="2"/>
  <c r="H958" i="2"/>
  <c r="I958" i="2"/>
  <c r="J958" i="2"/>
  <c r="K958" i="2"/>
  <c r="L958" i="2"/>
  <c r="M958" i="2"/>
  <c r="N958" i="2"/>
  <c r="O958" i="2"/>
  <c r="B959" i="2"/>
  <c r="C959" i="2"/>
  <c r="D959" i="2"/>
  <c r="E959" i="2"/>
  <c r="F959" i="2"/>
  <c r="G959" i="2"/>
  <c r="H959" i="2"/>
  <c r="I959" i="2"/>
  <c r="J959" i="2"/>
  <c r="K959" i="2"/>
  <c r="L959" i="2"/>
  <c r="M959" i="2"/>
  <c r="N959" i="2"/>
  <c r="O959" i="2"/>
  <c r="B960" i="2"/>
  <c r="C960" i="2"/>
  <c r="D960" i="2"/>
  <c r="E960" i="2"/>
  <c r="F960" i="2"/>
  <c r="G960" i="2"/>
  <c r="H960" i="2"/>
  <c r="I960" i="2"/>
  <c r="J960" i="2"/>
  <c r="K960" i="2"/>
  <c r="L960" i="2"/>
  <c r="M960" i="2"/>
  <c r="N960" i="2"/>
  <c r="O960" i="2"/>
  <c r="B961" i="2"/>
  <c r="C961" i="2"/>
  <c r="D961" i="2"/>
  <c r="E961" i="2"/>
  <c r="F961" i="2"/>
  <c r="G961" i="2"/>
  <c r="H961" i="2"/>
  <c r="I961" i="2"/>
  <c r="J961" i="2"/>
  <c r="K961" i="2"/>
  <c r="L961" i="2"/>
  <c r="M961" i="2"/>
  <c r="N961" i="2"/>
  <c r="O961" i="2"/>
  <c r="B962" i="2"/>
  <c r="C962" i="2"/>
  <c r="D962" i="2"/>
  <c r="E962" i="2"/>
  <c r="F962" i="2"/>
  <c r="G962" i="2"/>
  <c r="H962" i="2"/>
  <c r="I962" i="2"/>
  <c r="J962" i="2"/>
  <c r="K962" i="2"/>
  <c r="L962" i="2"/>
  <c r="M962" i="2"/>
  <c r="N962" i="2"/>
  <c r="O962" i="2"/>
  <c r="B963" i="2"/>
  <c r="C963" i="2"/>
  <c r="D963" i="2"/>
  <c r="E963" i="2"/>
  <c r="F963" i="2"/>
  <c r="G963" i="2"/>
  <c r="H963" i="2"/>
  <c r="I963" i="2"/>
  <c r="J963" i="2"/>
  <c r="K963" i="2"/>
  <c r="L963" i="2"/>
  <c r="M963" i="2"/>
  <c r="N963" i="2"/>
  <c r="O963" i="2"/>
  <c r="B964" i="2"/>
  <c r="C964" i="2"/>
  <c r="D964" i="2"/>
  <c r="E964" i="2"/>
  <c r="F964" i="2"/>
  <c r="G964" i="2"/>
  <c r="H964" i="2"/>
  <c r="I964" i="2"/>
  <c r="J964" i="2"/>
  <c r="K964" i="2"/>
  <c r="L964" i="2"/>
  <c r="M964" i="2"/>
  <c r="N964" i="2"/>
  <c r="O964" i="2"/>
  <c r="B965" i="2"/>
  <c r="C965" i="2"/>
  <c r="D965" i="2"/>
  <c r="E965" i="2"/>
  <c r="F965" i="2"/>
  <c r="G965" i="2"/>
  <c r="H965" i="2"/>
  <c r="I965" i="2"/>
  <c r="J965" i="2"/>
  <c r="K965" i="2"/>
  <c r="L965" i="2"/>
  <c r="M965" i="2"/>
  <c r="N965" i="2"/>
  <c r="O965" i="2"/>
  <c r="B966" i="2"/>
  <c r="C966" i="2"/>
  <c r="D966" i="2"/>
  <c r="E966" i="2"/>
  <c r="F966" i="2"/>
  <c r="G966" i="2"/>
  <c r="H966" i="2"/>
  <c r="I966" i="2"/>
  <c r="J966" i="2"/>
  <c r="K966" i="2"/>
  <c r="L966" i="2"/>
  <c r="M966" i="2"/>
  <c r="N966" i="2"/>
  <c r="O966" i="2"/>
  <c r="B967" i="2"/>
  <c r="C967" i="2"/>
  <c r="D967" i="2"/>
  <c r="E967" i="2"/>
  <c r="F967" i="2"/>
  <c r="G967" i="2"/>
  <c r="H967" i="2"/>
  <c r="I967" i="2"/>
  <c r="J967" i="2"/>
  <c r="K967" i="2"/>
  <c r="L967" i="2"/>
  <c r="M967" i="2"/>
  <c r="N967" i="2"/>
  <c r="O967" i="2"/>
  <c r="B968" i="2"/>
  <c r="C968" i="2"/>
  <c r="D968" i="2"/>
  <c r="E968" i="2"/>
  <c r="F968" i="2"/>
  <c r="G968" i="2"/>
  <c r="H968" i="2"/>
  <c r="I968" i="2"/>
  <c r="J968" i="2"/>
  <c r="K968" i="2"/>
  <c r="L968" i="2"/>
  <c r="M968" i="2"/>
  <c r="N968" i="2"/>
  <c r="O968" i="2"/>
  <c r="B969" i="2"/>
  <c r="C969" i="2"/>
  <c r="D969" i="2"/>
  <c r="E969" i="2"/>
  <c r="F969" i="2"/>
  <c r="G969" i="2"/>
  <c r="H969" i="2"/>
  <c r="I969" i="2"/>
  <c r="J969" i="2"/>
  <c r="K969" i="2"/>
  <c r="L969" i="2"/>
  <c r="M969" i="2"/>
  <c r="N969" i="2"/>
  <c r="O969" i="2"/>
  <c r="B970" i="2"/>
  <c r="C970" i="2"/>
  <c r="D970" i="2"/>
  <c r="E970" i="2"/>
  <c r="F970" i="2"/>
  <c r="G970" i="2"/>
  <c r="H970" i="2"/>
  <c r="I970" i="2"/>
  <c r="J970" i="2"/>
  <c r="K970" i="2"/>
  <c r="L970" i="2"/>
  <c r="M970" i="2"/>
  <c r="N970" i="2"/>
  <c r="O970" i="2"/>
  <c r="B971" i="2"/>
  <c r="C971" i="2"/>
  <c r="D971" i="2"/>
  <c r="E971" i="2"/>
  <c r="F971" i="2"/>
  <c r="G971" i="2"/>
  <c r="H971" i="2"/>
  <c r="I971" i="2"/>
  <c r="J971" i="2"/>
  <c r="K971" i="2"/>
  <c r="L971" i="2"/>
  <c r="M971" i="2"/>
  <c r="N971" i="2"/>
  <c r="O971" i="2"/>
  <c r="B972" i="2"/>
  <c r="C972" i="2"/>
  <c r="D972" i="2"/>
  <c r="E972" i="2"/>
  <c r="F972" i="2"/>
  <c r="G972" i="2"/>
  <c r="H972" i="2"/>
  <c r="I972" i="2"/>
  <c r="J972" i="2"/>
  <c r="K972" i="2"/>
  <c r="L972" i="2"/>
  <c r="M972" i="2"/>
  <c r="N972" i="2"/>
  <c r="O972" i="2"/>
  <c r="B973" i="2"/>
  <c r="C973" i="2"/>
  <c r="D973" i="2"/>
  <c r="E973" i="2"/>
  <c r="F973" i="2"/>
  <c r="G973" i="2"/>
  <c r="H973" i="2"/>
  <c r="I973" i="2"/>
  <c r="J973" i="2"/>
  <c r="K973" i="2"/>
  <c r="L973" i="2"/>
  <c r="M973" i="2"/>
  <c r="N973" i="2"/>
  <c r="O973" i="2"/>
  <c r="B974" i="2"/>
  <c r="C974" i="2"/>
  <c r="D974" i="2"/>
  <c r="E974" i="2"/>
  <c r="F974" i="2"/>
  <c r="G974" i="2"/>
  <c r="H974" i="2"/>
  <c r="I974" i="2"/>
  <c r="J974" i="2"/>
  <c r="K974" i="2"/>
  <c r="L974" i="2"/>
  <c r="M974" i="2"/>
  <c r="N974" i="2"/>
  <c r="O974" i="2"/>
  <c r="B975" i="2"/>
  <c r="C975" i="2"/>
  <c r="D975" i="2"/>
  <c r="E975" i="2"/>
  <c r="F975" i="2"/>
  <c r="G975" i="2"/>
  <c r="H975" i="2"/>
  <c r="I975" i="2"/>
  <c r="J975" i="2"/>
  <c r="K975" i="2"/>
  <c r="L975" i="2"/>
  <c r="M975" i="2"/>
  <c r="N975" i="2"/>
  <c r="O975" i="2"/>
  <c r="B976" i="2"/>
  <c r="C976" i="2"/>
  <c r="D976" i="2"/>
  <c r="E976" i="2"/>
  <c r="F976" i="2"/>
  <c r="G976" i="2"/>
  <c r="H976" i="2"/>
  <c r="I976" i="2"/>
  <c r="J976" i="2"/>
  <c r="K976" i="2"/>
  <c r="L976" i="2"/>
  <c r="M976" i="2"/>
  <c r="N976" i="2"/>
  <c r="O976" i="2"/>
  <c r="B977" i="2"/>
  <c r="C977" i="2"/>
  <c r="D977" i="2"/>
  <c r="E977" i="2"/>
  <c r="F977" i="2"/>
  <c r="G977" i="2"/>
  <c r="H977" i="2"/>
  <c r="I977" i="2"/>
  <c r="J977" i="2"/>
  <c r="K977" i="2"/>
  <c r="L977" i="2"/>
  <c r="M977" i="2"/>
  <c r="N977" i="2"/>
  <c r="O977" i="2"/>
  <c r="B978" i="2"/>
  <c r="C978" i="2"/>
  <c r="D978" i="2"/>
  <c r="E978" i="2"/>
  <c r="F978" i="2"/>
  <c r="G978" i="2"/>
  <c r="H978" i="2"/>
  <c r="I978" i="2"/>
  <c r="J978" i="2"/>
  <c r="K978" i="2"/>
  <c r="L978" i="2"/>
  <c r="M978" i="2"/>
  <c r="N978" i="2"/>
  <c r="O978" i="2"/>
  <c r="B979" i="2"/>
  <c r="C979" i="2"/>
  <c r="D979" i="2"/>
  <c r="E979" i="2"/>
  <c r="F979" i="2"/>
  <c r="G979" i="2"/>
  <c r="H979" i="2"/>
  <c r="I979" i="2"/>
  <c r="J979" i="2"/>
  <c r="K979" i="2"/>
  <c r="L979" i="2"/>
  <c r="M979" i="2"/>
  <c r="N979" i="2"/>
  <c r="O979" i="2"/>
  <c r="B980" i="2"/>
  <c r="C980" i="2"/>
  <c r="D980" i="2"/>
  <c r="E980" i="2"/>
  <c r="F980" i="2"/>
  <c r="G980" i="2"/>
  <c r="H980" i="2"/>
  <c r="I980" i="2"/>
  <c r="J980" i="2"/>
  <c r="K980" i="2"/>
  <c r="L980" i="2"/>
  <c r="M980" i="2"/>
  <c r="N980" i="2"/>
  <c r="O980" i="2"/>
  <c r="B981" i="2"/>
  <c r="C981" i="2"/>
  <c r="D981" i="2"/>
  <c r="E981" i="2"/>
  <c r="F981" i="2"/>
  <c r="G981" i="2"/>
  <c r="H981" i="2"/>
  <c r="I981" i="2"/>
  <c r="J981" i="2"/>
  <c r="K981" i="2"/>
  <c r="L981" i="2"/>
  <c r="M981" i="2"/>
  <c r="N981" i="2"/>
  <c r="O981" i="2"/>
  <c r="B982" i="2"/>
  <c r="C982" i="2"/>
  <c r="D982" i="2"/>
  <c r="E982" i="2"/>
  <c r="F982" i="2"/>
  <c r="G982" i="2"/>
  <c r="H982" i="2"/>
  <c r="I982" i="2"/>
  <c r="J982" i="2"/>
  <c r="K982" i="2"/>
  <c r="L982" i="2"/>
  <c r="M982" i="2"/>
  <c r="N982" i="2"/>
  <c r="O982" i="2"/>
  <c r="B983" i="2"/>
  <c r="C983" i="2"/>
  <c r="D983" i="2"/>
  <c r="E983" i="2"/>
  <c r="F983" i="2"/>
  <c r="G983" i="2"/>
  <c r="H983" i="2"/>
  <c r="I983" i="2"/>
  <c r="J983" i="2"/>
  <c r="K983" i="2"/>
  <c r="L983" i="2"/>
  <c r="M983" i="2"/>
  <c r="N983" i="2"/>
  <c r="O983" i="2"/>
  <c r="B984" i="2"/>
  <c r="C984" i="2"/>
  <c r="D984" i="2"/>
  <c r="E984" i="2"/>
  <c r="F984" i="2"/>
  <c r="G984" i="2"/>
  <c r="H984" i="2"/>
  <c r="I984" i="2"/>
  <c r="J984" i="2"/>
  <c r="K984" i="2"/>
  <c r="L984" i="2"/>
  <c r="M984" i="2"/>
  <c r="N984" i="2"/>
  <c r="O984" i="2"/>
  <c r="B985" i="2"/>
  <c r="C985" i="2"/>
  <c r="D985" i="2"/>
  <c r="E985" i="2"/>
  <c r="F985" i="2"/>
  <c r="G985" i="2"/>
  <c r="H985" i="2"/>
  <c r="I985" i="2"/>
  <c r="J985" i="2"/>
  <c r="K985" i="2"/>
  <c r="L985" i="2"/>
  <c r="M985" i="2"/>
  <c r="N985" i="2"/>
  <c r="O985" i="2"/>
  <c r="B986" i="2"/>
  <c r="C986" i="2"/>
  <c r="D986" i="2"/>
  <c r="E986" i="2"/>
  <c r="F986" i="2"/>
  <c r="G986" i="2"/>
  <c r="H986" i="2"/>
  <c r="I986" i="2"/>
  <c r="J986" i="2"/>
  <c r="K986" i="2"/>
  <c r="L986" i="2"/>
  <c r="M986" i="2"/>
  <c r="N986" i="2"/>
  <c r="O986" i="2"/>
  <c r="B987" i="2"/>
  <c r="C987" i="2"/>
  <c r="D987" i="2"/>
  <c r="E987" i="2"/>
  <c r="F987" i="2"/>
  <c r="G987" i="2"/>
  <c r="H987" i="2"/>
  <c r="I987" i="2"/>
  <c r="J987" i="2"/>
  <c r="K987" i="2"/>
  <c r="L987" i="2"/>
  <c r="M987" i="2"/>
  <c r="N987" i="2"/>
  <c r="O987" i="2"/>
  <c r="B988" i="2"/>
  <c r="C988" i="2"/>
  <c r="D988" i="2"/>
  <c r="E988" i="2"/>
  <c r="F988" i="2"/>
  <c r="G988" i="2"/>
  <c r="H988" i="2"/>
  <c r="I988" i="2"/>
  <c r="J988" i="2"/>
  <c r="K988" i="2"/>
  <c r="L988" i="2"/>
  <c r="M988" i="2"/>
  <c r="N988" i="2"/>
  <c r="O988" i="2"/>
  <c r="B989" i="2"/>
  <c r="C989" i="2"/>
  <c r="D989" i="2"/>
  <c r="E989" i="2"/>
  <c r="F989" i="2"/>
  <c r="G989" i="2"/>
  <c r="H989" i="2"/>
  <c r="I989" i="2"/>
  <c r="J989" i="2"/>
  <c r="K989" i="2"/>
  <c r="L989" i="2"/>
  <c r="M989" i="2"/>
  <c r="N989" i="2"/>
  <c r="O989" i="2"/>
  <c r="B990" i="2"/>
  <c r="C990" i="2"/>
  <c r="D990" i="2"/>
  <c r="E990" i="2"/>
  <c r="F990" i="2"/>
  <c r="G990" i="2"/>
  <c r="H990" i="2"/>
  <c r="I990" i="2"/>
  <c r="J990" i="2"/>
  <c r="K990" i="2"/>
  <c r="L990" i="2"/>
  <c r="M990" i="2"/>
  <c r="N990" i="2"/>
  <c r="O990" i="2"/>
  <c r="B991" i="2"/>
  <c r="C991" i="2"/>
  <c r="D991" i="2"/>
  <c r="E991" i="2"/>
  <c r="F991" i="2"/>
  <c r="G991" i="2"/>
  <c r="H991" i="2"/>
  <c r="I991" i="2"/>
  <c r="J991" i="2"/>
  <c r="K991" i="2"/>
  <c r="L991" i="2"/>
  <c r="M991" i="2"/>
  <c r="N991" i="2"/>
  <c r="O991" i="2"/>
  <c r="B992" i="2"/>
  <c r="C992" i="2"/>
  <c r="D992" i="2"/>
  <c r="E992" i="2"/>
  <c r="F992" i="2"/>
  <c r="G992" i="2"/>
  <c r="H992" i="2"/>
  <c r="I992" i="2"/>
  <c r="J992" i="2"/>
  <c r="K992" i="2"/>
  <c r="L992" i="2"/>
  <c r="M992" i="2"/>
  <c r="N992" i="2"/>
  <c r="O992" i="2"/>
  <c r="B993" i="2"/>
  <c r="C993" i="2"/>
  <c r="D993" i="2"/>
  <c r="E993" i="2"/>
  <c r="F993" i="2"/>
  <c r="G993" i="2"/>
  <c r="H993" i="2"/>
  <c r="I993" i="2"/>
  <c r="J993" i="2"/>
  <c r="K993" i="2"/>
  <c r="L993" i="2"/>
  <c r="M993" i="2"/>
  <c r="N993" i="2"/>
  <c r="O993" i="2"/>
  <c r="B994" i="2"/>
  <c r="C994" i="2"/>
  <c r="D994" i="2"/>
  <c r="E994" i="2"/>
  <c r="F994" i="2"/>
  <c r="G994" i="2"/>
  <c r="H994" i="2"/>
  <c r="I994" i="2"/>
  <c r="J994" i="2"/>
  <c r="K994" i="2"/>
  <c r="L994" i="2"/>
  <c r="M994" i="2"/>
  <c r="N994" i="2"/>
  <c r="O994" i="2"/>
  <c r="B995" i="2"/>
  <c r="C995" i="2"/>
  <c r="D995" i="2"/>
  <c r="E995" i="2"/>
  <c r="F995" i="2"/>
  <c r="G995" i="2"/>
  <c r="H995" i="2"/>
  <c r="I995" i="2"/>
  <c r="J995" i="2"/>
  <c r="K995" i="2"/>
  <c r="L995" i="2"/>
  <c r="M995" i="2"/>
  <c r="N995" i="2"/>
  <c r="O995" i="2"/>
  <c r="B996" i="2"/>
  <c r="C996" i="2"/>
  <c r="D996" i="2"/>
  <c r="E996" i="2"/>
  <c r="F996" i="2"/>
  <c r="G996" i="2"/>
  <c r="H996" i="2"/>
  <c r="I996" i="2"/>
  <c r="J996" i="2"/>
  <c r="K996" i="2"/>
  <c r="L996" i="2"/>
  <c r="M996" i="2"/>
  <c r="N996" i="2"/>
  <c r="O996" i="2"/>
  <c r="B997" i="2"/>
  <c r="C997" i="2"/>
  <c r="D997" i="2"/>
  <c r="E997" i="2"/>
  <c r="F997" i="2"/>
  <c r="G997" i="2"/>
  <c r="H997" i="2"/>
  <c r="I997" i="2"/>
  <c r="J997" i="2"/>
  <c r="K997" i="2"/>
  <c r="L997" i="2"/>
  <c r="M997" i="2"/>
  <c r="N997" i="2"/>
  <c r="O997" i="2"/>
  <c r="B998" i="2"/>
  <c r="C998" i="2"/>
  <c r="D998" i="2"/>
  <c r="E998" i="2"/>
  <c r="F998" i="2"/>
  <c r="G998" i="2"/>
  <c r="H998" i="2"/>
  <c r="I998" i="2"/>
  <c r="J998" i="2"/>
  <c r="K998" i="2"/>
  <c r="L998" i="2"/>
  <c r="M998" i="2"/>
  <c r="N998" i="2"/>
  <c r="O998" i="2"/>
  <c r="B999" i="2"/>
  <c r="C999" i="2"/>
  <c r="D999" i="2"/>
  <c r="E999" i="2"/>
  <c r="F999" i="2"/>
  <c r="G999" i="2"/>
  <c r="H999" i="2"/>
  <c r="I999" i="2"/>
  <c r="J999" i="2"/>
  <c r="K999" i="2"/>
  <c r="L999" i="2"/>
  <c r="M999" i="2"/>
  <c r="N999" i="2"/>
  <c r="O999" i="2"/>
  <c r="B1000" i="2"/>
  <c r="C1000" i="2"/>
  <c r="D1000" i="2"/>
  <c r="E1000" i="2"/>
  <c r="F1000" i="2"/>
  <c r="G1000" i="2"/>
  <c r="H1000" i="2"/>
  <c r="I1000" i="2"/>
  <c r="J1000" i="2"/>
  <c r="K1000" i="2"/>
  <c r="L1000" i="2"/>
  <c r="M1000" i="2"/>
  <c r="N1000" i="2"/>
  <c r="O1000" i="2"/>
  <c r="B1001" i="2"/>
  <c r="C1001" i="2"/>
  <c r="D1001" i="2"/>
  <c r="E1001" i="2"/>
  <c r="F1001" i="2"/>
  <c r="G1001" i="2"/>
  <c r="H1001" i="2"/>
  <c r="I1001" i="2"/>
  <c r="J1001" i="2"/>
  <c r="K1001" i="2"/>
  <c r="L1001" i="2"/>
  <c r="M1001" i="2"/>
  <c r="N1001" i="2"/>
  <c r="O1001" i="2"/>
  <c r="B1002" i="2"/>
  <c r="C1002" i="2"/>
  <c r="D1002" i="2"/>
  <c r="E1002" i="2"/>
  <c r="F1002" i="2"/>
  <c r="G1002" i="2"/>
  <c r="H1002" i="2"/>
  <c r="I1002" i="2"/>
  <c r="J1002" i="2"/>
  <c r="K1002" i="2"/>
  <c r="L1002" i="2"/>
  <c r="M1002" i="2"/>
  <c r="N1002" i="2"/>
  <c r="O1002" i="2"/>
  <c r="B1003" i="2"/>
  <c r="C1003" i="2"/>
  <c r="D1003" i="2"/>
  <c r="E1003" i="2"/>
  <c r="F1003" i="2"/>
  <c r="G1003" i="2"/>
  <c r="H1003" i="2"/>
  <c r="I1003" i="2"/>
  <c r="J1003" i="2"/>
  <c r="K1003" i="2"/>
  <c r="L1003" i="2"/>
  <c r="M1003" i="2"/>
  <c r="N1003" i="2"/>
  <c r="O1003" i="2"/>
  <c r="B1004" i="2"/>
  <c r="C1004" i="2"/>
  <c r="D1004" i="2"/>
  <c r="E1004" i="2"/>
  <c r="F1004" i="2"/>
  <c r="G1004" i="2"/>
  <c r="H1004" i="2"/>
  <c r="I1004" i="2"/>
  <c r="J1004" i="2"/>
  <c r="K1004" i="2"/>
  <c r="L1004" i="2"/>
  <c r="M1004" i="2"/>
  <c r="N1004" i="2"/>
  <c r="O1004" i="2"/>
  <c r="B1005" i="2"/>
  <c r="C1005" i="2"/>
  <c r="D1005" i="2"/>
  <c r="E1005" i="2"/>
  <c r="F1005" i="2"/>
  <c r="G1005" i="2"/>
  <c r="H1005" i="2"/>
  <c r="I1005" i="2"/>
  <c r="J1005" i="2"/>
  <c r="K1005" i="2"/>
  <c r="L1005" i="2"/>
  <c r="M1005" i="2"/>
  <c r="N1005" i="2"/>
  <c r="O1005" i="2"/>
  <c r="B1006" i="2"/>
  <c r="C1006" i="2"/>
  <c r="D1006" i="2"/>
  <c r="E1006" i="2"/>
  <c r="F1006" i="2"/>
  <c r="G1006" i="2"/>
  <c r="H1006" i="2"/>
  <c r="I1006" i="2"/>
  <c r="J1006" i="2"/>
  <c r="K1006" i="2"/>
  <c r="L1006" i="2"/>
  <c r="M1006" i="2"/>
  <c r="N1006" i="2"/>
  <c r="O1006" i="2"/>
  <c r="B1007" i="2"/>
  <c r="C1007" i="2"/>
  <c r="D1007" i="2"/>
  <c r="E1007" i="2"/>
  <c r="F1007" i="2"/>
  <c r="G1007" i="2"/>
  <c r="H1007" i="2"/>
  <c r="I1007" i="2"/>
  <c r="J1007" i="2"/>
  <c r="K1007" i="2"/>
  <c r="L1007" i="2"/>
  <c r="M1007" i="2"/>
  <c r="N1007" i="2"/>
  <c r="O1007" i="2"/>
  <c r="B1008" i="2"/>
  <c r="C1008" i="2"/>
  <c r="D1008" i="2"/>
  <c r="E1008" i="2"/>
  <c r="F1008" i="2"/>
  <c r="G1008" i="2"/>
  <c r="H1008" i="2"/>
  <c r="I1008" i="2"/>
  <c r="J1008" i="2"/>
  <c r="K1008" i="2"/>
  <c r="L1008" i="2"/>
  <c r="M1008" i="2"/>
  <c r="N1008" i="2"/>
  <c r="O1008" i="2"/>
  <c r="B1009" i="2"/>
  <c r="C1009" i="2"/>
  <c r="D1009" i="2"/>
  <c r="E1009" i="2"/>
  <c r="F1009" i="2"/>
  <c r="G1009" i="2"/>
  <c r="H1009" i="2"/>
  <c r="I1009" i="2"/>
  <c r="J1009" i="2"/>
  <c r="K1009" i="2"/>
  <c r="L1009" i="2"/>
  <c r="M1009" i="2"/>
  <c r="N1009" i="2"/>
  <c r="O1009" i="2"/>
  <c r="B1010" i="2"/>
  <c r="C1010" i="2"/>
  <c r="D1010" i="2"/>
  <c r="E1010" i="2"/>
  <c r="F1010" i="2"/>
  <c r="G1010" i="2"/>
  <c r="H1010" i="2"/>
  <c r="I1010" i="2"/>
  <c r="J1010" i="2"/>
  <c r="K1010" i="2"/>
  <c r="L1010" i="2"/>
  <c r="M1010" i="2"/>
  <c r="N1010" i="2"/>
  <c r="O1010" i="2"/>
  <c r="B1011" i="2"/>
  <c r="C1011" i="2"/>
  <c r="D1011" i="2"/>
  <c r="E1011" i="2"/>
  <c r="F1011" i="2"/>
  <c r="G1011" i="2"/>
  <c r="H1011" i="2"/>
  <c r="I1011" i="2"/>
  <c r="J1011" i="2"/>
  <c r="K1011" i="2"/>
  <c r="L1011" i="2"/>
  <c r="M1011" i="2"/>
  <c r="N1011" i="2"/>
  <c r="O1011" i="2"/>
  <c r="B1012" i="2"/>
  <c r="C1012" i="2"/>
  <c r="D1012" i="2"/>
  <c r="E1012" i="2"/>
  <c r="F1012" i="2"/>
  <c r="G1012" i="2"/>
  <c r="H1012" i="2"/>
  <c r="I1012" i="2"/>
  <c r="J1012" i="2"/>
  <c r="K1012" i="2"/>
  <c r="L1012" i="2"/>
  <c r="M1012" i="2"/>
  <c r="N1012" i="2"/>
  <c r="O1012" i="2"/>
  <c r="B1013" i="2"/>
  <c r="C1013" i="2"/>
  <c r="D1013" i="2"/>
  <c r="E1013" i="2"/>
  <c r="F1013" i="2"/>
  <c r="G1013" i="2"/>
  <c r="H1013" i="2"/>
  <c r="I1013" i="2"/>
  <c r="J1013" i="2"/>
  <c r="K1013" i="2"/>
  <c r="L1013" i="2"/>
  <c r="M1013" i="2"/>
  <c r="N1013" i="2"/>
  <c r="O1013" i="2"/>
  <c r="B1014" i="2"/>
  <c r="C1014" i="2"/>
  <c r="D1014" i="2"/>
  <c r="E1014" i="2"/>
  <c r="F1014" i="2"/>
  <c r="G1014" i="2"/>
  <c r="H1014" i="2"/>
  <c r="I1014" i="2"/>
  <c r="J1014" i="2"/>
  <c r="K1014" i="2"/>
  <c r="L1014" i="2"/>
  <c r="M1014" i="2"/>
  <c r="N1014" i="2"/>
  <c r="O1014" i="2"/>
  <c r="B1015" i="2"/>
  <c r="C1015" i="2"/>
  <c r="D1015" i="2"/>
  <c r="E1015" i="2"/>
  <c r="F1015" i="2"/>
  <c r="G1015" i="2"/>
  <c r="H1015" i="2"/>
  <c r="I1015" i="2"/>
  <c r="J1015" i="2"/>
  <c r="K1015" i="2"/>
  <c r="L1015" i="2"/>
  <c r="M1015" i="2"/>
  <c r="N1015" i="2"/>
  <c r="O1015" i="2"/>
  <c r="B1016" i="2"/>
  <c r="C1016" i="2"/>
  <c r="D1016" i="2"/>
  <c r="E1016" i="2"/>
  <c r="F1016" i="2"/>
  <c r="G1016" i="2"/>
  <c r="H1016" i="2"/>
  <c r="I1016" i="2"/>
  <c r="J1016" i="2"/>
  <c r="K1016" i="2"/>
  <c r="L1016" i="2"/>
  <c r="M1016" i="2"/>
  <c r="N1016" i="2"/>
  <c r="O1016" i="2"/>
  <c r="B1017" i="2"/>
  <c r="C1017" i="2"/>
  <c r="D1017" i="2"/>
  <c r="E1017" i="2"/>
  <c r="F1017" i="2"/>
  <c r="G1017" i="2"/>
  <c r="H1017" i="2"/>
  <c r="I1017" i="2"/>
  <c r="J1017" i="2"/>
  <c r="K1017" i="2"/>
  <c r="L1017" i="2"/>
  <c r="M1017" i="2"/>
  <c r="N1017" i="2"/>
  <c r="O1017" i="2"/>
  <c r="B1018" i="2"/>
  <c r="C1018" i="2"/>
  <c r="D1018" i="2"/>
  <c r="E1018" i="2"/>
  <c r="F1018" i="2"/>
  <c r="G1018" i="2"/>
  <c r="H1018" i="2"/>
  <c r="I1018" i="2"/>
  <c r="J1018" i="2"/>
  <c r="K1018" i="2"/>
  <c r="L1018" i="2"/>
  <c r="M1018" i="2"/>
  <c r="N1018" i="2"/>
  <c r="O1018" i="2"/>
  <c r="B1019" i="2"/>
  <c r="C1019" i="2"/>
  <c r="D1019" i="2"/>
  <c r="E1019" i="2"/>
  <c r="F1019" i="2"/>
  <c r="G1019" i="2"/>
  <c r="H1019" i="2"/>
  <c r="I1019" i="2"/>
  <c r="J1019" i="2"/>
  <c r="K1019" i="2"/>
  <c r="L1019" i="2"/>
  <c r="M1019" i="2"/>
  <c r="N1019" i="2"/>
  <c r="O1019" i="2"/>
  <c r="B1020" i="2"/>
  <c r="C1020" i="2"/>
  <c r="D1020" i="2"/>
  <c r="E1020" i="2"/>
  <c r="F1020" i="2"/>
  <c r="G1020" i="2"/>
  <c r="H1020" i="2"/>
  <c r="I1020" i="2"/>
  <c r="J1020" i="2"/>
  <c r="K1020" i="2"/>
  <c r="L1020" i="2"/>
  <c r="M1020" i="2"/>
  <c r="N1020" i="2"/>
  <c r="O1020" i="2"/>
  <c r="B1021" i="2"/>
  <c r="C1021" i="2"/>
  <c r="D1021" i="2"/>
  <c r="E1021" i="2"/>
  <c r="F1021" i="2"/>
  <c r="G1021" i="2"/>
  <c r="H1021" i="2"/>
  <c r="I1021" i="2"/>
  <c r="J1021" i="2"/>
  <c r="K1021" i="2"/>
  <c r="L1021" i="2"/>
  <c r="M1021" i="2"/>
  <c r="N1021" i="2"/>
  <c r="O1021" i="2"/>
  <c r="B1022" i="2"/>
  <c r="C1022" i="2"/>
  <c r="D1022" i="2"/>
  <c r="E1022" i="2"/>
  <c r="F1022" i="2"/>
  <c r="G1022" i="2"/>
  <c r="H1022" i="2"/>
  <c r="I1022" i="2"/>
  <c r="J1022" i="2"/>
  <c r="K1022" i="2"/>
  <c r="L1022" i="2"/>
  <c r="M1022" i="2"/>
  <c r="N1022" i="2"/>
  <c r="O1022" i="2"/>
  <c r="B1023" i="2"/>
  <c r="C1023" i="2"/>
  <c r="D1023" i="2"/>
  <c r="E1023" i="2"/>
  <c r="F1023" i="2"/>
  <c r="G1023" i="2"/>
  <c r="H1023" i="2"/>
  <c r="I1023" i="2"/>
  <c r="J1023" i="2"/>
  <c r="K1023" i="2"/>
  <c r="L1023" i="2"/>
  <c r="M1023" i="2"/>
  <c r="N1023" i="2"/>
  <c r="O1023" i="2"/>
  <c r="B1024" i="2"/>
  <c r="C1024" i="2"/>
  <c r="D1024" i="2"/>
  <c r="E1024" i="2"/>
  <c r="F1024" i="2"/>
  <c r="G1024" i="2"/>
  <c r="H1024" i="2"/>
  <c r="I1024" i="2"/>
  <c r="J1024" i="2"/>
  <c r="K1024" i="2"/>
  <c r="L1024" i="2"/>
  <c r="M1024" i="2"/>
  <c r="N1024" i="2"/>
  <c r="O1024" i="2"/>
  <c r="B1025" i="2"/>
  <c r="C1025" i="2"/>
  <c r="D1025" i="2"/>
  <c r="E1025" i="2"/>
  <c r="F1025" i="2"/>
  <c r="G1025" i="2"/>
  <c r="H1025" i="2"/>
  <c r="I1025" i="2"/>
  <c r="J1025" i="2"/>
  <c r="K1025" i="2"/>
  <c r="L1025" i="2"/>
  <c r="M1025" i="2"/>
  <c r="N1025" i="2"/>
  <c r="O1025" i="2"/>
  <c r="B1026" i="2"/>
  <c r="C1026" i="2"/>
  <c r="D1026" i="2"/>
  <c r="E1026" i="2"/>
  <c r="F1026" i="2"/>
  <c r="G1026" i="2"/>
  <c r="H1026" i="2"/>
  <c r="I1026" i="2"/>
  <c r="J1026" i="2"/>
  <c r="K1026" i="2"/>
  <c r="L1026" i="2"/>
  <c r="M1026" i="2"/>
  <c r="N1026" i="2"/>
  <c r="O1026" i="2"/>
  <c r="B1027" i="2"/>
  <c r="C1027" i="2"/>
  <c r="D1027" i="2"/>
  <c r="E1027" i="2"/>
  <c r="F1027" i="2"/>
  <c r="G1027" i="2"/>
  <c r="H1027" i="2"/>
  <c r="I1027" i="2"/>
  <c r="J1027" i="2"/>
  <c r="K1027" i="2"/>
  <c r="L1027" i="2"/>
  <c r="M1027" i="2"/>
  <c r="N1027" i="2"/>
  <c r="O1027" i="2"/>
  <c r="B1028" i="2"/>
  <c r="C1028" i="2"/>
  <c r="D1028" i="2"/>
  <c r="E1028" i="2"/>
  <c r="F1028" i="2"/>
  <c r="G1028" i="2"/>
  <c r="H1028" i="2"/>
  <c r="I1028" i="2"/>
  <c r="J1028" i="2"/>
  <c r="K1028" i="2"/>
  <c r="L1028" i="2"/>
  <c r="M1028" i="2"/>
  <c r="N1028" i="2"/>
  <c r="O1028" i="2"/>
  <c r="B1029" i="2"/>
  <c r="C1029" i="2"/>
  <c r="D1029" i="2"/>
  <c r="E1029" i="2"/>
  <c r="F1029" i="2"/>
  <c r="G1029" i="2"/>
  <c r="H1029" i="2"/>
  <c r="I1029" i="2"/>
  <c r="J1029" i="2"/>
  <c r="K1029" i="2"/>
  <c r="L1029" i="2"/>
  <c r="M1029" i="2"/>
  <c r="N1029" i="2"/>
  <c r="O1029" i="2"/>
  <c r="B1030" i="2"/>
  <c r="C1030" i="2"/>
  <c r="D1030" i="2"/>
  <c r="E1030" i="2"/>
  <c r="F1030" i="2"/>
  <c r="G1030" i="2"/>
  <c r="H1030" i="2"/>
  <c r="I1030" i="2"/>
  <c r="J1030" i="2"/>
  <c r="K1030" i="2"/>
  <c r="L1030" i="2"/>
  <c r="M1030" i="2"/>
  <c r="N1030" i="2"/>
  <c r="O1030" i="2"/>
  <c r="B1031" i="2"/>
  <c r="C1031" i="2"/>
  <c r="D1031" i="2"/>
  <c r="E1031" i="2"/>
  <c r="F1031" i="2"/>
  <c r="G1031" i="2"/>
  <c r="H1031" i="2"/>
  <c r="I1031" i="2"/>
  <c r="J1031" i="2"/>
  <c r="K1031" i="2"/>
  <c r="L1031" i="2"/>
  <c r="M1031" i="2"/>
  <c r="N1031" i="2"/>
  <c r="O1031" i="2"/>
  <c r="B1032" i="2"/>
  <c r="C1032" i="2"/>
  <c r="D1032" i="2"/>
  <c r="E1032" i="2"/>
  <c r="F1032" i="2"/>
  <c r="G1032" i="2"/>
  <c r="H1032" i="2"/>
  <c r="I1032" i="2"/>
  <c r="J1032" i="2"/>
  <c r="K1032" i="2"/>
  <c r="L1032" i="2"/>
  <c r="M1032" i="2"/>
  <c r="N1032" i="2"/>
  <c r="O1032" i="2"/>
  <c r="B1033" i="2"/>
  <c r="C1033" i="2"/>
  <c r="D1033" i="2"/>
  <c r="E1033" i="2"/>
  <c r="F1033" i="2"/>
  <c r="G1033" i="2"/>
  <c r="H1033" i="2"/>
  <c r="I1033" i="2"/>
  <c r="J1033" i="2"/>
  <c r="K1033" i="2"/>
  <c r="L1033" i="2"/>
  <c r="M1033" i="2"/>
  <c r="N1033" i="2"/>
  <c r="O1033" i="2"/>
  <c r="B1034" i="2"/>
  <c r="C1034" i="2"/>
  <c r="D1034" i="2"/>
  <c r="E1034" i="2"/>
  <c r="F1034" i="2"/>
  <c r="G1034" i="2"/>
  <c r="H1034" i="2"/>
  <c r="I1034" i="2"/>
  <c r="J1034" i="2"/>
  <c r="K1034" i="2"/>
  <c r="L1034" i="2"/>
  <c r="M1034" i="2"/>
  <c r="N1034" i="2"/>
  <c r="O1034" i="2"/>
  <c r="B1035" i="2"/>
  <c r="C1035" i="2"/>
  <c r="D1035" i="2"/>
  <c r="E1035" i="2"/>
  <c r="F1035" i="2"/>
  <c r="G1035" i="2"/>
  <c r="H1035" i="2"/>
  <c r="I1035" i="2"/>
  <c r="J1035" i="2"/>
  <c r="K1035" i="2"/>
  <c r="L1035" i="2"/>
  <c r="M1035" i="2"/>
  <c r="N1035" i="2"/>
  <c r="O1035" i="2"/>
  <c r="B1036" i="2"/>
  <c r="C1036" i="2"/>
  <c r="D1036" i="2"/>
  <c r="E1036" i="2"/>
  <c r="F1036" i="2"/>
  <c r="G1036" i="2"/>
  <c r="H1036" i="2"/>
  <c r="I1036" i="2"/>
  <c r="J1036" i="2"/>
  <c r="K1036" i="2"/>
  <c r="L1036" i="2"/>
  <c r="M1036" i="2"/>
  <c r="N1036" i="2"/>
  <c r="O1036" i="2"/>
  <c r="B1037" i="2"/>
  <c r="C1037" i="2"/>
  <c r="D1037" i="2"/>
  <c r="E1037" i="2"/>
  <c r="F1037" i="2"/>
  <c r="G1037" i="2"/>
  <c r="H1037" i="2"/>
  <c r="I1037" i="2"/>
  <c r="J1037" i="2"/>
  <c r="K1037" i="2"/>
  <c r="L1037" i="2"/>
  <c r="M1037" i="2"/>
  <c r="N1037" i="2"/>
  <c r="O1037" i="2"/>
  <c r="B1038" i="2"/>
  <c r="C1038" i="2"/>
  <c r="D1038" i="2"/>
  <c r="E1038" i="2"/>
  <c r="F1038" i="2"/>
  <c r="G1038" i="2"/>
  <c r="H1038" i="2"/>
  <c r="I1038" i="2"/>
  <c r="J1038" i="2"/>
  <c r="K1038" i="2"/>
  <c r="L1038" i="2"/>
  <c r="M1038" i="2"/>
  <c r="N1038" i="2"/>
  <c r="O1038" i="2"/>
  <c r="B1039" i="2"/>
  <c r="C1039" i="2"/>
  <c r="D1039" i="2"/>
  <c r="E1039" i="2"/>
  <c r="F1039" i="2"/>
  <c r="G1039" i="2"/>
  <c r="H1039" i="2"/>
  <c r="I1039" i="2"/>
  <c r="J1039" i="2"/>
  <c r="K1039" i="2"/>
  <c r="L1039" i="2"/>
  <c r="M1039" i="2"/>
  <c r="N1039" i="2"/>
  <c r="O1039" i="2"/>
  <c r="B1040" i="2"/>
  <c r="C1040" i="2"/>
  <c r="D1040" i="2"/>
  <c r="E1040" i="2"/>
  <c r="F1040" i="2"/>
  <c r="G1040" i="2"/>
  <c r="H1040" i="2"/>
  <c r="I1040" i="2"/>
  <c r="J1040" i="2"/>
  <c r="K1040" i="2"/>
  <c r="L1040" i="2"/>
  <c r="M1040" i="2"/>
  <c r="N1040" i="2"/>
  <c r="O1040" i="2"/>
  <c r="B1041" i="2"/>
  <c r="C1041" i="2"/>
  <c r="D1041" i="2"/>
  <c r="E1041" i="2"/>
  <c r="F1041" i="2"/>
  <c r="G1041" i="2"/>
  <c r="H1041" i="2"/>
  <c r="I1041" i="2"/>
  <c r="J1041" i="2"/>
  <c r="K1041" i="2"/>
  <c r="L1041" i="2"/>
  <c r="M1041" i="2"/>
  <c r="N1041" i="2"/>
  <c r="O1041" i="2"/>
  <c r="B1042" i="2"/>
  <c r="C1042" i="2"/>
  <c r="D1042" i="2"/>
  <c r="E1042" i="2"/>
  <c r="F1042" i="2"/>
  <c r="G1042" i="2"/>
  <c r="H1042" i="2"/>
  <c r="I1042" i="2"/>
  <c r="J1042" i="2"/>
  <c r="K1042" i="2"/>
  <c r="L1042" i="2"/>
  <c r="M1042" i="2"/>
  <c r="N1042" i="2"/>
  <c r="O1042" i="2"/>
  <c r="B1043" i="2"/>
  <c r="C1043" i="2"/>
  <c r="D1043" i="2"/>
  <c r="E1043" i="2"/>
  <c r="F1043" i="2"/>
  <c r="G1043" i="2"/>
  <c r="H1043" i="2"/>
  <c r="I1043" i="2"/>
  <c r="J1043" i="2"/>
  <c r="K1043" i="2"/>
  <c r="L1043" i="2"/>
  <c r="M1043" i="2"/>
  <c r="N1043" i="2"/>
  <c r="O1043" i="2"/>
  <c r="B1044" i="2"/>
  <c r="C1044" i="2"/>
  <c r="D1044" i="2"/>
  <c r="E1044" i="2"/>
  <c r="F1044" i="2"/>
  <c r="G1044" i="2"/>
  <c r="H1044" i="2"/>
  <c r="I1044" i="2"/>
  <c r="J1044" i="2"/>
  <c r="K1044" i="2"/>
  <c r="L1044" i="2"/>
  <c r="M1044" i="2"/>
  <c r="N1044" i="2"/>
  <c r="O1044" i="2"/>
  <c r="B1045" i="2"/>
  <c r="C1045" i="2"/>
  <c r="D1045" i="2"/>
  <c r="E1045" i="2"/>
  <c r="F1045" i="2"/>
  <c r="G1045" i="2"/>
  <c r="H1045" i="2"/>
  <c r="I1045" i="2"/>
  <c r="J1045" i="2"/>
  <c r="K1045" i="2"/>
  <c r="L1045" i="2"/>
  <c r="M1045" i="2"/>
  <c r="N1045" i="2"/>
  <c r="O1045" i="2"/>
  <c r="B1046" i="2"/>
  <c r="C1046" i="2"/>
  <c r="D1046" i="2"/>
  <c r="E1046" i="2"/>
  <c r="F1046" i="2"/>
  <c r="G1046" i="2"/>
  <c r="H1046" i="2"/>
  <c r="I1046" i="2"/>
  <c r="J1046" i="2"/>
  <c r="K1046" i="2"/>
  <c r="L1046" i="2"/>
  <c r="M1046" i="2"/>
  <c r="N1046" i="2"/>
  <c r="O1046" i="2"/>
  <c r="B1047" i="2"/>
  <c r="C1047" i="2"/>
  <c r="D1047" i="2"/>
  <c r="E1047" i="2"/>
  <c r="F1047" i="2"/>
  <c r="G1047" i="2"/>
  <c r="H1047" i="2"/>
  <c r="I1047" i="2"/>
  <c r="J1047" i="2"/>
  <c r="K1047" i="2"/>
  <c r="L1047" i="2"/>
  <c r="M1047" i="2"/>
  <c r="N1047" i="2"/>
  <c r="O1047" i="2"/>
  <c r="B1048" i="2"/>
  <c r="C1048" i="2"/>
  <c r="D1048" i="2"/>
  <c r="E1048" i="2"/>
  <c r="F1048" i="2"/>
  <c r="G1048" i="2"/>
  <c r="H1048" i="2"/>
  <c r="I1048" i="2"/>
  <c r="J1048" i="2"/>
  <c r="K1048" i="2"/>
  <c r="L1048" i="2"/>
  <c r="M1048" i="2"/>
  <c r="N1048" i="2"/>
  <c r="O1048" i="2"/>
  <c r="B1049" i="2"/>
  <c r="C1049" i="2"/>
  <c r="D1049" i="2"/>
  <c r="E1049" i="2"/>
  <c r="F1049" i="2"/>
  <c r="G1049" i="2"/>
  <c r="H1049" i="2"/>
  <c r="I1049" i="2"/>
  <c r="J1049" i="2"/>
  <c r="K1049" i="2"/>
  <c r="L1049" i="2"/>
  <c r="M1049" i="2"/>
  <c r="N1049" i="2"/>
  <c r="O1049" i="2"/>
  <c r="B1050" i="2"/>
  <c r="C1050" i="2"/>
  <c r="D1050" i="2"/>
  <c r="E1050" i="2"/>
  <c r="F1050" i="2"/>
  <c r="G1050" i="2"/>
  <c r="H1050" i="2"/>
  <c r="I1050" i="2"/>
  <c r="J1050" i="2"/>
  <c r="K1050" i="2"/>
  <c r="L1050" i="2"/>
  <c r="M1050" i="2"/>
  <c r="N1050" i="2"/>
  <c r="O1050" i="2"/>
  <c r="B1051" i="2"/>
  <c r="C1051" i="2"/>
  <c r="D1051" i="2"/>
  <c r="E1051" i="2"/>
  <c r="F1051" i="2"/>
  <c r="G1051" i="2"/>
  <c r="H1051" i="2"/>
  <c r="I1051" i="2"/>
  <c r="J1051" i="2"/>
  <c r="K1051" i="2"/>
  <c r="L1051" i="2"/>
  <c r="M1051" i="2"/>
  <c r="N1051" i="2"/>
  <c r="O1051" i="2"/>
  <c r="B1052" i="2"/>
  <c r="C1052" i="2"/>
  <c r="D1052" i="2"/>
  <c r="E1052" i="2"/>
  <c r="F1052" i="2"/>
  <c r="G1052" i="2"/>
  <c r="H1052" i="2"/>
  <c r="I1052" i="2"/>
  <c r="J1052" i="2"/>
  <c r="K1052" i="2"/>
  <c r="L1052" i="2"/>
  <c r="M1052" i="2"/>
  <c r="N1052" i="2"/>
  <c r="O1052" i="2"/>
  <c r="B1053" i="2"/>
  <c r="C1053" i="2"/>
  <c r="D1053" i="2"/>
  <c r="E1053" i="2"/>
  <c r="F1053" i="2"/>
  <c r="G1053" i="2"/>
  <c r="H1053" i="2"/>
  <c r="I1053" i="2"/>
  <c r="J1053" i="2"/>
  <c r="K1053" i="2"/>
  <c r="L1053" i="2"/>
  <c r="M1053" i="2"/>
  <c r="N1053" i="2"/>
  <c r="O1053" i="2"/>
  <c r="B1054" i="2"/>
  <c r="C1054" i="2"/>
  <c r="D1054" i="2"/>
  <c r="E1054" i="2"/>
  <c r="F1054" i="2"/>
  <c r="G1054" i="2"/>
  <c r="H1054" i="2"/>
  <c r="I1054" i="2"/>
  <c r="J1054" i="2"/>
  <c r="K1054" i="2"/>
  <c r="L1054" i="2"/>
  <c r="M1054" i="2"/>
  <c r="N1054" i="2"/>
  <c r="O1054" i="2"/>
  <c r="B1055" i="2"/>
  <c r="C1055" i="2"/>
  <c r="D1055" i="2"/>
  <c r="E1055" i="2"/>
  <c r="F1055" i="2"/>
  <c r="G1055" i="2"/>
  <c r="H1055" i="2"/>
  <c r="I1055" i="2"/>
  <c r="J1055" i="2"/>
  <c r="K1055" i="2"/>
  <c r="L1055" i="2"/>
  <c r="M1055" i="2"/>
  <c r="N1055" i="2"/>
  <c r="O1055" i="2"/>
  <c r="B1056" i="2"/>
  <c r="C1056" i="2"/>
  <c r="D1056" i="2"/>
  <c r="E1056" i="2"/>
  <c r="F1056" i="2"/>
  <c r="G1056" i="2"/>
  <c r="H1056" i="2"/>
  <c r="I1056" i="2"/>
  <c r="J1056" i="2"/>
  <c r="K1056" i="2"/>
  <c r="L1056" i="2"/>
  <c r="M1056" i="2"/>
  <c r="N1056" i="2"/>
  <c r="O1056" i="2"/>
  <c r="B1057" i="2"/>
  <c r="C1057" i="2"/>
  <c r="D1057" i="2"/>
  <c r="E1057" i="2"/>
  <c r="F1057" i="2"/>
  <c r="G1057" i="2"/>
  <c r="H1057" i="2"/>
  <c r="I1057" i="2"/>
  <c r="J1057" i="2"/>
  <c r="K1057" i="2"/>
  <c r="L1057" i="2"/>
  <c r="M1057" i="2"/>
  <c r="N1057" i="2"/>
  <c r="O1057" i="2"/>
  <c r="B1058" i="2"/>
  <c r="C1058" i="2"/>
  <c r="D1058" i="2"/>
  <c r="E1058" i="2"/>
  <c r="F1058" i="2"/>
  <c r="G1058" i="2"/>
  <c r="H1058" i="2"/>
  <c r="I1058" i="2"/>
  <c r="J1058" i="2"/>
  <c r="K1058" i="2"/>
  <c r="L1058" i="2"/>
  <c r="M1058" i="2"/>
  <c r="N1058" i="2"/>
  <c r="O1058" i="2"/>
  <c r="B1059" i="2"/>
  <c r="C1059" i="2"/>
  <c r="D1059" i="2"/>
  <c r="E1059" i="2"/>
  <c r="F1059" i="2"/>
  <c r="G1059" i="2"/>
  <c r="H1059" i="2"/>
  <c r="I1059" i="2"/>
  <c r="J1059" i="2"/>
  <c r="K1059" i="2"/>
  <c r="L1059" i="2"/>
  <c r="M1059" i="2"/>
  <c r="N1059" i="2"/>
  <c r="O1059" i="2"/>
  <c r="B1060" i="2"/>
  <c r="C1060" i="2"/>
  <c r="D1060" i="2"/>
  <c r="E1060" i="2"/>
  <c r="F1060" i="2"/>
  <c r="G1060" i="2"/>
  <c r="H1060" i="2"/>
  <c r="I1060" i="2"/>
  <c r="J1060" i="2"/>
  <c r="K1060" i="2"/>
  <c r="L1060" i="2"/>
  <c r="M1060" i="2"/>
  <c r="N1060" i="2"/>
  <c r="O1060" i="2"/>
  <c r="B1061" i="2"/>
  <c r="C1061" i="2"/>
  <c r="D1061" i="2"/>
  <c r="E1061" i="2"/>
  <c r="F1061" i="2"/>
  <c r="G1061" i="2"/>
  <c r="H1061" i="2"/>
  <c r="I1061" i="2"/>
  <c r="J1061" i="2"/>
  <c r="K1061" i="2"/>
  <c r="L1061" i="2"/>
  <c r="M1061" i="2"/>
  <c r="N1061" i="2"/>
  <c r="O1061" i="2"/>
  <c r="B1062" i="2"/>
  <c r="C1062" i="2"/>
  <c r="D1062" i="2"/>
  <c r="E1062" i="2"/>
  <c r="F1062" i="2"/>
  <c r="G1062" i="2"/>
  <c r="H1062" i="2"/>
  <c r="I1062" i="2"/>
  <c r="J1062" i="2"/>
  <c r="K1062" i="2"/>
  <c r="L1062" i="2"/>
  <c r="M1062" i="2"/>
  <c r="N1062" i="2"/>
  <c r="O1062" i="2"/>
  <c r="B1063" i="2"/>
  <c r="C1063" i="2"/>
  <c r="D1063" i="2"/>
  <c r="E1063" i="2"/>
  <c r="F1063" i="2"/>
  <c r="G1063" i="2"/>
  <c r="H1063" i="2"/>
  <c r="I1063" i="2"/>
  <c r="J1063" i="2"/>
  <c r="K1063" i="2"/>
  <c r="L1063" i="2"/>
  <c r="M1063" i="2"/>
  <c r="N1063" i="2"/>
  <c r="O1063" i="2"/>
  <c r="B1064" i="2"/>
  <c r="C1064" i="2"/>
  <c r="D1064" i="2"/>
  <c r="E1064" i="2"/>
  <c r="F1064" i="2"/>
  <c r="G1064" i="2"/>
  <c r="H1064" i="2"/>
  <c r="I1064" i="2"/>
  <c r="J1064" i="2"/>
  <c r="K1064" i="2"/>
  <c r="L1064" i="2"/>
  <c r="M1064" i="2"/>
  <c r="N1064" i="2"/>
  <c r="O1064" i="2"/>
  <c r="B1065" i="2"/>
  <c r="C1065" i="2"/>
  <c r="D1065" i="2"/>
  <c r="E1065" i="2"/>
  <c r="F1065" i="2"/>
  <c r="G1065" i="2"/>
  <c r="H1065" i="2"/>
  <c r="I1065" i="2"/>
  <c r="J1065" i="2"/>
  <c r="K1065" i="2"/>
  <c r="L1065" i="2"/>
  <c r="M1065" i="2"/>
  <c r="N1065" i="2"/>
  <c r="O1065" i="2"/>
  <c r="B1066" i="2"/>
  <c r="C1066" i="2"/>
  <c r="D1066" i="2"/>
  <c r="E1066" i="2"/>
  <c r="F1066" i="2"/>
  <c r="G1066" i="2"/>
  <c r="H1066" i="2"/>
  <c r="I1066" i="2"/>
  <c r="J1066" i="2"/>
  <c r="K1066" i="2"/>
  <c r="L1066" i="2"/>
  <c r="M1066" i="2"/>
  <c r="N1066" i="2"/>
  <c r="O1066" i="2"/>
  <c r="B1067" i="2"/>
  <c r="C1067" i="2"/>
  <c r="D1067" i="2"/>
  <c r="E1067" i="2"/>
  <c r="F1067" i="2"/>
  <c r="G1067" i="2"/>
  <c r="H1067" i="2"/>
  <c r="I1067" i="2"/>
  <c r="J1067" i="2"/>
  <c r="K1067" i="2"/>
  <c r="L1067" i="2"/>
  <c r="M1067" i="2"/>
  <c r="N1067" i="2"/>
  <c r="O1067" i="2"/>
  <c r="B1068" i="2"/>
  <c r="C1068" i="2"/>
  <c r="D1068" i="2"/>
  <c r="E1068" i="2"/>
  <c r="F1068" i="2"/>
  <c r="G1068" i="2"/>
  <c r="H1068" i="2"/>
  <c r="I1068" i="2"/>
  <c r="J1068" i="2"/>
  <c r="K1068" i="2"/>
  <c r="L1068" i="2"/>
  <c r="M1068" i="2"/>
  <c r="N1068" i="2"/>
  <c r="O1068" i="2"/>
  <c r="B1069" i="2"/>
  <c r="C1069" i="2"/>
  <c r="D1069" i="2"/>
  <c r="E1069" i="2"/>
  <c r="F1069" i="2"/>
  <c r="G1069" i="2"/>
  <c r="H1069" i="2"/>
  <c r="I1069" i="2"/>
  <c r="J1069" i="2"/>
  <c r="K1069" i="2"/>
  <c r="L1069" i="2"/>
  <c r="M1069" i="2"/>
  <c r="N1069" i="2"/>
  <c r="O1069" i="2"/>
  <c r="B1071" i="2"/>
  <c r="C1071" i="2"/>
  <c r="D1071" i="2"/>
  <c r="E1071" i="2"/>
  <c r="F1071" i="2"/>
  <c r="G1071" i="2"/>
  <c r="H1071" i="2"/>
  <c r="I1071" i="2"/>
  <c r="J1071" i="2"/>
  <c r="K1071" i="2"/>
  <c r="L1071" i="2"/>
  <c r="M1071" i="2"/>
  <c r="N1071" i="2"/>
  <c r="O1071" i="2"/>
  <c r="B1072" i="2"/>
  <c r="C1072" i="2"/>
  <c r="D1072" i="2"/>
  <c r="E1072" i="2"/>
  <c r="F1072" i="2"/>
  <c r="G1072" i="2"/>
  <c r="H1072" i="2"/>
  <c r="I1072" i="2"/>
  <c r="J1072" i="2"/>
  <c r="K1072" i="2"/>
  <c r="L1072" i="2"/>
  <c r="M1072" i="2"/>
  <c r="N1072" i="2"/>
  <c r="O1072" i="2"/>
  <c r="B1073" i="2"/>
  <c r="C1073" i="2"/>
  <c r="D1073" i="2"/>
  <c r="E1073" i="2"/>
  <c r="F1073" i="2"/>
  <c r="G1073" i="2"/>
  <c r="H1073" i="2"/>
  <c r="I1073" i="2"/>
  <c r="J1073" i="2"/>
  <c r="K1073" i="2"/>
  <c r="L1073" i="2"/>
  <c r="M1073" i="2"/>
  <c r="N1073" i="2"/>
  <c r="O1073" i="2"/>
  <c r="B1074" i="2"/>
  <c r="C1074" i="2"/>
  <c r="D1074" i="2"/>
  <c r="E1074" i="2"/>
  <c r="F1074" i="2"/>
  <c r="G1074" i="2"/>
  <c r="H1074" i="2"/>
  <c r="I1074" i="2"/>
  <c r="J1074" i="2"/>
  <c r="K1074" i="2"/>
  <c r="L1074" i="2"/>
  <c r="M1074" i="2"/>
  <c r="N1074" i="2"/>
  <c r="O1074" i="2"/>
  <c r="B1075" i="2"/>
  <c r="C1075" i="2"/>
  <c r="D1075" i="2"/>
  <c r="E1075" i="2"/>
  <c r="F1075" i="2"/>
  <c r="G1075" i="2"/>
  <c r="H1075" i="2"/>
  <c r="I1075" i="2"/>
  <c r="J1075" i="2"/>
  <c r="K1075" i="2"/>
  <c r="L1075" i="2"/>
  <c r="M1075" i="2"/>
  <c r="N1075" i="2"/>
  <c r="O1075" i="2"/>
  <c r="B1076" i="2"/>
  <c r="C1076" i="2"/>
  <c r="D1076" i="2"/>
  <c r="E1076" i="2"/>
  <c r="F1076" i="2"/>
  <c r="G1076" i="2"/>
  <c r="H1076" i="2"/>
  <c r="I1076" i="2"/>
  <c r="J1076" i="2"/>
  <c r="K1076" i="2"/>
  <c r="L1076" i="2"/>
  <c r="M1076" i="2"/>
  <c r="N1076" i="2"/>
  <c r="O1076" i="2"/>
  <c r="B1077" i="2"/>
  <c r="C1077" i="2"/>
  <c r="D1077" i="2"/>
  <c r="E1077" i="2"/>
  <c r="F1077" i="2"/>
  <c r="G1077" i="2"/>
  <c r="H1077" i="2"/>
  <c r="I1077" i="2"/>
  <c r="J1077" i="2"/>
  <c r="K1077" i="2"/>
  <c r="L1077" i="2"/>
  <c r="M1077" i="2"/>
  <c r="N1077" i="2"/>
  <c r="O1077" i="2"/>
  <c r="B1078" i="2"/>
  <c r="C1078" i="2"/>
  <c r="D1078" i="2"/>
  <c r="E1078" i="2"/>
  <c r="F1078" i="2"/>
  <c r="G1078" i="2"/>
  <c r="H1078" i="2"/>
  <c r="I1078" i="2"/>
  <c r="J1078" i="2"/>
  <c r="K1078" i="2"/>
  <c r="L1078" i="2"/>
  <c r="M1078" i="2"/>
  <c r="N1078" i="2"/>
  <c r="O1078" i="2"/>
  <c r="B1079" i="2"/>
  <c r="C1079" i="2"/>
  <c r="D1079" i="2"/>
  <c r="E1079" i="2"/>
  <c r="F1079" i="2"/>
  <c r="G1079" i="2"/>
  <c r="H1079" i="2"/>
  <c r="I1079" i="2"/>
  <c r="J1079" i="2"/>
  <c r="K1079" i="2"/>
  <c r="L1079" i="2"/>
  <c r="M1079" i="2"/>
  <c r="N1079" i="2"/>
  <c r="O1079" i="2"/>
  <c r="B1080" i="2"/>
  <c r="C1080" i="2"/>
  <c r="D1080" i="2"/>
  <c r="E1080" i="2"/>
  <c r="F1080" i="2"/>
  <c r="G1080" i="2"/>
  <c r="H1080" i="2"/>
  <c r="I1080" i="2"/>
  <c r="J1080" i="2"/>
  <c r="K1080" i="2"/>
  <c r="L1080" i="2"/>
  <c r="M1080" i="2"/>
  <c r="N1080" i="2"/>
  <c r="O1080" i="2"/>
  <c r="B1081" i="2"/>
  <c r="C1081" i="2"/>
  <c r="D1081" i="2"/>
  <c r="E1081" i="2"/>
  <c r="F1081" i="2"/>
  <c r="G1081" i="2"/>
  <c r="H1081" i="2"/>
  <c r="I1081" i="2"/>
  <c r="J1081" i="2"/>
  <c r="K1081" i="2"/>
  <c r="L1081" i="2"/>
  <c r="M1081" i="2"/>
  <c r="N1081" i="2"/>
  <c r="O1081" i="2"/>
  <c r="B1082" i="2"/>
  <c r="C1082" i="2"/>
  <c r="D1082" i="2"/>
  <c r="E1082" i="2"/>
  <c r="F1082" i="2"/>
  <c r="G1082" i="2"/>
  <c r="H1082" i="2"/>
  <c r="I1082" i="2"/>
  <c r="J1082" i="2"/>
  <c r="K1082" i="2"/>
  <c r="L1082" i="2"/>
  <c r="M1082" i="2"/>
  <c r="N1082" i="2"/>
  <c r="O1082" i="2"/>
  <c r="B1083" i="2"/>
  <c r="C1083" i="2"/>
  <c r="D1083" i="2"/>
  <c r="E1083" i="2"/>
  <c r="F1083" i="2"/>
  <c r="G1083" i="2"/>
  <c r="H1083" i="2"/>
  <c r="I1083" i="2"/>
  <c r="J1083" i="2"/>
  <c r="K1083" i="2"/>
  <c r="L1083" i="2"/>
  <c r="M1083" i="2"/>
  <c r="N1083" i="2"/>
  <c r="O1083" i="2"/>
  <c r="B1084" i="2"/>
  <c r="C1084" i="2"/>
  <c r="D1084" i="2"/>
  <c r="E1084" i="2"/>
  <c r="F1084" i="2"/>
  <c r="G1084" i="2"/>
  <c r="H1084" i="2"/>
  <c r="I1084" i="2"/>
  <c r="J1084" i="2"/>
  <c r="K1084" i="2"/>
  <c r="L1084" i="2"/>
  <c r="M1084" i="2"/>
  <c r="N1084" i="2"/>
  <c r="O1084" i="2"/>
  <c r="B1085" i="2"/>
  <c r="C1085" i="2"/>
  <c r="D1085" i="2"/>
  <c r="E1085" i="2"/>
  <c r="F1085" i="2"/>
  <c r="G1085" i="2"/>
  <c r="H1085" i="2"/>
  <c r="I1085" i="2"/>
  <c r="J1085" i="2"/>
  <c r="K1085" i="2"/>
  <c r="L1085" i="2"/>
  <c r="M1085" i="2"/>
  <c r="N1085" i="2"/>
  <c r="O1085" i="2"/>
  <c r="B1086" i="2"/>
  <c r="C1086" i="2"/>
  <c r="D1086" i="2"/>
  <c r="E1086" i="2"/>
  <c r="F1086" i="2"/>
  <c r="G1086" i="2"/>
  <c r="H1086" i="2"/>
  <c r="I1086" i="2"/>
  <c r="J1086" i="2"/>
  <c r="K1086" i="2"/>
  <c r="L1086" i="2"/>
  <c r="M1086" i="2"/>
  <c r="N1086" i="2"/>
  <c r="O1086" i="2"/>
  <c r="B1087" i="2"/>
  <c r="C1087" i="2"/>
  <c r="D1087" i="2"/>
  <c r="E1087" i="2"/>
  <c r="F1087" i="2"/>
  <c r="G1087" i="2"/>
  <c r="H1087" i="2"/>
  <c r="I1087" i="2"/>
  <c r="J1087" i="2"/>
  <c r="K1087" i="2"/>
  <c r="L1087" i="2"/>
  <c r="M1087" i="2"/>
  <c r="N1087" i="2"/>
  <c r="O1087" i="2"/>
  <c r="B1088" i="2"/>
  <c r="C1088" i="2"/>
  <c r="D1088" i="2"/>
  <c r="E1088" i="2"/>
  <c r="F1088" i="2"/>
  <c r="G1088" i="2"/>
  <c r="H1088" i="2"/>
  <c r="I1088" i="2"/>
  <c r="J1088" i="2"/>
  <c r="K1088" i="2"/>
  <c r="L1088" i="2"/>
  <c r="M1088" i="2"/>
  <c r="N1088" i="2"/>
  <c r="O1088" i="2"/>
  <c r="B1089" i="2"/>
  <c r="C1089" i="2"/>
  <c r="D1089" i="2"/>
  <c r="E1089" i="2"/>
  <c r="F1089" i="2"/>
  <c r="G1089" i="2"/>
  <c r="H1089" i="2"/>
  <c r="I1089" i="2"/>
  <c r="J1089" i="2"/>
  <c r="K1089" i="2"/>
  <c r="L1089" i="2"/>
  <c r="M1089" i="2"/>
  <c r="N1089" i="2"/>
  <c r="O1089" i="2"/>
  <c r="B1090" i="2"/>
  <c r="C1090" i="2"/>
  <c r="D1090" i="2"/>
  <c r="E1090" i="2"/>
  <c r="F1090" i="2"/>
  <c r="G1090" i="2"/>
  <c r="H1090" i="2"/>
  <c r="I1090" i="2"/>
  <c r="J1090" i="2"/>
  <c r="K1090" i="2"/>
  <c r="L1090" i="2"/>
  <c r="M1090" i="2"/>
  <c r="N1090" i="2"/>
  <c r="O1090" i="2"/>
  <c r="B1091" i="2"/>
  <c r="C1091" i="2"/>
  <c r="D1091" i="2"/>
  <c r="E1091" i="2"/>
  <c r="F1091" i="2"/>
  <c r="G1091" i="2"/>
  <c r="H1091" i="2"/>
  <c r="I1091" i="2"/>
  <c r="J1091" i="2"/>
  <c r="K1091" i="2"/>
  <c r="L1091" i="2"/>
  <c r="M1091" i="2"/>
  <c r="N1091" i="2"/>
  <c r="O1091" i="2"/>
  <c r="B1092" i="2"/>
  <c r="C1092" i="2"/>
  <c r="D1092" i="2"/>
  <c r="E1092" i="2"/>
  <c r="F1092" i="2"/>
  <c r="G1092" i="2"/>
  <c r="H1092" i="2"/>
  <c r="I1092" i="2"/>
  <c r="J1092" i="2"/>
  <c r="K1092" i="2"/>
  <c r="L1092" i="2"/>
  <c r="M1092" i="2"/>
  <c r="N1092" i="2"/>
  <c r="O1092" i="2"/>
  <c r="B1093" i="2"/>
  <c r="C1093" i="2"/>
  <c r="D1093" i="2"/>
  <c r="E1093" i="2"/>
  <c r="F1093" i="2"/>
  <c r="G1093" i="2"/>
  <c r="H1093" i="2"/>
  <c r="I1093" i="2"/>
  <c r="J1093" i="2"/>
  <c r="K1093" i="2"/>
  <c r="L1093" i="2"/>
  <c r="M1093" i="2"/>
  <c r="N1093" i="2"/>
  <c r="O1093" i="2"/>
  <c r="B1094" i="2"/>
  <c r="C1094" i="2"/>
  <c r="D1094" i="2"/>
  <c r="E1094" i="2"/>
  <c r="F1094" i="2"/>
  <c r="G1094" i="2"/>
  <c r="H1094" i="2"/>
  <c r="I1094" i="2"/>
  <c r="J1094" i="2"/>
  <c r="K1094" i="2"/>
  <c r="L1094" i="2"/>
  <c r="M1094" i="2"/>
  <c r="N1094" i="2"/>
  <c r="O1094" i="2"/>
  <c r="B1095" i="2"/>
  <c r="C1095" i="2"/>
  <c r="D1095" i="2"/>
  <c r="E1095" i="2"/>
  <c r="F1095" i="2"/>
  <c r="G1095" i="2"/>
  <c r="H1095" i="2"/>
  <c r="I1095" i="2"/>
  <c r="J1095" i="2"/>
  <c r="K1095" i="2"/>
  <c r="L1095" i="2"/>
  <c r="M1095" i="2"/>
  <c r="N1095" i="2"/>
  <c r="O1095" i="2"/>
  <c r="B1096" i="2"/>
  <c r="C1096" i="2"/>
  <c r="D1096" i="2"/>
  <c r="E1096" i="2"/>
  <c r="F1096" i="2"/>
  <c r="G1096" i="2"/>
  <c r="H1096" i="2"/>
  <c r="I1096" i="2"/>
  <c r="J1096" i="2"/>
  <c r="K1096" i="2"/>
  <c r="L1096" i="2"/>
  <c r="M1096" i="2"/>
  <c r="N1096" i="2"/>
  <c r="O1096" i="2"/>
  <c r="B1097" i="2"/>
  <c r="C1097" i="2"/>
  <c r="D1097" i="2"/>
  <c r="E1097" i="2"/>
  <c r="F1097" i="2"/>
  <c r="G1097" i="2"/>
  <c r="H1097" i="2"/>
  <c r="I1097" i="2"/>
  <c r="J1097" i="2"/>
  <c r="K1097" i="2"/>
  <c r="L1097" i="2"/>
  <c r="M1097" i="2"/>
  <c r="N1097" i="2"/>
  <c r="O1097" i="2"/>
  <c r="B1098" i="2"/>
  <c r="C1098" i="2"/>
  <c r="D1098" i="2"/>
  <c r="E1098" i="2"/>
  <c r="F1098" i="2"/>
  <c r="G1098" i="2"/>
  <c r="H1098" i="2"/>
  <c r="I1098" i="2"/>
  <c r="J1098" i="2"/>
  <c r="K1098" i="2"/>
  <c r="L1098" i="2"/>
  <c r="M1098" i="2"/>
  <c r="N1098" i="2"/>
  <c r="O1098" i="2"/>
  <c r="B1099" i="2"/>
  <c r="C1099" i="2"/>
  <c r="D1099" i="2"/>
  <c r="E1099" i="2"/>
  <c r="F1099" i="2"/>
  <c r="G1099" i="2"/>
  <c r="H1099" i="2"/>
  <c r="I1099" i="2"/>
  <c r="J1099" i="2"/>
  <c r="K1099" i="2"/>
  <c r="L1099" i="2"/>
  <c r="M1099" i="2"/>
  <c r="N1099" i="2"/>
  <c r="O1099" i="2"/>
  <c r="B1100" i="2"/>
  <c r="C1100" i="2"/>
  <c r="D1100" i="2"/>
  <c r="E1100" i="2"/>
  <c r="F1100" i="2"/>
  <c r="G1100" i="2"/>
  <c r="H1100" i="2"/>
  <c r="I1100" i="2"/>
  <c r="J1100" i="2"/>
  <c r="K1100" i="2"/>
  <c r="L1100" i="2"/>
  <c r="M1100" i="2"/>
  <c r="N1100" i="2"/>
  <c r="O1100" i="2"/>
  <c r="B1101" i="2"/>
  <c r="C1101" i="2"/>
  <c r="D1101" i="2"/>
  <c r="E1101" i="2"/>
  <c r="F1101" i="2"/>
  <c r="G1101" i="2"/>
  <c r="H1101" i="2"/>
  <c r="I1101" i="2"/>
  <c r="J1101" i="2"/>
  <c r="K1101" i="2"/>
  <c r="L1101" i="2"/>
  <c r="M1101" i="2"/>
  <c r="N1101" i="2"/>
  <c r="O1101" i="2"/>
  <c r="B1102" i="2"/>
  <c r="C1102" i="2"/>
  <c r="D1102" i="2"/>
  <c r="E1102" i="2"/>
  <c r="F1102" i="2"/>
  <c r="G1102" i="2"/>
  <c r="H1102" i="2"/>
  <c r="I1102" i="2"/>
  <c r="J1102" i="2"/>
  <c r="K1102" i="2"/>
  <c r="L1102" i="2"/>
  <c r="M1102" i="2"/>
  <c r="N1102" i="2"/>
  <c r="O1102" i="2"/>
  <c r="B1103" i="2"/>
  <c r="C1103" i="2"/>
  <c r="D1103" i="2"/>
  <c r="E1103" i="2"/>
  <c r="F1103" i="2"/>
  <c r="G1103" i="2"/>
  <c r="H1103" i="2"/>
  <c r="I1103" i="2"/>
  <c r="J1103" i="2"/>
  <c r="K1103" i="2"/>
  <c r="L1103" i="2"/>
  <c r="M1103" i="2"/>
  <c r="N1103" i="2"/>
  <c r="O1103" i="2"/>
  <c r="B1104" i="2"/>
  <c r="C1104" i="2"/>
  <c r="D1104" i="2"/>
  <c r="E1104" i="2"/>
  <c r="F1104" i="2"/>
  <c r="G1104" i="2"/>
  <c r="H1104" i="2"/>
  <c r="I1104" i="2"/>
  <c r="J1104" i="2"/>
  <c r="K1104" i="2"/>
  <c r="L1104" i="2"/>
  <c r="M1104" i="2"/>
  <c r="N1104" i="2"/>
  <c r="O1104" i="2"/>
  <c r="B1105" i="2"/>
  <c r="C1105" i="2"/>
  <c r="D1105" i="2"/>
  <c r="E1105" i="2"/>
  <c r="F1105" i="2"/>
  <c r="G1105" i="2"/>
  <c r="H1105" i="2"/>
  <c r="I1105" i="2"/>
  <c r="J1105" i="2"/>
  <c r="K1105" i="2"/>
  <c r="L1105" i="2"/>
  <c r="M1105" i="2"/>
  <c r="N1105" i="2"/>
  <c r="O1105" i="2"/>
  <c r="B1106" i="2"/>
  <c r="C1106" i="2"/>
  <c r="D1106" i="2"/>
  <c r="E1106" i="2"/>
  <c r="F1106" i="2"/>
  <c r="G1106" i="2"/>
  <c r="H1106" i="2"/>
  <c r="I1106" i="2"/>
  <c r="J1106" i="2"/>
  <c r="K1106" i="2"/>
  <c r="L1106" i="2"/>
  <c r="M1106" i="2"/>
  <c r="N1106" i="2"/>
  <c r="O1106" i="2"/>
  <c r="B1107" i="2"/>
  <c r="C1107" i="2"/>
  <c r="D1107" i="2"/>
  <c r="E1107" i="2"/>
  <c r="F1107" i="2"/>
  <c r="G1107" i="2"/>
  <c r="H1107" i="2"/>
  <c r="I1107" i="2"/>
  <c r="J1107" i="2"/>
  <c r="K1107" i="2"/>
  <c r="L1107" i="2"/>
  <c r="M1107" i="2"/>
  <c r="N1107" i="2"/>
  <c r="O1107" i="2"/>
  <c r="B1108" i="2"/>
  <c r="C1108" i="2"/>
  <c r="D1108" i="2"/>
  <c r="E1108" i="2"/>
  <c r="F1108" i="2"/>
  <c r="G1108" i="2"/>
  <c r="H1108" i="2"/>
  <c r="I1108" i="2"/>
  <c r="J1108" i="2"/>
  <c r="K1108" i="2"/>
  <c r="L1108" i="2"/>
  <c r="M1108" i="2"/>
  <c r="N1108" i="2"/>
  <c r="O1108" i="2"/>
  <c r="B1109" i="2"/>
  <c r="C1109" i="2"/>
  <c r="D1109" i="2"/>
  <c r="E1109" i="2"/>
  <c r="F1109" i="2"/>
  <c r="G1109" i="2"/>
  <c r="H1109" i="2"/>
  <c r="I1109" i="2"/>
  <c r="J1109" i="2"/>
  <c r="K1109" i="2"/>
  <c r="L1109" i="2"/>
  <c r="M1109" i="2"/>
  <c r="N1109" i="2"/>
  <c r="O1109" i="2"/>
  <c r="B1110" i="2"/>
  <c r="C1110" i="2"/>
  <c r="D1110" i="2"/>
  <c r="E1110" i="2"/>
  <c r="F1110" i="2"/>
  <c r="G1110" i="2"/>
  <c r="H1110" i="2"/>
  <c r="I1110" i="2"/>
  <c r="J1110" i="2"/>
  <c r="K1110" i="2"/>
  <c r="L1110" i="2"/>
  <c r="M1110" i="2"/>
  <c r="N1110" i="2"/>
  <c r="O1110" i="2"/>
  <c r="B1111" i="2"/>
  <c r="C1111" i="2"/>
  <c r="D1111" i="2"/>
  <c r="E1111" i="2"/>
  <c r="F1111" i="2"/>
  <c r="G1111" i="2"/>
  <c r="H1111" i="2"/>
  <c r="I1111" i="2"/>
  <c r="J1111" i="2"/>
  <c r="K1111" i="2"/>
  <c r="L1111" i="2"/>
  <c r="M1111" i="2"/>
  <c r="N1111" i="2"/>
  <c r="O1111" i="2"/>
  <c r="B1112" i="2"/>
  <c r="C1112" i="2"/>
  <c r="D1112" i="2"/>
  <c r="E1112" i="2"/>
  <c r="F1112" i="2"/>
  <c r="G1112" i="2"/>
  <c r="H1112" i="2"/>
  <c r="I1112" i="2"/>
  <c r="J1112" i="2"/>
  <c r="K1112" i="2"/>
  <c r="L1112" i="2"/>
  <c r="M1112" i="2"/>
  <c r="N1112" i="2"/>
  <c r="O1112" i="2"/>
  <c r="B1113" i="2"/>
  <c r="C1113" i="2"/>
  <c r="D1113" i="2"/>
  <c r="E1113" i="2"/>
  <c r="F1113" i="2"/>
  <c r="G1113" i="2"/>
  <c r="H1113" i="2"/>
  <c r="I1113" i="2"/>
  <c r="J1113" i="2"/>
  <c r="K1113" i="2"/>
  <c r="L1113" i="2"/>
  <c r="M1113" i="2"/>
  <c r="N1113" i="2"/>
  <c r="O1113" i="2"/>
  <c r="B1114" i="2"/>
  <c r="C1114" i="2"/>
  <c r="D1114" i="2"/>
  <c r="E1114" i="2"/>
  <c r="F1114" i="2"/>
  <c r="G1114" i="2"/>
  <c r="H1114" i="2"/>
  <c r="I1114" i="2"/>
  <c r="J1114" i="2"/>
  <c r="K1114" i="2"/>
  <c r="L1114" i="2"/>
  <c r="M1114" i="2"/>
  <c r="N1114" i="2"/>
  <c r="O1114" i="2"/>
  <c r="B1115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B1116" i="2"/>
  <c r="C1116" i="2"/>
  <c r="D1116" i="2"/>
  <c r="E1116" i="2"/>
  <c r="F1116" i="2"/>
  <c r="G1116" i="2"/>
  <c r="H1116" i="2"/>
  <c r="I1116" i="2"/>
  <c r="J1116" i="2"/>
  <c r="K1116" i="2"/>
  <c r="L1116" i="2"/>
  <c r="M1116" i="2"/>
  <c r="N1116" i="2"/>
  <c r="O1116" i="2"/>
  <c r="B1117" i="2"/>
  <c r="C1117" i="2"/>
  <c r="D1117" i="2"/>
  <c r="E1117" i="2"/>
  <c r="F1117" i="2"/>
  <c r="G1117" i="2"/>
  <c r="H1117" i="2"/>
  <c r="I1117" i="2"/>
  <c r="J1117" i="2"/>
  <c r="K1117" i="2"/>
  <c r="L1117" i="2"/>
  <c r="M1117" i="2"/>
  <c r="N1117" i="2"/>
  <c r="O1117" i="2"/>
  <c r="B1118" i="2"/>
  <c r="C1118" i="2"/>
  <c r="D1118" i="2"/>
  <c r="E1118" i="2"/>
  <c r="F1118" i="2"/>
  <c r="G1118" i="2"/>
  <c r="H1118" i="2"/>
  <c r="I1118" i="2"/>
  <c r="J1118" i="2"/>
  <c r="K1118" i="2"/>
  <c r="L1118" i="2"/>
  <c r="M1118" i="2"/>
  <c r="N1118" i="2"/>
  <c r="O1118" i="2"/>
  <c r="B1119" i="2"/>
  <c r="C1119" i="2"/>
  <c r="D1119" i="2"/>
  <c r="E1119" i="2"/>
  <c r="F1119" i="2"/>
  <c r="G1119" i="2"/>
  <c r="H1119" i="2"/>
  <c r="I1119" i="2"/>
  <c r="J1119" i="2"/>
  <c r="K1119" i="2"/>
  <c r="L1119" i="2"/>
  <c r="M1119" i="2"/>
  <c r="N1119" i="2"/>
  <c r="O1119" i="2"/>
  <c r="B1120" i="2"/>
  <c r="C1120" i="2"/>
  <c r="D1120" i="2"/>
  <c r="E1120" i="2"/>
  <c r="F1120" i="2"/>
  <c r="G1120" i="2"/>
  <c r="H1120" i="2"/>
  <c r="I1120" i="2"/>
  <c r="J1120" i="2"/>
  <c r="K1120" i="2"/>
  <c r="L1120" i="2"/>
  <c r="M1120" i="2"/>
  <c r="N1120" i="2"/>
  <c r="O1120" i="2"/>
  <c r="B1121" i="2"/>
  <c r="C1121" i="2"/>
  <c r="D1121" i="2"/>
  <c r="E1121" i="2"/>
  <c r="F1121" i="2"/>
  <c r="G1121" i="2"/>
  <c r="H1121" i="2"/>
  <c r="I1121" i="2"/>
  <c r="J1121" i="2"/>
  <c r="K1121" i="2"/>
  <c r="L1121" i="2"/>
  <c r="M1121" i="2"/>
  <c r="N1121" i="2"/>
  <c r="O1121" i="2"/>
  <c r="B1122" i="2"/>
  <c r="C1122" i="2"/>
  <c r="D1122" i="2"/>
  <c r="E1122" i="2"/>
  <c r="F1122" i="2"/>
  <c r="G1122" i="2"/>
  <c r="H1122" i="2"/>
  <c r="I1122" i="2"/>
  <c r="J1122" i="2"/>
  <c r="K1122" i="2"/>
  <c r="L1122" i="2"/>
  <c r="M1122" i="2"/>
  <c r="N1122" i="2"/>
  <c r="O1122" i="2"/>
  <c r="B1123" i="2"/>
  <c r="C1123" i="2"/>
  <c r="D1123" i="2"/>
  <c r="E1123" i="2"/>
  <c r="F1123" i="2"/>
  <c r="G1123" i="2"/>
  <c r="H1123" i="2"/>
  <c r="I1123" i="2"/>
  <c r="J1123" i="2"/>
  <c r="K1123" i="2"/>
  <c r="L1123" i="2"/>
  <c r="M1123" i="2"/>
  <c r="N1123" i="2"/>
  <c r="O1123" i="2"/>
  <c r="B1124" i="2"/>
  <c r="C1124" i="2"/>
  <c r="D1124" i="2"/>
  <c r="E1124" i="2"/>
  <c r="F1124" i="2"/>
  <c r="G1124" i="2"/>
  <c r="H1124" i="2"/>
  <c r="I1124" i="2"/>
  <c r="J1124" i="2"/>
  <c r="K1124" i="2"/>
  <c r="L1124" i="2"/>
  <c r="M1124" i="2"/>
  <c r="N1124" i="2"/>
  <c r="O1124" i="2"/>
  <c r="B1125" i="2"/>
  <c r="C1125" i="2"/>
  <c r="D1125" i="2"/>
  <c r="E1125" i="2"/>
  <c r="F1125" i="2"/>
  <c r="G1125" i="2"/>
  <c r="H1125" i="2"/>
  <c r="I1125" i="2"/>
  <c r="J1125" i="2"/>
  <c r="K1125" i="2"/>
  <c r="L1125" i="2"/>
  <c r="M1125" i="2"/>
  <c r="N1125" i="2"/>
  <c r="O1125" i="2"/>
  <c r="B1126" i="2"/>
  <c r="C1126" i="2"/>
  <c r="D1126" i="2"/>
  <c r="E1126" i="2"/>
  <c r="F1126" i="2"/>
  <c r="G1126" i="2"/>
  <c r="H1126" i="2"/>
  <c r="I1126" i="2"/>
  <c r="J1126" i="2"/>
  <c r="K1126" i="2"/>
  <c r="L1126" i="2"/>
  <c r="M1126" i="2"/>
  <c r="N1126" i="2"/>
  <c r="O1126" i="2"/>
  <c r="B1127" i="2"/>
  <c r="C1127" i="2"/>
  <c r="D1127" i="2"/>
  <c r="E1127" i="2"/>
  <c r="F1127" i="2"/>
  <c r="G1127" i="2"/>
  <c r="H1127" i="2"/>
  <c r="I1127" i="2"/>
  <c r="J1127" i="2"/>
  <c r="K1127" i="2"/>
  <c r="L1127" i="2"/>
  <c r="M1127" i="2"/>
  <c r="N1127" i="2"/>
  <c r="O1127" i="2"/>
  <c r="B1128" i="2"/>
  <c r="C1128" i="2"/>
  <c r="D1128" i="2"/>
  <c r="E1128" i="2"/>
  <c r="F1128" i="2"/>
  <c r="G1128" i="2"/>
  <c r="H1128" i="2"/>
  <c r="I1128" i="2"/>
  <c r="J1128" i="2"/>
  <c r="K1128" i="2"/>
  <c r="L1128" i="2"/>
  <c r="M1128" i="2"/>
  <c r="N1128" i="2"/>
  <c r="O1128" i="2"/>
  <c r="B1129" i="2"/>
  <c r="C1129" i="2"/>
  <c r="D1129" i="2"/>
  <c r="E1129" i="2"/>
  <c r="F1129" i="2"/>
  <c r="G1129" i="2"/>
  <c r="H1129" i="2"/>
  <c r="I1129" i="2"/>
  <c r="J1129" i="2"/>
  <c r="K1129" i="2"/>
  <c r="L1129" i="2"/>
  <c r="M1129" i="2"/>
  <c r="N1129" i="2"/>
  <c r="O1129" i="2"/>
  <c r="B1130" i="2"/>
  <c r="C1130" i="2"/>
  <c r="D1130" i="2"/>
  <c r="E1130" i="2"/>
  <c r="F1130" i="2"/>
  <c r="G1130" i="2"/>
  <c r="H1130" i="2"/>
  <c r="I1130" i="2"/>
  <c r="J1130" i="2"/>
  <c r="K1130" i="2"/>
  <c r="L1130" i="2"/>
  <c r="M1130" i="2"/>
  <c r="N1130" i="2"/>
  <c r="O1130" i="2"/>
  <c r="B1131" i="2"/>
  <c r="C1131" i="2"/>
  <c r="D1131" i="2"/>
  <c r="E1131" i="2"/>
  <c r="F1131" i="2"/>
  <c r="G1131" i="2"/>
  <c r="H1131" i="2"/>
  <c r="I1131" i="2"/>
  <c r="J1131" i="2"/>
  <c r="K1131" i="2"/>
  <c r="L1131" i="2"/>
  <c r="M1131" i="2"/>
  <c r="N1131" i="2"/>
  <c r="O1131" i="2"/>
  <c r="B1132" i="2"/>
  <c r="C1132" i="2"/>
  <c r="D1132" i="2"/>
  <c r="E1132" i="2"/>
  <c r="F1132" i="2"/>
  <c r="G1132" i="2"/>
  <c r="H1132" i="2"/>
  <c r="I1132" i="2"/>
  <c r="J1132" i="2"/>
  <c r="K1132" i="2"/>
  <c r="L1132" i="2"/>
  <c r="M1132" i="2"/>
  <c r="N1132" i="2"/>
  <c r="O1132" i="2"/>
  <c r="B1133" i="2"/>
  <c r="C1133" i="2"/>
  <c r="D1133" i="2"/>
  <c r="E1133" i="2"/>
  <c r="F1133" i="2"/>
  <c r="G1133" i="2"/>
  <c r="H1133" i="2"/>
  <c r="I1133" i="2"/>
  <c r="J1133" i="2"/>
  <c r="K1133" i="2"/>
  <c r="L1133" i="2"/>
  <c r="M1133" i="2"/>
  <c r="N1133" i="2"/>
  <c r="O1133" i="2"/>
  <c r="B1134" i="2"/>
  <c r="C1134" i="2"/>
  <c r="D1134" i="2"/>
  <c r="E1134" i="2"/>
  <c r="F1134" i="2"/>
  <c r="G1134" i="2"/>
  <c r="H1134" i="2"/>
  <c r="I1134" i="2"/>
  <c r="J1134" i="2"/>
  <c r="K1134" i="2"/>
  <c r="L1134" i="2"/>
  <c r="M1134" i="2"/>
  <c r="N1134" i="2"/>
  <c r="O1134" i="2"/>
  <c r="B1135" i="2"/>
  <c r="C1135" i="2"/>
  <c r="D1135" i="2"/>
  <c r="E1135" i="2"/>
  <c r="F1135" i="2"/>
  <c r="G1135" i="2"/>
  <c r="H1135" i="2"/>
  <c r="I1135" i="2"/>
  <c r="J1135" i="2"/>
  <c r="K1135" i="2"/>
  <c r="L1135" i="2"/>
  <c r="M1135" i="2"/>
  <c r="N1135" i="2"/>
  <c r="O1135" i="2"/>
  <c r="B1136" i="2"/>
  <c r="C1136" i="2"/>
  <c r="D1136" i="2"/>
  <c r="E1136" i="2"/>
  <c r="F1136" i="2"/>
  <c r="G1136" i="2"/>
  <c r="H1136" i="2"/>
  <c r="I1136" i="2"/>
  <c r="J1136" i="2"/>
  <c r="K1136" i="2"/>
  <c r="L1136" i="2"/>
  <c r="M1136" i="2"/>
  <c r="N1136" i="2"/>
  <c r="O1136" i="2"/>
  <c r="B1137" i="2"/>
  <c r="C1137" i="2"/>
  <c r="D1137" i="2"/>
  <c r="E1137" i="2"/>
  <c r="F1137" i="2"/>
  <c r="G1137" i="2"/>
  <c r="H1137" i="2"/>
  <c r="I1137" i="2"/>
  <c r="J1137" i="2"/>
  <c r="K1137" i="2"/>
  <c r="L1137" i="2"/>
  <c r="M1137" i="2"/>
  <c r="N1137" i="2"/>
  <c r="O1137" i="2"/>
  <c r="B1138" i="2"/>
  <c r="C1138" i="2"/>
  <c r="D1138" i="2"/>
  <c r="E1138" i="2"/>
  <c r="F1138" i="2"/>
  <c r="G1138" i="2"/>
  <c r="H1138" i="2"/>
  <c r="I1138" i="2"/>
  <c r="J1138" i="2"/>
  <c r="K1138" i="2"/>
  <c r="L1138" i="2"/>
  <c r="M1138" i="2"/>
  <c r="N1138" i="2"/>
  <c r="O1138" i="2"/>
  <c r="B1139" i="2"/>
  <c r="C1139" i="2"/>
  <c r="D1139" i="2"/>
  <c r="E1139" i="2"/>
  <c r="F1139" i="2"/>
  <c r="G1139" i="2"/>
  <c r="H1139" i="2"/>
  <c r="I1139" i="2"/>
  <c r="J1139" i="2"/>
  <c r="K1139" i="2"/>
  <c r="L1139" i="2"/>
  <c r="M1139" i="2"/>
  <c r="N1139" i="2"/>
  <c r="O1139" i="2"/>
  <c r="B1140" i="2"/>
  <c r="C1140" i="2"/>
  <c r="D1140" i="2"/>
  <c r="E1140" i="2"/>
  <c r="F1140" i="2"/>
  <c r="G1140" i="2"/>
  <c r="H1140" i="2"/>
  <c r="I1140" i="2"/>
  <c r="J1140" i="2"/>
  <c r="K1140" i="2"/>
  <c r="L1140" i="2"/>
  <c r="M1140" i="2"/>
  <c r="N1140" i="2"/>
  <c r="O1140" i="2"/>
  <c r="B1141" i="2"/>
  <c r="C1141" i="2"/>
  <c r="D1141" i="2"/>
  <c r="E1141" i="2"/>
  <c r="F1141" i="2"/>
  <c r="G1141" i="2"/>
  <c r="H1141" i="2"/>
  <c r="I1141" i="2"/>
  <c r="J1141" i="2"/>
  <c r="K1141" i="2"/>
  <c r="L1141" i="2"/>
  <c r="M1141" i="2"/>
  <c r="N1141" i="2"/>
  <c r="O1141" i="2"/>
  <c r="B1142" i="2"/>
  <c r="C1142" i="2"/>
  <c r="D1142" i="2"/>
  <c r="E1142" i="2"/>
  <c r="F1142" i="2"/>
  <c r="G1142" i="2"/>
  <c r="H1142" i="2"/>
  <c r="I1142" i="2"/>
  <c r="J1142" i="2"/>
  <c r="K1142" i="2"/>
  <c r="L1142" i="2"/>
  <c r="M1142" i="2"/>
  <c r="N1142" i="2"/>
  <c r="O1142" i="2"/>
  <c r="B1143" i="2"/>
  <c r="C1143" i="2"/>
  <c r="D1143" i="2"/>
  <c r="E1143" i="2"/>
  <c r="F1143" i="2"/>
  <c r="G1143" i="2"/>
  <c r="H1143" i="2"/>
  <c r="I1143" i="2"/>
  <c r="J1143" i="2"/>
  <c r="K1143" i="2"/>
  <c r="L1143" i="2"/>
  <c r="M1143" i="2"/>
  <c r="N1143" i="2"/>
  <c r="O1143" i="2"/>
  <c r="B1144" i="2"/>
  <c r="C1144" i="2"/>
  <c r="D1144" i="2"/>
  <c r="E1144" i="2"/>
  <c r="F1144" i="2"/>
  <c r="G1144" i="2"/>
  <c r="H1144" i="2"/>
  <c r="I1144" i="2"/>
  <c r="J1144" i="2"/>
  <c r="K1144" i="2"/>
  <c r="L1144" i="2"/>
  <c r="M1144" i="2"/>
  <c r="N1144" i="2"/>
  <c r="O1144" i="2"/>
  <c r="B1145" i="2"/>
  <c r="C1145" i="2"/>
  <c r="D1145" i="2"/>
  <c r="E1145" i="2"/>
  <c r="F1145" i="2"/>
  <c r="G1145" i="2"/>
  <c r="H1145" i="2"/>
  <c r="I1145" i="2"/>
  <c r="J1145" i="2"/>
  <c r="K1145" i="2"/>
  <c r="L1145" i="2"/>
  <c r="M1145" i="2"/>
  <c r="N1145" i="2"/>
  <c r="O1145" i="2"/>
  <c r="B1146" i="2"/>
  <c r="C1146" i="2"/>
  <c r="D1146" i="2"/>
  <c r="E1146" i="2"/>
  <c r="F1146" i="2"/>
  <c r="G1146" i="2"/>
  <c r="H1146" i="2"/>
  <c r="I1146" i="2"/>
  <c r="J1146" i="2"/>
  <c r="K1146" i="2"/>
  <c r="L1146" i="2"/>
  <c r="M1146" i="2"/>
  <c r="N1146" i="2"/>
  <c r="O1146" i="2"/>
  <c r="B1147" i="2"/>
  <c r="C1147" i="2"/>
  <c r="D1147" i="2"/>
  <c r="E1147" i="2"/>
  <c r="F1147" i="2"/>
  <c r="G1147" i="2"/>
  <c r="H1147" i="2"/>
  <c r="I1147" i="2"/>
  <c r="J1147" i="2"/>
  <c r="K1147" i="2"/>
  <c r="L1147" i="2"/>
  <c r="M1147" i="2"/>
  <c r="N1147" i="2"/>
  <c r="O1147" i="2"/>
  <c r="B1148" i="2"/>
  <c r="C1148" i="2"/>
  <c r="D1148" i="2"/>
  <c r="E1148" i="2"/>
  <c r="F1148" i="2"/>
  <c r="G1148" i="2"/>
  <c r="H1148" i="2"/>
  <c r="I1148" i="2"/>
  <c r="J1148" i="2"/>
  <c r="K1148" i="2"/>
  <c r="L1148" i="2"/>
  <c r="M1148" i="2"/>
  <c r="N1148" i="2"/>
  <c r="O1148" i="2"/>
  <c r="B1149" i="2"/>
  <c r="C1149" i="2"/>
  <c r="D1149" i="2"/>
  <c r="E1149" i="2"/>
  <c r="F1149" i="2"/>
  <c r="G1149" i="2"/>
  <c r="H1149" i="2"/>
  <c r="I1149" i="2"/>
  <c r="J1149" i="2"/>
  <c r="K1149" i="2"/>
  <c r="L1149" i="2"/>
  <c r="M1149" i="2"/>
  <c r="N1149" i="2"/>
  <c r="O1149" i="2"/>
  <c r="B1150" i="2"/>
  <c r="C1150" i="2"/>
  <c r="D1150" i="2"/>
  <c r="E1150" i="2"/>
  <c r="F1150" i="2"/>
  <c r="G1150" i="2"/>
  <c r="H1150" i="2"/>
  <c r="I1150" i="2"/>
  <c r="J1150" i="2"/>
  <c r="K1150" i="2"/>
  <c r="L1150" i="2"/>
  <c r="M1150" i="2"/>
  <c r="N1150" i="2"/>
  <c r="O1150" i="2"/>
  <c r="B1151" i="2"/>
  <c r="C1151" i="2"/>
  <c r="D1151" i="2"/>
  <c r="E1151" i="2"/>
  <c r="F1151" i="2"/>
  <c r="G1151" i="2"/>
  <c r="H1151" i="2"/>
  <c r="I1151" i="2"/>
  <c r="J1151" i="2"/>
  <c r="K1151" i="2"/>
  <c r="L1151" i="2"/>
  <c r="M1151" i="2"/>
  <c r="N1151" i="2"/>
  <c r="O1151" i="2"/>
  <c r="B1152" i="2"/>
  <c r="C1152" i="2"/>
  <c r="D1152" i="2"/>
  <c r="E1152" i="2"/>
  <c r="F1152" i="2"/>
  <c r="G1152" i="2"/>
  <c r="H1152" i="2"/>
  <c r="I1152" i="2"/>
  <c r="J1152" i="2"/>
  <c r="K1152" i="2"/>
  <c r="L1152" i="2"/>
  <c r="M1152" i="2"/>
  <c r="N1152" i="2"/>
  <c r="O1152" i="2"/>
  <c r="B1153" i="2"/>
  <c r="C1153" i="2"/>
  <c r="D1153" i="2"/>
  <c r="E1153" i="2"/>
  <c r="F1153" i="2"/>
  <c r="G1153" i="2"/>
  <c r="H1153" i="2"/>
  <c r="I1153" i="2"/>
  <c r="J1153" i="2"/>
  <c r="K1153" i="2"/>
  <c r="L1153" i="2"/>
  <c r="M1153" i="2"/>
  <c r="N1153" i="2"/>
  <c r="O1153" i="2"/>
  <c r="B1154" i="2"/>
  <c r="C1154" i="2"/>
  <c r="D1154" i="2"/>
  <c r="E1154" i="2"/>
  <c r="F1154" i="2"/>
  <c r="G1154" i="2"/>
  <c r="H1154" i="2"/>
  <c r="I1154" i="2"/>
  <c r="J1154" i="2"/>
  <c r="K1154" i="2"/>
  <c r="L1154" i="2"/>
  <c r="M1154" i="2"/>
  <c r="N1154" i="2"/>
  <c r="O1154" i="2"/>
  <c r="B1155" i="2"/>
  <c r="C1155" i="2"/>
  <c r="D1155" i="2"/>
  <c r="E1155" i="2"/>
  <c r="F1155" i="2"/>
  <c r="G1155" i="2"/>
  <c r="H1155" i="2"/>
  <c r="I1155" i="2"/>
  <c r="J1155" i="2"/>
  <c r="K1155" i="2"/>
  <c r="L1155" i="2"/>
  <c r="M1155" i="2"/>
  <c r="N1155" i="2"/>
  <c r="O1155" i="2"/>
  <c r="B1156" i="2"/>
  <c r="C1156" i="2"/>
  <c r="D1156" i="2"/>
  <c r="E1156" i="2"/>
  <c r="F1156" i="2"/>
  <c r="G1156" i="2"/>
  <c r="H1156" i="2"/>
  <c r="I1156" i="2"/>
  <c r="J1156" i="2"/>
  <c r="K1156" i="2"/>
  <c r="L1156" i="2"/>
  <c r="M1156" i="2"/>
  <c r="N1156" i="2"/>
  <c r="O1156" i="2"/>
  <c r="B1157" i="2"/>
  <c r="C1157" i="2"/>
  <c r="D1157" i="2"/>
  <c r="E1157" i="2"/>
  <c r="F1157" i="2"/>
  <c r="G1157" i="2"/>
  <c r="H1157" i="2"/>
  <c r="I1157" i="2"/>
  <c r="J1157" i="2"/>
  <c r="K1157" i="2"/>
  <c r="L1157" i="2"/>
  <c r="M1157" i="2"/>
  <c r="N1157" i="2"/>
  <c r="O1157" i="2"/>
  <c r="B1158" i="2"/>
  <c r="C1158" i="2"/>
  <c r="D1158" i="2"/>
  <c r="E1158" i="2"/>
  <c r="F1158" i="2"/>
  <c r="G1158" i="2"/>
  <c r="H1158" i="2"/>
  <c r="I1158" i="2"/>
  <c r="J1158" i="2"/>
  <c r="K1158" i="2"/>
  <c r="L1158" i="2"/>
  <c r="M1158" i="2"/>
  <c r="N1158" i="2"/>
  <c r="O1158" i="2"/>
  <c r="AC1068" i="5" l="1"/>
  <c r="AC1064" i="5"/>
  <c r="AB1058" i="5"/>
  <c r="AB1054" i="5"/>
  <c r="AB1050" i="5"/>
  <c r="AB1046" i="5"/>
  <c r="AB1042" i="5"/>
  <c r="AB1038" i="5"/>
  <c r="AB1034" i="5"/>
  <c r="AB1030" i="5"/>
  <c r="AB1026" i="5"/>
  <c r="AB1022" i="5"/>
  <c r="AB1018" i="5"/>
  <c r="AB1014" i="5"/>
  <c r="AB1010" i="5"/>
  <c r="AB1006" i="5"/>
  <c r="AB1002" i="5"/>
  <c r="AB998" i="5"/>
  <c r="AB996" i="5"/>
  <c r="AB992" i="5"/>
  <c r="AB988" i="5"/>
  <c r="AB1067" i="5"/>
  <c r="AB1063" i="5"/>
  <c r="AB1059" i="5"/>
  <c r="AC1005" i="5"/>
  <c r="AC1001" i="5"/>
  <c r="AC997" i="5"/>
  <c r="AC993" i="5"/>
  <c r="AC989" i="5"/>
  <c r="AB1056" i="5"/>
  <c r="AB1052" i="5"/>
  <c r="AB1048" i="5"/>
  <c r="AB1044" i="5"/>
  <c r="AB1040" i="5"/>
  <c r="AB1036" i="5"/>
  <c r="AB1032" i="5"/>
  <c r="AB1028" i="5"/>
  <c r="AB1024" i="5"/>
  <c r="AB1020" i="5"/>
  <c r="AB1016" i="5"/>
  <c r="AB1012" i="5"/>
  <c r="AB1008" i="5"/>
  <c r="AB1004" i="5"/>
  <c r="AB1000" i="5"/>
  <c r="AB1065" i="5"/>
  <c r="AB1061" i="5"/>
  <c r="D1153" i="5"/>
  <c r="X1152" i="5"/>
  <c r="T1152" i="5"/>
  <c r="P1152" i="5"/>
  <c r="L1152" i="5"/>
  <c r="H1152" i="5"/>
  <c r="D1152" i="5"/>
  <c r="X1151" i="5"/>
  <c r="T1151" i="5"/>
  <c r="P1151" i="5"/>
  <c r="L1151" i="5"/>
  <c r="H1151" i="5"/>
  <c r="D1151" i="5"/>
  <c r="AC901" i="5"/>
  <c r="AC897" i="5"/>
  <c r="AC893" i="5"/>
  <c r="AC889" i="5"/>
  <c r="AC885" i="5"/>
  <c r="AC881" i="5"/>
  <c r="AC877" i="5"/>
  <c r="AC873" i="5"/>
  <c r="AC869" i="5"/>
  <c r="AC865" i="5"/>
  <c r="AC861" i="5"/>
  <c r="AC857" i="5"/>
  <c r="AC853" i="5"/>
  <c r="AC849" i="5"/>
  <c r="AC845" i="5"/>
  <c r="AC841" i="5"/>
  <c r="AC837" i="5"/>
  <c r="AC833" i="5"/>
  <c r="AC829" i="5"/>
  <c r="AC825" i="5"/>
  <c r="AC821" i="5"/>
  <c r="AC817" i="5"/>
  <c r="AC813" i="5"/>
  <c r="AC809" i="5"/>
  <c r="AC805" i="5"/>
  <c r="AC801" i="5"/>
  <c r="AC797" i="5"/>
  <c r="AC793" i="5"/>
  <c r="AC789" i="5"/>
  <c r="AC785" i="5"/>
  <c r="AC781" i="5"/>
  <c r="AC777" i="5"/>
  <c r="AC769" i="5"/>
  <c r="AC765" i="5"/>
  <c r="AC761" i="5"/>
  <c r="AC757" i="5"/>
  <c r="AB1068" i="5"/>
  <c r="AB1066" i="5"/>
  <c r="AB1064" i="5"/>
  <c r="AB1062" i="5"/>
  <c r="AB1060" i="5"/>
  <c r="AB955" i="5"/>
  <c r="AB953" i="5"/>
  <c r="AB951" i="5"/>
  <c r="AB949" i="5"/>
  <c r="AB947" i="5"/>
  <c r="AB945" i="5"/>
  <c r="AB943" i="5"/>
  <c r="AB941" i="5"/>
  <c r="AB939" i="5"/>
  <c r="AB937" i="5"/>
  <c r="AB935" i="5"/>
  <c r="AB933" i="5"/>
  <c r="AB931" i="5"/>
  <c r="AB929" i="5"/>
  <c r="AB927" i="5"/>
  <c r="AB925" i="5"/>
  <c r="AB923" i="5"/>
  <c r="AB921" i="5"/>
  <c r="AB919" i="5"/>
  <c r="AB917" i="5"/>
  <c r="AB915" i="5"/>
  <c r="AB913" i="5"/>
  <c r="AB1145" i="5" s="1"/>
  <c r="AB911" i="5"/>
  <c r="AB909" i="5"/>
  <c r="AB907" i="5"/>
  <c r="AB902" i="5"/>
  <c r="AB898" i="5"/>
  <c r="AB894" i="5"/>
  <c r="AB890" i="5"/>
  <c r="AB886" i="5"/>
  <c r="AB882" i="5"/>
  <c r="AB878" i="5"/>
  <c r="AB874" i="5"/>
  <c r="AB870" i="5"/>
  <c r="AB866" i="5"/>
  <c r="AB862" i="5"/>
  <c r="AB858" i="5"/>
  <c r="AB854" i="5"/>
  <c r="AB850" i="5"/>
  <c r="AB846" i="5"/>
  <c r="AB842" i="5"/>
  <c r="AB838" i="5"/>
  <c r="AB834" i="5"/>
  <c r="AC773" i="5"/>
  <c r="AC1067" i="5"/>
  <c r="AC1065" i="5"/>
  <c r="AC1063" i="5"/>
  <c r="AC1061" i="5"/>
  <c r="AC1059" i="5"/>
  <c r="AC954" i="5"/>
  <c r="AC952" i="5"/>
  <c r="AC950" i="5"/>
  <c r="AC948" i="5"/>
  <c r="AC946" i="5"/>
  <c r="AC944" i="5"/>
  <c r="AC942" i="5"/>
  <c r="AC940" i="5"/>
  <c r="AC938" i="5"/>
  <c r="AC1147" i="5" s="1"/>
  <c r="AC936" i="5"/>
  <c r="AC934" i="5"/>
  <c r="AC932" i="5"/>
  <c r="AC930" i="5"/>
  <c r="AC928" i="5"/>
  <c r="AC926" i="5"/>
  <c r="AC1146" i="5" s="1"/>
  <c r="AC924" i="5"/>
  <c r="AC922" i="5"/>
  <c r="AC920" i="5"/>
  <c r="AC918" i="5"/>
  <c r="AC916" i="5"/>
  <c r="AC914" i="5"/>
  <c r="AC1145" i="5" s="1"/>
  <c r="AC912" i="5"/>
  <c r="AC910" i="5"/>
  <c r="AC908" i="5"/>
  <c r="AC906" i="5"/>
  <c r="AC903" i="5"/>
  <c r="AC899" i="5"/>
  <c r="AC895" i="5"/>
  <c r="AC891" i="5"/>
  <c r="AC887" i="5"/>
  <c r="AC883" i="5"/>
  <c r="AC879" i="5"/>
  <c r="AC875" i="5"/>
  <c r="AC871" i="5"/>
  <c r="AC867" i="5"/>
  <c r="AC863" i="5"/>
  <c r="AC859" i="5"/>
  <c r="AC855" i="5"/>
  <c r="AC851" i="5"/>
  <c r="AC847" i="5"/>
  <c r="AC843" i="5"/>
  <c r="AC839" i="5"/>
  <c r="AC835" i="5"/>
  <c r="AC831" i="5"/>
  <c r="AC827" i="5"/>
  <c r="AC823" i="5"/>
  <c r="AC819" i="5"/>
  <c r="AC815" i="5"/>
  <c r="AC811" i="5"/>
  <c r="AC807" i="5"/>
  <c r="AC803" i="5"/>
  <c r="AC799" i="5"/>
  <c r="AC795" i="5"/>
  <c r="AC791" i="5"/>
  <c r="AC787" i="5"/>
  <c r="AC783" i="5"/>
  <c r="AC779" i="5"/>
  <c r="AC771" i="5"/>
  <c r="AC767" i="5"/>
  <c r="AC763" i="5"/>
  <c r="AC759" i="5"/>
  <c r="AC755" i="5"/>
  <c r="AB745" i="5"/>
  <c r="AB904" i="5"/>
  <c r="AB900" i="5"/>
  <c r="AB896" i="5"/>
  <c r="AB892" i="5"/>
  <c r="AB888" i="5"/>
  <c r="AB884" i="5"/>
  <c r="AB880" i="5"/>
  <c r="AB876" i="5"/>
  <c r="AB872" i="5"/>
  <c r="AB868" i="5"/>
  <c r="AB864" i="5"/>
  <c r="AB860" i="5"/>
  <c r="AB856" i="5"/>
  <c r="AB852" i="5"/>
  <c r="AB848" i="5"/>
  <c r="AB844" i="5"/>
  <c r="AB840" i="5"/>
  <c r="AB836" i="5"/>
  <c r="AB751" i="5"/>
  <c r="AB747" i="5"/>
  <c r="AC754" i="5"/>
  <c r="AC746" i="5"/>
  <c r="AC738" i="5"/>
  <c r="AC730" i="5"/>
  <c r="AC722" i="5"/>
  <c r="AB905" i="5"/>
  <c r="AB903" i="5"/>
  <c r="AB901" i="5"/>
  <c r="AB899" i="5"/>
  <c r="AB897" i="5"/>
  <c r="AB895" i="5"/>
  <c r="AB893" i="5"/>
  <c r="AB891" i="5"/>
  <c r="AB889" i="5"/>
  <c r="AB1143" i="5" s="1"/>
  <c r="AB887" i="5"/>
  <c r="AB885" i="5"/>
  <c r="AB883" i="5"/>
  <c r="AB881" i="5"/>
  <c r="AB879" i="5"/>
  <c r="AB877" i="5"/>
  <c r="AB875" i="5"/>
  <c r="AB873" i="5"/>
  <c r="AB871" i="5"/>
  <c r="AB869" i="5"/>
  <c r="AB867" i="5"/>
  <c r="AB865" i="5"/>
  <c r="AB1141" i="5" s="1"/>
  <c r="AB863" i="5"/>
  <c r="AB861" i="5"/>
  <c r="AB859" i="5"/>
  <c r="AB857" i="5"/>
  <c r="AB855" i="5"/>
  <c r="AB853" i="5"/>
  <c r="AB851" i="5"/>
  <c r="AB849" i="5"/>
  <c r="AB847" i="5"/>
  <c r="AB845" i="5"/>
  <c r="AB843" i="5"/>
  <c r="AB841" i="5"/>
  <c r="AB1139" i="5" s="1"/>
  <c r="AB839" i="5"/>
  <c r="AB837" i="5"/>
  <c r="AB835" i="5"/>
  <c r="AB833" i="5"/>
  <c r="AB831" i="5"/>
  <c r="AB829" i="5"/>
  <c r="AB827" i="5"/>
  <c r="AB825" i="5"/>
  <c r="AB823" i="5"/>
  <c r="AB821" i="5"/>
  <c r="AB819" i="5"/>
  <c r="AB817" i="5"/>
  <c r="AB1137" i="5" s="1"/>
  <c r="AB815" i="5"/>
  <c r="AB813" i="5"/>
  <c r="AB811" i="5"/>
  <c r="AB809" i="5"/>
  <c r="AB807" i="5"/>
  <c r="AB805" i="5"/>
  <c r="AB803" i="5"/>
  <c r="AB801" i="5"/>
  <c r="AB799" i="5"/>
  <c r="AB797" i="5"/>
  <c r="AB795" i="5"/>
  <c r="AB793" i="5"/>
  <c r="AB1135" i="5" s="1"/>
  <c r="AB791" i="5"/>
  <c r="AB789" i="5"/>
  <c r="AB787" i="5"/>
  <c r="AB785" i="5"/>
  <c r="AB783" i="5"/>
  <c r="AB781" i="5"/>
  <c r="AB779" i="5"/>
  <c r="AB777" i="5"/>
  <c r="AB775" i="5"/>
  <c r="AB773" i="5"/>
  <c r="AB771" i="5"/>
  <c r="AB769" i="5"/>
  <c r="AB1133" i="5" s="1"/>
  <c r="AB767" i="5"/>
  <c r="AB765" i="5"/>
  <c r="AB763" i="5"/>
  <c r="AB761" i="5"/>
  <c r="AB759" i="5"/>
  <c r="AB757" i="5"/>
  <c r="AB755" i="5"/>
  <c r="AC748" i="5"/>
  <c r="AC740" i="5"/>
  <c r="AC732" i="5"/>
  <c r="AC724" i="5"/>
  <c r="AC904" i="5"/>
  <c r="AC902" i="5"/>
  <c r="AC900" i="5"/>
  <c r="AC898" i="5"/>
  <c r="AC896" i="5"/>
  <c r="AC894" i="5"/>
  <c r="AC892" i="5"/>
  <c r="AC890" i="5"/>
  <c r="AC888" i="5"/>
  <c r="AC886" i="5"/>
  <c r="AC884" i="5"/>
  <c r="AC882" i="5"/>
  <c r="AC880" i="5"/>
  <c r="AC878" i="5"/>
  <c r="AC876" i="5"/>
  <c r="AC874" i="5"/>
  <c r="AC872" i="5"/>
  <c r="AC870" i="5"/>
  <c r="AC868" i="5"/>
  <c r="AC866" i="5"/>
  <c r="AC864" i="5"/>
  <c r="AC862" i="5"/>
  <c r="AC860" i="5"/>
  <c r="AC858" i="5"/>
  <c r="AC856" i="5"/>
  <c r="AC854" i="5"/>
  <c r="AC852" i="5"/>
  <c r="AC850" i="5"/>
  <c r="AC848" i="5"/>
  <c r="AC846" i="5"/>
  <c r="AC844" i="5"/>
  <c r="AC842" i="5"/>
  <c r="AC840" i="5"/>
  <c r="AC838" i="5"/>
  <c r="AC836" i="5"/>
  <c r="AC834" i="5"/>
  <c r="AC832" i="5"/>
  <c r="AC830" i="5"/>
  <c r="AC828" i="5"/>
  <c r="AC826" i="5"/>
  <c r="AC824" i="5"/>
  <c r="AC822" i="5"/>
  <c r="AC820" i="5"/>
  <c r="AC818" i="5"/>
  <c r="AC816" i="5"/>
  <c r="AC814" i="5"/>
  <c r="AC812" i="5"/>
  <c r="AC810" i="5"/>
  <c r="AC808" i="5"/>
  <c r="AC806" i="5"/>
  <c r="AC804" i="5"/>
  <c r="AC802" i="5"/>
  <c r="AC800" i="5"/>
  <c r="AC798" i="5"/>
  <c r="AC796" i="5"/>
  <c r="AC794" i="5"/>
  <c r="AC792" i="5"/>
  <c r="AC790" i="5"/>
  <c r="AC788" i="5"/>
  <c r="AC786" i="5"/>
  <c r="AC784" i="5"/>
  <c r="AC782" i="5"/>
  <c r="AC780" i="5"/>
  <c r="AC778" i="5"/>
  <c r="AC776" i="5"/>
  <c r="AC774" i="5"/>
  <c r="AC772" i="5"/>
  <c r="AC770" i="5"/>
  <c r="AC768" i="5"/>
  <c r="AC766" i="5"/>
  <c r="AC764" i="5"/>
  <c r="AC762" i="5"/>
  <c r="AC760" i="5"/>
  <c r="AC758" i="5"/>
  <c r="AC756" i="5"/>
  <c r="AC750" i="5"/>
  <c r="AC742" i="5"/>
  <c r="AC734" i="5"/>
  <c r="AC726" i="5"/>
  <c r="AC718" i="5"/>
  <c r="AB716" i="5"/>
  <c r="AB714" i="5"/>
  <c r="AB712" i="5"/>
  <c r="AB710" i="5"/>
  <c r="AB708" i="5"/>
  <c r="AB706" i="5"/>
  <c r="AB704" i="5"/>
  <c r="AB702" i="5"/>
  <c r="AB700" i="5"/>
  <c r="AB698" i="5"/>
  <c r="AB696" i="5"/>
  <c r="AB694" i="5"/>
  <c r="AB692" i="5"/>
  <c r="AB690" i="5"/>
  <c r="AB688" i="5"/>
  <c r="AB686" i="5"/>
  <c r="AB684" i="5"/>
  <c r="AB682" i="5"/>
  <c r="AB680" i="5"/>
  <c r="AB678" i="5"/>
  <c r="AB676" i="5"/>
  <c r="AB674" i="5"/>
  <c r="AB672" i="5"/>
  <c r="AB670" i="5"/>
  <c r="AB668" i="5"/>
  <c r="AB666" i="5"/>
  <c r="AB664" i="5"/>
  <c r="AB662" i="5"/>
  <c r="AB660" i="5"/>
  <c r="AB658" i="5"/>
  <c r="AB656" i="5"/>
  <c r="AB654" i="5"/>
  <c r="AB652" i="5"/>
  <c r="AB650" i="5"/>
  <c r="AB648" i="5"/>
  <c r="AB646" i="5"/>
  <c r="AB644" i="5"/>
  <c r="AB642" i="5"/>
  <c r="AB640" i="5"/>
  <c r="AB638" i="5"/>
  <c r="AB636" i="5"/>
  <c r="AB634" i="5"/>
  <c r="AB632" i="5"/>
  <c r="AB630" i="5"/>
  <c r="AB628" i="5"/>
  <c r="AB626" i="5"/>
  <c r="AB624" i="5"/>
  <c r="AB622" i="5"/>
  <c r="AB620" i="5"/>
  <c r="AB618" i="5"/>
  <c r="AB616" i="5"/>
  <c r="AB614" i="5"/>
  <c r="AB612" i="5"/>
  <c r="AB610" i="5"/>
  <c r="AB608" i="5"/>
  <c r="AB606" i="5"/>
  <c r="AB604" i="5"/>
  <c r="AB602" i="5"/>
  <c r="AB600" i="5"/>
  <c r="AB598" i="5"/>
  <c r="AB596" i="5"/>
  <c r="AB594" i="5"/>
  <c r="AB592" i="5"/>
  <c r="AB590" i="5"/>
  <c r="AB588" i="5"/>
  <c r="AB586" i="5"/>
  <c r="AB584" i="5"/>
  <c r="AB582" i="5"/>
  <c r="AB580" i="5"/>
  <c r="AB578" i="5"/>
  <c r="AB1117" i="5" s="1"/>
  <c r="AB576" i="5"/>
  <c r="AB574" i="5"/>
  <c r="AB572" i="5"/>
  <c r="AB570" i="5"/>
  <c r="AB568" i="5"/>
  <c r="AB566" i="5"/>
  <c r="AB564" i="5"/>
  <c r="AB562" i="5"/>
  <c r="AB560" i="5"/>
  <c r="AB558" i="5"/>
  <c r="AB556" i="5"/>
  <c r="AB554" i="5"/>
  <c r="AB1115" i="5" s="1"/>
  <c r="AB552" i="5"/>
  <c r="AB550" i="5"/>
  <c r="AB548" i="5"/>
  <c r="AB546" i="5"/>
  <c r="AB544" i="5"/>
  <c r="AB542" i="5"/>
  <c r="AB540" i="5"/>
  <c r="AB538" i="5"/>
  <c r="AB536" i="5"/>
  <c r="AB534" i="5"/>
  <c r="AB532" i="5"/>
  <c r="AB530" i="5"/>
  <c r="AB1113" i="5" s="1"/>
  <c r="AB528" i="5"/>
  <c r="AB526" i="5"/>
  <c r="AB524" i="5"/>
  <c r="AB522" i="5"/>
  <c r="AB520" i="5"/>
  <c r="AB518" i="5"/>
  <c r="AB516" i="5"/>
  <c r="AB514" i="5"/>
  <c r="AB512" i="5"/>
  <c r="AB510" i="5"/>
  <c r="AB508" i="5"/>
  <c r="AB506" i="5"/>
  <c r="AB1111" i="5" s="1"/>
  <c r="AB504" i="5"/>
  <c r="AB502" i="5"/>
  <c r="AB500" i="5"/>
  <c r="AB498" i="5"/>
  <c r="AB496" i="5"/>
  <c r="AB494" i="5"/>
  <c r="AB492" i="5"/>
  <c r="AB490" i="5"/>
  <c r="AB488" i="5"/>
  <c r="AB486" i="5"/>
  <c r="AB484" i="5"/>
  <c r="AB482" i="5"/>
  <c r="AB1109" i="5" s="1"/>
  <c r="AB480" i="5"/>
  <c r="AB478" i="5"/>
  <c r="AB476" i="5"/>
  <c r="AB474" i="5"/>
  <c r="AB472" i="5"/>
  <c r="AB470" i="5"/>
  <c r="AB468" i="5"/>
  <c r="AB466" i="5"/>
  <c r="AB464" i="5"/>
  <c r="AB462" i="5"/>
  <c r="AB460" i="5"/>
  <c r="AB458" i="5"/>
  <c r="AB1107" i="5" s="1"/>
  <c r="AB456" i="5"/>
  <c r="AB454" i="5"/>
  <c r="AB452" i="5"/>
  <c r="AB450" i="5"/>
  <c r="AB448" i="5"/>
  <c r="AB446" i="5"/>
  <c r="AB444" i="5"/>
  <c r="AB442" i="5"/>
  <c r="AB440" i="5"/>
  <c r="AB438" i="5"/>
  <c r="AB436" i="5"/>
  <c r="AB434" i="5"/>
  <c r="AB1105" i="5" s="1"/>
  <c r="AB432" i="5"/>
  <c r="AB430" i="5"/>
  <c r="AB428" i="5"/>
  <c r="AB426" i="5"/>
  <c r="AB424" i="5"/>
  <c r="AB422" i="5"/>
  <c r="AB420" i="5"/>
  <c r="AB418" i="5"/>
  <c r="AB416" i="5"/>
  <c r="AB414" i="5"/>
  <c r="AB412" i="5"/>
  <c r="AB410" i="5"/>
  <c r="AB1103" i="5" s="1"/>
  <c r="AB408" i="5"/>
  <c r="AB406" i="5"/>
  <c r="AB404" i="5"/>
  <c r="AB402" i="5"/>
  <c r="AB400" i="5"/>
  <c r="AB398" i="5"/>
  <c r="AB396" i="5"/>
  <c r="AB394" i="5"/>
  <c r="AB392" i="5"/>
  <c r="AB390" i="5"/>
  <c r="AB388" i="5"/>
  <c r="AB386" i="5"/>
  <c r="AB1101" i="5" s="1"/>
  <c r="AB384" i="5"/>
  <c r="AB382" i="5"/>
  <c r="AB380" i="5"/>
  <c r="AB378" i="5"/>
  <c r="AB376" i="5"/>
  <c r="AB374" i="5"/>
  <c r="AB372" i="5"/>
  <c r="AB370" i="5"/>
  <c r="AB368" i="5"/>
  <c r="AB366" i="5"/>
  <c r="AB364" i="5"/>
  <c r="AB362" i="5"/>
  <c r="AB1099" i="5" s="1"/>
  <c r="AB360" i="5"/>
  <c r="AB358" i="5"/>
  <c r="AB356" i="5"/>
  <c r="AB354" i="5"/>
  <c r="AB352" i="5"/>
  <c r="AB350" i="5"/>
  <c r="AB348" i="5"/>
  <c r="AB346" i="5"/>
  <c r="AB344" i="5"/>
  <c r="AB342" i="5"/>
  <c r="AB340" i="5"/>
  <c r="AB338" i="5"/>
  <c r="AB1097" i="5" s="1"/>
  <c r="AB336" i="5"/>
  <c r="AB334" i="5"/>
  <c r="AB332" i="5"/>
  <c r="AB330" i="5"/>
  <c r="AB328" i="5"/>
  <c r="AB326" i="5"/>
  <c r="AB324" i="5"/>
  <c r="AB322" i="5"/>
  <c r="AB320" i="5"/>
  <c r="AB318" i="5"/>
  <c r="AB316" i="5"/>
  <c r="AB314" i="5"/>
  <c r="AB1095" i="5" s="1"/>
  <c r="AB312" i="5"/>
  <c r="AB310" i="5"/>
  <c r="AB308" i="5"/>
  <c r="AB306" i="5"/>
  <c r="AB304" i="5"/>
  <c r="AB302" i="5"/>
  <c r="AB300" i="5"/>
  <c r="AB298" i="5"/>
  <c r="AB296" i="5"/>
  <c r="AB294" i="5"/>
  <c r="AB292" i="5"/>
  <c r="AB290" i="5"/>
  <c r="AB1093" i="5" s="1"/>
  <c r="AB288" i="5"/>
  <c r="AB286" i="5"/>
  <c r="AB284" i="5"/>
  <c r="AB282" i="5"/>
  <c r="AB280" i="5"/>
  <c r="AB278" i="5"/>
  <c r="AB276" i="5"/>
  <c r="AB274" i="5"/>
  <c r="AB103" i="5"/>
  <c r="AB99" i="5"/>
  <c r="AC106" i="5"/>
  <c r="AC102" i="5"/>
  <c r="AC98" i="5"/>
  <c r="AB272" i="5"/>
  <c r="AB270" i="5"/>
  <c r="AB268" i="5"/>
  <c r="AB266" i="5"/>
  <c r="AB264" i="5"/>
  <c r="AB262" i="5"/>
  <c r="AB260" i="5"/>
  <c r="AB258" i="5"/>
  <c r="AB256" i="5"/>
  <c r="AB254" i="5"/>
  <c r="AB252" i="5"/>
  <c r="AB250" i="5"/>
  <c r="AB248" i="5"/>
  <c r="AB246" i="5"/>
  <c r="AB244" i="5"/>
  <c r="AB242" i="5"/>
  <c r="AB240" i="5"/>
  <c r="AB238" i="5"/>
  <c r="AB236" i="5"/>
  <c r="AB234" i="5"/>
  <c r="AB232" i="5"/>
  <c r="AB230" i="5"/>
  <c r="AB228" i="5"/>
  <c r="AB226" i="5"/>
  <c r="AB224" i="5"/>
  <c r="AB222" i="5"/>
  <c r="AB220" i="5"/>
  <c r="AB218" i="5"/>
  <c r="AB216" i="5"/>
  <c r="AB214" i="5"/>
  <c r="AB212" i="5"/>
  <c r="AB210" i="5"/>
  <c r="AB208" i="5"/>
  <c r="AB206" i="5"/>
  <c r="AB204" i="5"/>
  <c r="AB202" i="5"/>
  <c r="AB200" i="5"/>
  <c r="AB198" i="5"/>
  <c r="AB196" i="5"/>
  <c r="AB194" i="5"/>
  <c r="AB192" i="5"/>
  <c r="AB190" i="5"/>
  <c r="AB188" i="5"/>
  <c r="AB186" i="5"/>
  <c r="AB184" i="5"/>
  <c r="AB182" i="5"/>
  <c r="AB180" i="5"/>
  <c r="AB178" i="5"/>
  <c r="AB176" i="5"/>
  <c r="AB174" i="5"/>
  <c r="AB172" i="5"/>
  <c r="AB170" i="5"/>
  <c r="AB168" i="5"/>
  <c r="AB166" i="5"/>
  <c r="AB164" i="5"/>
  <c r="AB162" i="5"/>
  <c r="AB160" i="5"/>
  <c r="AB158" i="5"/>
  <c r="AB156" i="5"/>
  <c r="AB154" i="5"/>
  <c r="AB152" i="5"/>
  <c r="AB150" i="5"/>
  <c r="AB148" i="5"/>
  <c r="AB146" i="5"/>
  <c r="AB144" i="5"/>
  <c r="AB142" i="5"/>
  <c r="AB140" i="5"/>
  <c r="AB138" i="5"/>
  <c r="AB136" i="5"/>
  <c r="AB134" i="5"/>
  <c r="AB132" i="5"/>
  <c r="AB130" i="5"/>
  <c r="AB128" i="5"/>
  <c r="AB126" i="5"/>
  <c r="AB124" i="5"/>
  <c r="AB122" i="5"/>
  <c r="AB120" i="5"/>
  <c r="AB118" i="5"/>
  <c r="AB116" i="5"/>
  <c r="AB114" i="5"/>
  <c r="AB112" i="5"/>
  <c r="AB110" i="5"/>
  <c r="AB108" i="5"/>
  <c r="AB105" i="5"/>
  <c r="AB101" i="5"/>
  <c r="AB33" i="5"/>
  <c r="AB29" i="5"/>
  <c r="AB25" i="5"/>
  <c r="AC58" i="5"/>
  <c r="AC54" i="5"/>
  <c r="AC50" i="5"/>
  <c r="AC48" i="5"/>
  <c r="AC44" i="5"/>
  <c r="AC40" i="5"/>
  <c r="AB32" i="5"/>
  <c r="AB28" i="5"/>
  <c r="AB24" i="5"/>
  <c r="AB22" i="5"/>
  <c r="AB20" i="5"/>
  <c r="AB18" i="5"/>
  <c r="AB106" i="5"/>
  <c r="AB104" i="5"/>
  <c r="AB102" i="5"/>
  <c r="AB100" i="5"/>
  <c r="AB98" i="5"/>
  <c r="AB96" i="5"/>
  <c r="AB94" i="5"/>
  <c r="AB92" i="5"/>
  <c r="AB90" i="5"/>
  <c r="AB88" i="5"/>
  <c r="AB86" i="5"/>
  <c r="AB1076" i="5" s="1"/>
  <c r="AB84" i="5"/>
  <c r="AB82" i="5"/>
  <c r="AB75" i="5"/>
  <c r="AB73" i="5"/>
  <c r="AB71" i="5"/>
  <c r="AB69" i="5"/>
  <c r="AB67" i="5"/>
  <c r="AB65" i="5"/>
  <c r="AB63" i="5"/>
  <c r="AB61" i="5"/>
  <c r="AC59" i="5"/>
  <c r="AC55" i="5"/>
  <c r="AC51" i="5"/>
  <c r="AC47" i="5"/>
  <c r="AC43" i="5"/>
  <c r="AB31" i="5"/>
  <c r="AB27" i="5"/>
  <c r="AB23" i="5"/>
  <c r="AC105" i="5"/>
  <c r="AC103" i="5"/>
  <c r="AC101" i="5"/>
  <c r="AC99" i="5"/>
  <c r="AC97" i="5"/>
  <c r="AC95" i="5"/>
  <c r="AC93" i="5"/>
  <c r="AC91" i="5"/>
  <c r="AC89" i="5"/>
  <c r="AC87" i="5"/>
  <c r="AC85" i="5"/>
  <c r="AC83" i="5"/>
  <c r="AC81" i="5"/>
  <c r="AC74" i="5"/>
  <c r="AC72" i="5"/>
  <c r="AC70" i="5"/>
  <c r="AC68" i="5"/>
  <c r="AC66" i="5"/>
  <c r="AC64" i="5"/>
  <c r="AC62" i="5"/>
  <c r="AC60" i="5"/>
  <c r="AC56" i="5"/>
  <c r="AC52" i="5"/>
  <c r="AC46" i="5"/>
  <c r="AC42" i="5"/>
  <c r="AB38" i="5"/>
  <c r="AB1072" i="5" s="1"/>
  <c r="AB36" i="5"/>
  <c r="AB34" i="5"/>
  <c r="AB30" i="5"/>
  <c r="AB26" i="5"/>
  <c r="AC1058" i="5"/>
  <c r="AC1157" i="5" s="1"/>
  <c r="AC1056" i="5"/>
  <c r="AC1054" i="5"/>
  <c r="AC1052" i="5"/>
  <c r="AC1050" i="5"/>
  <c r="AC1048" i="5"/>
  <c r="AC1046" i="5"/>
  <c r="AC1044" i="5"/>
  <c r="AC1042" i="5"/>
  <c r="AC1040" i="5"/>
  <c r="AC1038" i="5"/>
  <c r="AC1036" i="5"/>
  <c r="AC1034" i="5"/>
  <c r="AC1032" i="5"/>
  <c r="AC1030" i="5"/>
  <c r="AC1028" i="5"/>
  <c r="AC1026" i="5"/>
  <c r="AC1024" i="5"/>
  <c r="AC1022" i="5"/>
  <c r="AC1020" i="5"/>
  <c r="AC1018" i="5"/>
  <c r="AC1016" i="5"/>
  <c r="AC1014" i="5"/>
  <c r="AC1012" i="5"/>
  <c r="AC1010" i="5"/>
  <c r="AC1008" i="5"/>
  <c r="AC1006" i="5"/>
  <c r="AC1004" i="5"/>
  <c r="AC1002" i="5"/>
  <c r="AC1000" i="5"/>
  <c r="AC998" i="5"/>
  <c r="AC996" i="5"/>
  <c r="AC994" i="5"/>
  <c r="AC992" i="5"/>
  <c r="AC990" i="5"/>
  <c r="AC988" i="5"/>
  <c r="AC986" i="5"/>
  <c r="AC984" i="5"/>
  <c r="AC982" i="5"/>
  <c r="AC980" i="5"/>
  <c r="AC978" i="5"/>
  <c r="AC976" i="5"/>
  <c r="AC974" i="5"/>
  <c r="AC1150" i="5" s="1"/>
  <c r="AC972" i="5"/>
  <c r="AC970" i="5"/>
  <c r="AC968" i="5"/>
  <c r="AC966" i="5"/>
  <c r="AC964" i="5"/>
  <c r="AC962" i="5"/>
  <c r="AC1149" i="5" s="1"/>
  <c r="AC960" i="5"/>
  <c r="AC958" i="5"/>
  <c r="AC956" i="5"/>
  <c r="AB1057" i="5"/>
  <c r="AB1157" i="5" s="1"/>
  <c r="AB1055" i="5"/>
  <c r="AB1053" i="5"/>
  <c r="AB1051" i="5"/>
  <c r="AB1049" i="5"/>
  <c r="AB1047" i="5"/>
  <c r="AB1045" i="5"/>
  <c r="AB1043" i="5"/>
  <c r="AB1041" i="5"/>
  <c r="AB1039" i="5"/>
  <c r="AB1037" i="5"/>
  <c r="AB1035" i="5"/>
  <c r="AB1033" i="5"/>
  <c r="AB1155" i="5" s="1"/>
  <c r="AB1031" i="5"/>
  <c r="AB1029" i="5"/>
  <c r="AB1027" i="5"/>
  <c r="AB1025" i="5"/>
  <c r="AB1023" i="5"/>
  <c r="AB1021" i="5"/>
  <c r="AB1019" i="5"/>
  <c r="AB1017" i="5"/>
  <c r="AB1015" i="5"/>
  <c r="AB1013" i="5"/>
  <c r="AB1011" i="5"/>
  <c r="AB1009" i="5"/>
  <c r="AB1153" i="5" s="1"/>
  <c r="AB1007" i="5"/>
  <c r="AB1005" i="5"/>
  <c r="AB1003" i="5"/>
  <c r="AB1001" i="5"/>
  <c r="AB999" i="5"/>
  <c r="AB997" i="5"/>
  <c r="AB995" i="5"/>
  <c r="AB993" i="5"/>
  <c r="AB991" i="5"/>
  <c r="AB989" i="5"/>
  <c r="AB987" i="5"/>
  <c r="AB985" i="5"/>
  <c r="AB1151" i="5" s="1"/>
  <c r="AB983" i="5"/>
  <c r="AB981" i="5"/>
  <c r="AB979" i="5"/>
  <c r="AB977" i="5"/>
  <c r="AB975" i="5"/>
  <c r="AB973" i="5"/>
  <c r="AB971" i="5"/>
  <c r="AB969" i="5"/>
  <c r="AB967" i="5"/>
  <c r="AB965" i="5"/>
  <c r="AB963" i="5"/>
  <c r="AB961" i="5"/>
  <c r="AB1149" i="5" s="1"/>
  <c r="AB959" i="5"/>
  <c r="AB957" i="5"/>
  <c r="AB1148" i="5" s="1"/>
  <c r="AB754" i="5"/>
  <c r="AB752" i="5"/>
  <c r="AB750" i="5"/>
  <c r="AB748" i="5"/>
  <c r="AB746" i="5"/>
  <c r="AB744" i="5"/>
  <c r="AB742" i="5"/>
  <c r="AB740" i="5"/>
  <c r="AB738" i="5"/>
  <c r="AB736" i="5"/>
  <c r="AB734" i="5"/>
  <c r="AB732" i="5"/>
  <c r="AB730" i="5"/>
  <c r="AB728" i="5"/>
  <c r="AB726" i="5"/>
  <c r="AB724" i="5"/>
  <c r="AB722" i="5"/>
  <c r="AB720" i="5"/>
  <c r="AB718" i="5"/>
  <c r="AC753" i="5"/>
  <c r="AC751" i="5"/>
  <c r="AC749" i="5"/>
  <c r="AC747" i="5"/>
  <c r="AC745" i="5"/>
  <c r="AC1131" i="5" s="1"/>
  <c r="AC743" i="5"/>
  <c r="AC741" i="5"/>
  <c r="AC739" i="5"/>
  <c r="AC737" i="5"/>
  <c r="AC735" i="5"/>
  <c r="AC733" i="5"/>
  <c r="AC1130" i="5" s="1"/>
  <c r="AC731" i="5"/>
  <c r="AC729" i="5"/>
  <c r="AC727" i="5"/>
  <c r="AC725" i="5"/>
  <c r="AC723" i="5"/>
  <c r="AC721" i="5"/>
  <c r="AC1129" i="5" s="1"/>
  <c r="AC719" i="5"/>
  <c r="AC1128" i="5" s="1"/>
  <c r="AB79" i="5"/>
  <c r="AB77" i="5"/>
  <c r="S960" i="6"/>
  <c r="S1148" i="6" s="1"/>
  <c r="Q1148" i="6"/>
  <c r="L1148" i="6"/>
  <c r="S912" i="6"/>
  <c r="S1144" i="6" s="1"/>
  <c r="Q1144" i="6"/>
  <c r="L1144" i="6"/>
  <c r="S900" i="6"/>
  <c r="S1143" i="6" s="1"/>
  <c r="Q1143" i="6"/>
  <c r="L1143" i="6"/>
  <c r="S888" i="6"/>
  <c r="S1142" i="6" s="1"/>
  <c r="Q1142" i="6"/>
  <c r="L1142" i="6"/>
  <c r="S876" i="6"/>
  <c r="S1141" i="6" s="1"/>
  <c r="Q1141" i="6"/>
  <c r="L1141" i="6"/>
  <c r="AC80" i="5"/>
  <c r="AC78" i="5"/>
  <c r="AC76" i="5"/>
  <c r="S1057" i="6"/>
  <c r="S1156" i="6" s="1"/>
  <c r="Q1156" i="6"/>
  <c r="L1156" i="6"/>
  <c r="S1045" i="6"/>
  <c r="S1155" i="6" s="1"/>
  <c r="Q1155" i="6"/>
  <c r="L1155" i="6"/>
  <c r="S1033" i="6"/>
  <c r="S1154" i="6" s="1"/>
  <c r="Q1154" i="6"/>
  <c r="L1154" i="6"/>
  <c r="S1021" i="6"/>
  <c r="S1153" i="6" s="1"/>
  <c r="Q1153" i="6"/>
  <c r="L1153" i="6"/>
  <c r="S1008" i="6"/>
  <c r="S1152" i="6" s="1"/>
  <c r="Q1152" i="6"/>
  <c r="L1152" i="6"/>
  <c r="S996" i="6"/>
  <c r="S1151" i="6" s="1"/>
  <c r="Q1151" i="6"/>
  <c r="L1151" i="6"/>
  <c r="S984" i="6"/>
  <c r="S1150" i="6" s="1"/>
  <c r="Q1150" i="6"/>
  <c r="L1150" i="6"/>
  <c r="S972" i="6"/>
  <c r="S1149" i="6" s="1"/>
  <c r="Q1149" i="6"/>
  <c r="L1149" i="6"/>
  <c r="S948" i="6"/>
  <c r="S1147" i="6" s="1"/>
  <c r="Q1147" i="6"/>
  <c r="L1147" i="6"/>
  <c r="S936" i="6"/>
  <c r="S1146" i="6" s="1"/>
  <c r="Q1146" i="6"/>
  <c r="L1146" i="6"/>
  <c r="S924" i="6"/>
  <c r="S1145" i="6" s="1"/>
  <c r="Q1145" i="6"/>
  <c r="L1145" i="6"/>
  <c r="S866" i="6"/>
  <c r="S1140" i="6" s="1"/>
  <c r="Q1140" i="6"/>
  <c r="L864" i="6"/>
  <c r="L1140" i="6" s="1"/>
  <c r="L860" i="6"/>
  <c r="L856" i="6"/>
  <c r="L852" i="6"/>
  <c r="L848" i="6"/>
  <c r="L844" i="6"/>
  <c r="L840" i="6"/>
  <c r="L836" i="6"/>
  <c r="L832" i="6"/>
  <c r="L828" i="6"/>
  <c r="L824" i="6"/>
  <c r="L820" i="6"/>
  <c r="L816" i="6"/>
  <c r="L812" i="6"/>
  <c r="L808" i="6"/>
  <c r="L804" i="6"/>
  <c r="L800" i="6"/>
  <c r="L796" i="6"/>
  <c r="L792" i="6"/>
  <c r="L788" i="6"/>
  <c r="L784" i="6"/>
  <c r="L780" i="6"/>
  <c r="L776" i="6"/>
  <c r="L772" i="6"/>
  <c r="L768" i="6"/>
  <c r="L764" i="6"/>
  <c r="L760" i="6"/>
  <c r="L756" i="6"/>
  <c r="L862" i="6"/>
  <c r="L858" i="6"/>
  <c r="L854" i="6"/>
  <c r="L850" i="6"/>
  <c r="L846" i="6"/>
  <c r="L842" i="6"/>
  <c r="L838" i="6"/>
  <c r="L834" i="6"/>
  <c r="L830" i="6"/>
  <c r="L826" i="6"/>
  <c r="L822" i="6"/>
  <c r="L818" i="6"/>
  <c r="L814" i="6"/>
  <c r="L810" i="6"/>
  <c r="L806" i="6"/>
  <c r="L802" i="6"/>
  <c r="L798" i="6"/>
  <c r="L794" i="6"/>
  <c r="L790" i="6"/>
  <c r="L786" i="6"/>
  <c r="L782" i="6"/>
  <c r="L778" i="6"/>
  <c r="L774" i="6"/>
  <c r="L770" i="6"/>
  <c r="L766" i="6"/>
  <c r="L762" i="6"/>
  <c r="L758" i="6"/>
  <c r="L754" i="6"/>
  <c r="L750" i="6"/>
  <c r="L752" i="6"/>
  <c r="L748" i="6"/>
  <c r="L1130" i="6" s="1"/>
  <c r="L704" i="6"/>
  <c r="L700" i="6"/>
  <c r="L696" i="6"/>
  <c r="L692" i="6"/>
  <c r="L688" i="6"/>
  <c r="L684" i="6"/>
  <c r="L680" i="6"/>
  <c r="L676" i="6"/>
  <c r="L672" i="6"/>
  <c r="L668" i="6"/>
  <c r="L664" i="6"/>
  <c r="L660" i="6"/>
  <c r="L656" i="6"/>
  <c r="L652" i="6"/>
  <c r="L648" i="6"/>
  <c r="L706" i="6"/>
  <c r="L702" i="6"/>
  <c r="L698" i="6"/>
  <c r="L694" i="6"/>
  <c r="L690" i="6"/>
  <c r="L686" i="6"/>
  <c r="L682" i="6"/>
  <c r="L678" i="6"/>
  <c r="L674" i="6"/>
  <c r="L670" i="6"/>
  <c r="L666" i="6"/>
  <c r="L662" i="6"/>
  <c r="L658" i="6"/>
  <c r="L654" i="6"/>
  <c r="L650" i="6"/>
  <c r="L61" i="6"/>
  <c r="L59" i="6"/>
  <c r="L57" i="6"/>
  <c r="L55" i="6"/>
  <c r="L53" i="6"/>
  <c r="L51" i="6"/>
  <c r="L47" i="6"/>
  <c r="L1071" i="6" s="1"/>
  <c r="L60" i="6"/>
  <c r="L1073" i="6" s="1"/>
  <c r="L58" i="6"/>
  <c r="L56" i="6"/>
  <c r="L54" i="6"/>
  <c r="L52" i="6"/>
  <c r="L49" i="6"/>
  <c r="L1072" i="6" s="1"/>
  <c r="S33" i="6"/>
  <c r="S29" i="6"/>
  <c r="S1070" i="6" s="1"/>
  <c r="S20" i="6"/>
  <c r="S1069" i="6" s="1"/>
  <c r="AC1074" i="5" l="1"/>
  <c r="AB1074" i="5"/>
  <c r="AB1077" i="5"/>
  <c r="AB1092" i="5"/>
  <c r="AB1094" i="5"/>
  <c r="AB1096" i="5"/>
  <c r="AB1098" i="5"/>
  <c r="AB1100" i="5"/>
  <c r="AB1102" i="5"/>
  <c r="AB1104" i="5"/>
  <c r="AB1106" i="5"/>
  <c r="AB1108" i="5"/>
  <c r="AB1110" i="5"/>
  <c r="AB1112" i="5"/>
  <c r="AB1114" i="5"/>
  <c r="AB1116" i="5"/>
  <c r="AB1118" i="5"/>
  <c r="AB1120" i="5"/>
  <c r="AB1122" i="5"/>
  <c r="AB1124" i="5"/>
  <c r="AB1126" i="5"/>
  <c r="AC1137" i="5"/>
  <c r="AC1141" i="5"/>
  <c r="AC1151" i="5"/>
  <c r="AC1153" i="5"/>
  <c r="AC1155" i="5"/>
  <c r="AC1076" i="5"/>
  <c r="AB1070" i="5"/>
  <c r="AB1071" i="5"/>
  <c r="AB1079" i="5"/>
  <c r="AB1081" i="5"/>
  <c r="AB1083" i="5"/>
  <c r="AB1085" i="5"/>
  <c r="AB1087" i="5"/>
  <c r="AB1089" i="5"/>
  <c r="AB1091" i="5"/>
  <c r="AB1132" i="5"/>
  <c r="AB1134" i="5"/>
  <c r="AB1136" i="5"/>
  <c r="AB1138" i="5"/>
  <c r="AB1140" i="5"/>
  <c r="AB1142" i="5"/>
  <c r="AB1144" i="5"/>
  <c r="AB1146" i="5"/>
  <c r="AC1133" i="5"/>
  <c r="AC1136" i="5"/>
  <c r="AC1140" i="5"/>
  <c r="AC1144" i="5"/>
  <c r="AC1073" i="5"/>
  <c r="AB1119" i="5"/>
  <c r="AB1121" i="5"/>
  <c r="AB1123" i="5"/>
  <c r="AB1125" i="5"/>
  <c r="AB1127" i="5"/>
  <c r="AC1132" i="5"/>
  <c r="AC1135" i="5"/>
  <c r="AC1139" i="5"/>
  <c r="AC1143" i="5"/>
  <c r="AB1150" i="5"/>
  <c r="AB1152" i="5"/>
  <c r="AB1154" i="5"/>
  <c r="AB1156" i="5"/>
  <c r="AC1152" i="5"/>
  <c r="AC1154" i="5"/>
  <c r="AC1156" i="5"/>
  <c r="AC1077" i="5"/>
  <c r="AC1072" i="5"/>
  <c r="AB1078" i="5"/>
  <c r="AB1080" i="5"/>
  <c r="AB1082" i="5"/>
  <c r="AB1084" i="5"/>
  <c r="AB1086" i="5"/>
  <c r="AB1088" i="5"/>
  <c r="AB1090" i="5"/>
  <c r="AB1147" i="5"/>
  <c r="AC1134" i="5"/>
  <c r="AC1138" i="5"/>
  <c r="AC1142" i="5"/>
  <c r="L1123" i="6"/>
  <c r="L1125" i="6"/>
  <c r="L1132" i="6"/>
  <c r="L1134" i="6"/>
  <c r="L1136" i="6"/>
  <c r="L1138" i="6"/>
  <c r="AC1075" i="5"/>
  <c r="AB1075" i="5"/>
  <c r="AB1128" i="5"/>
  <c r="AB1129" i="5"/>
  <c r="AB1130" i="5"/>
  <c r="AB1131" i="5"/>
  <c r="AC1148" i="5"/>
  <c r="L1122" i="6"/>
  <c r="L1124" i="6"/>
  <c r="L1126" i="6"/>
  <c r="L1131" i="6"/>
  <c r="L1133" i="6"/>
  <c r="L1135" i="6"/>
  <c r="L1137" i="6"/>
  <c r="L1139" i="6"/>
</calcChain>
</file>

<file path=xl/sharedStrings.xml><?xml version="1.0" encoding="utf-8"?>
<sst xmlns="http://schemas.openxmlformats.org/spreadsheetml/2006/main" count="254" uniqueCount="101">
  <si>
    <t>WITHOUT NOx</t>
  </si>
  <si>
    <t>WITH NOx</t>
  </si>
  <si>
    <t>Selection</t>
  </si>
  <si>
    <t>Natural Gas</t>
  </si>
  <si>
    <t>WITHOUT SO2 &amp; NOx</t>
  </si>
  <si>
    <t>WITH SO2 &amp; NOx</t>
  </si>
  <si>
    <t>Heavy Oil SO2</t>
  </si>
  <si>
    <t>HIGH PRICES</t>
  </si>
  <si>
    <t>MEDIUM PRICES</t>
  </si>
  <si>
    <t>LOW PRICES</t>
  </si>
  <si>
    <t>Coal</t>
  </si>
  <si>
    <t>Light Oil SO2</t>
  </si>
  <si>
    <t>Heavy Oil</t>
  </si>
  <si>
    <t>Light Oil</t>
  </si>
  <si>
    <t>$/MMBTU</t>
  </si>
  <si>
    <t>MONTH</t>
  </si>
  <si>
    <t>DISPATCH PRICE WITH SO2 &amp; NOx</t>
  </si>
  <si>
    <t>DISPATCH PRICE WITHOUT SO2 &amp; NOx</t>
  </si>
  <si>
    <t>WEIGHTED AVERAGE WITH SO2 &amp; NOx</t>
  </si>
  <si>
    <t>WEIGHTED AVERAGE WITHOUT SO2 &amp; NOx</t>
  </si>
  <si>
    <t>CEDAR BAY</t>
  </si>
  <si>
    <t>ICL</t>
  </si>
  <si>
    <t>ST. JOHNS RIVER POWER PARK</t>
  </si>
  <si>
    <t>PLANT SCHERER UNIT 4</t>
  </si>
  <si>
    <t>HIGH</t>
  </si>
  <si>
    <t>LOW</t>
  </si>
  <si>
    <t xml:space="preserve"> </t>
  </si>
  <si>
    <t>May 06, 2013 - LISA GORMAN</t>
  </si>
  <si>
    <t>RIVIERA</t>
  </si>
  <si>
    <t>CANAVERAL</t>
  </si>
  <si>
    <t>MARTIN</t>
  </si>
  <si>
    <t>PUTNAM</t>
  </si>
  <si>
    <t>FT MYERS</t>
  </si>
  <si>
    <t>LAUDERDALE</t>
  </si>
  <si>
    <t>PORT EVERGLADES</t>
  </si>
  <si>
    <t>OLEANDER</t>
  </si>
  <si>
    <t>WCEC</t>
  </si>
  <si>
    <t>TURKEY POINT</t>
  </si>
  <si>
    <t>$/BBL.</t>
  </si>
  <si>
    <t>WTI</t>
  </si>
  <si>
    <t>RIVIERA 1%</t>
  </si>
  <si>
    <t>SANFORD 1%</t>
  </si>
  <si>
    <t>INDIAN RIVER &amp; CANAVERAL 1%</t>
  </si>
  <si>
    <r>
      <t>TURKEY POINT 1%</t>
    </r>
    <r>
      <rPr>
        <b/>
        <sz val="14"/>
        <rFont val="Arial"/>
        <family val="2"/>
      </rPr>
      <t>/</t>
    </r>
    <r>
      <rPr>
        <b/>
        <sz val="14"/>
        <color indexed="17"/>
        <rFont val="Arial"/>
        <family val="2"/>
      </rPr>
      <t>0.7%</t>
    </r>
  </si>
  <si>
    <t>MANATEE 1%/0.7%</t>
  </si>
  <si>
    <t>PORT EVERGLADES 1%</t>
  </si>
  <si>
    <t>MARTIN 1%</t>
  </si>
  <si>
    <t>MARTIN 0.7%</t>
  </si>
  <si>
    <t>MM$</t>
  </si>
  <si>
    <t>WEIGHTED AVERAGE GULFSTREAM FIRM</t>
  </si>
  <si>
    <t>WEIGHTED AVERAGE FGT FIRM</t>
  </si>
  <si>
    <t>UPS REPLACEMENT SUNK DEMAND CHARGE</t>
  </si>
  <si>
    <t>UPS REPLACEMENT DISPATCH PRICE</t>
  </si>
  <si>
    <t>BAY GAS STORAGE DEMAND CHARGE</t>
  </si>
  <si>
    <t>GULF SOUTH</t>
  </si>
  <si>
    <t>TRANSCO 4A</t>
  </si>
  <si>
    <t>SESH</t>
  </si>
  <si>
    <t>GULFSTREAM</t>
  </si>
  <si>
    <t>FGT</t>
  </si>
  <si>
    <t>HENRY HUB</t>
  </si>
  <si>
    <t>GULFSTREAM NON-FIRM BACKHAUL</t>
  </si>
  <si>
    <t>GULFSTREAM NON-FIRM</t>
  </si>
  <si>
    <r>
      <t xml:space="preserve">GULFSTREAM FIRN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</si>
  <si>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DISPATCH PRICE</t>
  </si>
  <si>
    <r>
      <t xml:space="preserve">GULFSTREAM FIRM </t>
    </r>
    <r>
      <rPr>
        <b/>
        <sz val="12"/>
        <color indexed="12"/>
        <rFont val="Arial"/>
        <family val="2"/>
      </rPr>
      <t xml:space="preserve">GULF SOUTH </t>
    </r>
    <r>
      <rPr>
        <b/>
        <sz val="12"/>
        <rFont val="Arial"/>
        <family val="2"/>
      </rPr>
      <t>DISPATCH PRICE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</si>
  <si>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DISPATCH PRICE</t>
    </r>
  </si>
  <si>
    <t>FGT NON-FIRM</t>
  </si>
  <si>
    <t>FUTURE GAS PIPELINE</t>
  </si>
  <si>
    <r>
      <t xml:space="preserve">PHASE VIII FGT FIRM FROM </t>
    </r>
    <r>
      <rPr>
        <b/>
        <sz val="12"/>
        <color indexed="17"/>
        <rFont val="Arial"/>
        <family val="2"/>
      </rPr>
      <t>SESH</t>
    </r>
  </si>
  <si>
    <r>
      <t xml:space="preserve">PHASE VIII FGT FIRM FROM </t>
    </r>
    <r>
      <rPr>
        <b/>
        <sz val="12"/>
        <color indexed="10"/>
        <rFont val="Arial"/>
        <family val="2"/>
      </rPr>
      <t>TRANSCO 4A</t>
    </r>
  </si>
  <si>
    <t>PHASE VIII ZONE 3 MOBILE BAY/DESTIN FGT FIRM</t>
  </si>
  <si>
    <r>
      <t xml:space="preserve">ZONE 3 MOBILE BAY/DESTIN FGT FIRM </t>
    </r>
    <r>
      <rPr>
        <b/>
        <sz val="12"/>
        <color indexed="12"/>
        <rFont val="Arial"/>
        <family val="2"/>
      </rPr>
      <t>GULF SOUTH</t>
    </r>
  </si>
  <si>
    <r>
      <t xml:space="preserve">ZONE 3 MOBILE BAY/DESTIN FGT FIRM </t>
    </r>
    <r>
      <rPr>
        <b/>
        <sz val="12"/>
        <color indexed="17"/>
        <rFont val="Arial"/>
        <family val="2"/>
      </rPr>
      <t>SESH</t>
    </r>
  </si>
  <si>
    <t>ZONE 3 MOBILE BAY/DESTIN FGT FIRM</t>
  </si>
  <si>
    <t>ZONE 3 FGT FIRM</t>
  </si>
  <si>
    <t>ZONE 2 FGT FIRM</t>
  </si>
  <si>
    <t>ZONE 1 FGT FIRM</t>
  </si>
  <si>
    <t>ESTMATED SUNK DEMAND CHARGE(S) FOR THE NEW PIPELINE WILL BE PROVIDED UPON REQUEST</t>
  </si>
  <si>
    <t>FIRM TRANSPORT AND STORAGE CONTRACTS THROUGH FGT PHASE VIII</t>
  </si>
  <si>
    <t>SUNK DEMAND CHARGE FOR ALL CURRENT</t>
  </si>
  <si>
    <t>MMCF/DAY</t>
  </si>
  <si>
    <t>DAYS</t>
  </si>
  <si>
    <t>GULFSTREAM NON-FIRM &amp; NON-FIRM BACKHAUL</t>
  </si>
  <si>
    <t>TOTAL GULFSTREAM FIRM</t>
  </si>
  <si>
    <t>GULFSTREAM FIRM CONTRACTUAL BALANCE</t>
  </si>
  <si>
    <r>
      <t xml:space="preserve">GULFSTREAM FIRM </t>
    </r>
    <r>
      <rPr>
        <b/>
        <sz val="12"/>
        <color indexed="12"/>
        <rFont val="Arial"/>
        <family val="2"/>
      </rPr>
      <t>GULF SOUTH</t>
    </r>
    <r>
      <rPr>
        <b/>
        <sz val="12"/>
        <rFont val="Arial"/>
        <family val="2"/>
      </rPr>
      <t xml:space="preserve"> VOLUMES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</si>
  <si>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VOLUMES</t>
    </r>
  </si>
  <si>
    <t>TOTAL FGT FIRM</t>
  </si>
  <si>
    <t>PHASE VIII FTS 3</t>
  </si>
  <si>
    <t>FGT FIRM BY ZONE</t>
  </si>
  <si>
    <t>Florida Power &amp; Light Company</t>
  </si>
  <si>
    <t>Docket No. 160154-EI</t>
  </si>
  <si>
    <t>Staff's First Set of Interrogatories</t>
  </si>
  <si>
    <t>Interrogatory No. 2</t>
  </si>
  <si>
    <t>Tab 1 of 6</t>
  </si>
  <si>
    <t>Attachment No. 16</t>
  </si>
  <si>
    <t>Tab 4 of 6</t>
  </si>
  <si>
    <t>Tab 3 of 6</t>
  </si>
  <si>
    <t>Tab 2 of 6</t>
  </si>
  <si>
    <t>Tab 5 of 6</t>
  </si>
  <si>
    <t>Tab 6 of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</si>
</sst>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0.000000"/>
    <numFmt numFmtId="165" formatCode="0_)"/>
    <numFmt numFmtId="166" formatCode="&quot;$&quot;#,##0.00"/>
    <numFmt numFmtId="167" formatCode="[$-409]mmm\-yy;@"/>
    <numFmt numFmtId="168" formatCode="&quot;$&quot;#,##0.0"/>
    <numFmt numFmtId="169" formatCode="&quot;$&quot;#,##0.0_);[Red]\(&quot;$&quot;#,##0.0\)"/>
    <numFmt numFmtId="170" formatCode="0.0"/>
  </numFmts>
  <fonts count="20" x14ac:knownFonts="1">
    <font>
      <sz val="12"/>
      <name val="Helv"/>
    </font>
    <font>
      <sz val="12"/>
      <name val="Helv"/>
    </font>
    <font>
      <sz val="12"/>
      <color indexed="12"/>
      <name val="Helv"/>
    </font>
    <font>
      <b/>
      <sz val="12"/>
      <name val="Helv"/>
    </font>
    <font>
      <sz val="10"/>
      <name val="Arial"/>
      <family val="2"/>
    </font>
    <font>
      <sz val="12"/>
      <name val="Arial"/>
      <family val="2"/>
    </font>
    <font>
      <b/>
      <u val="singleAccounting"/>
      <sz val="12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12"/>
      <color indexed="12"/>
      <name val="Arial"/>
      <family val="2"/>
    </font>
    <font>
      <b/>
      <sz val="14"/>
      <name val="Arial"/>
      <family val="2"/>
    </font>
    <font>
      <b/>
      <sz val="14"/>
      <color indexed="17"/>
      <name val="Arial"/>
      <family val="2"/>
    </font>
    <font>
      <sz val="12"/>
      <color indexed="12"/>
      <name val="Arial"/>
      <family val="2"/>
    </font>
    <font>
      <sz val="12"/>
      <color theme="3"/>
      <name val="Arial"/>
      <family val="2"/>
    </font>
    <font>
      <b/>
      <sz val="12"/>
      <color theme="3"/>
      <name val="Arial"/>
      <family val="2"/>
    </font>
    <font>
      <b/>
      <sz val="12"/>
      <color indexed="10"/>
      <name val="Arial"/>
      <family val="2"/>
    </font>
    <font>
      <b/>
      <sz val="12"/>
      <color indexed="17"/>
      <name val="Arial"/>
      <family val="2"/>
    </font>
    <font>
      <b/>
      <sz val="16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6FF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</borders>
  <cellStyleXfs count="22">
    <xf numFmtId="164" fontId="0" fillId="0" borderId="0">
      <alignment horizontal="left" wrapText="1"/>
    </xf>
    <xf numFmtId="44" fontId="4" fillId="0" borderId="0" applyFont="0" applyFill="0" applyBorder="0" applyAlignment="0" applyProtection="0"/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0" fontId="4" fillId="0" borderId="0"/>
  </cellStyleXfs>
  <cellXfs count="118">
    <xf numFmtId="164" fontId="0" fillId="0" borderId="0" xfId="0">
      <alignment horizontal="left" wrapText="1"/>
    </xf>
    <xf numFmtId="165" fontId="0" fillId="0" borderId="0" xfId="0" applyNumberFormat="1" applyAlignment="1"/>
    <xf numFmtId="165" fontId="2" fillId="0" borderId="1" xfId="0" quotePrefix="1" applyNumberFormat="1" applyFont="1" applyBorder="1" applyAlignment="1">
      <alignment horizontal="left"/>
    </xf>
    <xf numFmtId="165" fontId="2" fillId="0" borderId="3" xfId="0" quotePrefix="1" applyNumberFormat="1" applyFont="1" applyBorder="1" applyAlignment="1">
      <alignment horizontal="left"/>
    </xf>
    <xf numFmtId="165" fontId="3" fillId="0" borderId="4" xfId="0" applyNumberFormat="1" applyFont="1" applyBorder="1" applyAlignment="1"/>
    <xf numFmtId="165" fontId="2" fillId="0" borderId="1" xfId="0" applyNumberFormat="1" applyFont="1" applyBorder="1" applyAlignment="1"/>
    <xf numFmtId="165" fontId="2" fillId="0" borderId="3" xfId="0" applyNumberFormat="1" applyFont="1" applyBorder="1" applyAlignment="1"/>
    <xf numFmtId="165" fontId="3" fillId="0" borderId="4" xfId="0" quotePrefix="1" applyNumberFormat="1" applyFont="1" applyBorder="1" applyAlignment="1">
      <alignment horizontal="left"/>
    </xf>
    <xf numFmtId="0" fontId="4" fillId="0" borderId="0" xfId="21"/>
    <xf numFmtId="166" fontId="5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166" fontId="5" fillId="0" borderId="0" xfId="1" applyNumberFormat="1" applyFont="1" applyAlignment="1">
      <alignment horizontal="center"/>
    </xf>
    <xf numFmtId="165" fontId="5" fillId="0" borderId="0" xfId="0" applyNumberFormat="1" applyFont="1" applyAlignment="1"/>
    <xf numFmtId="17" fontId="5" fillId="0" borderId="0" xfId="0" applyNumberFormat="1" applyFont="1" applyAlignment="1">
      <alignment horizontal="center"/>
    </xf>
    <xf numFmtId="166" fontId="5" fillId="0" borderId="0" xfId="21" applyNumberFormat="1" applyFont="1" applyAlignment="1">
      <alignment horizontal="center"/>
    </xf>
    <xf numFmtId="44" fontId="6" fillId="0" borderId="0" xfId="1" applyFont="1" applyAlignment="1">
      <alignment horizontal="center"/>
    </xf>
    <xf numFmtId="0" fontId="7" fillId="0" borderId="0" xfId="21" applyFont="1" applyAlignment="1">
      <alignment horizontal="center"/>
    </xf>
    <xf numFmtId="165" fontId="8" fillId="0" borderId="0" xfId="0" quotePrefix="1" applyNumberFormat="1" applyFont="1" applyFill="1" applyAlignment="1">
      <alignment horizontal="center"/>
    </xf>
    <xf numFmtId="165" fontId="8" fillId="0" borderId="0" xfId="0" applyNumberFormat="1" applyFont="1" applyFill="1" applyAlignment="1">
      <alignment horizontal="center"/>
    </xf>
    <xf numFmtId="165" fontId="8" fillId="2" borderId="0" xfId="0" quotePrefix="1" applyNumberFormat="1" applyFont="1" applyFill="1" applyAlignment="1">
      <alignment horizontal="center"/>
    </xf>
    <xf numFmtId="165" fontId="8" fillId="3" borderId="0" xfId="0" quotePrefix="1" applyNumberFormat="1" applyFont="1" applyFill="1" applyAlignment="1">
      <alignment horizontal="center"/>
    </xf>
    <xf numFmtId="165" fontId="8" fillId="4" borderId="0" xfId="0" quotePrefix="1" applyNumberFormat="1" applyFont="1" applyFill="1" applyAlignment="1">
      <alignment horizontal="center"/>
    </xf>
    <xf numFmtId="0" fontId="4" fillId="0" borderId="0" xfId="21" applyFill="1"/>
    <xf numFmtId="165" fontId="8" fillId="2" borderId="0" xfId="0" quotePrefix="1" applyNumberFormat="1" applyFont="1" applyFill="1" applyAlignment="1">
      <alignment horizontal="center" vertical="center" wrapText="1"/>
    </xf>
    <xf numFmtId="165" fontId="8" fillId="3" borderId="0" xfId="0" quotePrefix="1" applyNumberFormat="1" applyFont="1" applyFill="1" applyAlignment="1">
      <alignment horizontal="center" vertical="center" wrapText="1"/>
    </xf>
    <xf numFmtId="165" fontId="8" fillId="4" borderId="0" xfId="0" quotePrefix="1" applyNumberFormat="1" applyFont="1" applyFill="1" applyAlignment="1">
      <alignment horizontal="center" vertical="center" wrapText="1"/>
    </xf>
    <xf numFmtId="0" fontId="9" fillId="0" borderId="0" xfId="21" applyFont="1"/>
    <xf numFmtId="10" fontId="8" fillId="7" borderId="0" xfId="21" quotePrefix="1" applyNumberFormat="1" applyFont="1" applyFill="1" applyAlignment="1">
      <alignment horizontal="center"/>
    </xf>
    <xf numFmtId="15" fontId="8" fillId="7" borderId="0" xfId="21" applyNumberFormat="1" applyFont="1" applyFill="1" applyAlignment="1">
      <alignment horizontal="left"/>
    </xf>
    <xf numFmtId="15" fontId="8" fillId="0" borderId="0" xfId="21" quotePrefix="1" applyNumberFormat="1" applyFont="1" applyAlignment="1">
      <alignment horizontal="left"/>
    </xf>
    <xf numFmtId="0" fontId="10" fillId="0" borderId="0" xfId="21" applyFont="1"/>
    <xf numFmtId="0" fontId="4" fillId="0" borderId="0" xfId="21" applyAlignment="1">
      <alignment horizontal="center"/>
    </xf>
    <xf numFmtId="17" fontId="1" fillId="0" borderId="0" xfId="0" applyNumberFormat="1" applyFont="1" applyAlignment="1">
      <alignment horizontal="center"/>
    </xf>
    <xf numFmtId="17" fontId="0" fillId="0" borderId="0" xfId="0" applyNumberFormat="1" applyAlignment="1">
      <alignment horizontal="center"/>
    </xf>
    <xf numFmtId="167" fontId="5" fillId="0" borderId="0" xfId="0" applyNumberFormat="1" applyFont="1" applyAlignment="1">
      <alignment horizontal="center"/>
    </xf>
    <xf numFmtId="8" fontId="4" fillId="0" borderId="0" xfId="21" applyNumberFormat="1"/>
    <xf numFmtId="0" fontId="4" fillId="0" borderId="0" xfId="21" applyAlignment="1">
      <alignment horizontal="center" wrapText="1"/>
    </xf>
    <xf numFmtId="0" fontId="8" fillId="0" borderId="0" xfId="21" applyFont="1" applyAlignment="1">
      <alignment horizontal="center" wrapText="1"/>
    </xf>
    <xf numFmtId="0" fontId="7" fillId="0" borderId="0" xfId="21" applyFont="1" applyAlignment="1">
      <alignment horizontal="center" wrapText="1"/>
    </xf>
    <xf numFmtId="0" fontId="8" fillId="0" borderId="0" xfId="21" quotePrefix="1" applyFont="1" applyAlignment="1">
      <alignment horizontal="center" wrapText="1"/>
    </xf>
    <xf numFmtId="10" fontId="11" fillId="7" borderId="0" xfId="21" applyNumberFormat="1" applyFont="1" applyFill="1" applyAlignment="1">
      <alignment horizontal="center"/>
    </xf>
    <xf numFmtId="0" fontId="8" fillId="7" borderId="0" xfId="21" applyFont="1" applyFill="1" applyAlignment="1">
      <alignment horizontal="center"/>
    </xf>
    <xf numFmtId="166" fontId="8" fillId="0" borderId="0" xfId="21" applyNumberFormat="1" applyFont="1" applyFill="1" applyAlignment="1">
      <alignment horizontal="center"/>
    </xf>
    <xf numFmtId="15" fontId="8" fillId="0" borderId="0" xfId="21" applyNumberFormat="1" applyFont="1" applyAlignment="1">
      <alignment horizontal="left"/>
    </xf>
    <xf numFmtId="8" fontId="5" fillId="0" borderId="0" xfId="21" applyNumberFormat="1" applyFont="1" applyAlignment="1">
      <alignment horizontal="center"/>
    </xf>
    <xf numFmtId="166" fontId="5" fillId="6" borderId="0" xfId="21" applyNumberFormat="1" applyFont="1" applyFill="1" applyAlignment="1">
      <alignment horizontal="center"/>
    </xf>
    <xf numFmtId="166" fontId="5" fillId="8" borderId="0" xfId="21" applyNumberFormat="1" applyFont="1" applyFill="1" applyAlignment="1">
      <alignment horizontal="center"/>
    </xf>
    <xf numFmtId="15" fontId="8" fillId="0" borderId="0" xfId="21" applyNumberFormat="1" applyFont="1" applyFill="1" applyAlignment="1">
      <alignment horizontal="left"/>
    </xf>
    <xf numFmtId="0" fontId="4" fillId="0" borderId="0" xfId="21" applyFill="1" applyAlignment="1">
      <alignment horizontal="center"/>
    </xf>
    <xf numFmtId="168" fontId="5" fillId="0" borderId="0" xfId="21" applyNumberFormat="1" applyFont="1" applyAlignment="1">
      <alignment horizontal="center"/>
    </xf>
    <xf numFmtId="166" fontId="5" fillId="3" borderId="0" xfId="21" applyNumberFormat="1" applyFont="1" applyFill="1" applyAlignment="1">
      <alignment horizontal="center"/>
    </xf>
    <xf numFmtId="168" fontId="4" fillId="0" borderId="0" xfId="21" applyNumberFormat="1"/>
    <xf numFmtId="166" fontId="4" fillId="0" borderId="0" xfId="21" applyNumberFormat="1"/>
    <xf numFmtId="166" fontId="8" fillId="5" borderId="0" xfId="21" applyNumberFormat="1" applyFont="1" applyFill="1" applyAlignment="1">
      <alignment horizontal="center"/>
    </xf>
    <xf numFmtId="168" fontId="5" fillId="0" borderId="0" xfId="21" applyNumberFormat="1" applyFont="1"/>
    <xf numFmtId="166" fontId="5" fillId="0" borderId="0" xfId="21" applyNumberFormat="1" applyFont="1"/>
    <xf numFmtId="168" fontId="14" fillId="0" borderId="0" xfId="21" applyNumberFormat="1" applyFont="1" applyAlignment="1">
      <alignment horizontal="center"/>
    </xf>
    <xf numFmtId="169" fontId="5" fillId="0" borderId="0" xfId="21" applyNumberFormat="1" applyFont="1" applyAlignment="1">
      <alignment horizontal="center"/>
    </xf>
    <xf numFmtId="169" fontId="5" fillId="5" borderId="0" xfId="21" applyNumberFormat="1" applyFont="1" applyFill="1" applyAlignment="1">
      <alignment horizontal="center"/>
    </xf>
    <xf numFmtId="166" fontId="5" fillId="5" borderId="0" xfId="21" applyNumberFormat="1" applyFont="1" applyFill="1" applyAlignment="1">
      <alignment horizontal="center"/>
    </xf>
    <xf numFmtId="166" fontId="15" fillId="6" borderId="0" xfId="21" applyNumberFormat="1" applyFont="1" applyFill="1" applyAlignment="1">
      <alignment horizontal="center"/>
    </xf>
    <xf numFmtId="166" fontId="15" fillId="3" borderId="0" xfId="21" applyNumberFormat="1" applyFont="1" applyFill="1" applyAlignment="1">
      <alignment horizontal="center"/>
    </xf>
    <xf numFmtId="168" fontId="15" fillId="0" borderId="0" xfId="21" applyNumberFormat="1" applyFont="1" applyAlignment="1">
      <alignment horizontal="center"/>
    </xf>
    <xf numFmtId="166" fontId="15" fillId="0" borderId="0" xfId="21" applyNumberFormat="1" applyFont="1" applyAlignment="1">
      <alignment horizontal="center"/>
    </xf>
    <xf numFmtId="169" fontId="15" fillId="0" borderId="0" xfId="21" applyNumberFormat="1" applyFont="1" applyAlignment="1">
      <alignment horizontal="center"/>
    </xf>
    <xf numFmtId="166" fontId="16" fillId="5" borderId="0" xfId="21" applyNumberFormat="1" applyFont="1" applyFill="1" applyAlignment="1">
      <alignment horizontal="center"/>
    </xf>
    <xf numFmtId="0" fontId="8" fillId="6" borderId="0" xfId="21" applyFont="1" applyFill="1" applyAlignment="1">
      <alignment horizontal="center" wrapText="1"/>
    </xf>
    <xf numFmtId="0" fontId="8" fillId="3" borderId="0" xfId="21" applyFont="1" applyFill="1" applyAlignment="1">
      <alignment horizontal="center" wrapText="1"/>
    </xf>
    <xf numFmtId="0" fontId="8" fillId="5" borderId="0" xfId="21" applyFont="1" applyFill="1" applyAlignment="1">
      <alignment horizontal="center" wrapText="1"/>
    </xf>
    <xf numFmtId="0" fontId="8" fillId="6" borderId="0" xfId="21" quotePrefix="1" applyFont="1" applyFill="1" applyAlignment="1">
      <alignment horizontal="center" wrapText="1"/>
    </xf>
    <xf numFmtId="0" fontId="8" fillId="2" borderId="0" xfId="21" quotePrefix="1" applyFont="1" applyFill="1" applyAlignment="1">
      <alignment horizontal="center" wrapText="1"/>
    </xf>
    <xf numFmtId="0" fontId="8" fillId="3" borderId="0" xfId="21" quotePrefix="1" applyFont="1" applyFill="1" applyAlignment="1">
      <alignment horizontal="center" wrapText="1"/>
    </xf>
    <xf numFmtId="0" fontId="8" fillId="0" borderId="0" xfId="21" applyFont="1" applyAlignment="1">
      <alignment horizontal="center"/>
    </xf>
    <xf numFmtId="10" fontId="8" fillId="0" borderId="0" xfId="21" applyNumberFormat="1" applyFont="1" applyFill="1" applyAlignment="1">
      <alignment horizontal="center"/>
    </xf>
    <xf numFmtId="0" fontId="8" fillId="0" borderId="0" xfId="21" applyFont="1" applyFill="1" applyAlignment="1">
      <alignment horizontal="center"/>
    </xf>
    <xf numFmtId="10" fontId="8" fillId="7" borderId="0" xfId="21" applyNumberFormat="1" applyFont="1" applyFill="1" applyAlignment="1">
      <alignment horizontal="center"/>
    </xf>
    <xf numFmtId="0" fontId="8" fillId="0" borderId="0" xfId="21" quotePrefix="1" applyFont="1" applyAlignment="1">
      <alignment horizontal="center"/>
    </xf>
    <xf numFmtId="1" fontId="5" fillId="0" borderId="0" xfId="21" applyNumberFormat="1" applyFont="1" applyAlignment="1">
      <alignment horizontal="center"/>
    </xf>
    <xf numFmtId="1" fontId="4" fillId="0" borderId="0" xfId="21" applyNumberFormat="1" applyAlignment="1">
      <alignment horizontal="center"/>
    </xf>
    <xf numFmtId="1" fontId="5" fillId="9" borderId="0" xfId="21" applyNumberFormat="1" applyFont="1" applyFill="1" applyAlignment="1">
      <alignment horizontal="center"/>
    </xf>
    <xf numFmtId="1" fontId="5" fillId="0" borderId="0" xfId="21" applyNumberFormat="1" applyFont="1" applyFill="1" applyAlignment="1">
      <alignment horizontal="center"/>
    </xf>
    <xf numFmtId="3" fontId="5" fillId="0" borderId="0" xfId="21" applyNumberFormat="1" applyFont="1" applyAlignment="1">
      <alignment horizontal="center"/>
    </xf>
    <xf numFmtId="3" fontId="5" fillId="0" borderId="0" xfId="21" applyNumberFormat="1" applyFont="1" applyFill="1" applyAlignment="1">
      <alignment horizontal="center"/>
    </xf>
    <xf numFmtId="3" fontId="5" fillId="9" borderId="0" xfId="21" applyNumberFormat="1" applyFont="1" applyFill="1" applyAlignment="1">
      <alignment horizontal="center"/>
    </xf>
    <xf numFmtId="170" fontId="8" fillId="5" borderId="0" xfId="21" applyNumberFormat="1" applyFont="1" applyFill="1" applyAlignment="1">
      <alignment horizontal="center"/>
    </xf>
    <xf numFmtId="3" fontId="5" fillId="5" borderId="0" xfId="21" applyNumberFormat="1" applyFont="1" applyFill="1" applyAlignment="1">
      <alignment horizontal="center"/>
    </xf>
    <xf numFmtId="3" fontId="5" fillId="0" borderId="0" xfId="0" applyNumberFormat="1" applyFont="1" applyAlignment="1">
      <alignment horizontal="center"/>
    </xf>
    <xf numFmtId="1" fontId="5" fillId="0" borderId="0" xfId="0" applyNumberFormat="1" applyFont="1" applyAlignment="1"/>
    <xf numFmtId="1" fontId="8" fillId="5" borderId="0" xfId="21" applyNumberFormat="1" applyFont="1" applyFill="1" applyAlignment="1">
      <alignment horizontal="center"/>
    </xf>
    <xf numFmtId="1" fontId="1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5" fillId="0" borderId="0" xfId="0" applyNumberFormat="1" applyFont="1" applyAlignment="1">
      <alignment horizontal="center"/>
    </xf>
    <xf numFmtId="1" fontId="5" fillId="5" borderId="0" xfId="21" applyNumberFormat="1" applyFont="1" applyFill="1" applyAlignment="1">
      <alignment horizontal="center"/>
    </xf>
    <xf numFmtId="0" fontId="7" fillId="5" borderId="0" xfId="21" applyFont="1" applyFill="1" applyAlignment="1">
      <alignment horizontal="center" wrapText="1"/>
    </xf>
    <xf numFmtId="0" fontId="8" fillId="2" borderId="0" xfId="21" applyFont="1" applyFill="1" applyAlignment="1">
      <alignment horizontal="center" wrapText="1"/>
    </xf>
    <xf numFmtId="0" fontId="5" fillId="0" borderId="0" xfId="21" applyFont="1" applyAlignment="1">
      <alignment horizontal="center" wrapText="1"/>
    </xf>
    <xf numFmtId="0" fontId="8" fillId="0" borderId="0" xfId="21" quotePrefix="1" applyFont="1" applyFill="1" applyAlignment="1">
      <alignment horizontal="center"/>
    </xf>
    <xf numFmtId="0" fontId="8" fillId="0" borderId="0" xfId="21" applyFont="1" applyFill="1" applyAlignment="1"/>
    <xf numFmtId="0" fontId="8" fillId="4" borderId="0" xfId="21" applyFont="1" applyFill="1" applyAlignment="1">
      <alignment horizontal="center"/>
    </xf>
    <xf numFmtId="0" fontId="8" fillId="6" borderId="0" xfId="21" quotePrefix="1" applyFont="1" applyFill="1" applyAlignment="1">
      <alignment horizontal="center"/>
    </xf>
    <xf numFmtId="0" fontId="8" fillId="0" borderId="0" xfId="21" applyFont="1"/>
    <xf numFmtId="165" fontId="0" fillId="0" borderId="0" xfId="0" applyNumberFormat="1" applyFill="1" applyAlignment="1"/>
    <xf numFmtId="165" fontId="3" fillId="0" borderId="0" xfId="0" applyNumberFormat="1" applyFont="1" applyAlignment="1">
      <alignment horizontal="left"/>
    </xf>
    <xf numFmtId="165" fontId="2" fillId="0" borderId="2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/>
    </xf>
    <xf numFmtId="165" fontId="8" fillId="6" borderId="0" xfId="0" quotePrefix="1" applyNumberFormat="1" applyFont="1" applyFill="1" applyAlignment="1">
      <alignment horizontal="center"/>
    </xf>
    <xf numFmtId="0" fontId="8" fillId="0" borderId="0" xfId="21" applyFont="1" applyAlignment="1">
      <alignment horizontal="center"/>
    </xf>
    <xf numFmtId="0" fontId="8" fillId="5" borderId="0" xfId="21" quotePrefix="1" applyFont="1" applyFill="1" applyAlignment="1">
      <alignment horizontal="center"/>
    </xf>
    <xf numFmtId="0" fontId="8" fillId="5" borderId="0" xfId="21" applyFont="1" applyFill="1" applyAlignment="1">
      <alignment horizontal="center"/>
    </xf>
    <xf numFmtId="0" fontId="8" fillId="6" borderId="0" xfId="21" applyFont="1" applyFill="1" applyAlignment="1">
      <alignment horizontal="center"/>
    </xf>
    <xf numFmtId="0" fontId="8" fillId="6" borderId="0" xfId="21" quotePrefix="1" applyFont="1" applyFill="1" applyAlignment="1">
      <alignment horizontal="center"/>
    </xf>
    <xf numFmtId="0" fontId="19" fillId="6" borderId="7" xfId="21" quotePrefix="1" applyFont="1" applyFill="1" applyBorder="1" applyAlignment="1">
      <alignment horizontal="center"/>
    </xf>
    <xf numFmtId="0" fontId="19" fillId="6" borderId="6" xfId="21" quotePrefix="1" applyFont="1" applyFill="1" applyBorder="1" applyAlignment="1">
      <alignment horizontal="center"/>
    </xf>
    <xf numFmtId="0" fontId="19" fillId="6" borderId="5" xfId="21" quotePrefix="1" applyFont="1" applyFill="1" applyBorder="1" applyAlignment="1">
      <alignment horizontal="center"/>
    </xf>
    <xf numFmtId="0" fontId="8" fillId="0" borderId="0" xfId="21" quotePrefix="1" applyFont="1" applyFill="1" applyAlignment="1">
      <alignment horizontal="center"/>
    </xf>
    <xf numFmtId="0" fontId="8" fillId="4" borderId="0" xfId="21" quotePrefix="1" applyFont="1" applyFill="1" applyAlignment="1">
      <alignment horizontal="center"/>
    </xf>
    <xf numFmtId="0" fontId="8" fillId="4" borderId="0" xfId="21" applyFont="1" applyFill="1" applyAlignment="1">
      <alignment horizontal="center"/>
    </xf>
  </cellXfs>
  <cellStyles count="22">
    <cellStyle name="_CC Oil" xfId="2"/>
    <cellStyle name="_DSO Oil" xfId="3"/>
    <cellStyle name="_FLCC Oil" xfId="4"/>
    <cellStyle name="_FLPEGT Oil" xfId="5"/>
    <cellStyle name="_FMCT Oil" xfId="6"/>
    <cellStyle name="_GTDW_DataTemplate" xfId="7"/>
    <cellStyle name="_Gulfstream Gas" xfId="8"/>
    <cellStyle name="_MR .7 Oil" xfId="9"/>
    <cellStyle name="_MR 1 Oil" xfId="10"/>
    <cellStyle name="_MRCT Oil" xfId="11"/>
    <cellStyle name="_MT Gulfstream Gas" xfId="12"/>
    <cellStyle name="_MT Oil" xfId="13"/>
    <cellStyle name="_OLCT Oil" xfId="14"/>
    <cellStyle name="_PE Oil" xfId="15"/>
    <cellStyle name="_PN Oil" xfId="16"/>
    <cellStyle name="_RV Oil" xfId="17"/>
    <cellStyle name="_SHCT Oil" xfId="18"/>
    <cellStyle name="_SN Oil" xfId="19"/>
    <cellStyle name="_TP Oil" xfId="20"/>
    <cellStyle name="Currency" xfId="1" builtinId="4"/>
    <cellStyle name="Normal" xfId="0" builtinId="0"/>
    <cellStyle name="Normal_060415 RAP Fuel Price Forecast Template - Case 1 (Historical Spread)" xf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3" dropStyle="combo" dx="18" fmlaLink="CONTROL!$C$32" fmlaRange="CONTROL!$B$32:$B$34" sel="2" val="0"/>
</file>

<file path=xl/ctrlProps/ctrlProp2.xml><?xml version="1.0" encoding="utf-8"?>
<formControlPr xmlns="http://schemas.microsoft.com/office/spreadsheetml/2009/9/main" objectType="Drop" dropLines="3" dropStyle="combo" dx="18" fmlaLink="CONTROL!$C$9" fmlaRange="CONTROL!$B$9:$B$11" sel="2" val="0"/>
</file>

<file path=xl/ctrlProps/ctrlProp3.xml><?xml version="1.0" encoding="utf-8"?>
<formControlPr xmlns="http://schemas.microsoft.com/office/spreadsheetml/2009/9/main" objectType="Drop" dropLines="2" dropStyle="combo" dx="18" fmlaLink="CONTROL!$C$27" fmlaRange="CONTROL!$B$27:$B$28" val="0"/>
</file>

<file path=xl/ctrlProps/ctrlProp4.xml><?xml version="1.0" encoding="utf-8"?>
<formControlPr xmlns="http://schemas.microsoft.com/office/spreadsheetml/2009/9/main" objectType="Drop" dropLines="3" dropStyle="combo" dx="18" fmlaLink="CONTROL!$C$15" fmlaRange="CONTROL!$B$15:$B$17" sel="2" val="0"/>
</file>

<file path=xl/ctrlProps/ctrlProp5.xml><?xml version="1.0" encoding="utf-8"?>
<formControlPr xmlns="http://schemas.microsoft.com/office/spreadsheetml/2009/9/main" objectType="Drop" dropLines="2" dropStyle="combo" dx="18" fmlaLink="CONTROL!$C$38" fmlaRange="CONTROL!$B$38:$B$39" val="0"/>
</file>

<file path=xl/ctrlProps/ctrlProp6.xml><?xml version="1.0" encoding="utf-8"?>
<formControlPr xmlns="http://schemas.microsoft.com/office/spreadsheetml/2009/9/main" objectType="Drop" dropLines="3" dropStyle="combo" dx="18" fmlaLink="CONTROL!$C$21" fmlaRange="CONTROL!$B$21:$B$23" sel="2" val="0"/>
</file>

<file path=xl/ctrlProps/ctrlProp7.xml><?xml version="1.0" encoding="utf-8"?>
<formControlPr xmlns="http://schemas.microsoft.com/office/spreadsheetml/2009/9/main" objectType="Drop" dropLines="2" dropStyle="combo" dx="18" fmlaLink="CONTROL!$C$42" fmlaRange="CONTROL!$B$42:$B$43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7</xdr:row>
          <xdr:rowOff>47625</xdr:rowOff>
        </xdr:from>
        <xdr:to>
          <xdr:col>6</xdr:col>
          <xdr:colOff>381000</xdr:colOff>
          <xdr:row>8</xdr:row>
          <xdr:rowOff>104775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7</xdr:row>
          <xdr:rowOff>47625</xdr:rowOff>
        </xdr:from>
        <xdr:to>
          <xdr:col>7</xdr:col>
          <xdr:colOff>85725</xdr:colOff>
          <xdr:row>8</xdr:row>
          <xdr:rowOff>133350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276225</xdr:colOff>
          <xdr:row>7</xdr:row>
          <xdr:rowOff>76200</xdr:rowOff>
        </xdr:from>
        <xdr:to>
          <xdr:col>8</xdr:col>
          <xdr:colOff>276225</xdr:colOff>
          <xdr:row>8</xdr:row>
          <xdr:rowOff>161925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7</xdr:row>
          <xdr:rowOff>142875</xdr:rowOff>
        </xdr:from>
        <xdr:to>
          <xdr:col>8</xdr:col>
          <xdr:colOff>314325</xdr:colOff>
          <xdr:row>9</xdr:row>
          <xdr:rowOff>38100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7</xdr:row>
          <xdr:rowOff>142875</xdr:rowOff>
        </xdr:from>
        <xdr:to>
          <xdr:col>9</xdr:col>
          <xdr:colOff>581025</xdr:colOff>
          <xdr:row>9</xdr:row>
          <xdr:rowOff>38100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295275</xdr:colOff>
          <xdr:row>7</xdr:row>
          <xdr:rowOff>47625</xdr:rowOff>
        </xdr:from>
        <xdr:to>
          <xdr:col>8</xdr:col>
          <xdr:colOff>561975</xdr:colOff>
          <xdr:row>8</xdr:row>
          <xdr:rowOff>133350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7</xdr:row>
          <xdr:rowOff>142875</xdr:rowOff>
        </xdr:from>
        <xdr:to>
          <xdr:col>12</xdr:col>
          <xdr:colOff>266700</xdr:colOff>
          <xdr:row>9</xdr:row>
          <xdr:rowOff>28575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exu0ocl\040609%20FUEL%20COST%20RECOVERY%20-%20IRP%20SHORT%20&amp;%20LONG-TERM%20FOSSIL%20FUEL%20PRICE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XD0FJ7\AppData\Local\Temp\Temp1_2013.zip\2013\5.%20May\130506%202013%20-%202100%20LONG-TERM%20FORECAST%20FPL%20METHODOLOGY%20-%20To%20Delete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dex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REG\GenTrader%20Data\Weekly%20Long%20Run\040914\Inputs\GTDW_Data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 OIL BACKUP 2"/>
      <sheetName val="GRAPH DATA"/>
      <sheetName val="CURRENT FPL VS. FCR FORECAST"/>
      <sheetName val="CURRENT VS. PREVIOUS FPL FORE."/>
      <sheetName val="CURRENT FPL VS. PIRA FORECAST"/>
      <sheetName val="FPL FORECAST VS. FORWARD CURVE"/>
      <sheetName val="FPL MOST LIKELY OIL BACKUP 1"/>
      <sheetName val="COMPARISON OF DISPATCH PRICES"/>
      <sheetName val="FOSSIL FUEL GRAPH"/>
      <sheetName val="MOST LIKELY OIL FORECAST UPDATE"/>
      <sheetName val="MOST LIKELY OIL PRICE FORECAST"/>
      <sheetName val="LOW PRICE OIL FORECAST"/>
      <sheetName val="HIGH PRICE OIL FORECAST"/>
      <sheetName val="WEEKLY GAS FORECAST UPDATE"/>
      <sheetName val="MOST LIKELY GAS PRICE &amp; AVAIL"/>
      <sheetName val="MOST LIKELY COAL &amp; PET COKE"/>
      <sheetName val="FPL MOST LIKELY GAS BACKUP 2"/>
      <sheetName val="FPL MOST LIKELY GAS BACKUP 1"/>
      <sheetName val="FPL LOW PRICE GAS BACKUP 1"/>
      <sheetName val="FPL HIGH PRICE GAS BACKUP 1"/>
      <sheetName val="LOW PRICE GAS &amp; AVAILABILITY"/>
      <sheetName val="HIGH PRICE GAS &amp; AVAILA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W Curves"/>
      <sheetName val="_Setup_"/>
      <sheetName val="PIRA - LONG TERM OIL BACKUP"/>
      <sheetName val="PIRA - LONG TERM GAS BACKUP"/>
      <sheetName val="OIL &amp; GAS SEASONALITY"/>
      <sheetName val="DISTILLATE &amp; RESIDUAL FUEL OIL"/>
      <sheetName val="FGT NON-FIRM"/>
      <sheetName val="FGT PRIMARY FIRM ZONE 1"/>
      <sheetName val="FGT PRIMARY FIRM ZONE 2"/>
      <sheetName val="FGT PRIMARY FIRM ZONE 3"/>
      <sheetName val="FGT FIRM ZONE 3 MOBILE BAY-DES"/>
      <sheetName val="FTS 3  FIRM ZONE 3 MOBILE BAY-D"/>
      <sheetName val="TRANSCO 4A LATERAL TO FTS 3"/>
      <sheetName val="TRANSCO 4 LATERAL TO GULFSTREAM"/>
      <sheetName val="SESH TO FGT FIRM ZONE 3 MOB BAY"/>
      <sheetName val="SESH TO FTS 3"/>
      <sheetName val="SESH TO GULFSTREAM"/>
      <sheetName val="GULFSTREAM FIRM "/>
      <sheetName val="GULFSTREAM NON-FIRM"/>
      <sheetName val="GULFSTREAM NON-FIRM  BACKHAUL "/>
      <sheetName val="UPS REPLACEMENT"/>
      <sheetName val="FUTURE GAS PIPELINE"/>
      <sheetName val="Upload"/>
      <sheetName val="MOST LIKELY COAL &amp; PET COKE"/>
      <sheetName val="GULF SOUTH TO FGT Z3 MOBILE BAY"/>
      <sheetName val="GULF SOUTH TO GULFSTRE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-Data"/>
      <sheetName val="Misc-Data"/>
      <sheetName val="IndexAnalysis"/>
      <sheetName val="Nat Gas Strips "/>
      <sheetName val="Module2"/>
      <sheetName val="FeedLiveData"/>
    </sheetNames>
    <sheetDataSet>
      <sheetData sheetId="0" refreshError="1">
        <row r="2">
          <cell r="A2" t="str">
            <v>INDEX PRICE LOG</v>
          </cell>
        </row>
        <row r="3">
          <cell r="C3">
            <v>11</v>
          </cell>
          <cell r="D3">
            <v>12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</v>
          </cell>
          <cell r="R3">
            <v>2</v>
          </cell>
          <cell r="S3">
            <v>3</v>
          </cell>
          <cell r="T3">
            <v>4</v>
          </cell>
          <cell r="U3">
            <v>5</v>
          </cell>
          <cell r="V3">
            <v>6</v>
          </cell>
          <cell r="W3">
            <v>7</v>
          </cell>
          <cell r="X3">
            <v>8</v>
          </cell>
          <cell r="Y3">
            <v>9</v>
          </cell>
          <cell r="Z3">
            <v>10</v>
          </cell>
          <cell r="AA3">
            <v>11</v>
          </cell>
          <cell r="AB3">
            <v>12</v>
          </cell>
          <cell r="AC3">
            <v>1</v>
          </cell>
          <cell r="AD3">
            <v>2</v>
          </cell>
          <cell r="AE3">
            <v>3</v>
          </cell>
          <cell r="AF3">
            <v>4</v>
          </cell>
          <cell r="AG3">
            <v>5</v>
          </cell>
          <cell r="AH3">
            <v>6</v>
          </cell>
          <cell r="AI3">
            <v>7</v>
          </cell>
          <cell r="AJ3">
            <v>8</v>
          </cell>
          <cell r="AK3">
            <v>9</v>
          </cell>
          <cell r="AL3">
            <v>10</v>
          </cell>
          <cell r="AM3">
            <v>11</v>
          </cell>
          <cell r="AN3">
            <v>12</v>
          </cell>
          <cell r="AO3">
            <v>1</v>
          </cell>
          <cell r="AP3">
            <v>2</v>
          </cell>
          <cell r="AQ3">
            <v>3</v>
          </cell>
          <cell r="AR3">
            <v>4</v>
          </cell>
          <cell r="AS3">
            <v>5</v>
          </cell>
          <cell r="AT3">
            <v>6</v>
          </cell>
          <cell r="AU3">
            <v>7</v>
          </cell>
          <cell r="AV3">
            <v>8</v>
          </cell>
          <cell r="AW3">
            <v>9</v>
          </cell>
          <cell r="AX3">
            <v>10</v>
          </cell>
          <cell r="AY3">
            <v>11</v>
          </cell>
          <cell r="AZ3">
            <v>12</v>
          </cell>
          <cell r="BA3">
            <v>1</v>
          </cell>
          <cell r="BB3">
            <v>2</v>
          </cell>
          <cell r="BC3">
            <v>3</v>
          </cell>
          <cell r="BD3">
            <v>4</v>
          </cell>
          <cell r="BE3">
            <v>5</v>
          </cell>
          <cell r="BF3">
            <v>6</v>
          </cell>
          <cell r="BG3">
            <v>7</v>
          </cell>
          <cell r="BH3">
            <v>8</v>
          </cell>
          <cell r="BI3">
            <v>9</v>
          </cell>
          <cell r="BJ3">
            <v>10</v>
          </cell>
          <cell r="BK3">
            <v>11</v>
          </cell>
          <cell r="BL3">
            <v>12</v>
          </cell>
          <cell r="BM3">
            <v>1</v>
          </cell>
          <cell r="BN3">
            <v>2</v>
          </cell>
          <cell r="BO3">
            <v>3</v>
          </cell>
          <cell r="BP3">
            <v>4</v>
          </cell>
          <cell r="BQ3">
            <v>5</v>
          </cell>
          <cell r="BR3">
            <v>6</v>
          </cell>
          <cell r="BS3">
            <v>7</v>
          </cell>
          <cell r="BT3">
            <v>8</v>
          </cell>
          <cell r="BU3">
            <v>9</v>
          </cell>
          <cell r="BV3">
            <v>10</v>
          </cell>
          <cell r="BW3">
            <v>11</v>
          </cell>
          <cell r="BX3">
            <v>12</v>
          </cell>
          <cell r="BY3">
            <v>1</v>
          </cell>
          <cell r="BZ3">
            <v>2</v>
          </cell>
          <cell r="CA3">
            <v>3</v>
          </cell>
          <cell r="CB3">
            <v>4</v>
          </cell>
          <cell r="CC3">
            <v>5</v>
          </cell>
          <cell r="CD3">
            <v>6</v>
          </cell>
          <cell r="CE3">
            <v>7</v>
          </cell>
          <cell r="CF3">
            <v>8</v>
          </cell>
          <cell r="CG3">
            <v>9</v>
          </cell>
        </row>
        <row r="4">
          <cell r="C4">
            <v>33909</v>
          </cell>
          <cell r="D4">
            <v>33939</v>
          </cell>
          <cell r="E4">
            <v>33970</v>
          </cell>
          <cell r="F4">
            <v>34001</v>
          </cell>
          <cell r="G4">
            <v>34029</v>
          </cell>
          <cell r="H4">
            <v>34060</v>
          </cell>
          <cell r="I4">
            <v>34090</v>
          </cell>
          <cell r="J4">
            <v>34121</v>
          </cell>
          <cell r="K4">
            <v>34151</v>
          </cell>
          <cell r="L4">
            <v>34182</v>
          </cell>
          <cell r="M4">
            <v>34213</v>
          </cell>
          <cell r="N4">
            <v>34243</v>
          </cell>
          <cell r="O4">
            <v>34274</v>
          </cell>
          <cell r="P4">
            <v>34304</v>
          </cell>
          <cell r="Q4">
            <v>34335</v>
          </cell>
          <cell r="R4">
            <v>34366</v>
          </cell>
          <cell r="S4">
            <v>34394</v>
          </cell>
          <cell r="T4">
            <v>34425</v>
          </cell>
          <cell r="U4">
            <v>34455</v>
          </cell>
          <cell r="V4">
            <v>34486</v>
          </cell>
          <cell r="W4">
            <v>34516</v>
          </cell>
          <cell r="X4">
            <v>34547</v>
          </cell>
          <cell r="Y4">
            <v>34578</v>
          </cell>
          <cell r="Z4">
            <v>34608</v>
          </cell>
          <cell r="AA4">
            <v>34639</v>
          </cell>
          <cell r="AB4">
            <v>34669</v>
          </cell>
          <cell r="AC4">
            <v>34700</v>
          </cell>
          <cell r="AD4">
            <v>34731</v>
          </cell>
          <cell r="AE4">
            <v>34759</v>
          </cell>
          <cell r="AF4">
            <v>34790</v>
          </cell>
          <cell r="AG4">
            <v>34820</v>
          </cell>
          <cell r="AH4">
            <v>34851</v>
          </cell>
          <cell r="AI4">
            <v>34881</v>
          </cell>
          <cell r="AJ4">
            <v>34912</v>
          </cell>
          <cell r="AK4">
            <v>34943</v>
          </cell>
          <cell r="AL4">
            <v>34973</v>
          </cell>
          <cell r="AM4">
            <v>35004</v>
          </cell>
          <cell r="AN4">
            <v>35034</v>
          </cell>
          <cell r="AO4">
            <v>35065</v>
          </cell>
          <cell r="AP4">
            <v>35096</v>
          </cell>
          <cell r="AQ4">
            <v>35125</v>
          </cell>
          <cell r="AR4">
            <v>35156</v>
          </cell>
          <cell r="AS4">
            <v>35186</v>
          </cell>
          <cell r="AT4">
            <v>35217</v>
          </cell>
          <cell r="AU4">
            <v>35247</v>
          </cell>
          <cell r="AV4">
            <v>35278</v>
          </cell>
          <cell r="AW4">
            <v>35309</v>
          </cell>
          <cell r="AX4">
            <v>35339</v>
          </cell>
          <cell r="AY4">
            <v>35370</v>
          </cell>
          <cell r="AZ4">
            <v>35400</v>
          </cell>
          <cell r="BA4">
            <v>35431</v>
          </cell>
          <cell r="BB4">
            <v>35462</v>
          </cell>
          <cell r="BC4">
            <v>35490</v>
          </cell>
          <cell r="BD4">
            <v>35521</v>
          </cell>
          <cell r="BE4">
            <v>35551</v>
          </cell>
          <cell r="BF4">
            <v>35582</v>
          </cell>
          <cell r="BG4">
            <v>35612</v>
          </cell>
          <cell r="BH4">
            <v>35643</v>
          </cell>
          <cell r="BI4">
            <v>35674</v>
          </cell>
          <cell r="BJ4">
            <v>35704</v>
          </cell>
          <cell r="BK4">
            <v>35735</v>
          </cell>
          <cell r="BL4">
            <v>35765</v>
          </cell>
          <cell r="BM4">
            <v>35796</v>
          </cell>
          <cell r="BN4">
            <v>35827</v>
          </cell>
          <cell r="BO4">
            <v>35855</v>
          </cell>
          <cell r="BP4">
            <v>35886</v>
          </cell>
          <cell r="BQ4">
            <v>35916</v>
          </cell>
          <cell r="BR4">
            <v>35947</v>
          </cell>
          <cell r="BS4">
            <v>35977</v>
          </cell>
          <cell r="BT4">
            <v>36008</v>
          </cell>
          <cell r="BU4">
            <v>36039</v>
          </cell>
          <cell r="BV4">
            <v>36069</v>
          </cell>
          <cell r="BW4">
            <v>36100</v>
          </cell>
          <cell r="BX4">
            <v>36130</v>
          </cell>
          <cell r="BY4">
            <v>36161</v>
          </cell>
          <cell r="BZ4">
            <v>36192</v>
          </cell>
          <cell r="CA4">
            <v>36220</v>
          </cell>
          <cell r="CB4">
            <v>36251</v>
          </cell>
          <cell r="CC4">
            <v>36281</v>
          </cell>
          <cell r="CD4">
            <v>36312</v>
          </cell>
          <cell r="CE4">
            <v>36342</v>
          </cell>
          <cell r="CF4">
            <v>36373</v>
          </cell>
          <cell r="CG4">
            <v>36404</v>
          </cell>
        </row>
        <row r="5">
          <cell r="A5" t="str">
            <v>3D</v>
          </cell>
          <cell r="B5">
            <v>2</v>
          </cell>
          <cell r="C5">
            <v>2.46</v>
          </cell>
          <cell r="D5">
            <v>2.3719999999999999</v>
          </cell>
          <cell r="E5">
            <v>2.0419999999999998</v>
          </cell>
          <cell r="F5">
            <v>1.647</v>
          </cell>
          <cell r="G5">
            <v>1.859</v>
          </cell>
          <cell r="H5">
            <v>2.1280000000000001</v>
          </cell>
          <cell r="I5">
            <v>2.706</v>
          </cell>
          <cell r="J5">
            <v>2.2519999999999998</v>
          </cell>
          <cell r="K5">
            <v>2.06633333333333</v>
          </cell>
          <cell r="L5">
            <v>2.1040000000000001</v>
          </cell>
          <cell r="M5">
            <v>2.4263333333333299</v>
          </cell>
          <cell r="N5">
            <v>2.1539999999999999</v>
          </cell>
          <cell r="O5">
            <v>2.1323333333333334</v>
          </cell>
          <cell r="P5">
            <v>2.3386666666666667</v>
          </cell>
          <cell r="Q5">
            <v>2.0653333333333332</v>
          </cell>
          <cell r="R5">
            <v>2.3416666666666668</v>
          </cell>
          <cell r="S5">
            <v>2.3826666666666667</v>
          </cell>
          <cell r="T5">
            <v>2.0550000000000002</v>
          </cell>
          <cell r="U5">
            <v>2.1156666666666668</v>
          </cell>
          <cell r="V5">
            <v>1.9039999999999999</v>
          </cell>
          <cell r="W5">
            <v>2.0226666666666668</v>
          </cell>
          <cell r="X5">
            <v>1.8333333333333333</v>
          </cell>
          <cell r="Y5">
            <v>1.5403333333333333</v>
          </cell>
          <cell r="Z5">
            <v>1.4453333333333334</v>
          </cell>
          <cell r="AA5">
            <v>1.61</v>
          </cell>
          <cell r="AB5">
            <v>1.6546666666666667</v>
          </cell>
          <cell r="AC5">
            <v>1.6013333333333333</v>
          </cell>
          <cell r="AD5">
            <v>1.41</v>
          </cell>
          <cell r="AE5">
            <v>1.4153333333333333</v>
          </cell>
          <cell r="AF5">
            <v>1.56</v>
          </cell>
          <cell r="AG5">
            <v>1.6943333333333332</v>
          </cell>
          <cell r="AH5">
            <v>1.7423333333333333</v>
          </cell>
          <cell r="AI5">
            <v>1.554</v>
          </cell>
          <cell r="AJ5">
            <v>1.429</v>
          </cell>
          <cell r="AK5">
            <v>1.57</v>
          </cell>
          <cell r="AL5">
            <v>1.6180000000000001</v>
          </cell>
          <cell r="AM5">
            <v>1.7629999999999999</v>
          </cell>
          <cell r="AN5">
            <v>2.141</v>
          </cell>
          <cell r="AO5">
            <v>3.129</v>
          </cell>
          <cell r="AP5">
            <v>2.4260000000000002</v>
          </cell>
          <cell r="AQ5">
            <v>2.6053000000000002</v>
          </cell>
          <cell r="AR5">
            <v>2.794</v>
          </cell>
          <cell r="AS5">
            <v>2.2839999999999998</v>
          </cell>
          <cell r="AT5">
            <v>2.3422999999999998</v>
          </cell>
          <cell r="AU5">
            <v>2.6343000000000001</v>
          </cell>
          <cell r="AV5">
            <v>2.3570000000000002</v>
          </cell>
          <cell r="AW5">
            <v>1.9079999999999999</v>
          </cell>
          <cell r="AX5">
            <v>1.887</v>
          </cell>
          <cell r="AY5">
            <v>2.5710000000000002</v>
          </cell>
          <cell r="AZ5">
            <v>3.6110000000000002</v>
          </cell>
          <cell r="BA5">
            <v>4.2539999999999996</v>
          </cell>
          <cell r="BB5">
            <v>2.8679999999999999</v>
          </cell>
          <cell r="BC5">
            <v>1.879</v>
          </cell>
          <cell r="BD5">
            <v>1.8460000000000001</v>
          </cell>
          <cell r="BE5">
            <v>2.0979999999999999</v>
          </cell>
          <cell r="BF5">
            <v>2.331</v>
          </cell>
          <cell r="BG5">
            <v>2.2189999999999999</v>
          </cell>
          <cell r="BH5">
            <v>2.1629999999999998</v>
          </cell>
          <cell r="BI5">
            <v>2.5059999999999998</v>
          </cell>
          <cell r="BJ5">
            <v>3.2210000000000001</v>
          </cell>
          <cell r="BK5">
            <v>3.5059999999999998</v>
          </cell>
          <cell r="BL5">
            <v>2.6819999999999999</v>
          </cell>
          <cell r="BM5">
            <v>2.2690000000000001</v>
          </cell>
          <cell r="BN5">
            <v>2.036</v>
          </cell>
          <cell r="BO5">
            <v>2.2270000000000003</v>
          </cell>
          <cell r="BP5">
            <v>2.3340000000000001</v>
          </cell>
          <cell r="BQ5">
            <v>2.2900000000000005</v>
          </cell>
          <cell r="BR5">
            <v>2.0686666666666667</v>
          </cell>
          <cell r="BS5">
            <v>2.3525999999999998</v>
          </cell>
          <cell r="BT5">
            <v>1.9530000000000001</v>
          </cell>
          <cell r="BU5">
            <v>1.754</v>
          </cell>
          <cell r="BV5">
            <v>2.13</v>
          </cell>
          <cell r="BW5">
            <v>2.1259999999999999</v>
          </cell>
          <cell r="BX5">
            <v>2.1360000000000001</v>
          </cell>
          <cell r="BY5">
            <v>1.8109999999999999</v>
          </cell>
          <cell r="BZ5">
            <v>1.746</v>
          </cell>
          <cell r="CA5">
            <v>1.6933333333333334</v>
          </cell>
          <cell r="CB5">
            <v>1.8470000000000002</v>
          </cell>
          <cell r="CC5">
            <v>2.3260000000000001</v>
          </cell>
          <cell r="CD5">
            <v>2.2010000000000001</v>
          </cell>
          <cell r="CE5">
            <v>2.2719999999999998</v>
          </cell>
          <cell r="CF5">
            <v>2.5720000000000001</v>
          </cell>
          <cell r="CG5">
            <v>2.9630000000000001</v>
          </cell>
        </row>
        <row r="6">
          <cell r="A6" t="str">
            <v>FD</v>
          </cell>
          <cell r="B6">
            <v>3</v>
          </cell>
          <cell r="C6">
            <v>2.4990000000000001</v>
          </cell>
          <cell r="D6">
            <v>2.3319999999999999</v>
          </cell>
          <cell r="E6">
            <v>2.0030000000000001</v>
          </cell>
          <cell r="F6">
            <v>1.6339999999999999</v>
          </cell>
          <cell r="G6">
            <v>1.9059999999999999</v>
          </cell>
          <cell r="H6">
            <v>2.2240000000000002</v>
          </cell>
          <cell r="I6">
            <v>2.758</v>
          </cell>
          <cell r="J6">
            <v>2.1190000000000002</v>
          </cell>
          <cell r="K6">
            <v>1.9179999999999999</v>
          </cell>
          <cell r="L6">
            <v>2.121</v>
          </cell>
          <cell r="M6">
            <v>2.4009999999999998</v>
          </cell>
          <cell r="N6">
            <v>2.0659999999999998</v>
          </cell>
          <cell r="O6">
            <v>2.1549999999999998</v>
          </cell>
          <cell r="P6">
            <v>2.3849999999999998</v>
          </cell>
          <cell r="Q6">
            <v>2.0219999999999998</v>
          </cell>
          <cell r="R6">
            <v>2.4700000000000002</v>
          </cell>
          <cell r="S6">
            <v>2.4180000000000001</v>
          </cell>
          <cell r="T6">
            <v>1.9810000000000001</v>
          </cell>
          <cell r="U6">
            <v>2.0760000000000001</v>
          </cell>
          <cell r="V6">
            <v>1.851</v>
          </cell>
          <cell r="W6">
            <v>1.966</v>
          </cell>
          <cell r="X6">
            <v>1.7889999999999999</v>
          </cell>
          <cell r="Y6">
            <v>1.484</v>
          </cell>
          <cell r="Z6">
            <v>1.4059999999999999</v>
          </cell>
          <cell r="AA6">
            <v>1.6830000000000001</v>
          </cell>
          <cell r="AB6">
            <v>1.661</v>
          </cell>
          <cell r="AC6">
            <v>1.639</v>
          </cell>
          <cell r="AD6">
            <v>1.4159999999999999</v>
          </cell>
          <cell r="AE6">
            <v>1.4279999999999999</v>
          </cell>
          <cell r="AF6">
            <v>1.5660000000000001</v>
          </cell>
          <cell r="AG6">
            <v>1.6719999999999999</v>
          </cell>
          <cell r="AH6">
            <v>1.7569999999999999</v>
          </cell>
          <cell r="AI6">
            <v>1.532</v>
          </cell>
          <cell r="AJ6">
            <v>1.385</v>
          </cell>
          <cell r="AK6">
            <v>1.575</v>
          </cell>
          <cell r="AL6">
            <v>1.6439999999999999</v>
          </cell>
          <cell r="AM6">
            <v>1.772</v>
          </cell>
          <cell r="AN6">
            <v>2.2410000000000001</v>
          </cell>
          <cell r="AO6">
            <v>3.448</v>
          </cell>
          <cell r="AP6">
            <v>2.34</v>
          </cell>
          <cell r="AQ6">
            <v>2.746</v>
          </cell>
          <cell r="AR6">
            <v>2.7789999999999999</v>
          </cell>
          <cell r="AS6">
            <v>2.2410000000000001</v>
          </cell>
          <cell r="AT6">
            <v>2.3610000000000002</v>
          </cell>
          <cell r="AU6">
            <v>2.6459999999999999</v>
          </cell>
          <cell r="AV6">
            <v>2.3220000000000001</v>
          </cell>
          <cell r="AW6">
            <v>1.853</v>
          </cell>
          <cell r="AX6">
            <v>1.8280000000000001</v>
          </cell>
          <cell r="AY6">
            <v>2.6520000000000001</v>
          </cell>
          <cell r="AZ6">
            <v>3.9009999999999998</v>
          </cell>
          <cell r="BA6">
            <v>3.9980000000000002</v>
          </cell>
          <cell r="BB6">
            <v>2.9860000000000002</v>
          </cell>
          <cell r="BC6">
            <v>1.78</v>
          </cell>
          <cell r="BD6">
            <v>1.8069999999999999</v>
          </cell>
          <cell r="BE6">
            <v>2.1219999999999999</v>
          </cell>
          <cell r="BF6">
            <v>2.3460000000000001</v>
          </cell>
          <cell r="BG6">
            <v>2.145</v>
          </cell>
          <cell r="BH6">
            <v>2.161</v>
          </cell>
          <cell r="BI6">
            <v>2.5150000000000001</v>
          </cell>
          <cell r="BJ6">
            <v>3.3460000000000001</v>
          </cell>
          <cell r="BK6">
            <v>3.266</v>
          </cell>
          <cell r="BL6">
            <v>2.577</v>
          </cell>
          <cell r="BM6">
            <v>2.3090000000000002</v>
          </cell>
          <cell r="BN6">
            <v>2.0009999999999999</v>
          </cell>
          <cell r="BO6">
            <v>2.286</v>
          </cell>
          <cell r="BP6">
            <v>2.2999999999999998</v>
          </cell>
          <cell r="BQ6">
            <v>2.262</v>
          </cell>
          <cell r="BR6">
            <v>2.0169999999999999</v>
          </cell>
          <cell r="BS6">
            <v>2.3580000000000001</v>
          </cell>
          <cell r="BT6">
            <v>1.9419999999999999</v>
          </cell>
          <cell r="BU6">
            <v>1.6719999999999999</v>
          </cell>
          <cell r="BV6">
            <v>2.0310000000000001</v>
          </cell>
          <cell r="BW6">
            <v>1.972</v>
          </cell>
          <cell r="BX6">
            <v>2.149</v>
          </cell>
          <cell r="BY6">
            <v>1.7649999999999999</v>
          </cell>
          <cell r="BZ6">
            <v>1.81</v>
          </cell>
          <cell r="CA6">
            <v>1.6659999999999999</v>
          </cell>
          <cell r="CB6">
            <v>1.8520000000000001</v>
          </cell>
          <cell r="CC6">
            <v>2.3479999999999999</v>
          </cell>
          <cell r="CD6">
            <v>2.226</v>
          </cell>
          <cell r="CE6">
            <v>2.262</v>
          </cell>
          <cell r="CF6">
            <v>2.601</v>
          </cell>
          <cell r="CG6">
            <v>2.9119999999999999</v>
          </cell>
        </row>
        <row r="7">
          <cell r="A7" t="str">
            <v>AECO-NT</v>
          </cell>
          <cell r="B7">
            <v>4</v>
          </cell>
          <cell r="C7">
            <v>1.1599999999999999</v>
          </cell>
          <cell r="D7">
            <v>1.48</v>
          </cell>
          <cell r="E7">
            <v>2.44</v>
          </cell>
          <cell r="F7">
            <v>1.46</v>
          </cell>
          <cell r="G7">
            <v>1.84</v>
          </cell>
          <cell r="H7">
            <v>1.77</v>
          </cell>
          <cell r="I7">
            <v>2.58</v>
          </cell>
          <cell r="J7">
            <v>1.35</v>
          </cell>
          <cell r="K7">
            <v>1.46</v>
          </cell>
          <cell r="L7">
            <v>1.23</v>
          </cell>
          <cell r="M7">
            <v>1.5</v>
          </cell>
          <cell r="N7">
            <v>1.39</v>
          </cell>
          <cell r="O7">
            <v>1.7927</v>
          </cell>
          <cell r="P7">
            <v>2.3016999999999999</v>
          </cell>
          <cell r="Q7">
            <v>1.9076</v>
          </cell>
          <cell r="R7">
            <v>1.6994</v>
          </cell>
          <cell r="S7">
            <v>1.9172</v>
          </cell>
          <cell r="T7">
            <v>1.5564</v>
          </cell>
          <cell r="U7">
            <v>1.5331999999999999</v>
          </cell>
          <cell r="V7">
            <v>1.4004000000000001</v>
          </cell>
          <cell r="W7">
            <v>1.4108000000000001</v>
          </cell>
          <cell r="X7">
            <v>1.3223100000000001</v>
          </cell>
          <cell r="Y7">
            <v>1.2150000000000001</v>
          </cell>
          <cell r="Z7">
            <v>1.1120000000000001</v>
          </cell>
          <cell r="AA7">
            <v>1.3184</v>
          </cell>
          <cell r="AB7">
            <v>1.3363</v>
          </cell>
          <cell r="AC7">
            <v>0.96619999999999995</v>
          </cell>
          <cell r="AD7">
            <v>0.72240000000000004</v>
          </cell>
          <cell r="AE7">
            <v>0.68799999999999994</v>
          </cell>
          <cell r="AF7">
            <v>0.76910000000000001</v>
          </cell>
          <cell r="AG7">
            <v>0.92100000000000004</v>
          </cell>
          <cell r="AH7">
            <v>0.94450000000000001</v>
          </cell>
          <cell r="AI7">
            <v>0.8347</v>
          </cell>
          <cell r="AJ7">
            <v>0.75749999999999995</v>
          </cell>
          <cell r="AK7">
            <v>0.81489999999999996</v>
          </cell>
          <cell r="AL7">
            <v>0.85150000000000003</v>
          </cell>
          <cell r="AM7">
            <v>0.94089999999999996</v>
          </cell>
          <cell r="AN7">
            <v>0.95679999999999998</v>
          </cell>
          <cell r="AO7">
            <v>1.0471999999999999</v>
          </cell>
          <cell r="AP7">
            <v>1.1489</v>
          </cell>
          <cell r="AQ7">
            <v>1.1039000000000001</v>
          </cell>
          <cell r="AR7">
            <v>1.0159</v>
          </cell>
          <cell r="AS7">
            <v>0.91900000000000004</v>
          </cell>
          <cell r="AT7">
            <v>0.82889999999999997</v>
          </cell>
          <cell r="AU7">
            <v>0.84</v>
          </cell>
          <cell r="AV7">
            <v>0.89829999999999999</v>
          </cell>
          <cell r="AW7">
            <v>0.87909999999999999</v>
          </cell>
          <cell r="AX7">
            <v>0.90549999999999997</v>
          </cell>
          <cell r="AY7">
            <v>1.1100000000000001</v>
          </cell>
          <cell r="AZ7">
            <v>1.58</v>
          </cell>
          <cell r="BA7">
            <v>1.68</v>
          </cell>
          <cell r="BC7">
            <v>1.78</v>
          </cell>
        </row>
        <row r="8">
          <cell r="A8" t="str">
            <v>ANR-LA</v>
          </cell>
          <cell r="B8">
            <v>5</v>
          </cell>
          <cell r="C8">
            <v>2.31</v>
          </cell>
          <cell r="D8">
            <v>2.2799999999999998</v>
          </cell>
          <cell r="E8">
            <v>1.9</v>
          </cell>
          <cell r="F8">
            <v>1.62</v>
          </cell>
          <cell r="G8">
            <v>1.85</v>
          </cell>
          <cell r="H8">
            <v>2.13</v>
          </cell>
          <cell r="I8">
            <v>2.7</v>
          </cell>
          <cell r="J8">
            <v>2.08</v>
          </cell>
          <cell r="K8">
            <v>1.95</v>
          </cell>
          <cell r="L8">
            <v>2.0299999999999998</v>
          </cell>
          <cell r="M8">
            <v>2.37</v>
          </cell>
          <cell r="N8">
            <v>2.06</v>
          </cell>
          <cell r="O8">
            <v>2.09</v>
          </cell>
          <cell r="P8">
            <v>2.31</v>
          </cell>
          <cell r="Q8">
            <v>2.04</v>
          </cell>
          <cell r="R8">
            <v>2.33</v>
          </cell>
          <cell r="S8">
            <v>2.3199999999999998</v>
          </cell>
          <cell r="T8">
            <v>1.93</v>
          </cell>
          <cell r="U8">
            <v>2.0099999999999998</v>
          </cell>
          <cell r="V8">
            <v>1.74</v>
          </cell>
          <cell r="W8">
            <v>1.85</v>
          </cell>
          <cell r="X8">
            <v>1.7</v>
          </cell>
          <cell r="Y8">
            <v>1.4</v>
          </cell>
          <cell r="Z8">
            <v>1.35</v>
          </cell>
          <cell r="AA8">
            <v>1.61</v>
          </cell>
          <cell r="AB8">
            <v>1.6</v>
          </cell>
          <cell r="AC8">
            <v>1.54</v>
          </cell>
          <cell r="AD8">
            <v>1.35</v>
          </cell>
          <cell r="AE8">
            <v>1.37</v>
          </cell>
          <cell r="AF8">
            <v>1.48</v>
          </cell>
          <cell r="AG8">
            <v>1.61</v>
          </cell>
          <cell r="AH8">
            <v>1.66</v>
          </cell>
          <cell r="AI8">
            <v>1.45</v>
          </cell>
          <cell r="AJ8">
            <v>1.3</v>
          </cell>
          <cell r="AK8">
            <v>1.51</v>
          </cell>
          <cell r="AL8">
            <v>1.6</v>
          </cell>
          <cell r="AM8">
            <v>1.76</v>
          </cell>
          <cell r="AN8">
            <v>2.1800000000000002</v>
          </cell>
          <cell r="AO8">
            <v>3.25</v>
          </cell>
          <cell r="AP8">
            <v>2.2999999999999998</v>
          </cell>
          <cell r="AQ8">
            <v>2.73</v>
          </cell>
          <cell r="AR8">
            <v>2.66</v>
          </cell>
          <cell r="AS8">
            <v>2.12</v>
          </cell>
          <cell r="AT8">
            <v>2.25</v>
          </cell>
          <cell r="AU8">
            <v>2.5499999999999998</v>
          </cell>
          <cell r="AV8">
            <v>2.2200000000000002</v>
          </cell>
          <cell r="AW8">
            <v>1.74</v>
          </cell>
          <cell r="AX8">
            <v>1.75</v>
          </cell>
          <cell r="AY8">
            <v>2.63</v>
          </cell>
          <cell r="AZ8">
            <v>3.74</v>
          </cell>
          <cell r="BA8">
            <v>3.85</v>
          </cell>
          <cell r="BB8">
            <v>2.81</v>
          </cell>
          <cell r="BC8">
            <v>1.78</v>
          </cell>
          <cell r="BD8">
            <v>1.75</v>
          </cell>
          <cell r="BE8">
            <v>2.06</v>
          </cell>
          <cell r="BF8">
            <v>2.2400000000000002</v>
          </cell>
          <cell r="BG8">
            <v>2.08</v>
          </cell>
          <cell r="BH8">
            <v>2.12</v>
          </cell>
          <cell r="BI8">
            <v>2.4900000000000002</v>
          </cell>
          <cell r="BJ8">
            <v>3.06</v>
          </cell>
          <cell r="BK8">
            <v>3.18</v>
          </cell>
          <cell r="BL8">
            <v>2.4300000000000002</v>
          </cell>
          <cell r="BM8">
            <v>2.17</v>
          </cell>
          <cell r="BN8">
            <v>1.91</v>
          </cell>
          <cell r="BO8">
            <v>2.1800000000000002</v>
          </cell>
          <cell r="BP8">
            <v>2.2200000000000002</v>
          </cell>
          <cell r="BQ8">
            <v>2.19</v>
          </cell>
          <cell r="BR8">
            <v>1.95</v>
          </cell>
          <cell r="BS8">
            <v>2.27</v>
          </cell>
          <cell r="BT8">
            <v>1.83</v>
          </cell>
          <cell r="BU8">
            <v>1.51</v>
          </cell>
          <cell r="BV8">
            <v>1.94</v>
          </cell>
          <cell r="BW8">
            <v>1.91</v>
          </cell>
          <cell r="BX8">
            <v>2.06</v>
          </cell>
          <cell r="BY8">
            <v>1.71</v>
          </cell>
          <cell r="BZ8">
            <v>1.75</v>
          </cell>
          <cell r="CA8">
            <v>1.58</v>
          </cell>
          <cell r="CB8">
            <v>1.83</v>
          </cell>
          <cell r="CC8">
            <v>2.2999999999999998</v>
          </cell>
          <cell r="CD8">
            <v>2.16</v>
          </cell>
          <cell r="CE8">
            <v>2.2000000000000002</v>
          </cell>
          <cell r="CF8">
            <v>2.5499999999999998</v>
          </cell>
          <cell r="CG8">
            <v>2.83</v>
          </cell>
        </row>
        <row r="9">
          <cell r="A9" t="str">
            <v>ANR-OK</v>
          </cell>
          <cell r="B9">
            <v>6</v>
          </cell>
          <cell r="C9">
            <v>2.15</v>
          </cell>
          <cell r="D9">
            <v>2.0499999999999998</v>
          </cell>
          <cell r="E9">
            <v>1.9</v>
          </cell>
          <cell r="F9">
            <v>1.6</v>
          </cell>
          <cell r="G9">
            <v>1.82</v>
          </cell>
          <cell r="H9">
            <v>2.08</v>
          </cell>
          <cell r="I9">
            <v>2.62</v>
          </cell>
          <cell r="J9">
            <v>1.95</v>
          </cell>
          <cell r="K9">
            <v>1.79</v>
          </cell>
          <cell r="L9">
            <v>1.91</v>
          </cell>
          <cell r="M9">
            <v>2.2000000000000002</v>
          </cell>
          <cell r="N9">
            <v>1.9</v>
          </cell>
          <cell r="O9">
            <v>1.9</v>
          </cell>
          <cell r="P9">
            <v>2.23</v>
          </cell>
          <cell r="Q9">
            <v>1.96</v>
          </cell>
          <cell r="R9">
            <v>2.12</v>
          </cell>
          <cell r="S9">
            <v>2.14</v>
          </cell>
          <cell r="T9">
            <v>1.81</v>
          </cell>
          <cell r="U9">
            <v>1.84</v>
          </cell>
          <cell r="V9">
            <v>1.59</v>
          </cell>
          <cell r="W9">
            <v>1.67</v>
          </cell>
          <cell r="X9">
            <v>1.57</v>
          </cell>
          <cell r="Y9">
            <v>1.4</v>
          </cell>
          <cell r="Z9">
            <v>1.3</v>
          </cell>
          <cell r="AA9">
            <v>1.51</v>
          </cell>
          <cell r="AB9">
            <v>1.6</v>
          </cell>
          <cell r="AC9">
            <v>1.51</v>
          </cell>
          <cell r="AD9">
            <v>1.27</v>
          </cell>
          <cell r="AE9">
            <v>1.26</v>
          </cell>
          <cell r="AF9">
            <v>1.34</v>
          </cell>
          <cell r="AG9">
            <v>1.45</v>
          </cell>
          <cell r="AH9">
            <v>1.46</v>
          </cell>
          <cell r="AI9">
            <v>1.25</v>
          </cell>
          <cell r="AJ9">
            <v>1.19</v>
          </cell>
          <cell r="AK9">
            <v>1.41</v>
          </cell>
          <cell r="AL9">
            <v>1.5</v>
          </cell>
          <cell r="AM9">
            <v>1.61</v>
          </cell>
          <cell r="AN9">
            <v>1.88</v>
          </cell>
          <cell r="AO9">
            <v>2.02</v>
          </cell>
          <cell r="AP9">
            <v>1.79</v>
          </cell>
          <cell r="AQ9">
            <v>1.9</v>
          </cell>
          <cell r="AR9">
            <v>2.14</v>
          </cell>
          <cell r="AS9">
            <v>2.0099999999999998</v>
          </cell>
          <cell r="AT9">
            <v>2.0499999999999998</v>
          </cell>
          <cell r="AU9">
            <v>2.1800000000000002</v>
          </cell>
          <cell r="AV9">
            <v>2.14</v>
          </cell>
          <cell r="AW9">
            <v>1.67</v>
          </cell>
          <cell r="AX9">
            <v>1.69</v>
          </cell>
          <cell r="AY9">
            <v>2.5</v>
          </cell>
          <cell r="AZ9">
            <v>3.6</v>
          </cell>
          <cell r="BA9">
            <v>4.2</v>
          </cell>
          <cell r="BB9">
            <v>2.77</v>
          </cell>
          <cell r="BC9">
            <v>1.63</v>
          </cell>
          <cell r="BD9">
            <v>1.71</v>
          </cell>
          <cell r="BE9">
            <v>1.96</v>
          </cell>
          <cell r="BF9">
            <v>2.13</v>
          </cell>
          <cell r="BG9">
            <v>2.0099999999999998</v>
          </cell>
          <cell r="BH9">
            <v>2.06</v>
          </cell>
          <cell r="BI9">
            <v>2.42</v>
          </cell>
          <cell r="BJ9">
            <v>3</v>
          </cell>
          <cell r="BK9">
            <v>3.16</v>
          </cell>
          <cell r="BL9">
            <v>2.35</v>
          </cell>
          <cell r="BM9">
            <v>2.16</v>
          </cell>
          <cell r="BN9">
            <v>1.92</v>
          </cell>
          <cell r="BO9">
            <v>2.15</v>
          </cell>
          <cell r="BP9">
            <v>2.19</v>
          </cell>
          <cell r="BQ9">
            <v>2.1800000000000002</v>
          </cell>
          <cell r="BR9">
            <v>1.95</v>
          </cell>
          <cell r="BS9">
            <v>2.27</v>
          </cell>
          <cell r="BT9">
            <v>1.84</v>
          </cell>
          <cell r="BU9">
            <v>1.56</v>
          </cell>
          <cell r="BV9">
            <v>1.92</v>
          </cell>
          <cell r="BW9">
            <v>1.96</v>
          </cell>
          <cell r="BX9">
            <v>2.06</v>
          </cell>
          <cell r="BY9">
            <v>1.78</v>
          </cell>
          <cell r="BZ9">
            <v>1.76</v>
          </cell>
          <cell r="CA9">
            <v>1.57</v>
          </cell>
          <cell r="CB9">
            <v>1.75</v>
          </cell>
          <cell r="CC9">
            <v>2.23</v>
          </cell>
          <cell r="CD9">
            <v>2.12</v>
          </cell>
          <cell r="CE9">
            <v>2.1800000000000002</v>
          </cell>
          <cell r="CF9">
            <v>2.5099999999999998</v>
          </cell>
          <cell r="CG9">
            <v>2.77</v>
          </cell>
        </row>
        <row r="10">
          <cell r="A10" t="str">
            <v>CG-APP</v>
          </cell>
          <cell r="B10">
            <v>7</v>
          </cell>
          <cell r="C10">
            <v>2.62</v>
          </cell>
          <cell r="D10">
            <v>2.7</v>
          </cell>
          <cell r="E10">
            <v>2.4300000000000002</v>
          </cell>
          <cell r="F10">
            <v>1.95</v>
          </cell>
          <cell r="G10">
            <v>2.17</v>
          </cell>
          <cell r="H10">
            <v>2.34</v>
          </cell>
          <cell r="I10">
            <v>2.93</v>
          </cell>
          <cell r="J10">
            <v>2.2999999999999998</v>
          </cell>
          <cell r="K10">
            <v>2.1</v>
          </cell>
          <cell r="L10">
            <v>2.2000000000000002</v>
          </cell>
          <cell r="M10">
            <v>2.52</v>
          </cell>
          <cell r="N10">
            <v>2.2000000000000002</v>
          </cell>
          <cell r="O10">
            <v>2.31</v>
          </cell>
          <cell r="P10">
            <v>2.63</v>
          </cell>
          <cell r="Q10">
            <v>2.2999999999999998</v>
          </cell>
          <cell r="R10">
            <v>2.68</v>
          </cell>
          <cell r="S10">
            <v>2.78</v>
          </cell>
          <cell r="T10">
            <v>2.2400000000000002</v>
          </cell>
          <cell r="U10">
            <v>2.2799999999999998</v>
          </cell>
          <cell r="V10">
            <v>1.98</v>
          </cell>
          <cell r="W10">
            <v>2.06</v>
          </cell>
          <cell r="X10">
            <v>1.88</v>
          </cell>
          <cell r="Y10">
            <v>1.56</v>
          </cell>
          <cell r="Z10">
            <v>1.51</v>
          </cell>
          <cell r="AA10">
            <v>1.84</v>
          </cell>
          <cell r="AB10">
            <v>1.93</v>
          </cell>
          <cell r="AC10">
            <v>1.88</v>
          </cell>
          <cell r="AD10">
            <v>1.64</v>
          </cell>
          <cell r="AE10">
            <v>1.6</v>
          </cell>
          <cell r="AF10">
            <v>1.67</v>
          </cell>
          <cell r="AG10">
            <v>1.81</v>
          </cell>
          <cell r="AH10">
            <v>1.84</v>
          </cell>
          <cell r="AI10">
            <v>1.6</v>
          </cell>
          <cell r="AJ10">
            <v>1.46</v>
          </cell>
          <cell r="AK10">
            <v>1.67</v>
          </cell>
          <cell r="AL10">
            <v>1.76</v>
          </cell>
          <cell r="AM10">
            <v>1.95</v>
          </cell>
          <cell r="AN10">
            <v>2.5</v>
          </cell>
          <cell r="AO10">
            <v>3.7</v>
          </cell>
          <cell r="AP10">
            <v>3.67</v>
          </cell>
          <cell r="AQ10">
            <v>4.5599999999999996</v>
          </cell>
          <cell r="AR10">
            <v>3.06</v>
          </cell>
          <cell r="AS10">
            <v>2.4300000000000002</v>
          </cell>
          <cell r="AT10">
            <v>2.5299999999999998</v>
          </cell>
          <cell r="AU10">
            <v>2.86</v>
          </cell>
          <cell r="AV10">
            <v>2.5</v>
          </cell>
          <cell r="AW10">
            <v>1.93</v>
          </cell>
          <cell r="AX10">
            <v>1.99</v>
          </cell>
          <cell r="AY10">
            <v>2.94</v>
          </cell>
          <cell r="AZ10">
            <v>4.2300000000000004</v>
          </cell>
          <cell r="BA10">
            <v>4.3</v>
          </cell>
          <cell r="BB10">
            <v>3.06</v>
          </cell>
          <cell r="BC10">
            <v>1.87</v>
          </cell>
          <cell r="BD10">
            <v>2</v>
          </cell>
          <cell r="BE10">
            <v>2.31</v>
          </cell>
          <cell r="BF10">
            <v>2.46</v>
          </cell>
          <cell r="BG10">
            <v>2.29</v>
          </cell>
          <cell r="BH10">
            <v>2.31</v>
          </cell>
          <cell r="BI10">
            <v>2.69</v>
          </cell>
          <cell r="BJ10">
            <v>3.29</v>
          </cell>
          <cell r="BK10">
            <v>3.52</v>
          </cell>
          <cell r="BL10">
            <v>2.66</v>
          </cell>
          <cell r="BM10">
            <v>2.38</v>
          </cell>
          <cell r="BN10">
            <v>2.12</v>
          </cell>
          <cell r="BO10">
            <v>2.37</v>
          </cell>
          <cell r="BP10">
            <v>2.4500000000000002</v>
          </cell>
          <cell r="BQ10">
            <v>2.42</v>
          </cell>
          <cell r="BR10">
            <v>2.16</v>
          </cell>
          <cell r="BS10">
            <v>2.4700000000000002</v>
          </cell>
          <cell r="BT10">
            <v>2.0499999999999998</v>
          </cell>
          <cell r="BU10">
            <v>1.77</v>
          </cell>
          <cell r="BV10">
            <v>2.2000000000000002</v>
          </cell>
          <cell r="BW10">
            <v>2.2400000000000002</v>
          </cell>
          <cell r="BX10">
            <v>2.25</v>
          </cell>
          <cell r="BY10">
            <v>1.92</v>
          </cell>
          <cell r="BZ10">
            <v>1.92</v>
          </cell>
          <cell r="CA10">
            <v>1.73</v>
          </cell>
          <cell r="CB10">
            <v>2.0499999999999998</v>
          </cell>
          <cell r="CC10">
            <v>2.5</v>
          </cell>
          <cell r="CD10">
            <v>2.35</v>
          </cell>
          <cell r="CE10">
            <v>2.39</v>
          </cell>
          <cell r="CF10">
            <v>2.78</v>
          </cell>
          <cell r="CG10">
            <v>3.03</v>
          </cell>
        </row>
        <row r="11">
          <cell r="A11" t="str">
            <v>CGLF-LA</v>
          </cell>
          <cell r="B11">
            <v>8</v>
          </cell>
          <cell r="C11">
            <v>2.36</v>
          </cell>
          <cell r="D11">
            <v>2.2999999999999998</v>
          </cell>
          <cell r="E11">
            <v>1.93</v>
          </cell>
          <cell r="F11">
            <v>1.62</v>
          </cell>
          <cell r="G11">
            <v>1.88</v>
          </cell>
          <cell r="H11">
            <v>2.2000000000000002</v>
          </cell>
          <cell r="I11">
            <v>2.7</v>
          </cell>
          <cell r="J11">
            <v>2.1</v>
          </cell>
          <cell r="K11">
            <v>1.95</v>
          </cell>
          <cell r="L11">
            <v>2.0699999999999998</v>
          </cell>
          <cell r="M11">
            <v>2.37</v>
          </cell>
          <cell r="N11">
            <v>2.0499999999999998</v>
          </cell>
          <cell r="O11">
            <v>2.12</v>
          </cell>
          <cell r="P11">
            <v>2.38</v>
          </cell>
          <cell r="Q11">
            <v>2.0499999999999998</v>
          </cell>
          <cell r="R11">
            <v>2.36</v>
          </cell>
          <cell r="S11">
            <v>2.35</v>
          </cell>
          <cell r="T11">
            <v>1.99</v>
          </cell>
          <cell r="U11">
            <v>2.0499999999999998</v>
          </cell>
          <cell r="V11">
            <v>1.81</v>
          </cell>
          <cell r="W11">
            <v>1.94</v>
          </cell>
          <cell r="X11">
            <v>1.77</v>
          </cell>
          <cell r="Y11">
            <v>1.45</v>
          </cell>
          <cell r="Z11">
            <v>1.39</v>
          </cell>
          <cell r="AA11">
            <v>1.67</v>
          </cell>
          <cell r="AB11">
            <v>1.65</v>
          </cell>
          <cell r="AC11">
            <v>1.59</v>
          </cell>
          <cell r="AD11">
            <v>1.38</v>
          </cell>
          <cell r="AE11">
            <v>1.42</v>
          </cell>
          <cell r="AF11">
            <v>1.53</v>
          </cell>
          <cell r="AG11">
            <v>1.64</v>
          </cell>
          <cell r="AH11">
            <v>1.69</v>
          </cell>
          <cell r="AI11">
            <v>1.46</v>
          </cell>
          <cell r="AJ11">
            <v>1.34</v>
          </cell>
          <cell r="AK11">
            <v>1.54</v>
          </cell>
          <cell r="AL11">
            <v>1.62</v>
          </cell>
          <cell r="AM11">
            <v>1.75</v>
          </cell>
          <cell r="AN11">
            <v>2.2400000000000002</v>
          </cell>
          <cell r="AO11">
            <v>3.35</v>
          </cell>
          <cell r="AP11">
            <v>2.34</v>
          </cell>
          <cell r="AQ11">
            <v>2.85</v>
          </cell>
          <cell r="AR11">
            <v>2.62</v>
          </cell>
          <cell r="AS11">
            <v>2.2000000000000002</v>
          </cell>
          <cell r="AT11">
            <v>2.33</v>
          </cell>
          <cell r="AU11">
            <v>2.62</v>
          </cell>
          <cell r="AV11">
            <v>2.27</v>
          </cell>
          <cell r="AW11">
            <v>1.77</v>
          </cell>
          <cell r="AX11">
            <v>1.81</v>
          </cell>
          <cell r="AY11">
            <v>2.65</v>
          </cell>
          <cell r="AZ11">
            <v>3.82</v>
          </cell>
          <cell r="BA11">
            <v>3.94</v>
          </cell>
          <cell r="BB11">
            <v>2.89</v>
          </cell>
          <cell r="BC11">
            <v>1.74</v>
          </cell>
          <cell r="BD11">
            <v>1.8</v>
          </cell>
          <cell r="BE11">
            <v>2.1</v>
          </cell>
          <cell r="BF11">
            <v>2.27</v>
          </cell>
          <cell r="BG11">
            <v>2.13</v>
          </cell>
          <cell r="BH11">
            <v>2.15</v>
          </cell>
          <cell r="BI11">
            <v>2.5099999999999998</v>
          </cell>
          <cell r="BJ11">
            <v>3.09</v>
          </cell>
          <cell r="BK11">
            <v>3.26</v>
          </cell>
          <cell r="BL11">
            <v>2.5</v>
          </cell>
          <cell r="BM11">
            <v>2.2400000000000002</v>
          </cell>
          <cell r="BN11">
            <v>1.99</v>
          </cell>
          <cell r="BO11">
            <v>2.2200000000000002</v>
          </cell>
          <cell r="BP11">
            <v>2.29</v>
          </cell>
          <cell r="BQ11">
            <v>2.25</v>
          </cell>
          <cell r="BR11">
            <v>2</v>
          </cell>
          <cell r="BS11">
            <v>2.33</v>
          </cell>
          <cell r="BT11">
            <v>1.9</v>
          </cell>
          <cell r="BU11">
            <v>1.58</v>
          </cell>
          <cell r="BV11">
            <v>2.02</v>
          </cell>
          <cell r="BW11">
            <v>1.96</v>
          </cell>
          <cell r="BX11">
            <v>2.08</v>
          </cell>
          <cell r="BY11">
            <v>1.75</v>
          </cell>
          <cell r="BZ11">
            <v>1.77</v>
          </cell>
          <cell r="CA11">
            <v>1.6</v>
          </cell>
          <cell r="CB11">
            <v>1.86</v>
          </cell>
          <cell r="CC11">
            <v>2.33</v>
          </cell>
          <cell r="CD11">
            <v>2.2000000000000002</v>
          </cell>
          <cell r="CE11">
            <v>2.2400000000000002</v>
          </cell>
          <cell r="CF11">
            <v>2.58</v>
          </cell>
          <cell r="CG11">
            <v>2.86</v>
          </cell>
        </row>
        <row r="12">
          <cell r="A12" t="str">
            <v>CGLF-OFS</v>
          </cell>
          <cell r="B12">
            <v>9</v>
          </cell>
          <cell r="C12">
            <v>2.23</v>
          </cell>
          <cell r="E12">
            <v>1.83</v>
          </cell>
          <cell r="F12">
            <v>1.54</v>
          </cell>
          <cell r="G12">
            <v>1.79</v>
          </cell>
          <cell r="H12">
            <v>2.1</v>
          </cell>
          <cell r="I12">
            <v>2.6</v>
          </cell>
          <cell r="J12">
            <v>2.0299999999999998</v>
          </cell>
          <cell r="K12">
            <v>1.86</v>
          </cell>
          <cell r="L12">
            <v>1.98</v>
          </cell>
          <cell r="M12">
            <v>2.2799999999999998</v>
          </cell>
          <cell r="N12">
            <v>1.97</v>
          </cell>
          <cell r="O12">
            <v>2.0299999999999998</v>
          </cell>
          <cell r="P12">
            <v>2.2999999999999998</v>
          </cell>
          <cell r="Q12">
            <v>2.02</v>
          </cell>
          <cell r="S12">
            <v>2.2799999999999998</v>
          </cell>
          <cell r="T12">
            <v>1.91</v>
          </cell>
          <cell r="V12">
            <v>1.73</v>
          </cell>
          <cell r="W12">
            <v>1.87</v>
          </cell>
          <cell r="X12">
            <v>1.71</v>
          </cell>
          <cell r="Z12">
            <v>1.29</v>
          </cell>
          <cell r="AB12">
            <v>1.56</v>
          </cell>
          <cell r="AC12">
            <v>1.49</v>
          </cell>
          <cell r="AD12">
            <v>1.3</v>
          </cell>
          <cell r="AE12">
            <v>1.35</v>
          </cell>
          <cell r="AF12">
            <v>1.44</v>
          </cell>
          <cell r="AG12">
            <v>1.58</v>
          </cell>
          <cell r="AH12">
            <v>1.6</v>
          </cell>
          <cell r="BB12">
            <v>2.79</v>
          </cell>
          <cell r="BC12">
            <v>1.66</v>
          </cell>
          <cell r="BD12">
            <v>1.81</v>
          </cell>
          <cell r="BE12">
            <v>2.0299999999999998</v>
          </cell>
          <cell r="BF12">
            <v>2.17</v>
          </cell>
          <cell r="BG12">
            <v>2.1800000000000002</v>
          </cell>
          <cell r="BH12">
            <v>2.19</v>
          </cell>
        </row>
        <row r="13">
          <cell r="A13" t="str">
            <v>CHIC</v>
          </cell>
          <cell r="B13">
            <v>10</v>
          </cell>
          <cell r="C13">
            <v>2.46</v>
          </cell>
          <cell r="D13">
            <v>2.4</v>
          </cell>
          <cell r="E13">
            <v>2.2200000000000002</v>
          </cell>
          <cell r="F13">
            <v>1.83</v>
          </cell>
          <cell r="G13">
            <v>2.11</v>
          </cell>
          <cell r="H13">
            <v>2.41</v>
          </cell>
          <cell r="I13">
            <v>2.92</v>
          </cell>
          <cell r="J13">
            <v>2.15</v>
          </cell>
          <cell r="K13">
            <v>2.14</v>
          </cell>
          <cell r="L13">
            <v>2.2799999999999998</v>
          </cell>
          <cell r="M13">
            <v>2.5299999999999998</v>
          </cell>
          <cell r="N13">
            <v>2.31</v>
          </cell>
          <cell r="O13">
            <v>2.29</v>
          </cell>
          <cell r="P13">
            <v>2.5299999999999998</v>
          </cell>
          <cell r="Q13">
            <v>2.21</v>
          </cell>
          <cell r="R13">
            <v>2.5499999999999998</v>
          </cell>
          <cell r="S13">
            <v>2.61</v>
          </cell>
          <cell r="T13">
            <v>2.17</v>
          </cell>
          <cell r="U13">
            <v>2.1800000000000002</v>
          </cell>
          <cell r="V13">
            <v>1.92</v>
          </cell>
          <cell r="W13">
            <v>2.0299999999999998</v>
          </cell>
          <cell r="X13">
            <v>1.87</v>
          </cell>
          <cell r="Y13">
            <v>1.59</v>
          </cell>
          <cell r="Z13">
            <v>1.51</v>
          </cell>
          <cell r="AA13">
            <v>1.81</v>
          </cell>
          <cell r="AB13">
            <v>1.81</v>
          </cell>
          <cell r="AC13">
            <v>1.73</v>
          </cell>
          <cell r="AD13">
            <v>1.5</v>
          </cell>
          <cell r="AE13">
            <v>1.47</v>
          </cell>
          <cell r="AF13">
            <v>1.56</v>
          </cell>
          <cell r="AG13">
            <v>1.7</v>
          </cell>
          <cell r="AH13">
            <v>1.75</v>
          </cell>
          <cell r="AI13">
            <v>1.55</v>
          </cell>
          <cell r="AJ13">
            <v>1.41</v>
          </cell>
          <cell r="AK13">
            <v>1.61</v>
          </cell>
          <cell r="AL13">
            <v>1.72</v>
          </cell>
          <cell r="AM13">
            <v>1.91</v>
          </cell>
          <cell r="AN13">
            <v>2.41</v>
          </cell>
          <cell r="AO13">
            <v>3.31</v>
          </cell>
          <cell r="AP13">
            <v>2.64</v>
          </cell>
          <cell r="AQ13">
            <v>3.2</v>
          </cell>
          <cell r="AR13">
            <v>2.81</v>
          </cell>
          <cell r="AS13">
            <v>2.2999999999999998</v>
          </cell>
          <cell r="AT13">
            <v>2.4</v>
          </cell>
          <cell r="AU13">
            <v>2.64</v>
          </cell>
          <cell r="AV13">
            <v>2.36</v>
          </cell>
          <cell r="AW13">
            <v>1.94</v>
          </cell>
          <cell r="AX13">
            <v>1.98</v>
          </cell>
          <cell r="AY13">
            <v>2.95</v>
          </cell>
          <cell r="AZ13">
            <v>4.25</v>
          </cell>
          <cell r="BA13">
            <v>4.53</v>
          </cell>
          <cell r="BB13">
            <v>3.36</v>
          </cell>
          <cell r="BC13">
            <v>1.91</v>
          </cell>
          <cell r="BD13">
            <v>1.95</v>
          </cell>
          <cell r="BE13">
            <v>2.19</v>
          </cell>
          <cell r="BF13">
            <v>2.38</v>
          </cell>
          <cell r="BG13">
            <v>2.2400000000000002</v>
          </cell>
          <cell r="BH13">
            <v>2.23</v>
          </cell>
          <cell r="BI13">
            <v>2.63</v>
          </cell>
          <cell r="BJ13">
            <v>3.34</v>
          </cell>
          <cell r="BK13">
            <v>3.55</v>
          </cell>
          <cell r="BL13">
            <v>3.55</v>
          </cell>
          <cell r="BM13">
            <v>2.37</v>
          </cell>
          <cell r="BN13">
            <v>2.09</v>
          </cell>
          <cell r="BO13">
            <v>2.2999999999999998</v>
          </cell>
          <cell r="BP13">
            <v>2.38</v>
          </cell>
          <cell r="BQ13">
            <v>2.36</v>
          </cell>
          <cell r="BR13">
            <v>2.13</v>
          </cell>
          <cell r="BS13">
            <v>2.42</v>
          </cell>
          <cell r="CG13">
            <v>2.96</v>
          </cell>
        </row>
        <row r="14">
          <cell r="A14" t="str">
            <v>CIG-ROCK</v>
          </cell>
          <cell r="B14">
            <v>11</v>
          </cell>
          <cell r="C14">
            <v>1.83</v>
          </cell>
          <cell r="D14">
            <v>1.88</v>
          </cell>
          <cell r="E14">
            <v>2.15</v>
          </cell>
          <cell r="F14">
            <v>1.6</v>
          </cell>
          <cell r="G14">
            <v>1.73</v>
          </cell>
          <cell r="H14">
            <v>1.8</v>
          </cell>
          <cell r="I14">
            <v>2.2000000000000002</v>
          </cell>
          <cell r="J14">
            <v>1.56</v>
          </cell>
          <cell r="K14">
            <v>1.5</v>
          </cell>
          <cell r="L14">
            <v>1.65</v>
          </cell>
          <cell r="M14">
            <v>1.88</v>
          </cell>
          <cell r="N14">
            <v>1.71</v>
          </cell>
          <cell r="O14">
            <v>1.7</v>
          </cell>
          <cell r="P14">
            <v>2.23</v>
          </cell>
          <cell r="Q14">
            <v>1.88</v>
          </cell>
          <cell r="R14">
            <v>1.76</v>
          </cell>
          <cell r="S14">
            <v>1.86</v>
          </cell>
          <cell r="T14">
            <v>1.52</v>
          </cell>
          <cell r="U14">
            <v>1.55</v>
          </cell>
          <cell r="V14">
            <v>1.32</v>
          </cell>
          <cell r="W14">
            <v>1.39</v>
          </cell>
          <cell r="X14">
            <v>1.39</v>
          </cell>
          <cell r="Y14">
            <v>1.33</v>
          </cell>
          <cell r="Z14">
            <v>1.1599999999999999</v>
          </cell>
          <cell r="AA14">
            <v>1.44</v>
          </cell>
          <cell r="AB14">
            <v>1.57</v>
          </cell>
          <cell r="AC14">
            <v>1.35</v>
          </cell>
          <cell r="AD14">
            <v>1.06</v>
          </cell>
          <cell r="AE14">
            <v>1.05</v>
          </cell>
          <cell r="AF14">
            <v>1.05</v>
          </cell>
          <cell r="AG14">
            <v>1.07</v>
          </cell>
          <cell r="AH14">
            <v>1.1399999999999999</v>
          </cell>
          <cell r="AI14">
            <v>0.98</v>
          </cell>
          <cell r="AJ14">
            <v>0.84</v>
          </cell>
          <cell r="AK14">
            <v>0.95</v>
          </cell>
          <cell r="AL14">
            <v>1.04</v>
          </cell>
          <cell r="AM14">
            <v>1.25</v>
          </cell>
          <cell r="AN14">
            <v>1.31</v>
          </cell>
          <cell r="AO14">
            <v>1.26</v>
          </cell>
          <cell r="AP14">
            <v>1.1599999999999999</v>
          </cell>
          <cell r="AQ14">
            <v>1.1599999999999999</v>
          </cell>
          <cell r="AR14">
            <v>1.06</v>
          </cell>
          <cell r="AS14">
            <v>1.06</v>
          </cell>
          <cell r="AT14">
            <v>1.06</v>
          </cell>
          <cell r="AU14">
            <v>1.18</v>
          </cell>
          <cell r="AV14">
            <v>1.21</v>
          </cell>
          <cell r="AW14">
            <v>1.19</v>
          </cell>
          <cell r="AX14">
            <v>1.25</v>
          </cell>
          <cell r="AY14">
            <v>2.25</v>
          </cell>
          <cell r="AZ14">
            <v>3.5</v>
          </cell>
          <cell r="BA14">
            <v>4.18</v>
          </cell>
          <cell r="BB14">
            <v>2.5299999999999998</v>
          </cell>
          <cell r="BC14">
            <v>1.39</v>
          </cell>
          <cell r="BD14">
            <v>1.45</v>
          </cell>
          <cell r="BE14">
            <v>1.63</v>
          </cell>
          <cell r="BF14">
            <v>1.43</v>
          </cell>
          <cell r="BG14">
            <v>1.44</v>
          </cell>
          <cell r="BH14">
            <v>1.38</v>
          </cell>
          <cell r="BI14">
            <v>1.47</v>
          </cell>
          <cell r="BJ14">
            <v>2.1</v>
          </cell>
          <cell r="BK14">
            <v>2.99</v>
          </cell>
          <cell r="BL14">
            <v>1.94</v>
          </cell>
          <cell r="BM14">
            <v>2.04</v>
          </cell>
          <cell r="BN14">
            <v>1.7</v>
          </cell>
          <cell r="BO14">
            <v>1.88</v>
          </cell>
          <cell r="BP14">
            <v>1.9</v>
          </cell>
          <cell r="BQ14">
            <v>1.96</v>
          </cell>
          <cell r="BR14">
            <v>1.64</v>
          </cell>
          <cell r="BS14">
            <v>1.61</v>
          </cell>
          <cell r="BT14">
            <v>1.73</v>
          </cell>
          <cell r="BU14">
            <v>1.55</v>
          </cell>
          <cell r="BV14">
            <v>1.65</v>
          </cell>
          <cell r="BW14">
            <v>1.97</v>
          </cell>
          <cell r="BX14">
            <v>1.96</v>
          </cell>
          <cell r="BY14">
            <v>1.75</v>
          </cell>
          <cell r="BZ14">
            <v>1.61</v>
          </cell>
          <cell r="CA14">
            <v>1.49</v>
          </cell>
          <cell r="CB14">
            <v>1.53</v>
          </cell>
          <cell r="CC14">
            <v>1.98</v>
          </cell>
          <cell r="CD14">
            <v>1.93</v>
          </cell>
          <cell r="CE14">
            <v>1.97</v>
          </cell>
          <cell r="CF14">
            <v>2.16</v>
          </cell>
          <cell r="CG14">
            <v>2.52</v>
          </cell>
        </row>
        <row r="15">
          <cell r="A15" t="str">
            <v>CNG</v>
          </cell>
          <cell r="B15">
            <v>12</v>
          </cell>
          <cell r="H15">
            <v>2.54</v>
          </cell>
          <cell r="I15">
            <v>3</v>
          </cell>
          <cell r="J15">
            <v>2.25</v>
          </cell>
          <cell r="K15">
            <v>2.13</v>
          </cell>
          <cell r="L15">
            <v>2.23</v>
          </cell>
          <cell r="M15">
            <v>2.5299999999999998</v>
          </cell>
          <cell r="N15">
            <v>2.23</v>
          </cell>
          <cell r="O15">
            <v>2.36</v>
          </cell>
          <cell r="P15">
            <v>2.68</v>
          </cell>
          <cell r="Q15">
            <v>2.33</v>
          </cell>
          <cell r="R15">
            <v>2.75</v>
          </cell>
          <cell r="S15">
            <v>2.78</v>
          </cell>
          <cell r="T15">
            <v>2.23</v>
          </cell>
          <cell r="U15">
            <v>2.29</v>
          </cell>
          <cell r="V15">
            <v>1.99</v>
          </cell>
          <cell r="W15">
            <v>2.1</v>
          </cell>
          <cell r="X15">
            <v>1.9</v>
          </cell>
          <cell r="Y15">
            <v>1.55</v>
          </cell>
          <cell r="Z15">
            <v>1.5</v>
          </cell>
          <cell r="AA15">
            <v>1.83</v>
          </cell>
          <cell r="AB15">
            <v>1.93</v>
          </cell>
          <cell r="AC15">
            <v>1.87</v>
          </cell>
          <cell r="AD15">
            <v>1.65</v>
          </cell>
          <cell r="AE15">
            <v>1.62</v>
          </cell>
          <cell r="AF15">
            <v>1.68</v>
          </cell>
          <cell r="AG15">
            <v>1.83</v>
          </cell>
          <cell r="AH15">
            <v>1.86</v>
          </cell>
          <cell r="AI15">
            <v>1.62</v>
          </cell>
          <cell r="AJ15">
            <v>1.49</v>
          </cell>
          <cell r="AK15">
            <v>1.68</v>
          </cell>
          <cell r="AL15">
            <v>1.77</v>
          </cell>
          <cell r="AM15">
            <v>1.97</v>
          </cell>
          <cell r="AN15">
            <v>2.5299999999999998</v>
          </cell>
          <cell r="AO15">
            <v>3.8</v>
          </cell>
          <cell r="AP15">
            <v>3.67</v>
          </cell>
          <cell r="AQ15">
            <v>4.95</v>
          </cell>
          <cell r="AR15">
            <v>3.21</v>
          </cell>
          <cell r="AS15">
            <v>2.4300000000000002</v>
          </cell>
          <cell r="AT15">
            <v>2.54</v>
          </cell>
          <cell r="AU15">
            <v>2.86</v>
          </cell>
          <cell r="AV15">
            <v>2.5</v>
          </cell>
          <cell r="AW15">
            <v>1.94</v>
          </cell>
          <cell r="AX15">
            <v>1.99</v>
          </cell>
          <cell r="AY15">
            <v>3.05</v>
          </cell>
          <cell r="AZ15">
            <v>4.5</v>
          </cell>
          <cell r="BA15">
            <v>4.5</v>
          </cell>
          <cell r="BB15">
            <v>3.2</v>
          </cell>
          <cell r="BC15">
            <v>1.93</v>
          </cell>
          <cell r="BD15">
            <v>2.02</v>
          </cell>
          <cell r="BE15">
            <v>2.33</v>
          </cell>
          <cell r="BF15">
            <v>2.46</v>
          </cell>
          <cell r="BG15">
            <v>2.31</v>
          </cell>
          <cell r="BH15">
            <v>2.33</v>
          </cell>
          <cell r="BI15">
            <v>2.71</v>
          </cell>
          <cell r="BJ15">
            <v>3.32</v>
          </cell>
          <cell r="BK15">
            <v>3.59</v>
          </cell>
          <cell r="BL15">
            <v>2.7</v>
          </cell>
          <cell r="BM15">
            <v>2.44</v>
          </cell>
          <cell r="BN15">
            <v>2.15</v>
          </cell>
          <cell r="BO15">
            <v>2.4</v>
          </cell>
          <cell r="BP15">
            <v>2.5</v>
          </cell>
          <cell r="BQ15">
            <v>2.46</v>
          </cell>
          <cell r="BR15">
            <v>2.19</v>
          </cell>
          <cell r="BS15">
            <v>2.4700000000000002</v>
          </cell>
          <cell r="BT15">
            <v>2.06</v>
          </cell>
          <cell r="BU15">
            <v>1.79</v>
          </cell>
          <cell r="BV15">
            <v>2.2200000000000002</v>
          </cell>
          <cell r="BW15">
            <v>2.25</v>
          </cell>
          <cell r="BX15">
            <v>2.23</v>
          </cell>
          <cell r="BY15">
            <v>1.95</v>
          </cell>
          <cell r="BZ15">
            <v>1.95</v>
          </cell>
          <cell r="CA15">
            <v>1.78</v>
          </cell>
          <cell r="CB15">
            <v>2.09</v>
          </cell>
          <cell r="CC15">
            <v>2.5099999999999998</v>
          </cell>
          <cell r="CD15">
            <v>2.35</v>
          </cell>
          <cell r="CE15">
            <v>2.42</v>
          </cell>
          <cell r="CF15">
            <v>2.8</v>
          </cell>
          <cell r="CG15">
            <v>3.07</v>
          </cell>
        </row>
        <row r="16">
          <cell r="A16" t="str">
            <v>EPNG-PERM</v>
          </cell>
          <cell r="B16">
            <v>13</v>
          </cell>
          <cell r="C16">
            <v>2.12</v>
          </cell>
          <cell r="D16">
            <v>2.04</v>
          </cell>
          <cell r="E16">
            <v>2.04</v>
          </cell>
          <cell r="F16">
            <v>1.57</v>
          </cell>
          <cell r="G16">
            <v>1.83</v>
          </cell>
          <cell r="H16">
            <v>1.89</v>
          </cell>
          <cell r="I16">
            <v>2.2000000000000002</v>
          </cell>
          <cell r="J16">
            <v>1.65</v>
          </cell>
          <cell r="K16">
            <v>1.78</v>
          </cell>
          <cell r="L16">
            <v>1.88</v>
          </cell>
          <cell r="M16">
            <v>2.0299999999999998</v>
          </cell>
          <cell r="N16">
            <v>1.77</v>
          </cell>
          <cell r="O16">
            <v>1.77</v>
          </cell>
          <cell r="P16">
            <v>2.25</v>
          </cell>
          <cell r="Q16">
            <v>1.93</v>
          </cell>
          <cell r="R16">
            <v>1.88</v>
          </cell>
          <cell r="S16">
            <v>2</v>
          </cell>
          <cell r="T16">
            <v>1.75</v>
          </cell>
          <cell r="U16">
            <v>1.75</v>
          </cell>
          <cell r="V16">
            <v>1.5</v>
          </cell>
          <cell r="W16">
            <v>1.65</v>
          </cell>
          <cell r="X16">
            <v>1.57</v>
          </cell>
          <cell r="Y16">
            <v>1.44</v>
          </cell>
          <cell r="Z16">
            <v>1.22</v>
          </cell>
          <cell r="AA16">
            <v>1.47</v>
          </cell>
          <cell r="AB16">
            <v>1.64</v>
          </cell>
          <cell r="AC16">
            <v>1.46</v>
          </cell>
          <cell r="AD16">
            <v>1.17</v>
          </cell>
          <cell r="AE16">
            <v>1.17</v>
          </cell>
          <cell r="AF16">
            <v>1.25</v>
          </cell>
          <cell r="AG16">
            <v>1.35</v>
          </cell>
          <cell r="AH16">
            <v>1.38</v>
          </cell>
          <cell r="AI16">
            <v>1.19</v>
          </cell>
          <cell r="AJ16">
            <v>1.18</v>
          </cell>
          <cell r="AK16">
            <v>1.36</v>
          </cell>
          <cell r="AL16">
            <v>1.41</v>
          </cell>
          <cell r="AM16">
            <v>1.54</v>
          </cell>
          <cell r="AN16">
            <v>1.74</v>
          </cell>
          <cell r="AO16">
            <v>1.92</v>
          </cell>
          <cell r="AP16">
            <v>1.68</v>
          </cell>
          <cell r="AQ16">
            <v>1.75</v>
          </cell>
          <cell r="AR16">
            <v>2.0099999999999998</v>
          </cell>
          <cell r="AS16">
            <v>1.95</v>
          </cell>
          <cell r="AT16">
            <v>2.0099999999999998</v>
          </cell>
          <cell r="AU16">
            <v>2.09</v>
          </cell>
          <cell r="AV16">
            <v>2.0699999999999998</v>
          </cell>
          <cell r="AW16">
            <v>1.59</v>
          </cell>
          <cell r="AX16">
            <v>1.64</v>
          </cell>
          <cell r="AY16">
            <v>2.48</v>
          </cell>
          <cell r="AZ16">
            <v>3.59</v>
          </cell>
          <cell r="BA16">
            <v>4.0999999999999996</v>
          </cell>
          <cell r="BB16">
            <v>2.5499999999999998</v>
          </cell>
          <cell r="BC16">
            <v>1.54</v>
          </cell>
          <cell r="BD16">
            <v>1.63</v>
          </cell>
          <cell r="BE16">
            <v>1.91</v>
          </cell>
          <cell r="BF16">
            <v>2.0699999999999998</v>
          </cell>
          <cell r="BG16">
            <v>2</v>
          </cell>
          <cell r="BH16">
            <v>2.0499999999999998</v>
          </cell>
          <cell r="BI16">
            <v>2.36</v>
          </cell>
          <cell r="BJ16">
            <v>2.9</v>
          </cell>
          <cell r="BK16">
            <v>3.18</v>
          </cell>
          <cell r="BL16">
            <v>2.21</v>
          </cell>
          <cell r="BM16">
            <v>2.08</v>
          </cell>
          <cell r="BN16">
            <v>1.84</v>
          </cell>
          <cell r="BO16">
            <v>2.04</v>
          </cell>
          <cell r="BP16">
            <v>2.12</v>
          </cell>
          <cell r="BQ16">
            <v>2.1</v>
          </cell>
          <cell r="BR16">
            <v>1.86</v>
          </cell>
          <cell r="BS16">
            <v>2.1800000000000002</v>
          </cell>
          <cell r="BT16">
            <v>1.9</v>
          </cell>
          <cell r="BU16">
            <v>1.59</v>
          </cell>
          <cell r="BV16">
            <v>1.82</v>
          </cell>
          <cell r="BW16">
            <v>1.92</v>
          </cell>
          <cell r="BX16">
            <v>1.99</v>
          </cell>
          <cell r="BY16">
            <v>1.73</v>
          </cell>
          <cell r="BZ16">
            <v>1.66</v>
          </cell>
          <cell r="CA16">
            <v>1.54</v>
          </cell>
          <cell r="CB16">
            <v>1.66</v>
          </cell>
          <cell r="CC16">
            <v>2.16</v>
          </cell>
          <cell r="CD16">
            <v>2.08</v>
          </cell>
          <cell r="CE16">
            <v>2.17</v>
          </cell>
          <cell r="CF16">
            <v>2.46</v>
          </cell>
          <cell r="CG16">
            <v>2.78</v>
          </cell>
        </row>
        <row r="17">
          <cell r="A17" t="str">
            <v>EPNG-SJ</v>
          </cell>
          <cell r="B17">
            <v>14</v>
          </cell>
          <cell r="C17">
            <v>2.11</v>
          </cell>
          <cell r="D17">
            <v>2.04</v>
          </cell>
          <cell r="E17">
            <v>2.1</v>
          </cell>
          <cell r="F17">
            <v>1.58</v>
          </cell>
          <cell r="G17">
            <v>1.84</v>
          </cell>
          <cell r="H17">
            <v>1.89</v>
          </cell>
          <cell r="I17">
            <v>2.2000000000000002</v>
          </cell>
          <cell r="J17">
            <v>1.65</v>
          </cell>
          <cell r="K17">
            <v>1.76</v>
          </cell>
          <cell r="L17">
            <v>1.84</v>
          </cell>
          <cell r="M17">
            <v>2.0099999999999998</v>
          </cell>
          <cell r="N17">
            <v>1.76</v>
          </cell>
          <cell r="O17">
            <v>1.76</v>
          </cell>
          <cell r="P17">
            <v>2.2400000000000002</v>
          </cell>
          <cell r="Q17">
            <v>1.94</v>
          </cell>
          <cell r="R17">
            <v>1.82</v>
          </cell>
          <cell r="S17">
            <v>1.98</v>
          </cell>
          <cell r="T17">
            <v>1.73</v>
          </cell>
          <cell r="U17">
            <v>1.74</v>
          </cell>
          <cell r="V17">
            <v>1.48</v>
          </cell>
          <cell r="W17">
            <v>1.58</v>
          </cell>
          <cell r="X17">
            <v>1.54</v>
          </cell>
          <cell r="Y17">
            <v>1.43</v>
          </cell>
          <cell r="Z17">
            <v>1.2</v>
          </cell>
          <cell r="AA17">
            <v>1.46</v>
          </cell>
          <cell r="AB17">
            <v>1.63</v>
          </cell>
          <cell r="AC17">
            <v>1.45</v>
          </cell>
          <cell r="AD17">
            <v>1.0900000000000001</v>
          </cell>
          <cell r="AE17">
            <v>1.08</v>
          </cell>
          <cell r="AF17">
            <v>1.0900000000000001</v>
          </cell>
          <cell r="AG17">
            <v>1.17</v>
          </cell>
          <cell r="AH17">
            <v>1.17</v>
          </cell>
          <cell r="AI17">
            <v>1.05</v>
          </cell>
          <cell r="AJ17">
            <v>1.02</v>
          </cell>
          <cell r="AK17">
            <v>1.19</v>
          </cell>
          <cell r="AL17">
            <v>1.24</v>
          </cell>
          <cell r="AM17">
            <v>1.25</v>
          </cell>
          <cell r="AN17">
            <v>1.34</v>
          </cell>
          <cell r="AO17">
            <v>1.39</v>
          </cell>
          <cell r="AP17">
            <v>1.26</v>
          </cell>
          <cell r="AQ17">
            <v>1.18</v>
          </cell>
          <cell r="AR17">
            <v>1.1200000000000001</v>
          </cell>
          <cell r="AS17">
            <v>1.1200000000000001</v>
          </cell>
          <cell r="AT17">
            <v>1.18</v>
          </cell>
          <cell r="AU17">
            <v>1.47</v>
          </cell>
          <cell r="AV17">
            <v>2</v>
          </cell>
          <cell r="AW17">
            <v>1.55</v>
          </cell>
          <cell r="AX17">
            <v>1.59</v>
          </cell>
          <cell r="AY17">
            <v>2.4500000000000002</v>
          </cell>
          <cell r="AZ17">
            <v>3.55</v>
          </cell>
          <cell r="BA17">
            <v>4.05</v>
          </cell>
          <cell r="BB17">
            <v>2.48</v>
          </cell>
          <cell r="BC17">
            <v>1.46</v>
          </cell>
          <cell r="BD17">
            <v>1.59</v>
          </cell>
          <cell r="BE17">
            <v>1.87</v>
          </cell>
          <cell r="BF17">
            <v>2.02</v>
          </cell>
          <cell r="BG17">
            <v>1.97</v>
          </cell>
          <cell r="BH17">
            <v>2</v>
          </cell>
          <cell r="BI17">
            <v>2.2799999999999998</v>
          </cell>
          <cell r="BJ17">
            <v>2.83</v>
          </cell>
          <cell r="BK17">
            <v>3.11</v>
          </cell>
          <cell r="BL17">
            <v>2.16</v>
          </cell>
          <cell r="BM17">
            <v>2.06</v>
          </cell>
          <cell r="BN17">
            <v>1.76</v>
          </cell>
          <cell r="BO17">
            <v>2.0099999999999998</v>
          </cell>
          <cell r="BP17">
            <v>2.06</v>
          </cell>
          <cell r="BQ17">
            <v>2</v>
          </cell>
          <cell r="BR17">
            <v>1.75</v>
          </cell>
          <cell r="BS17">
            <v>1.86</v>
          </cell>
          <cell r="BT17">
            <v>1.81</v>
          </cell>
          <cell r="BU17">
            <v>1.55</v>
          </cell>
          <cell r="BV17">
            <v>1.67</v>
          </cell>
          <cell r="BW17">
            <v>1.88</v>
          </cell>
          <cell r="BX17">
            <v>1.96</v>
          </cell>
          <cell r="BY17">
            <v>1.72</v>
          </cell>
          <cell r="BZ17">
            <v>1.63</v>
          </cell>
          <cell r="CA17">
            <v>1.51</v>
          </cell>
          <cell r="CB17">
            <v>1.59</v>
          </cell>
          <cell r="CC17">
            <v>2.0299999999999998</v>
          </cell>
          <cell r="CD17">
            <v>1.96</v>
          </cell>
          <cell r="CE17">
            <v>2.0499999999999998</v>
          </cell>
          <cell r="CF17">
            <v>2.2599999999999998</v>
          </cell>
          <cell r="CG17">
            <v>2.63</v>
          </cell>
        </row>
        <row r="18">
          <cell r="A18" t="str">
            <v>FGT-Z1</v>
          </cell>
          <cell r="B18">
            <v>15</v>
          </cell>
          <cell r="C18">
            <v>2.36</v>
          </cell>
          <cell r="D18">
            <v>2.2000000000000002</v>
          </cell>
          <cell r="E18">
            <v>1.9</v>
          </cell>
          <cell r="F18">
            <v>1.59</v>
          </cell>
          <cell r="G18">
            <v>1.85</v>
          </cell>
          <cell r="H18">
            <v>2.15</v>
          </cell>
          <cell r="I18">
            <v>2.68</v>
          </cell>
          <cell r="J18">
            <v>2.13</v>
          </cell>
          <cell r="K18">
            <v>1.89</v>
          </cell>
          <cell r="L18">
            <v>2.0299999999999998</v>
          </cell>
          <cell r="M18">
            <v>2.34</v>
          </cell>
          <cell r="N18">
            <v>2</v>
          </cell>
          <cell r="O18">
            <v>2.0499999999999998</v>
          </cell>
          <cell r="P18">
            <v>2.2999999999999998</v>
          </cell>
          <cell r="Q18">
            <v>2.0299999999999998</v>
          </cell>
          <cell r="R18">
            <v>2.25</v>
          </cell>
          <cell r="S18">
            <v>2.2000000000000002</v>
          </cell>
          <cell r="T18">
            <v>1.88</v>
          </cell>
          <cell r="U18">
            <v>1.98</v>
          </cell>
          <cell r="V18">
            <v>1.74</v>
          </cell>
          <cell r="W18">
            <v>1.88</v>
          </cell>
          <cell r="X18">
            <v>1.71</v>
          </cell>
          <cell r="Y18">
            <v>1.54</v>
          </cell>
          <cell r="Z18">
            <v>1.36</v>
          </cell>
          <cell r="AA18">
            <v>1.57</v>
          </cell>
          <cell r="AB18">
            <v>1.61</v>
          </cell>
          <cell r="AC18">
            <v>1.54</v>
          </cell>
          <cell r="AD18">
            <v>1.34</v>
          </cell>
          <cell r="AE18">
            <v>1.36</v>
          </cell>
          <cell r="AF18">
            <v>1.49</v>
          </cell>
          <cell r="AG18">
            <v>1.6</v>
          </cell>
          <cell r="AH18">
            <v>1.65</v>
          </cell>
          <cell r="AI18">
            <v>1.44</v>
          </cell>
          <cell r="AJ18">
            <v>1.31</v>
          </cell>
          <cell r="AK18">
            <v>1.48</v>
          </cell>
          <cell r="AL18">
            <v>1.56</v>
          </cell>
          <cell r="AM18">
            <v>1.7</v>
          </cell>
          <cell r="AN18">
            <v>2.1</v>
          </cell>
          <cell r="AO18">
            <v>2.1800000000000002</v>
          </cell>
          <cell r="AP18">
            <v>1.87</v>
          </cell>
          <cell r="AQ18">
            <v>2.0299999999999998</v>
          </cell>
          <cell r="AR18">
            <v>2.2599999999999998</v>
          </cell>
          <cell r="AS18">
            <v>2.15</v>
          </cell>
          <cell r="AT18">
            <v>2.25</v>
          </cell>
          <cell r="AU18">
            <v>2.5299999999999998</v>
          </cell>
          <cell r="AV18">
            <v>2.25</v>
          </cell>
          <cell r="AW18">
            <v>1.75</v>
          </cell>
          <cell r="AX18">
            <v>1.75</v>
          </cell>
          <cell r="AY18">
            <v>2.54</v>
          </cell>
          <cell r="AZ18">
            <v>3.72</v>
          </cell>
          <cell r="BA18">
            <v>3.98</v>
          </cell>
          <cell r="BB18">
            <v>2.8</v>
          </cell>
          <cell r="BC18">
            <v>1.69</v>
          </cell>
          <cell r="BD18">
            <v>1.74</v>
          </cell>
          <cell r="BE18">
            <v>2.06</v>
          </cell>
          <cell r="BF18">
            <v>2.21</v>
          </cell>
          <cell r="BG18">
            <v>2.12</v>
          </cell>
          <cell r="BH18">
            <v>2.14</v>
          </cell>
          <cell r="BI18">
            <v>2.5099999999999998</v>
          </cell>
          <cell r="BJ18">
            <v>3.1</v>
          </cell>
          <cell r="BK18">
            <v>3.2</v>
          </cell>
          <cell r="BL18">
            <v>2.4500000000000002</v>
          </cell>
          <cell r="BM18">
            <v>2.21</v>
          </cell>
          <cell r="BN18">
            <v>1.94</v>
          </cell>
          <cell r="BO18">
            <v>2.19</v>
          </cell>
          <cell r="BP18">
            <v>2.25</v>
          </cell>
          <cell r="BQ18">
            <v>2.2000000000000002</v>
          </cell>
          <cell r="BR18">
            <v>1.98</v>
          </cell>
          <cell r="BS18">
            <v>2.31</v>
          </cell>
          <cell r="BT18">
            <v>1.86</v>
          </cell>
          <cell r="BU18">
            <v>1.57</v>
          </cell>
          <cell r="BV18">
            <v>1.98</v>
          </cell>
          <cell r="BW18">
            <v>1.92</v>
          </cell>
          <cell r="BX18">
            <v>2.0699999999999998</v>
          </cell>
          <cell r="BY18">
            <v>1.73</v>
          </cell>
          <cell r="BZ18">
            <v>1.74</v>
          </cell>
          <cell r="CA18">
            <v>1.59</v>
          </cell>
          <cell r="CB18">
            <v>1.84</v>
          </cell>
          <cell r="CC18">
            <v>2.2999999999999998</v>
          </cell>
          <cell r="CD18">
            <v>2.2000000000000002</v>
          </cell>
          <cell r="CE18">
            <v>2.2400000000000002</v>
          </cell>
          <cell r="CF18">
            <v>2.57</v>
          </cell>
          <cell r="CG18">
            <v>2.86</v>
          </cell>
        </row>
        <row r="19">
          <cell r="A19" t="str">
            <v>FGT-Z2</v>
          </cell>
          <cell r="B19">
            <v>16</v>
          </cell>
          <cell r="C19">
            <v>2.4</v>
          </cell>
          <cell r="D19">
            <v>2.25</v>
          </cell>
          <cell r="E19">
            <v>2.02</v>
          </cell>
          <cell r="F19">
            <v>1.64</v>
          </cell>
          <cell r="G19">
            <v>1.88</v>
          </cell>
          <cell r="H19">
            <v>2.2200000000000002</v>
          </cell>
          <cell r="I19">
            <v>2.73</v>
          </cell>
          <cell r="J19">
            <v>2.15</v>
          </cell>
          <cell r="K19">
            <v>1.95</v>
          </cell>
          <cell r="L19">
            <v>2.0699999999999998</v>
          </cell>
          <cell r="M19">
            <v>2.37</v>
          </cell>
          <cell r="N19">
            <v>2.0499999999999998</v>
          </cell>
          <cell r="O19">
            <v>2.11</v>
          </cell>
          <cell r="P19">
            <v>2.35</v>
          </cell>
          <cell r="Q19">
            <v>2.08</v>
          </cell>
          <cell r="R19">
            <v>2.34</v>
          </cell>
          <cell r="S19">
            <v>2.33</v>
          </cell>
          <cell r="T19">
            <v>1.93</v>
          </cell>
          <cell r="U19">
            <v>2.0499999999999998</v>
          </cell>
          <cell r="V19">
            <v>1.83</v>
          </cell>
          <cell r="W19">
            <v>1.94</v>
          </cell>
          <cell r="X19">
            <v>1.78</v>
          </cell>
          <cell r="Y19">
            <v>1.47</v>
          </cell>
          <cell r="Z19">
            <v>1.41</v>
          </cell>
          <cell r="AA19">
            <v>1.68</v>
          </cell>
          <cell r="AB19">
            <v>1.67</v>
          </cell>
          <cell r="AC19">
            <v>1.58</v>
          </cell>
          <cell r="AD19">
            <v>1.4</v>
          </cell>
          <cell r="AE19">
            <v>1.43</v>
          </cell>
          <cell r="AF19">
            <v>1.54</v>
          </cell>
          <cell r="AG19">
            <v>1.66</v>
          </cell>
          <cell r="AH19">
            <v>1.71</v>
          </cell>
          <cell r="AI19">
            <v>1.5</v>
          </cell>
          <cell r="AJ19">
            <v>1.37</v>
          </cell>
          <cell r="AK19">
            <v>1.54</v>
          </cell>
          <cell r="AL19">
            <v>1.62</v>
          </cell>
          <cell r="AM19">
            <v>1.76</v>
          </cell>
          <cell r="AN19">
            <v>2.23</v>
          </cell>
          <cell r="AO19">
            <v>3.4</v>
          </cell>
          <cell r="AP19">
            <v>2.35</v>
          </cell>
          <cell r="AQ19">
            <v>2.85</v>
          </cell>
          <cell r="AR19">
            <v>2.69</v>
          </cell>
          <cell r="AS19">
            <v>2.21</v>
          </cell>
          <cell r="AT19">
            <v>2.34</v>
          </cell>
          <cell r="AU19">
            <v>2.62</v>
          </cell>
          <cell r="AV19">
            <v>2.3199999999999998</v>
          </cell>
          <cell r="AW19">
            <v>1.81</v>
          </cell>
          <cell r="AX19">
            <v>1.82</v>
          </cell>
          <cell r="AY19">
            <v>2.56</v>
          </cell>
          <cell r="AZ19">
            <v>3.85</v>
          </cell>
          <cell r="BA19">
            <v>4.0999999999999996</v>
          </cell>
          <cell r="BB19">
            <v>2.92</v>
          </cell>
          <cell r="BC19">
            <v>1.84</v>
          </cell>
          <cell r="BD19">
            <v>1.81</v>
          </cell>
          <cell r="BE19">
            <v>2.13</v>
          </cell>
          <cell r="BF19">
            <v>2.2999999999999998</v>
          </cell>
          <cell r="BG19">
            <v>2.17</v>
          </cell>
          <cell r="BH19">
            <v>2.1800000000000002</v>
          </cell>
          <cell r="BI19">
            <v>2.54</v>
          </cell>
          <cell r="BJ19">
            <v>3.13</v>
          </cell>
          <cell r="BK19">
            <v>3.26</v>
          </cell>
          <cell r="BL19">
            <v>2.5499999999999998</v>
          </cell>
          <cell r="BM19">
            <v>2.2799999999999998</v>
          </cell>
          <cell r="BN19">
            <v>2.02</v>
          </cell>
          <cell r="BO19">
            <v>2.25</v>
          </cell>
          <cell r="BP19">
            <v>2.29</v>
          </cell>
          <cell r="BQ19">
            <v>2.25</v>
          </cell>
          <cell r="BR19">
            <v>2.0299999999999998</v>
          </cell>
          <cell r="BS19">
            <v>2.36</v>
          </cell>
          <cell r="BT19">
            <v>1.92</v>
          </cell>
          <cell r="BU19">
            <v>1.61</v>
          </cell>
          <cell r="BV19">
            <v>2.0299999999999998</v>
          </cell>
          <cell r="BW19">
            <v>1.99</v>
          </cell>
          <cell r="BX19">
            <v>2.12</v>
          </cell>
          <cell r="BY19">
            <v>1.78</v>
          </cell>
          <cell r="BZ19">
            <v>1.77</v>
          </cell>
          <cell r="CA19">
            <v>1.63</v>
          </cell>
          <cell r="CB19">
            <v>1.88</v>
          </cell>
          <cell r="CC19">
            <v>2.35</v>
          </cell>
          <cell r="CD19">
            <v>2.23</v>
          </cell>
          <cell r="CE19">
            <v>2.27</v>
          </cell>
          <cell r="CF19">
            <v>2.61</v>
          </cell>
          <cell r="CG19">
            <v>2.9</v>
          </cell>
        </row>
        <row r="20">
          <cell r="A20" t="str">
            <v>FGT-Z3</v>
          </cell>
          <cell r="B20">
            <v>17</v>
          </cell>
          <cell r="C20">
            <v>2.4700000000000002</v>
          </cell>
          <cell r="D20">
            <v>2.36</v>
          </cell>
          <cell r="E20">
            <v>2.0699999999999998</v>
          </cell>
          <cell r="F20">
            <v>1.65</v>
          </cell>
          <cell r="G20">
            <v>1.94</v>
          </cell>
          <cell r="H20">
            <v>2.2200000000000002</v>
          </cell>
          <cell r="I20">
            <v>2.8</v>
          </cell>
          <cell r="J20">
            <v>2.1800000000000002</v>
          </cell>
          <cell r="K20">
            <v>1.98</v>
          </cell>
          <cell r="L20">
            <v>2.11</v>
          </cell>
          <cell r="M20">
            <v>2.38</v>
          </cell>
          <cell r="N20">
            <v>2.1</v>
          </cell>
          <cell r="O20">
            <v>2.15</v>
          </cell>
          <cell r="P20">
            <v>2.41</v>
          </cell>
          <cell r="Q20">
            <v>2.13</v>
          </cell>
          <cell r="R20">
            <v>2.39</v>
          </cell>
          <cell r="S20">
            <v>2.39</v>
          </cell>
          <cell r="T20">
            <v>1.96</v>
          </cell>
          <cell r="U20">
            <v>2.1</v>
          </cell>
          <cell r="V20">
            <v>1.89</v>
          </cell>
          <cell r="W20">
            <v>1.98</v>
          </cell>
          <cell r="X20">
            <v>1.84</v>
          </cell>
          <cell r="Y20">
            <v>1.52</v>
          </cell>
          <cell r="Z20">
            <v>1.45</v>
          </cell>
          <cell r="AA20">
            <v>1.72</v>
          </cell>
          <cell r="AB20">
            <v>1.71</v>
          </cell>
          <cell r="AC20">
            <v>1.62</v>
          </cell>
          <cell r="AD20">
            <v>1.47</v>
          </cell>
          <cell r="AE20">
            <v>1.46</v>
          </cell>
          <cell r="AF20">
            <v>1.56</v>
          </cell>
          <cell r="AG20">
            <v>1.67</v>
          </cell>
          <cell r="AH20">
            <v>1.72</v>
          </cell>
          <cell r="AI20">
            <v>1.49</v>
          </cell>
          <cell r="AJ20">
            <v>1.37</v>
          </cell>
          <cell r="AK20">
            <v>1.55</v>
          </cell>
          <cell r="AL20">
            <v>1.62</v>
          </cell>
          <cell r="AM20">
            <v>1.76</v>
          </cell>
          <cell r="AN20">
            <v>2.2400000000000002</v>
          </cell>
          <cell r="AO20">
            <v>3.37</v>
          </cell>
          <cell r="AP20">
            <v>2.35</v>
          </cell>
          <cell r="AQ20">
            <v>2.82</v>
          </cell>
          <cell r="AR20">
            <v>2.69</v>
          </cell>
          <cell r="AS20">
            <v>2.2000000000000002</v>
          </cell>
          <cell r="AT20">
            <v>2.33</v>
          </cell>
          <cell r="AU20">
            <v>2.61</v>
          </cell>
          <cell r="AV20">
            <v>2.2999999999999998</v>
          </cell>
          <cell r="AW20">
            <v>1.79</v>
          </cell>
          <cell r="AX20">
            <v>1.8</v>
          </cell>
          <cell r="AY20">
            <v>2.6</v>
          </cell>
          <cell r="AZ20">
            <v>3.81</v>
          </cell>
          <cell r="BA20">
            <v>3.95</v>
          </cell>
          <cell r="BB20">
            <v>2.87</v>
          </cell>
          <cell r="BC20">
            <v>1.79</v>
          </cell>
          <cell r="BD20">
            <v>1.76</v>
          </cell>
          <cell r="BE20">
            <v>2.1</v>
          </cell>
          <cell r="BF20">
            <v>2.25</v>
          </cell>
          <cell r="BG20">
            <v>2.12</v>
          </cell>
          <cell r="BH20">
            <v>2.13</v>
          </cell>
          <cell r="BI20">
            <v>2.4700000000000002</v>
          </cell>
          <cell r="BJ20">
            <v>3.05</v>
          </cell>
          <cell r="BK20">
            <v>3.2</v>
          </cell>
          <cell r="BL20">
            <v>2.4900000000000002</v>
          </cell>
          <cell r="BM20">
            <v>2.23</v>
          </cell>
          <cell r="BN20">
            <v>1.96</v>
          </cell>
          <cell r="BO20">
            <v>2.19</v>
          </cell>
          <cell r="BP20">
            <v>2.27</v>
          </cell>
          <cell r="BQ20">
            <v>2.2200000000000002</v>
          </cell>
          <cell r="BR20">
            <v>1.98</v>
          </cell>
          <cell r="BS20">
            <v>2.29</v>
          </cell>
          <cell r="BT20">
            <v>1.86</v>
          </cell>
          <cell r="BU20">
            <v>1.57</v>
          </cell>
          <cell r="BV20">
            <v>1.97</v>
          </cell>
          <cell r="BW20">
            <v>1.91</v>
          </cell>
          <cell r="BX20">
            <v>2.0699999999999998</v>
          </cell>
          <cell r="BY20">
            <v>1.73</v>
          </cell>
          <cell r="BZ20">
            <v>1.74</v>
          </cell>
          <cell r="CA20">
            <v>1.6</v>
          </cell>
          <cell r="CB20">
            <v>1.85</v>
          </cell>
          <cell r="CC20">
            <v>2.2999999999999998</v>
          </cell>
          <cell r="CD20">
            <v>2.21</v>
          </cell>
          <cell r="CE20">
            <v>2.2400000000000002</v>
          </cell>
          <cell r="CF20">
            <v>2.57</v>
          </cell>
          <cell r="CG20">
            <v>2.86</v>
          </cell>
        </row>
        <row r="21">
          <cell r="A21" t="str">
            <v>HSC</v>
          </cell>
          <cell r="B21">
            <v>18</v>
          </cell>
          <cell r="C21">
            <v>2.2400000000000002</v>
          </cell>
          <cell r="D21">
            <v>2.1800000000000002</v>
          </cell>
          <cell r="E21">
            <v>1.98</v>
          </cell>
          <cell r="F21">
            <v>1.64</v>
          </cell>
          <cell r="G21">
            <v>1.93</v>
          </cell>
          <cell r="H21">
            <v>2.23</v>
          </cell>
          <cell r="I21">
            <v>2.6</v>
          </cell>
          <cell r="J21">
            <v>1.93</v>
          </cell>
          <cell r="K21">
            <v>1.97</v>
          </cell>
          <cell r="L21">
            <v>2.19</v>
          </cell>
          <cell r="M21">
            <v>2.36</v>
          </cell>
          <cell r="N21">
            <v>2.02</v>
          </cell>
          <cell r="O21">
            <v>2.12</v>
          </cell>
          <cell r="P21">
            <v>2.4</v>
          </cell>
          <cell r="Q21">
            <v>2.04</v>
          </cell>
          <cell r="R21">
            <v>2.19</v>
          </cell>
          <cell r="S21">
            <v>2.2599999999999998</v>
          </cell>
          <cell r="T21">
            <v>1.98</v>
          </cell>
          <cell r="U21">
            <v>2.0499999999999998</v>
          </cell>
          <cell r="V21">
            <v>1.77</v>
          </cell>
          <cell r="W21">
            <v>1.98</v>
          </cell>
          <cell r="X21">
            <v>1.78</v>
          </cell>
          <cell r="Y21">
            <v>1.5</v>
          </cell>
          <cell r="Z21">
            <v>1.39</v>
          </cell>
          <cell r="AA21">
            <v>1.66</v>
          </cell>
          <cell r="AB21">
            <v>1.67</v>
          </cell>
          <cell r="AC21">
            <v>1.56</v>
          </cell>
          <cell r="AD21">
            <v>1.36</v>
          </cell>
          <cell r="AE21">
            <v>1.39</v>
          </cell>
          <cell r="AF21">
            <v>1.52</v>
          </cell>
          <cell r="AG21">
            <v>1.63</v>
          </cell>
          <cell r="AH21">
            <v>1.67</v>
          </cell>
          <cell r="AI21">
            <v>1.48</v>
          </cell>
          <cell r="AJ21">
            <v>1.37</v>
          </cell>
          <cell r="AK21">
            <v>1.54</v>
          </cell>
          <cell r="AL21">
            <v>1.6</v>
          </cell>
          <cell r="AM21">
            <v>1.73</v>
          </cell>
          <cell r="AN21">
            <v>2.08</v>
          </cell>
          <cell r="AO21">
            <v>2.17</v>
          </cell>
          <cell r="AP21">
            <v>1.86</v>
          </cell>
          <cell r="AQ21">
            <v>1.99</v>
          </cell>
          <cell r="AR21">
            <v>2.29</v>
          </cell>
          <cell r="AS21">
            <v>2.19</v>
          </cell>
          <cell r="AT21">
            <v>2.31</v>
          </cell>
          <cell r="AU21">
            <v>2.58</v>
          </cell>
          <cell r="AV21">
            <v>2.2999999999999998</v>
          </cell>
          <cell r="AW21">
            <v>1.85</v>
          </cell>
          <cell r="AX21">
            <v>1.83</v>
          </cell>
          <cell r="AY21">
            <v>2.61</v>
          </cell>
          <cell r="AZ21">
            <v>3.7</v>
          </cell>
          <cell r="BA21">
            <v>3.9</v>
          </cell>
          <cell r="BB21">
            <v>2.82</v>
          </cell>
          <cell r="BC21">
            <v>1.74</v>
          </cell>
          <cell r="BD21">
            <v>1.81</v>
          </cell>
          <cell r="BE21">
            <v>2.09</v>
          </cell>
          <cell r="BF21">
            <v>2.29</v>
          </cell>
          <cell r="BG21">
            <v>2.16</v>
          </cell>
          <cell r="BH21">
            <v>2.1800000000000002</v>
          </cell>
          <cell r="BI21">
            <v>2.5</v>
          </cell>
          <cell r="BJ21">
            <v>3.11</v>
          </cell>
          <cell r="BK21">
            <v>3.27</v>
          </cell>
          <cell r="BL21">
            <v>2.4500000000000002</v>
          </cell>
          <cell r="BM21">
            <v>2.2200000000000002</v>
          </cell>
          <cell r="BN21">
            <v>2.0099999999999998</v>
          </cell>
          <cell r="BO21">
            <v>2.23</v>
          </cell>
          <cell r="BP21">
            <v>2.29</v>
          </cell>
          <cell r="BQ21">
            <v>2.27</v>
          </cell>
          <cell r="BR21">
            <v>2.0499999999999998</v>
          </cell>
          <cell r="BS21">
            <v>2.38</v>
          </cell>
          <cell r="BT21">
            <v>1.96</v>
          </cell>
          <cell r="BU21">
            <v>1.66</v>
          </cell>
          <cell r="BV21">
            <v>2.04</v>
          </cell>
          <cell r="BW21">
            <v>1.99</v>
          </cell>
          <cell r="BX21">
            <v>2.08</v>
          </cell>
          <cell r="BY21">
            <v>1.78</v>
          </cell>
          <cell r="BZ21">
            <v>1.78</v>
          </cell>
          <cell r="CA21">
            <v>1.65</v>
          </cell>
          <cell r="CB21">
            <v>1.86</v>
          </cell>
          <cell r="CC21">
            <v>2.35</v>
          </cell>
          <cell r="CD21">
            <v>2.2400000000000002</v>
          </cell>
          <cell r="CE21">
            <v>2.2799999999999998</v>
          </cell>
          <cell r="CF21">
            <v>2.62</v>
          </cell>
          <cell r="CG21">
            <v>2.91</v>
          </cell>
        </row>
        <row r="22">
          <cell r="A22" t="str">
            <v>HUB</v>
          </cell>
          <cell r="B22">
            <v>19</v>
          </cell>
          <cell r="C22">
            <v>2.2999999999999998</v>
          </cell>
          <cell r="D22">
            <v>2.2999999999999998</v>
          </cell>
          <cell r="E22">
            <v>1.95</v>
          </cell>
          <cell r="F22">
            <v>1.62</v>
          </cell>
          <cell r="G22">
            <v>1.89</v>
          </cell>
          <cell r="H22">
            <v>2.23</v>
          </cell>
          <cell r="I22">
            <v>2.69</v>
          </cell>
          <cell r="J22">
            <v>1.98</v>
          </cell>
          <cell r="K22">
            <v>1.92</v>
          </cell>
          <cell r="L22">
            <v>2.11</v>
          </cell>
          <cell r="M22">
            <v>2.37</v>
          </cell>
          <cell r="N22">
            <v>2.0099999999999998</v>
          </cell>
          <cell r="O22">
            <v>2.12</v>
          </cell>
          <cell r="P22">
            <v>2.4</v>
          </cell>
          <cell r="Q22">
            <v>2.02</v>
          </cell>
          <cell r="R22">
            <v>2.39</v>
          </cell>
          <cell r="S22">
            <v>2.38</v>
          </cell>
          <cell r="T22">
            <v>1.98</v>
          </cell>
          <cell r="U22">
            <v>2.06</v>
          </cell>
          <cell r="V22">
            <v>1.82</v>
          </cell>
          <cell r="W22">
            <v>1.97</v>
          </cell>
          <cell r="X22">
            <v>1.8</v>
          </cell>
          <cell r="Y22">
            <v>1.48</v>
          </cell>
          <cell r="Z22">
            <v>1.41</v>
          </cell>
          <cell r="AA22">
            <v>1.69</v>
          </cell>
          <cell r="AB22">
            <v>1.69</v>
          </cell>
          <cell r="AC22">
            <v>1.62</v>
          </cell>
          <cell r="AD22">
            <v>1.42</v>
          </cell>
          <cell r="AE22">
            <v>1.44</v>
          </cell>
          <cell r="AF22">
            <v>1.57</v>
          </cell>
          <cell r="AG22">
            <v>1.68</v>
          </cell>
          <cell r="AH22">
            <v>1.75</v>
          </cell>
          <cell r="AI22">
            <v>1.51</v>
          </cell>
          <cell r="AJ22">
            <v>1.38</v>
          </cell>
          <cell r="AK22">
            <v>1.58</v>
          </cell>
          <cell r="AL22">
            <v>1.65</v>
          </cell>
          <cell r="AM22">
            <v>1.78</v>
          </cell>
          <cell r="AN22">
            <v>2.2599999999999998</v>
          </cell>
          <cell r="AO22">
            <v>3.42</v>
          </cell>
          <cell r="AP22">
            <v>2.4</v>
          </cell>
          <cell r="AQ22">
            <v>2.94</v>
          </cell>
          <cell r="AR22">
            <v>2.7</v>
          </cell>
          <cell r="AS22">
            <v>2.21</v>
          </cell>
          <cell r="AT22">
            <v>2.38</v>
          </cell>
          <cell r="AU22">
            <v>2.66</v>
          </cell>
          <cell r="AV22">
            <v>2.2999999999999998</v>
          </cell>
          <cell r="AW22">
            <v>1.83</v>
          </cell>
          <cell r="AX22">
            <v>1.85</v>
          </cell>
          <cell r="AY22">
            <v>2.72</v>
          </cell>
          <cell r="AZ22">
            <v>3.9</v>
          </cell>
          <cell r="BA22">
            <v>4.09</v>
          </cell>
          <cell r="BB22">
            <v>2.96</v>
          </cell>
          <cell r="BC22">
            <v>1.78</v>
          </cell>
          <cell r="BD22">
            <v>1.85</v>
          </cell>
          <cell r="BE22">
            <v>2.15</v>
          </cell>
          <cell r="BF22">
            <v>2.31</v>
          </cell>
          <cell r="BG22">
            <v>2.16</v>
          </cell>
          <cell r="BH22">
            <v>2.19</v>
          </cell>
          <cell r="BI22">
            <v>2.57</v>
          </cell>
          <cell r="BJ22">
            <v>3.16</v>
          </cell>
          <cell r="BK22">
            <v>3.3</v>
          </cell>
          <cell r="BL22">
            <v>2.5499999999999998</v>
          </cell>
          <cell r="BM22">
            <v>2.27</v>
          </cell>
          <cell r="BN22">
            <v>2.04</v>
          </cell>
          <cell r="BO22">
            <v>2.2599999999999998</v>
          </cell>
          <cell r="BP22">
            <v>2.3199999999999998</v>
          </cell>
          <cell r="BQ22">
            <v>2.27</v>
          </cell>
          <cell r="BR22">
            <v>2.0299999999999998</v>
          </cell>
          <cell r="BS22">
            <v>2.37</v>
          </cell>
          <cell r="BT22">
            <v>1.93</v>
          </cell>
          <cell r="BU22">
            <v>1.63</v>
          </cell>
          <cell r="BV22">
            <v>2.0699999999999998</v>
          </cell>
          <cell r="BW22">
            <v>2</v>
          </cell>
          <cell r="BX22">
            <v>2.12</v>
          </cell>
          <cell r="BY22">
            <v>1.8</v>
          </cell>
          <cell r="BZ22">
            <v>1.81</v>
          </cell>
          <cell r="CA22">
            <v>1.64</v>
          </cell>
          <cell r="CB22">
            <v>1.88</v>
          </cell>
          <cell r="CC22">
            <v>2.35</v>
          </cell>
          <cell r="CD22">
            <v>2.23</v>
          </cell>
          <cell r="CE22">
            <v>2.2799999999999998</v>
          </cell>
          <cell r="CF22">
            <v>2.62</v>
          </cell>
          <cell r="CG22">
            <v>2.9</v>
          </cell>
        </row>
        <row r="23">
          <cell r="A23" t="str">
            <v>KERN</v>
          </cell>
          <cell r="B23">
            <v>20</v>
          </cell>
          <cell r="C23">
            <v>1.85</v>
          </cell>
          <cell r="D23">
            <v>1.9</v>
          </cell>
          <cell r="E23">
            <v>2.3199999999999998</v>
          </cell>
          <cell r="F23">
            <v>1.6</v>
          </cell>
          <cell r="G23">
            <v>1.78</v>
          </cell>
          <cell r="H23">
            <v>1.82</v>
          </cell>
          <cell r="I23">
            <v>2.2999999999999998</v>
          </cell>
          <cell r="J23">
            <v>1.68</v>
          </cell>
          <cell r="K23">
            <v>1.64</v>
          </cell>
          <cell r="L23">
            <v>1.69</v>
          </cell>
          <cell r="M23">
            <v>1.96</v>
          </cell>
          <cell r="N23">
            <v>1.78</v>
          </cell>
          <cell r="O23">
            <v>1.8</v>
          </cell>
          <cell r="P23">
            <v>2.33</v>
          </cell>
          <cell r="Q23">
            <v>1.97</v>
          </cell>
          <cell r="R23">
            <v>1.78</v>
          </cell>
          <cell r="S23">
            <v>1.94</v>
          </cell>
          <cell r="T23">
            <v>1.63</v>
          </cell>
          <cell r="U23">
            <v>1.64</v>
          </cell>
          <cell r="V23">
            <v>1.38</v>
          </cell>
          <cell r="W23">
            <v>1.5</v>
          </cell>
          <cell r="X23">
            <v>1.46</v>
          </cell>
          <cell r="Y23">
            <v>1.36</v>
          </cell>
          <cell r="Z23">
            <v>1.18</v>
          </cell>
          <cell r="AA23">
            <v>1.5</v>
          </cell>
          <cell r="AB23">
            <v>1.63</v>
          </cell>
          <cell r="AC23">
            <v>1.39</v>
          </cell>
          <cell r="AD23">
            <v>1.07</v>
          </cell>
          <cell r="AE23">
            <v>1.07</v>
          </cell>
          <cell r="AF23">
            <v>1.06</v>
          </cell>
          <cell r="AG23">
            <v>1.07</v>
          </cell>
          <cell r="AH23">
            <v>1.1499999999999999</v>
          </cell>
          <cell r="AI23">
            <v>1</v>
          </cell>
          <cell r="AJ23">
            <v>0.84</v>
          </cell>
          <cell r="AK23">
            <v>0.95</v>
          </cell>
          <cell r="AL23">
            <v>1.04</v>
          </cell>
          <cell r="AM23">
            <v>1.25</v>
          </cell>
          <cell r="AN23">
            <v>1.31</v>
          </cell>
          <cell r="AO23">
            <v>1.27</v>
          </cell>
          <cell r="AP23">
            <v>1.17</v>
          </cell>
          <cell r="AQ23">
            <v>1.17</v>
          </cell>
          <cell r="AR23">
            <v>1.06</v>
          </cell>
          <cell r="AS23">
            <v>1.06</v>
          </cell>
          <cell r="AT23">
            <v>1.07</v>
          </cell>
          <cell r="AU23">
            <v>1.19</v>
          </cell>
          <cell r="AV23">
            <v>1.23</v>
          </cell>
          <cell r="AW23">
            <v>1.2</v>
          </cell>
          <cell r="AX23">
            <v>1.26</v>
          </cell>
          <cell r="AY23">
            <v>2.23</v>
          </cell>
          <cell r="AZ23">
            <v>3.48</v>
          </cell>
          <cell r="BA23">
            <v>4.2300000000000004</v>
          </cell>
          <cell r="BB23">
            <v>2.5</v>
          </cell>
          <cell r="BC23">
            <v>1.39</v>
          </cell>
          <cell r="BD23">
            <v>1.44</v>
          </cell>
          <cell r="BE23">
            <v>1.64</v>
          </cell>
          <cell r="BF23">
            <v>1.47</v>
          </cell>
          <cell r="BG23">
            <v>1.43</v>
          </cell>
          <cell r="BH23">
            <v>1.37</v>
          </cell>
          <cell r="BI23">
            <v>1.48</v>
          </cell>
          <cell r="BJ23">
            <v>2.09</v>
          </cell>
          <cell r="BK23">
            <v>3</v>
          </cell>
          <cell r="BL23">
            <v>1.93</v>
          </cell>
          <cell r="BM23">
            <v>2.04</v>
          </cell>
          <cell r="BN23">
            <v>1.69</v>
          </cell>
          <cell r="BO23">
            <v>1.88</v>
          </cell>
          <cell r="BP23">
            <v>1.9</v>
          </cell>
          <cell r="BQ23">
            <v>1.97</v>
          </cell>
          <cell r="BR23">
            <v>1.65</v>
          </cell>
          <cell r="BS23">
            <v>1.62</v>
          </cell>
          <cell r="BT23">
            <v>1.73</v>
          </cell>
          <cell r="BU23">
            <v>1.59</v>
          </cell>
          <cell r="BV23">
            <v>1.64</v>
          </cell>
          <cell r="BW23">
            <v>2.0099999999999998</v>
          </cell>
          <cell r="BX23">
            <v>2</v>
          </cell>
          <cell r="BY23">
            <v>1.8</v>
          </cell>
          <cell r="BZ23">
            <v>1.64</v>
          </cell>
          <cell r="CA23">
            <v>1.51</v>
          </cell>
          <cell r="CB23">
            <v>1.54</v>
          </cell>
          <cell r="CC23">
            <v>1.99</v>
          </cell>
          <cell r="CD23">
            <v>1.94</v>
          </cell>
          <cell r="CE23">
            <v>2</v>
          </cell>
          <cell r="CF23">
            <v>2.1800000000000002</v>
          </cell>
          <cell r="CG23">
            <v>2.56</v>
          </cell>
        </row>
        <row r="24">
          <cell r="A24" t="str">
            <v>KRS (SOCAL)-NGI</v>
          </cell>
          <cell r="B24">
            <v>21</v>
          </cell>
          <cell r="AD24">
            <v>1.23</v>
          </cell>
          <cell r="AE24">
            <v>1.21</v>
          </cell>
          <cell r="AF24">
            <v>1.23</v>
          </cell>
          <cell r="AG24">
            <v>1.32</v>
          </cell>
          <cell r="AH24">
            <v>1.32</v>
          </cell>
          <cell r="AI24">
            <v>1.24</v>
          </cell>
          <cell r="AJ24">
            <v>1.23</v>
          </cell>
          <cell r="AK24">
            <v>1.44</v>
          </cell>
          <cell r="AL24">
            <v>1.46</v>
          </cell>
          <cell r="AM24">
            <v>1.56</v>
          </cell>
          <cell r="AN24">
            <v>1.62</v>
          </cell>
          <cell r="AO24">
            <v>1.49</v>
          </cell>
          <cell r="AP24">
            <v>1.42</v>
          </cell>
          <cell r="AQ24">
            <v>1.39</v>
          </cell>
          <cell r="AR24">
            <v>1.28</v>
          </cell>
          <cell r="AS24">
            <v>1.28</v>
          </cell>
          <cell r="AT24">
            <v>1.37</v>
          </cell>
          <cell r="AU24">
            <v>1.68</v>
          </cell>
          <cell r="AV24">
            <v>2.15</v>
          </cell>
          <cell r="AW24">
            <v>1.71</v>
          </cell>
          <cell r="AX24">
            <v>1.72</v>
          </cell>
          <cell r="AY24">
            <v>2.61</v>
          </cell>
          <cell r="AZ24">
            <v>3.68</v>
          </cell>
          <cell r="BA24">
            <v>4.25</v>
          </cell>
          <cell r="BB24">
            <v>2.64</v>
          </cell>
          <cell r="BC24">
            <v>1.6</v>
          </cell>
          <cell r="BD24">
            <v>1.72</v>
          </cell>
          <cell r="BE24">
            <v>2.0299999999999998</v>
          </cell>
          <cell r="BF24">
            <v>2.1800000000000002</v>
          </cell>
          <cell r="BG24">
            <v>2.17</v>
          </cell>
          <cell r="BH24">
            <v>2.19</v>
          </cell>
          <cell r="BI24">
            <v>2.4900000000000002</v>
          </cell>
          <cell r="BJ24">
            <v>3.04</v>
          </cell>
          <cell r="BK24">
            <v>3.27</v>
          </cell>
          <cell r="BL24">
            <v>2.3199999999999998</v>
          </cell>
          <cell r="BM24">
            <v>2.2799999999999998</v>
          </cell>
          <cell r="BN24">
            <v>2.1</v>
          </cell>
        </row>
        <row r="25">
          <cell r="A25" t="str">
            <v>KOCH-LA</v>
          </cell>
          <cell r="B25">
            <v>22</v>
          </cell>
          <cell r="C25">
            <v>2.2200000000000002</v>
          </cell>
          <cell r="D25">
            <v>2.15</v>
          </cell>
          <cell r="E25">
            <v>1.85</v>
          </cell>
          <cell r="F25">
            <v>1.54</v>
          </cell>
          <cell r="G25">
            <v>1.85</v>
          </cell>
          <cell r="H25">
            <v>2.1</v>
          </cell>
          <cell r="I25">
            <v>2.56</v>
          </cell>
          <cell r="J25">
            <v>1.92</v>
          </cell>
          <cell r="K25">
            <v>1.85</v>
          </cell>
          <cell r="L25">
            <v>2.04</v>
          </cell>
          <cell r="M25">
            <v>2.27</v>
          </cell>
          <cell r="N25">
            <v>1.9</v>
          </cell>
          <cell r="O25">
            <v>1.98</v>
          </cell>
          <cell r="P25">
            <v>2.2999999999999998</v>
          </cell>
          <cell r="Q25">
            <v>1.92</v>
          </cell>
          <cell r="R25">
            <v>2.14</v>
          </cell>
          <cell r="S25">
            <v>2.19</v>
          </cell>
          <cell r="T25">
            <v>1.89</v>
          </cell>
          <cell r="U25">
            <v>1.94</v>
          </cell>
          <cell r="V25">
            <v>1.7</v>
          </cell>
          <cell r="W25">
            <v>1.85</v>
          </cell>
          <cell r="X25">
            <v>1.68</v>
          </cell>
          <cell r="Y25">
            <v>1.39</v>
          </cell>
          <cell r="Z25">
            <v>1.31</v>
          </cell>
          <cell r="AA25">
            <v>1.57</v>
          </cell>
          <cell r="AB25">
            <v>1.58</v>
          </cell>
          <cell r="AC25">
            <v>1.52</v>
          </cell>
          <cell r="AD25">
            <v>1.36</v>
          </cell>
          <cell r="AE25">
            <v>1.35</v>
          </cell>
          <cell r="AF25">
            <v>1.46</v>
          </cell>
          <cell r="AG25">
            <v>1.57</v>
          </cell>
          <cell r="AH25">
            <v>1.62</v>
          </cell>
          <cell r="AI25">
            <v>1.43</v>
          </cell>
          <cell r="AJ25">
            <v>1.28</v>
          </cell>
          <cell r="AK25">
            <v>1.48</v>
          </cell>
          <cell r="AL25">
            <v>1.56</v>
          </cell>
          <cell r="AM25">
            <v>1.69</v>
          </cell>
          <cell r="AN25">
            <v>2.12</v>
          </cell>
          <cell r="AO25">
            <v>2.52</v>
          </cell>
          <cell r="AP25">
            <v>2.11</v>
          </cell>
          <cell r="AQ25">
            <v>2.57</v>
          </cell>
          <cell r="AR25">
            <v>2.4500000000000002</v>
          </cell>
          <cell r="AS25">
            <v>2.1</v>
          </cell>
          <cell r="AT25">
            <v>2.2200000000000002</v>
          </cell>
          <cell r="AU25">
            <v>2.52</v>
          </cell>
          <cell r="AV25">
            <v>2.23</v>
          </cell>
          <cell r="AW25">
            <v>1.7</v>
          </cell>
          <cell r="AX25">
            <v>1.74</v>
          </cell>
          <cell r="AY25">
            <v>2.6</v>
          </cell>
          <cell r="AZ25">
            <v>3.82</v>
          </cell>
          <cell r="BA25">
            <v>3.85</v>
          </cell>
          <cell r="BB25">
            <v>2.85</v>
          </cell>
          <cell r="BC25">
            <v>1.72</v>
          </cell>
          <cell r="BD25">
            <v>1.77</v>
          </cell>
          <cell r="BE25">
            <v>2.0099999999999998</v>
          </cell>
          <cell r="BF25">
            <v>2.2599999999999998</v>
          </cell>
          <cell r="BG25">
            <v>2.09</v>
          </cell>
          <cell r="BH25">
            <v>2.12</v>
          </cell>
          <cell r="BI25">
            <v>2.4700000000000002</v>
          </cell>
          <cell r="BJ25">
            <v>3.03</v>
          </cell>
          <cell r="BK25">
            <v>3.2</v>
          </cell>
          <cell r="BL25">
            <v>2.4700000000000002</v>
          </cell>
          <cell r="BM25">
            <v>2.17</v>
          </cell>
          <cell r="BN25">
            <v>1.92</v>
          </cell>
          <cell r="BO25">
            <v>2.15</v>
          </cell>
          <cell r="BP25">
            <v>2.2200000000000002</v>
          </cell>
          <cell r="BQ25">
            <v>2.17</v>
          </cell>
          <cell r="BR25">
            <v>1.94</v>
          </cell>
          <cell r="BS25">
            <v>2.2599999999999998</v>
          </cell>
          <cell r="BT25">
            <v>1.85</v>
          </cell>
          <cell r="BU25">
            <v>1.54</v>
          </cell>
          <cell r="BV25">
            <v>1.95</v>
          </cell>
          <cell r="BW25">
            <v>1.89</v>
          </cell>
          <cell r="BX25">
            <v>2.0099999999999998</v>
          </cell>
          <cell r="BY25">
            <v>1.65</v>
          </cell>
          <cell r="BZ25">
            <v>1.7</v>
          </cell>
          <cell r="CA25">
            <v>1.52</v>
          </cell>
          <cell r="CB25">
            <v>1.76</v>
          </cell>
          <cell r="CC25">
            <v>2.2400000000000002</v>
          </cell>
          <cell r="CD25">
            <v>2.11</v>
          </cell>
          <cell r="CE25">
            <v>2.16</v>
          </cell>
          <cell r="CF25">
            <v>2.4900000000000002</v>
          </cell>
          <cell r="CG25">
            <v>2.78</v>
          </cell>
        </row>
        <row r="26">
          <cell r="A26" t="str">
            <v>KOCH-TX</v>
          </cell>
          <cell r="B26">
            <v>23</v>
          </cell>
          <cell r="C26">
            <v>2.17</v>
          </cell>
          <cell r="D26">
            <v>2.1</v>
          </cell>
          <cell r="E26">
            <v>1.82</v>
          </cell>
          <cell r="F26">
            <v>1.53</v>
          </cell>
          <cell r="G26">
            <v>1.78</v>
          </cell>
          <cell r="H26">
            <v>2.1</v>
          </cell>
          <cell r="I26">
            <v>2.56</v>
          </cell>
          <cell r="J26">
            <v>1.89</v>
          </cell>
          <cell r="K26">
            <v>1.85</v>
          </cell>
          <cell r="L26">
            <v>2</v>
          </cell>
          <cell r="M26">
            <v>2.25</v>
          </cell>
          <cell r="N26">
            <v>1.88</v>
          </cell>
          <cell r="O26">
            <v>1.95</v>
          </cell>
          <cell r="P26">
            <v>2.2599999999999998</v>
          </cell>
          <cell r="Q26">
            <v>1.87</v>
          </cell>
          <cell r="R26">
            <v>2.1</v>
          </cell>
          <cell r="S26">
            <v>2.09</v>
          </cell>
          <cell r="T26">
            <v>1.83</v>
          </cell>
          <cell r="U26">
            <v>1.9</v>
          </cell>
          <cell r="V26">
            <v>1.65</v>
          </cell>
          <cell r="W26">
            <v>1.8</v>
          </cell>
          <cell r="X26">
            <v>1.64</v>
          </cell>
          <cell r="Y26">
            <v>1.37</v>
          </cell>
          <cell r="Z26">
            <v>1.3</v>
          </cell>
          <cell r="AA26">
            <v>1.53</v>
          </cell>
          <cell r="AB26">
            <v>1.54</v>
          </cell>
          <cell r="AC26">
            <v>1.46</v>
          </cell>
          <cell r="AD26">
            <v>1.27</v>
          </cell>
          <cell r="AE26">
            <v>1.3</v>
          </cell>
          <cell r="AF26">
            <v>1.44</v>
          </cell>
          <cell r="AG26">
            <v>1.52</v>
          </cell>
          <cell r="AH26">
            <v>1.58</v>
          </cell>
          <cell r="AI26">
            <v>1.37</v>
          </cell>
          <cell r="AJ26">
            <v>1.26</v>
          </cell>
          <cell r="AK26">
            <v>1.44</v>
          </cell>
          <cell r="AL26">
            <v>1.53</v>
          </cell>
          <cell r="AM26">
            <v>1.65</v>
          </cell>
          <cell r="AN26">
            <v>2.06</v>
          </cell>
          <cell r="AO26">
            <v>2.06</v>
          </cell>
          <cell r="AP26">
            <v>1.78</v>
          </cell>
          <cell r="AQ26">
            <v>1.92</v>
          </cell>
          <cell r="AR26">
            <v>2.2400000000000002</v>
          </cell>
          <cell r="AS26">
            <v>2.0499999999999998</v>
          </cell>
          <cell r="AT26">
            <v>2.21</v>
          </cell>
          <cell r="AU26">
            <v>2.48</v>
          </cell>
          <cell r="AV26">
            <v>2.19</v>
          </cell>
          <cell r="AW26">
            <v>1.69</v>
          </cell>
          <cell r="AX26">
            <v>1.72</v>
          </cell>
          <cell r="AY26">
            <v>2.58</v>
          </cell>
          <cell r="AZ26">
            <v>3.59</v>
          </cell>
          <cell r="BA26">
            <v>3.6</v>
          </cell>
          <cell r="BB26">
            <v>2.64</v>
          </cell>
          <cell r="BC26">
            <v>1.63</v>
          </cell>
          <cell r="BD26">
            <v>1.68</v>
          </cell>
          <cell r="BE26">
            <v>2.0099999999999998</v>
          </cell>
          <cell r="BF26">
            <v>2.17</v>
          </cell>
          <cell r="BG26">
            <v>2.02</v>
          </cell>
          <cell r="BH26">
            <v>2.04</v>
          </cell>
          <cell r="BI26">
            <v>2.4</v>
          </cell>
          <cell r="BJ26">
            <v>2.88</v>
          </cell>
          <cell r="BK26">
            <v>3.04</v>
          </cell>
          <cell r="BL26">
            <v>2.25</v>
          </cell>
          <cell r="BM26">
            <v>2.04</v>
          </cell>
          <cell r="BN26">
            <v>1.82</v>
          </cell>
          <cell r="BO26">
            <v>2.0699999999999998</v>
          </cell>
          <cell r="BP26">
            <v>2.15</v>
          </cell>
          <cell r="BQ26">
            <v>2.09</v>
          </cell>
          <cell r="BR26">
            <v>1.89</v>
          </cell>
          <cell r="BS26">
            <v>2.2000000000000002</v>
          </cell>
          <cell r="BT26">
            <v>1.79</v>
          </cell>
          <cell r="BU26">
            <v>1.47</v>
          </cell>
          <cell r="BV26">
            <v>1.87</v>
          </cell>
          <cell r="BW26">
            <v>1.84</v>
          </cell>
          <cell r="BX26">
            <v>1.96</v>
          </cell>
          <cell r="BY26">
            <v>1.61</v>
          </cell>
          <cell r="BZ26">
            <v>1.63</v>
          </cell>
          <cell r="CA26">
            <v>1.47</v>
          </cell>
          <cell r="CB26">
            <v>1.7</v>
          </cell>
          <cell r="CC26">
            <v>2.1800000000000002</v>
          </cell>
          <cell r="CD26">
            <v>2.06</v>
          </cell>
          <cell r="CE26">
            <v>2.1</v>
          </cell>
          <cell r="CF26">
            <v>2.4500000000000002</v>
          </cell>
          <cell r="CG26">
            <v>2.73</v>
          </cell>
        </row>
        <row r="27">
          <cell r="A27" t="str">
            <v>MALIN-400</v>
          </cell>
          <cell r="B27">
            <v>24</v>
          </cell>
          <cell r="AA27">
            <v>1.63</v>
          </cell>
          <cell r="AB27">
            <v>1.76</v>
          </cell>
          <cell r="AC27">
            <v>1.37</v>
          </cell>
          <cell r="AD27">
            <v>1.1000000000000001</v>
          </cell>
          <cell r="AE27">
            <v>1.0900000000000001</v>
          </cell>
          <cell r="AF27">
            <v>1.1100000000000001</v>
          </cell>
          <cell r="AG27">
            <v>1.2</v>
          </cell>
          <cell r="AH27">
            <v>1.21</v>
          </cell>
          <cell r="AI27">
            <v>1.05</v>
          </cell>
          <cell r="AJ27">
            <v>1.02</v>
          </cell>
          <cell r="AK27">
            <v>1.17</v>
          </cell>
          <cell r="AL27">
            <v>1.23</v>
          </cell>
          <cell r="AM27">
            <v>1.32</v>
          </cell>
          <cell r="AN27">
            <v>1.39</v>
          </cell>
          <cell r="AO27">
            <v>1.38</v>
          </cell>
          <cell r="AP27">
            <v>1.39</v>
          </cell>
          <cell r="AQ27">
            <v>1.32</v>
          </cell>
          <cell r="AR27">
            <v>1.23</v>
          </cell>
          <cell r="AS27">
            <v>1.1499999999999999</v>
          </cell>
          <cell r="AT27">
            <v>1.07</v>
          </cell>
          <cell r="AU27">
            <v>1.19</v>
          </cell>
          <cell r="AV27">
            <v>1.58</v>
          </cell>
          <cell r="AW27">
            <v>1.29</v>
          </cell>
          <cell r="AX27">
            <v>1.34</v>
          </cell>
          <cell r="AY27">
            <v>2.33</v>
          </cell>
          <cell r="AZ27">
            <v>3.62</v>
          </cell>
          <cell r="BA27">
            <v>4.1100000000000003</v>
          </cell>
          <cell r="BB27">
            <v>2.5</v>
          </cell>
          <cell r="BC27">
            <v>1.33</v>
          </cell>
          <cell r="BD27">
            <v>1.46</v>
          </cell>
          <cell r="BE27">
            <v>1.73</v>
          </cell>
          <cell r="BF27">
            <v>1.72</v>
          </cell>
          <cell r="BG27">
            <v>1.59</v>
          </cell>
          <cell r="BH27">
            <v>1.54</v>
          </cell>
          <cell r="BI27">
            <v>1.72</v>
          </cell>
          <cell r="BJ27">
            <v>2.2799999999999998</v>
          </cell>
          <cell r="BK27">
            <v>3.05</v>
          </cell>
          <cell r="BL27">
            <v>1.92</v>
          </cell>
          <cell r="BM27">
            <v>2.1</v>
          </cell>
          <cell r="BN27">
            <v>1.76</v>
          </cell>
          <cell r="BO27">
            <v>1.88</v>
          </cell>
          <cell r="BZ27">
            <v>1.74</v>
          </cell>
          <cell r="CA27">
            <v>1.62</v>
          </cell>
          <cell r="CB27">
            <v>1.64</v>
          </cell>
        </row>
        <row r="28">
          <cell r="A28" t="str">
            <v>MALIN-401</v>
          </cell>
          <cell r="B28">
            <v>25</v>
          </cell>
          <cell r="AC28">
            <v>1.1399999999999999</v>
          </cell>
          <cell r="AD28">
            <v>0.89</v>
          </cell>
          <cell r="AE28">
            <v>0.92</v>
          </cell>
          <cell r="AF28">
            <v>0.95</v>
          </cell>
          <cell r="AG28">
            <v>1.04</v>
          </cell>
          <cell r="AH28">
            <v>1.1000000000000001</v>
          </cell>
          <cell r="AI28">
            <v>0.91</v>
          </cell>
          <cell r="AJ28">
            <v>0.91</v>
          </cell>
          <cell r="AK28">
            <v>1.05</v>
          </cell>
          <cell r="AL28">
            <v>1.1100000000000001</v>
          </cell>
          <cell r="AM28">
            <v>1.17</v>
          </cell>
          <cell r="AN28">
            <v>1.27</v>
          </cell>
          <cell r="AO28">
            <v>1.23</v>
          </cell>
          <cell r="AP28">
            <v>1.24</v>
          </cell>
          <cell r="AQ28">
            <v>1.18</v>
          </cell>
          <cell r="AR28">
            <v>1.1000000000000001</v>
          </cell>
          <cell r="AS28">
            <v>1.03</v>
          </cell>
          <cell r="AT28">
            <v>1</v>
          </cell>
          <cell r="AU28">
            <v>1.19</v>
          </cell>
          <cell r="AV28">
            <v>1.56</v>
          </cell>
          <cell r="AW28">
            <v>1.25</v>
          </cell>
          <cell r="AX28">
            <v>1.29</v>
          </cell>
          <cell r="AY28">
            <v>2.2400000000000002</v>
          </cell>
          <cell r="AZ28">
            <v>3.52</v>
          </cell>
          <cell r="BA28">
            <v>4.0599999999999996</v>
          </cell>
          <cell r="BB28">
            <v>2.44</v>
          </cell>
          <cell r="BC28">
            <v>1.28</v>
          </cell>
          <cell r="BD28">
            <v>1.39</v>
          </cell>
          <cell r="BE28">
            <v>1.67</v>
          </cell>
          <cell r="BF28">
            <v>1.68</v>
          </cell>
          <cell r="BG28">
            <v>1.49</v>
          </cell>
          <cell r="BH28">
            <v>1.5</v>
          </cell>
          <cell r="BI28">
            <v>1.69</v>
          </cell>
          <cell r="BJ28">
            <v>2.25</v>
          </cell>
          <cell r="BK28">
            <v>2.88</v>
          </cell>
          <cell r="BL28">
            <v>1.8</v>
          </cell>
          <cell r="BM28">
            <v>1.96</v>
          </cell>
          <cell r="BN28">
            <v>1.7</v>
          </cell>
          <cell r="BO28">
            <v>2.3199999999999998</v>
          </cell>
        </row>
        <row r="29">
          <cell r="A29" t="str">
            <v>MICH</v>
          </cell>
          <cell r="B29">
            <v>26</v>
          </cell>
          <cell r="D29">
            <v>2.5</v>
          </cell>
          <cell r="E29">
            <v>2.29</v>
          </cell>
          <cell r="F29">
            <v>1.98</v>
          </cell>
          <cell r="G29">
            <v>2.12</v>
          </cell>
          <cell r="H29">
            <v>2.4900000000000002</v>
          </cell>
          <cell r="I29">
            <v>3.03</v>
          </cell>
          <cell r="J29">
            <v>2.36</v>
          </cell>
          <cell r="K29">
            <v>2.2200000000000002</v>
          </cell>
          <cell r="L29">
            <v>2.29</v>
          </cell>
          <cell r="M29">
            <v>2.61</v>
          </cell>
          <cell r="N29">
            <v>2.2000000000000002</v>
          </cell>
          <cell r="O29">
            <v>2.23</v>
          </cell>
          <cell r="P29">
            <v>2.54</v>
          </cell>
          <cell r="Q29">
            <v>2.25</v>
          </cell>
          <cell r="R29">
            <v>2.64</v>
          </cell>
          <cell r="S29">
            <v>2.77</v>
          </cell>
          <cell r="T29">
            <v>2.23</v>
          </cell>
          <cell r="U29">
            <v>2.23</v>
          </cell>
          <cell r="V29">
            <v>1.97</v>
          </cell>
          <cell r="W29">
            <v>2.0699999999999998</v>
          </cell>
          <cell r="X29">
            <v>1.91</v>
          </cell>
          <cell r="Y29">
            <v>1.61</v>
          </cell>
          <cell r="Z29">
            <v>1.49</v>
          </cell>
          <cell r="AA29">
            <v>1.85</v>
          </cell>
          <cell r="AB29">
            <v>1.86</v>
          </cell>
          <cell r="AC29">
            <v>1.75</v>
          </cell>
          <cell r="AD29">
            <v>1.52</v>
          </cell>
          <cell r="AE29">
            <v>1.5</v>
          </cell>
          <cell r="AF29">
            <v>1.64</v>
          </cell>
          <cell r="AG29">
            <v>1.76</v>
          </cell>
          <cell r="AH29">
            <v>1.82</v>
          </cell>
          <cell r="AI29">
            <v>1.59</v>
          </cell>
          <cell r="AJ29">
            <v>1.46</v>
          </cell>
          <cell r="AK29">
            <v>1.68</v>
          </cell>
          <cell r="AL29">
            <v>1.75</v>
          </cell>
          <cell r="AM29">
            <v>1.92</v>
          </cell>
          <cell r="AN29">
            <v>2.35</v>
          </cell>
          <cell r="AO29">
            <v>3.43</v>
          </cell>
          <cell r="AP29">
            <v>3.06</v>
          </cell>
          <cell r="AQ29">
            <v>4.8</v>
          </cell>
          <cell r="AR29">
            <v>3.01</v>
          </cell>
          <cell r="AS29">
            <v>2.38</v>
          </cell>
          <cell r="AT29">
            <v>2.6</v>
          </cell>
          <cell r="AU29">
            <v>2.9</v>
          </cell>
          <cell r="AV29">
            <v>2.5</v>
          </cell>
          <cell r="AW29">
            <v>2.0299999999999998</v>
          </cell>
          <cell r="AX29">
            <v>2.16</v>
          </cell>
          <cell r="AY29">
            <v>3.05</v>
          </cell>
          <cell r="AZ29">
            <v>4.08</v>
          </cell>
          <cell r="BA29">
            <v>4.38</v>
          </cell>
          <cell r="BB29">
            <v>3.36</v>
          </cell>
          <cell r="BC29">
            <v>1.94</v>
          </cell>
          <cell r="BD29">
            <v>2.12</v>
          </cell>
          <cell r="BE29">
            <v>2.2999999999999998</v>
          </cell>
          <cell r="BF29">
            <v>2.5299999999999998</v>
          </cell>
          <cell r="BG29">
            <v>2.3199999999999998</v>
          </cell>
          <cell r="BH29">
            <v>2.31</v>
          </cell>
          <cell r="BI29">
            <v>2.71</v>
          </cell>
          <cell r="BJ29">
            <v>3.37</v>
          </cell>
          <cell r="BK29">
            <v>3.54</v>
          </cell>
          <cell r="BL29">
            <v>3.54</v>
          </cell>
          <cell r="BM29">
            <v>2.38</v>
          </cell>
          <cell r="BN29">
            <v>2.1800000000000002</v>
          </cell>
          <cell r="BO29">
            <v>2.37</v>
          </cell>
          <cell r="BP29">
            <v>2.4700000000000002</v>
          </cell>
          <cell r="BQ29">
            <v>2.41</v>
          </cell>
          <cell r="BR29">
            <v>2.17</v>
          </cell>
          <cell r="BS29">
            <v>2.4300000000000002</v>
          </cell>
          <cell r="CE29">
            <v>2.34</v>
          </cell>
          <cell r="CF29">
            <v>2.7</v>
          </cell>
          <cell r="CG29">
            <v>2.98</v>
          </cell>
        </row>
        <row r="30">
          <cell r="A30" t="str">
            <v>MRC</v>
          </cell>
          <cell r="B30">
            <v>27</v>
          </cell>
          <cell r="C30">
            <v>2.36</v>
          </cell>
          <cell r="D30">
            <v>2.31</v>
          </cell>
          <cell r="E30">
            <v>2.04</v>
          </cell>
          <cell r="F30">
            <v>1.66</v>
          </cell>
          <cell r="G30">
            <v>1.99</v>
          </cell>
          <cell r="H30">
            <v>2.2799999999999998</v>
          </cell>
          <cell r="I30">
            <v>2.7</v>
          </cell>
          <cell r="J30">
            <v>2</v>
          </cell>
          <cell r="K30">
            <v>2.0299999999999998</v>
          </cell>
          <cell r="L30">
            <v>2.1800000000000002</v>
          </cell>
          <cell r="M30">
            <v>2.42</v>
          </cell>
          <cell r="N30">
            <v>2.08</v>
          </cell>
          <cell r="O30">
            <v>2.16</v>
          </cell>
          <cell r="P30">
            <v>2.4700000000000002</v>
          </cell>
          <cell r="Q30">
            <v>2.08</v>
          </cell>
          <cell r="R30">
            <v>2.4</v>
          </cell>
          <cell r="S30">
            <v>2.4300000000000002</v>
          </cell>
          <cell r="T30">
            <v>2.04</v>
          </cell>
          <cell r="U30">
            <v>2.1</v>
          </cell>
          <cell r="V30">
            <v>1.86</v>
          </cell>
          <cell r="W30">
            <v>1.99</v>
          </cell>
          <cell r="X30">
            <v>1.82</v>
          </cell>
          <cell r="Y30">
            <v>1.52</v>
          </cell>
          <cell r="Z30">
            <v>1.45</v>
          </cell>
          <cell r="AA30">
            <v>1.71</v>
          </cell>
          <cell r="AB30">
            <v>1.7</v>
          </cell>
          <cell r="AC30">
            <v>1.65</v>
          </cell>
          <cell r="AD30">
            <v>1.44</v>
          </cell>
          <cell r="AE30">
            <v>1.51</v>
          </cell>
          <cell r="AF30">
            <v>1.61</v>
          </cell>
          <cell r="AG30">
            <v>1.69</v>
          </cell>
          <cell r="AH30">
            <v>1.75</v>
          </cell>
          <cell r="AI30">
            <v>1.55</v>
          </cell>
          <cell r="AJ30">
            <v>1.41</v>
          </cell>
          <cell r="AK30">
            <v>1.59</v>
          </cell>
          <cell r="AL30">
            <v>1.67</v>
          </cell>
          <cell r="AM30">
            <v>1.82</v>
          </cell>
          <cell r="AN30">
            <v>2.31</v>
          </cell>
          <cell r="AO30">
            <v>3.47</v>
          </cell>
          <cell r="AP30">
            <v>2.4300000000000002</v>
          </cell>
          <cell r="AQ30">
            <v>2.86</v>
          </cell>
          <cell r="AR30">
            <v>2.74</v>
          </cell>
          <cell r="AS30">
            <v>2.25</v>
          </cell>
          <cell r="AT30">
            <v>2.42</v>
          </cell>
          <cell r="AU30">
            <v>2.69</v>
          </cell>
          <cell r="AV30">
            <v>2.37</v>
          </cell>
          <cell r="AW30">
            <v>1.87</v>
          </cell>
          <cell r="AX30">
            <v>1.9</v>
          </cell>
          <cell r="AY30">
            <v>2.75</v>
          </cell>
          <cell r="AZ30">
            <v>3.94</v>
          </cell>
          <cell r="BA30">
            <v>4.1500000000000004</v>
          </cell>
          <cell r="BB30">
            <v>2.99</v>
          </cell>
          <cell r="BC30">
            <v>1.76</v>
          </cell>
          <cell r="BD30">
            <v>1.87</v>
          </cell>
          <cell r="BE30">
            <v>2.16</v>
          </cell>
          <cell r="BF30">
            <v>2.36</v>
          </cell>
          <cell r="BG30">
            <v>2.21</v>
          </cell>
          <cell r="BH30">
            <v>2.23</v>
          </cell>
          <cell r="BI30">
            <v>2.58</v>
          </cell>
          <cell r="BJ30">
            <v>3.15</v>
          </cell>
          <cell r="BK30">
            <v>3.32</v>
          </cell>
          <cell r="BL30">
            <v>2.58</v>
          </cell>
          <cell r="BM30">
            <v>2.3199999999999998</v>
          </cell>
          <cell r="BN30">
            <v>2.06</v>
          </cell>
        </row>
        <row r="31">
          <cell r="A31" t="str">
            <v>NGPL-LA</v>
          </cell>
          <cell r="B31">
            <v>28</v>
          </cell>
          <cell r="C31">
            <v>2.2999999999999998</v>
          </cell>
          <cell r="D31">
            <v>2.2000000000000002</v>
          </cell>
          <cell r="E31">
            <v>1.92</v>
          </cell>
          <cell r="F31">
            <v>1.62</v>
          </cell>
          <cell r="G31">
            <v>1.86</v>
          </cell>
          <cell r="H31">
            <v>2.16</v>
          </cell>
          <cell r="I31">
            <v>2.67</v>
          </cell>
          <cell r="J31">
            <v>1.98</v>
          </cell>
          <cell r="K31">
            <v>1.9</v>
          </cell>
          <cell r="L31">
            <v>2.04</v>
          </cell>
          <cell r="M31">
            <v>2.33</v>
          </cell>
          <cell r="N31">
            <v>1.97</v>
          </cell>
          <cell r="O31">
            <v>2.08</v>
          </cell>
          <cell r="P31">
            <v>2.33</v>
          </cell>
          <cell r="Q31">
            <v>1.98</v>
          </cell>
          <cell r="R31">
            <v>2.2799999999999998</v>
          </cell>
          <cell r="S31">
            <v>2.25</v>
          </cell>
          <cell r="T31">
            <v>1.92</v>
          </cell>
          <cell r="U31">
            <v>2</v>
          </cell>
          <cell r="V31">
            <v>1.74</v>
          </cell>
          <cell r="W31">
            <v>1.86</v>
          </cell>
          <cell r="X31">
            <v>1.72</v>
          </cell>
          <cell r="Y31">
            <v>1.43</v>
          </cell>
          <cell r="Z31">
            <v>1.36</v>
          </cell>
          <cell r="AA31">
            <v>1.61</v>
          </cell>
          <cell r="AB31">
            <v>1.61</v>
          </cell>
          <cell r="AC31">
            <v>1.55</v>
          </cell>
          <cell r="AD31">
            <v>1.35</v>
          </cell>
          <cell r="AE31">
            <v>1.37</v>
          </cell>
          <cell r="AF31">
            <v>1.49</v>
          </cell>
          <cell r="AG31">
            <v>1.61</v>
          </cell>
          <cell r="AH31">
            <v>1.65</v>
          </cell>
          <cell r="AI31">
            <v>1.44</v>
          </cell>
          <cell r="AJ31">
            <v>1.31</v>
          </cell>
          <cell r="AK31">
            <v>1.51</v>
          </cell>
          <cell r="AL31">
            <v>1.59</v>
          </cell>
          <cell r="AM31">
            <v>1.72</v>
          </cell>
          <cell r="AN31">
            <v>2.15</v>
          </cell>
          <cell r="AO31">
            <v>2.13</v>
          </cell>
          <cell r="AP31">
            <v>1.9</v>
          </cell>
          <cell r="AQ31">
            <v>2.15</v>
          </cell>
          <cell r="AR31">
            <v>2.4</v>
          </cell>
          <cell r="AS31">
            <v>2.12</v>
          </cell>
          <cell r="AT31">
            <v>2.25</v>
          </cell>
          <cell r="AU31">
            <v>2.57</v>
          </cell>
          <cell r="AV31">
            <v>2.2200000000000002</v>
          </cell>
          <cell r="AW31">
            <v>1.74</v>
          </cell>
          <cell r="AX31">
            <v>1.78</v>
          </cell>
          <cell r="AY31">
            <v>2.61</v>
          </cell>
          <cell r="AZ31">
            <v>3.72</v>
          </cell>
          <cell r="BA31">
            <v>4</v>
          </cell>
          <cell r="BB31">
            <v>2.82</v>
          </cell>
          <cell r="BC31">
            <v>1.69</v>
          </cell>
          <cell r="BD31">
            <v>1.74</v>
          </cell>
          <cell r="BE31">
            <v>2.04</v>
          </cell>
          <cell r="BF31">
            <v>2.23</v>
          </cell>
          <cell r="BG31">
            <v>2.09</v>
          </cell>
          <cell r="BH31">
            <v>2.11</v>
          </cell>
          <cell r="BI31">
            <v>2.4700000000000002</v>
          </cell>
          <cell r="BJ31">
            <v>3.05</v>
          </cell>
          <cell r="BK31">
            <v>3.17</v>
          </cell>
          <cell r="BL31">
            <v>2.37</v>
          </cell>
          <cell r="BM31">
            <v>2.15</v>
          </cell>
          <cell r="BN31">
            <v>1.92</v>
          </cell>
          <cell r="BO31">
            <v>2.1800000000000002</v>
          </cell>
          <cell r="BP31">
            <v>2.23</v>
          </cell>
          <cell r="BQ31">
            <v>2.2000000000000002</v>
          </cell>
          <cell r="BR31">
            <v>1.97</v>
          </cell>
          <cell r="BS31">
            <v>2.31</v>
          </cell>
          <cell r="BT31">
            <v>1.86</v>
          </cell>
          <cell r="BU31">
            <v>1.56</v>
          </cell>
          <cell r="BV31">
            <v>1.96</v>
          </cell>
          <cell r="BW31">
            <v>1.95</v>
          </cell>
          <cell r="BX31">
            <v>2.08</v>
          </cell>
          <cell r="BY31">
            <v>1.72</v>
          </cell>
          <cell r="BZ31">
            <v>1.75</v>
          </cell>
          <cell r="CA31">
            <v>1.58</v>
          </cell>
          <cell r="CB31">
            <v>1.83</v>
          </cell>
          <cell r="CC31">
            <v>2.2999999999999998</v>
          </cell>
          <cell r="CD31">
            <v>2.1800000000000002</v>
          </cell>
          <cell r="CE31">
            <v>2.21</v>
          </cell>
          <cell r="CF31">
            <v>2.57</v>
          </cell>
          <cell r="CG31">
            <v>2.84</v>
          </cell>
        </row>
        <row r="32">
          <cell r="A32" t="str">
            <v>NGPL-MC</v>
          </cell>
          <cell r="B32">
            <v>29</v>
          </cell>
          <cell r="AQ32">
            <v>1.9</v>
          </cell>
          <cell r="AR32">
            <v>2.14</v>
          </cell>
          <cell r="AS32">
            <v>2.0099999999999998</v>
          </cell>
          <cell r="AT32">
            <v>2.0499999999999998</v>
          </cell>
          <cell r="AU32">
            <v>2.1800000000000002</v>
          </cell>
          <cell r="AV32">
            <v>2.14</v>
          </cell>
          <cell r="AW32">
            <v>1.67</v>
          </cell>
          <cell r="AX32">
            <v>1.69</v>
          </cell>
          <cell r="AY32">
            <v>2.4900000000000002</v>
          </cell>
          <cell r="AZ32">
            <v>3.62</v>
          </cell>
          <cell r="BA32">
            <v>3.95</v>
          </cell>
          <cell r="BB32">
            <v>2.76</v>
          </cell>
          <cell r="BC32">
            <v>1.62</v>
          </cell>
          <cell r="BD32">
            <v>1.71</v>
          </cell>
          <cell r="BE32">
            <v>1.95</v>
          </cell>
          <cell r="BF32">
            <v>2.13</v>
          </cell>
          <cell r="BG32">
            <v>2.0099999999999998</v>
          </cell>
          <cell r="BH32">
            <v>2.06</v>
          </cell>
          <cell r="BI32">
            <v>2.41</v>
          </cell>
          <cell r="BJ32">
            <v>3</v>
          </cell>
          <cell r="BK32">
            <v>3.12</v>
          </cell>
          <cell r="BL32">
            <v>2.3199999999999998</v>
          </cell>
          <cell r="BM32">
            <v>2.14</v>
          </cell>
          <cell r="BN32">
            <v>1.92</v>
          </cell>
          <cell r="BO32">
            <v>2.15</v>
          </cell>
          <cell r="BP32">
            <v>2.19</v>
          </cell>
          <cell r="BQ32">
            <v>2.17</v>
          </cell>
          <cell r="BR32">
            <v>1.94</v>
          </cell>
          <cell r="BS32">
            <v>2.27</v>
          </cell>
          <cell r="BT32">
            <v>1.84</v>
          </cell>
          <cell r="BU32">
            <v>1.56</v>
          </cell>
          <cell r="BV32">
            <v>1.9</v>
          </cell>
          <cell r="BW32">
            <v>1.95</v>
          </cell>
          <cell r="BX32">
            <v>2.0499999999999998</v>
          </cell>
          <cell r="BY32">
            <v>1.74</v>
          </cell>
          <cell r="BZ32">
            <v>1.73</v>
          </cell>
          <cell r="CA32">
            <v>1.55</v>
          </cell>
          <cell r="CB32">
            <v>1.74</v>
          </cell>
          <cell r="CC32">
            <v>2.21</v>
          </cell>
          <cell r="CD32">
            <v>2.11</v>
          </cell>
          <cell r="CE32">
            <v>2.16</v>
          </cell>
          <cell r="CF32">
            <v>2.5</v>
          </cell>
          <cell r="CG32">
            <v>2.76</v>
          </cell>
        </row>
        <row r="33">
          <cell r="A33" t="str">
            <v>NGPL-OK</v>
          </cell>
          <cell r="B33">
            <v>30</v>
          </cell>
          <cell r="C33">
            <v>2.0499999999999998</v>
          </cell>
          <cell r="D33">
            <v>2.02</v>
          </cell>
          <cell r="E33">
            <v>1.91</v>
          </cell>
          <cell r="F33">
            <v>1.6</v>
          </cell>
          <cell r="G33">
            <v>1.84</v>
          </cell>
          <cell r="H33">
            <v>2.08</v>
          </cell>
          <cell r="I33">
            <v>2.58</v>
          </cell>
          <cell r="J33">
            <v>1.8</v>
          </cell>
          <cell r="K33">
            <v>1.8</v>
          </cell>
          <cell r="L33">
            <v>1.93</v>
          </cell>
          <cell r="M33">
            <v>2.17</v>
          </cell>
          <cell r="N33">
            <v>1.85</v>
          </cell>
          <cell r="O33">
            <v>1.88</v>
          </cell>
          <cell r="P33">
            <v>2.2200000000000002</v>
          </cell>
          <cell r="Q33">
            <v>1.93</v>
          </cell>
          <cell r="R33">
            <v>2.09</v>
          </cell>
          <cell r="S33">
            <v>2.14</v>
          </cell>
          <cell r="T33">
            <v>1.8</v>
          </cell>
          <cell r="U33">
            <v>1.84</v>
          </cell>
          <cell r="V33">
            <v>1.56</v>
          </cell>
          <cell r="W33">
            <v>1.68</v>
          </cell>
          <cell r="X33">
            <v>1.59</v>
          </cell>
          <cell r="Y33">
            <v>1.4</v>
          </cell>
          <cell r="Z33">
            <v>1.3</v>
          </cell>
          <cell r="AA33">
            <v>1.52</v>
          </cell>
          <cell r="AB33">
            <v>1.6</v>
          </cell>
          <cell r="AC33">
            <v>1.5</v>
          </cell>
          <cell r="AD33">
            <v>1.26</v>
          </cell>
          <cell r="AE33">
            <v>1.27</v>
          </cell>
          <cell r="AF33">
            <v>1.34</v>
          </cell>
          <cell r="AG33">
            <v>1.44</v>
          </cell>
          <cell r="AH33">
            <v>1.45</v>
          </cell>
          <cell r="AI33">
            <v>1.24</v>
          </cell>
          <cell r="AJ33">
            <v>1.2</v>
          </cell>
          <cell r="AK33">
            <v>1.41</v>
          </cell>
          <cell r="AL33">
            <v>1.5</v>
          </cell>
          <cell r="AM33">
            <v>1.7</v>
          </cell>
          <cell r="AN33">
            <v>1.88</v>
          </cell>
          <cell r="AO33">
            <v>2</v>
          </cell>
          <cell r="AP33">
            <v>1.79</v>
          </cell>
          <cell r="BB33">
            <v>2.83</v>
          </cell>
          <cell r="BC33">
            <v>1.65</v>
          </cell>
          <cell r="BD33">
            <v>1.74</v>
          </cell>
          <cell r="BE33">
            <v>1.96</v>
          </cell>
          <cell r="BF33">
            <v>2.13</v>
          </cell>
          <cell r="BG33">
            <v>2.02</v>
          </cell>
          <cell r="BH33">
            <v>2.08</v>
          </cell>
          <cell r="BI33">
            <v>2.4300000000000002</v>
          </cell>
        </row>
        <row r="34">
          <cell r="A34" t="str">
            <v>NGPL-TOK</v>
          </cell>
          <cell r="B34">
            <v>31</v>
          </cell>
          <cell r="AQ34">
            <v>1.97</v>
          </cell>
          <cell r="AR34">
            <v>2.23</v>
          </cell>
          <cell r="AS34">
            <v>2.14</v>
          </cell>
          <cell r="AT34">
            <v>2.2400000000000002</v>
          </cell>
          <cell r="AU34">
            <v>2.5099999999999998</v>
          </cell>
          <cell r="AV34">
            <v>2.23</v>
          </cell>
          <cell r="AW34">
            <v>1.75</v>
          </cell>
          <cell r="AX34">
            <v>1.76</v>
          </cell>
          <cell r="AY34">
            <v>2.57</v>
          </cell>
          <cell r="AZ34">
            <v>3.69</v>
          </cell>
          <cell r="BA34">
            <v>3.8</v>
          </cell>
          <cell r="BB34">
            <v>2.75</v>
          </cell>
          <cell r="BC34">
            <v>1.64</v>
          </cell>
          <cell r="BD34">
            <v>1.74</v>
          </cell>
          <cell r="BE34">
            <v>2.0299999999999998</v>
          </cell>
          <cell r="BF34">
            <v>2.2400000000000002</v>
          </cell>
          <cell r="BG34">
            <v>2.08</v>
          </cell>
          <cell r="BH34">
            <v>2.12</v>
          </cell>
          <cell r="BI34">
            <v>2.46</v>
          </cell>
          <cell r="BJ34">
            <v>3.07</v>
          </cell>
          <cell r="BK34">
            <v>3.18</v>
          </cell>
          <cell r="BL34">
            <v>2.35</v>
          </cell>
          <cell r="BM34">
            <v>2.16</v>
          </cell>
          <cell r="BN34">
            <v>1.96</v>
          </cell>
          <cell r="BO34">
            <v>2.19</v>
          </cell>
          <cell r="BP34">
            <v>2.23</v>
          </cell>
          <cell r="BQ34">
            <v>2.2200000000000002</v>
          </cell>
          <cell r="BR34">
            <v>1.98</v>
          </cell>
          <cell r="BS34">
            <v>2.31</v>
          </cell>
          <cell r="BT34">
            <v>1.88</v>
          </cell>
          <cell r="BU34">
            <v>1.58</v>
          </cell>
          <cell r="BV34">
            <v>1.95</v>
          </cell>
          <cell r="BW34">
            <v>1.96</v>
          </cell>
          <cell r="BX34">
            <v>2.06</v>
          </cell>
          <cell r="BY34">
            <v>1.74</v>
          </cell>
          <cell r="BZ34">
            <v>1.75</v>
          </cell>
          <cell r="CA34">
            <v>1.57</v>
          </cell>
          <cell r="CB34">
            <v>1.8</v>
          </cell>
          <cell r="CC34">
            <v>2.2799999999999998</v>
          </cell>
          <cell r="CD34">
            <v>2.1800000000000002</v>
          </cell>
          <cell r="CE34">
            <v>2.2200000000000002</v>
          </cell>
          <cell r="CF34">
            <v>2.5499999999999998</v>
          </cell>
          <cell r="CG34">
            <v>2.83</v>
          </cell>
        </row>
        <row r="35">
          <cell r="A35" t="str">
            <v>NGPL-STX</v>
          </cell>
          <cell r="B35">
            <v>32</v>
          </cell>
          <cell r="C35">
            <v>2.2000000000000002</v>
          </cell>
          <cell r="D35">
            <v>2.1</v>
          </cell>
          <cell r="E35">
            <v>1.92</v>
          </cell>
          <cell r="F35">
            <v>1.58</v>
          </cell>
          <cell r="G35">
            <v>1.85</v>
          </cell>
          <cell r="H35">
            <v>2.15</v>
          </cell>
          <cell r="I35">
            <v>2.6</v>
          </cell>
          <cell r="J35">
            <v>1.9</v>
          </cell>
          <cell r="K35">
            <v>1.89</v>
          </cell>
          <cell r="L35">
            <v>2.02</v>
          </cell>
          <cell r="M35">
            <v>2.3199999999999998</v>
          </cell>
          <cell r="N35">
            <v>1.95</v>
          </cell>
          <cell r="O35">
            <v>2.04</v>
          </cell>
          <cell r="P35">
            <v>2.2999999999999998</v>
          </cell>
          <cell r="Q35">
            <v>1.97</v>
          </cell>
          <cell r="R35">
            <v>2.23</v>
          </cell>
          <cell r="S35">
            <v>2.2400000000000002</v>
          </cell>
          <cell r="T35">
            <v>1.86</v>
          </cell>
          <cell r="U35">
            <v>1.97</v>
          </cell>
          <cell r="V35">
            <v>1.72</v>
          </cell>
          <cell r="W35">
            <v>1.88</v>
          </cell>
          <cell r="X35">
            <v>1.72</v>
          </cell>
          <cell r="Y35">
            <v>1.41</v>
          </cell>
          <cell r="Z35">
            <v>1.34</v>
          </cell>
          <cell r="AA35">
            <v>1.6</v>
          </cell>
          <cell r="AB35">
            <v>1.61</v>
          </cell>
          <cell r="AC35">
            <v>1.52</v>
          </cell>
          <cell r="AD35">
            <v>1.32</v>
          </cell>
          <cell r="AE35">
            <v>1.34</v>
          </cell>
          <cell r="AF35">
            <v>1.48</v>
          </cell>
          <cell r="AG35">
            <v>1.59</v>
          </cell>
          <cell r="AH35">
            <v>1.63</v>
          </cell>
          <cell r="AI35">
            <v>1.41</v>
          </cell>
          <cell r="AJ35">
            <v>1.3</v>
          </cell>
          <cell r="AK35">
            <v>1.51</v>
          </cell>
          <cell r="AL35">
            <v>1.58</v>
          </cell>
          <cell r="AM35">
            <v>1.7</v>
          </cell>
          <cell r="AN35">
            <v>2.1</v>
          </cell>
          <cell r="AO35">
            <v>2.0499999999999998</v>
          </cell>
          <cell r="AP35">
            <v>1.8</v>
          </cell>
          <cell r="AQ35">
            <v>1.97</v>
          </cell>
          <cell r="AR35">
            <v>2.25</v>
          </cell>
          <cell r="AS35">
            <v>2.11</v>
          </cell>
          <cell r="AT35">
            <v>2.2400000000000002</v>
          </cell>
          <cell r="AU35">
            <v>2.52</v>
          </cell>
          <cell r="AV35">
            <v>2.23</v>
          </cell>
          <cell r="AW35">
            <v>1.73</v>
          </cell>
          <cell r="AX35">
            <v>1.75</v>
          </cell>
          <cell r="AY35">
            <v>2.61</v>
          </cell>
          <cell r="AZ35">
            <v>3.66</v>
          </cell>
          <cell r="BA35">
            <v>3.85</v>
          </cell>
          <cell r="BB35">
            <v>2.73</v>
          </cell>
          <cell r="BC35">
            <v>1.64</v>
          </cell>
          <cell r="BD35">
            <v>1.75</v>
          </cell>
          <cell r="BE35">
            <v>2.04</v>
          </cell>
          <cell r="BF35">
            <v>2.2200000000000002</v>
          </cell>
          <cell r="BG35">
            <v>2.09</v>
          </cell>
          <cell r="BH35">
            <v>2.1</v>
          </cell>
          <cell r="BI35">
            <v>2.4500000000000002</v>
          </cell>
          <cell r="BJ35">
            <v>3.05</v>
          </cell>
          <cell r="BK35">
            <v>3.18</v>
          </cell>
          <cell r="BL35">
            <v>2.35</v>
          </cell>
          <cell r="BM35">
            <v>2.16</v>
          </cell>
          <cell r="BN35">
            <v>1.93</v>
          </cell>
          <cell r="BO35">
            <v>2.17</v>
          </cell>
          <cell r="BP35">
            <v>2.23</v>
          </cell>
          <cell r="BQ35">
            <v>2.2000000000000002</v>
          </cell>
          <cell r="BR35">
            <v>1.96</v>
          </cell>
          <cell r="BS35">
            <v>2.29</v>
          </cell>
          <cell r="BT35">
            <v>1.85</v>
          </cell>
          <cell r="BU35">
            <v>1.53</v>
          </cell>
          <cell r="BV35">
            <v>1.93</v>
          </cell>
          <cell r="BW35">
            <v>1.88</v>
          </cell>
          <cell r="BX35">
            <v>2.02</v>
          </cell>
          <cell r="BY35">
            <v>1.69</v>
          </cell>
          <cell r="BZ35">
            <v>1.73</v>
          </cell>
          <cell r="CA35">
            <v>1.56</v>
          </cell>
          <cell r="CB35">
            <v>1.8</v>
          </cell>
          <cell r="CC35">
            <v>2.2799999999999998</v>
          </cell>
          <cell r="CD35">
            <v>2.15</v>
          </cell>
          <cell r="CE35">
            <v>2.19</v>
          </cell>
          <cell r="CF35">
            <v>2.5499999999999998</v>
          </cell>
          <cell r="CG35">
            <v>2.82</v>
          </cell>
        </row>
        <row r="36">
          <cell r="A36" t="str">
            <v>NNG-DEMARC</v>
          </cell>
          <cell r="B36">
            <v>33</v>
          </cell>
          <cell r="M36">
            <v>2.1</v>
          </cell>
          <cell r="N36">
            <v>1.9</v>
          </cell>
          <cell r="O36">
            <v>1.89</v>
          </cell>
          <cell r="Q36">
            <v>1.95</v>
          </cell>
          <cell r="R36">
            <v>2.0499999999999998</v>
          </cell>
          <cell r="S36">
            <v>2.14</v>
          </cell>
          <cell r="T36">
            <v>1.77</v>
          </cell>
          <cell r="U36">
            <v>1.77</v>
          </cell>
          <cell r="V36">
            <v>1.5</v>
          </cell>
          <cell r="W36">
            <v>1.61</v>
          </cell>
          <cell r="X36">
            <v>1.55</v>
          </cell>
          <cell r="Y36">
            <v>1.39</v>
          </cell>
          <cell r="Z36">
            <v>1.39</v>
          </cell>
          <cell r="AA36">
            <v>1.47</v>
          </cell>
          <cell r="AB36">
            <v>1.6</v>
          </cell>
          <cell r="AC36">
            <v>1.5</v>
          </cell>
          <cell r="AD36">
            <v>1.25</v>
          </cell>
          <cell r="AE36">
            <v>1.24</v>
          </cell>
          <cell r="AF36">
            <v>1.28</v>
          </cell>
          <cell r="AG36">
            <v>1.41</v>
          </cell>
          <cell r="AH36">
            <v>1.42</v>
          </cell>
          <cell r="AI36">
            <v>1.23</v>
          </cell>
          <cell r="AJ36">
            <v>1.19</v>
          </cell>
          <cell r="AK36">
            <v>1.41</v>
          </cell>
          <cell r="AL36">
            <v>1.5</v>
          </cell>
          <cell r="AM36">
            <v>1.63</v>
          </cell>
          <cell r="AN36">
            <v>1.9</v>
          </cell>
          <cell r="AO36">
            <v>2.0499999999999998</v>
          </cell>
          <cell r="AP36">
            <v>1.86</v>
          </cell>
          <cell r="AQ36">
            <v>1.98</v>
          </cell>
          <cell r="AR36">
            <v>2.16</v>
          </cell>
          <cell r="AS36">
            <v>1.99</v>
          </cell>
          <cell r="AT36">
            <v>2.0299999999999998</v>
          </cell>
          <cell r="AU36">
            <v>2.17</v>
          </cell>
          <cell r="AV36">
            <v>2.08</v>
          </cell>
          <cell r="AW36">
            <v>1.63</v>
          </cell>
          <cell r="AX36">
            <v>1.71</v>
          </cell>
          <cell r="AY36">
            <v>2.59</v>
          </cell>
          <cell r="AZ36">
            <v>3.62</v>
          </cell>
          <cell r="BA36">
            <v>4.22</v>
          </cell>
          <cell r="BB36">
            <v>2.87</v>
          </cell>
          <cell r="BC36">
            <v>1.65</v>
          </cell>
          <cell r="BD36">
            <v>1.73</v>
          </cell>
          <cell r="BE36">
            <v>1.94</v>
          </cell>
          <cell r="BF36">
            <v>2.11</v>
          </cell>
          <cell r="BG36">
            <v>2.0099999999999998</v>
          </cell>
          <cell r="BH36">
            <v>2.0499999999999998</v>
          </cell>
          <cell r="BI36">
            <v>2.42</v>
          </cell>
          <cell r="BJ36">
            <v>3.02</v>
          </cell>
          <cell r="BK36">
            <v>3.29</v>
          </cell>
          <cell r="BL36">
            <v>2.4500000000000002</v>
          </cell>
          <cell r="BM36">
            <v>2.1800000000000002</v>
          </cell>
          <cell r="BN36">
            <v>1.95</v>
          </cell>
          <cell r="BO36">
            <v>2.16</v>
          </cell>
          <cell r="BP36">
            <v>2.1800000000000002</v>
          </cell>
          <cell r="BQ36">
            <v>2.16</v>
          </cell>
          <cell r="BR36">
            <v>1.93</v>
          </cell>
          <cell r="BS36">
            <v>2.27</v>
          </cell>
          <cell r="BT36">
            <v>1.86</v>
          </cell>
          <cell r="BU36">
            <v>1.57</v>
          </cell>
          <cell r="BV36">
            <v>1.92</v>
          </cell>
          <cell r="BW36">
            <v>2</v>
          </cell>
          <cell r="BX36">
            <v>2.12</v>
          </cell>
          <cell r="BY36">
            <v>1.83</v>
          </cell>
          <cell r="BZ36">
            <v>1.8</v>
          </cell>
          <cell r="CA36">
            <v>1.59</v>
          </cell>
          <cell r="CB36">
            <v>1.76</v>
          </cell>
          <cell r="CC36">
            <v>2.21</v>
          </cell>
          <cell r="CD36">
            <v>2.14</v>
          </cell>
          <cell r="CE36">
            <v>2.19</v>
          </cell>
          <cell r="CF36">
            <v>2.5299999999999998</v>
          </cell>
          <cell r="CG36">
            <v>2.78</v>
          </cell>
        </row>
        <row r="37">
          <cell r="A37" t="str">
            <v>NNG-TOK</v>
          </cell>
          <cell r="B37">
            <v>34</v>
          </cell>
          <cell r="C37">
            <v>1.96</v>
          </cell>
          <cell r="D37">
            <v>1.92</v>
          </cell>
          <cell r="E37">
            <v>1.9</v>
          </cell>
          <cell r="F37">
            <v>1.5</v>
          </cell>
          <cell r="G37">
            <v>1.75</v>
          </cell>
          <cell r="H37">
            <v>1.95</v>
          </cell>
          <cell r="I37">
            <v>2.4500000000000002</v>
          </cell>
          <cell r="J37">
            <v>1.71</v>
          </cell>
          <cell r="K37">
            <v>1.71</v>
          </cell>
          <cell r="L37">
            <v>1.81</v>
          </cell>
          <cell r="M37">
            <v>2.0499999999999998</v>
          </cell>
          <cell r="N37">
            <v>1.8</v>
          </cell>
          <cell r="O37">
            <v>1.81</v>
          </cell>
          <cell r="P37">
            <v>2.2599999999999998</v>
          </cell>
          <cell r="Q37">
            <v>1.89</v>
          </cell>
          <cell r="R37">
            <v>1.97</v>
          </cell>
          <cell r="S37">
            <v>2.0299999999999998</v>
          </cell>
          <cell r="T37">
            <v>1.73</v>
          </cell>
          <cell r="U37">
            <v>1.73</v>
          </cell>
          <cell r="V37">
            <v>1.47</v>
          </cell>
          <cell r="W37">
            <v>1.6</v>
          </cell>
          <cell r="X37">
            <v>1.53</v>
          </cell>
          <cell r="Y37">
            <v>1.36</v>
          </cell>
          <cell r="Z37">
            <v>1.22</v>
          </cell>
          <cell r="AA37">
            <v>1.44</v>
          </cell>
          <cell r="AB37">
            <v>1.57</v>
          </cell>
          <cell r="AC37">
            <v>1.46</v>
          </cell>
          <cell r="AD37">
            <v>1.21</v>
          </cell>
          <cell r="AE37">
            <v>1.2</v>
          </cell>
          <cell r="AF37">
            <v>1.26</v>
          </cell>
          <cell r="AG37">
            <v>1.37</v>
          </cell>
          <cell r="AH37">
            <v>1.39</v>
          </cell>
          <cell r="AI37">
            <v>1.2</v>
          </cell>
          <cell r="AJ37">
            <v>1.17</v>
          </cell>
          <cell r="AK37">
            <v>1.38</v>
          </cell>
          <cell r="AL37">
            <v>1.46</v>
          </cell>
          <cell r="AM37">
            <v>1.57</v>
          </cell>
          <cell r="AN37">
            <v>1.84</v>
          </cell>
          <cell r="AO37">
            <v>1.93</v>
          </cell>
          <cell r="AP37">
            <v>1.73</v>
          </cell>
          <cell r="AQ37">
            <v>1.87</v>
          </cell>
          <cell r="AR37">
            <v>2.06</v>
          </cell>
          <cell r="AS37">
            <v>1.95</v>
          </cell>
          <cell r="AT37">
            <v>1.98</v>
          </cell>
          <cell r="AU37">
            <v>2.1</v>
          </cell>
          <cell r="AV37">
            <v>2.0299999999999998</v>
          </cell>
          <cell r="AW37">
            <v>1.57</v>
          </cell>
          <cell r="AX37">
            <v>1.64</v>
          </cell>
          <cell r="AY37">
            <v>2.48</v>
          </cell>
          <cell r="AZ37">
            <v>3.52</v>
          </cell>
          <cell r="BA37">
            <v>3.8</v>
          </cell>
          <cell r="BB37">
            <v>2.73</v>
          </cell>
          <cell r="BC37">
            <v>1.56</v>
          </cell>
          <cell r="BD37">
            <v>1.63</v>
          </cell>
          <cell r="BE37">
            <v>1.85</v>
          </cell>
          <cell r="BF37">
            <v>2.04</v>
          </cell>
          <cell r="BG37">
            <v>1.91</v>
          </cell>
          <cell r="BH37">
            <v>1.96</v>
          </cell>
          <cell r="BI37">
            <v>2.33</v>
          </cell>
          <cell r="BJ37">
            <v>2.86</v>
          </cell>
          <cell r="BK37">
            <v>3.09</v>
          </cell>
          <cell r="BL37">
            <v>2.2799999999999998</v>
          </cell>
          <cell r="BM37">
            <v>2.0499999999999998</v>
          </cell>
          <cell r="BN37">
            <v>1.86</v>
          </cell>
          <cell r="BO37">
            <v>2.06</v>
          </cell>
          <cell r="BP37">
            <v>2.06</v>
          </cell>
          <cell r="BQ37">
            <v>2.0499999999999998</v>
          </cell>
          <cell r="BR37">
            <v>1.84</v>
          </cell>
          <cell r="BS37">
            <v>2.15</v>
          </cell>
          <cell r="BT37">
            <v>1.79</v>
          </cell>
          <cell r="BU37">
            <v>1.5</v>
          </cell>
          <cell r="BV37">
            <v>1.78</v>
          </cell>
          <cell r="BW37">
            <v>1.86</v>
          </cell>
          <cell r="BX37">
            <v>1.98</v>
          </cell>
          <cell r="BY37">
            <v>1.74</v>
          </cell>
          <cell r="BZ37">
            <v>1.72</v>
          </cell>
          <cell r="CA37">
            <v>1.48</v>
          </cell>
          <cell r="CB37">
            <v>1.67</v>
          </cell>
          <cell r="CC37">
            <v>2.13</v>
          </cell>
          <cell r="CD37">
            <v>2.06</v>
          </cell>
          <cell r="CE37">
            <v>2.1</v>
          </cell>
          <cell r="CF37">
            <v>2.44</v>
          </cell>
          <cell r="CG37">
            <v>2.7</v>
          </cell>
        </row>
        <row r="38">
          <cell r="A38" t="str">
            <v>NNG-VENT</v>
          </cell>
          <cell r="B38">
            <v>35</v>
          </cell>
          <cell r="C38">
            <v>2.0499999999999998</v>
          </cell>
          <cell r="D38">
            <v>2.0499999999999998</v>
          </cell>
          <cell r="E38">
            <v>1.96</v>
          </cell>
          <cell r="F38">
            <v>1.6</v>
          </cell>
          <cell r="G38">
            <v>1.86</v>
          </cell>
          <cell r="H38">
            <v>2.09</v>
          </cell>
          <cell r="I38">
            <v>2.59</v>
          </cell>
          <cell r="J38">
            <v>1.8</v>
          </cell>
          <cell r="K38">
            <v>1.78</v>
          </cell>
          <cell r="L38">
            <v>1.8</v>
          </cell>
          <cell r="M38">
            <v>2.15</v>
          </cell>
          <cell r="N38">
            <v>1.9</v>
          </cell>
          <cell r="O38">
            <v>1.88</v>
          </cell>
          <cell r="P38">
            <v>2.3199999999999998</v>
          </cell>
          <cell r="Q38">
            <v>1.93</v>
          </cell>
          <cell r="R38">
            <v>2.0499999999999998</v>
          </cell>
          <cell r="S38">
            <v>2.14</v>
          </cell>
          <cell r="T38">
            <v>1.75</v>
          </cell>
          <cell r="U38">
            <v>1.8</v>
          </cell>
          <cell r="V38">
            <v>1.5</v>
          </cell>
          <cell r="W38">
            <v>1.61</v>
          </cell>
          <cell r="X38">
            <v>1.54</v>
          </cell>
          <cell r="Y38">
            <v>1.39</v>
          </cell>
          <cell r="Z38">
            <v>1.27</v>
          </cell>
          <cell r="AA38">
            <v>1.48</v>
          </cell>
          <cell r="AB38">
            <v>1.62</v>
          </cell>
          <cell r="AC38">
            <v>1.49</v>
          </cell>
          <cell r="AD38">
            <v>1.25</v>
          </cell>
          <cell r="AE38">
            <v>1.23</v>
          </cell>
          <cell r="AF38">
            <v>1.28</v>
          </cell>
          <cell r="AG38">
            <v>1.39</v>
          </cell>
          <cell r="AH38">
            <v>1.41</v>
          </cell>
          <cell r="AI38">
            <v>1.18</v>
          </cell>
          <cell r="AJ38">
            <v>1.0900000000000001</v>
          </cell>
          <cell r="AK38">
            <v>1.33</v>
          </cell>
          <cell r="AL38">
            <v>1.48</v>
          </cell>
          <cell r="AM38">
            <v>1.61</v>
          </cell>
          <cell r="AN38">
            <v>1.84</v>
          </cell>
          <cell r="AO38">
            <v>2</v>
          </cell>
          <cell r="AP38">
            <v>1.84</v>
          </cell>
          <cell r="AQ38">
            <v>1.94</v>
          </cell>
          <cell r="AR38">
            <v>2.11</v>
          </cell>
          <cell r="AS38">
            <v>1.91</v>
          </cell>
          <cell r="AT38">
            <v>1.96</v>
          </cell>
          <cell r="AU38">
            <v>2.0699999999999998</v>
          </cell>
          <cell r="AV38">
            <v>2.0699999999999998</v>
          </cell>
          <cell r="AW38">
            <v>1.62</v>
          </cell>
          <cell r="AX38">
            <v>1.71</v>
          </cell>
          <cell r="AY38">
            <v>2.5499999999999998</v>
          </cell>
          <cell r="AZ38">
            <v>3.61</v>
          </cell>
          <cell r="BA38">
            <v>4.2</v>
          </cell>
          <cell r="BB38">
            <v>2.85</v>
          </cell>
          <cell r="BC38">
            <v>1.63</v>
          </cell>
          <cell r="BD38">
            <v>1.71</v>
          </cell>
          <cell r="BE38">
            <v>1.94</v>
          </cell>
          <cell r="BF38">
            <v>2.1</v>
          </cell>
          <cell r="BG38">
            <v>1.97</v>
          </cell>
          <cell r="BH38">
            <v>2.0499999999999998</v>
          </cell>
          <cell r="BI38">
            <v>2.41</v>
          </cell>
          <cell r="BJ38">
            <v>3.03</v>
          </cell>
          <cell r="BK38">
            <v>3.29</v>
          </cell>
          <cell r="BL38">
            <v>2.44</v>
          </cell>
          <cell r="BM38">
            <v>2.17</v>
          </cell>
          <cell r="BN38">
            <v>1.96</v>
          </cell>
          <cell r="BO38">
            <v>2.15</v>
          </cell>
          <cell r="BP38">
            <v>2.1800000000000002</v>
          </cell>
          <cell r="BQ38">
            <v>2.15</v>
          </cell>
          <cell r="BR38">
            <v>1.92</v>
          </cell>
          <cell r="BS38">
            <v>2.2599999999999998</v>
          </cell>
          <cell r="BT38">
            <v>1.84</v>
          </cell>
          <cell r="BU38">
            <v>1.56</v>
          </cell>
          <cell r="BV38">
            <v>1.91</v>
          </cell>
          <cell r="BW38">
            <v>2</v>
          </cell>
          <cell r="BX38">
            <v>2.13</v>
          </cell>
          <cell r="BY38">
            <v>1.84</v>
          </cell>
          <cell r="BZ38">
            <v>1.8</v>
          </cell>
          <cell r="CA38">
            <v>1.6</v>
          </cell>
          <cell r="CB38">
            <v>1.75</v>
          </cell>
          <cell r="CC38">
            <v>2.2000000000000002</v>
          </cell>
          <cell r="CD38">
            <v>2.12</v>
          </cell>
          <cell r="CE38">
            <v>2.1800000000000002</v>
          </cell>
          <cell r="CF38">
            <v>2.5</v>
          </cell>
          <cell r="CG38">
            <v>2.76</v>
          </cell>
        </row>
        <row r="39">
          <cell r="A39" t="str">
            <v>NOR-EAST</v>
          </cell>
          <cell r="B39">
            <v>36</v>
          </cell>
          <cell r="AE39">
            <v>1.33</v>
          </cell>
          <cell r="AF39">
            <v>1.44</v>
          </cell>
          <cell r="AG39">
            <v>1.57</v>
          </cell>
          <cell r="AH39">
            <v>1.61</v>
          </cell>
          <cell r="AI39">
            <v>1.4</v>
          </cell>
          <cell r="AJ39">
            <v>1.3</v>
          </cell>
          <cell r="AK39">
            <v>1.5</v>
          </cell>
          <cell r="AL39">
            <v>1.54</v>
          </cell>
          <cell r="AM39">
            <v>1.68</v>
          </cell>
          <cell r="AN39">
            <v>2.02</v>
          </cell>
          <cell r="AO39">
            <v>2.09</v>
          </cell>
          <cell r="AP39">
            <v>1.89</v>
          </cell>
          <cell r="AQ39">
            <v>1.93</v>
          </cell>
          <cell r="AR39">
            <v>2.23</v>
          </cell>
          <cell r="AS39">
            <v>2.12</v>
          </cell>
          <cell r="AT39">
            <v>2.1800000000000002</v>
          </cell>
          <cell r="AU39">
            <v>2.31</v>
          </cell>
          <cell r="AV39">
            <v>2.25</v>
          </cell>
          <cell r="AW39">
            <v>1.75</v>
          </cell>
          <cell r="AX39">
            <v>1.74</v>
          </cell>
          <cell r="AY39">
            <v>2.4700000000000002</v>
          </cell>
          <cell r="AZ39">
            <v>3.61</v>
          </cell>
          <cell r="BA39">
            <v>4.1500000000000004</v>
          </cell>
          <cell r="BB39">
            <v>2.78</v>
          </cell>
          <cell r="BC39">
            <v>1.65</v>
          </cell>
          <cell r="BD39">
            <v>1.74</v>
          </cell>
          <cell r="BE39">
            <v>2.0099999999999998</v>
          </cell>
          <cell r="BF39">
            <v>2.19</v>
          </cell>
          <cell r="BG39">
            <v>2.0699999999999998</v>
          </cell>
          <cell r="BH39">
            <v>2.11</v>
          </cell>
          <cell r="BI39">
            <v>2.44</v>
          </cell>
          <cell r="BJ39">
            <v>3.05</v>
          </cell>
          <cell r="BK39">
            <v>3.17</v>
          </cell>
          <cell r="BL39">
            <v>2.37</v>
          </cell>
          <cell r="BM39">
            <v>2.16</v>
          </cell>
          <cell r="BN39">
            <v>1.94</v>
          </cell>
          <cell r="BO39">
            <v>2.16</v>
          </cell>
          <cell r="BP39">
            <v>2.2000000000000002</v>
          </cell>
          <cell r="BQ39">
            <v>2.1800000000000002</v>
          </cell>
          <cell r="BR39">
            <v>1.96</v>
          </cell>
          <cell r="BS39">
            <v>2.2999999999999998</v>
          </cell>
          <cell r="BT39">
            <v>1.86</v>
          </cell>
          <cell r="BU39">
            <v>1.57</v>
          </cell>
          <cell r="BV39">
            <v>1.94</v>
          </cell>
          <cell r="BW39">
            <v>1.93</v>
          </cell>
          <cell r="BX39">
            <v>2.0299999999999998</v>
          </cell>
          <cell r="BY39">
            <v>1.74</v>
          </cell>
          <cell r="BZ39">
            <v>1.74</v>
          </cell>
          <cell r="CA39">
            <v>1.56</v>
          </cell>
          <cell r="CB39">
            <v>1.77</v>
          </cell>
          <cell r="CC39">
            <v>2.27</v>
          </cell>
          <cell r="CD39">
            <v>2.17</v>
          </cell>
          <cell r="CE39">
            <v>2.21</v>
          </cell>
          <cell r="CF39">
            <v>2.5499999999999998</v>
          </cell>
          <cell r="CG39">
            <v>2.82</v>
          </cell>
        </row>
        <row r="40">
          <cell r="A40" t="str">
            <v>NOR-WEST</v>
          </cell>
          <cell r="B40">
            <v>37</v>
          </cell>
          <cell r="AE40">
            <v>1.28</v>
          </cell>
          <cell r="AF40">
            <v>1.35</v>
          </cell>
          <cell r="AG40">
            <v>1.46</v>
          </cell>
          <cell r="AH40">
            <v>1.48</v>
          </cell>
          <cell r="AI40">
            <v>1.28</v>
          </cell>
          <cell r="AJ40">
            <v>1.22</v>
          </cell>
          <cell r="AK40">
            <v>1.43</v>
          </cell>
          <cell r="AL40">
            <v>1.5</v>
          </cell>
          <cell r="AM40">
            <v>1.62</v>
          </cell>
          <cell r="AN40">
            <v>1.89</v>
          </cell>
          <cell r="AO40">
            <v>2.0099999999999998</v>
          </cell>
          <cell r="AP40">
            <v>1.83</v>
          </cell>
          <cell r="AQ40">
            <v>1.9</v>
          </cell>
          <cell r="AR40">
            <v>2.15</v>
          </cell>
          <cell r="AS40">
            <v>2.02</v>
          </cell>
          <cell r="AT40">
            <v>2.0699999999999998</v>
          </cell>
          <cell r="AU40">
            <v>2.2000000000000002</v>
          </cell>
          <cell r="AV40">
            <v>2.16</v>
          </cell>
          <cell r="AW40">
            <v>1.68</v>
          </cell>
          <cell r="AX40">
            <v>1.69</v>
          </cell>
          <cell r="AY40">
            <v>2.4300000000000002</v>
          </cell>
          <cell r="AZ40">
            <v>3.55</v>
          </cell>
          <cell r="BA40">
            <v>4.1100000000000003</v>
          </cell>
          <cell r="BB40">
            <v>2.73</v>
          </cell>
          <cell r="BC40">
            <v>1.61</v>
          </cell>
          <cell r="BD40">
            <v>1.72</v>
          </cell>
          <cell r="BE40">
            <v>1.96</v>
          </cell>
          <cell r="BF40">
            <v>2.15</v>
          </cell>
          <cell r="BG40">
            <v>2.0099999999999998</v>
          </cell>
          <cell r="BH40">
            <v>2.0699999999999998</v>
          </cell>
          <cell r="BI40">
            <v>2.41</v>
          </cell>
          <cell r="BJ40">
            <v>2.98</v>
          </cell>
          <cell r="BK40">
            <v>3.1</v>
          </cell>
          <cell r="BL40">
            <v>2.3199999999999998</v>
          </cell>
          <cell r="BM40">
            <v>2.15</v>
          </cell>
          <cell r="BN40">
            <v>1.92</v>
          </cell>
          <cell r="BO40">
            <v>2.14</v>
          </cell>
          <cell r="BP40">
            <v>2.17</v>
          </cell>
          <cell r="BQ40">
            <v>2.15</v>
          </cell>
          <cell r="BR40">
            <v>1.92</v>
          </cell>
          <cell r="BS40">
            <v>2.2599999999999998</v>
          </cell>
          <cell r="BT40">
            <v>1.83</v>
          </cell>
          <cell r="BU40">
            <v>1.52</v>
          </cell>
          <cell r="BV40">
            <v>1.89</v>
          </cell>
          <cell r="BW40">
            <v>1.9</v>
          </cell>
          <cell r="BX40">
            <v>2.0099999999999998</v>
          </cell>
          <cell r="BY40">
            <v>1.73</v>
          </cell>
          <cell r="BZ40">
            <v>1.73</v>
          </cell>
          <cell r="CA40">
            <v>1.54</v>
          </cell>
          <cell r="CB40">
            <v>1.74</v>
          </cell>
          <cell r="CC40">
            <v>2.2200000000000002</v>
          </cell>
          <cell r="CD40">
            <v>2.12</v>
          </cell>
          <cell r="CE40">
            <v>2.1800000000000002</v>
          </cell>
          <cell r="CF40">
            <v>2.5099999999999998</v>
          </cell>
          <cell r="CG40">
            <v>2.77</v>
          </cell>
        </row>
        <row r="41">
          <cell r="A41" t="str">
            <v>NWPL-CAN</v>
          </cell>
          <cell r="B41">
            <v>38</v>
          </cell>
          <cell r="C41">
            <v>1.5</v>
          </cell>
          <cell r="D41">
            <v>1.74</v>
          </cell>
          <cell r="E41">
            <v>2.25</v>
          </cell>
          <cell r="F41">
            <v>1.74</v>
          </cell>
          <cell r="G41">
            <v>1.8</v>
          </cell>
          <cell r="H41">
            <v>1.8</v>
          </cell>
          <cell r="I41">
            <v>2.25</v>
          </cell>
          <cell r="J41">
            <v>1.58</v>
          </cell>
          <cell r="K41">
            <v>1.55</v>
          </cell>
          <cell r="L41">
            <v>1.65</v>
          </cell>
          <cell r="M41">
            <v>1.92</v>
          </cell>
          <cell r="N41">
            <v>1.75</v>
          </cell>
          <cell r="O41">
            <v>1.8</v>
          </cell>
          <cell r="P41">
            <v>2.4</v>
          </cell>
          <cell r="Q41">
            <v>2.1800000000000002</v>
          </cell>
          <cell r="R41">
            <v>1.79</v>
          </cell>
          <cell r="S41">
            <v>1.98</v>
          </cell>
          <cell r="T41">
            <v>1.62</v>
          </cell>
          <cell r="U41">
            <v>1.6</v>
          </cell>
          <cell r="V41">
            <v>1.39</v>
          </cell>
          <cell r="W41">
            <v>1.48</v>
          </cell>
          <cell r="X41">
            <v>1.45</v>
          </cell>
          <cell r="Y41">
            <v>1.36</v>
          </cell>
          <cell r="Z41">
            <v>1.18</v>
          </cell>
          <cell r="AA41">
            <v>1.52</v>
          </cell>
          <cell r="AB41">
            <v>1.63</v>
          </cell>
          <cell r="AC41">
            <v>1.4</v>
          </cell>
          <cell r="AD41">
            <v>1.03</v>
          </cell>
          <cell r="AE41">
            <v>1</v>
          </cell>
          <cell r="AF41">
            <v>0.97</v>
          </cell>
          <cell r="AG41">
            <v>0.99</v>
          </cell>
          <cell r="AH41">
            <v>0.97</v>
          </cell>
          <cell r="AI41">
            <v>0.85</v>
          </cell>
          <cell r="AJ41">
            <v>0.75</v>
          </cell>
          <cell r="AK41">
            <v>0.85</v>
          </cell>
          <cell r="AL41">
            <v>0.96</v>
          </cell>
          <cell r="AM41">
            <v>1.26</v>
          </cell>
          <cell r="AN41">
            <v>1.29</v>
          </cell>
          <cell r="AO41">
            <v>1.24</v>
          </cell>
          <cell r="AP41">
            <v>1.2</v>
          </cell>
          <cell r="AQ41">
            <v>1.1499999999999999</v>
          </cell>
          <cell r="AR41">
            <v>0.93</v>
          </cell>
          <cell r="AS41">
            <v>0.93</v>
          </cell>
          <cell r="AT41">
            <v>0.9</v>
          </cell>
          <cell r="AU41">
            <v>0.96</v>
          </cell>
          <cell r="AV41">
            <v>1.01</v>
          </cell>
          <cell r="AW41">
            <v>1.01</v>
          </cell>
          <cell r="AX41">
            <v>1.1000000000000001</v>
          </cell>
          <cell r="AY41">
            <v>2.17</v>
          </cell>
          <cell r="AZ41">
            <v>3.55</v>
          </cell>
          <cell r="BA41">
            <v>4.1500000000000004</v>
          </cell>
          <cell r="BB41">
            <v>2.37</v>
          </cell>
          <cell r="BC41">
            <v>1.05</v>
          </cell>
          <cell r="BD41">
            <v>1.1100000000000001</v>
          </cell>
          <cell r="BE41">
            <v>1.33</v>
          </cell>
          <cell r="BF41">
            <v>1.38</v>
          </cell>
          <cell r="BG41">
            <v>1.22</v>
          </cell>
          <cell r="BH41">
            <v>1.08</v>
          </cell>
          <cell r="BI41">
            <v>1.19</v>
          </cell>
          <cell r="BJ41">
            <v>1.48</v>
          </cell>
          <cell r="BK41">
            <v>2.7</v>
          </cell>
          <cell r="BL41">
            <v>1.4</v>
          </cell>
          <cell r="BM41">
            <v>1.85</v>
          </cell>
          <cell r="BN41">
            <v>1.43</v>
          </cell>
          <cell r="BO41">
            <v>1.1200000000000001</v>
          </cell>
          <cell r="BP41">
            <v>1.43</v>
          </cell>
          <cell r="BQ41">
            <v>1.7</v>
          </cell>
          <cell r="BR41">
            <v>1.38</v>
          </cell>
          <cell r="BS41">
            <v>1.45</v>
          </cell>
          <cell r="BT41">
            <v>1.57</v>
          </cell>
          <cell r="BU41">
            <v>1.46</v>
          </cell>
          <cell r="BV41">
            <v>1.67</v>
          </cell>
          <cell r="BW41">
            <v>2.14</v>
          </cell>
          <cell r="BX41">
            <v>2.09</v>
          </cell>
          <cell r="BY41">
            <v>2.88</v>
          </cell>
          <cell r="BZ41">
            <v>1.77</v>
          </cell>
          <cell r="CA41">
            <v>1.5</v>
          </cell>
          <cell r="CB41">
            <v>1.51</v>
          </cell>
          <cell r="CC41">
            <v>1.95</v>
          </cell>
          <cell r="CD41">
            <v>1.91</v>
          </cell>
          <cell r="CE41">
            <v>1.94</v>
          </cell>
          <cell r="CF41">
            <v>2.21</v>
          </cell>
          <cell r="CG41">
            <v>2.5</v>
          </cell>
        </row>
        <row r="42">
          <cell r="A42" t="str">
            <v>NWPL-ROCK</v>
          </cell>
          <cell r="B42">
            <v>39</v>
          </cell>
          <cell r="C42">
            <v>1.79</v>
          </cell>
          <cell r="D42">
            <v>1.95</v>
          </cell>
          <cell r="E42">
            <v>2.2999999999999998</v>
          </cell>
          <cell r="F42">
            <v>1.61</v>
          </cell>
          <cell r="G42">
            <v>1.78</v>
          </cell>
          <cell r="H42">
            <v>1.79</v>
          </cell>
          <cell r="I42">
            <v>2.25</v>
          </cell>
          <cell r="J42">
            <v>1.58</v>
          </cell>
          <cell r="K42">
            <v>1.55</v>
          </cell>
          <cell r="L42">
            <v>1.65</v>
          </cell>
          <cell r="M42">
            <v>1.92</v>
          </cell>
          <cell r="N42">
            <v>1.75</v>
          </cell>
          <cell r="O42">
            <v>1.74</v>
          </cell>
          <cell r="P42">
            <v>2.35</v>
          </cell>
          <cell r="Q42">
            <v>1.92</v>
          </cell>
          <cell r="R42">
            <v>1.78</v>
          </cell>
          <cell r="S42">
            <v>1.95</v>
          </cell>
          <cell r="T42">
            <v>1.61</v>
          </cell>
          <cell r="U42">
            <v>1.6</v>
          </cell>
          <cell r="V42">
            <v>1.37</v>
          </cell>
          <cell r="W42">
            <v>1.46</v>
          </cell>
          <cell r="X42">
            <v>1.45</v>
          </cell>
          <cell r="Y42">
            <v>1.36</v>
          </cell>
          <cell r="Z42">
            <v>1.18</v>
          </cell>
          <cell r="AA42">
            <v>1.48</v>
          </cell>
          <cell r="AB42">
            <v>1.61</v>
          </cell>
          <cell r="AC42">
            <v>1.37</v>
          </cell>
          <cell r="AD42">
            <v>1.06</v>
          </cell>
          <cell r="AE42">
            <v>1.05</v>
          </cell>
          <cell r="AF42">
            <v>1.05</v>
          </cell>
          <cell r="AG42">
            <v>1.06</v>
          </cell>
          <cell r="AH42">
            <v>1.1399999999999999</v>
          </cell>
          <cell r="AI42">
            <v>0.98</v>
          </cell>
          <cell r="AJ42">
            <v>0.84</v>
          </cell>
          <cell r="AK42">
            <v>0.96</v>
          </cell>
          <cell r="AL42">
            <v>1.05</v>
          </cell>
          <cell r="AM42">
            <v>1.25</v>
          </cell>
          <cell r="AN42">
            <v>1.31</v>
          </cell>
          <cell r="AO42">
            <v>1.25</v>
          </cell>
          <cell r="AP42">
            <v>1.19</v>
          </cell>
          <cell r="AQ42">
            <v>1.17</v>
          </cell>
          <cell r="AR42">
            <v>1.06</v>
          </cell>
          <cell r="AS42">
            <v>1.05</v>
          </cell>
          <cell r="AT42">
            <v>1.07</v>
          </cell>
          <cell r="AU42">
            <v>1.19</v>
          </cell>
          <cell r="AV42">
            <v>1.23</v>
          </cell>
          <cell r="AW42">
            <v>1.18</v>
          </cell>
          <cell r="AX42">
            <v>1.26</v>
          </cell>
          <cell r="AY42">
            <v>2.29</v>
          </cell>
          <cell r="AZ42">
            <v>3.52</v>
          </cell>
          <cell r="BA42">
            <v>4.2</v>
          </cell>
          <cell r="BB42">
            <v>2.48</v>
          </cell>
          <cell r="BC42">
            <v>1.39</v>
          </cell>
          <cell r="BD42">
            <v>1.44</v>
          </cell>
          <cell r="BE42">
            <v>1.64</v>
          </cell>
          <cell r="BF42">
            <v>1.48</v>
          </cell>
          <cell r="BG42">
            <v>1.44</v>
          </cell>
          <cell r="BH42">
            <v>1.38</v>
          </cell>
          <cell r="BI42">
            <v>1.48</v>
          </cell>
          <cell r="BJ42">
            <v>2.12</v>
          </cell>
          <cell r="BK42">
            <v>3</v>
          </cell>
          <cell r="BL42">
            <v>1.94</v>
          </cell>
          <cell r="BM42">
            <v>2.06</v>
          </cell>
          <cell r="BN42">
            <v>1.69</v>
          </cell>
          <cell r="BO42">
            <v>1.87</v>
          </cell>
          <cell r="BP42">
            <v>1.9</v>
          </cell>
          <cell r="BQ42">
            <v>1.98</v>
          </cell>
          <cell r="BR42">
            <v>1.64</v>
          </cell>
          <cell r="BS42">
            <v>1.62</v>
          </cell>
          <cell r="BT42">
            <v>1.73</v>
          </cell>
          <cell r="BU42">
            <v>1.57</v>
          </cell>
          <cell r="BV42">
            <v>1.65</v>
          </cell>
          <cell r="BW42">
            <v>2.02</v>
          </cell>
          <cell r="BX42">
            <v>2</v>
          </cell>
          <cell r="BY42">
            <v>1.82</v>
          </cell>
          <cell r="BZ42">
            <v>1.63</v>
          </cell>
          <cell r="CA42">
            <v>1.51</v>
          </cell>
          <cell r="CB42">
            <v>1.54</v>
          </cell>
          <cell r="CC42">
            <v>2</v>
          </cell>
          <cell r="CD42">
            <v>1.94</v>
          </cell>
          <cell r="CE42">
            <v>1.99</v>
          </cell>
          <cell r="CF42">
            <v>2.1800000000000002</v>
          </cell>
          <cell r="CG42">
            <v>2.56</v>
          </cell>
        </row>
        <row r="43">
          <cell r="A43" t="str">
            <v>ONG-OKL</v>
          </cell>
          <cell r="B43">
            <v>40</v>
          </cell>
          <cell r="C43">
            <v>1.97</v>
          </cell>
          <cell r="D43">
            <v>1.98</v>
          </cell>
          <cell r="E43">
            <v>1.92</v>
          </cell>
          <cell r="F43">
            <v>1.62</v>
          </cell>
          <cell r="G43">
            <v>1.81</v>
          </cell>
          <cell r="H43">
            <v>2.0699999999999998</v>
          </cell>
          <cell r="I43">
            <v>2.4</v>
          </cell>
          <cell r="J43">
            <v>1.78</v>
          </cell>
          <cell r="K43">
            <v>1.76</v>
          </cell>
          <cell r="L43">
            <v>1.91</v>
          </cell>
          <cell r="M43">
            <v>2.16</v>
          </cell>
          <cell r="N43">
            <v>1.85</v>
          </cell>
          <cell r="O43">
            <v>1.88</v>
          </cell>
          <cell r="P43">
            <v>2.2400000000000002</v>
          </cell>
          <cell r="Q43">
            <v>1.92</v>
          </cell>
          <cell r="R43">
            <v>2.1</v>
          </cell>
          <cell r="S43">
            <v>2.12</v>
          </cell>
          <cell r="T43">
            <v>1.78</v>
          </cell>
          <cell r="U43">
            <v>1.83</v>
          </cell>
          <cell r="V43">
            <v>1.58</v>
          </cell>
          <cell r="W43">
            <v>1.68</v>
          </cell>
          <cell r="X43">
            <v>1.59</v>
          </cell>
          <cell r="Y43">
            <v>1.39</v>
          </cell>
          <cell r="Z43">
            <v>1.3</v>
          </cell>
          <cell r="AA43">
            <v>1.49</v>
          </cell>
          <cell r="AB43">
            <v>1.59</v>
          </cell>
          <cell r="AC43">
            <v>1.51</v>
          </cell>
          <cell r="AD43">
            <v>1.29</v>
          </cell>
          <cell r="AE43">
            <v>1.29</v>
          </cell>
          <cell r="AF43">
            <v>1.35</v>
          </cell>
          <cell r="AG43">
            <v>1.45</v>
          </cell>
          <cell r="AH43">
            <v>1.48</v>
          </cell>
          <cell r="AI43">
            <v>1.28</v>
          </cell>
          <cell r="AJ43">
            <v>1.22</v>
          </cell>
          <cell r="AK43">
            <v>1.44</v>
          </cell>
          <cell r="AL43">
            <v>1.5</v>
          </cell>
          <cell r="AM43">
            <v>1.61</v>
          </cell>
          <cell r="AN43">
            <v>1.89</v>
          </cell>
          <cell r="AO43">
            <v>2.02</v>
          </cell>
          <cell r="AP43">
            <v>1.81</v>
          </cell>
          <cell r="AQ43">
            <v>1.91</v>
          </cell>
          <cell r="AR43">
            <v>2.15</v>
          </cell>
          <cell r="AS43">
            <v>2.02</v>
          </cell>
          <cell r="AT43">
            <v>2.06</v>
          </cell>
          <cell r="AU43">
            <v>2.2000000000000002</v>
          </cell>
          <cell r="AV43">
            <v>2.17</v>
          </cell>
          <cell r="AW43">
            <v>1.68</v>
          </cell>
          <cell r="AX43">
            <v>1.7</v>
          </cell>
          <cell r="AY43">
            <v>2.5099999999999998</v>
          </cell>
          <cell r="AZ43">
            <v>3.61</v>
          </cell>
          <cell r="BA43">
            <v>4.3</v>
          </cell>
          <cell r="BB43">
            <v>2.77</v>
          </cell>
          <cell r="BC43">
            <v>1.65</v>
          </cell>
          <cell r="BD43">
            <v>1.71</v>
          </cell>
          <cell r="BE43">
            <v>1.95</v>
          </cell>
          <cell r="BF43">
            <v>2.14</v>
          </cell>
          <cell r="BG43">
            <v>2.06</v>
          </cell>
          <cell r="BH43">
            <v>2.06</v>
          </cell>
          <cell r="BI43">
            <v>2.39</v>
          </cell>
          <cell r="BJ43">
            <v>3.01</v>
          </cell>
          <cell r="BK43">
            <v>3.16</v>
          </cell>
          <cell r="BL43">
            <v>2.36</v>
          </cell>
          <cell r="BM43">
            <v>2.15</v>
          </cell>
          <cell r="BN43">
            <v>1.93</v>
          </cell>
          <cell r="BO43">
            <v>2.16</v>
          </cell>
          <cell r="BP43">
            <v>2.19</v>
          </cell>
          <cell r="BQ43">
            <v>2.17</v>
          </cell>
          <cell r="BR43">
            <v>1.95</v>
          </cell>
          <cell r="BS43">
            <v>2.29</v>
          </cell>
          <cell r="BT43">
            <v>1.86</v>
          </cell>
          <cell r="BU43">
            <v>1.58</v>
          </cell>
          <cell r="BV43">
            <v>1.93</v>
          </cell>
          <cell r="BW43">
            <v>1.95</v>
          </cell>
          <cell r="BX43">
            <v>2.06</v>
          </cell>
          <cell r="BY43">
            <v>1.77</v>
          </cell>
          <cell r="BZ43">
            <v>1.75</v>
          </cell>
          <cell r="CA43">
            <v>1.58</v>
          </cell>
          <cell r="CB43">
            <v>1.76</v>
          </cell>
          <cell r="CC43">
            <v>2.23</v>
          </cell>
          <cell r="CD43">
            <v>2.13</v>
          </cell>
          <cell r="CE43">
            <v>2.1800000000000002</v>
          </cell>
          <cell r="CF43">
            <v>2.5099999999999998</v>
          </cell>
          <cell r="CG43">
            <v>2.78</v>
          </cell>
        </row>
        <row r="44">
          <cell r="A44" t="str">
            <v>PEPL-FZ</v>
          </cell>
          <cell r="B44">
            <v>41</v>
          </cell>
          <cell r="C44">
            <v>2.0699999999999998</v>
          </cell>
          <cell r="D44">
            <v>2.0299999999999998</v>
          </cell>
          <cell r="E44">
            <v>1.95</v>
          </cell>
          <cell r="F44">
            <v>1.61</v>
          </cell>
          <cell r="G44">
            <v>1.83</v>
          </cell>
          <cell r="H44">
            <v>2.1</v>
          </cell>
          <cell r="I44">
            <v>2.5499999999999998</v>
          </cell>
          <cell r="J44">
            <v>1.85</v>
          </cell>
          <cell r="K44">
            <v>1.79</v>
          </cell>
          <cell r="L44">
            <v>1.93</v>
          </cell>
          <cell r="M44">
            <v>2.1800000000000002</v>
          </cell>
          <cell r="N44">
            <v>1.9</v>
          </cell>
          <cell r="O44">
            <v>1.9</v>
          </cell>
          <cell r="P44">
            <v>2.23</v>
          </cell>
          <cell r="Q44">
            <v>1.97</v>
          </cell>
          <cell r="R44">
            <v>2.12</v>
          </cell>
          <cell r="S44">
            <v>2.14</v>
          </cell>
          <cell r="T44">
            <v>1.8</v>
          </cell>
          <cell r="U44">
            <v>1.84</v>
          </cell>
          <cell r="V44">
            <v>1.57</v>
          </cell>
          <cell r="W44">
            <v>1.65</v>
          </cell>
          <cell r="X44">
            <v>1.57</v>
          </cell>
          <cell r="Y44">
            <v>1.41</v>
          </cell>
          <cell r="Z44">
            <v>1.31</v>
          </cell>
          <cell r="AA44">
            <v>1.52</v>
          </cell>
          <cell r="AB44">
            <v>1.6</v>
          </cell>
          <cell r="AC44">
            <v>1.51</v>
          </cell>
          <cell r="AD44">
            <v>1.27</v>
          </cell>
          <cell r="AE44">
            <v>1.27</v>
          </cell>
          <cell r="AF44">
            <v>1.34</v>
          </cell>
          <cell r="AG44">
            <v>1.45</v>
          </cell>
          <cell r="AH44">
            <v>1.47</v>
          </cell>
          <cell r="AI44">
            <v>1.25</v>
          </cell>
          <cell r="AJ44">
            <v>1.2</v>
          </cell>
          <cell r="AK44">
            <v>1.41</v>
          </cell>
          <cell r="AL44">
            <v>1.5</v>
          </cell>
          <cell r="AM44">
            <v>1.61</v>
          </cell>
          <cell r="AN44">
            <v>1.89</v>
          </cell>
          <cell r="AO44">
            <v>2</v>
          </cell>
          <cell r="AP44">
            <v>1.81</v>
          </cell>
          <cell r="AQ44">
            <v>1.9</v>
          </cell>
          <cell r="AR44">
            <v>2.14</v>
          </cell>
          <cell r="AS44">
            <v>2</v>
          </cell>
          <cell r="AT44">
            <v>2.0499999999999998</v>
          </cell>
          <cell r="AU44">
            <v>2.1800000000000002</v>
          </cell>
          <cell r="AV44">
            <v>2.13</v>
          </cell>
          <cell r="AW44">
            <v>1.67</v>
          </cell>
          <cell r="AX44">
            <v>1.69</v>
          </cell>
          <cell r="AY44">
            <v>2.5099999999999998</v>
          </cell>
          <cell r="AZ44">
            <v>3.61</v>
          </cell>
          <cell r="BA44">
            <v>4.0999999999999996</v>
          </cell>
          <cell r="BB44">
            <v>2.84</v>
          </cell>
          <cell r="BC44">
            <v>1.64</v>
          </cell>
          <cell r="BD44">
            <v>1.73</v>
          </cell>
          <cell r="BE44">
            <v>1.95</v>
          </cell>
          <cell r="BF44">
            <v>2.13</v>
          </cell>
          <cell r="BG44">
            <v>2.0099999999999998</v>
          </cell>
          <cell r="BH44">
            <v>2.06</v>
          </cell>
          <cell r="BI44">
            <v>2.42</v>
          </cell>
          <cell r="BJ44">
            <v>3.01</v>
          </cell>
          <cell r="BK44">
            <v>3.16</v>
          </cell>
          <cell r="BL44">
            <v>2.35</v>
          </cell>
          <cell r="BM44">
            <v>2.15</v>
          </cell>
          <cell r="BN44">
            <v>1.93</v>
          </cell>
          <cell r="BO44">
            <v>2.15</v>
          </cell>
          <cell r="BP44">
            <v>2.19</v>
          </cell>
          <cell r="BQ44">
            <v>2.1800000000000002</v>
          </cell>
          <cell r="BR44">
            <v>1.94</v>
          </cell>
          <cell r="BS44">
            <v>2.27</v>
          </cell>
          <cell r="BT44">
            <v>1.84</v>
          </cell>
          <cell r="BU44">
            <v>1.56</v>
          </cell>
          <cell r="BV44">
            <v>1.9</v>
          </cell>
          <cell r="BW44">
            <v>1.95</v>
          </cell>
          <cell r="BX44">
            <v>2.06</v>
          </cell>
          <cell r="BY44">
            <v>1.78</v>
          </cell>
          <cell r="BZ44">
            <v>1.76</v>
          </cell>
          <cell r="CA44">
            <v>1.58</v>
          </cell>
          <cell r="CB44">
            <v>1.76</v>
          </cell>
          <cell r="CC44">
            <v>2.2200000000000002</v>
          </cell>
          <cell r="CD44">
            <v>2.12</v>
          </cell>
          <cell r="CE44">
            <v>2.17</v>
          </cell>
          <cell r="CF44">
            <v>2.5099999999999998</v>
          </cell>
          <cell r="CG44">
            <v>2.77</v>
          </cell>
        </row>
        <row r="45">
          <cell r="A45" t="str">
            <v>QUEST</v>
          </cell>
          <cell r="B45">
            <v>42</v>
          </cell>
          <cell r="C45">
            <v>1.87</v>
          </cell>
          <cell r="D45">
            <v>1.88</v>
          </cell>
          <cell r="E45">
            <v>2.2599999999999998</v>
          </cell>
          <cell r="F45">
            <v>1.59</v>
          </cell>
          <cell r="G45">
            <v>1.7</v>
          </cell>
          <cell r="H45">
            <v>1.75</v>
          </cell>
          <cell r="I45">
            <v>2.2000000000000002</v>
          </cell>
          <cell r="J45">
            <v>1.58</v>
          </cell>
          <cell r="K45">
            <v>1.56</v>
          </cell>
          <cell r="L45">
            <v>1.65</v>
          </cell>
          <cell r="M45">
            <v>1.88</v>
          </cell>
          <cell r="N45">
            <v>1.72</v>
          </cell>
          <cell r="O45">
            <v>1.71</v>
          </cell>
          <cell r="P45">
            <v>2.2599999999999998</v>
          </cell>
          <cell r="Q45">
            <v>1.86</v>
          </cell>
          <cell r="R45">
            <v>1.77</v>
          </cell>
          <cell r="S45">
            <v>1.88</v>
          </cell>
          <cell r="T45">
            <v>1.55</v>
          </cell>
          <cell r="U45">
            <v>1.55</v>
          </cell>
          <cell r="V45">
            <v>1.31</v>
          </cell>
          <cell r="W45">
            <v>1.42</v>
          </cell>
          <cell r="X45">
            <v>1.41</v>
          </cell>
          <cell r="Y45">
            <v>1.34</v>
          </cell>
          <cell r="Z45">
            <v>1.1499999999999999</v>
          </cell>
          <cell r="AA45">
            <v>1.45</v>
          </cell>
          <cell r="AB45">
            <v>1.57</v>
          </cell>
          <cell r="AC45">
            <v>1.35</v>
          </cell>
          <cell r="AD45">
            <v>1.06</v>
          </cell>
          <cell r="AE45">
            <v>1.05</v>
          </cell>
          <cell r="AF45">
            <v>1.05</v>
          </cell>
          <cell r="AG45">
            <v>1.07</v>
          </cell>
          <cell r="AH45">
            <v>1.1299999999999999</v>
          </cell>
          <cell r="AI45">
            <v>0.98</v>
          </cell>
          <cell r="AJ45">
            <v>0.85</v>
          </cell>
          <cell r="AK45">
            <v>0.95</v>
          </cell>
          <cell r="AL45">
            <v>1.04</v>
          </cell>
          <cell r="AM45">
            <v>1.23</v>
          </cell>
          <cell r="AN45">
            <v>1.31</v>
          </cell>
          <cell r="AO45">
            <v>1.26</v>
          </cell>
          <cell r="AP45">
            <v>1.17</v>
          </cell>
          <cell r="AQ45">
            <v>1.1599999999999999</v>
          </cell>
          <cell r="AR45">
            <v>1.05</v>
          </cell>
          <cell r="AS45">
            <v>1.05</v>
          </cell>
          <cell r="AT45">
            <v>1.06</v>
          </cell>
          <cell r="AU45">
            <v>1.17</v>
          </cell>
          <cell r="AV45">
            <v>1.19</v>
          </cell>
          <cell r="AW45">
            <v>1.18</v>
          </cell>
          <cell r="AX45">
            <v>1.25</v>
          </cell>
          <cell r="AY45">
            <v>2.2000000000000002</v>
          </cell>
          <cell r="AZ45">
            <v>3.36</v>
          </cell>
          <cell r="BA45">
            <v>4.2</v>
          </cell>
          <cell r="BB45">
            <v>2.4500000000000002</v>
          </cell>
          <cell r="BC45">
            <v>1.38</v>
          </cell>
          <cell r="BD45">
            <v>1.42</v>
          </cell>
          <cell r="BE45">
            <v>1.61</v>
          </cell>
          <cell r="BF45">
            <v>1.45</v>
          </cell>
          <cell r="BG45">
            <v>1.42</v>
          </cell>
          <cell r="BH45">
            <v>1.38</v>
          </cell>
          <cell r="BI45">
            <v>1.47</v>
          </cell>
          <cell r="BJ45">
            <v>2.1</v>
          </cell>
          <cell r="BK45">
            <v>2.99</v>
          </cell>
          <cell r="BL45">
            <v>1.93</v>
          </cell>
          <cell r="BM45">
            <v>2.04</v>
          </cell>
          <cell r="BN45">
            <v>1.68</v>
          </cell>
          <cell r="BO45">
            <v>1.86</v>
          </cell>
          <cell r="BP45">
            <v>1.89</v>
          </cell>
          <cell r="BQ45">
            <v>1.97</v>
          </cell>
          <cell r="BR45">
            <v>1.62</v>
          </cell>
          <cell r="BS45">
            <v>1.61</v>
          </cell>
          <cell r="BT45">
            <v>1.73</v>
          </cell>
          <cell r="BU45">
            <v>1.53</v>
          </cell>
          <cell r="BV45">
            <v>1.64</v>
          </cell>
          <cell r="BW45">
            <v>1.91</v>
          </cell>
          <cell r="BX45">
            <v>2</v>
          </cell>
          <cell r="BY45">
            <v>1.73</v>
          </cell>
          <cell r="BZ45">
            <v>1.58</v>
          </cell>
          <cell r="CA45">
            <v>1.45</v>
          </cell>
          <cell r="CB45">
            <v>1.43</v>
          </cell>
          <cell r="CC45">
            <v>1.9</v>
          </cell>
          <cell r="CD45">
            <v>1.85</v>
          </cell>
          <cell r="CE45">
            <v>1.92</v>
          </cell>
          <cell r="CF45">
            <v>2.12</v>
          </cell>
          <cell r="CG45">
            <v>2.48</v>
          </cell>
        </row>
        <row r="46">
          <cell r="A46" t="str">
            <v>NGI-SOCAL</v>
          </cell>
          <cell r="B46">
            <v>43</v>
          </cell>
          <cell r="C46">
            <v>2.42</v>
          </cell>
          <cell r="D46">
            <v>2.3199999999999998</v>
          </cell>
          <cell r="E46">
            <v>2.33</v>
          </cell>
          <cell r="F46">
            <v>1.82</v>
          </cell>
          <cell r="G46">
            <v>2.04</v>
          </cell>
          <cell r="H46">
            <v>2.1800000000000002</v>
          </cell>
          <cell r="I46">
            <v>2.58</v>
          </cell>
          <cell r="J46">
            <v>1.92</v>
          </cell>
          <cell r="K46">
            <v>2.04</v>
          </cell>
          <cell r="L46">
            <v>2.29</v>
          </cell>
          <cell r="M46">
            <v>2.4300000000000002</v>
          </cell>
          <cell r="N46">
            <v>2.2000000000000002</v>
          </cell>
          <cell r="O46">
            <v>2.0699999999999998</v>
          </cell>
          <cell r="P46">
            <v>2.5499999999999998</v>
          </cell>
          <cell r="Q46">
            <v>2.23</v>
          </cell>
          <cell r="R46">
            <v>2</v>
          </cell>
          <cell r="S46">
            <v>2.19</v>
          </cell>
          <cell r="T46">
            <v>1.93</v>
          </cell>
          <cell r="U46">
            <v>1.92</v>
          </cell>
          <cell r="V46">
            <v>1.66</v>
          </cell>
          <cell r="W46">
            <v>1.76</v>
          </cell>
          <cell r="X46">
            <v>1.74</v>
          </cell>
          <cell r="Y46">
            <v>1.64</v>
          </cell>
          <cell r="Z46">
            <v>1.4</v>
          </cell>
          <cell r="AA46">
            <v>1.69</v>
          </cell>
          <cell r="AB46">
            <v>1.85</v>
          </cell>
          <cell r="AC46">
            <v>1.66</v>
          </cell>
          <cell r="AD46">
            <v>1.27</v>
          </cell>
          <cell r="AE46">
            <v>1.23</v>
          </cell>
          <cell r="AF46">
            <v>1.25</v>
          </cell>
          <cell r="AG46">
            <v>1.34</v>
          </cell>
          <cell r="AH46">
            <v>1.38</v>
          </cell>
          <cell r="AI46">
            <v>1.25</v>
          </cell>
          <cell r="AJ46">
            <v>1.24</v>
          </cell>
          <cell r="AK46">
            <v>1.46</v>
          </cell>
          <cell r="AL46">
            <v>1.53</v>
          </cell>
          <cell r="AM46">
            <v>1.56</v>
          </cell>
          <cell r="AN46">
            <v>1.63</v>
          </cell>
          <cell r="AO46">
            <v>1.48</v>
          </cell>
          <cell r="AP46">
            <v>1.42</v>
          </cell>
          <cell r="AQ46">
            <v>1.39</v>
          </cell>
          <cell r="AR46">
            <v>1.29</v>
          </cell>
          <cell r="AS46">
            <v>1.29</v>
          </cell>
          <cell r="AT46">
            <v>1.37</v>
          </cell>
          <cell r="AU46">
            <v>1.69</v>
          </cell>
          <cell r="AV46">
            <v>2.16</v>
          </cell>
          <cell r="AW46">
            <v>1.72</v>
          </cell>
          <cell r="AX46">
            <v>1.73</v>
          </cell>
          <cell r="AY46">
            <v>2.62</v>
          </cell>
          <cell r="AZ46">
            <v>3.7</v>
          </cell>
          <cell r="BA46">
            <v>4.2699999999999996</v>
          </cell>
          <cell r="BB46">
            <v>2.65</v>
          </cell>
          <cell r="BC46">
            <v>1.61</v>
          </cell>
          <cell r="BD46">
            <v>1.74</v>
          </cell>
          <cell r="BE46">
            <v>2.0499999999999998</v>
          </cell>
          <cell r="BF46">
            <v>2.2000000000000002</v>
          </cell>
          <cell r="BG46">
            <v>2.19</v>
          </cell>
          <cell r="BH46">
            <v>2.2200000000000002</v>
          </cell>
          <cell r="BI46">
            <v>2.5</v>
          </cell>
          <cell r="BJ46">
            <v>3.08</v>
          </cell>
          <cell r="BK46">
            <v>3.34</v>
          </cell>
          <cell r="BL46">
            <v>2.36</v>
          </cell>
          <cell r="BM46">
            <v>2.2799999999999998</v>
          </cell>
          <cell r="BN46">
            <v>2.11</v>
          </cell>
        </row>
        <row r="47">
          <cell r="A47" t="str">
            <v>SONAT-LA</v>
          </cell>
          <cell r="B47">
            <v>44</v>
          </cell>
          <cell r="C47">
            <v>2.2599999999999998</v>
          </cell>
          <cell r="D47">
            <v>2.2000000000000002</v>
          </cell>
          <cell r="E47">
            <v>1.91</v>
          </cell>
          <cell r="F47">
            <v>1.61</v>
          </cell>
          <cell r="G47">
            <v>1.9</v>
          </cell>
          <cell r="H47">
            <v>2.1800000000000002</v>
          </cell>
          <cell r="I47">
            <v>2.6</v>
          </cell>
          <cell r="J47">
            <v>1.95</v>
          </cell>
          <cell r="K47">
            <v>1.9</v>
          </cell>
          <cell r="L47">
            <v>2.0499999999999998</v>
          </cell>
          <cell r="M47">
            <v>2.31</v>
          </cell>
          <cell r="N47">
            <v>1.95</v>
          </cell>
          <cell r="O47">
            <v>2.0499999999999998</v>
          </cell>
          <cell r="P47">
            <v>2.2999999999999998</v>
          </cell>
          <cell r="Q47">
            <v>2.0099999999999998</v>
          </cell>
          <cell r="R47">
            <v>2.31</v>
          </cell>
          <cell r="S47">
            <v>2.3199999999999998</v>
          </cell>
          <cell r="T47">
            <v>1.91</v>
          </cell>
          <cell r="U47">
            <v>1.92</v>
          </cell>
          <cell r="V47">
            <v>1.75</v>
          </cell>
          <cell r="W47">
            <v>1.85</v>
          </cell>
          <cell r="X47">
            <v>1.73</v>
          </cell>
          <cell r="Y47">
            <v>1.44</v>
          </cell>
          <cell r="Z47">
            <v>1.38</v>
          </cell>
          <cell r="AA47">
            <v>1.62</v>
          </cell>
          <cell r="AB47">
            <v>1.65</v>
          </cell>
          <cell r="AC47">
            <v>1.57</v>
          </cell>
          <cell r="AD47">
            <v>1.38</v>
          </cell>
          <cell r="AE47">
            <v>1.41</v>
          </cell>
          <cell r="AF47">
            <v>1.53</v>
          </cell>
          <cell r="AG47">
            <v>1.64</v>
          </cell>
          <cell r="AH47">
            <v>1.66</v>
          </cell>
          <cell r="AI47">
            <v>1.46</v>
          </cell>
          <cell r="AJ47">
            <v>1.34</v>
          </cell>
          <cell r="AK47">
            <v>1.54</v>
          </cell>
          <cell r="AL47">
            <v>1.61</v>
          </cell>
          <cell r="AM47">
            <v>1.76</v>
          </cell>
          <cell r="AN47">
            <v>2.2400000000000002</v>
          </cell>
          <cell r="AO47">
            <v>3.38</v>
          </cell>
          <cell r="AP47">
            <v>2.34</v>
          </cell>
          <cell r="AQ47">
            <v>2.84</v>
          </cell>
          <cell r="AR47">
            <v>2.65</v>
          </cell>
          <cell r="AS47">
            <v>2.17</v>
          </cell>
          <cell r="AT47">
            <v>2.2999999999999998</v>
          </cell>
          <cell r="AU47">
            <v>2.61</v>
          </cell>
          <cell r="AV47">
            <v>2.2599999999999998</v>
          </cell>
          <cell r="AW47">
            <v>1.74</v>
          </cell>
          <cell r="AX47">
            <v>1.78</v>
          </cell>
          <cell r="AY47">
            <v>2.66</v>
          </cell>
          <cell r="AZ47">
            <v>3.84</v>
          </cell>
          <cell r="BA47">
            <v>3.95</v>
          </cell>
          <cell r="BB47">
            <v>2.88</v>
          </cell>
          <cell r="BC47">
            <v>1.74</v>
          </cell>
          <cell r="BD47">
            <v>1.78</v>
          </cell>
          <cell r="BE47">
            <v>2.08</v>
          </cell>
          <cell r="BF47">
            <v>2.2799999999999998</v>
          </cell>
          <cell r="BG47">
            <v>2.1</v>
          </cell>
          <cell r="BH47">
            <v>2.14</v>
          </cell>
          <cell r="BI47">
            <v>2.5</v>
          </cell>
          <cell r="BJ47">
            <v>3.05</v>
          </cell>
          <cell r="BK47">
            <v>3.25</v>
          </cell>
          <cell r="BL47">
            <v>2.52</v>
          </cell>
          <cell r="BM47">
            <v>2.27</v>
          </cell>
          <cell r="BN47">
            <v>2.02</v>
          </cell>
          <cell r="BO47">
            <v>2.23</v>
          </cell>
          <cell r="BP47">
            <v>2.2799999999999998</v>
          </cell>
          <cell r="BQ47">
            <v>2.25</v>
          </cell>
          <cell r="BR47">
            <v>2.0099999999999998</v>
          </cell>
          <cell r="BS47">
            <v>2.35</v>
          </cell>
          <cell r="BT47">
            <v>1.91</v>
          </cell>
          <cell r="BU47">
            <v>1.6</v>
          </cell>
          <cell r="BV47">
            <v>2.02</v>
          </cell>
          <cell r="BW47">
            <v>1.96</v>
          </cell>
          <cell r="BX47">
            <v>2.09</v>
          </cell>
          <cell r="BY47">
            <v>1.76</v>
          </cell>
          <cell r="BZ47">
            <v>1.78</v>
          </cell>
          <cell r="CA47">
            <v>1.62</v>
          </cell>
          <cell r="CB47">
            <v>1.87</v>
          </cell>
          <cell r="CC47">
            <v>2.2999999999999998</v>
          </cell>
          <cell r="CD47">
            <v>2.21</v>
          </cell>
          <cell r="CE47">
            <v>2.2599999999999998</v>
          </cell>
          <cell r="CF47">
            <v>2.6</v>
          </cell>
          <cell r="CG47">
            <v>2.87</v>
          </cell>
        </row>
        <row r="48">
          <cell r="A48" t="str">
            <v>TANG</v>
          </cell>
          <cell r="B48">
            <v>45</v>
          </cell>
          <cell r="C48">
            <v>2.2090000000000001</v>
          </cell>
          <cell r="D48">
            <v>2.1240000000000001</v>
          </cell>
          <cell r="E48">
            <v>1.85</v>
          </cell>
          <cell r="F48">
            <v>1.5489999999999999</v>
          </cell>
          <cell r="G48">
            <v>1.806</v>
          </cell>
          <cell r="H48">
            <v>2.109</v>
          </cell>
          <cell r="I48">
            <v>2.581</v>
          </cell>
          <cell r="J48">
            <v>1.927</v>
          </cell>
          <cell r="K48">
            <v>1.8540000000000001</v>
          </cell>
          <cell r="L48">
            <v>2.0030000000000001</v>
          </cell>
          <cell r="M48">
            <v>2.2959999999999998</v>
          </cell>
          <cell r="N48">
            <v>1.9379999999999999</v>
          </cell>
          <cell r="O48">
            <v>2.0230000000000001</v>
          </cell>
          <cell r="P48">
            <v>2.3010000000000002</v>
          </cell>
          <cell r="Q48">
            <v>1.9690000000000001</v>
          </cell>
          <cell r="R48">
            <v>2.1930000000000001</v>
          </cell>
          <cell r="S48">
            <v>2.198</v>
          </cell>
          <cell r="T48">
            <v>1.871</v>
          </cell>
          <cell r="U48">
            <v>1.9670000000000001</v>
          </cell>
          <cell r="V48">
            <v>1.7090000000000001</v>
          </cell>
          <cell r="W48">
            <v>1.86</v>
          </cell>
          <cell r="X48">
            <v>1.7</v>
          </cell>
          <cell r="Y48">
            <v>1.397</v>
          </cell>
          <cell r="Z48">
            <v>1.333</v>
          </cell>
          <cell r="AA48">
            <v>1.5920000000000001</v>
          </cell>
          <cell r="AB48">
            <v>1.601</v>
          </cell>
          <cell r="AC48">
            <v>1.514</v>
          </cell>
          <cell r="AD48">
            <v>1.3120000000000001</v>
          </cell>
          <cell r="AE48">
            <v>1.3380000000000001</v>
          </cell>
          <cell r="AF48">
            <v>1.4610000000000001</v>
          </cell>
          <cell r="AG48">
            <v>1.577</v>
          </cell>
          <cell r="AH48">
            <v>1.6180000000000001</v>
          </cell>
          <cell r="AI48">
            <v>1.399</v>
          </cell>
          <cell r="AJ48">
            <v>1.288</v>
          </cell>
          <cell r="AK48">
            <v>1.4810000000000001</v>
          </cell>
          <cell r="AL48">
            <v>1.544</v>
          </cell>
          <cell r="AM48">
            <v>1.6779999999999999</v>
          </cell>
          <cell r="AN48">
            <v>2.0640000000000001</v>
          </cell>
          <cell r="AO48">
            <v>2.0859999999999999</v>
          </cell>
          <cell r="AP48">
            <v>1.806</v>
          </cell>
          <cell r="AQ48">
            <v>1.92</v>
          </cell>
          <cell r="AR48">
            <v>2.2050000000000001</v>
          </cell>
          <cell r="AS48">
            <v>2.1040000000000001</v>
          </cell>
          <cell r="AT48">
            <v>2.2410000000000001</v>
          </cell>
          <cell r="AU48">
            <v>2.5099999999999998</v>
          </cell>
          <cell r="AV48">
            <v>2.1619999999999999</v>
          </cell>
          <cell r="AW48">
            <v>1.6859999999999999</v>
          </cell>
          <cell r="AX48">
            <v>1.7270000000000001</v>
          </cell>
          <cell r="AY48">
            <v>2.5539999999999998</v>
          </cell>
          <cell r="AZ48">
            <v>3.6459999999999999</v>
          </cell>
          <cell r="BA48">
            <v>3.7229999999999999</v>
          </cell>
          <cell r="BB48">
            <v>2.706</v>
          </cell>
          <cell r="BC48">
            <v>1.62</v>
          </cell>
          <cell r="BD48">
            <v>1.716</v>
          </cell>
          <cell r="BE48">
            <v>2.0179999999999998</v>
          </cell>
        </row>
        <row r="49">
          <cell r="A49" t="str">
            <v>TENN-Z0</v>
          </cell>
          <cell r="B49">
            <v>46</v>
          </cell>
          <cell r="C49">
            <v>2.2799999999999998</v>
          </cell>
          <cell r="D49">
            <v>2.12</v>
          </cell>
          <cell r="E49">
            <v>1.82</v>
          </cell>
          <cell r="F49">
            <v>1.54</v>
          </cell>
          <cell r="G49">
            <v>1.8</v>
          </cell>
          <cell r="H49">
            <v>2.1</v>
          </cell>
          <cell r="I49">
            <v>2.58</v>
          </cell>
          <cell r="J49">
            <v>1.83</v>
          </cell>
          <cell r="K49">
            <v>1.73</v>
          </cell>
          <cell r="L49">
            <v>1.89</v>
          </cell>
          <cell r="M49">
            <v>2.23</v>
          </cell>
          <cell r="N49">
            <v>1.88</v>
          </cell>
          <cell r="O49">
            <v>2.02</v>
          </cell>
          <cell r="P49">
            <v>2.29</v>
          </cell>
          <cell r="Q49">
            <v>1.94</v>
          </cell>
          <cell r="R49">
            <v>2.1800000000000002</v>
          </cell>
          <cell r="S49">
            <v>2.17</v>
          </cell>
          <cell r="T49">
            <v>1.85</v>
          </cell>
          <cell r="U49">
            <v>1.98</v>
          </cell>
          <cell r="V49">
            <v>1.7</v>
          </cell>
          <cell r="W49">
            <v>1.84</v>
          </cell>
          <cell r="X49">
            <v>1.68</v>
          </cell>
          <cell r="Y49">
            <v>1.38</v>
          </cell>
          <cell r="Z49">
            <v>1.33</v>
          </cell>
          <cell r="AA49">
            <v>1.62</v>
          </cell>
          <cell r="AB49">
            <v>1.6</v>
          </cell>
          <cell r="AC49">
            <v>1.5</v>
          </cell>
          <cell r="AD49">
            <v>1.32</v>
          </cell>
          <cell r="AE49">
            <v>1.35</v>
          </cell>
          <cell r="AF49">
            <v>1.47</v>
          </cell>
          <cell r="AG49">
            <v>1.58</v>
          </cell>
          <cell r="AH49">
            <v>1.63</v>
          </cell>
          <cell r="AI49">
            <v>1.4</v>
          </cell>
          <cell r="AJ49">
            <v>1.28</v>
          </cell>
          <cell r="AK49">
            <v>1.48</v>
          </cell>
          <cell r="AL49">
            <v>1.56</v>
          </cell>
          <cell r="AM49">
            <v>1.7</v>
          </cell>
          <cell r="AN49">
            <v>2.08</v>
          </cell>
          <cell r="AO49">
            <v>2.11</v>
          </cell>
          <cell r="AP49">
            <v>1.8</v>
          </cell>
          <cell r="AQ49">
            <v>1.97</v>
          </cell>
          <cell r="AR49">
            <v>2.2200000000000002</v>
          </cell>
          <cell r="AS49">
            <v>2.11</v>
          </cell>
          <cell r="AT49">
            <v>2.2599999999999998</v>
          </cell>
          <cell r="AU49">
            <v>2.5299999999999998</v>
          </cell>
          <cell r="AV49">
            <v>2.19</v>
          </cell>
          <cell r="AW49">
            <v>1.69</v>
          </cell>
          <cell r="AX49">
            <v>1.73</v>
          </cell>
          <cell r="AY49">
            <v>2.59</v>
          </cell>
          <cell r="AZ49">
            <v>3.68</v>
          </cell>
          <cell r="BA49">
            <v>3.82</v>
          </cell>
          <cell r="BB49">
            <v>2.73</v>
          </cell>
          <cell r="BC49">
            <v>1.62</v>
          </cell>
          <cell r="BD49">
            <v>1.74</v>
          </cell>
          <cell r="BE49">
            <v>2.02</v>
          </cell>
          <cell r="BF49">
            <v>2.23</v>
          </cell>
          <cell r="BG49">
            <v>2.06</v>
          </cell>
          <cell r="BH49">
            <v>2.1</v>
          </cell>
          <cell r="BI49">
            <v>2.4300000000000002</v>
          </cell>
          <cell r="BJ49">
            <v>2.99</v>
          </cell>
          <cell r="BK49">
            <v>3.17</v>
          </cell>
          <cell r="BL49">
            <v>2.36</v>
          </cell>
          <cell r="BM49">
            <v>2.14</v>
          </cell>
          <cell r="BN49">
            <v>1.92</v>
          </cell>
          <cell r="BO49">
            <v>2.16</v>
          </cell>
          <cell r="BP49">
            <v>2.2200000000000002</v>
          </cell>
          <cell r="BQ49">
            <v>2.2000000000000002</v>
          </cell>
          <cell r="BR49">
            <v>1.95</v>
          </cell>
          <cell r="BS49">
            <v>2.27</v>
          </cell>
          <cell r="BT49">
            <v>1.83</v>
          </cell>
          <cell r="BU49">
            <v>1.53</v>
          </cell>
          <cell r="BV49">
            <v>1.92</v>
          </cell>
          <cell r="BW49">
            <v>1.89</v>
          </cell>
          <cell r="BX49">
            <v>2.02</v>
          </cell>
          <cell r="BY49">
            <v>1.69</v>
          </cell>
          <cell r="BZ49">
            <v>1.74</v>
          </cell>
          <cell r="CA49">
            <v>1.56</v>
          </cell>
          <cell r="CB49">
            <v>1.83</v>
          </cell>
          <cell r="CC49">
            <v>2.2799999999999998</v>
          </cell>
          <cell r="CD49">
            <v>2.14</v>
          </cell>
          <cell r="CE49">
            <v>2.19</v>
          </cell>
          <cell r="CF49">
            <v>2.5299999999999998</v>
          </cell>
          <cell r="CG49">
            <v>2.8</v>
          </cell>
        </row>
        <row r="50">
          <cell r="A50" t="str">
            <v>TENN-Z1</v>
          </cell>
          <cell r="B50">
            <v>47</v>
          </cell>
          <cell r="C50">
            <v>2.2999999999999998</v>
          </cell>
          <cell r="D50">
            <v>2.1800000000000002</v>
          </cell>
          <cell r="E50">
            <v>1.88</v>
          </cell>
          <cell r="F50">
            <v>1.59</v>
          </cell>
          <cell r="G50">
            <v>1.84</v>
          </cell>
          <cell r="H50">
            <v>2.14</v>
          </cell>
          <cell r="I50">
            <v>2.6</v>
          </cell>
          <cell r="J50">
            <v>1.86</v>
          </cell>
          <cell r="K50">
            <v>1.81</v>
          </cell>
          <cell r="L50">
            <v>1.95</v>
          </cell>
          <cell r="M50">
            <v>2.27</v>
          </cell>
          <cell r="N50">
            <v>1.92</v>
          </cell>
          <cell r="O50">
            <v>2.0499999999999998</v>
          </cell>
          <cell r="P50">
            <v>2.33</v>
          </cell>
          <cell r="Q50">
            <v>1.98</v>
          </cell>
          <cell r="R50">
            <v>2.31</v>
          </cell>
          <cell r="S50">
            <v>2.3199999999999998</v>
          </cell>
          <cell r="T50">
            <v>1.92</v>
          </cell>
          <cell r="U50">
            <v>2</v>
          </cell>
          <cell r="V50">
            <v>1.73</v>
          </cell>
          <cell r="W50">
            <v>1.87</v>
          </cell>
          <cell r="X50">
            <v>1.7</v>
          </cell>
          <cell r="Y50">
            <v>1.4</v>
          </cell>
          <cell r="Z50">
            <v>1.35</v>
          </cell>
          <cell r="AA50">
            <v>1.62</v>
          </cell>
          <cell r="AB50">
            <v>1.64</v>
          </cell>
          <cell r="AC50">
            <v>1.57</v>
          </cell>
          <cell r="AD50">
            <v>1.37</v>
          </cell>
          <cell r="AE50">
            <v>1.42</v>
          </cell>
          <cell r="AF50">
            <v>1.5</v>
          </cell>
          <cell r="AG50">
            <v>1.6</v>
          </cell>
          <cell r="AH50">
            <v>1.64</v>
          </cell>
          <cell r="AI50">
            <v>1.42</v>
          </cell>
          <cell r="AJ50">
            <v>1.3</v>
          </cell>
          <cell r="AK50">
            <v>1.5</v>
          </cell>
          <cell r="AL50">
            <v>1.58</v>
          </cell>
          <cell r="AM50">
            <v>1.73</v>
          </cell>
          <cell r="AN50">
            <v>2.2400000000000002</v>
          </cell>
          <cell r="AO50">
            <v>3.25</v>
          </cell>
          <cell r="AP50">
            <v>2.33</v>
          </cell>
          <cell r="AQ50">
            <v>2.81</v>
          </cell>
          <cell r="AR50">
            <v>2.58</v>
          </cell>
          <cell r="AS50">
            <v>2.1</v>
          </cell>
          <cell r="AT50">
            <v>2.2799999999999998</v>
          </cell>
          <cell r="AU50">
            <v>2.57</v>
          </cell>
          <cell r="AV50">
            <v>2.2200000000000002</v>
          </cell>
          <cell r="AW50">
            <v>1.72</v>
          </cell>
          <cell r="AX50">
            <v>1.75</v>
          </cell>
          <cell r="AY50">
            <v>2.63</v>
          </cell>
          <cell r="AZ50">
            <v>3.73</v>
          </cell>
          <cell r="BA50">
            <v>3.84</v>
          </cell>
          <cell r="BB50">
            <v>2.79</v>
          </cell>
          <cell r="BC50">
            <v>1.66</v>
          </cell>
          <cell r="BD50">
            <v>1.76</v>
          </cell>
          <cell r="BE50">
            <v>2.04</v>
          </cell>
          <cell r="BF50">
            <v>2.2400000000000002</v>
          </cell>
          <cell r="BG50">
            <v>2.0699999999999998</v>
          </cell>
          <cell r="BH50">
            <v>2.11</v>
          </cell>
          <cell r="BI50">
            <v>2.46</v>
          </cell>
          <cell r="BJ50">
            <v>3.02</v>
          </cell>
          <cell r="BK50">
            <v>3.2</v>
          </cell>
          <cell r="BL50">
            <v>2.4500000000000002</v>
          </cell>
          <cell r="BM50">
            <v>2.19</v>
          </cell>
          <cell r="BN50">
            <v>1.93</v>
          </cell>
          <cell r="BO50">
            <v>2.19</v>
          </cell>
          <cell r="BP50">
            <v>2.2400000000000002</v>
          </cell>
          <cell r="BQ50">
            <v>2.21</v>
          </cell>
          <cell r="BR50">
            <v>1.96</v>
          </cell>
          <cell r="BS50">
            <v>2.29</v>
          </cell>
          <cell r="BT50">
            <v>1.85</v>
          </cell>
          <cell r="BU50">
            <v>1.53</v>
          </cell>
          <cell r="BV50">
            <v>1.95</v>
          </cell>
          <cell r="BW50">
            <v>1.93</v>
          </cell>
          <cell r="BX50">
            <v>2.0499999999999998</v>
          </cell>
          <cell r="BY50">
            <v>1.71</v>
          </cell>
          <cell r="BZ50">
            <v>1.75</v>
          </cell>
          <cell r="CA50">
            <v>1.57</v>
          </cell>
          <cell r="CB50">
            <v>1.84</v>
          </cell>
          <cell r="CC50">
            <v>2.2999999999999998</v>
          </cell>
          <cell r="CD50">
            <v>2.16</v>
          </cell>
          <cell r="CE50">
            <v>2.21</v>
          </cell>
          <cell r="CF50">
            <v>2.54</v>
          </cell>
          <cell r="CG50">
            <v>2.83</v>
          </cell>
        </row>
        <row r="51">
          <cell r="A51" t="str">
            <v>TET-ELA</v>
          </cell>
          <cell r="B51">
            <v>48</v>
          </cell>
          <cell r="L51">
            <v>2.0499999999999998</v>
          </cell>
          <cell r="M51">
            <v>2.35</v>
          </cell>
          <cell r="N51">
            <v>2</v>
          </cell>
          <cell r="O51">
            <v>2.1</v>
          </cell>
          <cell r="P51">
            <v>2.35</v>
          </cell>
          <cell r="Q51">
            <v>2</v>
          </cell>
          <cell r="R51">
            <v>2.35</v>
          </cell>
          <cell r="S51">
            <v>2.35</v>
          </cell>
          <cell r="T51">
            <v>1.96</v>
          </cell>
          <cell r="U51">
            <v>2.0499999999999998</v>
          </cell>
          <cell r="V51">
            <v>1.81</v>
          </cell>
          <cell r="W51">
            <v>1.93</v>
          </cell>
          <cell r="X51">
            <v>1.76</v>
          </cell>
          <cell r="Y51">
            <v>1.45</v>
          </cell>
          <cell r="Z51">
            <v>1.38</v>
          </cell>
          <cell r="AA51">
            <v>1.66</v>
          </cell>
          <cell r="AB51">
            <v>1.65</v>
          </cell>
          <cell r="AC51">
            <v>1.59</v>
          </cell>
          <cell r="AD51">
            <v>1.4</v>
          </cell>
          <cell r="AE51">
            <v>1.43</v>
          </cell>
          <cell r="AF51">
            <v>1.54</v>
          </cell>
          <cell r="AG51">
            <v>1.65</v>
          </cell>
          <cell r="AH51">
            <v>1.69</v>
          </cell>
          <cell r="AI51">
            <v>1.46</v>
          </cell>
          <cell r="AJ51">
            <v>1.34</v>
          </cell>
          <cell r="AK51">
            <v>1.54</v>
          </cell>
          <cell r="AL51">
            <v>1.61</v>
          </cell>
          <cell r="AM51">
            <v>1.76</v>
          </cell>
          <cell r="AN51">
            <v>2.2599999999999998</v>
          </cell>
          <cell r="AO51">
            <v>3.5</v>
          </cell>
          <cell r="AP51">
            <v>2.5</v>
          </cell>
          <cell r="AQ51">
            <v>2.92</v>
          </cell>
          <cell r="AR51">
            <v>2.65</v>
          </cell>
          <cell r="AS51">
            <v>2.1800000000000002</v>
          </cell>
          <cell r="AT51">
            <v>2.34</v>
          </cell>
          <cell r="AU51">
            <v>2.61</v>
          </cell>
          <cell r="AV51">
            <v>2.25</v>
          </cell>
          <cell r="AW51">
            <v>1.73</v>
          </cell>
          <cell r="AX51">
            <v>1.78</v>
          </cell>
          <cell r="AY51">
            <v>2.65</v>
          </cell>
          <cell r="AZ51">
            <v>3.83</v>
          </cell>
          <cell r="BA51">
            <v>3.9</v>
          </cell>
          <cell r="BB51">
            <v>2.85</v>
          </cell>
          <cell r="BC51">
            <v>1.7</v>
          </cell>
          <cell r="BD51">
            <v>1.78</v>
          </cell>
          <cell r="BE51">
            <v>2.0699999999999998</v>
          </cell>
          <cell r="BF51">
            <v>2.2400000000000002</v>
          </cell>
          <cell r="BG51">
            <v>2.1</v>
          </cell>
          <cell r="BH51">
            <v>2.13</v>
          </cell>
          <cell r="BI51">
            <v>2.48</v>
          </cell>
          <cell r="BJ51">
            <v>3.04</v>
          </cell>
          <cell r="BK51">
            <v>3.23</v>
          </cell>
          <cell r="BL51">
            <v>2.48</v>
          </cell>
          <cell r="BM51">
            <v>2.2200000000000002</v>
          </cell>
          <cell r="BN51">
            <v>1.97</v>
          </cell>
          <cell r="BO51">
            <v>2.2000000000000002</v>
          </cell>
          <cell r="BP51">
            <v>2.2599999999999998</v>
          </cell>
          <cell r="BQ51">
            <v>2.23</v>
          </cell>
          <cell r="BR51">
            <v>1.98</v>
          </cell>
          <cell r="BS51">
            <v>2.31</v>
          </cell>
          <cell r="BT51">
            <v>1.87</v>
          </cell>
          <cell r="BU51">
            <v>1.56</v>
          </cell>
          <cell r="BV51">
            <v>1.98</v>
          </cell>
          <cell r="BW51">
            <v>1.96</v>
          </cell>
          <cell r="BX51">
            <v>2.0499999999999998</v>
          </cell>
          <cell r="BY51">
            <v>1.72</v>
          </cell>
          <cell r="BZ51">
            <v>1.77</v>
          </cell>
          <cell r="CA51">
            <v>1.58</v>
          </cell>
          <cell r="CB51">
            <v>1.86</v>
          </cell>
          <cell r="CC51">
            <v>2.3199999999999998</v>
          </cell>
          <cell r="CD51">
            <v>2.1800000000000002</v>
          </cell>
          <cell r="CE51">
            <v>2.23</v>
          </cell>
          <cell r="CF51">
            <v>2.57</v>
          </cell>
          <cell r="CG51">
            <v>2.82</v>
          </cell>
        </row>
        <row r="52">
          <cell r="A52" t="str">
            <v>TET-ETX</v>
          </cell>
          <cell r="B52">
            <v>49</v>
          </cell>
          <cell r="L52">
            <v>2.02</v>
          </cell>
          <cell r="M52">
            <v>2.31</v>
          </cell>
          <cell r="N52">
            <v>1.96</v>
          </cell>
          <cell r="O52">
            <v>2.0499999999999998</v>
          </cell>
          <cell r="P52">
            <v>2.3199999999999998</v>
          </cell>
          <cell r="Q52">
            <v>1.95</v>
          </cell>
          <cell r="R52">
            <v>2.25</v>
          </cell>
          <cell r="S52">
            <v>2.2400000000000002</v>
          </cell>
          <cell r="T52">
            <v>1.9</v>
          </cell>
          <cell r="U52">
            <v>1.98</v>
          </cell>
          <cell r="V52">
            <v>1.74</v>
          </cell>
          <cell r="W52">
            <v>1.88</v>
          </cell>
          <cell r="X52">
            <v>1.73</v>
          </cell>
          <cell r="Y52">
            <v>1.41</v>
          </cell>
          <cell r="Z52">
            <v>1.34</v>
          </cell>
          <cell r="AA52">
            <v>1.6</v>
          </cell>
          <cell r="AB52">
            <v>1.6</v>
          </cell>
          <cell r="AC52">
            <v>1.54</v>
          </cell>
          <cell r="AD52">
            <v>1.33</v>
          </cell>
          <cell r="AE52">
            <v>1.35</v>
          </cell>
          <cell r="AF52">
            <v>1.48</v>
          </cell>
          <cell r="AG52">
            <v>1.6</v>
          </cell>
          <cell r="AH52">
            <v>1.64</v>
          </cell>
          <cell r="AI52">
            <v>1.41</v>
          </cell>
          <cell r="AJ52">
            <v>1.3</v>
          </cell>
          <cell r="AK52">
            <v>1.5</v>
          </cell>
          <cell r="AL52">
            <v>1.58</v>
          </cell>
          <cell r="AM52">
            <v>1.7</v>
          </cell>
          <cell r="AN52">
            <v>2.11</v>
          </cell>
          <cell r="AO52">
            <v>2.0499999999999998</v>
          </cell>
          <cell r="AP52">
            <v>1.82</v>
          </cell>
          <cell r="AQ52">
            <v>1.96</v>
          </cell>
          <cell r="AR52">
            <v>2.23</v>
          </cell>
          <cell r="AS52">
            <v>2.13</v>
          </cell>
          <cell r="AT52">
            <v>2.25</v>
          </cell>
          <cell r="AU52">
            <v>2.56</v>
          </cell>
          <cell r="AV52">
            <v>2.19</v>
          </cell>
          <cell r="AW52">
            <v>1.69</v>
          </cell>
          <cell r="AX52">
            <v>1.73</v>
          </cell>
          <cell r="AY52">
            <v>2.61</v>
          </cell>
          <cell r="AZ52">
            <v>3.69</v>
          </cell>
          <cell r="BA52">
            <v>3.92</v>
          </cell>
          <cell r="BB52">
            <v>2.75</v>
          </cell>
          <cell r="BC52">
            <v>1.63</v>
          </cell>
          <cell r="BD52">
            <v>1.73</v>
          </cell>
          <cell r="BE52">
            <v>2.0299999999999998</v>
          </cell>
          <cell r="BF52">
            <v>2.2000000000000002</v>
          </cell>
          <cell r="BG52">
            <v>2.06</v>
          </cell>
          <cell r="BH52">
            <v>2.1</v>
          </cell>
          <cell r="BI52">
            <v>2.4500000000000002</v>
          </cell>
          <cell r="BJ52">
            <v>2.93</v>
          </cell>
          <cell r="BK52">
            <v>3.17</v>
          </cell>
          <cell r="BL52">
            <v>2.38</v>
          </cell>
          <cell r="BM52">
            <v>2.16</v>
          </cell>
          <cell r="BN52">
            <v>1.92</v>
          </cell>
          <cell r="BO52">
            <v>2.16</v>
          </cell>
          <cell r="BP52">
            <v>2.2200000000000002</v>
          </cell>
          <cell r="BQ52">
            <v>2.2200000000000002</v>
          </cell>
          <cell r="BR52">
            <v>1.95</v>
          </cell>
          <cell r="BS52">
            <v>2.2799999999999998</v>
          </cell>
          <cell r="BT52">
            <v>1.88</v>
          </cell>
          <cell r="BU52">
            <v>1.54</v>
          </cell>
          <cell r="BV52">
            <v>1.95</v>
          </cell>
          <cell r="BW52">
            <v>1.91</v>
          </cell>
          <cell r="BX52">
            <v>2.0299999999999998</v>
          </cell>
          <cell r="BY52">
            <v>1.68</v>
          </cell>
          <cell r="BZ52">
            <v>1.74</v>
          </cell>
          <cell r="CA52">
            <v>1.56</v>
          </cell>
          <cell r="CB52">
            <v>1.81</v>
          </cell>
          <cell r="CC52">
            <v>2.29</v>
          </cell>
          <cell r="CD52">
            <v>2.15</v>
          </cell>
          <cell r="CE52">
            <v>2.2000000000000002</v>
          </cell>
          <cell r="CF52">
            <v>2.5299999999999998</v>
          </cell>
          <cell r="CG52">
            <v>2.79</v>
          </cell>
        </row>
        <row r="53">
          <cell r="A53" t="str">
            <v>TET-STX</v>
          </cell>
          <cell r="B53">
            <v>50</v>
          </cell>
          <cell r="L53">
            <v>2.04</v>
          </cell>
          <cell r="M53">
            <v>2.31</v>
          </cell>
          <cell r="N53">
            <v>1.96</v>
          </cell>
          <cell r="O53">
            <v>2.0699999999999998</v>
          </cell>
          <cell r="P53">
            <v>2.3199999999999998</v>
          </cell>
          <cell r="Q53">
            <v>1.94</v>
          </cell>
          <cell r="R53">
            <v>2.2000000000000002</v>
          </cell>
          <cell r="S53">
            <v>2.1800000000000002</v>
          </cell>
          <cell r="T53">
            <v>1.87</v>
          </cell>
          <cell r="U53">
            <v>1.99</v>
          </cell>
          <cell r="V53">
            <v>1.73</v>
          </cell>
          <cell r="W53">
            <v>1.88</v>
          </cell>
          <cell r="X53">
            <v>1.71</v>
          </cell>
          <cell r="Y53">
            <v>1.41</v>
          </cell>
          <cell r="Z53">
            <v>1.34</v>
          </cell>
          <cell r="AA53">
            <v>1.6</v>
          </cell>
          <cell r="AB53">
            <v>1.61</v>
          </cell>
          <cell r="AC53">
            <v>1.53</v>
          </cell>
          <cell r="AD53">
            <v>1.32</v>
          </cell>
          <cell r="AE53">
            <v>1.36</v>
          </cell>
          <cell r="AF53">
            <v>1.47</v>
          </cell>
          <cell r="AG53">
            <v>1.58</v>
          </cell>
          <cell r="AH53">
            <v>1.62</v>
          </cell>
          <cell r="AI53">
            <v>1.41</v>
          </cell>
          <cell r="AJ53">
            <v>1.29</v>
          </cell>
          <cell r="AK53">
            <v>1.48</v>
          </cell>
          <cell r="AL53">
            <v>1.56</v>
          </cell>
          <cell r="AM53">
            <v>1.69</v>
          </cell>
          <cell r="AN53">
            <v>2.09</v>
          </cell>
          <cell r="AO53">
            <v>2.1</v>
          </cell>
          <cell r="AP53">
            <v>1.78</v>
          </cell>
          <cell r="AQ53">
            <v>1.95</v>
          </cell>
          <cell r="AR53">
            <v>2.2200000000000002</v>
          </cell>
          <cell r="AS53">
            <v>2.12</v>
          </cell>
          <cell r="AT53">
            <v>2.2400000000000002</v>
          </cell>
          <cell r="AU53">
            <v>2.54</v>
          </cell>
          <cell r="AV53">
            <v>2.2000000000000002</v>
          </cell>
          <cell r="AW53">
            <v>1.69</v>
          </cell>
          <cell r="AX53">
            <v>1.73</v>
          </cell>
          <cell r="AY53">
            <v>2.6</v>
          </cell>
          <cell r="AZ53">
            <v>3.68</v>
          </cell>
          <cell r="BA53">
            <v>3.8</v>
          </cell>
          <cell r="BB53">
            <v>2.73</v>
          </cell>
          <cell r="BC53">
            <v>1.62</v>
          </cell>
          <cell r="BD53">
            <v>1.75</v>
          </cell>
          <cell r="BE53">
            <v>2.0299999999999998</v>
          </cell>
          <cell r="BF53">
            <v>2.21</v>
          </cell>
          <cell r="BG53">
            <v>2.0699999999999998</v>
          </cell>
          <cell r="BH53">
            <v>2.1</v>
          </cell>
          <cell r="BI53">
            <v>2.44</v>
          </cell>
          <cell r="BJ53">
            <v>2.96</v>
          </cell>
          <cell r="BK53">
            <v>3.16</v>
          </cell>
          <cell r="BL53">
            <v>2.33</v>
          </cell>
          <cell r="BM53">
            <v>2.15</v>
          </cell>
          <cell r="BN53">
            <v>1.92</v>
          </cell>
          <cell r="BO53">
            <v>2.15</v>
          </cell>
          <cell r="BP53">
            <v>2.21</v>
          </cell>
          <cell r="BQ53">
            <v>2.19</v>
          </cell>
          <cell r="BR53">
            <v>1.95</v>
          </cell>
          <cell r="BS53">
            <v>2.2799999999999998</v>
          </cell>
          <cell r="BT53">
            <v>1.85</v>
          </cell>
          <cell r="BU53">
            <v>1.52</v>
          </cell>
          <cell r="BV53">
            <v>1.94</v>
          </cell>
          <cell r="BW53">
            <v>1.92</v>
          </cell>
          <cell r="BX53">
            <v>2.02</v>
          </cell>
          <cell r="BY53">
            <v>1.69</v>
          </cell>
          <cell r="BZ53">
            <v>1.74</v>
          </cell>
          <cell r="CA53">
            <v>1.556</v>
          </cell>
          <cell r="CB53">
            <v>1.81</v>
          </cell>
          <cell r="CC53">
            <v>2.2799999999999998</v>
          </cell>
          <cell r="CD53">
            <v>2.14</v>
          </cell>
          <cell r="CE53">
            <v>2.1800000000000002</v>
          </cell>
          <cell r="CF53">
            <v>2.52</v>
          </cell>
          <cell r="CG53">
            <v>2.8</v>
          </cell>
        </row>
        <row r="54">
          <cell r="A54" t="str">
            <v>TET-WLA</v>
          </cell>
          <cell r="B54">
            <v>51</v>
          </cell>
          <cell r="L54">
            <v>2.0499999999999998</v>
          </cell>
          <cell r="M54">
            <v>2.33</v>
          </cell>
          <cell r="N54">
            <v>2</v>
          </cell>
          <cell r="O54">
            <v>2.09</v>
          </cell>
          <cell r="P54">
            <v>2.34</v>
          </cell>
          <cell r="Q54">
            <v>2</v>
          </cell>
          <cell r="R54">
            <v>2.3199999999999998</v>
          </cell>
          <cell r="S54">
            <v>2.3199999999999998</v>
          </cell>
          <cell r="T54">
            <v>1.94</v>
          </cell>
          <cell r="U54">
            <v>2.04</v>
          </cell>
          <cell r="V54">
            <v>1.8</v>
          </cell>
          <cell r="W54">
            <v>1.92</v>
          </cell>
          <cell r="X54">
            <v>1.75</v>
          </cell>
          <cell r="Y54">
            <v>1.44</v>
          </cell>
          <cell r="Z54">
            <v>1.37</v>
          </cell>
          <cell r="AA54">
            <v>1.65</v>
          </cell>
          <cell r="AB54">
            <v>1.63</v>
          </cell>
          <cell r="AC54">
            <v>1.56</v>
          </cell>
          <cell r="AD54">
            <v>1.36</v>
          </cell>
          <cell r="AE54">
            <v>1.4</v>
          </cell>
          <cell r="AF54">
            <v>1.51</v>
          </cell>
          <cell r="AG54">
            <v>1.63</v>
          </cell>
          <cell r="AH54">
            <v>1.68</v>
          </cell>
          <cell r="AI54">
            <v>1.44</v>
          </cell>
          <cell r="AJ54">
            <v>1.33</v>
          </cell>
          <cell r="AK54">
            <v>1.52</v>
          </cell>
          <cell r="AL54">
            <v>1.59</v>
          </cell>
          <cell r="AM54">
            <v>1.74</v>
          </cell>
          <cell r="AN54">
            <v>2.2200000000000002</v>
          </cell>
          <cell r="AO54">
            <v>2.85</v>
          </cell>
          <cell r="AP54">
            <v>2.2000000000000002</v>
          </cell>
          <cell r="AQ54">
            <v>2.73</v>
          </cell>
          <cell r="AR54">
            <v>2.56</v>
          </cell>
          <cell r="AS54">
            <v>2.16</v>
          </cell>
          <cell r="AT54">
            <v>2.31</v>
          </cell>
          <cell r="AU54">
            <v>2.58</v>
          </cell>
          <cell r="AV54">
            <v>2.2200000000000002</v>
          </cell>
          <cell r="AW54">
            <v>1.72</v>
          </cell>
          <cell r="AX54">
            <v>1.77</v>
          </cell>
          <cell r="AY54">
            <v>2.64</v>
          </cell>
          <cell r="AZ54">
            <v>3.81</v>
          </cell>
          <cell r="BA54">
            <v>3.87</v>
          </cell>
          <cell r="BB54">
            <v>2.83</v>
          </cell>
          <cell r="BC54">
            <v>1.68</v>
          </cell>
          <cell r="BD54">
            <v>1.75</v>
          </cell>
          <cell r="BE54">
            <v>2.0499999999999998</v>
          </cell>
          <cell r="BF54">
            <v>2.23</v>
          </cell>
          <cell r="BG54">
            <v>2.08</v>
          </cell>
          <cell r="BH54">
            <v>2.12</v>
          </cell>
          <cell r="BI54">
            <v>2.46</v>
          </cell>
          <cell r="BJ54">
            <v>3.02</v>
          </cell>
          <cell r="BK54">
            <v>3.21</v>
          </cell>
          <cell r="BL54">
            <v>2.46</v>
          </cell>
          <cell r="BM54">
            <v>2.2000000000000002</v>
          </cell>
          <cell r="BN54">
            <v>1.94</v>
          </cell>
          <cell r="BO54">
            <v>2.19</v>
          </cell>
          <cell r="BP54">
            <v>2.2400000000000002</v>
          </cell>
          <cell r="BQ54">
            <v>2.2200000000000002</v>
          </cell>
          <cell r="BR54">
            <v>1.96</v>
          </cell>
          <cell r="BS54">
            <v>2.2999999999999998</v>
          </cell>
          <cell r="BT54">
            <v>1.86</v>
          </cell>
          <cell r="BU54">
            <v>1.54</v>
          </cell>
          <cell r="BV54">
            <v>1.97</v>
          </cell>
          <cell r="BW54">
            <v>1.93</v>
          </cell>
          <cell r="BX54">
            <v>2.0499999999999998</v>
          </cell>
          <cell r="BY54">
            <v>1.72</v>
          </cell>
          <cell r="BZ54">
            <v>1.75</v>
          </cell>
          <cell r="CA54">
            <v>1.57</v>
          </cell>
          <cell r="CB54">
            <v>1.85</v>
          </cell>
          <cell r="CC54">
            <v>2.31</v>
          </cell>
          <cell r="CD54">
            <v>2.16</v>
          </cell>
          <cell r="CE54">
            <v>2.2200000000000002</v>
          </cell>
          <cell r="CF54">
            <v>2.5499999999999998</v>
          </cell>
          <cell r="CG54">
            <v>2.81</v>
          </cell>
        </row>
        <row r="55">
          <cell r="A55" t="str">
            <v>TET-M3</v>
          </cell>
          <cell r="B55">
            <v>52</v>
          </cell>
          <cell r="AU55">
            <v>2.93</v>
          </cell>
          <cell r="AV55">
            <v>2.5499999999999998</v>
          </cell>
          <cell r="AW55">
            <v>2.04</v>
          </cell>
          <cell r="AX55">
            <v>2.08</v>
          </cell>
          <cell r="AY55">
            <v>3.26</v>
          </cell>
          <cell r="AZ55">
            <v>4.9800000000000004</v>
          </cell>
          <cell r="BA55">
            <v>5.15</v>
          </cell>
          <cell r="BB55">
            <v>3.58</v>
          </cell>
          <cell r="BC55">
            <v>2.1</v>
          </cell>
          <cell r="BD55">
            <v>2.13</v>
          </cell>
          <cell r="BE55">
            <v>2.41</v>
          </cell>
          <cell r="BF55">
            <v>2.57</v>
          </cell>
          <cell r="BG55">
            <v>2.41</v>
          </cell>
          <cell r="BH55">
            <v>2.4</v>
          </cell>
          <cell r="BI55">
            <v>2.75</v>
          </cell>
          <cell r="BJ55">
            <v>3.45</v>
          </cell>
          <cell r="BK55">
            <v>3.75</v>
          </cell>
          <cell r="BL55">
            <v>3.24</v>
          </cell>
          <cell r="BM55">
            <v>2.83</v>
          </cell>
          <cell r="BN55">
            <v>2.33</v>
          </cell>
          <cell r="BO55">
            <v>2.4700000000000002</v>
          </cell>
          <cell r="BP55">
            <v>2.57</v>
          </cell>
          <cell r="BQ55">
            <v>2.52</v>
          </cell>
          <cell r="BR55">
            <v>2.25</v>
          </cell>
          <cell r="BS55">
            <v>2.58</v>
          </cell>
          <cell r="BT55">
            <v>2.15</v>
          </cell>
          <cell r="BU55">
            <v>1.78</v>
          </cell>
          <cell r="BV55">
            <v>2.27</v>
          </cell>
          <cell r="BW55">
            <v>2.38</v>
          </cell>
          <cell r="BX55">
            <v>2.4300000000000002</v>
          </cell>
          <cell r="BY55">
            <v>2.19</v>
          </cell>
          <cell r="BZ55">
            <v>2.16</v>
          </cell>
          <cell r="CA55">
            <v>1.84</v>
          </cell>
          <cell r="CB55">
            <v>2.11</v>
          </cell>
          <cell r="CC55">
            <v>2.54</v>
          </cell>
          <cell r="CD55">
            <v>2.42</v>
          </cell>
          <cell r="CE55">
            <v>2.4900000000000002</v>
          </cell>
          <cell r="CF55">
            <v>2.86</v>
          </cell>
          <cell r="CG55">
            <v>3.12</v>
          </cell>
        </row>
        <row r="56">
          <cell r="A56" t="str">
            <v>TRAN-Z1</v>
          </cell>
          <cell r="B56">
            <v>53</v>
          </cell>
          <cell r="C56">
            <v>2.35</v>
          </cell>
          <cell r="D56">
            <v>2.25</v>
          </cell>
          <cell r="E56">
            <v>1.86</v>
          </cell>
          <cell r="F56">
            <v>1.56</v>
          </cell>
          <cell r="G56">
            <v>1.847</v>
          </cell>
          <cell r="H56">
            <v>2.15</v>
          </cell>
          <cell r="I56">
            <v>2.68</v>
          </cell>
          <cell r="J56">
            <v>2.08</v>
          </cell>
          <cell r="K56">
            <v>1.89</v>
          </cell>
          <cell r="L56">
            <v>2.02</v>
          </cell>
          <cell r="M56">
            <v>2.33</v>
          </cell>
          <cell r="N56">
            <v>2.04</v>
          </cell>
          <cell r="O56">
            <v>2.09</v>
          </cell>
          <cell r="P56">
            <v>2.34</v>
          </cell>
          <cell r="Q56">
            <v>2.02</v>
          </cell>
          <cell r="R56">
            <v>2.3199999999999998</v>
          </cell>
          <cell r="S56">
            <v>2.3199999999999998</v>
          </cell>
          <cell r="T56">
            <v>1.93</v>
          </cell>
          <cell r="U56">
            <v>2.02</v>
          </cell>
          <cell r="V56">
            <v>1.81</v>
          </cell>
          <cell r="W56">
            <v>1.92</v>
          </cell>
          <cell r="X56">
            <v>1.76</v>
          </cell>
          <cell r="Y56">
            <v>1.43</v>
          </cell>
          <cell r="Z56">
            <v>1.35</v>
          </cell>
          <cell r="AA56">
            <v>1.61</v>
          </cell>
          <cell r="AB56">
            <v>1.65</v>
          </cell>
          <cell r="AC56">
            <v>1.56</v>
          </cell>
          <cell r="AD56">
            <v>1.36</v>
          </cell>
          <cell r="AE56">
            <v>1.38</v>
          </cell>
          <cell r="AF56">
            <v>1.49</v>
          </cell>
          <cell r="AG56">
            <v>1.6</v>
          </cell>
          <cell r="AH56">
            <v>1.65</v>
          </cell>
          <cell r="AI56">
            <v>1.43</v>
          </cell>
          <cell r="AJ56">
            <v>1.29</v>
          </cell>
          <cell r="AK56">
            <v>1.49</v>
          </cell>
          <cell r="AL56">
            <v>1.56</v>
          </cell>
          <cell r="AM56">
            <v>1.72</v>
          </cell>
          <cell r="AN56">
            <v>2.12</v>
          </cell>
          <cell r="AO56">
            <v>2.15</v>
          </cell>
          <cell r="AP56">
            <v>1.8</v>
          </cell>
          <cell r="AQ56">
            <v>1.96</v>
          </cell>
          <cell r="AR56">
            <v>2.25</v>
          </cell>
          <cell r="AS56">
            <v>2.12</v>
          </cell>
          <cell r="AT56">
            <v>2.27</v>
          </cell>
          <cell r="AU56">
            <v>2.54</v>
          </cell>
          <cell r="AV56">
            <v>2.2200000000000002</v>
          </cell>
          <cell r="AW56">
            <v>1.7</v>
          </cell>
          <cell r="AX56">
            <v>1.73</v>
          </cell>
          <cell r="AY56">
            <v>2.57</v>
          </cell>
          <cell r="AZ56">
            <v>3.67</v>
          </cell>
          <cell r="BA56">
            <v>3.81</v>
          </cell>
          <cell r="BB56">
            <v>2.77</v>
          </cell>
          <cell r="BC56">
            <v>1.62</v>
          </cell>
          <cell r="BD56">
            <v>1.74</v>
          </cell>
          <cell r="BE56">
            <v>2.02</v>
          </cell>
          <cell r="BF56">
            <v>2.2000000000000002</v>
          </cell>
          <cell r="BG56">
            <v>2.06</v>
          </cell>
          <cell r="BH56">
            <v>2.1</v>
          </cell>
          <cell r="BI56">
            <v>2.4500000000000002</v>
          </cell>
          <cell r="BJ56">
            <v>2.97</v>
          </cell>
          <cell r="BK56">
            <v>3.17</v>
          </cell>
          <cell r="BL56">
            <v>2.4</v>
          </cell>
          <cell r="BM56">
            <v>2.17</v>
          </cell>
          <cell r="BN56">
            <v>1.91</v>
          </cell>
          <cell r="BO56">
            <v>2.16</v>
          </cell>
          <cell r="BP56">
            <v>2.23</v>
          </cell>
          <cell r="BQ56">
            <v>2.2000000000000002</v>
          </cell>
          <cell r="BR56">
            <v>1.95</v>
          </cell>
          <cell r="BS56">
            <v>2.29</v>
          </cell>
          <cell r="BT56">
            <v>1.85</v>
          </cell>
          <cell r="BU56">
            <v>1.53</v>
          </cell>
          <cell r="BV56">
            <v>1.96</v>
          </cell>
          <cell r="BW56">
            <v>1.91</v>
          </cell>
          <cell r="BX56">
            <v>2.04</v>
          </cell>
          <cell r="BY56">
            <v>1.71</v>
          </cell>
          <cell r="BZ56">
            <v>1.75</v>
          </cell>
          <cell r="CA56">
            <v>1.58</v>
          </cell>
          <cell r="CB56">
            <v>1.81</v>
          </cell>
          <cell r="CC56">
            <v>2.29</v>
          </cell>
          <cell r="CD56">
            <v>2.16</v>
          </cell>
          <cell r="CE56">
            <v>2.21</v>
          </cell>
          <cell r="CF56">
            <v>2.56</v>
          </cell>
          <cell r="CG56">
            <v>2.83</v>
          </cell>
        </row>
        <row r="57">
          <cell r="A57" t="str">
            <v>TRAN-Z2</v>
          </cell>
          <cell r="B57">
            <v>54</v>
          </cell>
          <cell r="C57">
            <v>2.36</v>
          </cell>
          <cell r="D57">
            <v>2.2799999999999998</v>
          </cell>
          <cell r="E57">
            <v>1.88</v>
          </cell>
          <cell r="F57">
            <v>1.6</v>
          </cell>
          <cell r="G57">
            <v>1.86</v>
          </cell>
          <cell r="H57">
            <v>2.16</v>
          </cell>
          <cell r="I57">
            <v>2.69</v>
          </cell>
          <cell r="J57">
            <v>2.11</v>
          </cell>
          <cell r="K57">
            <v>1.93</v>
          </cell>
          <cell r="L57">
            <v>2.0499999999999998</v>
          </cell>
          <cell r="M57">
            <v>2.36</v>
          </cell>
          <cell r="N57">
            <v>2.06</v>
          </cell>
          <cell r="O57">
            <v>2.11</v>
          </cell>
          <cell r="P57">
            <v>2.37</v>
          </cell>
          <cell r="Q57">
            <v>2.0299999999999998</v>
          </cell>
          <cell r="R57">
            <v>2.36</v>
          </cell>
          <cell r="S57">
            <v>2.36</v>
          </cell>
          <cell r="T57">
            <v>1.97</v>
          </cell>
          <cell r="U57">
            <v>2.04</v>
          </cell>
          <cell r="V57">
            <v>1.83</v>
          </cell>
          <cell r="W57">
            <v>1.93</v>
          </cell>
          <cell r="X57">
            <v>1.8</v>
          </cell>
          <cell r="Y57">
            <v>1.47</v>
          </cell>
          <cell r="Z57">
            <v>1.39</v>
          </cell>
          <cell r="AA57">
            <v>1.66</v>
          </cell>
          <cell r="AB57">
            <v>1.66</v>
          </cell>
          <cell r="AC57">
            <v>1.59</v>
          </cell>
          <cell r="AD57">
            <v>1.4</v>
          </cell>
          <cell r="AE57">
            <v>1.42</v>
          </cell>
          <cell r="AF57">
            <v>1.53</v>
          </cell>
          <cell r="AG57">
            <v>1.64</v>
          </cell>
          <cell r="AH57">
            <v>1.7</v>
          </cell>
          <cell r="AI57">
            <v>1.48</v>
          </cell>
          <cell r="AJ57">
            <v>1.33</v>
          </cell>
          <cell r="AK57">
            <v>1.55</v>
          </cell>
          <cell r="AL57">
            <v>1.61</v>
          </cell>
          <cell r="AM57">
            <v>1.77</v>
          </cell>
          <cell r="AN57">
            <v>2.23</v>
          </cell>
          <cell r="AO57">
            <v>3.29</v>
          </cell>
          <cell r="AP57">
            <v>2.2999999999999998</v>
          </cell>
          <cell r="AQ57">
            <v>2.7</v>
          </cell>
          <cell r="AR57">
            <v>2.58</v>
          </cell>
          <cell r="AS57">
            <v>2.16</v>
          </cell>
          <cell r="AT57">
            <v>2.31</v>
          </cell>
          <cell r="AU57">
            <v>2.6</v>
          </cell>
          <cell r="AV57">
            <v>2.27</v>
          </cell>
          <cell r="AW57">
            <v>1.77</v>
          </cell>
          <cell r="AX57">
            <v>1.8</v>
          </cell>
          <cell r="AY57">
            <v>2.64</v>
          </cell>
          <cell r="AZ57">
            <v>3.77</v>
          </cell>
          <cell r="BA57">
            <v>3.9</v>
          </cell>
          <cell r="BB57">
            <v>2.87</v>
          </cell>
          <cell r="BC57">
            <v>1.71</v>
          </cell>
          <cell r="BD57">
            <v>1.77</v>
          </cell>
          <cell r="BE57">
            <v>2.09</v>
          </cell>
          <cell r="BF57">
            <v>2.25</v>
          </cell>
          <cell r="BG57">
            <v>2.1</v>
          </cell>
          <cell r="BH57">
            <v>2.13</v>
          </cell>
          <cell r="BI57">
            <v>2.48</v>
          </cell>
          <cell r="BJ57">
            <v>3.02</v>
          </cell>
          <cell r="BK57">
            <v>3.21</v>
          </cell>
          <cell r="BL57">
            <v>2.4900000000000002</v>
          </cell>
          <cell r="BM57">
            <v>2.2200000000000002</v>
          </cell>
          <cell r="BN57">
            <v>1.97</v>
          </cell>
          <cell r="BO57">
            <v>2.2200000000000002</v>
          </cell>
          <cell r="BP57">
            <v>2.2799999999999998</v>
          </cell>
          <cell r="BQ57">
            <v>2.25</v>
          </cell>
          <cell r="BR57">
            <v>2</v>
          </cell>
          <cell r="BS57">
            <v>2.33</v>
          </cell>
          <cell r="BT57">
            <v>1.89</v>
          </cell>
          <cell r="BU57">
            <v>1.6</v>
          </cell>
          <cell r="BV57">
            <v>2.04</v>
          </cell>
          <cell r="BW57">
            <v>1.95</v>
          </cell>
          <cell r="BX57">
            <v>2.08</v>
          </cell>
          <cell r="BY57">
            <v>1.74</v>
          </cell>
          <cell r="BZ57">
            <v>1.78</v>
          </cell>
          <cell r="CA57">
            <v>1.61</v>
          </cell>
          <cell r="CB57">
            <v>1.84</v>
          </cell>
          <cell r="CC57">
            <v>2.3199999999999998</v>
          </cell>
          <cell r="CD57">
            <v>2.19</v>
          </cell>
          <cell r="CE57">
            <v>2.2400000000000002</v>
          </cell>
          <cell r="CF57">
            <v>2.58</v>
          </cell>
          <cell r="CG57">
            <v>2.86</v>
          </cell>
        </row>
        <row r="58">
          <cell r="A58" t="str">
            <v>TRAN-Z3</v>
          </cell>
          <cell r="B58">
            <v>55</v>
          </cell>
          <cell r="C58">
            <v>2.38</v>
          </cell>
          <cell r="D58">
            <v>2.29</v>
          </cell>
          <cell r="E58">
            <v>1.9</v>
          </cell>
          <cell r="F58">
            <v>1.62</v>
          </cell>
          <cell r="G58">
            <v>1.86</v>
          </cell>
          <cell r="H58">
            <v>2.19</v>
          </cell>
          <cell r="I58">
            <v>2.7</v>
          </cell>
          <cell r="J58">
            <v>2.16</v>
          </cell>
          <cell r="K58">
            <v>1.95</v>
          </cell>
          <cell r="L58">
            <v>2.0699999999999998</v>
          </cell>
          <cell r="M58">
            <v>2.37</v>
          </cell>
          <cell r="N58">
            <v>2.08</v>
          </cell>
          <cell r="O58">
            <v>2.15</v>
          </cell>
          <cell r="P58">
            <v>2.38</v>
          </cell>
          <cell r="Q58">
            <v>2.0499999999999998</v>
          </cell>
          <cell r="R58">
            <v>2.38</v>
          </cell>
          <cell r="S58">
            <v>2.38</v>
          </cell>
          <cell r="T58">
            <v>2</v>
          </cell>
          <cell r="U58">
            <v>2.06</v>
          </cell>
          <cell r="V58">
            <v>1.86</v>
          </cell>
          <cell r="W58">
            <v>1.96</v>
          </cell>
          <cell r="X58">
            <v>1.82</v>
          </cell>
          <cell r="Y58">
            <v>1.48</v>
          </cell>
          <cell r="Z58">
            <v>1.42</v>
          </cell>
          <cell r="AA58">
            <v>1.7</v>
          </cell>
          <cell r="AB58">
            <v>1.69</v>
          </cell>
          <cell r="AC58">
            <v>1.62</v>
          </cell>
          <cell r="AD58">
            <v>1.43</v>
          </cell>
          <cell r="AE58">
            <v>1.46</v>
          </cell>
          <cell r="AF58">
            <v>1.56</v>
          </cell>
          <cell r="AG58">
            <v>1.67</v>
          </cell>
          <cell r="AH58">
            <v>1.73</v>
          </cell>
          <cell r="AI58">
            <v>1.5</v>
          </cell>
          <cell r="AJ58">
            <v>1.36</v>
          </cell>
          <cell r="AK58">
            <v>1.59</v>
          </cell>
          <cell r="AL58">
            <v>1.64</v>
          </cell>
          <cell r="AM58">
            <v>1.8</v>
          </cell>
          <cell r="AN58">
            <v>2.27</v>
          </cell>
          <cell r="AO58">
            <v>3.38</v>
          </cell>
          <cell r="AP58">
            <v>2.36</v>
          </cell>
          <cell r="AQ58">
            <v>2.81</v>
          </cell>
          <cell r="AR58">
            <v>2.69</v>
          </cell>
          <cell r="AS58">
            <v>2.2000000000000002</v>
          </cell>
          <cell r="AT58">
            <v>2.37</v>
          </cell>
          <cell r="AU58">
            <v>2.65</v>
          </cell>
          <cell r="AV58">
            <v>2.2999999999999998</v>
          </cell>
          <cell r="AW58">
            <v>1.81</v>
          </cell>
          <cell r="AX58">
            <v>1.85</v>
          </cell>
          <cell r="AY58">
            <v>2.69</v>
          </cell>
          <cell r="AZ58">
            <v>3.82</v>
          </cell>
          <cell r="BA58">
            <v>3.98</v>
          </cell>
          <cell r="BB58">
            <v>2.9</v>
          </cell>
          <cell r="BC58">
            <v>1.77</v>
          </cell>
          <cell r="BD58">
            <v>1.81</v>
          </cell>
          <cell r="BE58">
            <v>2.15</v>
          </cell>
          <cell r="BF58">
            <v>2.2999999999999998</v>
          </cell>
          <cell r="BG58">
            <v>2.15</v>
          </cell>
          <cell r="BH58">
            <v>2.17</v>
          </cell>
          <cell r="BI58">
            <v>2.5299999999999998</v>
          </cell>
          <cell r="BJ58">
            <v>3.1</v>
          </cell>
          <cell r="BK58">
            <v>3.27</v>
          </cell>
          <cell r="BL58">
            <v>2.54</v>
          </cell>
          <cell r="BM58">
            <v>2.2799999999999998</v>
          </cell>
          <cell r="BN58">
            <v>2.0299999999999998</v>
          </cell>
          <cell r="BO58">
            <v>2.27</v>
          </cell>
          <cell r="BP58">
            <v>2.3199999999999998</v>
          </cell>
          <cell r="BQ58">
            <v>2.29</v>
          </cell>
          <cell r="BR58">
            <v>2.0299999999999998</v>
          </cell>
          <cell r="BS58">
            <v>2.37</v>
          </cell>
          <cell r="BT58">
            <v>1.93</v>
          </cell>
          <cell r="BU58">
            <v>1.63</v>
          </cell>
          <cell r="BV58">
            <v>2.08</v>
          </cell>
          <cell r="BW58">
            <v>2.0099999999999998</v>
          </cell>
          <cell r="BX58">
            <v>2.11</v>
          </cell>
          <cell r="BY58">
            <v>1.78</v>
          </cell>
          <cell r="BZ58">
            <v>1.81</v>
          </cell>
          <cell r="CA58">
            <v>1.63</v>
          </cell>
          <cell r="CB58">
            <v>1.88</v>
          </cell>
          <cell r="CC58">
            <v>2.36</v>
          </cell>
          <cell r="CD58">
            <v>2.23</v>
          </cell>
          <cell r="CE58">
            <v>2.2599999999999998</v>
          </cell>
          <cell r="CF58">
            <v>2.61</v>
          </cell>
          <cell r="CG58">
            <v>2.89</v>
          </cell>
        </row>
        <row r="59">
          <cell r="A59" t="str">
            <v>TRAN-Z4</v>
          </cell>
          <cell r="B59">
            <v>56</v>
          </cell>
          <cell r="C59">
            <v>2.44</v>
          </cell>
          <cell r="D59">
            <v>2.3199999999999998</v>
          </cell>
          <cell r="E59">
            <v>1.91</v>
          </cell>
          <cell r="F59">
            <v>1.66</v>
          </cell>
          <cell r="G59">
            <v>1.92</v>
          </cell>
          <cell r="H59">
            <v>2.23</v>
          </cell>
          <cell r="I59">
            <v>2.72</v>
          </cell>
          <cell r="J59">
            <v>2.1</v>
          </cell>
          <cell r="K59">
            <v>1.94</v>
          </cell>
          <cell r="L59">
            <v>2.11</v>
          </cell>
          <cell r="M59">
            <v>2.39</v>
          </cell>
          <cell r="N59">
            <v>2.09</v>
          </cell>
          <cell r="O59">
            <v>2.17</v>
          </cell>
          <cell r="P59">
            <v>2.42</v>
          </cell>
          <cell r="Q59">
            <v>2.0699999999999998</v>
          </cell>
          <cell r="R59">
            <v>2.41</v>
          </cell>
          <cell r="S59">
            <v>2.4</v>
          </cell>
          <cell r="T59">
            <v>2</v>
          </cell>
          <cell r="U59">
            <v>2.08</v>
          </cell>
          <cell r="V59">
            <v>1.85</v>
          </cell>
          <cell r="W59">
            <v>1.98</v>
          </cell>
          <cell r="X59">
            <v>1.82</v>
          </cell>
          <cell r="Y59">
            <v>1.49</v>
          </cell>
          <cell r="Z59">
            <v>1.44</v>
          </cell>
          <cell r="AA59">
            <v>1.71</v>
          </cell>
          <cell r="AB59">
            <v>1.69</v>
          </cell>
          <cell r="AC59">
            <v>1.62</v>
          </cell>
          <cell r="AD59">
            <v>1.45</v>
          </cell>
          <cell r="AE59">
            <v>1.45</v>
          </cell>
          <cell r="AF59">
            <v>1.58</v>
          </cell>
          <cell r="AG59">
            <v>1.68</v>
          </cell>
          <cell r="AH59">
            <v>1.74</v>
          </cell>
          <cell r="AI59">
            <v>1.51</v>
          </cell>
          <cell r="AJ59">
            <v>1.39</v>
          </cell>
          <cell r="AK59">
            <v>1.59</v>
          </cell>
          <cell r="AL59">
            <v>1.65</v>
          </cell>
          <cell r="AM59">
            <v>1.82</v>
          </cell>
          <cell r="AN59">
            <v>2.29</v>
          </cell>
          <cell r="AO59">
            <v>3.44</v>
          </cell>
          <cell r="AP59">
            <v>2.41</v>
          </cell>
          <cell r="AQ59">
            <v>2.82</v>
          </cell>
          <cell r="AR59">
            <v>2.74</v>
          </cell>
          <cell r="AS59">
            <v>2.2000000000000002</v>
          </cell>
          <cell r="AT59">
            <v>2.38</v>
          </cell>
          <cell r="AU59">
            <v>2.66</v>
          </cell>
          <cell r="AV59">
            <v>2.34</v>
          </cell>
          <cell r="AW59">
            <v>1.8</v>
          </cell>
          <cell r="AX59">
            <v>1.83</v>
          </cell>
          <cell r="AY59">
            <v>2.69</v>
          </cell>
          <cell r="AZ59">
            <v>3.84</v>
          </cell>
          <cell r="BA59">
            <v>3.8</v>
          </cell>
          <cell r="BB59">
            <v>2.9</v>
          </cell>
          <cell r="BC59">
            <v>1.76</v>
          </cell>
          <cell r="BD59">
            <v>1.81</v>
          </cell>
          <cell r="BE59">
            <v>2.15</v>
          </cell>
          <cell r="BF59">
            <v>2.31</v>
          </cell>
          <cell r="BG59">
            <v>2.15</v>
          </cell>
          <cell r="BH59">
            <v>2.1800000000000002</v>
          </cell>
          <cell r="BI59">
            <v>2.5</v>
          </cell>
          <cell r="BJ59">
            <v>3.01</v>
          </cell>
          <cell r="BK59">
            <v>3.27</v>
          </cell>
          <cell r="BL59">
            <v>2.58</v>
          </cell>
          <cell r="BM59">
            <v>2.34</v>
          </cell>
          <cell r="BN59">
            <v>2.08</v>
          </cell>
          <cell r="BO59">
            <v>2.2999999999999998</v>
          </cell>
          <cell r="BP59">
            <v>2.33</v>
          </cell>
          <cell r="BQ59">
            <v>2.29</v>
          </cell>
          <cell r="BR59">
            <v>2.02</v>
          </cell>
          <cell r="BS59">
            <v>2.37</v>
          </cell>
          <cell r="BT59">
            <v>1.94</v>
          </cell>
          <cell r="BU59">
            <v>1.63</v>
          </cell>
          <cell r="BV59">
            <v>2.09</v>
          </cell>
          <cell r="BW59">
            <v>2.02</v>
          </cell>
          <cell r="BX59">
            <v>2.12</v>
          </cell>
          <cell r="BY59">
            <v>1.81</v>
          </cell>
          <cell r="BZ59">
            <v>1.84</v>
          </cell>
          <cell r="CA59">
            <v>1.66</v>
          </cell>
          <cell r="CB59">
            <v>1.88</v>
          </cell>
          <cell r="CC59">
            <v>2.37</v>
          </cell>
          <cell r="CD59">
            <v>2.2400000000000002</v>
          </cell>
          <cell r="CE59">
            <v>2.27</v>
          </cell>
          <cell r="CF59">
            <v>2.62</v>
          </cell>
          <cell r="CG59">
            <v>2.9</v>
          </cell>
        </row>
        <row r="60">
          <cell r="A60" t="str">
            <v>TRAN-Z6</v>
          </cell>
          <cell r="B60">
            <v>57</v>
          </cell>
          <cell r="AU60">
            <v>2.93</v>
          </cell>
          <cell r="AV60">
            <v>2.58</v>
          </cell>
          <cell r="AW60">
            <v>2.0499999999999998</v>
          </cell>
          <cell r="AX60">
            <v>2.1</v>
          </cell>
          <cell r="AY60">
            <v>3.33</v>
          </cell>
          <cell r="AZ60">
            <v>5.14</v>
          </cell>
          <cell r="BA60">
            <v>5.25</v>
          </cell>
          <cell r="BB60">
            <v>3.65</v>
          </cell>
          <cell r="BC60">
            <v>2.15</v>
          </cell>
          <cell r="BD60">
            <v>2.15</v>
          </cell>
          <cell r="BE60">
            <v>2.42</v>
          </cell>
          <cell r="BF60">
            <v>2.59</v>
          </cell>
          <cell r="BG60">
            <v>2.4300000000000002</v>
          </cell>
          <cell r="BH60">
            <v>2.42</v>
          </cell>
          <cell r="BI60">
            <v>2.75</v>
          </cell>
          <cell r="BJ60">
            <v>3.47</v>
          </cell>
          <cell r="BK60">
            <v>3.76</v>
          </cell>
          <cell r="BL60">
            <v>3.29</v>
          </cell>
          <cell r="BM60">
            <v>2.95</v>
          </cell>
          <cell r="BN60">
            <v>2.4</v>
          </cell>
          <cell r="BO60">
            <v>2.4900000000000002</v>
          </cell>
          <cell r="BP60">
            <v>2.56</v>
          </cell>
          <cell r="BQ60">
            <v>2.5299999999999998</v>
          </cell>
          <cell r="BR60">
            <v>2.2599999999999998</v>
          </cell>
          <cell r="BS60">
            <v>2.59</v>
          </cell>
          <cell r="BT60">
            <v>2.17</v>
          </cell>
          <cell r="BU60">
            <v>1.8</v>
          </cell>
          <cell r="BV60">
            <v>2.2999999999999998</v>
          </cell>
          <cell r="BW60">
            <v>2.41</v>
          </cell>
          <cell r="BX60">
            <v>2.5</v>
          </cell>
          <cell r="BY60">
            <v>2.36</v>
          </cell>
          <cell r="BZ60">
            <v>2.31</v>
          </cell>
          <cell r="CA60">
            <v>1.96</v>
          </cell>
          <cell r="CB60">
            <v>2.15</v>
          </cell>
          <cell r="CC60">
            <v>2.56</v>
          </cell>
          <cell r="CD60">
            <v>2.42</v>
          </cell>
          <cell r="CE60">
            <v>2.5</v>
          </cell>
          <cell r="CF60">
            <v>2.9</v>
          </cell>
          <cell r="CG60">
            <v>3.14</v>
          </cell>
        </row>
        <row r="61">
          <cell r="A61" t="str">
            <v>TRUNK-FZ</v>
          </cell>
          <cell r="B61">
            <v>58</v>
          </cell>
          <cell r="C61">
            <v>2.2599999999999998</v>
          </cell>
          <cell r="D61">
            <v>2.2000000000000002</v>
          </cell>
          <cell r="E61">
            <v>1.9</v>
          </cell>
          <cell r="F61">
            <v>1.6</v>
          </cell>
          <cell r="G61">
            <v>1.85</v>
          </cell>
          <cell r="H61">
            <v>2.15</v>
          </cell>
          <cell r="I61">
            <v>2.67</v>
          </cell>
          <cell r="J61">
            <v>1.95</v>
          </cell>
          <cell r="K61">
            <v>1.92</v>
          </cell>
          <cell r="L61">
            <v>2.0299999999999998</v>
          </cell>
          <cell r="M61">
            <v>2.2999999999999998</v>
          </cell>
          <cell r="N61">
            <v>2</v>
          </cell>
          <cell r="O61">
            <v>2.08</v>
          </cell>
          <cell r="P61">
            <v>2.35</v>
          </cell>
          <cell r="Q61">
            <v>1.99</v>
          </cell>
          <cell r="R61">
            <v>2.2799999999999998</v>
          </cell>
          <cell r="S61">
            <v>2.2999999999999998</v>
          </cell>
          <cell r="T61">
            <v>1.94</v>
          </cell>
          <cell r="U61">
            <v>2.0099999999999998</v>
          </cell>
          <cell r="V61">
            <v>1.75</v>
          </cell>
          <cell r="W61">
            <v>1.87</v>
          </cell>
          <cell r="X61">
            <v>1.71</v>
          </cell>
          <cell r="Y61">
            <v>1.41</v>
          </cell>
          <cell r="Z61">
            <v>1.37</v>
          </cell>
          <cell r="AA61">
            <v>1.6</v>
          </cell>
          <cell r="AB61">
            <v>1.6</v>
          </cell>
          <cell r="AC61">
            <v>1.53</v>
          </cell>
          <cell r="AD61">
            <v>1.33</v>
          </cell>
          <cell r="AE61">
            <v>1.35</v>
          </cell>
          <cell r="AF61">
            <v>1.5</v>
          </cell>
          <cell r="AG61">
            <v>1.61</v>
          </cell>
          <cell r="AH61">
            <v>1.65</v>
          </cell>
          <cell r="AI61">
            <v>1.44</v>
          </cell>
          <cell r="AJ61">
            <v>1.3</v>
          </cell>
          <cell r="AK61">
            <v>1.5</v>
          </cell>
          <cell r="AL61">
            <v>1.59</v>
          </cell>
          <cell r="AM61">
            <v>1.73</v>
          </cell>
          <cell r="AN61">
            <v>2.2000000000000002</v>
          </cell>
          <cell r="AO61">
            <v>3.15</v>
          </cell>
          <cell r="AP61">
            <v>2.27</v>
          </cell>
          <cell r="AQ61">
            <v>2.68</v>
          </cell>
          <cell r="BB61">
            <v>2.83</v>
          </cell>
          <cell r="BD61">
            <v>1.73</v>
          </cell>
          <cell r="BE61">
            <v>2.02</v>
          </cell>
          <cell r="BF61">
            <v>2.23</v>
          </cell>
          <cell r="BG61">
            <v>2.08</v>
          </cell>
          <cell r="BH61">
            <v>2.11</v>
          </cell>
          <cell r="BI61">
            <v>2.46</v>
          </cell>
        </row>
        <row r="62">
          <cell r="A62" t="str">
            <v>TRUNK-LA</v>
          </cell>
          <cell r="B62">
            <v>59</v>
          </cell>
          <cell r="AO62">
            <v>3.2</v>
          </cell>
          <cell r="AP62">
            <v>2.3199999999999998</v>
          </cell>
          <cell r="AQ62">
            <v>2.74</v>
          </cell>
          <cell r="AR62">
            <v>2.6</v>
          </cell>
          <cell r="AS62">
            <v>2.16</v>
          </cell>
          <cell r="AT62">
            <v>2.2999999999999998</v>
          </cell>
          <cell r="AU62">
            <v>2.6</v>
          </cell>
          <cell r="AV62">
            <v>2.2599999999999998</v>
          </cell>
          <cell r="AW62">
            <v>1.76</v>
          </cell>
          <cell r="AX62">
            <v>1.77</v>
          </cell>
          <cell r="AY62">
            <v>2.63</v>
          </cell>
          <cell r="AZ62">
            <v>3.74</v>
          </cell>
          <cell r="BA62">
            <v>3.8</v>
          </cell>
          <cell r="BB62">
            <v>2.76</v>
          </cell>
          <cell r="BC62">
            <v>1.67</v>
          </cell>
          <cell r="BD62">
            <v>1.76</v>
          </cell>
          <cell r="BE62">
            <v>2.06</v>
          </cell>
          <cell r="BF62">
            <v>2.2400000000000002</v>
          </cell>
          <cell r="BG62">
            <v>2.08</v>
          </cell>
          <cell r="BH62">
            <v>2.13</v>
          </cell>
          <cell r="BI62">
            <v>2.4700000000000002</v>
          </cell>
          <cell r="BJ62">
            <v>3.07</v>
          </cell>
          <cell r="BK62">
            <v>3.18</v>
          </cell>
          <cell r="BL62">
            <v>2.44</v>
          </cell>
          <cell r="BM62">
            <v>2.16</v>
          </cell>
          <cell r="BN62">
            <v>1.93</v>
          </cell>
          <cell r="BO62">
            <v>2.1800000000000002</v>
          </cell>
          <cell r="BP62">
            <v>2.2200000000000002</v>
          </cell>
          <cell r="BQ62">
            <v>2.19</v>
          </cell>
          <cell r="BR62">
            <v>1.94</v>
          </cell>
          <cell r="BS62">
            <v>2.2799999999999998</v>
          </cell>
          <cell r="BT62">
            <v>1.84</v>
          </cell>
          <cell r="BU62">
            <v>1.53</v>
          </cell>
          <cell r="BV62">
            <v>1.94</v>
          </cell>
          <cell r="BW62">
            <v>1.91</v>
          </cell>
          <cell r="BX62">
            <v>2.0499999999999998</v>
          </cell>
          <cell r="BY62">
            <v>1.71</v>
          </cell>
          <cell r="BZ62">
            <v>1.75</v>
          </cell>
          <cell r="CA62">
            <v>1.56</v>
          </cell>
          <cell r="CB62">
            <v>1.83</v>
          </cell>
          <cell r="CC62">
            <v>2.2999999999999998</v>
          </cell>
          <cell r="CD62">
            <v>2.16</v>
          </cell>
          <cell r="CE62">
            <v>2.2200000000000002</v>
          </cell>
          <cell r="CF62">
            <v>2.56</v>
          </cell>
          <cell r="CG62">
            <v>2.85</v>
          </cell>
        </row>
        <row r="63">
          <cell r="A63" t="str">
            <v>TRUNK-TX</v>
          </cell>
          <cell r="B63">
            <v>60</v>
          </cell>
          <cell r="AO63">
            <v>2.0499999999999998</v>
          </cell>
          <cell r="AP63">
            <v>1.78</v>
          </cell>
          <cell r="AQ63">
            <v>1.92</v>
          </cell>
          <cell r="AR63">
            <v>2.23</v>
          </cell>
          <cell r="AS63">
            <v>2.11</v>
          </cell>
          <cell r="AT63">
            <v>2.2599999999999998</v>
          </cell>
          <cell r="AU63">
            <v>2.5299999999999998</v>
          </cell>
          <cell r="AV63">
            <v>2.21</v>
          </cell>
          <cell r="AW63">
            <v>1.7</v>
          </cell>
          <cell r="AX63">
            <v>1.74</v>
          </cell>
          <cell r="AY63">
            <v>2.61</v>
          </cell>
          <cell r="AZ63">
            <v>3.68</v>
          </cell>
          <cell r="BA63">
            <v>3.59</v>
          </cell>
          <cell r="BB63">
            <v>2.7</v>
          </cell>
          <cell r="BC63">
            <v>1.64</v>
          </cell>
          <cell r="BD63">
            <v>1.73</v>
          </cell>
          <cell r="BE63">
            <v>2.02</v>
          </cell>
          <cell r="BF63">
            <v>2.2200000000000002</v>
          </cell>
          <cell r="BG63">
            <v>2.0699999999999998</v>
          </cell>
          <cell r="BH63">
            <v>2.11</v>
          </cell>
          <cell r="BI63">
            <v>2.46</v>
          </cell>
          <cell r="BJ63">
            <v>3</v>
          </cell>
          <cell r="BK63">
            <v>3.16</v>
          </cell>
          <cell r="BL63">
            <v>2.35</v>
          </cell>
          <cell r="BM63">
            <v>2.15</v>
          </cell>
          <cell r="BN63">
            <v>1.92</v>
          </cell>
          <cell r="BO63">
            <v>2.17</v>
          </cell>
          <cell r="BP63">
            <v>2.2200000000000002</v>
          </cell>
          <cell r="BQ63">
            <v>2.2000000000000002</v>
          </cell>
          <cell r="BR63">
            <v>1.95</v>
          </cell>
          <cell r="BS63">
            <v>2.2799999999999998</v>
          </cell>
          <cell r="BT63">
            <v>1.83</v>
          </cell>
          <cell r="BU63">
            <v>1.54</v>
          </cell>
          <cell r="BV63">
            <v>1.94</v>
          </cell>
          <cell r="BW63">
            <v>1.89</v>
          </cell>
          <cell r="BX63">
            <v>2.0299999999999998</v>
          </cell>
          <cell r="BY63">
            <v>1.69</v>
          </cell>
          <cell r="BZ63">
            <v>1.74</v>
          </cell>
          <cell r="CA63">
            <v>1.56</v>
          </cell>
          <cell r="CB63">
            <v>1.82</v>
          </cell>
          <cell r="CC63">
            <v>2.2799999999999998</v>
          </cell>
          <cell r="CD63">
            <v>2.14</v>
          </cell>
          <cell r="CE63">
            <v>2.2000000000000002</v>
          </cell>
          <cell r="CF63">
            <v>2.5299999999999998</v>
          </cell>
          <cell r="CG63">
            <v>2.81</v>
          </cell>
        </row>
        <row r="64">
          <cell r="A64" t="str">
            <v>TW-PERM</v>
          </cell>
          <cell r="B64">
            <v>61</v>
          </cell>
          <cell r="C64">
            <v>2.11</v>
          </cell>
          <cell r="D64">
            <v>2.0299999999999998</v>
          </cell>
          <cell r="E64">
            <v>2.0299999999999998</v>
          </cell>
          <cell r="F64">
            <v>1.57</v>
          </cell>
          <cell r="G64">
            <v>1.84</v>
          </cell>
          <cell r="H64">
            <v>1.9</v>
          </cell>
          <cell r="I64">
            <v>2.21</v>
          </cell>
          <cell r="J64">
            <v>1.65</v>
          </cell>
          <cell r="K64">
            <v>1.76</v>
          </cell>
          <cell r="L64">
            <v>1.88</v>
          </cell>
          <cell r="M64">
            <v>2.0299999999999998</v>
          </cell>
          <cell r="N64">
            <v>1.73</v>
          </cell>
          <cell r="O64">
            <v>1.76</v>
          </cell>
          <cell r="P64">
            <v>2.27</v>
          </cell>
          <cell r="Q64">
            <v>1.91</v>
          </cell>
          <cell r="R64">
            <v>1.88</v>
          </cell>
          <cell r="S64">
            <v>2.0099999999999998</v>
          </cell>
          <cell r="T64">
            <v>1.73</v>
          </cell>
          <cell r="U64">
            <v>1.73</v>
          </cell>
          <cell r="V64">
            <v>1.48</v>
          </cell>
          <cell r="W64">
            <v>1.64</v>
          </cell>
          <cell r="X64">
            <v>1.56</v>
          </cell>
          <cell r="Y64">
            <v>1.38</v>
          </cell>
          <cell r="Z64">
            <v>1.21</v>
          </cell>
          <cell r="AA64">
            <v>1.47</v>
          </cell>
          <cell r="AB64">
            <v>1.63</v>
          </cell>
          <cell r="AC64">
            <v>1.44</v>
          </cell>
          <cell r="AD64">
            <v>1.1599999999999999</v>
          </cell>
          <cell r="AE64">
            <v>1.18</v>
          </cell>
          <cell r="AF64">
            <v>1.26</v>
          </cell>
          <cell r="AG64">
            <v>1.35</v>
          </cell>
          <cell r="AH64">
            <v>1.38</v>
          </cell>
          <cell r="AI64">
            <v>1.19</v>
          </cell>
          <cell r="AJ64">
            <v>1.18</v>
          </cell>
          <cell r="AK64">
            <v>1.36</v>
          </cell>
          <cell r="AL64">
            <v>1.42</v>
          </cell>
          <cell r="AM64">
            <v>1.53</v>
          </cell>
          <cell r="AN64">
            <v>1.74</v>
          </cell>
          <cell r="AO64">
            <v>1.89</v>
          </cell>
          <cell r="AP64">
            <v>1.66</v>
          </cell>
          <cell r="AQ64">
            <v>1.76</v>
          </cell>
          <cell r="AR64">
            <v>1.96</v>
          </cell>
          <cell r="AS64">
            <v>1.89</v>
          </cell>
          <cell r="AT64">
            <v>1.95</v>
          </cell>
          <cell r="AU64">
            <v>2.02</v>
          </cell>
          <cell r="AV64">
            <v>2.0099999999999998</v>
          </cell>
          <cell r="AW64">
            <v>1.55</v>
          </cell>
          <cell r="AX64">
            <v>1.62</v>
          </cell>
          <cell r="AY64">
            <v>2.44</v>
          </cell>
          <cell r="AZ64">
            <v>3.5</v>
          </cell>
          <cell r="BA64">
            <v>4.0999999999999996</v>
          </cell>
          <cell r="BB64">
            <v>2.5</v>
          </cell>
          <cell r="BC64">
            <v>1.52</v>
          </cell>
          <cell r="BD64">
            <v>1.61</v>
          </cell>
          <cell r="BE64">
            <v>1.89</v>
          </cell>
          <cell r="BF64">
            <v>2.0499999999999998</v>
          </cell>
          <cell r="BG64">
            <v>1.99</v>
          </cell>
          <cell r="BH64">
            <v>2.0499999999999998</v>
          </cell>
          <cell r="BI64">
            <v>2.35</v>
          </cell>
          <cell r="BJ64">
            <v>2.84</v>
          </cell>
          <cell r="BK64">
            <v>3.06</v>
          </cell>
          <cell r="BL64">
            <v>2.2000000000000002</v>
          </cell>
          <cell r="BM64">
            <v>2.09</v>
          </cell>
          <cell r="BN64">
            <v>1.87</v>
          </cell>
          <cell r="BO64">
            <v>2.0699999999999998</v>
          </cell>
          <cell r="BP64">
            <v>2.15</v>
          </cell>
          <cell r="BQ64">
            <v>2.12</v>
          </cell>
          <cell r="BR64">
            <v>1.89</v>
          </cell>
          <cell r="BS64">
            <v>2.17</v>
          </cell>
          <cell r="BT64">
            <v>1.94</v>
          </cell>
          <cell r="BU64">
            <v>1.59</v>
          </cell>
          <cell r="BV64">
            <v>1.83</v>
          </cell>
          <cell r="BW64">
            <v>1.99</v>
          </cell>
          <cell r="BX64">
            <v>1.99</v>
          </cell>
          <cell r="BY64">
            <v>1.74</v>
          </cell>
          <cell r="BZ64">
            <v>1.67</v>
          </cell>
          <cell r="CA64">
            <v>1.57</v>
          </cell>
          <cell r="CB64">
            <v>1.66</v>
          </cell>
          <cell r="CC64">
            <v>2.16</v>
          </cell>
          <cell r="CD64">
            <v>2.08</v>
          </cell>
          <cell r="CE64">
            <v>2.17</v>
          </cell>
          <cell r="CF64">
            <v>2.4500000000000002</v>
          </cell>
          <cell r="CG64">
            <v>2.77</v>
          </cell>
        </row>
        <row r="65">
          <cell r="A65" t="str">
            <v>TXG-Z1</v>
          </cell>
          <cell r="B65">
            <v>62</v>
          </cell>
          <cell r="C65">
            <v>2.33</v>
          </cell>
          <cell r="D65">
            <v>2.25</v>
          </cell>
          <cell r="E65">
            <v>1.92</v>
          </cell>
          <cell r="F65">
            <v>1.61</v>
          </cell>
          <cell r="G65">
            <v>1.85</v>
          </cell>
          <cell r="H65">
            <v>2.16</v>
          </cell>
          <cell r="I65">
            <v>2.65</v>
          </cell>
          <cell r="J65">
            <v>2</v>
          </cell>
          <cell r="K65">
            <v>1.89</v>
          </cell>
          <cell r="L65">
            <v>2.04</v>
          </cell>
          <cell r="M65">
            <v>2.2999999999999998</v>
          </cell>
          <cell r="N65">
            <v>1.98</v>
          </cell>
          <cell r="O65">
            <v>2.09</v>
          </cell>
          <cell r="P65">
            <v>2.2999999999999998</v>
          </cell>
          <cell r="Q65">
            <v>2.02</v>
          </cell>
          <cell r="R65">
            <v>2.2999999999999998</v>
          </cell>
          <cell r="S65">
            <v>2.33</v>
          </cell>
          <cell r="T65">
            <v>1.94</v>
          </cell>
          <cell r="U65">
            <v>2.02</v>
          </cell>
          <cell r="V65">
            <v>1.78</v>
          </cell>
          <cell r="W65">
            <v>1.91</v>
          </cell>
          <cell r="X65">
            <v>1.76</v>
          </cell>
          <cell r="Y65">
            <v>1.44</v>
          </cell>
          <cell r="Z65">
            <v>1.39</v>
          </cell>
          <cell r="AA65">
            <v>1.63</v>
          </cell>
          <cell r="AB65">
            <v>1.64</v>
          </cell>
          <cell r="AC65">
            <v>1.58</v>
          </cell>
          <cell r="AD65">
            <v>1.38</v>
          </cell>
          <cell r="AE65">
            <v>1.41</v>
          </cell>
          <cell r="AF65">
            <v>1.51</v>
          </cell>
          <cell r="AG65">
            <v>1.62</v>
          </cell>
          <cell r="AH65">
            <v>1.66</v>
          </cell>
          <cell r="AI65">
            <v>1.46</v>
          </cell>
          <cell r="AJ65">
            <v>1.33</v>
          </cell>
          <cell r="AK65">
            <v>1.53</v>
          </cell>
          <cell r="AL65">
            <v>1.62</v>
          </cell>
          <cell r="AM65">
            <v>1.76</v>
          </cell>
          <cell r="AN65">
            <v>2.25</v>
          </cell>
          <cell r="AO65">
            <v>3.32</v>
          </cell>
          <cell r="AP65">
            <v>2.35</v>
          </cell>
          <cell r="AQ65">
            <v>2.74</v>
          </cell>
          <cell r="AR65">
            <v>2.7</v>
          </cell>
          <cell r="AS65">
            <v>2.17</v>
          </cell>
          <cell r="AT65">
            <v>2.2999999999999998</v>
          </cell>
          <cell r="AU65">
            <v>2.61</v>
          </cell>
          <cell r="AV65">
            <v>2.2799999999999998</v>
          </cell>
          <cell r="AW65">
            <v>1.81</v>
          </cell>
          <cell r="AX65">
            <v>1.8</v>
          </cell>
          <cell r="AY65">
            <v>2.62</v>
          </cell>
          <cell r="AZ65">
            <v>3.81</v>
          </cell>
          <cell r="BA65">
            <v>4.01</v>
          </cell>
          <cell r="BB65">
            <v>2.88</v>
          </cell>
          <cell r="BC65">
            <v>1.76</v>
          </cell>
          <cell r="BD65">
            <v>1.78</v>
          </cell>
          <cell r="BE65">
            <v>2.08</v>
          </cell>
          <cell r="BF65">
            <v>2.2999999999999998</v>
          </cell>
          <cell r="BG65">
            <v>2.13</v>
          </cell>
          <cell r="BH65">
            <v>2.17</v>
          </cell>
          <cell r="BI65">
            <v>2.54</v>
          </cell>
          <cell r="BJ65">
            <v>3.08</v>
          </cell>
          <cell r="BK65">
            <v>3.24</v>
          </cell>
          <cell r="BL65">
            <v>2.4700000000000002</v>
          </cell>
          <cell r="BM65">
            <v>2.2400000000000002</v>
          </cell>
          <cell r="BN65">
            <v>1.99</v>
          </cell>
          <cell r="BO65">
            <v>2.2200000000000002</v>
          </cell>
          <cell r="BP65">
            <v>2.2400000000000002</v>
          </cell>
          <cell r="BQ65">
            <v>2.25</v>
          </cell>
          <cell r="BR65">
            <v>2</v>
          </cell>
          <cell r="BS65">
            <v>2.33</v>
          </cell>
          <cell r="BT65">
            <v>1.91</v>
          </cell>
          <cell r="BU65">
            <v>1.59</v>
          </cell>
          <cell r="BV65">
            <v>2.0299999999999998</v>
          </cell>
          <cell r="BW65">
            <v>1.98</v>
          </cell>
          <cell r="BX65">
            <v>2.09</v>
          </cell>
          <cell r="BY65">
            <v>1.74</v>
          </cell>
          <cell r="BZ65">
            <v>1.81</v>
          </cell>
          <cell r="CA65">
            <v>1.62</v>
          </cell>
          <cell r="CB65">
            <v>1.87</v>
          </cell>
          <cell r="CC65">
            <v>2.35</v>
          </cell>
          <cell r="CD65">
            <v>2.21</v>
          </cell>
          <cell r="CE65">
            <v>2.25</v>
          </cell>
          <cell r="CF65">
            <v>2.6</v>
          </cell>
          <cell r="CG65">
            <v>2.88</v>
          </cell>
        </row>
        <row r="66">
          <cell r="A66" t="str">
            <v>TXG-ZSL</v>
          </cell>
          <cell r="B66">
            <v>63</v>
          </cell>
          <cell r="C66">
            <v>2.3199999999999998</v>
          </cell>
          <cell r="D66">
            <v>2.2400000000000002</v>
          </cell>
          <cell r="E66">
            <v>1.9</v>
          </cell>
          <cell r="F66">
            <v>1.6</v>
          </cell>
          <cell r="G66">
            <v>1.85</v>
          </cell>
          <cell r="H66">
            <v>2.15</v>
          </cell>
          <cell r="I66">
            <v>2.65</v>
          </cell>
          <cell r="J66">
            <v>1.98</v>
          </cell>
          <cell r="K66">
            <v>1.87</v>
          </cell>
          <cell r="L66">
            <v>2.0499999999999998</v>
          </cell>
          <cell r="M66">
            <v>2.3199999999999998</v>
          </cell>
          <cell r="N66">
            <v>1.98</v>
          </cell>
          <cell r="O66">
            <v>2.09</v>
          </cell>
          <cell r="P66">
            <v>2.3199999999999998</v>
          </cell>
          <cell r="Q66">
            <v>2.0299999999999998</v>
          </cell>
          <cell r="R66">
            <v>2.3199999999999998</v>
          </cell>
          <cell r="S66">
            <v>2.3199999999999998</v>
          </cell>
          <cell r="T66">
            <v>1.93</v>
          </cell>
          <cell r="U66">
            <v>2.0299999999999998</v>
          </cell>
          <cell r="V66">
            <v>1.77</v>
          </cell>
          <cell r="W66">
            <v>1.91</v>
          </cell>
          <cell r="X66">
            <v>1.75</v>
          </cell>
          <cell r="Y66">
            <v>1.44</v>
          </cell>
          <cell r="Z66">
            <v>1.37</v>
          </cell>
          <cell r="AA66">
            <v>1.63</v>
          </cell>
          <cell r="AB66">
            <v>1.64</v>
          </cell>
          <cell r="AC66">
            <v>1.57</v>
          </cell>
          <cell r="AD66">
            <v>1.38</v>
          </cell>
          <cell r="AE66">
            <v>1.4</v>
          </cell>
          <cell r="AF66">
            <v>1.51</v>
          </cell>
          <cell r="AG66">
            <v>1.62</v>
          </cell>
          <cell r="AH66">
            <v>1.67</v>
          </cell>
          <cell r="AI66">
            <v>1.46</v>
          </cell>
          <cell r="AJ66">
            <v>1.32</v>
          </cell>
          <cell r="AK66">
            <v>1.53</v>
          </cell>
          <cell r="AL66">
            <v>1.61</v>
          </cell>
          <cell r="AM66">
            <v>1.76</v>
          </cell>
          <cell r="AN66">
            <v>2.2400000000000002</v>
          </cell>
          <cell r="AO66">
            <v>3.35</v>
          </cell>
          <cell r="AP66">
            <v>2.35</v>
          </cell>
          <cell r="AQ66">
            <v>2.8</v>
          </cell>
          <cell r="AR66">
            <v>2.72</v>
          </cell>
          <cell r="AS66">
            <v>2.19</v>
          </cell>
          <cell r="AT66">
            <v>2.3199999999999998</v>
          </cell>
          <cell r="AU66">
            <v>2.62</v>
          </cell>
          <cell r="AV66">
            <v>2.2999999999999998</v>
          </cell>
          <cell r="AW66">
            <v>1.79</v>
          </cell>
          <cell r="AX66">
            <v>1.81</v>
          </cell>
          <cell r="AY66">
            <v>2.64</v>
          </cell>
          <cell r="AZ66">
            <v>3.84</v>
          </cell>
          <cell r="BA66">
            <v>4.0199999999999996</v>
          </cell>
          <cell r="BB66">
            <v>2.88</v>
          </cell>
          <cell r="BC66">
            <v>1.77</v>
          </cell>
          <cell r="BD66">
            <v>1.79</v>
          </cell>
          <cell r="BE66">
            <v>2.1</v>
          </cell>
          <cell r="BF66">
            <v>2.31</v>
          </cell>
          <cell r="BG66">
            <v>2.13</v>
          </cell>
          <cell r="BH66">
            <v>2.16</v>
          </cell>
          <cell r="BI66">
            <v>2.5299999999999998</v>
          </cell>
          <cell r="BJ66">
            <v>3.08</v>
          </cell>
          <cell r="BK66">
            <v>3.26</v>
          </cell>
          <cell r="BL66">
            <v>2.5099999999999998</v>
          </cell>
          <cell r="BM66">
            <v>2.25</v>
          </cell>
          <cell r="BN66">
            <v>1.99</v>
          </cell>
          <cell r="BO66">
            <v>2.23</v>
          </cell>
          <cell r="BP66">
            <v>2.2200000000000002</v>
          </cell>
          <cell r="BQ66">
            <v>2.25</v>
          </cell>
          <cell r="BR66">
            <v>2</v>
          </cell>
          <cell r="BS66">
            <v>2.33</v>
          </cell>
          <cell r="BT66">
            <v>1.91</v>
          </cell>
          <cell r="BU66">
            <v>1.58</v>
          </cell>
          <cell r="BV66">
            <v>2.02</v>
          </cell>
          <cell r="BW66">
            <v>1.96</v>
          </cell>
          <cell r="BX66">
            <v>2.0699999999999998</v>
          </cell>
          <cell r="BY66">
            <v>1.74</v>
          </cell>
          <cell r="BZ66">
            <v>1.79</v>
          </cell>
          <cell r="CA66">
            <v>1.61</v>
          </cell>
          <cell r="CB66">
            <v>1.87</v>
          </cell>
          <cell r="CC66">
            <v>2.34</v>
          </cell>
          <cell r="CD66">
            <v>2.2000000000000002</v>
          </cell>
          <cell r="CE66">
            <v>2.2400000000000002</v>
          </cell>
          <cell r="CF66">
            <v>2.59</v>
          </cell>
          <cell r="CG66">
            <v>2.87</v>
          </cell>
        </row>
        <row r="67">
          <cell r="A67" t="str">
            <v>VAL-TX</v>
          </cell>
          <cell r="B67">
            <v>64</v>
          </cell>
          <cell r="C67">
            <v>2.04</v>
          </cell>
          <cell r="D67">
            <v>2.0499999999999998</v>
          </cell>
          <cell r="E67">
            <v>1.9</v>
          </cell>
          <cell r="F67">
            <v>1.56</v>
          </cell>
          <cell r="G67">
            <v>1.8</v>
          </cell>
          <cell r="H67">
            <v>2.15</v>
          </cell>
          <cell r="I67">
            <v>2.5</v>
          </cell>
          <cell r="J67">
            <v>1.81</v>
          </cell>
          <cell r="K67">
            <v>1.82</v>
          </cell>
          <cell r="L67">
            <v>2.02</v>
          </cell>
          <cell r="M67">
            <v>2.2400000000000002</v>
          </cell>
          <cell r="N67">
            <v>1.85</v>
          </cell>
          <cell r="O67">
            <v>1.95</v>
          </cell>
          <cell r="P67">
            <v>2.2999999999999998</v>
          </cell>
          <cell r="Q67">
            <v>1.91</v>
          </cell>
          <cell r="R67">
            <v>2</v>
          </cell>
          <cell r="S67">
            <v>2.09</v>
          </cell>
          <cell r="T67">
            <v>1.84</v>
          </cell>
          <cell r="U67">
            <v>1.9</v>
          </cell>
          <cell r="V67">
            <v>1.64</v>
          </cell>
          <cell r="W67">
            <v>1.85</v>
          </cell>
          <cell r="X67">
            <v>1.65</v>
          </cell>
          <cell r="Y67">
            <v>1.39</v>
          </cell>
          <cell r="Z67">
            <v>1.29</v>
          </cell>
          <cell r="AA67">
            <v>1.56</v>
          </cell>
          <cell r="AB67">
            <v>1.58</v>
          </cell>
          <cell r="AC67">
            <v>1.45</v>
          </cell>
          <cell r="AD67">
            <v>1.26</v>
          </cell>
          <cell r="AE67">
            <v>1.28</v>
          </cell>
          <cell r="AF67">
            <v>1.38</v>
          </cell>
          <cell r="AG67">
            <v>1.5</v>
          </cell>
          <cell r="AH67">
            <v>1.53</v>
          </cell>
          <cell r="AI67">
            <v>1.36</v>
          </cell>
          <cell r="AJ67">
            <v>1.26</v>
          </cell>
          <cell r="AK67">
            <v>1.43</v>
          </cell>
          <cell r="AL67">
            <v>1.5</v>
          </cell>
          <cell r="AM67">
            <v>1.61</v>
          </cell>
          <cell r="AN67">
            <v>1.97</v>
          </cell>
          <cell r="AO67">
            <v>2.04</v>
          </cell>
          <cell r="AP67">
            <v>1.77</v>
          </cell>
          <cell r="AQ67">
            <v>1.89</v>
          </cell>
          <cell r="AR67">
            <v>2.1800000000000002</v>
          </cell>
          <cell r="AS67">
            <v>2.06</v>
          </cell>
          <cell r="AT67">
            <v>2.1800000000000002</v>
          </cell>
          <cell r="AU67">
            <v>2.37</v>
          </cell>
          <cell r="AV67">
            <v>2.16</v>
          </cell>
          <cell r="AW67">
            <v>1.74</v>
          </cell>
          <cell r="AX67">
            <v>1.71</v>
          </cell>
          <cell r="AY67">
            <v>2.4900000000000002</v>
          </cell>
          <cell r="AZ67">
            <v>3.55</v>
          </cell>
          <cell r="BA67">
            <v>3.76</v>
          </cell>
          <cell r="BB67">
            <v>2.64</v>
          </cell>
          <cell r="BC67">
            <v>1.6</v>
          </cell>
          <cell r="BD67">
            <v>1.69</v>
          </cell>
          <cell r="BE67">
            <v>1.96</v>
          </cell>
          <cell r="BF67">
            <v>2.17</v>
          </cell>
          <cell r="BG67">
            <v>2.0299999999999998</v>
          </cell>
          <cell r="BH67">
            <v>2.0699999999999998</v>
          </cell>
          <cell r="BI67">
            <v>2.38</v>
          </cell>
          <cell r="BJ67">
            <v>3</v>
          </cell>
          <cell r="BK67">
            <v>3.15</v>
          </cell>
          <cell r="BL67">
            <v>2.31</v>
          </cell>
          <cell r="BM67">
            <v>2.09</v>
          </cell>
          <cell r="BN67">
            <v>1.88</v>
          </cell>
          <cell r="BO67">
            <v>2.11</v>
          </cell>
          <cell r="BP67">
            <v>2.1800000000000002</v>
          </cell>
          <cell r="BQ67">
            <v>2.17</v>
          </cell>
          <cell r="BR67">
            <v>1.93</v>
          </cell>
        </row>
        <row r="68">
          <cell r="A68" t="str">
            <v>WILL-TOK</v>
          </cell>
          <cell r="B68">
            <v>65</v>
          </cell>
          <cell r="C68">
            <v>1.98</v>
          </cell>
          <cell r="D68">
            <v>2</v>
          </cell>
          <cell r="E68">
            <v>2.0299999999999998</v>
          </cell>
          <cell r="F68">
            <v>1.65</v>
          </cell>
          <cell r="G68">
            <v>1.85</v>
          </cell>
          <cell r="H68">
            <v>2.0699999999999998</v>
          </cell>
          <cell r="I68">
            <v>2.57</v>
          </cell>
          <cell r="J68">
            <v>1.75</v>
          </cell>
          <cell r="K68">
            <v>1.73</v>
          </cell>
          <cell r="L68">
            <v>1.86</v>
          </cell>
          <cell r="M68">
            <v>2.1</v>
          </cell>
          <cell r="N68">
            <v>1.83</v>
          </cell>
          <cell r="O68">
            <v>1.83</v>
          </cell>
          <cell r="P68">
            <v>2.25</v>
          </cell>
          <cell r="Q68">
            <v>1.94</v>
          </cell>
          <cell r="R68">
            <v>2.1</v>
          </cell>
          <cell r="S68">
            <v>2.11</v>
          </cell>
          <cell r="T68">
            <v>1.76</v>
          </cell>
          <cell r="U68">
            <v>1.77</v>
          </cell>
          <cell r="V68">
            <v>1.53</v>
          </cell>
          <cell r="W68">
            <v>1.61</v>
          </cell>
          <cell r="X68">
            <v>1.55</v>
          </cell>
          <cell r="Y68">
            <v>1.33</v>
          </cell>
          <cell r="Z68">
            <v>1.24</v>
          </cell>
          <cell r="AA68">
            <v>1.45</v>
          </cell>
          <cell r="AB68">
            <v>1.6</v>
          </cell>
          <cell r="AC68">
            <v>1.51</v>
          </cell>
          <cell r="AD68">
            <v>1.23</v>
          </cell>
          <cell r="AE68">
            <v>1.24</v>
          </cell>
          <cell r="AF68">
            <v>1.27</v>
          </cell>
          <cell r="AG68">
            <v>1.4</v>
          </cell>
          <cell r="AH68">
            <v>1.44</v>
          </cell>
          <cell r="AI68">
            <v>1.23</v>
          </cell>
          <cell r="AJ68">
            <v>1.18</v>
          </cell>
          <cell r="AK68">
            <v>1.42</v>
          </cell>
          <cell r="AL68">
            <v>1.49</v>
          </cell>
          <cell r="AM68">
            <v>1.6</v>
          </cell>
          <cell r="AN68">
            <v>1.88</v>
          </cell>
          <cell r="AO68">
            <v>2.0299999999999998</v>
          </cell>
          <cell r="AP68">
            <v>1.84</v>
          </cell>
          <cell r="AQ68">
            <v>1.9</v>
          </cell>
          <cell r="AR68">
            <v>2.15</v>
          </cell>
          <cell r="AS68">
            <v>2</v>
          </cell>
          <cell r="AT68">
            <v>2.0299999999999998</v>
          </cell>
          <cell r="AU68">
            <v>2.1800000000000002</v>
          </cell>
          <cell r="AV68">
            <v>2.14</v>
          </cell>
          <cell r="AW68">
            <v>1.67</v>
          </cell>
          <cell r="AX68">
            <v>1.68</v>
          </cell>
          <cell r="AY68">
            <v>2.5</v>
          </cell>
          <cell r="AZ68">
            <v>3.68</v>
          </cell>
          <cell r="BA68">
            <v>4.3</v>
          </cell>
          <cell r="BB68">
            <v>2.81</v>
          </cell>
          <cell r="BC68">
            <v>2.81</v>
          </cell>
          <cell r="BD68">
            <v>1.7</v>
          </cell>
          <cell r="BE68">
            <v>1.92</v>
          </cell>
          <cell r="BG68">
            <v>2.04</v>
          </cell>
          <cell r="BH68">
            <v>2.0499999999999998</v>
          </cell>
          <cell r="BI68">
            <v>2.38</v>
          </cell>
          <cell r="BJ68">
            <v>2.98</v>
          </cell>
          <cell r="BK68">
            <v>3.15</v>
          </cell>
          <cell r="BL68">
            <v>2.37</v>
          </cell>
          <cell r="BM68">
            <v>2.15</v>
          </cell>
          <cell r="BN68">
            <v>1.92</v>
          </cell>
          <cell r="BO68">
            <v>2.15</v>
          </cell>
          <cell r="BP68">
            <v>2.1800000000000002</v>
          </cell>
          <cell r="BQ68">
            <v>2.16</v>
          </cell>
          <cell r="BR68">
            <v>1.93</v>
          </cell>
          <cell r="BS68">
            <v>2.27</v>
          </cell>
          <cell r="BT68">
            <v>1.85</v>
          </cell>
          <cell r="BU68">
            <v>1.56</v>
          </cell>
          <cell r="BV68">
            <v>1.9</v>
          </cell>
          <cell r="BW68">
            <v>1.94</v>
          </cell>
          <cell r="BX68">
            <v>2.0499999999999998</v>
          </cell>
          <cell r="BY68">
            <v>1.78</v>
          </cell>
          <cell r="BZ68">
            <v>1.75</v>
          </cell>
          <cell r="CA68">
            <v>1.57</v>
          </cell>
          <cell r="CB68">
            <v>1.74</v>
          </cell>
          <cell r="CC68">
            <v>2.2200000000000002</v>
          </cell>
          <cell r="CD68">
            <v>2.12</v>
          </cell>
          <cell r="CE68">
            <v>2.17</v>
          </cell>
          <cell r="CF68">
            <v>2.5</v>
          </cell>
          <cell r="CG68">
            <v>2.77</v>
          </cell>
        </row>
      </sheetData>
      <sheetData sheetId="1" refreshError="1">
        <row r="2">
          <cell r="A2">
            <v>33909</v>
          </cell>
          <cell r="B2">
            <v>3</v>
          </cell>
          <cell r="D2" t="str">
            <v>3D</v>
          </cell>
          <cell r="E2" t="str">
            <v>3D Avg</v>
          </cell>
          <cell r="F2">
            <v>2</v>
          </cell>
        </row>
        <row r="3">
          <cell r="A3">
            <v>33939</v>
          </cell>
          <cell r="B3">
            <v>4</v>
          </cell>
          <cell r="D3" t="str">
            <v>2D</v>
          </cell>
          <cell r="E3" t="str">
            <v>2D Avg</v>
          </cell>
          <cell r="F3">
            <v>3</v>
          </cell>
        </row>
        <row r="4">
          <cell r="A4">
            <v>33970</v>
          </cell>
          <cell r="B4">
            <v>5</v>
          </cell>
          <cell r="D4" t="str">
            <v>FD</v>
          </cell>
          <cell r="E4" t="str">
            <v>Settle</v>
          </cell>
          <cell r="F4">
            <v>4</v>
          </cell>
        </row>
        <row r="5">
          <cell r="A5">
            <v>34001</v>
          </cell>
          <cell r="B5">
            <v>6</v>
          </cell>
          <cell r="D5" t="str">
            <v>AECO-NT</v>
          </cell>
          <cell r="E5" t="str">
            <v>AECO Hub</v>
          </cell>
          <cell r="F5">
            <v>5</v>
          </cell>
        </row>
        <row r="6">
          <cell r="A6">
            <v>34029</v>
          </cell>
          <cell r="B6">
            <v>7</v>
          </cell>
          <cell r="D6" t="str">
            <v>ANR-LA</v>
          </cell>
          <cell r="E6" t="str">
            <v>ANR-Louisiana</v>
          </cell>
          <cell r="F6">
            <v>6</v>
          </cell>
        </row>
        <row r="7">
          <cell r="A7">
            <v>34060</v>
          </cell>
          <cell r="B7">
            <v>8</v>
          </cell>
          <cell r="D7" t="str">
            <v>ANR-OFF</v>
          </cell>
          <cell r="E7" t="str">
            <v>ANR-Offshore</v>
          </cell>
          <cell r="F7">
            <v>7</v>
          </cell>
        </row>
        <row r="8">
          <cell r="A8">
            <v>34090</v>
          </cell>
          <cell r="B8">
            <v>9</v>
          </cell>
          <cell r="D8" t="str">
            <v>ANR-OK</v>
          </cell>
          <cell r="E8" t="str">
            <v>ANR-Oklahoma</v>
          </cell>
          <cell r="F8">
            <v>8</v>
          </cell>
        </row>
        <row r="9">
          <cell r="A9">
            <v>34121</v>
          </cell>
          <cell r="B9">
            <v>10</v>
          </cell>
          <cell r="D9" t="str">
            <v>CG-APP</v>
          </cell>
          <cell r="E9" t="str">
            <v>Columbia Gas-App</v>
          </cell>
          <cell r="F9">
            <v>9</v>
          </cell>
        </row>
        <row r="10">
          <cell r="A10">
            <v>34151</v>
          </cell>
          <cell r="B10">
            <v>11</v>
          </cell>
          <cell r="D10" t="str">
            <v>CGLF-LA</v>
          </cell>
          <cell r="E10" t="str">
            <v>Columbia Gulf-Louisiana</v>
          </cell>
          <cell r="F10">
            <v>10</v>
          </cell>
        </row>
        <row r="11">
          <cell r="A11">
            <v>34182</v>
          </cell>
          <cell r="B11">
            <v>12</v>
          </cell>
          <cell r="D11" t="str">
            <v>CGLF-OFS</v>
          </cell>
          <cell r="E11" t="str">
            <v>Columbia Gulf-Offshore</v>
          </cell>
          <cell r="F11">
            <v>11</v>
          </cell>
        </row>
        <row r="12">
          <cell r="A12">
            <v>34213</v>
          </cell>
          <cell r="B12">
            <v>13</v>
          </cell>
          <cell r="D12" t="str">
            <v>CHIC</v>
          </cell>
          <cell r="E12" t="str">
            <v>Chicago City Gate</v>
          </cell>
          <cell r="F12">
            <v>12</v>
          </cell>
        </row>
        <row r="13">
          <cell r="A13">
            <v>34243</v>
          </cell>
          <cell r="B13">
            <v>14</v>
          </cell>
          <cell r="D13" t="str">
            <v>CIG-ROCK</v>
          </cell>
          <cell r="E13" t="str">
            <v>CIG-Rocky Mtn</v>
          </cell>
          <cell r="F13">
            <v>13</v>
          </cell>
        </row>
        <row r="14">
          <cell r="A14">
            <v>34274</v>
          </cell>
          <cell r="B14">
            <v>15</v>
          </cell>
          <cell r="D14" t="str">
            <v>CNG</v>
          </cell>
          <cell r="E14" t="str">
            <v>CNG-Appalacian</v>
          </cell>
          <cell r="F14">
            <v>14</v>
          </cell>
        </row>
        <row r="15">
          <cell r="A15">
            <v>34304</v>
          </cell>
          <cell r="B15">
            <v>16</v>
          </cell>
          <cell r="D15" t="str">
            <v>EPNG-ANAD</v>
          </cell>
          <cell r="E15" t="str">
            <v>El Paso-Anadarko</v>
          </cell>
          <cell r="F15">
            <v>15</v>
          </cell>
        </row>
        <row r="16">
          <cell r="A16">
            <v>34335</v>
          </cell>
          <cell r="B16">
            <v>17</v>
          </cell>
          <cell r="D16" t="str">
            <v>EPNG-PERM</v>
          </cell>
          <cell r="E16" t="str">
            <v>El Paso-Permian</v>
          </cell>
          <cell r="F16">
            <v>16</v>
          </cell>
        </row>
        <row r="17">
          <cell r="A17">
            <v>34366</v>
          </cell>
          <cell r="B17">
            <v>18</v>
          </cell>
          <cell r="D17" t="str">
            <v>EPNG-SJ</v>
          </cell>
          <cell r="E17" t="str">
            <v>El Paso-San Juan</v>
          </cell>
          <cell r="F17">
            <v>17</v>
          </cell>
        </row>
        <row r="18">
          <cell r="A18">
            <v>34394</v>
          </cell>
          <cell r="B18">
            <v>19</v>
          </cell>
          <cell r="D18" t="str">
            <v>FGT-Z1</v>
          </cell>
          <cell r="E18" t="str">
            <v>Florida-Zone 1</v>
          </cell>
          <cell r="F18">
            <v>18</v>
          </cell>
        </row>
        <row r="19">
          <cell r="A19">
            <v>34425</v>
          </cell>
          <cell r="B19">
            <v>20</v>
          </cell>
          <cell r="D19" t="str">
            <v>FGT-Z2</v>
          </cell>
          <cell r="E19" t="str">
            <v>Florida-Zone 2</v>
          </cell>
          <cell r="F19">
            <v>19</v>
          </cell>
        </row>
        <row r="20">
          <cell r="A20">
            <v>34455</v>
          </cell>
          <cell r="B20">
            <v>21</v>
          </cell>
          <cell r="D20" t="str">
            <v>FGT-Z3</v>
          </cell>
          <cell r="E20" t="str">
            <v>Florida-Zone 3</v>
          </cell>
          <cell r="F20">
            <v>20</v>
          </cell>
        </row>
        <row r="21">
          <cell r="A21">
            <v>34486</v>
          </cell>
          <cell r="B21">
            <v>22</v>
          </cell>
          <cell r="D21" t="str">
            <v>HSC</v>
          </cell>
          <cell r="E21" t="str">
            <v>Hous Ship Chan</v>
          </cell>
          <cell r="F21">
            <v>21</v>
          </cell>
        </row>
        <row r="22">
          <cell r="A22">
            <v>34516</v>
          </cell>
          <cell r="B22">
            <v>23</v>
          </cell>
          <cell r="D22" t="str">
            <v>HUB</v>
          </cell>
          <cell r="E22" t="str">
            <v>Henry Hub</v>
          </cell>
          <cell r="F22">
            <v>22</v>
          </cell>
        </row>
        <row r="23">
          <cell r="A23">
            <v>34547</v>
          </cell>
          <cell r="B23">
            <v>24</v>
          </cell>
          <cell r="D23" t="str">
            <v>KERN</v>
          </cell>
          <cell r="E23" t="str">
            <v>Kern River</v>
          </cell>
          <cell r="F23">
            <v>23</v>
          </cell>
        </row>
        <row r="24">
          <cell r="A24">
            <v>34578</v>
          </cell>
          <cell r="B24">
            <v>25</v>
          </cell>
          <cell r="D24" t="str">
            <v>KERN-NGI</v>
          </cell>
          <cell r="E24" t="str">
            <v>Kern River-NGI</v>
          </cell>
          <cell r="F24">
            <v>24</v>
          </cell>
        </row>
        <row r="25">
          <cell r="A25">
            <v>34608</v>
          </cell>
          <cell r="B25">
            <v>26</v>
          </cell>
          <cell r="D25" t="str">
            <v>KOCH-LA</v>
          </cell>
          <cell r="E25" t="str">
            <v>Koch Gateway-LA</v>
          </cell>
          <cell r="F25">
            <v>25</v>
          </cell>
        </row>
        <row r="26">
          <cell r="A26">
            <v>34639</v>
          </cell>
          <cell r="B26">
            <v>27</v>
          </cell>
          <cell r="D26" t="str">
            <v>KOCH-TX</v>
          </cell>
          <cell r="E26" t="str">
            <v>Koch Gateway-TX</v>
          </cell>
          <cell r="F26">
            <v>26</v>
          </cell>
        </row>
        <row r="27">
          <cell r="A27">
            <v>34669</v>
          </cell>
          <cell r="B27">
            <v>28</v>
          </cell>
          <cell r="D27" t="str">
            <v>MALIN-400</v>
          </cell>
          <cell r="E27" t="str">
            <v>Malin-400 Border</v>
          </cell>
          <cell r="F27">
            <v>27</v>
          </cell>
        </row>
        <row r="28">
          <cell r="A28">
            <v>34700</v>
          </cell>
          <cell r="B28">
            <v>29</v>
          </cell>
          <cell r="D28" t="str">
            <v>MALIN-401</v>
          </cell>
          <cell r="E28" t="str">
            <v>Malin-401 Border</v>
          </cell>
          <cell r="F28">
            <v>28</v>
          </cell>
        </row>
        <row r="29">
          <cell r="A29">
            <v>34731</v>
          </cell>
          <cell r="B29">
            <v>30</v>
          </cell>
          <cell r="D29" t="str">
            <v>MICH</v>
          </cell>
          <cell r="E29" t="str">
            <v>MichCon</v>
          </cell>
          <cell r="F29">
            <v>29</v>
          </cell>
        </row>
        <row r="30">
          <cell r="A30">
            <v>34759</v>
          </cell>
          <cell r="B30">
            <v>31</v>
          </cell>
          <cell r="D30" t="str">
            <v>MRC</v>
          </cell>
          <cell r="E30" t="str">
            <v>Miss River Corr</v>
          </cell>
          <cell r="F30">
            <v>30</v>
          </cell>
        </row>
        <row r="31">
          <cell r="A31">
            <v>34790</v>
          </cell>
          <cell r="B31">
            <v>32</v>
          </cell>
          <cell r="D31" t="str">
            <v>NGPL-LA</v>
          </cell>
          <cell r="E31" t="str">
            <v>NGPL-Louisiana</v>
          </cell>
          <cell r="F31">
            <v>31</v>
          </cell>
        </row>
        <row r="32">
          <cell r="A32">
            <v>34820</v>
          </cell>
          <cell r="B32">
            <v>33</v>
          </cell>
          <cell r="D32" t="str">
            <v>NGPL-MC</v>
          </cell>
          <cell r="E32" t="str">
            <v>NGPL-MidContinent</v>
          </cell>
          <cell r="F32">
            <v>32</v>
          </cell>
        </row>
        <row r="33">
          <cell r="A33">
            <v>34851</v>
          </cell>
          <cell r="B33">
            <v>34</v>
          </cell>
          <cell r="D33" t="str">
            <v>NGPL-OK</v>
          </cell>
          <cell r="E33" t="str">
            <v>NGPL-Oklahoma</v>
          </cell>
          <cell r="F33">
            <v>33</v>
          </cell>
        </row>
        <row r="34">
          <cell r="A34">
            <v>34881</v>
          </cell>
          <cell r="B34">
            <v>35</v>
          </cell>
          <cell r="D34" t="str">
            <v>NGPL-STX</v>
          </cell>
          <cell r="E34" t="str">
            <v>NGPL-Texas</v>
          </cell>
          <cell r="F34">
            <v>34</v>
          </cell>
        </row>
        <row r="35">
          <cell r="A35">
            <v>34912</v>
          </cell>
          <cell r="B35">
            <v>36</v>
          </cell>
          <cell r="D35" t="str">
            <v>NNG-DEMARC</v>
          </cell>
          <cell r="E35" t="str">
            <v>Northern-Demarc</v>
          </cell>
          <cell r="F35">
            <v>35</v>
          </cell>
        </row>
        <row r="36">
          <cell r="A36">
            <v>34943</v>
          </cell>
          <cell r="B36">
            <v>37</v>
          </cell>
          <cell r="D36" t="str">
            <v>NNG-TOK</v>
          </cell>
          <cell r="E36" t="str">
            <v>Northern-TOK</v>
          </cell>
          <cell r="F36">
            <v>36</v>
          </cell>
        </row>
        <row r="37">
          <cell r="A37">
            <v>34973</v>
          </cell>
          <cell r="B37">
            <v>38</v>
          </cell>
          <cell r="D37" t="str">
            <v>NNG-VENT</v>
          </cell>
          <cell r="E37" t="str">
            <v>Northern-Ventura</v>
          </cell>
          <cell r="F37">
            <v>37</v>
          </cell>
        </row>
        <row r="38">
          <cell r="A38">
            <v>35004</v>
          </cell>
          <cell r="B38">
            <v>39</v>
          </cell>
          <cell r="D38" t="str">
            <v>NOR-AM</v>
          </cell>
          <cell r="E38" t="str">
            <v>Noram</v>
          </cell>
          <cell r="F38">
            <v>38</v>
          </cell>
        </row>
        <row r="39">
          <cell r="A39">
            <v>35034</v>
          </cell>
          <cell r="B39">
            <v>40</v>
          </cell>
          <cell r="D39" t="str">
            <v>NOR-EAST</v>
          </cell>
          <cell r="E39" t="str">
            <v>Noram East</v>
          </cell>
          <cell r="F39">
            <v>39</v>
          </cell>
        </row>
        <row r="40">
          <cell r="A40">
            <v>35065</v>
          </cell>
          <cell r="B40">
            <v>41</v>
          </cell>
          <cell r="D40" t="str">
            <v>NOR-WEST</v>
          </cell>
          <cell r="E40" t="str">
            <v>Noram West</v>
          </cell>
          <cell r="F40">
            <v>40</v>
          </cell>
        </row>
        <row r="41">
          <cell r="A41">
            <v>35096</v>
          </cell>
          <cell r="B41">
            <v>42</v>
          </cell>
          <cell r="D41" t="str">
            <v>NWPL-CAN</v>
          </cell>
          <cell r="E41" t="str">
            <v>Northwest-Canada</v>
          </cell>
          <cell r="F41">
            <v>41</v>
          </cell>
        </row>
        <row r="42">
          <cell r="A42">
            <v>35125</v>
          </cell>
          <cell r="B42">
            <v>43</v>
          </cell>
          <cell r="D42" t="str">
            <v>NWPL-ROCK</v>
          </cell>
          <cell r="E42" t="str">
            <v>Northwest-Rock Mtn</v>
          </cell>
          <cell r="F42">
            <v>42</v>
          </cell>
        </row>
        <row r="43">
          <cell r="A43">
            <v>35156</v>
          </cell>
          <cell r="B43">
            <v>44</v>
          </cell>
          <cell r="D43" t="str">
            <v>ONG-OKL</v>
          </cell>
          <cell r="E43" t="str">
            <v>ONG-Oklahoma</v>
          </cell>
          <cell r="F43">
            <v>43</v>
          </cell>
        </row>
        <row r="44">
          <cell r="A44">
            <v>35186</v>
          </cell>
          <cell r="B44">
            <v>45</v>
          </cell>
          <cell r="D44" t="str">
            <v>PEPL-FZ</v>
          </cell>
          <cell r="E44" t="str">
            <v>Panhandle-Field Zone</v>
          </cell>
          <cell r="F44">
            <v>44</v>
          </cell>
        </row>
        <row r="45">
          <cell r="A45">
            <v>35217</v>
          </cell>
          <cell r="B45">
            <v>46</v>
          </cell>
          <cell r="D45" t="str">
            <v>QUEST</v>
          </cell>
          <cell r="E45" t="str">
            <v>Questar</v>
          </cell>
          <cell r="F45">
            <v>45</v>
          </cell>
        </row>
        <row r="46">
          <cell r="A46">
            <v>35247</v>
          </cell>
          <cell r="B46">
            <v>47</v>
          </cell>
          <cell r="D46" t="str">
            <v>NGI-Socal</v>
          </cell>
          <cell r="E46" t="str">
            <v>So Cal Border</v>
          </cell>
          <cell r="F46">
            <v>46</v>
          </cell>
        </row>
        <row r="47">
          <cell r="A47">
            <v>35278</v>
          </cell>
          <cell r="B47">
            <v>48</v>
          </cell>
          <cell r="D47" t="str">
            <v>SONAT-LA</v>
          </cell>
          <cell r="E47" t="str">
            <v>Southern-Louisiana</v>
          </cell>
          <cell r="F47">
            <v>47</v>
          </cell>
        </row>
        <row r="48">
          <cell r="A48">
            <v>35309</v>
          </cell>
          <cell r="B48">
            <v>49</v>
          </cell>
          <cell r="D48" t="str">
            <v>TANG</v>
          </cell>
          <cell r="E48" t="str">
            <v>Transamerican</v>
          </cell>
          <cell r="F48">
            <v>48</v>
          </cell>
        </row>
        <row r="49">
          <cell r="A49">
            <v>35339</v>
          </cell>
          <cell r="B49">
            <v>50</v>
          </cell>
          <cell r="D49" t="str">
            <v>TENN-Z0</v>
          </cell>
          <cell r="E49" t="str">
            <v>Tennessee-Zone 0</v>
          </cell>
          <cell r="F49">
            <v>49</v>
          </cell>
        </row>
        <row r="50">
          <cell r="A50">
            <v>35370</v>
          </cell>
          <cell r="B50">
            <v>51</v>
          </cell>
          <cell r="D50" t="str">
            <v>TENN-Z1</v>
          </cell>
          <cell r="E50" t="str">
            <v>Tennessee-Zone 1</v>
          </cell>
          <cell r="F50">
            <v>50</v>
          </cell>
        </row>
        <row r="51">
          <cell r="A51">
            <v>35400</v>
          </cell>
          <cell r="B51">
            <v>52</v>
          </cell>
          <cell r="D51" t="str">
            <v>TET-ELA</v>
          </cell>
          <cell r="E51" t="str">
            <v>Texas Eastern-ELA</v>
          </cell>
          <cell r="F51">
            <v>51</v>
          </cell>
        </row>
        <row r="52">
          <cell r="A52">
            <v>35431</v>
          </cell>
          <cell r="B52">
            <v>53</v>
          </cell>
          <cell r="D52" t="str">
            <v>TET-ETX</v>
          </cell>
          <cell r="E52" t="str">
            <v>Texas Eastern-ETX</v>
          </cell>
          <cell r="F52">
            <v>52</v>
          </cell>
        </row>
        <row r="53">
          <cell r="A53">
            <v>35462</v>
          </cell>
          <cell r="B53">
            <v>54</v>
          </cell>
          <cell r="D53" t="str">
            <v>TET-M3</v>
          </cell>
          <cell r="E53" t="str">
            <v>Texas Eastern-M3</v>
          </cell>
          <cell r="F53">
            <v>53</v>
          </cell>
        </row>
        <row r="54">
          <cell r="A54">
            <v>35490</v>
          </cell>
          <cell r="B54">
            <v>55</v>
          </cell>
          <cell r="D54" t="str">
            <v>TET-STX</v>
          </cell>
          <cell r="E54" t="str">
            <v>Texas Eastern-STX</v>
          </cell>
          <cell r="F54">
            <v>54</v>
          </cell>
        </row>
        <row r="55">
          <cell r="A55">
            <v>35521</v>
          </cell>
          <cell r="B55">
            <v>56</v>
          </cell>
          <cell r="D55" t="str">
            <v>TET-WLA</v>
          </cell>
          <cell r="E55" t="str">
            <v>Texas Eastern-WLA</v>
          </cell>
          <cell r="F55">
            <v>55</v>
          </cell>
        </row>
        <row r="56">
          <cell r="A56">
            <v>35551</v>
          </cell>
          <cell r="B56">
            <v>57</v>
          </cell>
          <cell r="D56" t="str">
            <v>TRAN-Z1</v>
          </cell>
          <cell r="E56" t="str">
            <v>Transco-Zone 1</v>
          </cell>
          <cell r="F56">
            <v>56</v>
          </cell>
        </row>
        <row r="57">
          <cell r="A57">
            <v>35582</v>
          </cell>
          <cell r="B57">
            <v>58</v>
          </cell>
          <cell r="D57" t="str">
            <v>TRAN-Z2</v>
          </cell>
          <cell r="E57" t="str">
            <v>Transco-Zone 2</v>
          </cell>
          <cell r="F57">
            <v>57</v>
          </cell>
        </row>
        <row r="58">
          <cell r="A58">
            <v>35612</v>
          </cell>
          <cell r="B58">
            <v>59</v>
          </cell>
          <cell r="D58" t="str">
            <v>TRAN-Z3</v>
          </cell>
          <cell r="E58" t="str">
            <v>Transco-Zone 3</v>
          </cell>
          <cell r="F58">
            <v>58</v>
          </cell>
        </row>
        <row r="59">
          <cell r="A59">
            <v>35643</v>
          </cell>
          <cell r="B59">
            <v>60</v>
          </cell>
          <cell r="D59" t="str">
            <v>TRAN-Z4</v>
          </cell>
          <cell r="E59" t="str">
            <v>Transco-Zone 4</v>
          </cell>
          <cell r="F59">
            <v>59</v>
          </cell>
        </row>
        <row r="60">
          <cell r="A60">
            <v>35674</v>
          </cell>
          <cell r="B60">
            <v>61</v>
          </cell>
          <cell r="D60" t="str">
            <v>TRAN-Z6</v>
          </cell>
          <cell r="E60" t="str">
            <v>Transco-Zone 6</v>
          </cell>
          <cell r="F60">
            <v>60</v>
          </cell>
        </row>
        <row r="61">
          <cell r="A61">
            <v>35704</v>
          </cell>
          <cell r="B61">
            <v>62</v>
          </cell>
          <cell r="D61" t="str">
            <v>TRUNK-FZ</v>
          </cell>
          <cell r="E61" t="str">
            <v>Trunkline-Field Zone</v>
          </cell>
          <cell r="F61">
            <v>61</v>
          </cell>
        </row>
        <row r="62">
          <cell r="A62">
            <v>35735</v>
          </cell>
          <cell r="B62">
            <v>63</v>
          </cell>
          <cell r="D62" t="str">
            <v>TRUNK-LA</v>
          </cell>
          <cell r="E62" t="str">
            <v>Trunkline-Louisiana</v>
          </cell>
          <cell r="F62">
            <v>62</v>
          </cell>
        </row>
        <row r="63">
          <cell r="A63">
            <v>35765</v>
          </cell>
          <cell r="B63">
            <v>64</v>
          </cell>
          <cell r="D63" t="str">
            <v>TRUNK-TX</v>
          </cell>
          <cell r="E63" t="str">
            <v>Trunkline-Texas</v>
          </cell>
          <cell r="F63">
            <v>63</v>
          </cell>
        </row>
        <row r="64">
          <cell r="A64">
            <v>35796</v>
          </cell>
          <cell r="B64">
            <v>65</v>
          </cell>
          <cell r="D64" t="str">
            <v>TW-PERM</v>
          </cell>
          <cell r="E64" t="str">
            <v>Transwestern-Permian</v>
          </cell>
          <cell r="F64">
            <v>64</v>
          </cell>
        </row>
        <row r="65">
          <cell r="A65">
            <v>35827</v>
          </cell>
          <cell r="B65">
            <v>66</v>
          </cell>
          <cell r="D65" t="str">
            <v>TXG-Z1</v>
          </cell>
          <cell r="E65" t="str">
            <v>Texas Gas-Zone 1</v>
          </cell>
          <cell r="F65">
            <v>65</v>
          </cell>
        </row>
        <row r="66">
          <cell r="A66">
            <v>35855</v>
          </cell>
          <cell r="B66">
            <v>67</v>
          </cell>
          <cell r="D66" t="str">
            <v>TXG-ZSL</v>
          </cell>
          <cell r="E66" t="str">
            <v>Texas Gas-Zone SL</v>
          </cell>
          <cell r="F66">
            <v>66</v>
          </cell>
        </row>
        <row r="67">
          <cell r="A67">
            <v>35886</v>
          </cell>
          <cell r="B67">
            <v>68</v>
          </cell>
          <cell r="D67" t="str">
            <v>VAL-TX</v>
          </cell>
          <cell r="E67" t="str">
            <v>Valero-TX</v>
          </cell>
          <cell r="F67">
            <v>67</v>
          </cell>
        </row>
        <row r="68">
          <cell r="A68">
            <v>35916</v>
          </cell>
          <cell r="B68">
            <v>69</v>
          </cell>
          <cell r="D68" t="str">
            <v>KRS (SOCAL)-NGI</v>
          </cell>
          <cell r="E68" t="str">
            <v>Kern River Station</v>
          </cell>
          <cell r="F68">
            <v>68</v>
          </cell>
        </row>
        <row r="69">
          <cell r="A69">
            <v>35947</v>
          </cell>
          <cell r="B69">
            <v>70</v>
          </cell>
        </row>
        <row r="70">
          <cell r="A70">
            <v>35977</v>
          </cell>
          <cell r="B70">
            <v>71</v>
          </cell>
        </row>
        <row r="71">
          <cell r="A71">
            <v>36008</v>
          </cell>
          <cell r="B71">
            <v>72</v>
          </cell>
        </row>
        <row r="72">
          <cell r="A72">
            <v>36039</v>
          </cell>
          <cell r="B72">
            <v>73</v>
          </cell>
        </row>
        <row r="73">
          <cell r="A73">
            <v>36069</v>
          </cell>
          <cell r="B73">
            <v>74</v>
          </cell>
        </row>
        <row r="74">
          <cell r="A74">
            <v>36100</v>
          </cell>
          <cell r="B74">
            <v>75</v>
          </cell>
        </row>
        <row r="75">
          <cell r="A75">
            <v>36130</v>
          </cell>
          <cell r="B75">
            <v>76</v>
          </cell>
        </row>
        <row r="76">
          <cell r="A76">
            <v>36161</v>
          </cell>
          <cell r="B76">
            <v>77</v>
          </cell>
        </row>
        <row r="77">
          <cell r="A77">
            <v>36192</v>
          </cell>
          <cell r="B77">
            <v>78</v>
          </cell>
        </row>
        <row r="78">
          <cell r="A78">
            <v>36220</v>
          </cell>
          <cell r="B78">
            <v>79</v>
          </cell>
        </row>
        <row r="79">
          <cell r="A79">
            <v>36251</v>
          </cell>
          <cell r="B79">
            <v>80</v>
          </cell>
        </row>
        <row r="80">
          <cell r="A80">
            <v>36281</v>
          </cell>
          <cell r="B80">
            <v>81</v>
          </cell>
        </row>
        <row r="81">
          <cell r="A81">
            <v>36312</v>
          </cell>
          <cell r="B81">
            <v>82</v>
          </cell>
        </row>
        <row r="82">
          <cell r="A82">
            <v>36342</v>
          </cell>
          <cell r="B82">
            <v>83</v>
          </cell>
        </row>
        <row r="83">
          <cell r="A83">
            <v>36373</v>
          </cell>
          <cell r="B83">
            <v>84</v>
          </cell>
        </row>
        <row r="84">
          <cell r="A84">
            <v>36404</v>
          </cell>
          <cell r="B84">
            <v>85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DWtoGTdirectSetup_"/>
      <sheetName val="_UnregulatedCurves_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43"/>
  <sheetViews>
    <sheetView showGridLines="0" tabSelected="1" zoomScale="75" zoomScaleNormal="75" workbookViewId="0">
      <selection activeCell="A6" sqref="A6"/>
    </sheetView>
  </sheetViews>
  <sheetFormatPr defaultColWidth="8.88671875" defaultRowHeight="15.75" x14ac:dyDescent="0.25"/>
  <cols>
    <col min="1" max="1" width="8.88671875" style="1"/>
    <col min="2" max="2" width="15.5546875" style="1" bestFit="1" customWidth="1"/>
    <col min="3" max="3" width="9.5546875" style="1" bestFit="1" customWidth="1"/>
    <col min="4" max="16384" width="8.88671875" style="1"/>
  </cols>
  <sheetData>
    <row r="1" spans="1:3" x14ac:dyDescent="0.25">
      <c r="A1" s="102" t="s">
        <v>90</v>
      </c>
    </row>
    <row r="2" spans="1:3" x14ac:dyDescent="0.25">
      <c r="A2" s="102" t="s">
        <v>91</v>
      </c>
    </row>
    <row r="3" spans="1:3" x14ac:dyDescent="0.25">
      <c r="A3" s="102" t="s">
        <v>92</v>
      </c>
    </row>
    <row r="4" spans="1:3" x14ac:dyDescent="0.25">
      <c r="A4" s="102" t="s">
        <v>93</v>
      </c>
    </row>
    <row r="5" spans="1:3" s="101" customFormat="1" x14ac:dyDescent="0.25">
      <c r="A5" s="102" t="s">
        <v>95</v>
      </c>
    </row>
    <row r="6" spans="1:3" s="101" customFormat="1" x14ac:dyDescent="0.25">
      <c r="A6" s="102" t="s">
        <v>94</v>
      </c>
    </row>
    <row r="8" spans="1:3" x14ac:dyDescent="0.25">
      <c r="B8" s="4" t="s">
        <v>13</v>
      </c>
      <c r="C8" s="4" t="s">
        <v>2</v>
      </c>
    </row>
    <row r="9" spans="1:3" x14ac:dyDescent="0.25">
      <c r="B9" s="6" t="s">
        <v>9</v>
      </c>
      <c r="C9" s="103">
        <v>2</v>
      </c>
    </row>
    <row r="10" spans="1:3" x14ac:dyDescent="0.25">
      <c r="B10" s="6" t="s">
        <v>8</v>
      </c>
      <c r="C10" s="105"/>
    </row>
    <row r="11" spans="1:3" x14ac:dyDescent="0.25">
      <c r="B11" s="5" t="s">
        <v>7</v>
      </c>
      <c r="C11" s="104"/>
    </row>
    <row r="14" spans="1:3" x14ac:dyDescent="0.25">
      <c r="B14" s="4" t="s">
        <v>12</v>
      </c>
      <c r="C14" s="4" t="s">
        <v>2</v>
      </c>
    </row>
    <row r="15" spans="1:3" x14ac:dyDescent="0.25">
      <c r="B15" s="6" t="s">
        <v>9</v>
      </c>
      <c r="C15" s="103">
        <v>2</v>
      </c>
    </row>
    <row r="16" spans="1:3" x14ac:dyDescent="0.25">
      <c r="B16" s="6" t="s">
        <v>8</v>
      </c>
      <c r="C16" s="105"/>
    </row>
    <row r="17" spans="2:3" x14ac:dyDescent="0.25">
      <c r="B17" s="5" t="s">
        <v>7</v>
      </c>
      <c r="C17" s="104"/>
    </row>
    <row r="20" spans="2:3" x14ac:dyDescent="0.25">
      <c r="B20" s="4" t="s">
        <v>3</v>
      </c>
      <c r="C20" s="4" t="s">
        <v>2</v>
      </c>
    </row>
    <row r="21" spans="2:3" x14ac:dyDescent="0.25">
      <c r="B21" s="6" t="s">
        <v>9</v>
      </c>
      <c r="C21" s="103">
        <v>2</v>
      </c>
    </row>
    <row r="22" spans="2:3" x14ac:dyDescent="0.25">
      <c r="B22" s="6" t="s">
        <v>8</v>
      </c>
      <c r="C22" s="105"/>
    </row>
    <row r="23" spans="2:3" x14ac:dyDescent="0.25">
      <c r="B23" s="5" t="s">
        <v>7</v>
      </c>
      <c r="C23" s="104"/>
    </row>
    <row r="26" spans="2:3" x14ac:dyDescent="0.25">
      <c r="B26" s="7" t="s">
        <v>11</v>
      </c>
      <c r="C26" s="7" t="s">
        <v>2</v>
      </c>
    </row>
    <row r="27" spans="2:3" x14ac:dyDescent="0.25">
      <c r="B27" s="3" t="s">
        <v>5</v>
      </c>
      <c r="C27" s="103">
        <v>1</v>
      </c>
    </row>
    <row r="28" spans="2:3" x14ac:dyDescent="0.25">
      <c r="B28" s="2" t="s">
        <v>4</v>
      </c>
      <c r="C28" s="104"/>
    </row>
    <row r="31" spans="2:3" x14ac:dyDescent="0.25">
      <c r="B31" s="4" t="s">
        <v>10</v>
      </c>
      <c r="C31" s="4" t="s">
        <v>2</v>
      </c>
    </row>
    <row r="32" spans="2:3" x14ac:dyDescent="0.25">
      <c r="B32" s="6" t="s">
        <v>9</v>
      </c>
      <c r="C32" s="103">
        <v>2</v>
      </c>
    </row>
    <row r="33" spans="2:3" x14ac:dyDescent="0.25">
      <c r="B33" s="6" t="s">
        <v>8</v>
      </c>
      <c r="C33" s="105"/>
    </row>
    <row r="34" spans="2:3" x14ac:dyDescent="0.25">
      <c r="B34" s="5" t="s">
        <v>7</v>
      </c>
      <c r="C34" s="104"/>
    </row>
    <row r="37" spans="2:3" x14ac:dyDescent="0.25">
      <c r="B37" s="4" t="s">
        <v>6</v>
      </c>
      <c r="C37" s="4" t="s">
        <v>2</v>
      </c>
    </row>
    <row r="38" spans="2:3" x14ac:dyDescent="0.25">
      <c r="B38" s="3" t="s">
        <v>5</v>
      </c>
      <c r="C38" s="103">
        <v>1</v>
      </c>
    </row>
    <row r="39" spans="2:3" x14ac:dyDescent="0.25">
      <c r="B39" s="2" t="s">
        <v>4</v>
      </c>
      <c r="C39" s="104"/>
    </row>
    <row r="41" spans="2:3" x14ac:dyDescent="0.25">
      <c r="B41" s="4" t="s">
        <v>3</v>
      </c>
      <c r="C41" s="4" t="s">
        <v>2</v>
      </c>
    </row>
    <row r="42" spans="2:3" x14ac:dyDescent="0.25">
      <c r="B42" s="3" t="s">
        <v>1</v>
      </c>
      <c r="C42" s="103">
        <v>1</v>
      </c>
    </row>
    <row r="43" spans="2:3" x14ac:dyDescent="0.25">
      <c r="B43" s="2" t="s">
        <v>0</v>
      </c>
      <c r="C43" s="104"/>
    </row>
  </sheetData>
  <mergeCells count="7">
    <mergeCell ref="C42:C43"/>
    <mergeCell ref="C32:C34"/>
    <mergeCell ref="C38:C39"/>
    <mergeCell ref="C9:C11"/>
    <mergeCell ref="C15:C17"/>
    <mergeCell ref="C21:C23"/>
    <mergeCell ref="C27:C28"/>
  </mergeCells>
  <pageMargins left="0.25" right="0.25" top="0.5" bottom="0.5" header="0.25" footer="0.25"/>
  <pageSetup scale="70" orientation="landscape" r:id="rId1"/>
  <headerFooter alignWithMargins="0">
    <oddFooter>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S1158"/>
  <sheetViews>
    <sheetView zoomScale="75" zoomScaleNormal="75" workbookViewId="0">
      <pane xSplit="1" ySplit="13" topLeftCell="B14" activePane="bottomRight" state="frozen"/>
      <selection activeCell="A6" sqref="A6"/>
      <selection pane="topRight" activeCell="A6" sqref="A6"/>
      <selection pane="bottomLeft" activeCell="A6" sqref="A6"/>
      <selection pane="bottomRight" activeCell="A7" sqref="A7"/>
    </sheetView>
  </sheetViews>
  <sheetFormatPr defaultColWidth="7.109375" defaultRowHeight="12.75" x14ac:dyDescent="0.2"/>
  <cols>
    <col min="1" max="1" width="14.5546875" style="8" customWidth="1"/>
    <col min="2" max="2" width="19" style="8" customWidth="1"/>
    <col min="3" max="3" width="16.109375" style="8" customWidth="1"/>
    <col min="4" max="4" width="20.21875" style="8" customWidth="1"/>
    <col min="5" max="5" width="20.6640625" style="8" customWidth="1"/>
    <col min="6" max="6" width="16.109375" style="8" customWidth="1"/>
    <col min="7" max="9" width="20" style="8" customWidth="1"/>
    <col min="10" max="10" width="16.109375" style="8" customWidth="1"/>
    <col min="11" max="13" width="19.109375" style="8" customWidth="1"/>
    <col min="14" max="14" width="16.109375" style="8" customWidth="1"/>
    <col min="15" max="15" width="19.77734375" style="8" customWidth="1"/>
    <col min="16" max="16" width="16.109375" style="8" customWidth="1"/>
    <col min="17" max="19" width="17.6640625" style="8" customWidth="1"/>
    <col min="20" max="16384" width="7.109375" style="8"/>
  </cols>
  <sheetData>
    <row r="1" spans="1:19" ht="15.75" x14ac:dyDescent="0.25">
      <c r="A1" s="102" t="s">
        <v>90</v>
      </c>
    </row>
    <row r="2" spans="1:19" ht="15.75" x14ac:dyDescent="0.25">
      <c r="A2" s="102" t="s">
        <v>91</v>
      </c>
    </row>
    <row r="3" spans="1:19" ht="15.75" x14ac:dyDescent="0.25">
      <c r="A3" s="102" t="s">
        <v>92</v>
      </c>
    </row>
    <row r="4" spans="1:19" ht="15.75" x14ac:dyDescent="0.25">
      <c r="A4" s="102" t="s">
        <v>93</v>
      </c>
    </row>
    <row r="5" spans="1:19" ht="15.75" x14ac:dyDescent="0.25">
      <c r="A5" s="102" t="s">
        <v>95</v>
      </c>
    </row>
    <row r="6" spans="1:19" ht="15.75" x14ac:dyDescent="0.25">
      <c r="A6" s="102" t="s">
        <v>98</v>
      </c>
    </row>
    <row r="7" spans="1:19" ht="20.25" x14ac:dyDescent="0.3">
      <c r="A7" s="30"/>
    </row>
    <row r="8" spans="1:19" ht="18" x14ac:dyDescent="0.25">
      <c r="A8" s="29" t="s">
        <v>27</v>
      </c>
      <c r="B8" s="29"/>
      <c r="H8" s="26" t="s">
        <v>26</v>
      </c>
    </row>
    <row r="9" spans="1:19" ht="18" x14ac:dyDescent="0.25">
      <c r="A9" s="29"/>
      <c r="B9" s="28" t="s">
        <v>25</v>
      </c>
      <c r="C9" s="27">
        <f>1-0.149</f>
        <v>0.85099999999999998</v>
      </c>
      <c r="D9" s="28" t="s">
        <v>24</v>
      </c>
      <c r="E9" s="27">
        <v>1.149</v>
      </c>
      <c r="H9" s="26"/>
      <c r="P9" s="107"/>
      <c r="Q9" s="107"/>
      <c r="R9" s="107"/>
      <c r="S9" s="107"/>
    </row>
    <row r="10" spans="1:19" ht="15.75" x14ac:dyDescent="0.25">
      <c r="B10" s="106" t="s">
        <v>23</v>
      </c>
      <c r="C10" s="106"/>
      <c r="D10" s="106"/>
      <c r="E10" s="108" t="s">
        <v>22</v>
      </c>
      <c r="F10" s="108"/>
      <c r="G10" s="109"/>
      <c r="H10" s="110" t="s">
        <v>21</v>
      </c>
      <c r="I10" s="110"/>
      <c r="J10" s="110"/>
      <c r="K10" s="110"/>
      <c r="L10" s="109" t="s">
        <v>20</v>
      </c>
      <c r="M10" s="109"/>
      <c r="N10" s="109"/>
      <c r="O10" s="109"/>
      <c r="P10" s="107"/>
      <c r="Q10" s="107"/>
      <c r="R10" s="107"/>
      <c r="S10" s="107"/>
    </row>
    <row r="11" spans="1:19" ht="63" x14ac:dyDescent="0.25">
      <c r="B11" s="25" t="s">
        <v>19</v>
      </c>
      <c r="C11" s="24" t="s">
        <v>17</v>
      </c>
      <c r="D11" s="23" t="s">
        <v>16</v>
      </c>
      <c r="E11" s="25" t="s">
        <v>19</v>
      </c>
      <c r="F11" s="24" t="s">
        <v>17</v>
      </c>
      <c r="G11" s="23" t="s">
        <v>16</v>
      </c>
      <c r="H11" s="25" t="s">
        <v>19</v>
      </c>
      <c r="I11" s="25" t="s">
        <v>18</v>
      </c>
      <c r="J11" s="24" t="s">
        <v>17</v>
      </c>
      <c r="K11" s="23" t="s">
        <v>16</v>
      </c>
      <c r="L11" s="25" t="s">
        <v>19</v>
      </c>
      <c r="M11" s="25" t="s">
        <v>18</v>
      </c>
      <c r="N11" s="24" t="s">
        <v>17</v>
      </c>
      <c r="O11" s="23" t="s">
        <v>16</v>
      </c>
      <c r="P11" s="22"/>
      <c r="Q11" s="18"/>
      <c r="R11" s="18"/>
      <c r="S11" s="18"/>
    </row>
    <row r="12" spans="1:19" ht="13.5" customHeight="1" x14ac:dyDescent="0.25">
      <c r="B12" s="21"/>
      <c r="C12" s="20"/>
      <c r="D12" s="19"/>
      <c r="E12" s="21"/>
      <c r="F12" s="20"/>
      <c r="G12" s="19"/>
      <c r="H12" s="21"/>
      <c r="I12" s="21"/>
      <c r="J12" s="20"/>
      <c r="K12" s="19"/>
      <c r="L12" s="21"/>
      <c r="M12" s="21"/>
      <c r="N12" s="20"/>
      <c r="O12" s="19"/>
      <c r="P12" s="18"/>
      <c r="Q12" s="17"/>
      <c r="R12" s="17"/>
      <c r="S12" s="17"/>
    </row>
    <row r="13" spans="1:19" ht="20.25" x14ac:dyDescent="0.55000000000000004">
      <c r="A13" s="16" t="s">
        <v>15</v>
      </c>
      <c r="B13" s="15" t="s">
        <v>14</v>
      </c>
      <c r="C13" s="15" t="s">
        <v>14</v>
      </c>
      <c r="D13" s="15" t="s">
        <v>14</v>
      </c>
      <c r="E13" s="15" t="s">
        <v>14</v>
      </c>
      <c r="F13" s="15" t="s">
        <v>14</v>
      </c>
      <c r="G13" s="15" t="s">
        <v>14</v>
      </c>
      <c r="H13" s="15" t="s">
        <v>14</v>
      </c>
      <c r="I13" s="15" t="s">
        <v>14</v>
      </c>
      <c r="J13" s="15" t="s">
        <v>14</v>
      </c>
      <c r="K13" s="15" t="s">
        <v>14</v>
      </c>
      <c r="L13" s="15" t="s">
        <v>14</v>
      </c>
      <c r="M13" s="15" t="s">
        <v>14</v>
      </c>
      <c r="N13" s="15" t="s">
        <v>14</v>
      </c>
      <c r="O13" s="15" t="s">
        <v>14</v>
      </c>
      <c r="P13" s="15"/>
      <c r="Q13" s="15"/>
      <c r="R13" s="15"/>
      <c r="S13" s="15"/>
    </row>
    <row r="14" spans="1:19" ht="15" x14ac:dyDescent="0.2">
      <c r="A14" s="13">
        <v>41275</v>
      </c>
      <c r="B14" s="9">
        <f>2.2699 * CHOOSE(CONTROL!$C$32, $C$9, 100%, $E$9)</f>
        <v>2.2698999999999998</v>
      </c>
      <c r="C14" s="9">
        <f>2.2008 * CHOOSE(CONTROL!$C$32, $C$9, 100%, $E$9)</f>
        <v>2.2008000000000001</v>
      </c>
      <c r="D14" s="9">
        <f>2.2354 * CHOOSE(CONTROL!$C$32, $C$9, 100%, $E$9)</f>
        <v>2.2353999999999998</v>
      </c>
      <c r="E14" s="11">
        <f>3.5217 * CHOOSE(CONTROL!$C$32, $C$9, 100%, $E$9)</f>
        <v>3.5217000000000001</v>
      </c>
      <c r="F14" s="11">
        <f>3.0912 * CHOOSE(CONTROL!$C$32, $C$9, 100%, $E$9)</f>
        <v>3.0912000000000002</v>
      </c>
      <c r="G14" s="11">
        <f>3.1027 * CHOOSE(CONTROL!$C$32, $C$9, 100%, $E$9)</f>
        <v>3.1027</v>
      </c>
      <c r="H14" s="11">
        <f>5.79 * CHOOSE(CONTROL!$C$32, $C$9, 100%, $E$9)</f>
        <v>5.79</v>
      </c>
      <c r="I14" s="11">
        <f>5.8015 * CHOOSE(CONTROL!$C$32, $C$9, 100%, $E$9)</f>
        <v>5.8014999999999999</v>
      </c>
      <c r="J14" s="11">
        <f>5.79 * CHOOSE(CONTROL!$C$32, $C$9, 100%, $E$9)</f>
        <v>5.79</v>
      </c>
      <c r="K14" s="11">
        <f>5.8015 * CHOOSE(CONTROL!$C$32, $C$9, 100%, $E$9)</f>
        <v>5.8014999999999999</v>
      </c>
      <c r="L14" s="11">
        <f>3.5217 * CHOOSE(CONTROL!$C$32, $C$9, 100%, $E$9)</f>
        <v>3.5217000000000001</v>
      </c>
      <c r="M14" s="11">
        <f>3.5333 * CHOOSE(CONTROL!$C$32, $C$9, 100%, $E$9)</f>
        <v>3.5333000000000001</v>
      </c>
      <c r="N14" s="11">
        <f>3.5217 * CHOOSE(CONTROL!$C$32, $C$9, 100%, $E$9)</f>
        <v>3.5217000000000001</v>
      </c>
      <c r="O14" s="11">
        <f>3.5333 * CHOOSE(CONTROL!$C$32, $C$9, 100%, $E$9)</f>
        <v>3.5333000000000001</v>
      </c>
      <c r="P14" s="14"/>
      <c r="Q14" s="11"/>
      <c r="R14" s="11"/>
    </row>
    <row r="15" spans="1:19" ht="15" x14ac:dyDescent="0.2">
      <c r="A15" s="13">
        <v>41306</v>
      </c>
      <c r="B15" s="9">
        <f>2.2758 * CHOOSE(CONTROL!$C$32, $C$9, 100%, $E$9)</f>
        <v>2.2757999999999998</v>
      </c>
      <c r="C15" s="9">
        <f>2.2117 * CHOOSE(CONTROL!$C$32, $C$9, 100%, $E$9)</f>
        <v>2.2117</v>
      </c>
      <c r="D15" s="9">
        <f>2.2463 * CHOOSE(CONTROL!$C$32, $C$9, 100%, $E$9)</f>
        <v>2.2463000000000002</v>
      </c>
      <c r="E15" s="11">
        <f>3.4548 * CHOOSE(CONTROL!$C$32, $C$9, 100%, $E$9)</f>
        <v>3.4548000000000001</v>
      </c>
      <c r="F15" s="11">
        <f>3.0912 * CHOOSE(CONTROL!$C$32, $C$9, 100%, $E$9)</f>
        <v>3.0912000000000002</v>
      </c>
      <c r="G15" s="11">
        <f>3.1027 * CHOOSE(CONTROL!$C$32, $C$9, 100%, $E$9)</f>
        <v>3.1027</v>
      </c>
      <c r="H15" s="11">
        <f>5.79 * CHOOSE(CONTROL!$C$32, $C$9, 100%, $E$9)</f>
        <v>5.79</v>
      </c>
      <c r="I15" s="11">
        <f>5.8015 * CHOOSE(CONTROL!$C$32, $C$9, 100%, $E$9)</f>
        <v>5.8014999999999999</v>
      </c>
      <c r="J15" s="11">
        <f>5.79 * CHOOSE(CONTROL!$C$32, $C$9, 100%, $E$9)</f>
        <v>5.79</v>
      </c>
      <c r="K15" s="11">
        <f>5.8015 * CHOOSE(CONTROL!$C$32, $C$9, 100%, $E$9)</f>
        <v>5.8014999999999999</v>
      </c>
      <c r="L15" s="11">
        <f>3.4548 * CHOOSE(CONTROL!$C$32, $C$9, 100%, $E$9)</f>
        <v>3.4548000000000001</v>
      </c>
      <c r="M15" s="11">
        <f>3.4663 * CHOOSE(CONTROL!$C$32, $C$9, 100%, $E$9)</f>
        <v>3.4662999999999999</v>
      </c>
      <c r="N15" s="11">
        <f>3.4548 * CHOOSE(CONTROL!$C$32, $C$9, 100%, $E$9)</f>
        <v>3.4548000000000001</v>
      </c>
      <c r="O15" s="11">
        <f>3.4663 * CHOOSE(CONTROL!$C$32, $C$9, 100%, $E$9)</f>
        <v>3.4662999999999999</v>
      </c>
      <c r="P15" s="14"/>
      <c r="Q15" s="11"/>
      <c r="R15" s="11"/>
    </row>
    <row r="16" spans="1:19" ht="15" x14ac:dyDescent="0.2">
      <c r="A16" s="13">
        <v>41334</v>
      </c>
      <c r="B16" s="9">
        <f>2.2895 * CHOOSE(CONTROL!$C$32, $C$9, 100%, $E$9)</f>
        <v>2.2894999999999999</v>
      </c>
      <c r="C16" s="9">
        <f>2.2178 * CHOOSE(CONTROL!$C$32, $C$9, 100%, $E$9)</f>
        <v>2.2178</v>
      </c>
      <c r="D16" s="9">
        <f>2.2524 * CHOOSE(CONTROL!$C$32, $C$9, 100%, $E$9)</f>
        <v>2.2524000000000002</v>
      </c>
      <c r="E16" s="11">
        <f>3.4548 * CHOOSE(CONTROL!$C$32, $C$9, 100%, $E$9)</f>
        <v>3.4548000000000001</v>
      </c>
      <c r="F16" s="11">
        <f>3.0866 * CHOOSE(CONTROL!$C$32, $C$9, 100%, $E$9)</f>
        <v>3.0865999999999998</v>
      </c>
      <c r="G16" s="11">
        <f>3.0981 * CHOOSE(CONTROL!$C$32, $C$9, 100%, $E$9)</f>
        <v>3.0981000000000001</v>
      </c>
      <c r="H16" s="11">
        <f>5.79 * CHOOSE(CONTROL!$C$32, $C$9, 100%, $E$9)</f>
        <v>5.79</v>
      </c>
      <c r="I16" s="11">
        <f>5.8015 * CHOOSE(CONTROL!$C$32, $C$9, 100%, $E$9)</f>
        <v>5.8014999999999999</v>
      </c>
      <c r="J16" s="11">
        <f>5.79 * CHOOSE(CONTROL!$C$32, $C$9, 100%, $E$9)</f>
        <v>5.79</v>
      </c>
      <c r="K16" s="11">
        <f>5.8015 * CHOOSE(CONTROL!$C$32, $C$9, 100%, $E$9)</f>
        <v>5.8014999999999999</v>
      </c>
      <c r="L16" s="11">
        <f>3.4548 * CHOOSE(CONTROL!$C$32, $C$9, 100%, $E$9)</f>
        <v>3.4548000000000001</v>
      </c>
      <c r="M16" s="11">
        <f>3.4663 * CHOOSE(CONTROL!$C$32, $C$9, 100%, $E$9)</f>
        <v>3.4662999999999999</v>
      </c>
      <c r="N16" s="11">
        <f>3.4548 * CHOOSE(CONTROL!$C$32, $C$9, 100%, $E$9)</f>
        <v>3.4548000000000001</v>
      </c>
      <c r="O16" s="11">
        <f>3.4663 * CHOOSE(CONTROL!$C$32, $C$9, 100%, $E$9)</f>
        <v>3.4662999999999999</v>
      </c>
      <c r="P16" s="14"/>
      <c r="Q16" s="11"/>
      <c r="R16" s="11"/>
    </row>
    <row r="17" spans="1:18" ht="15" x14ac:dyDescent="0.2">
      <c r="A17" s="13">
        <v>41365</v>
      </c>
      <c r="B17" s="9">
        <f>2.2879 * CHOOSE(CONTROL!$C$32, $C$9, 100%, $E$9)</f>
        <v>2.2879</v>
      </c>
      <c r="C17" s="9">
        <f>2.1959 * CHOOSE(CONTROL!$C$32, $C$9, 100%, $E$9)</f>
        <v>2.1959</v>
      </c>
      <c r="D17" s="9">
        <f>2.2305 * CHOOSE(CONTROL!$C$32, $C$9, 100%, $E$9)</f>
        <v>2.2305000000000001</v>
      </c>
      <c r="E17" s="11">
        <f>3.4508 * CHOOSE(CONTROL!$C$32, $C$9, 100%, $E$9)</f>
        <v>3.4508000000000001</v>
      </c>
      <c r="F17" s="11">
        <f>3.0772 * CHOOSE(CONTROL!$C$32, $C$9, 100%, $E$9)</f>
        <v>3.0771999999999999</v>
      </c>
      <c r="G17" s="11">
        <f>3.0887 * CHOOSE(CONTROL!$C$32, $C$9, 100%, $E$9)</f>
        <v>3.0886999999999998</v>
      </c>
      <c r="H17" s="11">
        <f>5.829 * CHOOSE(CONTROL!$C$32, $C$9, 100%, $E$9)</f>
        <v>5.8289999999999997</v>
      </c>
      <c r="I17" s="11">
        <f>5.8405 * CHOOSE(CONTROL!$C$32, $C$9, 100%, $E$9)</f>
        <v>5.8404999999999996</v>
      </c>
      <c r="J17" s="11">
        <f>5.829 * CHOOSE(CONTROL!$C$32, $C$9, 100%, $E$9)</f>
        <v>5.8289999999999997</v>
      </c>
      <c r="K17" s="11">
        <f>5.8405 * CHOOSE(CONTROL!$C$32, $C$9, 100%, $E$9)</f>
        <v>5.8404999999999996</v>
      </c>
      <c r="L17" s="11">
        <f>3.4508 * CHOOSE(CONTROL!$C$32, $C$9, 100%, $E$9)</f>
        <v>3.4508000000000001</v>
      </c>
      <c r="M17" s="11">
        <f>3.4623 * CHOOSE(CONTROL!$C$32, $C$9, 100%, $E$9)</f>
        <v>3.4622999999999999</v>
      </c>
      <c r="N17" s="11">
        <f>3.4508 * CHOOSE(CONTROL!$C$32, $C$9, 100%, $E$9)</f>
        <v>3.4508000000000001</v>
      </c>
      <c r="O17" s="11">
        <f>3.4623 * CHOOSE(CONTROL!$C$32, $C$9, 100%, $E$9)</f>
        <v>3.4622999999999999</v>
      </c>
      <c r="P17" s="14"/>
      <c r="Q17" s="11"/>
      <c r="R17" s="11"/>
    </row>
    <row r="18" spans="1:18" ht="15" x14ac:dyDescent="0.2">
      <c r="A18" s="13">
        <v>41395</v>
      </c>
      <c r="B18" s="9">
        <f>2.2947 * CHOOSE(CONTROL!$C$32, $C$9, 100%, $E$9)</f>
        <v>2.2947000000000002</v>
      </c>
      <c r="C18" s="9">
        <f>2.19 * CHOOSE(CONTROL!$C$32, $C$9, 100%, $E$9)</f>
        <v>2.19</v>
      </c>
      <c r="D18" s="9">
        <f>2.2354 * CHOOSE(CONTROL!$C$32, $C$9, 100%, $E$9)</f>
        <v>2.2353999999999998</v>
      </c>
      <c r="E18" s="11">
        <f>3.4702 * CHOOSE(CONTROL!$C$32, $C$9, 100%, $E$9)</f>
        <v>3.4702000000000002</v>
      </c>
      <c r="F18" s="11">
        <f>3.084 * CHOOSE(CONTROL!$C$32, $C$9, 100%, $E$9)</f>
        <v>3.0840000000000001</v>
      </c>
      <c r="G18" s="11">
        <f>3.0991 * CHOOSE(CONTROL!$C$32, $C$9, 100%, $E$9)</f>
        <v>3.0991</v>
      </c>
      <c r="H18" s="11">
        <f>5.829 * CHOOSE(CONTROL!$C$32, $C$9, 100%, $E$9)</f>
        <v>5.8289999999999997</v>
      </c>
      <c r="I18" s="11">
        <f>5.8441 * CHOOSE(CONTROL!$C$32, $C$9, 100%, $E$9)</f>
        <v>5.8441000000000001</v>
      </c>
      <c r="J18" s="11">
        <f>5.829 * CHOOSE(CONTROL!$C$32, $C$9, 100%, $E$9)</f>
        <v>5.8289999999999997</v>
      </c>
      <c r="K18" s="11">
        <f>5.8441 * CHOOSE(CONTROL!$C$32, $C$9, 100%, $E$9)</f>
        <v>5.8441000000000001</v>
      </c>
      <c r="L18" s="11">
        <f>3.4702 * CHOOSE(CONTROL!$C$32, $C$9, 100%, $E$9)</f>
        <v>3.4702000000000002</v>
      </c>
      <c r="M18" s="11">
        <f>3.4852 * CHOOSE(CONTROL!$C$32, $C$9, 100%, $E$9)</f>
        <v>3.4851999999999999</v>
      </c>
      <c r="N18" s="11">
        <f>3.4702 * CHOOSE(CONTROL!$C$32, $C$9, 100%, $E$9)</f>
        <v>3.4702000000000002</v>
      </c>
      <c r="O18" s="11">
        <f>3.4852 * CHOOSE(CONTROL!$C$32, $C$9, 100%, $E$9)</f>
        <v>3.4851999999999999</v>
      </c>
      <c r="P18" s="14"/>
      <c r="Q18" s="11"/>
      <c r="R18" s="11"/>
    </row>
    <row r="19" spans="1:18" ht="15" x14ac:dyDescent="0.2">
      <c r="A19" s="13">
        <v>41426</v>
      </c>
      <c r="B19" s="9">
        <f>2.296 * CHOOSE(CONTROL!$C$32, $C$9, 100%, $E$9)</f>
        <v>2.2959999999999998</v>
      </c>
      <c r="C19" s="9">
        <f>2.1989 * CHOOSE(CONTROL!$C$32, $C$9, 100%, $E$9)</f>
        <v>2.1989000000000001</v>
      </c>
      <c r="D19" s="9">
        <f>2.2443 * CHOOSE(CONTROL!$C$32, $C$9, 100%, $E$9)</f>
        <v>2.2443</v>
      </c>
      <c r="E19" s="11">
        <f>3.4782 * CHOOSE(CONTROL!$C$32, $C$9, 100%, $E$9)</f>
        <v>3.4782000000000002</v>
      </c>
      <c r="F19" s="11">
        <f>3.109 * CHOOSE(CONTROL!$C$32, $C$9, 100%, $E$9)</f>
        <v>3.109</v>
      </c>
      <c r="G19" s="11">
        <f>3.1241 * CHOOSE(CONTROL!$C$32, $C$9, 100%, $E$9)</f>
        <v>3.1240999999999999</v>
      </c>
      <c r="H19" s="11">
        <f>5.829 * CHOOSE(CONTROL!$C$32, $C$9, 100%, $E$9)</f>
        <v>5.8289999999999997</v>
      </c>
      <c r="I19" s="11">
        <f>5.8441 * CHOOSE(CONTROL!$C$32, $C$9, 100%, $E$9)</f>
        <v>5.8441000000000001</v>
      </c>
      <c r="J19" s="11">
        <f>5.829 * CHOOSE(CONTROL!$C$32, $C$9, 100%, $E$9)</f>
        <v>5.8289999999999997</v>
      </c>
      <c r="K19" s="11">
        <f>5.8441 * CHOOSE(CONTROL!$C$32, $C$9, 100%, $E$9)</f>
        <v>5.8441000000000001</v>
      </c>
      <c r="L19" s="11">
        <f>3.4782 * CHOOSE(CONTROL!$C$32, $C$9, 100%, $E$9)</f>
        <v>3.4782000000000002</v>
      </c>
      <c r="M19" s="11">
        <f>3.4933 * CHOOSE(CONTROL!$C$32, $C$9, 100%, $E$9)</f>
        <v>3.4933000000000001</v>
      </c>
      <c r="N19" s="11">
        <f>3.4782 * CHOOSE(CONTROL!$C$32, $C$9, 100%, $E$9)</f>
        <v>3.4782000000000002</v>
      </c>
      <c r="O19" s="11">
        <f>3.4933 * CHOOSE(CONTROL!$C$32, $C$9, 100%, $E$9)</f>
        <v>3.4933000000000001</v>
      </c>
      <c r="P19" s="14"/>
      <c r="Q19" s="11"/>
      <c r="R19" s="11"/>
    </row>
    <row r="20" spans="1:18" ht="15" x14ac:dyDescent="0.2">
      <c r="A20" s="13">
        <v>41456</v>
      </c>
      <c r="B20" s="9">
        <f>2.3 * CHOOSE(CONTROL!$C$32, $C$9, 100%, $E$9)</f>
        <v>2.2999999999999998</v>
      </c>
      <c r="C20" s="9">
        <f>2.2233 * CHOOSE(CONTROL!$C$32, $C$9, 100%, $E$9)</f>
        <v>2.2233000000000001</v>
      </c>
      <c r="D20" s="9">
        <f>2.2687 * CHOOSE(CONTROL!$C$32, $C$9, 100%, $E$9)</f>
        <v>2.2686999999999999</v>
      </c>
      <c r="E20" s="11">
        <f>3.4973 * CHOOSE(CONTROL!$C$32, $C$9, 100%, $E$9)</f>
        <v>3.4973000000000001</v>
      </c>
      <c r="F20" s="11">
        <f>3.1418 * CHOOSE(CONTROL!$C$32, $C$9, 100%, $E$9)</f>
        <v>3.1417999999999999</v>
      </c>
      <c r="G20" s="11">
        <f>3.1569 * CHOOSE(CONTROL!$C$32, $C$9, 100%, $E$9)</f>
        <v>3.1568999999999998</v>
      </c>
      <c r="H20" s="11">
        <f>5.8411 * CHOOSE(CONTROL!$C$32, $C$9, 100%, $E$9)</f>
        <v>5.8411</v>
      </c>
      <c r="I20" s="11">
        <f>5.8562 * CHOOSE(CONTROL!$C$32, $C$9, 100%, $E$9)</f>
        <v>5.8562000000000003</v>
      </c>
      <c r="J20" s="11">
        <f>5.8411 * CHOOSE(CONTROL!$C$32, $C$9, 100%, $E$9)</f>
        <v>5.8411</v>
      </c>
      <c r="K20" s="11">
        <f>5.8562 * CHOOSE(CONTROL!$C$32, $C$9, 100%, $E$9)</f>
        <v>5.8562000000000003</v>
      </c>
      <c r="L20" s="11">
        <f>3.4973 * CHOOSE(CONTROL!$C$32, $C$9, 100%, $E$9)</f>
        <v>3.4973000000000001</v>
      </c>
      <c r="M20" s="11">
        <f>3.5123 * CHOOSE(CONTROL!$C$32, $C$9, 100%, $E$9)</f>
        <v>3.5123000000000002</v>
      </c>
      <c r="N20" s="11">
        <f>3.4973 * CHOOSE(CONTROL!$C$32, $C$9, 100%, $E$9)</f>
        <v>3.4973000000000001</v>
      </c>
      <c r="O20" s="11">
        <f>3.5123 * CHOOSE(CONTROL!$C$32, $C$9, 100%, $E$9)</f>
        <v>3.5123000000000002</v>
      </c>
      <c r="P20" s="14"/>
      <c r="Q20" s="11"/>
      <c r="R20" s="11"/>
    </row>
    <row r="21" spans="1:18" ht="15" x14ac:dyDescent="0.2">
      <c r="A21" s="13">
        <v>41487</v>
      </c>
      <c r="B21" s="9">
        <f>2.3085 * CHOOSE(CONTROL!$C$32, $C$9, 100%, $E$9)</f>
        <v>2.3085</v>
      </c>
      <c r="C21" s="9">
        <f>2.2521 * CHOOSE(CONTROL!$C$32, $C$9, 100%, $E$9)</f>
        <v>2.2521</v>
      </c>
      <c r="D21" s="9">
        <f>2.2975 * CHOOSE(CONTROL!$C$32, $C$9, 100%, $E$9)</f>
        <v>2.2974999999999999</v>
      </c>
      <c r="E21" s="11">
        <f>3.499 * CHOOSE(CONTROL!$C$32, $C$9, 100%, $E$9)</f>
        <v>3.4990000000000001</v>
      </c>
      <c r="F21" s="11">
        <f>3.1759 * CHOOSE(CONTROL!$C$32, $C$9, 100%, $E$9)</f>
        <v>3.1758999999999999</v>
      </c>
      <c r="G21" s="11">
        <f>3.191 * CHOOSE(CONTROL!$C$32, $C$9, 100%, $E$9)</f>
        <v>3.1909999999999998</v>
      </c>
      <c r="H21" s="11">
        <f>5.8533 * CHOOSE(CONTROL!$C$32, $C$9, 100%, $E$9)</f>
        <v>5.8532999999999999</v>
      </c>
      <c r="I21" s="11">
        <f>5.8684 * CHOOSE(CONTROL!$C$32, $C$9, 100%, $E$9)</f>
        <v>5.8684000000000003</v>
      </c>
      <c r="J21" s="11">
        <f>5.8533 * CHOOSE(CONTROL!$C$32, $C$9, 100%, $E$9)</f>
        <v>5.8532999999999999</v>
      </c>
      <c r="K21" s="11">
        <f>5.8684 * CHOOSE(CONTROL!$C$32, $C$9, 100%, $E$9)</f>
        <v>5.8684000000000003</v>
      </c>
      <c r="L21" s="11">
        <f>3.499 * CHOOSE(CONTROL!$C$32, $C$9, 100%, $E$9)</f>
        <v>3.4990000000000001</v>
      </c>
      <c r="M21" s="11">
        <f>3.5141 * CHOOSE(CONTROL!$C$32, $C$9, 100%, $E$9)</f>
        <v>3.5141</v>
      </c>
      <c r="N21" s="11">
        <f>3.499 * CHOOSE(CONTROL!$C$32, $C$9, 100%, $E$9)</f>
        <v>3.4990000000000001</v>
      </c>
      <c r="O21" s="11">
        <f>3.5141 * CHOOSE(CONTROL!$C$32, $C$9, 100%, $E$9)</f>
        <v>3.5141</v>
      </c>
      <c r="P21" s="14"/>
      <c r="Q21" s="11"/>
      <c r="R21" s="11"/>
    </row>
    <row r="22" spans="1:18" ht="15" x14ac:dyDescent="0.2">
      <c r="A22" s="13">
        <v>41518</v>
      </c>
      <c r="B22" s="9">
        <f>2.3073 * CHOOSE(CONTROL!$C$32, $C$9, 100%, $E$9)</f>
        <v>2.3073000000000001</v>
      </c>
      <c r="C22" s="9">
        <f>2.2458 * CHOOSE(CONTROL!$C$32, $C$9, 100%, $E$9)</f>
        <v>2.2458</v>
      </c>
      <c r="D22" s="9">
        <f>2.2912 * CHOOSE(CONTROL!$C$32, $C$9, 100%, $E$9)</f>
        <v>2.2911999999999999</v>
      </c>
      <c r="E22" s="11">
        <f>3.4957 * CHOOSE(CONTROL!$C$32, $C$9, 100%, $E$9)</f>
        <v>3.4956999999999998</v>
      </c>
      <c r="F22" s="11">
        <f>3.1918 * CHOOSE(CONTROL!$C$32, $C$9, 100%, $E$9)</f>
        <v>3.1918000000000002</v>
      </c>
      <c r="G22" s="11">
        <f>3.2069 * CHOOSE(CONTROL!$C$32, $C$9, 100%, $E$9)</f>
        <v>3.2069000000000001</v>
      </c>
      <c r="H22" s="11">
        <f>5.8655 * CHOOSE(CONTROL!$C$32, $C$9, 100%, $E$9)</f>
        <v>5.8654999999999999</v>
      </c>
      <c r="I22" s="11">
        <f>5.8806 * CHOOSE(CONTROL!$C$32, $C$9, 100%, $E$9)</f>
        <v>5.8806000000000003</v>
      </c>
      <c r="J22" s="11">
        <f>5.8655 * CHOOSE(CONTROL!$C$32, $C$9, 100%, $E$9)</f>
        <v>5.8654999999999999</v>
      </c>
      <c r="K22" s="11">
        <f>5.8806 * CHOOSE(CONTROL!$C$32, $C$9, 100%, $E$9)</f>
        <v>5.8806000000000003</v>
      </c>
      <c r="L22" s="11">
        <f>3.4957 * CHOOSE(CONTROL!$C$32, $C$9, 100%, $E$9)</f>
        <v>3.4956999999999998</v>
      </c>
      <c r="M22" s="11">
        <f>3.5107 * CHOOSE(CONTROL!$C$32, $C$9, 100%, $E$9)</f>
        <v>3.5106999999999999</v>
      </c>
      <c r="N22" s="11">
        <f>3.4957 * CHOOSE(CONTROL!$C$32, $C$9, 100%, $E$9)</f>
        <v>3.4956999999999998</v>
      </c>
      <c r="O22" s="11">
        <f>3.5107 * CHOOSE(CONTROL!$C$32, $C$9, 100%, $E$9)</f>
        <v>3.5106999999999999</v>
      </c>
      <c r="P22" s="14"/>
      <c r="Q22" s="11"/>
      <c r="R22" s="11"/>
    </row>
    <row r="23" spans="1:18" ht="15" x14ac:dyDescent="0.2">
      <c r="A23" s="13">
        <v>41548</v>
      </c>
      <c r="B23" s="9">
        <f>2.3058 * CHOOSE(CONTROL!$C$32, $C$9, 100%, $E$9)</f>
        <v>2.3058000000000001</v>
      </c>
      <c r="C23" s="9">
        <f>2.2367 * CHOOSE(CONTROL!$C$32, $C$9, 100%, $E$9)</f>
        <v>2.2366999999999999</v>
      </c>
      <c r="D23" s="9">
        <f>2.2712 * CHOOSE(CONTROL!$C$32, $C$9, 100%, $E$9)</f>
        <v>2.2711999999999999</v>
      </c>
      <c r="E23" s="11">
        <f>3.5106 * CHOOSE(CONTROL!$C$32, $C$9, 100%, $E$9)</f>
        <v>3.5106000000000002</v>
      </c>
      <c r="F23" s="11">
        <f>3.2177 * CHOOSE(CONTROL!$C$32, $C$9, 100%, $E$9)</f>
        <v>3.2176999999999998</v>
      </c>
      <c r="G23" s="11">
        <f>3.2293 * CHOOSE(CONTROL!$C$32, $C$9, 100%, $E$9)</f>
        <v>3.2292999999999998</v>
      </c>
      <c r="H23" s="11">
        <f>5.8777 * CHOOSE(CONTROL!$C$32, $C$9, 100%, $E$9)</f>
        <v>5.8776999999999999</v>
      </c>
      <c r="I23" s="11">
        <f>5.8893 * CHOOSE(CONTROL!$C$32, $C$9, 100%, $E$9)</f>
        <v>5.8893000000000004</v>
      </c>
      <c r="J23" s="11">
        <f>5.8777 * CHOOSE(CONTROL!$C$32, $C$9, 100%, $E$9)</f>
        <v>5.8776999999999999</v>
      </c>
      <c r="K23" s="11">
        <f>5.8893 * CHOOSE(CONTROL!$C$32, $C$9, 100%, $E$9)</f>
        <v>5.8893000000000004</v>
      </c>
      <c r="L23" s="11">
        <f>3.5106 * CHOOSE(CONTROL!$C$32, $C$9, 100%, $E$9)</f>
        <v>3.5106000000000002</v>
      </c>
      <c r="M23" s="11">
        <f>3.5221 * CHOOSE(CONTROL!$C$32, $C$9, 100%, $E$9)</f>
        <v>3.5221</v>
      </c>
      <c r="N23" s="11">
        <f>3.5106 * CHOOSE(CONTROL!$C$32, $C$9, 100%, $E$9)</f>
        <v>3.5106000000000002</v>
      </c>
      <c r="O23" s="11">
        <f>3.5221 * CHOOSE(CONTROL!$C$32, $C$9, 100%, $E$9)</f>
        <v>3.5221</v>
      </c>
      <c r="P23" s="14"/>
      <c r="Q23" s="11"/>
      <c r="R23" s="11"/>
    </row>
    <row r="24" spans="1:18" ht="15" x14ac:dyDescent="0.2">
      <c r="A24" s="13">
        <v>41579</v>
      </c>
      <c r="B24" s="9">
        <f>2.3113 * CHOOSE(CONTROL!$C$32, $C$9, 100%, $E$9)</f>
        <v>2.3113000000000001</v>
      </c>
      <c r="C24" s="9">
        <f>2.2472 * CHOOSE(CONTROL!$C$32, $C$9, 100%, $E$9)</f>
        <v>2.2471999999999999</v>
      </c>
      <c r="D24" s="9">
        <f>2.2818 * CHOOSE(CONTROL!$C$32, $C$9, 100%, $E$9)</f>
        <v>2.2818000000000001</v>
      </c>
      <c r="E24" s="11">
        <f>3.5106 * CHOOSE(CONTROL!$C$32, $C$9, 100%, $E$9)</f>
        <v>3.5106000000000002</v>
      </c>
      <c r="F24" s="11">
        <f>3.245 * CHOOSE(CONTROL!$C$32, $C$9, 100%, $E$9)</f>
        <v>3.2450000000000001</v>
      </c>
      <c r="G24" s="11">
        <f>3.2565 * CHOOSE(CONTROL!$C$32, $C$9, 100%, $E$9)</f>
        <v>3.2565</v>
      </c>
      <c r="H24" s="11">
        <f>5.89 * CHOOSE(CONTROL!$C$32, $C$9, 100%, $E$9)</f>
        <v>5.89</v>
      </c>
      <c r="I24" s="11">
        <f>5.9015 * CHOOSE(CONTROL!$C$32, $C$9, 100%, $E$9)</f>
        <v>5.9015000000000004</v>
      </c>
      <c r="J24" s="11">
        <f>5.89 * CHOOSE(CONTROL!$C$32, $C$9, 100%, $E$9)</f>
        <v>5.89</v>
      </c>
      <c r="K24" s="11">
        <f>5.9015 * CHOOSE(CONTROL!$C$32, $C$9, 100%, $E$9)</f>
        <v>5.9015000000000004</v>
      </c>
      <c r="L24" s="11">
        <f>3.5106 * CHOOSE(CONTROL!$C$32, $C$9, 100%, $E$9)</f>
        <v>3.5106000000000002</v>
      </c>
      <c r="M24" s="11">
        <f>3.5221 * CHOOSE(CONTROL!$C$32, $C$9, 100%, $E$9)</f>
        <v>3.5221</v>
      </c>
      <c r="N24" s="11">
        <f>3.5106 * CHOOSE(CONTROL!$C$32, $C$9, 100%, $E$9)</f>
        <v>3.5106000000000002</v>
      </c>
      <c r="O24" s="11">
        <f>3.5221 * CHOOSE(CONTROL!$C$32, $C$9, 100%, $E$9)</f>
        <v>3.5221</v>
      </c>
      <c r="P24" s="14"/>
      <c r="Q24" s="11"/>
      <c r="R24" s="11"/>
    </row>
    <row r="25" spans="1:18" ht="15" x14ac:dyDescent="0.2">
      <c r="A25" s="13">
        <v>41609</v>
      </c>
      <c r="B25" s="9">
        <f>2.3131 * CHOOSE(CONTROL!$C$32, $C$9, 100%, $E$9)</f>
        <v>2.3130999999999999</v>
      </c>
      <c r="C25" s="9">
        <f>2.2592 * CHOOSE(CONTROL!$C$32, $C$9, 100%, $E$9)</f>
        <v>2.2591999999999999</v>
      </c>
      <c r="D25" s="9">
        <f>2.2938 * CHOOSE(CONTROL!$C$32, $C$9, 100%, $E$9)</f>
        <v>2.2938000000000001</v>
      </c>
      <c r="E25" s="11">
        <f>3.5079 * CHOOSE(CONTROL!$C$32, $C$9, 100%, $E$9)</f>
        <v>3.5078999999999998</v>
      </c>
      <c r="F25" s="11">
        <f>3.2814 * CHOOSE(CONTROL!$C$32, $C$9, 100%, $E$9)</f>
        <v>3.2814000000000001</v>
      </c>
      <c r="G25" s="11">
        <f>3.2929 * CHOOSE(CONTROL!$C$32, $C$9, 100%, $E$9)</f>
        <v>3.2928999999999999</v>
      </c>
      <c r="H25" s="11">
        <f>5.9022 * CHOOSE(CONTROL!$C$32, $C$9, 100%, $E$9)</f>
        <v>5.9021999999999997</v>
      </c>
      <c r="I25" s="11">
        <f>5.9138 * CHOOSE(CONTROL!$C$32, $C$9, 100%, $E$9)</f>
        <v>5.9138000000000002</v>
      </c>
      <c r="J25" s="11">
        <f>5.9022 * CHOOSE(CONTROL!$C$32, $C$9, 100%, $E$9)</f>
        <v>5.9021999999999997</v>
      </c>
      <c r="K25" s="11">
        <f>5.9138 * CHOOSE(CONTROL!$C$32, $C$9, 100%, $E$9)</f>
        <v>5.9138000000000002</v>
      </c>
      <c r="L25" s="11">
        <f>3.5079 * CHOOSE(CONTROL!$C$32, $C$9, 100%, $E$9)</f>
        <v>3.5078999999999998</v>
      </c>
      <c r="M25" s="11">
        <f>3.5194 * CHOOSE(CONTROL!$C$32, $C$9, 100%, $E$9)</f>
        <v>3.5194000000000001</v>
      </c>
      <c r="N25" s="11">
        <f>3.5079 * CHOOSE(CONTROL!$C$32, $C$9, 100%, $E$9)</f>
        <v>3.5078999999999998</v>
      </c>
      <c r="O25" s="11">
        <f>3.5194 * CHOOSE(CONTROL!$C$32, $C$9, 100%, $E$9)</f>
        <v>3.5194000000000001</v>
      </c>
      <c r="P25" s="14"/>
      <c r="Q25" s="11"/>
      <c r="R25" s="11"/>
    </row>
    <row r="26" spans="1:18" ht="15" x14ac:dyDescent="0.2">
      <c r="A26" s="13">
        <v>41640</v>
      </c>
      <c r="B26" s="9">
        <f>2.326 * CHOOSE(CONTROL!$C$32, $C$9, 100%, $E$9)</f>
        <v>2.3260000000000001</v>
      </c>
      <c r="C26" s="9">
        <f>2.2882 * CHOOSE(CONTROL!$C$32, $C$9, 100%, $E$9)</f>
        <v>2.2881999999999998</v>
      </c>
      <c r="D26" s="9">
        <f>2.3228 * CHOOSE(CONTROL!$C$32, $C$9, 100%, $E$9)</f>
        <v>2.3228</v>
      </c>
      <c r="E26" s="11">
        <f>3.4998 * CHOOSE(CONTROL!$C$32, $C$9, 100%, $E$9)</f>
        <v>3.4998</v>
      </c>
      <c r="F26" s="11">
        <f>3.2737 * CHOOSE(CONTROL!$C$32, $C$9, 100%, $E$9)</f>
        <v>3.2736999999999998</v>
      </c>
      <c r="G26" s="11">
        <f>3.2853 * CHOOSE(CONTROL!$C$32, $C$9, 100%, $E$9)</f>
        <v>3.2852999999999999</v>
      </c>
      <c r="H26" s="11">
        <f>5.9145 * CHOOSE(CONTROL!$C$32, $C$9, 100%, $E$9)</f>
        <v>5.9145000000000003</v>
      </c>
      <c r="I26" s="11">
        <f>5.9261 * CHOOSE(CONTROL!$C$32, $C$9, 100%, $E$9)</f>
        <v>5.9260999999999999</v>
      </c>
      <c r="J26" s="11">
        <f>5.9145 * CHOOSE(CONTROL!$C$32, $C$9, 100%, $E$9)</f>
        <v>5.9145000000000003</v>
      </c>
      <c r="K26" s="11">
        <f>5.9261 * CHOOSE(CONTROL!$C$32, $C$9, 100%, $E$9)</f>
        <v>5.9260999999999999</v>
      </c>
      <c r="L26" s="11">
        <f>3.4998 * CHOOSE(CONTROL!$C$32, $C$9, 100%, $E$9)</f>
        <v>3.4998</v>
      </c>
      <c r="M26" s="11">
        <f>3.5113 * CHOOSE(CONTROL!$C$32, $C$9, 100%, $E$9)</f>
        <v>3.5112999999999999</v>
      </c>
      <c r="N26" s="11">
        <f>3.4998 * CHOOSE(CONTROL!$C$32, $C$9, 100%, $E$9)</f>
        <v>3.4998</v>
      </c>
      <c r="O26" s="11">
        <f>3.5113 * CHOOSE(CONTROL!$C$32, $C$9, 100%, $E$9)</f>
        <v>3.5112999999999999</v>
      </c>
      <c r="P26" s="14"/>
      <c r="Q26" s="11"/>
      <c r="R26" s="11"/>
    </row>
    <row r="27" spans="1:18" ht="15" x14ac:dyDescent="0.2">
      <c r="A27" s="13">
        <v>41671</v>
      </c>
      <c r="B27" s="9">
        <f>2.338 * CHOOSE(CONTROL!$C$32, $C$9, 100%, $E$9)</f>
        <v>2.3380000000000001</v>
      </c>
      <c r="C27" s="9">
        <f>2.3077 * CHOOSE(CONTROL!$C$32, $C$9, 100%, $E$9)</f>
        <v>2.3077000000000001</v>
      </c>
      <c r="D27" s="9">
        <f>2.3423 * CHOOSE(CONTROL!$C$32, $C$9, 100%, $E$9)</f>
        <v>2.3422999999999998</v>
      </c>
      <c r="E27" s="11">
        <f>3.5012 * CHOOSE(CONTROL!$C$32, $C$9, 100%, $E$9)</f>
        <v>3.5011999999999999</v>
      </c>
      <c r="F27" s="11">
        <f>3.2886 * CHOOSE(CONTROL!$C$32, $C$9, 100%, $E$9)</f>
        <v>3.2886000000000002</v>
      </c>
      <c r="G27" s="11">
        <f>3.3001 * CHOOSE(CONTROL!$C$32, $C$9, 100%, $E$9)</f>
        <v>3.3001</v>
      </c>
      <c r="H27" s="11">
        <f>5.9269 * CHOOSE(CONTROL!$C$32, $C$9, 100%, $E$9)</f>
        <v>5.9268999999999998</v>
      </c>
      <c r="I27" s="11">
        <f>5.9384 * CHOOSE(CONTROL!$C$32, $C$9, 100%, $E$9)</f>
        <v>5.9383999999999997</v>
      </c>
      <c r="J27" s="11">
        <f>5.9269 * CHOOSE(CONTROL!$C$32, $C$9, 100%, $E$9)</f>
        <v>5.9268999999999998</v>
      </c>
      <c r="K27" s="11">
        <f>5.9384 * CHOOSE(CONTROL!$C$32, $C$9, 100%, $E$9)</f>
        <v>5.9383999999999997</v>
      </c>
      <c r="L27" s="11">
        <f>3.5012 * CHOOSE(CONTROL!$C$32, $C$9, 100%, $E$9)</f>
        <v>3.5011999999999999</v>
      </c>
      <c r="M27" s="11">
        <f>3.5127 * CHOOSE(CONTROL!$C$32, $C$9, 100%, $E$9)</f>
        <v>3.5127000000000002</v>
      </c>
      <c r="N27" s="11">
        <f>3.5012 * CHOOSE(CONTROL!$C$32, $C$9, 100%, $E$9)</f>
        <v>3.5011999999999999</v>
      </c>
      <c r="O27" s="11">
        <f>3.5127 * CHOOSE(CONTROL!$C$32, $C$9, 100%, $E$9)</f>
        <v>3.5127000000000002</v>
      </c>
      <c r="P27" s="14"/>
      <c r="Q27" s="11"/>
      <c r="R27" s="11"/>
    </row>
    <row r="28" spans="1:18" ht="15" x14ac:dyDescent="0.2">
      <c r="A28" s="13">
        <v>41699</v>
      </c>
      <c r="B28" s="9">
        <f>2.3423 * CHOOSE(CONTROL!$C$32, $C$9, 100%, $E$9)</f>
        <v>2.3422999999999998</v>
      </c>
      <c r="C28" s="9">
        <f>2.3166 * CHOOSE(CONTROL!$C$32, $C$9, 100%, $E$9)</f>
        <v>2.3166000000000002</v>
      </c>
      <c r="D28" s="9">
        <f>2.3512 * CHOOSE(CONTROL!$C$32, $C$9, 100%, $E$9)</f>
        <v>2.3512</v>
      </c>
      <c r="E28" s="11">
        <f>3.4055 * CHOOSE(CONTROL!$C$32, $C$9, 100%, $E$9)</f>
        <v>3.4055</v>
      </c>
      <c r="F28" s="11">
        <f>3.2949 * CHOOSE(CONTROL!$C$32, $C$9, 100%, $E$9)</f>
        <v>3.2949000000000002</v>
      </c>
      <c r="G28" s="11">
        <f>3.3064 * CHOOSE(CONTROL!$C$32, $C$9, 100%, $E$9)</f>
        <v>3.3064</v>
      </c>
      <c r="H28" s="11">
        <f>5.9392 * CHOOSE(CONTROL!$C$32, $C$9, 100%, $E$9)</f>
        <v>5.9391999999999996</v>
      </c>
      <c r="I28" s="11">
        <f>5.9507 * CHOOSE(CONTROL!$C$32, $C$9, 100%, $E$9)</f>
        <v>5.9507000000000003</v>
      </c>
      <c r="J28" s="11">
        <f>5.9392 * CHOOSE(CONTROL!$C$32, $C$9, 100%, $E$9)</f>
        <v>5.9391999999999996</v>
      </c>
      <c r="K28" s="11">
        <f>5.9507 * CHOOSE(CONTROL!$C$32, $C$9, 100%, $E$9)</f>
        <v>5.9507000000000003</v>
      </c>
      <c r="L28" s="11">
        <f>3.4055 * CHOOSE(CONTROL!$C$32, $C$9, 100%, $E$9)</f>
        <v>3.4055</v>
      </c>
      <c r="M28" s="11">
        <f>3.417 * CHOOSE(CONTROL!$C$32, $C$9, 100%, $E$9)</f>
        <v>3.4169999999999998</v>
      </c>
      <c r="N28" s="11">
        <f>3.4055 * CHOOSE(CONTROL!$C$32, $C$9, 100%, $E$9)</f>
        <v>3.4055</v>
      </c>
      <c r="O28" s="11">
        <f>3.417 * CHOOSE(CONTROL!$C$32, $C$9, 100%, $E$9)</f>
        <v>3.4169999999999998</v>
      </c>
      <c r="P28" s="14"/>
      <c r="Q28" s="11"/>
      <c r="R28" s="11"/>
    </row>
    <row r="29" spans="1:18" ht="15" x14ac:dyDescent="0.2">
      <c r="A29" s="13">
        <v>41730</v>
      </c>
      <c r="B29" s="9">
        <f>2.3408 * CHOOSE(CONTROL!$C$32, $C$9, 100%, $E$9)</f>
        <v>2.3408000000000002</v>
      </c>
      <c r="C29" s="9">
        <f>2.3136 * CHOOSE(CONTROL!$C$32, $C$9, 100%, $E$9)</f>
        <v>2.3136000000000001</v>
      </c>
      <c r="D29" s="9">
        <f>2.3482 * CHOOSE(CONTROL!$C$32, $C$9, 100%, $E$9)</f>
        <v>2.3481999999999998</v>
      </c>
      <c r="E29" s="11">
        <f>3.4026 * CHOOSE(CONTROL!$C$32, $C$9, 100%, $E$9)</f>
        <v>3.4026000000000001</v>
      </c>
      <c r="F29" s="11">
        <f>3.3055 * CHOOSE(CONTROL!$C$32, $C$9, 100%, $E$9)</f>
        <v>3.3054999999999999</v>
      </c>
      <c r="G29" s="11">
        <f>3.317 * CHOOSE(CONTROL!$C$32, $C$9, 100%, $E$9)</f>
        <v>3.3170000000000002</v>
      </c>
      <c r="H29" s="11">
        <f>5.9516 * CHOOSE(CONTROL!$C$32, $C$9, 100%, $E$9)</f>
        <v>5.9516</v>
      </c>
      <c r="I29" s="11">
        <f>5.9631 * CHOOSE(CONTROL!$C$32, $C$9, 100%, $E$9)</f>
        <v>5.9630999999999998</v>
      </c>
      <c r="J29" s="11">
        <f>5.9516 * CHOOSE(CONTROL!$C$32, $C$9, 100%, $E$9)</f>
        <v>5.9516</v>
      </c>
      <c r="K29" s="11">
        <f>5.9631 * CHOOSE(CONTROL!$C$32, $C$9, 100%, $E$9)</f>
        <v>5.9630999999999998</v>
      </c>
      <c r="L29" s="11">
        <f>3.4026 * CHOOSE(CONTROL!$C$32, $C$9, 100%, $E$9)</f>
        <v>3.4026000000000001</v>
      </c>
      <c r="M29" s="11">
        <f>3.4142 * CHOOSE(CONTROL!$C$32, $C$9, 100%, $E$9)</f>
        <v>3.4142000000000001</v>
      </c>
      <c r="N29" s="11">
        <f>3.4026 * CHOOSE(CONTROL!$C$32, $C$9, 100%, $E$9)</f>
        <v>3.4026000000000001</v>
      </c>
      <c r="O29" s="11">
        <f>3.4142 * CHOOSE(CONTROL!$C$32, $C$9, 100%, $E$9)</f>
        <v>3.4142000000000001</v>
      </c>
      <c r="P29" s="14"/>
      <c r="Q29" s="11"/>
      <c r="R29" s="11"/>
    </row>
    <row r="30" spans="1:18" ht="15" x14ac:dyDescent="0.2">
      <c r="A30" s="13">
        <v>41760</v>
      </c>
      <c r="B30" s="9">
        <f>2.3438 * CHOOSE(CONTROL!$C$32, $C$9, 100%, $E$9)</f>
        <v>2.3437999999999999</v>
      </c>
      <c r="C30" s="9">
        <f>2.3151 * CHOOSE(CONTROL!$C$32, $C$9, 100%, $E$9)</f>
        <v>2.3151000000000002</v>
      </c>
      <c r="D30" s="9">
        <f>2.3605 * CHOOSE(CONTROL!$C$32, $C$9, 100%, $E$9)</f>
        <v>2.3605</v>
      </c>
      <c r="E30" s="11">
        <f>3.4085 * CHOOSE(CONTROL!$C$32, $C$9, 100%, $E$9)</f>
        <v>3.4085000000000001</v>
      </c>
      <c r="F30" s="11">
        <f>3.3161 * CHOOSE(CONTROL!$C$32, $C$9, 100%, $E$9)</f>
        <v>3.3161</v>
      </c>
      <c r="G30" s="11">
        <f>3.3312 * CHOOSE(CONTROL!$C$32, $C$9, 100%, $E$9)</f>
        <v>3.3311999999999999</v>
      </c>
      <c r="H30" s="11">
        <f>5.964 * CHOOSE(CONTROL!$C$32, $C$9, 100%, $E$9)</f>
        <v>5.9640000000000004</v>
      </c>
      <c r="I30" s="11">
        <f>5.9791 * CHOOSE(CONTROL!$C$32, $C$9, 100%, $E$9)</f>
        <v>5.9790999999999999</v>
      </c>
      <c r="J30" s="11">
        <f>5.964 * CHOOSE(CONTROL!$C$32, $C$9, 100%, $E$9)</f>
        <v>5.9640000000000004</v>
      </c>
      <c r="K30" s="11">
        <f>5.9791 * CHOOSE(CONTROL!$C$32, $C$9, 100%, $E$9)</f>
        <v>5.9790999999999999</v>
      </c>
      <c r="L30" s="11">
        <f>3.4085 * CHOOSE(CONTROL!$C$32, $C$9, 100%, $E$9)</f>
        <v>3.4085000000000001</v>
      </c>
      <c r="M30" s="11">
        <f>3.4236 * CHOOSE(CONTROL!$C$32, $C$9, 100%, $E$9)</f>
        <v>3.4236</v>
      </c>
      <c r="N30" s="11">
        <f>3.4085 * CHOOSE(CONTROL!$C$32, $C$9, 100%, $E$9)</f>
        <v>3.4085000000000001</v>
      </c>
      <c r="O30" s="11">
        <f>3.4236 * CHOOSE(CONTROL!$C$32, $C$9, 100%, $E$9)</f>
        <v>3.4236</v>
      </c>
      <c r="P30" s="14"/>
      <c r="Q30" s="11"/>
      <c r="R30" s="11"/>
    </row>
    <row r="31" spans="1:18" ht="15" x14ac:dyDescent="0.2">
      <c r="A31" s="13">
        <v>41791</v>
      </c>
      <c r="B31" s="9">
        <f>2.3496 * CHOOSE(CONTROL!$C$32, $C$9, 100%, $E$9)</f>
        <v>2.3496000000000001</v>
      </c>
      <c r="C31" s="9">
        <f>2.327 * CHOOSE(CONTROL!$C$32, $C$9, 100%, $E$9)</f>
        <v>2.327</v>
      </c>
      <c r="D31" s="9">
        <f>2.3724 * CHOOSE(CONTROL!$C$32, $C$9, 100%, $E$9)</f>
        <v>2.3723999999999998</v>
      </c>
      <c r="E31" s="11">
        <f>3.4321 * CHOOSE(CONTROL!$C$32, $C$9, 100%, $E$9)</f>
        <v>3.4321000000000002</v>
      </c>
      <c r="F31" s="11">
        <f>3.3585 * CHOOSE(CONTROL!$C$32, $C$9, 100%, $E$9)</f>
        <v>3.3584999999999998</v>
      </c>
      <c r="G31" s="11">
        <f>3.3735 * CHOOSE(CONTROL!$C$32, $C$9, 100%, $E$9)</f>
        <v>3.3734999999999999</v>
      </c>
      <c r="H31" s="11">
        <f>5.9764 * CHOOSE(CONTROL!$C$32, $C$9, 100%, $E$9)</f>
        <v>5.9763999999999999</v>
      </c>
      <c r="I31" s="11">
        <f>5.9915 * CHOOSE(CONTROL!$C$32, $C$9, 100%, $E$9)</f>
        <v>5.9915000000000003</v>
      </c>
      <c r="J31" s="11">
        <f>5.9764 * CHOOSE(CONTROL!$C$32, $C$9, 100%, $E$9)</f>
        <v>5.9763999999999999</v>
      </c>
      <c r="K31" s="11">
        <f>5.9915 * CHOOSE(CONTROL!$C$32, $C$9, 100%, $E$9)</f>
        <v>5.9915000000000003</v>
      </c>
      <c r="L31" s="11">
        <f>3.4321 * CHOOSE(CONTROL!$C$32, $C$9, 100%, $E$9)</f>
        <v>3.4321000000000002</v>
      </c>
      <c r="M31" s="11">
        <f>3.4471 * CHOOSE(CONTROL!$C$32, $C$9, 100%, $E$9)</f>
        <v>3.4470999999999998</v>
      </c>
      <c r="N31" s="11">
        <f>3.4321 * CHOOSE(CONTROL!$C$32, $C$9, 100%, $E$9)</f>
        <v>3.4321000000000002</v>
      </c>
      <c r="O31" s="11">
        <f>3.4471 * CHOOSE(CONTROL!$C$32, $C$9, 100%, $E$9)</f>
        <v>3.4470999999999998</v>
      </c>
      <c r="P31" s="14"/>
      <c r="Q31" s="11"/>
      <c r="R31" s="11"/>
    </row>
    <row r="32" spans="1:18" ht="15" x14ac:dyDescent="0.2">
      <c r="A32" s="13">
        <v>41821</v>
      </c>
      <c r="B32" s="9">
        <f>2.3649 * CHOOSE(CONTROL!$C$32, $C$9, 100%, $E$9)</f>
        <v>2.3649</v>
      </c>
      <c r="C32" s="9">
        <f>2.3574 * CHOOSE(CONTROL!$C$32, $C$9, 100%, $E$9)</f>
        <v>2.3574000000000002</v>
      </c>
      <c r="D32" s="9">
        <f>2.4028 * CHOOSE(CONTROL!$C$32, $C$9, 100%, $E$9)</f>
        <v>2.4028</v>
      </c>
      <c r="E32" s="11">
        <f>3.4478 * CHOOSE(CONTROL!$C$32, $C$9, 100%, $E$9)</f>
        <v>3.4478</v>
      </c>
      <c r="F32" s="11">
        <f>3.4008 * CHOOSE(CONTROL!$C$32, $C$9, 100%, $E$9)</f>
        <v>3.4007999999999998</v>
      </c>
      <c r="G32" s="11">
        <f>3.4159 * CHOOSE(CONTROL!$C$32, $C$9, 100%, $E$9)</f>
        <v>3.4159000000000002</v>
      </c>
      <c r="H32" s="11">
        <f>5.9889 * CHOOSE(CONTROL!$C$32, $C$9, 100%, $E$9)</f>
        <v>5.9889000000000001</v>
      </c>
      <c r="I32" s="11">
        <f>6.0039 * CHOOSE(CONTROL!$C$32, $C$9, 100%, $E$9)</f>
        <v>6.0038999999999998</v>
      </c>
      <c r="J32" s="11">
        <f>5.9889 * CHOOSE(CONTROL!$C$32, $C$9, 100%, $E$9)</f>
        <v>5.9889000000000001</v>
      </c>
      <c r="K32" s="11">
        <f>6.0039 * CHOOSE(CONTROL!$C$32, $C$9, 100%, $E$9)</f>
        <v>6.0038999999999998</v>
      </c>
      <c r="L32" s="11">
        <f>3.4478 * CHOOSE(CONTROL!$C$32, $C$9, 100%, $E$9)</f>
        <v>3.4478</v>
      </c>
      <c r="M32" s="11">
        <f>3.4629 * CHOOSE(CONTROL!$C$32, $C$9, 100%, $E$9)</f>
        <v>3.4628999999999999</v>
      </c>
      <c r="N32" s="11">
        <f>3.4478 * CHOOSE(CONTROL!$C$32, $C$9, 100%, $E$9)</f>
        <v>3.4478</v>
      </c>
      <c r="O32" s="11">
        <f>3.4629 * CHOOSE(CONTROL!$C$32, $C$9, 100%, $E$9)</f>
        <v>3.4628999999999999</v>
      </c>
      <c r="P32" s="14"/>
      <c r="Q32" s="11"/>
      <c r="R32" s="11"/>
    </row>
    <row r="33" spans="1:18" ht="15" x14ac:dyDescent="0.2">
      <c r="A33" s="13">
        <v>41852</v>
      </c>
      <c r="B33" s="9">
        <f>2.3848 * CHOOSE(CONTROL!$C$32, $C$9, 100%, $E$9)</f>
        <v>2.3847999999999998</v>
      </c>
      <c r="C33" s="9">
        <f>2.3923 * CHOOSE(CONTROL!$C$32, $C$9, 100%, $E$9)</f>
        <v>2.3923000000000001</v>
      </c>
      <c r="D33" s="9">
        <f>2.4377 * CHOOSE(CONTROL!$C$32, $C$9, 100%, $E$9)</f>
        <v>2.4377</v>
      </c>
      <c r="E33" s="11">
        <f>3.4793 * CHOOSE(CONTROL!$C$32, $C$9, 100%, $E$9)</f>
        <v>3.4792999999999998</v>
      </c>
      <c r="F33" s="11">
        <f>3.4517 * CHOOSE(CONTROL!$C$32, $C$9, 100%, $E$9)</f>
        <v>3.4517000000000002</v>
      </c>
      <c r="G33" s="11">
        <f>3.4668 * CHOOSE(CONTROL!$C$32, $C$9, 100%, $E$9)</f>
        <v>3.4668000000000001</v>
      </c>
      <c r="H33" s="11">
        <f>6.0013 * CHOOSE(CONTROL!$C$32, $C$9, 100%, $E$9)</f>
        <v>6.0012999999999996</v>
      </c>
      <c r="I33" s="11">
        <f>6.0164 * CHOOSE(CONTROL!$C$32, $C$9, 100%, $E$9)</f>
        <v>6.0164</v>
      </c>
      <c r="J33" s="11">
        <f>6.0013 * CHOOSE(CONTROL!$C$32, $C$9, 100%, $E$9)</f>
        <v>6.0012999999999996</v>
      </c>
      <c r="K33" s="11">
        <f>6.0164 * CHOOSE(CONTROL!$C$32, $C$9, 100%, $E$9)</f>
        <v>6.0164</v>
      </c>
      <c r="L33" s="11">
        <f>3.4793 * CHOOSE(CONTROL!$C$32, $C$9, 100%, $E$9)</f>
        <v>3.4792999999999998</v>
      </c>
      <c r="M33" s="11">
        <f>3.4943 * CHOOSE(CONTROL!$C$32, $C$9, 100%, $E$9)</f>
        <v>3.4943</v>
      </c>
      <c r="N33" s="11">
        <f>3.4793 * CHOOSE(CONTROL!$C$32, $C$9, 100%, $E$9)</f>
        <v>3.4792999999999998</v>
      </c>
      <c r="O33" s="11">
        <f>3.4943 * CHOOSE(CONTROL!$C$32, $C$9, 100%, $E$9)</f>
        <v>3.4943</v>
      </c>
      <c r="P33" s="14"/>
      <c r="Q33" s="11"/>
      <c r="R33" s="11"/>
    </row>
    <row r="34" spans="1:18" ht="15" x14ac:dyDescent="0.2">
      <c r="A34" s="13">
        <v>41883</v>
      </c>
      <c r="B34" s="9">
        <f>2.3937 * CHOOSE(CONTROL!$C$32, $C$9, 100%, $E$9)</f>
        <v>2.3936999999999999</v>
      </c>
      <c r="C34" s="9">
        <f>2.4103 * CHOOSE(CONTROL!$C$32, $C$9, 100%, $E$9)</f>
        <v>2.4102999999999999</v>
      </c>
      <c r="D34" s="9">
        <f>2.4557 * CHOOSE(CONTROL!$C$32, $C$9, 100%, $E$9)</f>
        <v>2.4557000000000002</v>
      </c>
      <c r="E34" s="11">
        <f>3.4806 * CHOOSE(CONTROL!$C$32, $C$9, 100%, $E$9)</f>
        <v>3.4805999999999999</v>
      </c>
      <c r="F34" s="11">
        <f>3.4538 * CHOOSE(CONTROL!$C$32, $C$9, 100%, $E$9)</f>
        <v>3.4538000000000002</v>
      </c>
      <c r="G34" s="11">
        <f>3.4689 * CHOOSE(CONTROL!$C$32, $C$9, 100%, $E$9)</f>
        <v>3.4689000000000001</v>
      </c>
      <c r="H34" s="11">
        <f>6.0138 * CHOOSE(CONTROL!$C$32, $C$9, 100%, $E$9)</f>
        <v>6.0137999999999998</v>
      </c>
      <c r="I34" s="11">
        <f>6.0289 * CHOOSE(CONTROL!$C$32, $C$9, 100%, $E$9)</f>
        <v>6.0289000000000001</v>
      </c>
      <c r="J34" s="11">
        <f>6.0138 * CHOOSE(CONTROL!$C$32, $C$9, 100%, $E$9)</f>
        <v>6.0137999999999998</v>
      </c>
      <c r="K34" s="11">
        <f>6.0289 * CHOOSE(CONTROL!$C$32, $C$9, 100%, $E$9)</f>
        <v>6.0289000000000001</v>
      </c>
      <c r="L34" s="11">
        <f>3.4806 * CHOOSE(CONTROL!$C$32, $C$9, 100%, $E$9)</f>
        <v>3.4805999999999999</v>
      </c>
      <c r="M34" s="11">
        <f>3.4956 * CHOOSE(CONTROL!$C$32, $C$9, 100%, $E$9)</f>
        <v>3.4956</v>
      </c>
      <c r="N34" s="11">
        <f>3.4806 * CHOOSE(CONTROL!$C$32, $C$9, 100%, $E$9)</f>
        <v>3.4805999999999999</v>
      </c>
      <c r="O34" s="11">
        <f>3.4956 * CHOOSE(CONTROL!$C$32, $C$9, 100%, $E$9)</f>
        <v>3.4956</v>
      </c>
      <c r="P34" s="14"/>
      <c r="Q34" s="11"/>
      <c r="R34" s="11"/>
    </row>
    <row r="35" spans="1:18" ht="15" x14ac:dyDescent="0.2">
      <c r="A35" s="13">
        <v>41913</v>
      </c>
      <c r="B35" s="9">
        <f>2.3937 * CHOOSE(CONTROL!$C$32, $C$9, 100%, $E$9)</f>
        <v>2.3936999999999999</v>
      </c>
      <c r="C35" s="9">
        <f>2.4103 * CHOOSE(CONTROL!$C$32, $C$9, 100%, $E$9)</f>
        <v>2.4102999999999999</v>
      </c>
      <c r="D35" s="9">
        <f>2.4449 * CHOOSE(CONTROL!$C$32, $C$9, 100%, $E$9)</f>
        <v>2.4449000000000001</v>
      </c>
      <c r="E35" s="11">
        <f>3.4819 * CHOOSE(CONTROL!$C$32, $C$9, 100%, $E$9)</f>
        <v>3.4819</v>
      </c>
      <c r="F35" s="11">
        <f>3.4559 * CHOOSE(CONTROL!$C$32, $C$9, 100%, $E$9)</f>
        <v>3.4559000000000002</v>
      </c>
      <c r="G35" s="11">
        <f>3.4675 * CHOOSE(CONTROL!$C$32, $C$9, 100%, $E$9)</f>
        <v>3.4674999999999998</v>
      </c>
      <c r="H35" s="11">
        <f>6.0264 * CHOOSE(CONTROL!$C$32, $C$9, 100%, $E$9)</f>
        <v>6.0263999999999998</v>
      </c>
      <c r="I35" s="11">
        <f>6.0379 * CHOOSE(CONTROL!$C$32, $C$9, 100%, $E$9)</f>
        <v>6.0378999999999996</v>
      </c>
      <c r="J35" s="11">
        <f>6.0264 * CHOOSE(CONTROL!$C$32, $C$9, 100%, $E$9)</f>
        <v>6.0263999999999998</v>
      </c>
      <c r="K35" s="11">
        <f>6.0379 * CHOOSE(CONTROL!$C$32, $C$9, 100%, $E$9)</f>
        <v>6.0378999999999996</v>
      </c>
      <c r="L35" s="11">
        <f>3.4819 * CHOOSE(CONTROL!$C$32, $C$9, 100%, $E$9)</f>
        <v>3.4819</v>
      </c>
      <c r="M35" s="11">
        <f>3.4934 * CHOOSE(CONTROL!$C$32, $C$9, 100%, $E$9)</f>
        <v>3.4933999999999998</v>
      </c>
      <c r="N35" s="11">
        <f>3.4819 * CHOOSE(CONTROL!$C$32, $C$9, 100%, $E$9)</f>
        <v>3.4819</v>
      </c>
      <c r="O35" s="11">
        <f>3.4934 * CHOOSE(CONTROL!$C$32, $C$9, 100%, $E$9)</f>
        <v>3.4933999999999998</v>
      </c>
      <c r="P35" s="14"/>
      <c r="Q35" s="11"/>
      <c r="R35" s="11"/>
    </row>
    <row r="36" spans="1:18" ht="15" x14ac:dyDescent="0.2">
      <c r="A36" s="13">
        <v>41944</v>
      </c>
      <c r="B36" s="9">
        <f>2.4013 * CHOOSE(CONTROL!$C$32, $C$9, 100%, $E$9)</f>
        <v>2.4013</v>
      </c>
      <c r="C36" s="9">
        <f>2.421 * CHOOSE(CONTROL!$C$32, $C$9, 100%, $E$9)</f>
        <v>2.4209999999999998</v>
      </c>
      <c r="D36" s="9">
        <f>2.4555 * CHOOSE(CONTROL!$C$32, $C$9, 100%, $E$9)</f>
        <v>2.4554999999999998</v>
      </c>
      <c r="E36" s="11">
        <f>3.4897 * CHOOSE(CONTROL!$C$32, $C$9, 100%, $E$9)</f>
        <v>3.4897</v>
      </c>
      <c r="F36" s="11">
        <f>3.4623 * CHOOSE(CONTROL!$C$32, $C$9, 100%, $E$9)</f>
        <v>3.4622999999999999</v>
      </c>
      <c r="G36" s="11">
        <f>3.4738 * CHOOSE(CONTROL!$C$32, $C$9, 100%, $E$9)</f>
        <v>3.4738000000000002</v>
      </c>
      <c r="H36" s="11">
        <f>6.0389 * CHOOSE(CONTROL!$C$32, $C$9, 100%, $E$9)</f>
        <v>6.0388999999999999</v>
      </c>
      <c r="I36" s="11">
        <f>6.0504 * CHOOSE(CONTROL!$C$32, $C$9, 100%, $E$9)</f>
        <v>6.0503999999999998</v>
      </c>
      <c r="J36" s="11">
        <f>6.0389 * CHOOSE(CONTROL!$C$32, $C$9, 100%, $E$9)</f>
        <v>6.0388999999999999</v>
      </c>
      <c r="K36" s="11">
        <f>6.0504 * CHOOSE(CONTROL!$C$32, $C$9, 100%, $E$9)</f>
        <v>6.0503999999999998</v>
      </c>
      <c r="L36" s="11">
        <f>3.4897 * CHOOSE(CONTROL!$C$32, $C$9, 100%, $E$9)</f>
        <v>3.4897</v>
      </c>
      <c r="M36" s="11">
        <f>3.5013 * CHOOSE(CONTROL!$C$32, $C$9, 100%, $E$9)</f>
        <v>3.5013000000000001</v>
      </c>
      <c r="N36" s="11">
        <f>3.4897 * CHOOSE(CONTROL!$C$32, $C$9, 100%, $E$9)</f>
        <v>3.4897</v>
      </c>
      <c r="O36" s="11">
        <f>3.5013 * CHOOSE(CONTROL!$C$32, $C$9, 100%, $E$9)</f>
        <v>3.5013000000000001</v>
      </c>
      <c r="P36" s="14"/>
      <c r="Q36" s="11"/>
      <c r="R36" s="11"/>
    </row>
    <row r="37" spans="1:18" ht="15" x14ac:dyDescent="0.2">
      <c r="A37" s="13">
        <v>41974</v>
      </c>
      <c r="B37" s="9">
        <f>2.4071 * CHOOSE(CONTROL!$C$32, $C$9, 100%, $E$9)</f>
        <v>2.4070999999999998</v>
      </c>
      <c r="C37" s="9">
        <f>2.4328 * CHOOSE(CONTROL!$C$32, $C$9, 100%, $E$9)</f>
        <v>2.4327999999999999</v>
      </c>
      <c r="D37" s="9">
        <f>2.4674 * CHOOSE(CONTROL!$C$32, $C$9, 100%, $E$9)</f>
        <v>2.4674</v>
      </c>
      <c r="E37" s="11">
        <f>3.4979 * CHOOSE(CONTROL!$C$32, $C$9, 100%, $E$9)</f>
        <v>3.4979</v>
      </c>
      <c r="F37" s="11">
        <f>3.475 * CHOOSE(CONTROL!$C$32, $C$9, 100%, $E$9)</f>
        <v>3.4750000000000001</v>
      </c>
      <c r="G37" s="11">
        <f>3.4865 * CHOOSE(CONTROL!$C$32, $C$9, 100%, $E$9)</f>
        <v>3.4864999999999999</v>
      </c>
      <c r="H37" s="11">
        <f>6.0515 * CHOOSE(CONTROL!$C$32, $C$9, 100%, $E$9)</f>
        <v>6.0514999999999999</v>
      </c>
      <c r="I37" s="11">
        <f>6.063 * CHOOSE(CONTROL!$C$32, $C$9, 100%, $E$9)</f>
        <v>6.0629999999999997</v>
      </c>
      <c r="J37" s="11">
        <f>6.0515 * CHOOSE(CONTROL!$C$32, $C$9, 100%, $E$9)</f>
        <v>6.0514999999999999</v>
      </c>
      <c r="K37" s="11">
        <f>6.063 * CHOOSE(CONTROL!$C$32, $C$9, 100%, $E$9)</f>
        <v>6.0629999999999997</v>
      </c>
      <c r="L37" s="11">
        <f>3.4979 * CHOOSE(CONTROL!$C$32, $C$9, 100%, $E$9)</f>
        <v>3.4979</v>
      </c>
      <c r="M37" s="11">
        <f>3.5094 * CHOOSE(CONTROL!$C$32, $C$9, 100%, $E$9)</f>
        <v>3.5093999999999999</v>
      </c>
      <c r="N37" s="11">
        <f>3.4979 * CHOOSE(CONTROL!$C$32, $C$9, 100%, $E$9)</f>
        <v>3.4979</v>
      </c>
      <c r="O37" s="11">
        <f>3.5094 * CHOOSE(CONTROL!$C$32, $C$9, 100%, $E$9)</f>
        <v>3.5093999999999999</v>
      </c>
      <c r="P37" s="14"/>
      <c r="Q37" s="11"/>
      <c r="R37" s="11"/>
    </row>
    <row r="38" spans="1:18" ht="15" x14ac:dyDescent="0.2">
      <c r="A38" s="13">
        <v>42005</v>
      </c>
      <c r="B38" s="9">
        <f>2.4532 * CHOOSE(CONTROL!$C$32, $C$9, 100%, $E$9)</f>
        <v>2.4531999999999998</v>
      </c>
      <c r="C38" s="9">
        <f>2.4532 * CHOOSE(CONTROL!$C$32, $C$9, 100%, $E$9)</f>
        <v>2.4531999999999998</v>
      </c>
      <c r="D38" s="9">
        <f>2.4541 * CHOOSE(CONTROL!$C$32, $C$9, 100%, $E$9)</f>
        <v>2.4540999999999999</v>
      </c>
      <c r="E38" s="11">
        <f>3.8055 * CHOOSE(CONTROL!$C$32, $C$9, 100%, $E$9)</f>
        <v>3.8054999999999999</v>
      </c>
      <c r="F38" s="11">
        <f>3.5836 * CHOOSE(CONTROL!$C$32, $C$9, 100%, $E$9)</f>
        <v>3.5836000000000001</v>
      </c>
      <c r="G38" s="11">
        <f>3.5868 * CHOOSE(CONTROL!$C$32, $C$9, 100%, $E$9)</f>
        <v>3.5868000000000002</v>
      </c>
      <c r="H38" s="11">
        <f>6.0641 * CHOOSE(CONTROL!$C$32, $C$9, 100%, $E$9)</f>
        <v>6.0640999999999998</v>
      </c>
      <c r="I38" s="11">
        <f>6.0673 * CHOOSE(CONTROL!$C$32, $C$9, 100%, $E$9)</f>
        <v>6.0673000000000004</v>
      </c>
      <c r="J38" s="11">
        <f>6.0641 * CHOOSE(CONTROL!$C$32, $C$9, 100%, $E$9)</f>
        <v>6.0640999999999998</v>
      </c>
      <c r="K38" s="11">
        <f>6.0673 * CHOOSE(CONTROL!$C$32, $C$9, 100%, $E$9)</f>
        <v>6.0673000000000004</v>
      </c>
      <c r="L38" s="11">
        <f>3.8055 * CHOOSE(CONTROL!$C$32, $C$9, 100%, $E$9)</f>
        <v>3.8054999999999999</v>
      </c>
      <c r="M38" s="11">
        <f>3.8087 * CHOOSE(CONTROL!$C$32, $C$9, 100%, $E$9)</f>
        <v>3.8087</v>
      </c>
      <c r="N38" s="11">
        <f>3.8055 * CHOOSE(CONTROL!$C$32, $C$9, 100%, $E$9)</f>
        <v>3.8054999999999999</v>
      </c>
      <c r="O38" s="11">
        <f>3.8087 * CHOOSE(CONTROL!$C$32, $C$9, 100%, $E$9)</f>
        <v>3.8087</v>
      </c>
      <c r="P38" s="14"/>
      <c r="Q38" s="11"/>
      <c r="R38" s="11"/>
    </row>
    <row r="39" spans="1:18" ht="15" x14ac:dyDescent="0.2">
      <c r="A39" s="13">
        <v>42036</v>
      </c>
      <c r="B39" s="9">
        <f>2.4638 * CHOOSE(CONTROL!$C$32, $C$9, 100%, $E$9)</f>
        <v>2.4638</v>
      </c>
      <c r="C39" s="9">
        <f>2.4638 * CHOOSE(CONTROL!$C$32, $C$9, 100%, $E$9)</f>
        <v>2.4638</v>
      </c>
      <c r="D39" s="9">
        <f>2.4647 * CHOOSE(CONTROL!$C$32, $C$9, 100%, $E$9)</f>
        <v>2.4647000000000001</v>
      </c>
      <c r="E39" s="11">
        <f>3.7577 * CHOOSE(CONTROL!$C$32, $C$9, 100%, $E$9)</f>
        <v>3.7576999999999998</v>
      </c>
      <c r="F39" s="11">
        <f>3.5836 * CHOOSE(CONTROL!$C$32, $C$9, 100%, $E$9)</f>
        <v>3.5836000000000001</v>
      </c>
      <c r="G39" s="11">
        <f>3.5868 * CHOOSE(CONTROL!$C$32, $C$9, 100%, $E$9)</f>
        <v>3.5868000000000002</v>
      </c>
      <c r="H39" s="11">
        <f>6.0767 * CHOOSE(CONTROL!$C$32, $C$9, 100%, $E$9)</f>
        <v>6.0766999999999998</v>
      </c>
      <c r="I39" s="11">
        <f>6.08 * CHOOSE(CONTROL!$C$32, $C$9, 100%, $E$9)</f>
        <v>6.08</v>
      </c>
      <c r="J39" s="11">
        <f>6.0767 * CHOOSE(CONTROL!$C$32, $C$9, 100%, $E$9)</f>
        <v>6.0766999999999998</v>
      </c>
      <c r="K39" s="11">
        <f>6.08 * CHOOSE(CONTROL!$C$32, $C$9, 100%, $E$9)</f>
        <v>6.08</v>
      </c>
      <c r="L39" s="11">
        <f>3.7577 * CHOOSE(CONTROL!$C$32, $C$9, 100%, $E$9)</f>
        <v>3.7576999999999998</v>
      </c>
      <c r="M39" s="11">
        <f>3.7609 * CHOOSE(CONTROL!$C$32, $C$9, 100%, $E$9)</f>
        <v>3.7608999999999999</v>
      </c>
      <c r="N39" s="11">
        <f>3.7577 * CHOOSE(CONTROL!$C$32, $C$9, 100%, $E$9)</f>
        <v>3.7576999999999998</v>
      </c>
      <c r="O39" s="11">
        <f>3.7609 * CHOOSE(CONTROL!$C$32, $C$9, 100%, $E$9)</f>
        <v>3.7608999999999999</v>
      </c>
      <c r="P39" s="14"/>
      <c r="Q39" s="11"/>
      <c r="R39" s="11"/>
    </row>
    <row r="40" spans="1:18" ht="15" x14ac:dyDescent="0.2">
      <c r="A40" s="13">
        <v>42064</v>
      </c>
      <c r="B40" s="9">
        <f>2.4574 * CHOOSE(CONTROL!$C$32, $C$9, 100%, $E$9)</f>
        <v>2.4573999999999998</v>
      </c>
      <c r="C40" s="9">
        <f>2.4574 * CHOOSE(CONTROL!$C$32, $C$9, 100%, $E$9)</f>
        <v>2.4573999999999998</v>
      </c>
      <c r="D40" s="9">
        <f>2.4583 * CHOOSE(CONTROL!$C$32, $C$9, 100%, $E$9)</f>
        <v>2.4582999999999999</v>
      </c>
      <c r="E40" s="11">
        <f>3.686 * CHOOSE(CONTROL!$C$32, $C$9, 100%, $E$9)</f>
        <v>3.6859999999999999</v>
      </c>
      <c r="F40" s="11">
        <f>3.5836 * CHOOSE(CONTROL!$C$32, $C$9, 100%, $E$9)</f>
        <v>3.5836000000000001</v>
      </c>
      <c r="G40" s="11">
        <f>3.5868 * CHOOSE(CONTROL!$C$32, $C$9, 100%, $E$9)</f>
        <v>3.5868000000000002</v>
      </c>
      <c r="H40" s="11">
        <f>6.0894 * CHOOSE(CONTROL!$C$32, $C$9, 100%, $E$9)</f>
        <v>6.0894000000000004</v>
      </c>
      <c r="I40" s="11">
        <f>6.0926 * CHOOSE(CONTROL!$C$32, $C$9, 100%, $E$9)</f>
        <v>6.0926</v>
      </c>
      <c r="J40" s="11">
        <f>6.0894 * CHOOSE(CONTROL!$C$32, $C$9, 100%, $E$9)</f>
        <v>6.0894000000000004</v>
      </c>
      <c r="K40" s="11">
        <f>6.0926 * CHOOSE(CONTROL!$C$32, $C$9, 100%, $E$9)</f>
        <v>6.0926</v>
      </c>
      <c r="L40" s="11">
        <f>3.686 * CHOOSE(CONTROL!$C$32, $C$9, 100%, $E$9)</f>
        <v>3.6859999999999999</v>
      </c>
      <c r="M40" s="11">
        <f>3.6892 * CHOOSE(CONTROL!$C$32, $C$9, 100%, $E$9)</f>
        <v>3.6892</v>
      </c>
      <c r="N40" s="11">
        <f>3.686 * CHOOSE(CONTROL!$C$32, $C$9, 100%, $E$9)</f>
        <v>3.6859999999999999</v>
      </c>
      <c r="O40" s="11">
        <f>3.6892 * CHOOSE(CONTROL!$C$32, $C$9, 100%, $E$9)</f>
        <v>3.6892</v>
      </c>
      <c r="P40" s="14"/>
      <c r="Q40" s="11"/>
      <c r="R40" s="11"/>
    </row>
    <row r="41" spans="1:18" ht="15" x14ac:dyDescent="0.2">
      <c r="A41" s="13">
        <v>42095</v>
      </c>
      <c r="B41" s="9">
        <f>2.4574 * CHOOSE(CONTROL!$C$32, $C$9, 100%, $E$9)</f>
        <v>2.4573999999999998</v>
      </c>
      <c r="C41" s="9">
        <f>2.4574 * CHOOSE(CONTROL!$C$32, $C$9, 100%, $E$9)</f>
        <v>2.4573999999999998</v>
      </c>
      <c r="D41" s="9">
        <f>2.4583 * CHOOSE(CONTROL!$C$32, $C$9, 100%, $E$9)</f>
        <v>2.4582999999999999</v>
      </c>
      <c r="E41" s="11">
        <f>3.6986 * CHOOSE(CONTROL!$C$32, $C$9, 100%, $E$9)</f>
        <v>3.6985999999999999</v>
      </c>
      <c r="F41" s="11">
        <f>3.5836 * CHOOSE(CONTROL!$C$32, $C$9, 100%, $E$9)</f>
        <v>3.5836000000000001</v>
      </c>
      <c r="G41" s="11">
        <f>3.5868 * CHOOSE(CONTROL!$C$32, $C$9, 100%, $E$9)</f>
        <v>3.5868000000000002</v>
      </c>
      <c r="H41" s="11">
        <f>6.1021 * CHOOSE(CONTROL!$C$32, $C$9, 100%, $E$9)</f>
        <v>6.1021000000000001</v>
      </c>
      <c r="I41" s="11">
        <f>6.1053 * CHOOSE(CONTROL!$C$32, $C$9, 100%, $E$9)</f>
        <v>6.1052999999999997</v>
      </c>
      <c r="J41" s="11">
        <f>6.1021 * CHOOSE(CONTROL!$C$32, $C$9, 100%, $E$9)</f>
        <v>6.1021000000000001</v>
      </c>
      <c r="K41" s="11">
        <f>6.1053 * CHOOSE(CONTROL!$C$32, $C$9, 100%, $E$9)</f>
        <v>6.1052999999999997</v>
      </c>
      <c r="L41" s="11">
        <f>3.6986 * CHOOSE(CONTROL!$C$32, $C$9, 100%, $E$9)</f>
        <v>3.6985999999999999</v>
      </c>
      <c r="M41" s="11">
        <f>3.7018 * CHOOSE(CONTROL!$C$32, $C$9, 100%, $E$9)</f>
        <v>3.7018</v>
      </c>
      <c r="N41" s="11">
        <f>3.6986 * CHOOSE(CONTROL!$C$32, $C$9, 100%, $E$9)</f>
        <v>3.6985999999999999</v>
      </c>
      <c r="O41" s="11">
        <f>3.7018 * CHOOSE(CONTROL!$C$32, $C$9, 100%, $E$9)</f>
        <v>3.7018</v>
      </c>
      <c r="P41" s="14"/>
      <c r="Q41" s="11"/>
      <c r="R41" s="11"/>
    </row>
    <row r="42" spans="1:18" ht="15" x14ac:dyDescent="0.2">
      <c r="A42" s="13">
        <v>42125</v>
      </c>
      <c r="B42" s="9">
        <f>2.4559 * CHOOSE(CONTROL!$C$32, $C$9, 100%, $E$9)</f>
        <v>2.4559000000000002</v>
      </c>
      <c r="C42" s="9">
        <f>2.4559 * CHOOSE(CONTROL!$C$32, $C$9, 100%, $E$9)</f>
        <v>2.4559000000000002</v>
      </c>
      <c r="D42" s="9">
        <f>2.4572 * CHOOSE(CONTROL!$C$32, $C$9, 100%, $E$9)</f>
        <v>2.4571999999999998</v>
      </c>
      <c r="E42" s="11">
        <f>3.7718 * CHOOSE(CONTROL!$C$32, $C$9, 100%, $E$9)</f>
        <v>3.7717999999999998</v>
      </c>
      <c r="F42" s="11">
        <f>3.5836 * CHOOSE(CONTROL!$C$32, $C$9, 100%, $E$9)</f>
        <v>3.5836000000000001</v>
      </c>
      <c r="G42" s="11">
        <f>3.5878 * CHOOSE(CONTROL!$C$32, $C$9, 100%, $E$9)</f>
        <v>3.5878000000000001</v>
      </c>
      <c r="H42" s="11">
        <f>6.1148 * CHOOSE(CONTROL!$C$32, $C$9, 100%, $E$9)</f>
        <v>6.1147999999999998</v>
      </c>
      <c r="I42" s="11">
        <f>6.119 * CHOOSE(CONTROL!$C$32, $C$9, 100%, $E$9)</f>
        <v>6.1189999999999998</v>
      </c>
      <c r="J42" s="11">
        <f>6.1148 * CHOOSE(CONTROL!$C$32, $C$9, 100%, $E$9)</f>
        <v>6.1147999999999998</v>
      </c>
      <c r="K42" s="11">
        <f>6.119 * CHOOSE(CONTROL!$C$32, $C$9, 100%, $E$9)</f>
        <v>6.1189999999999998</v>
      </c>
      <c r="L42" s="11">
        <f>3.7718 * CHOOSE(CONTROL!$C$32, $C$9, 100%, $E$9)</f>
        <v>3.7717999999999998</v>
      </c>
      <c r="M42" s="11">
        <f>3.776 * CHOOSE(CONTROL!$C$32, $C$9, 100%, $E$9)</f>
        <v>3.7759999999999998</v>
      </c>
      <c r="N42" s="11">
        <f>3.7718 * CHOOSE(CONTROL!$C$32, $C$9, 100%, $E$9)</f>
        <v>3.7717999999999998</v>
      </c>
      <c r="O42" s="11">
        <f>3.776 * CHOOSE(CONTROL!$C$32, $C$9, 100%, $E$9)</f>
        <v>3.7759999999999998</v>
      </c>
      <c r="P42" s="14"/>
      <c r="Q42" s="11"/>
      <c r="R42" s="11"/>
    </row>
    <row r="43" spans="1:18" ht="15" x14ac:dyDescent="0.2">
      <c r="A43" s="13">
        <v>42156</v>
      </c>
      <c r="B43" s="9">
        <f>2.4775 * CHOOSE(CONTROL!$C$32, $C$9, 100%, $E$9)</f>
        <v>2.4775</v>
      </c>
      <c r="C43" s="9">
        <f>2.4775 * CHOOSE(CONTROL!$C$32, $C$9, 100%, $E$9)</f>
        <v>2.4775</v>
      </c>
      <c r="D43" s="9">
        <f>2.4788 * CHOOSE(CONTROL!$C$32, $C$9, 100%, $E$9)</f>
        <v>2.4788000000000001</v>
      </c>
      <c r="E43" s="11">
        <f>3.8167 * CHOOSE(CONTROL!$C$32, $C$9, 100%, $E$9)</f>
        <v>3.8167</v>
      </c>
      <c r="F43" s="11">
        <f>3.5836 * CHOOSE(CONTROL!$C$32, $C$9, 100%, $E$9)</f>
        <v>3.5836000000000001</v>
      </c>
      <c r="G43" s="11">
        <f>3.5878 * CHOOSE(CONTROL!$C$32, $C$9, 100%, $E$9)</f>
        <v>3.5878000000000001</v>
      </c>
      <c r="H43" s="11">
        <f>6.1275 * CHOOSE(CONTROL!$C$32, $C$9, 100%, $E$9)</f>
        <v>6.1275000000000004</v>
      </c>
      <c r="I43" s="11">
        <f>6.1317 * CHOOSE(CONTROL!$C$32, $C$9, 100%, $E$9)</f>
        <v>6.1317000000000004</v>
      </c>
      <c r="J43" s="11">
        <f>6.1275 * CHOOSE(CONTROL!$C$32, $C$9, 100%, $E$9)</f>
        <v>6.1275000000000004</v>
      </c>
      <c r="K43" s="11">
        <f>6.1317 * CHOOSE(CONTROL!$C$32, $C$9, 100%, $E$9)</f>
        <v>6.1317000000000004</v>
      </c>
      <c r="L43" s="11">
        <f>3.8167 * CHOOSE(CONTROL!$C$32, $C$9, 100%, $E$9)</f>
        <v>3.8167</v>
      </c>
      <c r="M43" s="11">
        <f>3.8209 * CHOOSE(CONTROL!$C$32, $C$9, 100%, $E$9)</f>
        <v>3.8209</v>
      </c>
      <c r="N43" s="11">
        <f>3.8167 * CHOOSE(CONTROL!$C$32, $C$9, 100%, $E$9)</f>
        <v>3.8167</v>
      </c>
      <c r="O43" s="11">
        <f>3.8209 * CHOOSE(CONTROL!$C$32, $C$9, 100%, $E$9)</f>
        <v>3.8209</v>
      </c>
      <c r="P43" s="14"/>
      <c r="Q43" s="11"/>
      <c r="R43" s="11"/>
    </row>
    <row r="44" spans="1:18" ht="15" x14ac:dyDescent="0.2">
      <c r="A44" s="13">
        <v>42186</v>
      </c>
      <c r="B44" s="9">
        <f>2.5019 * CHOOSE(CONTROL!$C$32, $C$9, 100%, $E$9)</f>
        <v>2.5019</v>
      </c>
      <c r="C44" s="9">
        <f>2.5019 * CHOOSE(CONTROL!$C$32, $C$9, 100%, $E$9)</f>
        <v>2.5019</v>
      </c>
      <c r="D44" s="9">
        <f>2.5031 * CHOOSE(CONTROL!$C$32, $C$9, 100%, $E$9)</f>
        <v>2.5030999999999999</v>
      </c>
      <c r="E44" s="11">
        <f>3.8864 * CHOOSE(CONTROL!$C$32, $C$9, 100%, $E$9)</f>
        <v>3.8864000000000001</v>
      </c>
      <c r="F44" s="11">
        <f>3.5836 * CHOOSE(CONTROL!$C$32, $C$9, 100%, $E$9)</f>
        <v>3.5836000000000001</v>
      </c>
      <c r="G44" s="11">
        <f>3.5878 * CHOOSE(CONTROL!$C$32, $C$9, 100%, $E$9)</f>
        <v>3.5878000000000001</v>
      </c>
      <c r="H44" s="11">
        <f>6.1403 * CHOOSE(CONTROL!$C$32, $C$9, 100%, $E$9)</f>
        <v>6.1402999999999999</v>
      </c>
      <c r="I44" s="11">
        <f>6.1445 * CHOOSE(CONTROL!$C$32, $C$9, 100%, $E$9)</f>
        <v>6.1444999999999999</v>
      </c>
      <c r="J44" s="11">
        <f>6.1403 * CHOOSE(CONTROL!$C$32, $C$9, 100%, $E$9)</f>
        <v>6.1402999999999999</v>
      </c>
      <c r="K44" s="11">
        <f>6.1445 * CHOOSE(CONTROL!$C$32, $C$9, 100%, $E$9)</f>
        <v>6.1444999999999999</v>
      </c>
      <c r="L44" s="11">
        <f>3.8864 * CHOOSE(CONTROL!$C$32, $C$9, 100%, $E$9)</f>
        <v>3.8864000000000001</v>
      </c>
      <c r="M44" s="11">
        <f>3.8906 * CHOOSE(CONTROL!$C$32, $C$9, 100%, $E$9)</f>
        <v>3.8906000000000001</v>
      </c>
      <c r="N44" s="11">
        <f>3.8864 * CHOOSE(CONTROL!$C$32, $C$9, 100%, $E$9)</f>
        <v>3.8864000000000001</v>
      </c>
      <c r="O44" s="11">
        <f>3.8906 * CHOOSE(CONTROL!$C$32, $C$9, 100%, $E$9)</f>
        <v>3.8906000000000001</v>
      </c>
      <c r="P44" s="14"/>
      <c r="Q44" s="11"/>
      <c r="R44" s="11"/>
    </row>
    <row r="45" spans="1:18" ht="15" x14ac:dyDescent="0.2">
      <c r="A45" s="13">
        <v>42217</v>
      </c>
      <c r="B45" s="9">
        <f>2.5126 * CHOOSE(CONTROL!$C$32, $C$9, 100%, $E$9)</f>
        <v>2.5125999999999999</v>
      </c>
      <c r="C45" s="9">
        <f>2.5126 * CHOOSE(CONTROL!$C$32, $C$9, 100%, $E$9)</f>
        <v>2.5125999999999999</v>
      </c>
      <c r="D45" s="9">
        <f>2.5139 * CHOOSE(CONTROL!$C$32, $C$9, 100%, $E$9)</f>
        <v>2.5139</v>
      </c>
      <c r="E45" s="11">
        <f>3.8864 * CHOOSE(CONTROL!$C$32, $C$9, 100%, $E$9)</f>
        <v>3.8864000000000001</v>
      </c>
      <c r="F45" s="11">
        <f>3.5836 * CHOOSE(CONTROL!$C$32, $C$9, 100%, $E$9)</f>
        <v>3.5836000000000001</v>
      </c>
      <c r="G45" s="11">
        <f>3.5878 * CHOOSE(CONTROL!$C$32, $C$9, 100%, $E$9)</f>
        <v>3.5878000000000001</v>
      </c>
      <c r="H45" s="11">
        <f>6.1531 * CHOOSE(CONTROL!$C$32, $C$9, 100%, $E$9)</f>
        <v>6.1531000000000002</v>
      </c>
      <c r="I45" s="11">
        <f>6.1573 * CHOOSE(CONTROL!$C$32, $C$9, 100%, $E$9)</f>
        <v>6.1573000000000002</v>
      </c>
      <c r="J45" s="11">
        <f>6.1531 * CHOOSE(CONTROL!$C$32, $C$9, 100%, $E$9)</f>
        <v>6.1531000000000002</v>
      </c>
      <c r="K45" s="11">
        <f>6.1573 * CHOOSE(CONTROL!$C$32, $C$9, 100%, $E$9)</f>
        <v>6.1573000000000002</v>
      </c>
      <c r="L45" s="11">
        <f>3.8864 * CHOOSE(CONTROL!$C$32, $C$9, 100%, $E$9)</f>
        <v>3.8864000000000001</v>
      </c>
      <c r="M45" s="11">
        <f>3.8906 * CHOOSE(CONTROL!$C$32, $C$9, 100%, $E$9)</f>
        <v>3.8906000000000001</v>
      </c>
      <c r="N45" s="11">
        <f>3.8864 * CHOOSE(CONTROL!$C$32, $C$9, 100%, $E$9)</f>
        <v>3.8864000000000001</v>
      </c>
      <c r="O45" s="11">
        <f>3.8906 * CHOOSE(CONTROL!$C$32, $C$9, 100%, $E$9)</f>
        <v>3.8906000000000001</v>
      </c>
      <c r="P45" s="14"/>
      <c r="Q45" s="11"/>
      <c r="R45" s="11"/>
    </row>
    <row r="46" spans="1:18" ht="15" x14ac:dyDescent="0.2">
      <c r="A46" s="13">
        <v>42248</v>
      </c>
      <c r="B46" s="9">
        <f>2.5129 * CHOOSE(CONTROL!$C$32, $C$9, 100%, $E$9)</f>
        <v>2.5129000000000001</v>
      </c>
      <c r="C46" s="9">
        <f>2.5129 * CHOOSE(CONTROL!$C$32, $C$9, 100%, $E$9)</f>
        <v>2.5129000000000001</v>
      </c>
      <c r="D46" s="9">
        <f>2.5142 * CHOOSE(CONTROL!$C$32, $C$9, 100%, $E$9)</f>
        <v>2.5142000000000002</v>
      </c>
      <c r="E46" s="11">
        <f>3.7811 * CHOOSE(CONTROL!$C$32, $C$9, 100%, $E$9)</f>
        <v>3.7810999999999999</v>
      </c>
      <c r="F46" s="11">
        <f>3.5836 * CHOOSE(CONTROL!$C$32, $C$9, 100%, $E$9)</f>
        <v>3.5836000000000001</v>
      </c>
      <c r="G46" s="11">
        <f>3.5878 * CHOOSE(CONTROL!$C$32, $C$9, 100%, $E$9)</f>
        <v>3.5878000000000001</v>
      </c>
      <c r="H46" s="11">
        <f>6.1659 * CHOOSE(CONTROL!$C$32, $C$9, 100%, $E$9)</f>
        <v>6.1658999999999997</v>
      </c>
      <c r="I46" s="11">
        <f>6.1701 * CHOOSE(CONTROL!$C$32, $C$9, 100%, $E$9)</f>
        <v>6.1700999999999997</v>
      </c>
      <c r="J46" s="11">
        <f>6.1659 * CHOOSE(CONTROL!$C$32, $C$9, 100%, $E$9)</f>
        <v>6.1658999999999997</v>
      </c>
      <c r="K46" s="11">
        <f>6.1701 * CHOOSE(CONTROL!$C$32, $C$9, 100%, $E$9)</f>
        <v>6.1700999999999997</v>
      </c>
      <c r="L46" s="11">
        <f>3.7811 * CHOOSE(CONTROL!$C$32, $C$9, 100%, $E$9)</f>
        <v>3.7810999999999999</v>
      </c>
      <c r="M46" s="11">
        <f>3.7853 * CHOOSE(CONTROL!$C$32, $C$9, 100%, $E$9)</f>
        <v>3.7852999999999999</v>
      </c>
      <c r="N46" s="11">
        <f>3.7811 * CHOOSE(CONTROL!$C$32, $C$9, 100%, $E$9)</f>
        <v>3.7810999999999999</v>
      </c>
      <c r="O46" s="11">
        <f>3.7853 * CHOOSE(CONTROL!$C$32, $C$9, 100%, $E$9)</f>
        <v>3.7852999999999999</v>
      </c>
      <c r="P46" s="14"/>
      <c r="Q46" s="11"/>
      <c r="R46" s="11"/>
    </row>
    <row r="47" spans="1:18" ht="15" x14ac:dyDescent="0.2">
      <c r="A47" s="13">
        <v>42278</v>
      </c>
      <c r="B47" s="9">
        <f>2.5008 * CHOOSE(CONTROL!$C$32, $C$9, 100%, $E$9)</f>
        <v>2.5007999999999999</v>
      </c>
      <c r="C47" s="9">
        <f>2.5008 * CHOOSE(CONTROL!$C$32, $C$9, 100%, $E$9)</f>
        <v>2.5007999999999999</v>
      </c>
      <c r="D47" s="9">
        <f>2.5017 * CHOOSE(CONTROL!$C$32, $C$9, 100%, $E$9)</f>
        <v>2.5017</v>
      </c>
      <c r="E47" s="11">
        <f>3.865 * CHOOSE(CONTROL!$C$32, $C$9, 100%, $E$9)</f>
        <v>3.8650000000000002</v>
      </c>
      <c r="F47" s="11">
        <f>3.5836 * CHOOSE(CONTROL!$C$32, $C$9, 100%, $E$9)</f>
        <v>3.5836000000000001</v>
      </c>
      <c r="G47" s="11">
        <f>3.5868 * CHOOSE(CONTROL!$C$32, $C$9, 100%, $E$9)</f>
        <v>3.5868000000000002</v>
      </c>
      <c r="H47" s="11">
        <f>6.1788 * CHOOSE(CONTROL!$C$32, $C$9, 100%, $E$9)</f>
        <v>6.1787999999999998</v>
      </c>
      <c r="I47" s="11">
        <f>6.182 * CHOOSE(CONTROL!$C$32, $C$9, 100%, $E$9)</f>
        <v>6.1820000000000004</v>
      </c>
      <c r="J47" s="11">
        <f>6.1788 * CHOOSE(CONTROL!$C$32, $C$9, 100%, $E$9)</f>
        <v>6.1787999999999998</v>
      </c>
      <c r="K47" s="11">
        <f>6.182 * CHOOSE(CONTROL!$C$32, $C$9, 100%, $E$9)</f>
        <v>6.1820000000000004</v>
      </c>
      <c r="L47" s="11">
        <f>3.865 * CHOOSE(CONTROL!$C$32, $C$9, 100%, $E$9)</f>
        <v>3.8650000000000002</v>
      </c>
      <c r="M47" s="11">
        <f>3.8682 * CHOOSE(CONTROL!$C$32, $C$9, 100%, $E$9)</f>
        <v>3.8681999999999999</v>
      </c>
      <c r="N47" s="11">
        <f>3.865 * CHOOSE(CONTROL!$C$32, $C$9, 100%, $E$9)</f>
        <v>3.8650000000000002</v>
      </c>
      <c r="O47" s="11">
        <f>3.8682 * CHOOSE(CONTROL!$C$32, $C$9, 100%, $E$9)</f>
        <v>3.8681999999999999</v>
      </c>
      <c r="P47" s="14"/>
      <c r="Q47" s="11"/>
      <c r="R47" s="11"/>
    </row>
    <row r="48" spans="1:18" ht="15" x14ac:dyDescent="0.2">
      <c r="A48" s="13">
        <v>42309</v>
      </c>
      <c r="B48" s="9">
        <f>2.5055 * CHOOSE(CONTROL!$C$32, $C$9, 100%, $E$9)</f>
        <v>2.5055000000000001</v>
      </c>
      <c r="C48" s="9">
        <f>2.5055 * CHOOSE(CONTROL!$C$32, $C$9, 100%, $E$9)</f>
        <v>2.5055000000000001</v>
      </c>
      <c r="D48" s="9">
        <f>2.5064 * CHOOSE(CONTROL!$C$32, $C$9, 100%, $E$9)</f>
        <v>2.5064000000000002</v>
      </c>
      <c r="E48" s="11">
        <f>3.865 * CHOOSE(CONTROL!$C$32, $C$9, 100%, $E$9)</f>
        <v>3.8650000000000002</v>
      </c>
      <c r="F48" s="11">
        <f>3.5836 * CHOOSE(CONTROL!$C$32, $C$9, 100%, $E$9)</f>
        <v>3.5836000000000001</v>
      </c>
      <c r="G48" s="11">
        <f>3.5868 * CHOOSE(CONTROL!$C$32, $C$9, 100%, $E$9)</f>
        <v>3.5868000000000002</v>
      </c>
      <c r="H48" s="11">
        <f>6.1916 * CHOOSE(CONTROL!$C$32, $C$9, 100%, $E$9)</f>
        <v>6.1916000000000002</v>
      </c>
      <c r="I48" s="11">
        <f>6.1949 * CHOOSE(CONTROL!$C$32, $C$9, 100%, $E$9)</f>
        <v>6.1948999999999996</v>
      </c>
      <c r="J48" s="11">
        <f>6.1916 * CHOOSE(CONTROL!$C$32, $C$9, 100%, $E$9)</f>
        <v>6.1916000000000002</v>
      </c>
      <c r="K48" s="11">
        <f>6.1949 * CHOOSE(CONTROL!$C$32, $C$9, 100%, $E$9)</f>
        <v>6.1948999999999996</v>
      </c>
      <c r="L48" s="11">
        <f>3.865 * CHOOSE(CONTROL!$C$32, $C$9, 100%, $E$9)</f>
        <v>3.8650000000000002</v>
      </c>
      <c r="M48" s="11">
        <f>3.8682 * CHOOSE(CONTROL!$C$32, $C$9, 100%, $E$9)</f>
        <v>3.8681999999999999</v>
      </c>
      <c r="N48" s="11">
        <f>3.865 * CHOOSE(CONTROL!$C$32, $C$9, 100%, $E$9)</f>
        <v>3.8650000000000002</v>
      </c>
      <c r="O48" s="11">
        <f>3.8682 * CHOOSE(CONTROL!$C$32, $C$9, 100%, $E$9)</f>
        <v>3.8681999999999999</v>
      </c>
      <c r="P48" s="14"/>
      <c r="Q48" s="11"/>
      <c r="R48" s="11"/>
    </row>
    <row r="49" spans="1:18" ht="15" x14ac:dyDescent="0.2">
      <c r="A49" s="13">
        <v>42339</v>
      </c>
      <c r="B49" s="9">
        <f>2.5088 * CHOOSE(CONTROL!$C$32, $C$9, 100%, $E$9)</f>
        <v>2.5087999999999999</v>
      </c>
      <c r="C49" s="9">
        <f>2.5088 * CHOOSE(CONTROL!$C$32, $C$9, 100%, $E$9)</f>
        <v>2.5087999999999999</v>
      </c>
      <c r="D49" s="9">
        <f>2.5098 * CHOOSE(CONTROL!$C$32, $C$9, 100%, $E$9)</f>
        <v>2.5097999999999998</v>
      </c>
      <c r="E49" s="11">
        <f>3.8041 * CHOOSE(CONTROL!$C$32, $C$9, 100%, $E$9)</f>
        <v>3.8041</v>
      </c>
      <c r="F49" s="11">
        <f>3.5836 * CHOOSE(CONTROL!$C$32, $C$9, 100%, $E$9)</f>
        <v>3.5836000000000001</v>
      </c>
      <c r="G49" s="11">
        <f>3.5868 * CHOOSE(CONTROL!$C$32, $C$9, 100%, $E$9)</f>
        <v>3.5868000000000002</v>
      </c>
      <c r="H49" s="11">
        <f>6.2045 * CHOOSE(CONTROL!$C$32, $C$9, 100%, $E$9)</f>
        <v>6.2045000000000003</v>
      </c>
      <c r="I49" s="11">
        <f>6.2078 * CHOOSE(CONTROL!$C$32, $C$9, 100%, $E$9)</f>
        <v>6.2077999999999998</v>
      </c>
      <c r="J49" s="11">
        <f>6.2045 * CHOOSE(CONTROL!$C$32, $C$9, 100%, $E$9)</f>
        <v>6.2045000000000003</v>
      </c>
      <c r="K49" s="11">
        <f>6.2078 * CHOOSE(CONTROL!$C$32, $C$9, 100%, $E$9)</f>
        <v>6.2077999999999998</v>
      </c>
      <c r="L49" s="11">
        <f>3.8041 * CHOOSE(CONTROL!$C$32, $C$9, 100%, $E$9)</f>
        <v>3.8041</v>
      </c>
      <c r="M49" s="11">
        <f>3.8073 * CHOOSE(CONTROL!$C$32, $C$9, 100%, $E$9)</f>
        <v>3.8073000000000001</v>
      </c>
      <c r="N49" s="11">
        <f>3.8041 * CHOOSE(CONTROL!$C$32, $C$9, 100%, $E$9)</f>
        <v>3.8041</v>
      </c>
      <c r="O49" s="11">
        <f>3.8073 * CHOOSE(CONTROL!$C$32, $C$9, 100%, $E$9)</f>
        <v>3.8073000000000001</v>
      </c>
      <c r="P49" s="14"/>
      <c r="Q49" s="11"/>
      <c r="R49" s="11"/>
    </row>
    <row r="50" spans="1:18" ht="15" x14ac:dyDescent="0.2">
      <c r="A50" s="13">
        <v>42370</v>
      </c>
      <c r="B50" s="9">
        <f>3.2679 * CHOOSE(CONTROL!$C$32, $C$9, 100%, $E$9)</f>
        <v>3.2679</v>
      </c>
      <c r="C50" s="9">
        <f>3.2679 * CHOOSE(CONTROL!$C$32, $C$9, 100%, $E$9)</f>
        <v>3.2679</v>
      </c>
      <c r="D50" s="9">
        <f>3.2689 * CHOOSE(CONTROL!$C$32, $C$9, 100%, $E$9)</f>
        <v>3.2688999999999999</v>
      </c>
      <c r="E50" s="11">
        <f>3.9546 * CHOOSE(CONTROL!$C$32, $C$9, 100%, $E$9)</f>
        <v>3.9546000000000001</v>
      </c>
      <c r="F50" s="11">
        <f>3.6856 * CHOOSE(CONTROL!$C$32, $C$9, 100%, $E$9)</f>
        <v>3.6856</v>
      </c>
      <c r="G50" s="11">
        <f>3.6888 * CHOOSE(CONTROL!$C$32, $C$9, 100%, $E$9)</f>
        <v>3.6888000000000001</v>
      </c>
      <c r="H50" s="11">
        <f>6.2175 * CHOOSE(CONTROL!$C$32, $C$9, 100%, $E$9)</f>
        <v>6.2175000000000002</v>
      </c>
      <c r="I50" s="11">
        <f>6.2207 * CHOOSE(CONTROL!$C$32, $C$9, 100%, $E$9)</f>
        <v>6.2206999999999999</v>
      </c>
      <c r="J50" s="11">
        <f>6.2175 * CHOOSE(CONTROL!$C$32, $C$9, 100%, $E$9)</f>
        <v>6.2175000000000002</v>
      </c>
      <c r="K50" s="11">
        <f>6.2207 * CHOOSE(CONTROL!$C$32, $C$9, 100%, $E$9)</f>
        <v>6.2206999999999999</v>
      </c>
      <c r="L50" s="11">
        <f>3.9546 * CHOOSE(CONTROL!$C$32, $C$9, 100%, $E$9)</f>
        <v>3.9546000000000001</v>
      </c>
      <c r="M50" s="11">
        <f>3.9578 * CHOOSE(CONTROL!$C$32, $C$9, 100%, $E$9)</f>
        <v>3.9578000000000002</v>
      </c>
      <c r="N50" s="11">
        <f>3.9546 * CHOOSE(CONTROL!$C$32, $C$9, 100%, $E$9)</f>
        <v>3.9546000000000001</v>
      </c>
      <c r="O50" s="11">
        <f>3.9578 * CHOOSE(CONTROL!$C$32, $C$9, 100%, $E$9)</f>
        <v>3.9578000000000002</v>
      </c>
      <c r="P50" s="14"/>
      <c r="Q50" s="11"/>
      <c r="R50" s="11"/>
    </row>
    <row r="51" spans="1:18" ht="15" x14ac:dyDescent="0.2">
      <c r="A51" s="13">
        <v>42401</v>
      </c>
      <c r="B51" s="9">
        <f>3.2731 * CHOOSE(CONTROL!$C$32, $C$9, 100%, $E$9)</f>
        <v>3.2730999999999999</v>
      </c>
      <c r="C51" s="9">
        <f>3.2731 * CHOOSE(CONTROL!$C$32, $C$9, 100%, $E$9)</f>
        <v>3.2730999999999999</v>
      </c>
      <c r="D51" s="9">
        <f>3.274 * CHOOSE(CONTROL!$C$32, $C$9, 100%, $E$9)</f>
        <v>3.274</v>
      </c>
      <c r="E51" s="11">
        <f>3.8942 * CHOOSE(CONTROL!$C$32, $C$9, 100%, $E$9)</f>
        <v>3.8942000000000001</v>
      </c>
      <c r="F51" s="11">
        <f>3.6856 * CHOOSE(CONTROL!$C$32, $C$9, 100%, $E$9)</f>
        <v>3.6856</v>
      </c>
      <c r="G51" s="11">
        <f>3.6888 * CHOOSE(CONTROL!$C$32, $C$9, 100%, $E$9)</f>
        <v>3.6888000000000001</v>
      </c>
      <c r="H51" s="11">
        <f>6.2304 * CHOOSE(CONTROL!$C$32, $C$9, 100%, $E$9)</f>
        <v>6.2304000000000004</v>
      </c>
      <c r="I51" s="11">
        <f>6.2336 * CHOOSE(CONTROL!$C$32, $C$9, 100%, $E$9)</f>
        <v>6.2336</v>
      </c>
      <c r="J51" s="11">
        <f>6.2304 * CHOOSE(CONTROL!$C$32, $C$9, 100%, $E$9)</f>
        <v>6.2304000000000004</v>
      </c>
      <c r="K51" s="11">
        <f>6.2336 * CHOOSE(CONTROL!$C$32, $C$9, 100%, $E$9)</f>
        <v>6.2336</v>
      </c>
      <c r="L51" s="11">
        <f>3.8942 * CHOOSE(CONTROL!$C$32, $C$9, 100%, $E$9)</f>
        <v>3.8942000000000001</v>
      </c>
      <c r="M51" s="11">
        <f>3.8974 * CHOOSE(CONTROL!$C$32, $C$9, 100%, $E$9)</f>
        <v>3.8974000000000002</v>
      </c>
      <c r="N51" s="11">
        <f>3.8942 * CHOOSE(CONTROL!$C$32, $C$9, 100%, $E$9)</f>
        <v>3.8942000000000001</v>
      </c>
      <c r="O51" s="11">
        <f>3.8974 * CHOOSE(CONTROL!$C$32, $C$9, 100%, $E$9)</f>
        <v>3.8974000000000002</v>
      </c>
      <c r="P51" s="14"/>
      <c r="Q51" s="11"/>
      <c r="R51" s="11"/>
    </row>
    <row r="52" spans="1:18" ht="15" x14ac:dyDescent="0.2">
      <c r="A52" s="13">
        <v>42430</v>
      </c>
      <c r="B52" s="9">
        <f>3.2698 * CHOOSE(CONTROL!$C$32, $C$9, 100%, $E$9)</f>
        <v>3.2698</v>
      </c>
      <c r="C52" s="9">
        <f>3.2698 * CHOOSE(CONTROL!$C$32, $C$9, 100%, $E$9)</f>
        <v>3.2698</v>
      </c>
      <c r="D52" s="9">
        <f>3.2708 * CHOOSE(CONTROL!$C$32, $C$9, 100%, $E$9)</f>
        <v>3.2707999999999999</v>
      </c>
      <c r="E52" s="11">
        <f>3.8028 * CHOOSE(CONTROL!$C$32, $C$9, 100%, $E$9)</f>
        <v>3.8028</v>
      </c>
      <c r="F52" s="11">
        <f>3.6856 * CHOOSE(CONTROL!$C$32, $C$9, 100%, $E$9)</f>
        <v>3.6856</v>
      </c>
      <c r="G52" s="11">
        <f>3.6888 * CHOOSE(CONTROL!$C$32, $C$9, 100%, $E$9)</f>
        <v>3.6888000000000001</v>
      </c>
      <c r="H52" s="11">
        <f>6.2434 * CHOOSE(CONTROL!$C$32, $C$9, 100%, $E$9)</f>
        <v>6.2434000000000003</v>
      </c>
      <c r="I52" s="11">
        <f>6.2466 * CHOOSE(CONTROL!$C$32, $C$9, 100%, $E$9)</f>
        <v>6.2465999999999999</v>
      </c>
      <c r="J52" s="11">
        <f>6.2434 * CHOOSE(CONTROL!$C$32, $C$9, 100%, $E$9)</f>
        <v>6.2434000000000003</v>
      </c>
      <c r="K52" s="11">
        <f>6.2466 * CHOOSE(CONTROL!$C$32, $C$9, 100%, $E$9)</f>
        <v>6.2465999999999999</v>
      </c>
      <c r="L52" s="11">
        <f>3.8028 * CHOOSE(CONTROL!$C$32, $C$9, 100%, $E$9)</f>
        <v>3.8028</v>
      </c>
      <c r="M52" s="11">
        <f>3.806 * CHOOSE(CONTROL!$C$32, $C$9, 100%, $E$9)</f>
        <v>3.806</v>
      </c>
      <c r="N52" s="11">
        <f>3.8028 * CHOOSE(CONTROL!$C$32, $C$9, 100%, $E$9)</f>
        <v>3.8028</v>
      </c>
      <c r="O52" s="11">
        <f>3.806 * CHOOSE(CONTROL!$C$32, $C$9, 100%, $E$9)</f>
        <v>3.806</v>
      </c>
      <c r="P52" s="14"/>
      <c r="Q52" s="11"/>
      <c r="R52" s="11"/>
    </row>
    <row r="53" spans="1:18" ht="15" x14ac:dyDescent="0.2">
      <c r="A53" s="13">
        <v>42461</v>
      </c>
      <c r="B53" s="9">
        <f>3.2637 * CHOOSE(CONTROL!$C$32, $C$9, 100%, $E$9)</f>
        <v>3.2637</v>
      </c>
      <c r="C53" s="9">
        <f>3.2637 * CHOOSE(CONTROL!$C$32, $C$9, 100%, $E$9)</f>
        <v>3.2637</v>
      </c>
      <c r="D53" s="9">
        <f>3.2647 * CHOOSE(CONTROL!$C$32, $C$9, 100%, $E$9)</f>
        <v>3.2646999999999999</v>
      </c>
      <c r="E53" s="11">
        <f>3.8942 * CHOOSE(CONTROL!$C$32, $C$9, 100%, $E$9)</f>
        <v>3.8942000000000001</v>
      </c>
      <c r="F53" s="11">
        <f>3.6856 * CHOOSE(CONTROL!$C$32, $C$9, 100%, $E$9)</f>
        <v>3.6856</v>
      </c>
      <c r="G53" s="11">
        <f>3.6888 * CHOOSE(CONTROL!$C$32, $C$9, 100%, $E$9)</f>
        <v>3.6888000000000001</v>
      </c>
      <c r="H53" s="11">
        <f>6.2564 * CHOOSE(CONTROL!$C$32, $C$9, 100%, $E$9)</f>
        <v>6.2564000000000002</v>
      </c>
      <c r="I53" s="11">
        <f>6.2596 * CHOOSE(CONTROL!$C$32, $C$9, 100%, $E$9)</f>
        <v>6.2595999999999998</v>
      </c>
      <c r="J53" s="11">
        <f>6.2564 * CHOOSE(CONTROL!$C$32, $C$9, 100%, $E$9)</f>
        <v>6.2564000000000002</v>
      </c>
      <c r="K53" s="11">
        <f>6.2596 * CHOOSE(CONTROL!$C$32, $C$9, 100%, $E$9)</f>
        <v>6.2595999999999998</v>
      </c>
      <c r="L53" s="11">
        <f>3.8942 * CHOOSE(CONTROL!$C$32, $C$9, 100%, $E$9)</f>
        <v>3.8942000000000001</v>
      </c>
      <c r="M53" s="11">
        <f>3.8974 * CHOOSE(CONTROL!$C$32, $C$9, 100%, $E$9)</f>
        <v>3.8974000000000002</v>
      </c>
      <c r="N53" s="11">
        <f>3.8942 * CHOOSE(CONTROL!$C$32, $C$9, 100%, $E$9)</f>
        <v>3.8942000000000001</v>
      </c>
      <c r="O53" s="11">
        <f>3.8974 * CHOOSE(CONTROL!$C$32, $C$9, 100%, $E$9)</f>
        <v>3.8974000000000002</v>
      </c>
      <c r="P53" s="14"/>
      <c r="Q53" s="11"/>
      <c r="R53" s="11"/>
    </row>
    <row r="54" spans="1:18" ht="15" x14ac:dyDescent="0.2">
      <c r="A54" s="13">
        <v>42491</v>
      </c>
      <c r="B54" s="9">
        <f>3.2722 * CHOOSE(CONTROL!$C$32, $C$9, 100%, $E$9)</f>
        <v>3.2722000000000002</v>
      </c>
      <c r="C54" s="9">
        <f>3.2722 * CHOOSE(CONTROL!$C$32, $C$9, 100%, $E$9)</f>
        <v>3.2722000000000002</v>
      </c>
      <c r="D54" s="9">
        <f>3.2735 * CHOOSE(CONTROL!$C$32, $C$9, 100%, $E$9)</f>
        <v>3.2734999999999999</v>
      </c>
      <c r="E54" s="11">
        <f>3.9546 * CHOOSE(CONTROL!$C$32, $C$9, 100%, $E$9)</f>
        <v>3.9546000000000001</v>
      </c>
      <c r="F54" s="11">
        <f>3.6856 * CHOOSE(CONTROL!$C$32, $C$9, 100%, $E$9)</f>
        <v>3.6856</v>
      </c>
      <c r="G54" s="11">
        <f>3.6898 * CHOOSE(CONTROL!$C$32, $C$9, 100%, $E$9)</f>
        <v>3.6898</v>
      </c>
      <c r="H54" s="11">
        <f>6.2694 * CHOOSE(CONTROL!$C$32, $C$9, 100%, $E$9)</f>
        <v>6.2694000000000001</v>
      </c>
      <c r="I54" s="11">
        <f>6.2736 * CHOOSE(CONTROL!$C$32, $C$9, 100%, $E$9)</f>
        <v>6.2736000000000001</v>
      </c>
      <c r="J54" s="11">
        <f>6.2694 * CHOOSE(CONTROL!$C$32, $C$9, 100%, $E$9)</f>
        <v>6.2694000000000001</v>
      </c>
      <c r="K54" s="11">
        <f>6.2736 * CHOOSE(CONTROL!$C$32, $C$9, 100%, $E$9)</f>
        <v>6.2736000000000001</v>
      </c>
      <c r="L54" s="11">
        <f>3.9546 * CHOOSE(CONTROL!$C$32, $C$9, 100%, $E$9)</f>
        <v>3.9546000000000001</v>
      </c>
      <c r="M54" s="11">
        <f>3.9588 * CHOOSE(CONTROL!$C$32, $C$9, 100%, $E$9)</f>
        <v>3.9588000000000001</v>
      </c>
      <c r="N54" s="11">
        <f>3.9546 * CHOOSE(CONTROL!$C$32, $C$9, 100%, $E$9)</f>
        <v>3.9546000000000001</v>
      </c>
      <c r="O54" s="11">
        <f>3.9588 * CHOOSE(CONTROL!$C$32, $C$9, 100%, $E$9)</f>
        <v>3.9588000000000001</v>
      </c>
      <c r="P54" s="14"/>
      <c r="Q54" s="11"/>
      <c r="R54" s="11"/>
    </row>
    <row r="55" spans="1:18" ht="15" x14ac:dyDescent="0.2">
      <c r="A55" s="13">
        <v>42522</v>
      </c>
      <c r="B55" s="9">
        <f>3.2786 * CHOOSE(CONTROL!$C$32, $C$9, 100%, $E$9)</f>
        <v>3.2786</v>
      </c>
      <c r="C55" s="9">
        <f>3.2786 * CHOOSE(CONTROL!$C$32, $C$9, 100%, $E$9)</f>
        <v>3.2786</v>
      </c>
      <c r="D55" s="9">
        <f>3.2798 * CHOOSE(CONTROL!$C$32, $C$9, 100%, $E$9)</f>
        <v>3.2797999999999998</v>
      </c>
      <c r="E55" s="11">
        <f>3.9458 * CHOOSE(CONTROL!$C$32, $C$9, 100%, $E$9)</f>
        <v>3.9458000000000002</v>
      </c>
      <c r="F55" s="11">
        <f>3.6856 * CHOOSE(CONTROL!$C$32, $C$9, 100%, $E$9)</f>
        <v>3.6856</v>
      </c>
      <c r="G55" s="11">
        <f>3.6898 * CHOOSE(CONTROL!$C$32, $C$9, 100%, $E$9)</f>
        <v>3.6898</v>
      </c>
      <c r="H55" s="11">
        <f>6.2825 * CHOOSE(CONTROL!$C$32, $C$9, 100%, $E$9)</f>
        <v>6.2824999999999998</v>
      </c>
      <c r="I55" s="11">
        <f>6.2867 * CHOOSE(CONTROL!$C$32, $C$9, 100%, $E$9)</f>
        <v>6.2866999999999997</v>
      </c>
      <c r="J55" s="11">
        <f>6.2825 * CHOOSE(CONTROL!$C$32, $C$9, 100%, $E$9)</f>
        <v>6.2824999999999998</v>
      </c>
      <c r="K55" s="11">
        <f>6.2867 * CHOOSE(CONTROL!$C$32, $C$9, 100%, $E$9)</f>
        <v>6.2866999999999997</v>
      </c>
      <c r="L55" s="11">
        <f>3.9458 * CHOOSE(CONTROL!$C$32, $C$9, 100%, $E$9)</f>
        <v>3.9458000000000002</v>
      </c>
      <c r="M55" s="11">
        <f>3.95 * CHOOSE(CONTROL!$C$32, $C$9, 100%, $E$9)</f>
        <v>3.95</v>
      </c>
      <c r="N55" s="11">
        <f>3.9458 * CHOOSE(CONTROL!$C$32, $C$9, 100%, $E$9)</f>
        <v>3.9458000000000002</v>
      </c>
      <c r="O55" s="11">
        <f>3.95 * CHOOSE(CONTROL!$C$32, $C$9, 100%, $E$9)</f>
        <v>3.95</v>
      </c>
      <c r="P55" s="14"/>
      <c r="Q55" s="11"/>
      <c r="R55" s="11"/>
    </row>
    <row r="56" spans="1:18" ht="15" x14ac:dyDescent="0.2">
      <c r="A56" s="13">
        <v>42552</v>
      </c>
      <c r="B56" s="9">
        <f>3.2759 * CHOOSE(CONTROL!$C$32, $C$9, 100%, $E$9)</f>
        <v>3.2759</v>
      </c>
      <c r="C56" s="9">
        <f>3.2759 * CHOOSE(CONTROL!$C$32, $C$9, 100%, $E$9)</f>
        <v>3.2759</v>
      </c>
      <c r="D56" s="9">
        <f>3.2771 * CHOOSE(CONTROL!$C$32, $C$9, 100%, $E$9)</f>
        <v>3.2770999999999999</v>
      </c>
      <c r="E56" s="11">
        <f>3.9546 * CHOOSE(CONTROL!$C$32, $C$9, 100%, $E$9)</f>
        <v>3.9546000000000001</v>
      </c>
      <c r="F56" s="11">
        <f>3.6856 * CHOOSE(CONTROL!$C$32, $C$9, 100%, $E$9)</f>
        <v>3.6856</v>
      </c>
      <c r="G56" s="11">
        <f>3.6898 * CHOOSE(CONTROL!$C$32, $C$9, 100%, $E$9)</f>
        <v>3.6898</v>
      </c>
      <c r="H56" s="11">
        <f>6.2956 * CHOOSE(CONTROL!$C$32, $C$9, 100%, $E$9)</f>
        <v>6.2956000000000003</v>
      </c>
      <c r="I56" s="11">
        <f>6.2998 * CHOOSE(CONTROL!$C$32, $C$9, 100%, $E$9)</f>
        <v>6.2998000000000003</v>
      </c>
      <c r="J56" s="11">
        <f>6.2956 * CHOOSE(CONTROL!$C$32, $C$9, 100%, $E$9)</f>
        <v>6.2956000000000003</v>
      </c>
      <c r="K56" s="11">
        <f>6.2998 * CHOOSE(CONTROL!$C$32, $C$9, 100%, $E$9)</f>
        <v>6.2998000000000003</v>
      </c>
      <c r="L56" s="11">
        <f>3.9546 * CHOOSE(CONTROL!$C$32, $C$9, 100%, $E$9)</f>
        <v>3.9546000000000001</v>
      </c>
      <c r="M56" s="11">
        <f>3.9588 * CHOOSE(CONTROL!$C$32, $C$9, 100%, $E$9)</f>
        <v>3.9588000000000001</v>
      </c>
      <c r="N56" s="11">
        <f>3.9546 * CHOOSE(CONTROL!$C$32, $C$9, 100%, $E$9)</f>
        <v>3.9546000000000001</v>
      </c>
      <c r="O56" s="11">
        <f>3.9588 * CHOOSE(CONTROL!$C$32, $C$9, 100%, $E$9)</f>
        <v>3.9588000000000001</v>
      </c>
      <c r="P56" s="14"/>
      <c r="Q56" s="14"/>
      <c r="R56" s="14"/>
    </row>
    <row r="57" spans="1:18" ht="15" x14ac:dyDescent="0.2">
      <c r="A57" s="13">
        <v>42583</v>
      </c>
      <c r="B57" s="9">
        <f>3.2911 * CHOOSE(CONTROL!$C$32, $C$9, 100%, $E$9)</f>
        <v>3.2911000000000001</v>
      </c>
      <c r="C57" s="9">
        <f>3.2911 * CHOOSE(CONTROL!$C$32, $C$9, 100%, $E$9)</f>
        <v>3.2911000000000001</v>
      </c>
      <c r="D57" s="9">
        <f>3.2923 * CHOOSE(CONTROL!$C$32, $C$9, 100%, $E$9)</f>
        <v>3.2923</v>
      </c>
      <c r="E57" s="11">
        <f>3.9996 * CHOOSE(CONTROL!$C$32, $C$9, 100%, $E$9)</f>
        <v>3.9996</v>
      </c>
      <c r="F57" s="11">
        <f>3.6856 * CHOOSE(CONTROL!$C$32, $C$9, 100%, $E$9)</f>
        <v>3.6856</v>
      </c>
      <c r="G57" s="11">
        <f>3.6898 * CHOOSE(CONTROL!$C$32, $C$9, 100%, $E$9)</f>
        <v>3.6898</v>
      </c>
      <c r="H57" s="11">
        <f>6.3087 * CHOOSE(CONTROL!$C$32, $C$9, 100%, $E$9)</f>
        <v>6.3087</v>
      </c>
      <c r="I57" s="11">
        <f>6.3129 * CHOOSE(CONTROL!$C$32, $C$9, 100%, $E$9)</f>
        <v>6.3129</v>
      </c>
      <c r="J57" s="11">
        <f>6.3087 * CHOOSE(CONTROL!$C$32, $C$9, 100%, $E$9)</f>
        <v>6.3087</v>
      </c>
      <c r="K57" s="11">
        <f>6.3129 * CHOOSE(CONTROL!$C$32, $C$9, 100%, $E$9)</f>
        <v>6.3129</v>
      </c>
      <c r="L57" s="11">
        <f>3.9996 * CHOOSE(CONTROL!$C$32, $C$9, 100%, $E$9)</f>
        <v>3.9996</v>
      </c>
      <c r="M57" s="11">
        <f>4.0038 * CHOOSE(CONTROL!$C$32, $C$9, 100%, $E$9)</f>
        <v>4.0038</v>
      </c>
      <c r="N57" s="11">
        <f>3.9996 * CHOOSE(CONTROL!$C$32, $C$9, 100%, $E$9)</f>
        <v>3.9996</v>
      </c>
      <c r="O57" s="11">
        <f>4.0038 * CHOOSE(CONTROL!$C$32, $C$9, 100%, $E$9)</f>
        <v>4.0038</v>
      </c>
      <c r="P57" s="14"/>
      <c r="Q57" s="14"/>
      <c r="R57" s="14"/>
    </row>
    <row r="58" spans="1:18" ht="15" x14ac:dyDescent="0.2">
      <c r="A58" s="13">
        <v>42614</v>
      </c>
      <c r="B58" s="9">
        <f>3.2883 * CHOOSE(CONTROL!$C$32, $C$9, 100%, $E$9)</f>
        <v>3.2883</v>
      </c>
      <c r="C58" s="9">
        <f>3.2883 * CHOOSE(CONTROL!$C$32, $C$9, 100%, $E$9)</f>
        <v>3.2883</v>
      </c>
      <c r="D58" s="9">
        <f>3.2895 * CHOOSE(CONTROL!$C$32, $C$9, 100%, $E$9)</f>
        <v>3.2894999999999999</v>
      </c>
      <c r="E58" s="11">
        <f>3.9458 * CHOOSE(CONTROL!$C$32, $C$9, 100%, $E$9)</f>
        <v>3.9458000000000002</v>
      </c>
      <c r="F58" s="11">
        <f>3.6856 * CHOOSE(CONTROL!$C$32, $C$9, 100%, $E$9)</f>
        <v>3.6856</v>
      </c>
      <c r="G58" s="11">
        <f>3.6898 * CHOOSE(CONTROL!$C$32, $C$9, 100%, $E$9)</f>
        <v>3.6898</v>
      </c>
      <c r="H58" s="11">
        <f>6.3218 * CHOOSE(CONTROL!$C$32, $C$9, 100%, $E$9)</f>
        <v>6.3217999999999996</v>
      </c>
      <c r="I58" s="11">
        <f>6.326 * CHOOSE(CONTROL!$C$32, $C$9, 100%, $E$9)</f>
        <v>6.3259999999999996</v>
      </c>
      <c r="J58" s="11">
        <f>6.3218 * CHOOSE(CONTROL!$C$32, $C$9, 100%, $E$9)</f>
        <v>6.3217999999999996</v>
      </c>
      <c r="K58" s="11">
        <f>6.326 * CHOOSE(CONTROL!$C$32, $C$9, 100%, $E$9)</f>
        <v>6.3259999999999996</v>
      </c>
      <c r="L58" s="11">
        <f>3.9458 * CHOOSE(CONTROL!$C$32, $C$9, 100%, $E$9)</f>
        <v>3.9458000000000002</v>
      </c>
      <c r="M58" s="11">
        <f>3.95 * CHOOSE(CONTROL!$C$32, $C$9, 100%, $E$9)</f>
        <v>3.95</v>
      </c>
      <c r="N58" s="11">
        <f>3.9458 * CHOOSE(CONTROL!$C$32, $C$9, 100%, $E$9)</f>
        <v>3.9458000000000002</v>
      </c>
      <c r="O58" s="11">
        <f>3.95 * CHOOSE(CONTROL!$C$32, $C$9, 100%, $E$9)</f>
        <v>3.95</v>
      </c>
      <c r="P58" s="14"/>
      <c r="Q58" s="14"/>
      <c r="R58" s="14"/>
    </row>
    <row r="59" spans="1:18" ht="15" x14ac:dyDescent="0.2">
      <c r="A59" s="13">
        <v>42644</v>
      </c>
      <c r="B59" s="9">
        <f>3.269 * CHOOSE(CONTROL!$C$32, $C$9, 100%, $E$9)</f>
        <v>3.2690000000000001</v>
      </c>
      <c r="C59" s="9">
        <f>3.269 * CHOOSE(CONTROL!$C$32, $C$9, 100%, $E$9)</f>
        <v>3.2690000000000001</v>
      </c>
      <c r="D59" s="9">
        <f>3.27 * CHOOSE(CONTROL!$C$32, $C$9, 100%, $E$9)</f>
        <v>3.27</v>
      </c>
      <c r="E59" s="11">
        <f>4.0035 * CHOOSE(CONTROL!$C$32, $C$9, 100%, $E$9)</f>
        <v>4.0034999999999998</v>
      </c>
      <c r="F59" s="11">
        <f>3.6856 * CHOOSE(CONTROL!$C$32, $C$9, 100%, $E$9)</f>
        <v>3.6856</v>
      </c>
      <c r="G59" s="11">
        <f>3.6888 * CHOOSE(CONTROL!$C$32, $C$9, 100%, $E$9)</f>
        <v>3.6888000000000001</v>
      </c>
      <c r="H59" s="11">
        <f>6.335 * CHOOSE(CONTROL!$C$32, $C$9, 100%, $E$9)</f>
        <v>6.335</v>
      </c>
      <c r="I59" s="11">
        <f>6.3382 * CHOOSE(CONTROL!$C$32, $C$9, 100%, $E$9)</f>
        <v>6.3381999999999996</v>
      </c>
      <c r="J59" s="11">
        <f>6.335 * CHOOSE(CONTROL!$C$32, $C$9, 100%, $E$9)</f>
        <v>6.335</v>
      </c>
      <c r="K59" s="11">
        <f>6.3382 * CHOOSE(CONTROL!$C$32, $C$9, 100%, $E$9)</f>
        <v>6.3381999999999996</v>
      </c>
      <c r="L59" s="11">
        <f>4.0035 * CHOOSE(CONTROL!$C$32, $C$9, 100%, $E$9)</f>
        <v>4.0034999999999998</v>
      </c>
      <c r="M59" s="11">
        <f>4.0067 * CHOOSE(CONTROL!$C$32, $C$9, 100%, $E$9)</f>
        <v>4.0067000000000004</v>
      </c>
      <c r="N59" s="11">
        <f>4.0035 * CHOOSE(CONTROL!$C$32, $C$9, 100%, $E$9)</f>
        <v>4.0034999999999998</v>
      </c>
      <c r="O59" s="11">
        <f>4.0067 * CHOOSE(CONTROL!$C$32, $C$9, 100%, $E$9)</f>
        <v>4.0067000000000004</v>
      </c>
      <c r="P59" s="14"/>
      <c r="Q59" s="14"/>
      <c r="R59" s="14"/>
    </row>
    <row r="60" spans="1:18" ht="15" x14ac:dyDescent="0.2">
      <c r="A60" s="13">
        <v>42675</v>
      </c>
      <c r="B60" s="9">
        <f>3.2806 * CHOOSE(CONTROL!$C$32, $C$9, 100%, $E$9)</f>
        <v>3.2806000000000002</v>
      </c>
      <c r="C60" s="9">
        <f>3.2806 * CHOOSE(CONTROL!$C$32, $C$9, 100%, $E$9)</f>
        <v>3.2806000000000002</v>
      </c>
      <c r="D60" s="9">
        <f>3.2816 * CHOOSE(CONTROL!$C$32, $C$9, 100%, $E$9)</f>
        <v>3.2816000000000001</v>
      </c>
      <c r="E60" s="11">
        <f>3.9579 * CHOOSE(CONTROL!$C$32, $C$9, 100%, $E$9)</f>
        <v>3.9579</v>
      </c>
      <c r="F60" s="11">
        <f>3.6856 * CHOOSE(CONTROL!$C$32, $C$9, 100%, $E$9)</f>
        <v>3.6856</v>
      </c>
      <c r="G60" s="11">
        <f>3.6888 * CHOOSE(CONTROL!$C$32, $C$9, 100%, $E$9)</f>
        <v>3.6888000000000001</v>
      </c>
      <c r="H60" s="11">
        <f>6.3482 * CHOOSE(CONTROL!$C$32, $C$9, 100%, $E$9)</f>
        <v>6.3482000000000003</v>
      </c>
      <c r="I60" s="11">
        <f>6.3514 * CHOOSE(CONTROL!$C$32, $C$9, 100%, $E$9)</f>
        <v>6.3513999999999999</v>
      </c>
      <c r="J60" s="11">
        <f>6.3482 * CHOOSE(CONTROL!$C$32, $C$9, 100%, $E$9)</f>
        <v>6.3482000000000003</v>
      </c>
      <c r="K60" s="11">
        <f>6.3514 * CHOOSE(CONTROL!$C$32, $C$9, 100%, $E$9)</f>
        <v>6.3513999999999999</v>
      </c>
      <c r="L60" s="11">
        <f>3.9579 * CHOOSE(CONTROL!$C$32, $C$9, 100%, $E$9)</f>
        <v>3.9579</v>
      </c>
      <c r="M60" s="11">
        <f>3.9611 * CHOOSE(CONTROL!$C$32, $C$9, 100%, $E$9)</f>
        <v>3.9611000000000001</v>
      </c>
      <c r="N60" s="11">
        <f>3.9579 * CHOOSE(CONTROL!$C$32, $C$9, 100%, $E$9)</f>
        <v>3.9579</v>
      </c>
      <c r="O60" s="11">
        <f>3.9611 * CHOOSE(CONTROL!$C$32, $C$9, 100%, $E$9)</f>
        <v>3.9611000000000001</v>
      </c>
      <c r="P60" s="14"/>
      <c r="Q60" s="14"/>
      <c r="R60" s="14"/>
    </row>
    <row r="61" spans="1:18" ht="15" x14ac:dyDescent="0.2">
      <c r="A61" s="13">
        <v>42705</v>
      </c>
      <c r="B61" s="9">
        <f>3.2808 * CHOOSE(CONTROL!$C$32, $C$9, 100%, $E$9)</f>
        <v>3.2808000000000002</v>
      </c>
      <c r="C61" s="9">
        <f>3.2808 * CHOOSE(CONTROL!$C$32, $C$9, 100%, $E$9)</f>
        <v>3.2808000000000002</v>
      </c>
      <c r="D61" s="9">
        <f>3.2818 * CHOOSE(CONTROL!$C$32, $C$9, 100%, $E$9)</f>
        <v>3.2818000000000001</v>
      </c>
      <c r="E61" s="11">
        <f>3.8968 * CHOOSE(CONTROL!$C$32, $C$9, 100%, $E$9)</f>
        <v>3.8967999999999998</v>
      </c>
      <c r="F61" s="11">
        <f>3.6856 * CHOOSE(CONTROL!$C$32, $C$9, 100%, $E$9)</f>
        <v>3.6856</v>
      </c>
      <c r="G61" s="11">
        <f>3.6888 * CHOOSE(CONTROL!$C$32, $C$9, 100%, $E$9)</f>
        <v>3.6888000000000001</v>
      </c>
      <c r="H61" s="11">
        <f>6.3614 * CHOOSE(CONTROL!$C$32, $C$9, 100%, $E$9)</f>
        <v>6.3613999999999997</v>
      </c>
      <c r="I61" s="11">
        <f>6.3647 * CHOOSE(CONTROL!$C$32, $C$9, 100%, $E$9)</f>
        <v>6.3647</v>
      </c>
      <c r="J61" s="11">
        <f>6.3614 * CHOOSE(CONTROL!$C$32, $C$9, 100%, $E$9)</f>
        <v>6.3613999999999997</v>
      </c>
      <c r="K61" s="11">
        <f>6.3647 * CHOOSE(CONTROL!$C$32, $C$9, 100%, $E$9)</f>
        <v>6.3647</v>
      </c>
      <c r="L61" s="11">
        <f>3.8968 * CHOOSE(CONTROL!$C$32, $C$9, 100%, $E$9)</f>
        <v>3.8967999999999998</v>
      </c>
      <c r="M61" s="11">
        <f>3.9 * CHOOSE(CONTROL!$C$32, $C$9, 100%, $E$9)</f>
        <v>3.9</v>
      </c>
      <c r="N61" s="11">
        <f>3.8968 * CHOOSE(CONTROL!$C$32, $C$9, 100%, $E$9)</f>
        <v>3.8967999999999998</v>
      </c>
      <c r="O61" s="11">
        <f>3.9 * CHOOSE(CONTROL!$C$32, $C$9, 100%, $E$9)</f>
        <v>3.9</v>
      </c>
      <c r="P61" s="14"/>
      <c r="Q61" s="14"/>
      <c r="R61" s="14"/>
    </row>
    <row r="62" spans="1:18" ht="15" x14ac:dyDescent="0.2">
      <c r="A62" s="13">
        <v>42736</v>
      </c>
      <c r="B62" s="9">
        <f>3.2762 * CHOOSE(CONTROL!$C$32, $C$9, 100%, $E$9)</f>
        <v>3.2761999999999998</v>
      </c>
      <c r="C62" s="9">
        <f>3.2762 * CHOOSE(CONTROL!$C$32, $C$9, 100%, $E$9)</f>
        <v>3.2761999999999998</v>
      </c>
      <c r="D62" s="9">
        <f>3.2771 * CHOOSE(CONTROL!$C$32, $C$9, 100%, $E$9)</f>
        <v>3.2770999999999999</v>
      </c>
      <c r="E62" s="11">
        <f>3.8371 * CHOOSE(CONTROL!$C$32, $C$9, 100%, $E$9)</f>
        <v>3.8371</v>
      </c>
      <c r="F62" s="11">
        <f>3.8371 * CHOOSE(CONTROL!$C$32, $C$9, 100%, $E$9)</f>
        <v>3.8371</v>
      </c>
      <c r="G62" s="11">
        <f>3.8403 * CHOOSE(CONTROL!$C$32, $C$9, 100%, $E$9)</f>
        <v>3.8403</v>
      </c>
      <c r="H62" s="11">
        <f>6.3747 * CHOOSE(CONTROL!$C$32, $C$9, 100%, $E$9)</f>
        <v>6.3746999999999998</v>
      </c>
      <c r="I62" s="11">
        <f>6.3779 * CHOOSE(CONTROL!$C$32, $C$9, 100%, $E$9)</f>
        <v>6.3779000000000003</v>
      </c>
      <c r="J62" s="11">
        <f>6.3747 * CHOOSE(CONTROL!$C$32, $C$9, 100%, $E$9)</f>
        <v>6.3746999999999998</v>
      </c>
      <c r="K62" s="11">
        <f>6.3779 * CHOOSE(CONTROL!$C$32, $C$9, 100%, $E$9)</f>
        <v>6.3779000000000003</v>
      </c>
      <c r="L62" s="11">
        <f>3.8371 * CHOOSE(CONTROL!$C$32, $C$9, 100%, $E$9)</f>
        <v>3.8371</v>
      </c>
      <c r="M62" s="11">
        <f>3.8403 * CHOOSE(CONTROL!$C$32, $C$9, 100%, $E$9)</f>
        <v>3.8403</v>
      </c>
      <c r="N62" s="11">
        <f>3.8371 * CHOOSE(CONTROL!$C$32, $C$9, 100%, $E$9)</f>
        <v>3.8371</v>
      </c>
      <c r="O62" s="11">
        <f>3.8403 * CHOOSE(CONTROL!$C$32, $C$9, 100%, $E$9)</f>
        <v>3.8403</v>
      </c>
      <c r="P62" s="14"/>
      <c r="Q62" s="14"/>
      <c r="R62" s="14"/>
    </row>
    <row r="63" spans="1:18" ht="15" x14ac:dyDescent="0.2">
      <c r="A63" s="13">
        <v>42767</v>
      </c>
      <c r="B63" s="9">
        <f>3.2814 * CHOOSE(CONTROL!$C$32, $C$9, 100%, $E$9)</f>
        <v>3.2814000000000001</v>
      </c>
      <c r="C63" s="9">
        <f>3.2814 * CHOOSE(CONTROL!$C$32, $C$9, 100%, $E$9)</f>
        <v>3.2814000000000001</v>
      </c>
      <c r="D63" s="9">
        <f>3.2824 * CHOOSE(CONTROL!$C$32, $C$9, 100%, $E$9)</f>
        <v>3.2824</v>
      </c>
      <c r="E63" s="11">
        <f>3.8351 * CHOOSE(CONTROL!$C$32, $C$9, 100%, $E$9)</f>
        <v>3.8351000000000002</v>
      </c>
      <c r="F63" s="11">
        <f>3.8351 * CHOOSE(CONTROL!$C$32, $C$9, 100%, $E$9)</f>
        <v>3.8351000000000002</v>
      </c>
      <c r="G63" s="11">
        <f>3.8383 * CHOOSE(CONTROL!$C$32, $C$9, 100%, $E$9)</f>
        <v>3.8382999999999998</v>
      </c>
      <c r="H63" s="11">
        <f>6.388 * CHOOSE(CONTROL!$C$32, $C$9, 100%, $E$9)</f>
        <v>6.3879999999999999</v>
      </c>
      <c r="I63" s="11">
        <f>6.3912 * CHOOSE(CONTROL!$C$32, $C$9, 100%, $E$9)</f>
        <v>6.3912000000000004</v>
      </c>
      <c r="J63" s="11">
        <f>6.388 * CHOOSE(CONTROL!$C$32, $C$9, 100%, $E$9)</f>
        <v>6.3879999999999999</v>
      </c>
      <c r="K63" s="11">
        <f>6.3912 * CHOOSE(CONTROL!$C$32, $C$9, 100%, $E$9)</f>
        <v>6.3912000000000004</v>
      </c>
      <c r="L63" s="11">
        <f>3.8351 * CHOOSE(CONTROL!$C$32, $C$9, 100%, $E$9)</f>
        <v>3.8351000000000002</v>
      </c>
      <c r="M63" s="11">
        <f>3.8383 * CHOOSE(CONTROL!$C$32, $C$9, 100%, $E$9)</f>
        <v>3.8382999999999998</v>
      </c>
      <c r="N63" s="11">
        <f>3.8351 * CHOOSE(CONTROL!$C$32, $C$9, 100%, $E$9)</f>
        <v>3.8351000000000002</v>
      </c>
      <c r="O63" s="11">
        <f>3.8383 * CHOOSE(CONTROL!$C$32, $C$9, 100%, $E$9)</f>
        <v>3.8382999999999998</v>
      </c>
      <c r="P63" s="14"/>
      <c r="Q63" s="14"/>
      <c r="R63" s="14"/>
    </row>
    <row r="64" spans="1:18" ht="15" x14ac:dyDescent="0.2">
      <c r="A64" s="13">
        <v>42795</v>
      </c>
      <c r="B64" s="9">
        <f>3.2785 * CHOOSE(CONTROL!$C$32, $C$9, 100%, $E$9)</f>
        <v>3.2785000000000002</v>
      </c>
      <c r="C64" s="9">
        <f>3.2785 * CHOOSE(CONTROL!$C$32, $C$9, 100%, $E$9)</f>
        <v>3.2785000000000002</v>
      </c>
      <c r="D64" s="9">
        <f>3.2795 * CHOOSE(CONTROL!$C$32, $C$9, 100%, $E$9)</f>
        <v>3.2795000000000001</v>
      </c>
      <c r="E64" s="11">
        <f>3.8331 * CHOOSE(CONTROL!$C$32, $C$9, 100%, $E$9)</f>
        <v>3.8331</v>
      </c>
      <c r="F64" s="11">
        <f>3.8331 * CHOOSE(CONTROL!$C$32, $C$9, 100%, $E$9)</f>
        <v>3.8331</v>
      </c>
      <c r="G64" s="11">
        <f>3.8363 * CHOOSE(CONTROL!$C$32, $C$9, 100%, $E$9)</f>
        <v>3.8363</v>
      </c>
      <c r="H64" s="11">
        <f>6.4013 * CHOOSE(CONTROL!$C$32, $C$9, 100%, $E$9)</f>
        <v>6.4013</v>
      </c>
      <c r="I64" s="11">
        <f>6.4045 * CHOOSE(CONTROL!$C$32, $C$9, 100%, $E$9)</f>
        <v>6.4044999999999996</v>
      </c>
      <c r="J64" s="11">
        <f>6.4013 * CHOOSE(CONTROL!$C$32, $C$9, 100%, $E$9)</f>
        <v>6.4013</v>
      </c>
      <c r="K64" s="11">
        <f>6.4045 * CHOOSE(CONTROL!$C$32, $C$9, 100%, $E$9)</f>
        <v>6.4044999999999996</v>
      </c>
      <c r="L64" s="11">
        <f>3.8331 * CHOOSE(CONTROL!$C$32, $C$9, 100%, $E$9)</f>
        <v>3.8331</v>
      </c>
      <c r="M64" s="11">
        <f>3.8363 * CHOOSE(CONTROL!$C$32, $C$9, 100%, $E$9)</f>
        <v>3.8363</v>
      </c>
      <c r="N64" s="11">
        <f>3.8331 * CHOOSE(CONTROL!$C$32, $C$9, 100%, $E$9)</f>
        <v>3.8331</v>
      </c>
      <c r="O64" s="11">
        <f>3.8363 * CHOOSE(CONTROL!$C$32, $C$9, 100%, $E$9)</f>
        <v>3.8363</v>
      </c>
      <c r="P64" s="14"/>
      <c r="Q64" s="14"/>
      <c r="R64" s="14"/>
    </row>
    <row r="65" spans="1:18" ht="15" x14ac:dyDescent="0.2">
      <c r="A65" s="13">
        <v>42826</v>
      </c>
      <c r="B65" s="9">
        <f>3.2725 * CHOOSE(CONTROL!$C$32, $C$9, 100%, $E$9)</f>
        <v>3.2725</v>
      </c>
      <c r="C65" s="9">
        <f>3.2725 * CHOOSE(CONTROL!$C$32, $C$9, 100%, $E$9)</f>
        <v>3.2725</v>
      </c>
      <c r="D65" s="9">
        <f>3.2734 * CHOOSE(CONTROL!$C$32, $C$9, 100%, $E$9)</f>
        <v>3.2734000000000001</v>
      </c>
      <c r="E65" s="11">
        <f>3.8305 * CHOOSE(CONTROL!$C$32, $C$9, 100%, $E$9)</f>
        <v>3.8304999999999998</v>
      </c>
      <c r="F65" s="11">
        <f>3.8305 * CHOOSE(CONTROL!$C$32, $C$9, 100%, $E$9)</f>
        <v>3.8304999999999998</v>
      </c>
      <c r="G65" s="11">
        <f>3.8338 * CHOOSE(CONTROL!$C$32, $C$9, 100%, $E$9)</f>
        <v>3.8338000000000001</v>
      </c>
      <c r="H65" s="11">
        <f>6.4146 * CHOOSE(CONTROL!$C$32, $C$9, 100%, $E$9)</f>
        <v>6.4146000000000001</v>
      </c>
      <c r="I65" s="11">
        <f>6.4178 * CHOOSE(CONTROL!$C$32, $C$9, 100%, $E$9)</f>
        <v>6.4177999999999997</v>
      </c>
      <c r="J65" s="11">
        <f>6.4146 * CHOOSE(CONTROL!$C$32, $C$9, 100%, $E$9)</f>
        <v>6.4146000000000001</v>
      </c>
      <c r="K65" s="11">
        <f>6.4178 * CHOOSE(CONTROL!$C$32, $C$9, 100%, $E$9)</f>
        <v>6.4177999999999997</v>
      </c>
      <c r="L65" s="11">
        <f>3.8305 * CHOOSE(CONTROL!$C$32, $C$9, 100%, $E$9)</f>
        <v>3.8304999999999998</v>
      </c>
      <c r="M65" s="11">
        <f>3.8338 * CHOOSE(CONTROL!$C$32, $C$9, 100%, $E$9)</f>
        <v>3.8338000000000001</v>
      </c>
      <c r="N65" s="11">
        <f>3.8305 * CHOOSE(CONTROL!$C$32, $C$9, 100%, $E$9)</f>
        <v>3.8304999999999998</v>
      </c>
      <c r="O65" s="11">
        <f>3.8338 * CHOOSE(CONTROL!$C$32, $C$9, 100%, $E$9)</f>
        <v>3.8338000000000001</v>
      </c>
      <c r="P65" s="14"/>
      <c r="Q65" s="14"/>
      <c r="R65" s="14"/>
    </row>
    <row r="66" spans="1:18" ht="15" x14ac:dyDescent="0.2">
      <c r="A66" s="13">
        <v>42856</v>
      </c>
      <c r="B66" s="9">
        <f>3.2809 * CHOOSE(CONTROL!$C$32, $C$9, 100%, $E$9)</f>
        <v>3.2808999999999999</v>
      </c>
      <c r="C66" s="9">
        <f>3.2809 * CHOOSE(CONTROL!$C$32, $C$9, 100%, $E$9)</f>
        <v>3.2808999999999999</v>
      </c>
      <c r="D66" s="9">
        <f>3.2822 * CHOOSE(CONTROL!$C$32, $C$9, 100%, $E$9)</f>
        <v>3.2822</v>
      </c>
      <c r="E66" s="11">
        <f>3.8305 * CHOOSE(CONTROL!$C$32, $C$9, 100%, $E$9)</f>
        <v>3.8304999999999998</v>
      </c>
      <c r="F66" s="11">
        <f>3.8305 * CHOOSE(CONTROL!$C$32, $C$9, 100%, $E$9)</f>
        <v>3.8304999999999998</v>
      </c>
      <c r="G66" s="11">
        <f>3.8348 * CHOOSE(CONTROL!$C$32, $C$9, 100%, $E$9)</f>
        <v>3.8348</v>
      </c>
      <c r="H66" s="11">
        <f>6.428 * CHOOSE(CONTROL!$C$32, $C$9, 100%, $E$9)</f>
        <v>6.4279999999999999</v>
      </c>
      <c r="I66" s="11">
        <f>6.4322 * CHOOSE(CONTROL!$C$32, $C$9, 100%, $E$9)</f>
        <v>6.4321999999999999</v>
      </c>
      <c r="J66" s="11">
        <f>6.428 * CHOOSE(CONTROL!$C$32, $C$9, 100%, $E$9)</f>
        <v>6.4279999999999999</v>
      </c>
      <c r="K66" s="11">
        <f>6.4322 * CHOOSE(CONTROL!$C$32, $C$9, 100%, $E$9)</f>
        <v>6.4321999999999999</v>
      </c>
      <c r="L66" s="11">
        <f>3.8305 * CHOOSE(CONTROL!$C$32, $C$9, 100%, $E$9)</f>
        <v>3.8304999999999998</v>
      </c>
      <c r="M66" s="11">
        <f>3.8348 * CHOOSE(CONTROL!$C$32, $C$9, 100%, $E$9)</f>
        <v>3.8348</v>
      </c>
      <c r="N66" s="11">
        <f>3.8305 * CHOOSE(CONTROL!$C$32, $C$9, 100%, $E$9)</f>
        <v>3.8304999999999998</v>
      </c>
      <c r="O66" s="11">
        <f>3.8348 * CHOOSE(CONTROL!$C$32, $C$9, 100%, $E$9)</f>
        <v>3.8348</v>
      </c>
      <c r="P66" s="14"/>
      <c r="Q66" s="14"/>
      <c r="R66" s="14"/>
    </row>
    <row r="67" spans="1:18" ht="15" x14ac:dyDescent="0.2">
      <c r="A67" s="13">
        <v>42887</v>
      </c>
      <c r="B67" s="9">
        <f>3.2871 * CHOOSE(CONTROL!$C$32, $C$9, 100%, $E$9)</f>
        <v>3.2871000000000001</v>
      </c>
      <c r="C67" s="9">
        <f>3.2871 * CHOOSE(CONTROL!$C$32, $C$9, 100%, $E$9)</f>
        <v>3.2871000000000001</v>
      </c>
      <c r="D67" s="9">
        <f>3.2883 * CHOOSE(CONTROL!$C$32, $C$9, 100%, $E$9)</f>
        <v>3.2883</v>
      </c>
      <c r="E67" s="11">
        <f>3.8345 * CHOOSE(CONTROL!$C$32, $C$9, 100%, $E$9)</f>
        <v>3.8344999999999998</v>
      </c>
      <c r="F67" s="11">
        <f>3.8345 * CHOOSE(CONTROL!$C$32, $C$9, 100%, $E$9)</f>
        <v>3.8344999999999998</v>
      </c>
      <c r="G67" s="11">
        <f>3.8388 * CHOOSE(CONTROL!$C$32, $C$9, 100%, $E$9)</f>
        <v>3.8388</v>
      </c>
      <c r="H67" s="11">
        <f>6.4414 * CHOOSE(CONTROL!$C$32, $C$9, 100%, $E$9)</f>
        <v>6.4413999999999998</v>
      </c>
      <c r="I67" s="11">
        <f>6.4456 * CHOOSE(CONTROL!$C$32, $C$9, 100%, $E$9)</f>
        <v>6.4455999999999998</v>
      </c>
      <c r="J67" s="11">
        <f>6.4414 * CHOOSE(CONTROL!$C$32, $C$9, 100%, $E$9)</f>
        <v>6.4413999999999998</v>
      </c>
      <c r="K67" s="11">
        <f>6.4456 * CHOOSE(CONTROL!$C$32, $C$9, 100%, $E$9)</f>
        <v>6.4455999999999998</v>
      </c>
      <c r="L67" s="11">
        <f>3.8345 * CHOOSE(CONTROL!$C$32, $C$9, 100%, $E$9)</f>
        <v>3.8344999999999998</v>
      </c>
      <c r="M67" s="11">
        <f>3.8388 * CHOOSE(CONTROL!$C$32, $C$9, 100%, $E$9)</f>
        <v>3.8388</v>
      </c>
      <c r="N67" s="11">
        <f>3.8345 * CHOOSE(CONTROL!$C$32, $C$9, 100%, $E$9)</f>
        <v>3.8344999999999998</v>
      </c>
      <c r="O67" s="11">
        <f>3.8388 * CHOOSE(CONTROL!$C$32, $C$9, 100%, $E$9)</f>
        <v>3.8388</v>
      </c>
      <c r="P67" s="14"/>
      <c r="Q67" s="14"/>
      <c r="R67" s="14"/>
    </row>
    <row r="68" spans="1:18" ht="15" x14ac:dyDescent="0.2">
      <c r="A68" s="13">
        <v>42917</v>
      </c>
      <c r="B68" s="9">
        <f>3.3418 * CHOOSE(CONTROL!$C$32, $C$9, 100%, $E$9)</f>
        <v>3.3418000000000001</v>
      </c>
      <c r="C68" s="9">
        <f>3.3418 * CHOOSE(CONTROL!$C$32, $C$9, 100%, $E$9)</f>
        <v>3.3418000000000001</v>
      </c>
      <c r="D68" s="9">
        <f>3.343 * CHOOSE(CONTROL!$C$32, $C$9, 100%, $E$9)</f>
        <v>3.343</v>
      </c>
      <c r="E68" s="11">
        <f>3.9255 * CHOOSE(CONTROL!$C$32, $C$9, 100%, $E$9)</f>
        <v>3.9255</v>
      </c>
      <c r="F68" s="11">
        <f>3.9255 * CHOOSE(CONTROL!$C$32, $C$9, 100%, $E$9)</f>
        <v>3.9255</v>
      </c>
      <c r="G68" s="11">
        <f>3.9297 * CHOOSE(CONTROL!$C$32, $C$9, 100%, $E$9)</f>
        <v>3.9297</v>
      </c>
      <c r="H68" s="11">
        <f>6.4548 * CHOOSE(CONTROL!$C$32, $C$9, 100%, $E$9)</f>
        <v>6.4547999999999996</v>
      </c>
      <c r="I68" s="11">
        <f>6.459 * CHOOSE(CONTROL!$C$32, $C$9, 100%, $E$9)</f>
        <v>6.4589999999999996</v>
      </c>
      <c r="J68" s="11">
        <f>6.4548 * CHOOSE(CONTROL!$C$32, $C$9, 100%, $E$9)</f>
        <v>6.4547999999999996</v>
      </c>
      <c r="K68" s="11">
        <f>6.459 * CHOOSE(CONTROL!$C$32, $C$9, 100%, $E$9)</f>
        <v>6.4589999999999996</v>
      </c>
      <c r="L68" s="11">
        <f>3.9255 * CHOOSE(CONTROL!$C$32, $C$9, 100%, $E$9)</f>
        <v>3.9255</v>
      </c>
      <c r="M68" s="11">
        <f>3.9297 * CHOOSE(CONTROL!$C$32, $C$9, 100%, $E$9)</f>
        <v>3.9297</v>
      </c>
      <c r="N68" s="11">
        <f>3.9255 * CHOOSE(CONTROL!$C$32, $C$9, 100%, $E$9)</f>
        <v>3.9255</v>
      </c>
      <c r="O68" s="11">
        <f>3.9297 * CHOOSE(CONTROL!$C$32, $C$9, 100%, $E$9)</f>
        <v>3.9297</v>
      </c>
      <c r="P68" s="14"/>
      <c r="Q68" s="14"/>
      <c r="R68" s="14"/>
    </row>
    <row r="69" spans="1:18" ht="15" x14ac:dyDescent="0.2">
      <c r="A69" s="13">
        <v>42948</v>
      </c>
      <c r="B69" s="9">
        <f>3.357 * CHOOSE(CONTROL!$C$32, $C$9, 100%, $E$9)</f>
        <v>3.3570000000000002</v>
      </c>
      <c r="C69" s="9">
        <f>3.357 * CHOOSE(CONTROL!$C$32, $C$9, 100%, $E$9)</f>
        <v>3.3570000000000002</v>
      </c>
      <c r="D69" s="9">
        <f>3.3582 * CHOOSE(CONTROL!$C$32, $C$9, 100%, $E$9)</f>
        <v>3.3582000000000001</v>
      </c>
      <c r="E69" s="11">
        <f>3.9299 * CHOOSE(CONTROL!$C$32, $C$9, 100%, $E$9)</f>
        <v>3.9298999999999999</v>
      </c>
      <c r="F69" s="11">
        <f>3.9299 * CHOOSE(CONTROL!$C$32, $C$9, 100%, $E$9)</f>
        <v>3.9298999999999999</v>
      </c>
      <c r="G69" s="11">
        <f>3.9341 * CHOOSE(CONTROL!$C$32, $C$9, 100%, $E$9)</f>
        <v>3.9340999999999999</v>
      </c>
      <c r="H69" s="11">
        <f>6.4682 * CHOOSE(CONTROL!$C$32, $C$9, 100%, $E$9)</f>
        <v>6.4682000000000004</v>
      </c>
      <c r="I69" s="11">
        <f>6.4724 * CHOOSE(CONTROL!$C$32, $C$9, 100%, $E$9)</f>
        <v>6.4724000000000004</v>
      </c>
      <c r="J69" s="11">
        <f>6.4682 * CHOOSE(CONTROL!$C$32, $C$9, 100%, $E$9)</f>
        <v>6.4682000000000004</v>
      </c>
      <c r="K69" s="11">
        <f>6.4724 * CHOOSE(CONTROL!$C$32, $C$9, 100%, $E$9)</f>
        <v>6.4724000000000004</v>
      </c>
      <c r="L69" s="11">
        <f>3.9299 * CHOOSE(CONTROL!$C$32, $C$9, 100%, $E$9)</f>
        <v>3.9298999999999999</v>
      </c>
      <c r="M69" s="11">
        <f>3.9341 * CHOOSE(CONTROL!$C$32, $C$9, 100%, $E$9)</f>
        <v>3.9340999999999999</v>
      </c>
      <c r="N69" s="11">
        <f>3.9299 * CHOOSE(CONTROL!$C$32, $C$9, 100%, $E$9)</f>
        <v>3.9298999999999999</v>
      </c>
      <c r="O69" s="11">
        <f>3.9341 * CHOOSE(CONTROL!$C$32, $C$9, 100%, $E$9)</f>
        <v>3.9340999999999999</v>
      </c>
      <c r="P69" s="14"/>
      <c r="Q69" s="14"/>
      <c r="R69" s="14"/>
    </row>
    <row r="70" spans="1:18" ht="15" x14ac:dyDescent="0.2">
      <c r="A70" s="13">
        <v>42979</v>
      </c>
      <c r="B70" s="9">
        <f>3.354 * CHOOSE(CONTROL!$C$32, $C$9, 100%, $E$9)</f>
        <v>3.3540000000000001</v>
      </c>
      <c r="C70" s="9">
        <f>3.354 * CHOOSE(CONTROL!$C$32, $C$9, 100%, $E$9)</f>
        <v>3.3540000000000001</v>
      </c>
      <c r="D70" s="9">
        <f>3.3553 * CHOOSE(CONTROL!$C$32, $C$9, 100%, $E$9)</f>
        <v>3.3553000000000002</v>
      </c>
      <c r="E70" s="11">
        <f>3.9279 * CHOOSE(CONTROL!$C$32, $C$9, 100%, $E$9)</f>
        <v>3.9279000000000002</v>
      </c>
      <c r="F70" s="11">
        <f>3.9279 * CHOOSE(CONTROL!$C$32, $C$9, 100%, $E$9)</f>
        <v>3.9279000000000002</v>
      </c>
      <c r="G70" s="11">
        <f>3.9321 * CHOOSE(CONTROL!$C$32, $C$9, 100%, $E$9)</f>
        <v>3.9321000000000002</v>
      </c>
      <c r="H70" s="11">
        <f>6.4817 * CHOOSE(CONTROL!$C$32, $C$9, 100%, $E$9)</f>
        <v>6.4817</v>
      </c>
      <c r="I70" s="11">
        <f>6.4859 * CHOOSE(CONTROL!$C$32, $C$9, 100%, $E$9)</f>
        <v>6.4859</v>
      </c>
      <c r="J70" s="11">
        <f>6.4817 * CHOOSE(CONTROL!$C$32, $C$9, 100%, $E$9)</f>
        <v>6.4817</v>
      </c>
      <c r="K70" s="11">
        <f>6.4859 * CHOOSE(CONTROL!$C$32, $C$9, 100%, $E$9)</f>
        <v>6.4859</v>
      </c>
      <c r="L70" s="11">
        <f>3.9279 * CHOOSE(CONTROL!$C$32, $C$9, 100%, $E$9)</f>
        <v>3.9279000000000002</v>
      </c>
      <c r="M70" s="11">
        <f>3.9321 * CHOOSE(CONTROL!$C$32, $C$9, 100%, $E$9)</f>
        <v>3.9321000000000002</v>
      </c>
      <c r="N70" s="11">
        <f>3.9279 * CHOOSE(CONTROL!$C$32, $C$9, 100%, $E$9)</f>
        <v>3.9279000000000002</v>
      </c>
      <c r="O70" s="11">
        <f>3.9321 * CHOOSE(CONTROL!$C$32, $C$9, 100%, $E$9)</f>
        <v>3.9321000000000002</v>
      </c>
      <c r="P70" s="14"/>
      <c r="Q70" s="14"/>
      <c r="R70" s="14"/>
    </row>
    <row r="71" spans="1:18" ht="15" x14ac:dyDescent="0.2">
      <c r="A71" s="13">
        <v>43009</v>
      </c>
      <c r="B71" s="9">
        <f>3.3348 * CHOOSE(CONTROL!$C$32, $C$9, 100%, $E$9)</f>
        <v>3.3348</v>
      </c>
      <c r="C71" s="9">
        <f>3.3348 * CHOOSE(CONTROL!$C$32, $C$9, 100%, $E$9)</f>
        <v>3.3348</v>
      </c>
      <c r="D71" s="9">
        <f>3.3357 * CHOOSE(CONTROL!$C$32, $C$9, 100%, $E$9)</f>
        <v>3.3357000000000001</v>
      </c>
      <c r="E71" s="11">
        <f>3.9209 * CHOOSE(CONTROL!$C$32, $C$9, 100%, $E$9)</f>
        <v>3.9209000000000001</v>
      </c>
      <c r="F71" s="11">
        <f>3.9209 * CHOOSE(CONTROL!$C$32, $C$9, 100%, $E$9)</f>
        <v>3.9209000000000001</v>
      </c>
      <c r="G71" s="11">
        <f>3.9241 * CHOOSE(CONTROL!$C$32, $C$9, 100%, $E$9)</f>
        <v>3.9241000000000001</v>
      </c>
      <c r="H71" s="11">
        <f>6.4952 * CHOOSE(CONTROL!$C$32, $C$9, 100%, $E$9)</f>
        <v>6.4951999999999996</v>
      </c>
      <c r="I71" s="11">
        <f>6.4984 * CHOOSE(CONTROL!$C$32, $C$9, 100%, $E$9)</f>
        <v>6.4984000000000002</v>
      </c>
      <c r="J71" s="11">
        <f>6.4952 * CHOOSE(CONTROL!$C$32, $C$9, 100%, $E$9)</f>
        <v>6.4951999999999996</v>
      </c>
      <c r="K71" s="11">
        <f>6.4984 * CHOOSE(CONTROL!$C$32, $C$9, 100%, $E$9)</f>
        <v>6.4984000000000002</v>
      </c>
      <c r="L71" s="11">
        <f>3.9209 * CHOOSE(CONTROL!$C$32, $C$9, 100%, $E$9)</f>
        <v>3.9209000000000001</v>
      </c>
      <c r="M71" s="11">
        <f>3.9241 * CHOOSE(CONTROL!$C$32, $C$9, 100%, $E$9)</f>
        <v>3.9241000000000001</v>
      </c>
      <c r="N71" s="11">
        <f>3.9209 * CHOOSE(CONTROL!$C$32, $C$9, 100%, $E$9)</f>
        <v>3.9209000000000001</v>
      </c>
      <c r="O71" s="11">
        <f>3.9241 * CHOOSE(CONTROL!$C$32, $C$9, 100%, $E$9)</f>
        <v>3.9241000000000001</v>
      </c>
      <c r="P71" s="14"/>
      <c r="Q71" s="14"/>
      <c r="R71" s="14"/>
    </row>
    <row r="72" spans="1:18" ht="15" x14ac:dyDescent="0.2">
      <c r="A72" s="13">
        <v>43040</v>
      </c>
      <c r="B72" s="9">
        <f>3.3463 * CHOOSE(CONTROL!$C$32, $C$9, 100%, $E$9)</f>
        <v>3.3462999999999998</v>
      </c>
      <c r="C72" s="9">
        <f>3.3463 * CHOOSE(CONTROL!$C$32, $C$9, 100%, $E$9)</f>
        <v>3.3462999999999998</v>
      </c>
      <c r="D72" s="9">
        <f>3.3473 * CHOOSE(CONTROL!$C$32, $C$9, 100%, $E$9)</f>
        <v>3.3473000000000002</v>
      </c>
      <c r="E72" s="11">
        <f>3.9229 * CHOOSE(CONTROL!$C$32, $C$9, 100%, $E$9)</f>
        <v>3.9228999999999998</v>
      </c>
      <c r="F72" s="11">
        <f>3.9229 * CHOOSE(CONTROL!$C$32, $C$9, 100%, $E$9)</f>
        <v>3.9228999999999998</v>
      </c>
      <c r="G72" s="11">
        <f>3.9261 * CHOOSE(CONTROL!$C$32, $C$9, 100%, $E$9)</f>
        <v>3.9260999999999999</v>
      </c>
      <c r="H72" s="11">
        <f>6.5087 * CHOOSE(CONTROL!$C$32, $C$9, 100%, $E$9)</f>
        <v>6.5087000000000002</v>
      </c>
      <c r="I72" s="11">
        <f>6.512 * CHOOSE(CONTROL!$C$32, $C$9, 100%, $E$9)</f>
        <v>6.5119999999999996</v>
      </c>
      <c r="J72" s="11">
        <f>6.5087 * CHOOSE(CONTROL!$C$32, $C$9, 100%, $E$9)</f>
        <v>6.5087000000000002</v>
      </c>
      <c r="K72" s="11">
        <f>6.512 * CHOOSE(CONTROL!$C$32, $C$9, 100%, $E$9)</f>
        <v>6.5119999999999996</v>
      </c>
      <c r="L72" s="11">
        <f>3.9229 * CHOOSE(CONTROL!$C$32, $C$9, 100%, $E$9)</f>
        <v>3.9228999999999998</v>
      </c>
      <c r="M72" s="11">
        <f>3.9261 * CHOOSE(CONTROL!$C$32, $C$9, 100%, $E$9)</f>
        <v>3.9260999999999999</v>
      </c>
      <c r="N72" s="11">
        <f>3.9229 * CHOOSE(CONTROL!$C$32, $C$9, 100%, $E$9)</f>
        <v>3.9228999999999998</v>
      </c>
      <c r="O72" s="11">
        <f>3.9261 * CHOOSE(CONTROL!$C$32, $C$9, 100%, $E$9)</f>
        <v>3.9260999999999999</v>
      </c>
      <c r="P72" s="14"/>
      <c r="Q72" s="14"/>
      <c r="R72" s="14"/>
    </row>
    <row r="73" spans="1:18" ht="15" x14ac:dyDescent="0.2">
      <c r="A73" s="13">
        <v>43070</v>
      </c>
      <c r="B73" s="9">
        <f>3.3463 * CHOOSE(CONTROL!$C$32, $C$9, 100%, $E$9)</f>
        <v>3.3462999999999998</v>
      </c>
      <c r="C73" s="9">
        <f>3.3463 * CHOOSE(CONTROL!$C$32, $C$9, 100%, $E$9)</f>
        <v>3.3462999999999998</v>
      </c>
      <c r="D73" s="9">
        <f>3.3473 * CHOOSE(CONTROL!$C$32, $C$9, 100%, $E$9)</f>
        <v>3.3473000000000002</v>
      </c>
      <c r="E73" s="11">
        <f>3.9229 * CHOOSE(CONTROL!$C$32, $C$9, 100%, $E$9)</f>
        <v>3.9228999999999998</v>
      </c>
      <c r="F73" s="11">
        <f>3.9229 * CHOOSE(CONTROL!$C$32, $C$9, 100%, $E$9)</f>
        <v>3.9228999999999998</v>
      </c>
      <c r="G73" s="11">
        <f>3.9261 * CHOOSE(CONTROL!$C$32, $C$9, 100%, $E$9)</f>
        <v>3.9260999999999999</v>
      </c>
      <c r="H73" s="11">
        <f>6.5223 * CHOOSE(CONTROL!$C$32, $C$9, 100%, $E$9)</f>
        <v>6.5223000000000004</v>
      </c>
      <c r="I73" s="11">
        <f>6.5255 * CHOOSE(CONTROL!$C$32, $C$9, 100%, $E$9)</f>
        <v>6.5255000000000001</v>
      </c>
      <c r="J73" s="11">
        <f>6.5223 * CHOOSE(CONTROL!$C$32, $C$9, 100%, $E$9)</f>
        <v>6.5223000000000004</v>
      </c>
      <c r="K73" s="11">
        <f>6.5255 * CHOOSE(CONTROL!$C$32, $C$9, 100%, $E$9)</f>
        <v>6.5255000000000001</v>
      </c>
      <c r="L73" s="11">
        <f>3.9229 * CHOOSE(CONTROL!$C$32, $C$9, 100%, $E$9)</f>
        <v>3.9228999999999998</v>
      </c>
      <c r="M73" s="11">
        <f>3.9261 * CHOOSE(CONTROL!$C$32, $C$9, 100%, $E$9)</f>
        <v>3.9260999999999999</v>
      </c>
      <c r="N73" s="11">
        <f>3.9229 * CHOOSE(CONTROL!$C$32, $C$9, 100%, $E$9)</f>
        <v>3.9228999999999998</v>
      </c>
      <c r="O73" s="11">
        <f>3.9261 * CHOOSE(CONTROL!$C$32, $C$9, 100%, $E$9)</f>
        <v>3.9260999999999999</v>
      </c>
      <c r="P73" s="14"/>
      <c r="Q73" s="14"/>
      <c r="R73" s="14"/>
    </row>
    <row r="74" spans="1:18" ht="15" x14ac:dyDescent="0.2">
      <c r="A74" s="13">
        <v>43101</v>
      </c>
      <c r="B74" s="9">
        <f>3.3747 * CHOOSE(CONTROL!$C$32, $C$9, 100%, $E$9)</f>
        <v>3.3746999999999998</v>
      </c>
      <c r="C74" s="9">
        <f>3.3747 * CHOOSE(CONTROL!$C$32, $C$9, 100%, $E$9)</f>
        <v>3.3746999999999998</v>
      </c>
      <c r="D74" s="9">
        <f>3.3756 * CHOOSE(CONTROL!$C$32, $C$9, 100%, $E$9)</f>
        <v>3.3755999999999999</v>
      </c>
      <c r="E74" s="11">
        <f>3.9606 * CHOOSE(CONTROL!$C$32, $C$9, 100%, $E$9)</f>
        <v>3.9605999999999999</v>
      </c>
      <c r="F74" s="11">
        <f>3.9606 * CHOOSE(CONTROL!$C$32, $C$9, 100%, $E$9)</f>
        <v>3.9605999999999999</v>
      </c>
      <c r="G74" s="11">
        <f>3.9638 * CHOOSE(CONTROL!$C$32, $C$9, 100%, $E$9)</f>
        <v>3.9638</v>
      </c>
      <c r="H74" s="11">
        <f>6.5359 * CHOOSE(CONTROL!$C$32, $C$9, 100%, $E$9)</f>
        <v>6.5358999999999998</v>
      </c>
      <c r="I74" s="11">
        <f>6.5391 * CHOOSE(CONTROL!$C$32, $C$9, 100%, $E$9)</f>
        <v>6.5391000000000004</v>
      </c>
      <c r="J74" s="11">
        <f>6.5359 * CHOOSE(CONTROL!$C$32, $C$9, 100%, $E$9)</f>
        <v>6.5358999999999998</v>
      </c>
      <c r="K74" s="11">
        <f>6.5391 * CHOOSE(CONTROL!$C$32, $C$9, 100%, $E$9)</f>
        <v>6.5391000000000004</v>
      </c>
      <c r="L74" s="11">
        <f>3.9606 * CHOOSE(CONTROL!$C$32, $C$9, 100%, $E$9)</f>
        <v>3.9605999999999999</v>
      </c>
      <c r="M74" s="11">
        <f>3.9638 * CHOOSE(CONTROL!$C$32, $C$9, 100%, $E$9)</f>
        <v>3.9638</v>
      </c>
      <c r="N74" s="11">
        <f>3.9606 * CHOOSE(CONTROL!$C$32, $C$9, 100%, $E$9)</f>
        <v>3.9605999999999999</v>
      </c>
      <c r="O74" s="11">
        <f>3.9638 * CHOOSE(CONTROL!$C$32, $C$9, 100%, $E$9)</f>
        <v>3.9638</v>
      </c>
      <c r="P74" s="14"/>
      <c r="Q74" s="14"/>
      <c r="R74" s="14"/>
    </row>
    <row r="75" spans="1:18" ht="15" x14ac:dyDescent="0.2">
      <c r="A75" s="13">
        <v>43132</v>
      </c>
      <c r="B75" s="9">
        <f>3.3805 * CHOOSE(CONTROL!$C$32, $C$9, 100%, $E$9)</f>
        <v>3.3805000000000001</v>
      </c>
      <c r="C75" s="9">
        <f>3.3805 * CHOOSE(CONTROL!$C$32, $C$9, 100%, $E$9)</f>
        <v>3.3805000000000001</v>
      </c>
      <c r="D75" s="9">
        <f>3.3814 * CHOOSE(CONTROL!$C$32, $C$9, 100%, $E$9)</f>
        <v>3.3814000000000002</v>
      </c>
      <c r="E75" s="11">
        <f>3.9586 * CHOOSE(CONTROL!$C$32, $C$9, 100%, $E$9)</f>
        <v>3.9586000000000001</v>
      </c>
      <c r="F75" s="11">
        <f>3.9586 * CHOOSE(CONTROL!$C$32, $C$9, 100%, $E$9)</f>
        <v>3.9586000000000001</v>
      </c>
      <c r="G75" s="11">
        <f>3.9618 * CHOOSE(CONTROL!$C$32, $C$9, 100%, $E$9)</f>
        <v>3.9618000000000002</v>
      </c>
      <c r="H75" s="11">
        <f>6.5495 * CHOOSE(CONTROL!$C$32, $C$9, 100%, $E$9)</f>
        <v>6.5495000000000001</v>
      </c>
      <c r="I75" s="11">
        <f>6.5527 * CHOOSE(CONTROL!$C$32, $C$9, 100%, $E$9)</f>
        <v>6.5526999999999997</v>
      </c>
      <c r="J75" s="11">
        <f>6.5495 * CHOOSE(CONTROL!$C$32, $C$9, 100%, $E$9)</f>
        <v>6.5495000000000001</v>
      </c>
      <c r="K75" s="11">
        <f>6.5527 * CHOOSE(CONTROL!$C$32, $C$9, 100%, $E$9)</f>
        <v>6.5526999999999997</v>
      </c>
      <c r="L75" s="11">
        <f>3.9586 * CHOOSE(CONTROL!$C$32, $C$9, 100%, $E$9)</f>
        <v>3.9586000000000001</v>
      </c>
      <c r="M75" s="11">
        <f>3.9618 * CHOOSE(CONTROL!$C$32, $C$9, 100%, $E$9)</f>
        <v>3.9618000000000002</v>
      </c>
      <c r="N75" s="11">
        <f>3.9586 * CHOOSE(CONTROL!$C$32, $C$9, 100%, $E$9)</f>
        <v>3.9586000000000001</v>
      </c>
      <c r="O75" s="11">
        <f>3.9618 * CHOOSE(CONTROL!$C$32, $C$9, 100%, $E$9)</f>
        <v>3.9618000000000002</v>
      </c>
      <c r="P75" s="14"/>
      <c r="Q75" s="14"/>
      <c r="R75" s="14"/>
    </row>
    <row r="76" spans="1:18" ht="15" x14ac:dyDescent="0.2">
      <c r="A76" s="13">
        <v>43160</v>
      </c>
      <c r="B76" s="9">
        <f>3.3774 * CHOOSE(CONTROL!$C$32, $C$9, 100%, $E$9)</f>
        <v>3.3774000000000002</v>
      </c>
      <c r="C76" s="9">
        <f>3.3774 * CHOOSE(CONTROL!$C$32, $C$9, 100%, $E$9)</f>
        <v>3.3774000000000002</v>
      </c>
      <c r="D76" s="9">
        <f>3.3784 * CHOOSE(CONTROL!$C$32, $C$9, 100%, $E$9)</f>
        <v>3.3784000000000001</v>
      </c>
      <c r="E76" s="11">
        <f>3.9566 * CHOOSE(CONTROL!$C$32, $C$9, 100%, $E$9)</f>
        <v>3.9565999999999999</v>
      </c>
      <c r="F76" s="11">
        <f>3.9566 * CHOOSE(CONTROL!$C$32, $C$9, 100%, $E$9)</f>
        <v>3.9565999999999999</v>
      </c>
      <c r="G76" s="11">
        <f>3.9598 * CHOOSE(CONTROL!$C$32, $C$9, 100%, $E$9)</f>
        <v>3.9598</v>
      </c>
      <c r="H76" s="11">
        <f>6.5632 * CHOOSE(CONTROL!$C$32, $C$9, 100%, $E$9)</f>
        <v>6.5632000000000001</v>
      </c>
      <c r="I76" s="11">
        <f>6.5664 * CHOOSE(CONTROL!$C$32, $C$9, 100%, $E$9)</f>
        <v>6.5663999999999998</v>
      </c>
      <c r="J76" s="11">
        <f>6.5632 * CHOOSE(CONTROL!$C$32, $C$9, 100%, $E$9)</f>
        <v>6.5632000000000001</v>
      </c>
      <c r="K76" s="11">
        <f>6.5664 * CHOOSE(CONTROL!$C$32, $C$9, 100%, $E$9)</f>
        <v>6.5663999999999998</v>
      </c>
      <c r="L76" s="11">
        <f>3.9566 * CHOOSE(CONTROL!$C$32, $C$9, 100%, $E$9)</f>
        <v>3.9565999999999999</v>
      </c>
      <c r="M76" s="11">
        <f>3.9598 * CHOOSE(CONTROL!$C$32, $C$9, 100%, $E$9)</f>
        <v>3.9598</v>
      </c>
      <c r="N76" s="11">
        <f>3.9566 * CHOOSE(CONTROL!$C$32, $C$9, 100%, $E$9)</f>
        <v>3.9565999999999999</v>
      </c>
      <c r="O76" s="11">
        <f>3.9598 * CHOOSE(CONTROL!$C$32, $C$9, 100%, $E$9)</f>
        <v>3.9598</v>
      </c>
      <c r="P76" s="14"/>
      <c r="Q76" s="14"/>
      <c r="R76" s="14"/>
    </row>
    <row r="77" spans="1:18" ht="15" x14ac:dyDescent="0.2">
      <c r="A77" s="13">
        <v>43191</v>
      </c>
      <c r="B77" s="9">
        <f>3.3713 * CHOOSE(CONTROL!$C$32, $C$9, 100%, $E$9)</f>
        <v>3.3713000000000002</v>
      </c>
      <c r="C77" s="9">
        <f>3.3713 * CHOOSE(CONTROL!$C$32, $C$9, 100%, $E$9)</f>
        <v>3.3713000000000002</v>
      </c>
      <c r="D77" s="9">
        <f>3.3723 * CHOOSE(CONTROL!$C$32, $C$9, 100%, $E$9)</f>
        <v>3.3723000000000001</v>
      </c>
      <c r="E77" s="11">
        <f>3.9541 * CHOOSE(CONTROL!$C$32, $C$9, 100%, $E$9)</f>
        <v>3.9540999999999999</v>
      </c>
      <c r="F77" s="11">
        <f>3.9541 * CHOOSE(CONTROL!$C$32, $C$9, 100%, $E$9)</f>
        <v>3.9540999999999999</v>
      </c>
      <c r="G77" s="11">
        <f>3.9573 * CHOOSE(CONTROL!$C$32, $C$9, 100%, $E$9)</f>
        <v>3.9573</v>
      </c>
      <c r="H77" s="11">
        <f>6.5768 * CHOOSE(CONTROL!$C$32, $C$9, 100%, $E$9)</f>
        <v>6.5768000000000004</v>
      </c>
      <c r="I77" s="11">
        <f>6.5801 * CHOOSE(CONTROL!$C$32, $C$9, 100%, $E$9)</f>
        <v>6.5800999999999998</v>
      </c>
      <c r="J77" s="11">
        <f>6.5768 * CHOOSE(CONTROL!$C$32, $C$9, 100%, $E$9)</f>
        <v>6.5768000000000004</v>
      </c>
      <c r="K77" s="11">
        <f>6.5801 * CHOOSE(CONTROL!$C$32, $C$9, 100%, $E$9)</f>
        <v>6.5800999999999998</v>
      </c>
      <c r="L77" s="11">
        <f>3.9541 * CHOOSE(CONTROL!$C$32, $C$9, 100%, $E$9)</f>
        <v>3.9540999999999999</v>
      </c>
      <c r="M77" s="11">
        <f>3.9573 * CHOOSE(CONTROL!$C$32, $C$9, 100%, $E$9)</f>
        <v>3.9573</v>
      </c>
      <c r="N77" s="11">
        <f>3.9541 * CHOOSE(CONTROL!$C$32, $C$9, 100%, $E$9)</f>
        <v>3.9540999999999999</v>
      </c>
      <c r="O77" s="11">
        <f>3.9573 * CHOOSE(CONTROL!$C$32, $C$9, 100%, $E$9)</f>
        <v>3.9573</v>
      </c>
      <c r="P77" s="14"/>
      <c r="Q77" s="14"/>
      <c r="R77" s="14"/>
    </row>
    <row r="78" spans="1:18" ht="15" x14ac:dyDescent="0.2">
      <c r="A78" s="13">
        <v>43221</v>
      </c>
      <c r="B78" s="9">
        <f>3.38 * CHOOSE(CONTROL!$C$32, $C$9, 100%, $E$9)</f>
        <v>3.38</v>
      </c>
      <c r="C78" s="9">
        <f>3.38 * CHOOSE(CONTROL!$C$32, $C$9, 100%, $E$9)</f>
        <v>3.38</v>
      </c>
      <c r="D78" s="9">
        <f>3.3812 * CHOOSE(CONTROL!$C$32, $C$9, 100%, $E$9)</f>
        <v>3.3812000000000002</v>
      </c>
      <c r="E78" s="11">
        <f>3.9541 * CHOOSE(CONTROL!$C$32, $C$9, 100%, $E$9)</f>
        <v>3.9540999999999999</v>
      </c>
      <c r="F78" s="11">
        <f>3.9541 * CHOOSE(CONTROL!$C$32, $C$9, 100%, $E$9)</f>
        <v>3.9540999999999999</v>
      </c>
      <c r="G78" s="11">
        <f>3.9583 * CHOOSE(CONTROL!$C$32, $C$9, 100%, $E$9)</f>
        <v>3.9582999999999999</v>
      </c>
      <c r="H78" s="11">
        <f>6.5905 * CHOOSE(CONTROL!$C$32, $C$9, 100%, $E$9)</f>
        <v>6.5904999999999996</v>
      </c>
      <c r="I78" s="11">
        <f>6.5947 * CHOOSE(CONTROL!$C$32, $C$9, 100%, $E$9)</f>
        <v>6.5946999999999996</v>
      </c>
      <c r="J78" s="11">
        <f>6.5905 * CHOOSE(CONTROL!$C$32, $C$9, 100%, $E$9)</f>
        <v>6.5904999999999996</v>
      </c>
      <c r="K78" s="11">
        <f>6.5947 * CHOOSE(CONTROL!$C$32, $C$9, 100%, $E$9)</f>
        <v>6.5946999999999996</v>
      </c>
      <c r="L78" s="11">
        <f>3.9541 * CHOOSE(CONTROL!$C$32, $C$9, 100%, $E$9)</f>
        <v>3.9540999999999999</v>
      </c>
      <c r="M78" s="11">
        <f>3.9583 * CHOOSE(CONTROL!$C$32, $C$9, 100%, $E$9)</f>
        <v>3.9582999999999999</v>
      </c>
      <c r="N78" s="11">
        <f>3.9541 * CHOOSE(CONTROL!$C$32, $C$9, 100%, $E$9)</f>
        <v>3.9540999999999999</v>
      </c>
      <c r="O78" s="11">
        <f>3.9583 * CHOOSE(CONTROL!$C$32, $C$9, 100%, $E$9)</f>
        <v>3.9582999999999999</v>
      </c>
      <c r="P78" s="14"/>
      <c r="Q78" s="14"/>
      <c r="R78" s="14"/>
    </row>
    <row r="79" spans="1:18" ht="15" x14ac:dyDescent="0.2">
      <c r="A79" s="13">
        <v>43252</v>
      </c>
      <c r="B79" s="9">
        <f>3.386 * CHOOSE(CONTROL!$C$32, $C$9, 100%, $E$9)</f>
        <v>3.3860000000000001</v>
      </c>
      <c r="C79" s="9">
        <f>3.386 * CHOOSE(CONTROL!$C$32, $C$9, 100%, $E$9)</f>
        <v>3.3860000000000001</v>
      </c>
      <c r="D79" s="9">
        <f>3.3872 * CHOOSE(CONTROL!$C$32, $C$9, 100%, $E$9)</f>
        <v>3.3872</v>
      </c>
      <c r="E79" s="11">
        <f>3.9581 * CHOOSE(CONTROL!$C$32, $C$9, 100%, $E$9)</f>
        <v>3.9581</v>
      </c>
      <c r="F79" s="11">
        <f>3.9581 * CHOOSE(CONTROL!$C$32, $C$9, 100%, $E$9)</f>
        <v>3.9581</v>
      </c>
      <c r="G79" s="11">
        <f>3.9623 * CHOOSE(CONTROL!$C$32, $C$9, 100%, $E$9)</f>
        <v>3.9622999999999999</v>
      </c>
      <c r="H79" s="11">
        <f>6.6043 * CHOOSE(CONTROL!$C$32, $C$9, 100%, $E$9)</f>
        <v>6.6043000000000003</v>
      </c>
      <c r="I79" s="11">
        <f>6.6085 * CHOOSE(CONTROL!$C$32, $C$9, 100%, $E$9)</f>
        <v>6.6085000000000003</v>
      </c>
      <c r="J79" s="11">
        <f>6.6043 * CHOOSE(CONTROL!$C$32, $C$9, 100%, $E$9)</f>
        <v>6.6043000000000003</v>
      </c>
      <c r="K79" s="11">
        <f>6.6085 * CHOOSE(CONTROL!$C$32, $C$9, 100%, $E$9)</f>
        <v>6.6085000000000003</v>
      </c>
      <c r="L79" s="11">
        <f>3.9581 * CHOOSE(CONTROL!$C$32, $C$9, 100%, $E$9)</f>
        <v>3.9581</v>
      </c>
      <c r="M79" s="11">
        <f>3.9623 * CHOOSE(CONTROL!$C$32, $C$9, 100%, $E$9)</f>
        <v>3.9622999999999999</v>
      </c>
      <c r="N79" s="11">
        <f>3.9581 * CHOOSE(CONTROL!$C$32, $C$9, 100%, $E$9)</f>
        <v>3.9581</v>
      </c>
      <c r="O79" s="11">
        <f>3.9623 * CHOOSE(CONTROL!$C$32, $C$9, 100%, $E$9)</f>
        <v>3.9622999999999999</v>
      </c>
      <c r="P79" s="14"/>
      <c r="Q79" s="14"/>
      <c r="R79" s="14"/>
    </row>
    <row r="80" spans="1:18" ht="15" x14ac:dyDescent="0.2">
      <c r="A80" s="13">
        <v>43282</v>
      </c>
      <c r="B80" s="9">
        <f>3.4206 * CHOOSE(CONTROL!$C$32, $C$9, 100%, $E$9)</f>
        <v>3.4205999999999999</v>
      </c>
      <c r="C80" s="9">
        <f>3.4206 * CHOOSE(CONTROL!$C$32, $C$9, 100%, $E$9)</f>
        <v>3.4205999999999999</v>
      </c>
      <c r="D80" s="9">
        <f>3.4218 * CHOOSE(CONTROL!$C$32, $C$9, 100%, $E$9)</f>
        <v>3.4218000000000002</v>
      </c>
      <c r="E80" s="11">
        <f>4.0414 * CHOOSE(CONTROL!$C$32, $C$9, 100%, $E$9)</f>
        <v>4.0414000000000003</v>
      </c>
      <c r="F80" s="11">
        <f>4.0414 * CHOOSE(CONTROL!$C$32, $C$9, 100%, $E$9)</f>
        <v>4.0414000000000003</v>
      </c>
      <c r="G80" s="11">
        <f>4.0456 * CHOOSE(CONTROL!$C$32, $C$9, 100%, $E$9)</f>
        <v>4.0456000000000003</v>
      </c>
      <c r="H80" s="11">
        <f>6.618 * CHOOSE(CONTROL!$C$32, $C$9, 100%, $E$9)</f>
        <v>6.6180000000000003</v>
      </c>
      <c r="I80" s="11">
        <f>6.6222 * CHOOSE(CONTROL!$C$32, $C$9, 100%, $E$9)</f>
        <v>6.6222000000000003</v>
      </c>
      <c r="J80" s="11">
        <f>6.618 * CHOOSE(CONTROL!$C$32, $C$9, 100%, $E$9)</f>
        <v>6.6180000000000003</v>
      </c>
      <c r="K80" s="11">
        <f>6.6222 * CHOOSE(CONTROL!$C$32, $C$9, 100%, $E$9)</f>
        <v>6.6222000000000003</v>
      </c>
      <c r="L80" s="11">
        <f>4.0414 * CHOOSE(CONTROL!$C$32, $C$9, 100%, $E$9)</f>
        <v>4.0414000000000003</v>
      </c>
      <c r="M80" s="11">
        <f>4.0456 * CHOOSE(CONTROL!$C$32, $C$9, 100%, $E$9)</f>
        <v>4.0456000000000003</v>
      </c>
      <c r="N80" s="11">
        <f>4.0414 * CHOOSE(CONTROL!$C$32, $C$9, 100%, $E$9)</f>
        <v>4.0414000000000003</v>
      </c>
      <c r="O80" s="11">
        <f>4.0456 * CHOOSE(CONTROL!$C$32, $C$9, 100%, $E$9)</f>
        <v>4.0456000000000003</v>
      </c>
      <c r="P80" s="14"/>
      <c r="Q80" s="14"/>
      <c r="R80" s="14"/>
    </row>
    <row r="81" spans="1:18" ht="15" x14ac:dyDescent="0.2">
      <c r="A81" s="13">
        <v>43313</v>
      </c>
      <c r="B81" s="9">
        <f>3.4359 * CHOOSE(CONTROL!$C$32, $C$9, 100%, $E$9)</f>
        <v>3.4359000000000002</v>
      </c>
      <c r="C81" s="9">
        <f>3.4359 * CHOOSE(CONTROL!$C$32, $C$9, 100%, $E$9)</f>
        <v>3.4359000000000002</v>
      </c>
      <c r="D81" s="9">
        <f>3.4372 * CHOOSE(CONTROL!$C$32, $C$9, 100%, $E$9)</f>
        <v>3.4371999999999998</v>
      </c>
      <c r="E81" s="11">
        <f>4.0458 * CHOOSE(CONTROL!$C$32, $C$9, 100%, $E$9)</f>
        <v>4.0457999999999998</v>
      </c>
      <c r="F81" s="11">
        <f>4.0458 * CHOOSE(CONTROL!$C$32, $C$9, 100%, $E$9)</f>
        <v>4.0457999999999998</v>
      </c>
      <c r="G81" s="11">
        <f>4.05 * CHOOSE(CONTROL!$C$32, $C$9, 100%, $E$9)</f>
        <v>4.05</v>
      </c>
      <c r="H81" s="11">
        <f>6.6318 * CHOOSE(CONTROL!$C$32, $C$9, 100%, $E$9)</f>
        <v>6.6318000000000001</v>
      </c>
      <c r="I81" s="11">
        <f>6.636 * CHOOSE(CONTROL!$C$32, $C$9, 100%, $E$9)</f>
        <v>6.6360000000000001</v>
      </c>
      <c r="J81" s="11">
        <f>6.6318 * CHOOSE(CONTROL!$C$32, $C$9, 100%, $E$9)</f>
        <v>6.6318000000000001</v>
      </c>
      <c r="K81" s="11">
        <f>6.636 * CHOOSE(CONTROL!$C$32, $C$9, 100%, $E$9)</f>
        <v>6.6360000000000001</v>
      </c>
      <c r="L81" s="11">
        <f>4.0458 * CHOOSE(CONTROL!$C$32, $C$9, 100%, $E$9)</f>
        <v>4.0457999999999998</v>
      </c>
      <c r="M81" s="11">
        <f>4.05 * CHOOSE(CONTROL!$C$32, $C$9, 100%, $E$9)</f>
        <v>4.05</v>
      </c>
      <c r="N81" s="11">
        <f>4.0458 * CHOOSE(CONTROL!$C$32, $C$9, 100%, $E$9)</f>
        <v>4.0457999999999998</v>
      </c>
      <c r="O81" s="11">
        <f>4.05 * CHOOSE(CONTROL!$C$32, $C$9, 100%, $E$9)</f>
        <v>4.05</v>
      </c>
      <c r="P81" s="14"/>
      <c r="Q81" s="14"/>
      <c r="R81" s="14"/>
    </row>
    <row r="82" spans="1:18" ht="15" x14ac:dyDescent="0.2">
      <c r="A82" s="13">
        <v>43344</v>
      </c>
      <c r="B82" s="9">
        <f>3.4328 * CHOOSE(CONTROL!$C$32, $C$9, 100%, $E$9)</f>
        <v>3.4327999999999999</v>
      </c>
      <c r="C82" s="9">
        <f>3.4328 * CHOOSE(CONTROL!$C$32, $C$9, 100%, $E$9)</f>
        <v>3.4327999999999999</v>
      </c>
      <c r="D82" s="9">
        <f>3.434 * CHOOSE(CONTROL!$C$32, $C$9, 100%, $E$9)</f>
        <v>3.4340000000000002</v>
      </c>
      <c r="E82" s="11">
        <f>4.0438 * CHOOSE(CONTROL!$C$32, $C$9, 100%, $E$9)</f>
        <v>4.0438000000000001</v>
      </c>
      <c r="F82" s="11">
        <f>4.0438 * CHOOSE(CONTROL!$C$32, $C$9, 100%, $E$9)</f>
        <v>4.0438000000000001</v>
      </c>
      <c r="G82" s="11">
        <f>4.048 * CHOOSE(CONTROL!$C$32, $C$9, 100%, $E$9)</f>
        <v>4.048</v>
      </c>
      <c r="H82" s="11">
        <f>6.6456 * CHOOSE(CONTROL!$C$32, $C$9, 100%, $E$9)</f>
        <v>6.6456</v>
      </c>
      <c r="I82" s="11">
        <f>6.6498 * CHOOSE(CONTROL!$C$32, $C$9, 100%, $E$9)</f>
        <v>6.6497999999999999</v>
      </c>
      <c r="J82" s="11">
        <f>6.6456 * CHOOSE(CONTROL!$C$32, $C$9, 100%, $E$9)</f>
        <v>6.6456</v>
      </c>
      <c r="K82" s="11">
        <f>6.6498 * CHOOSE(CONTROL!$C$32, $C$9, 100%, $E$9)</f>
        <v>6.6497999999999999</v>
      </c>
      <c r="L82" s="11">
        <f>4.0438 * CHOOSE(CONTROL!$C$32, $C$9, 100%, $E$9)</f>
        <v>4.0438000000000001</v>
      </c>
      <c r="M82" s="11">
        <f>4.048 * CHOOSE(CONTROL!$C$32, $C$9, 100%, $E$9)</f>
        <v>4.048</v>
      </c>
      <c r="N82" s="11">
        <f>4.0438 * CHOOSE(CONTROL!$C$32, $C$9, 100%, $E$9)</f>
        <v>4.0438000000000001</v>
      </c>
      <c r="O82" s="11">
        <f>4.048 * CHOOSE(CONTROL!$C$32, $C$9, 100%, $E$9)</f>
        <v>4.048</v>
      </c>
      <c r="P82" s="14"/>
      <c r="Q82" s="14"/>
      <c r="R82" s="14"/>
    </row>
    <row r="83" spans="1:18" ht="15" x14ac:dyDescent="0.2">
      <c r="A83" s="13">
        <v>43374</v>
      </c>
      <c r="B83" s="9">
        <f>3.4135 * CHOOSE(CONTROL!$C$32, $C$9, 100%, $E$9)</f>
        <v>3.4135</v>
      </c>
      <c r="C83" s="9">
        <f>3.4135 * CHOOSE(CONTROL!$C$32, $C$9, 100%, $E$9)</f>
        <v>3.4135</v>
      </c>
      <c r="D83" s="9">
        <f>3.4145 * CHOOSE(CONTROL!$C$32, $C$9, 100%, $E$9)</f>
        <v>3.4144999999999999</v>
      </c>
      <c r="E83" s="11">
        <f>4.0369 * CHOOSE(CONTROL!$C$32, $C$9, 100%, $E$9)</f>
        <v>4.0369000000000002</v>
      </c>
      <c r="F83" s="11">
        <f>4.0369 * CHOOSE(CONTROL!$C$32, $C$9, 100%, $E$9)</f>
        <v>4.0369000000000002</v>
      </c>
      <c r="G83" s="11">
        <f>4.0402 * CHOOSE(CONTROL!$C$32, $C$9, 100%, $E$9)</f>
        <v>4.0401999999999996</v>
      </c>
      <c r="H83" s="11">
        <f>6.6595 * CHOOSE(CONTROL!$C$32, $C$9, 100%, $E$9)</f>
        <v>6.6595000000000004</v>
      </c>
      <c r="I83" s="11">
        <f>6.6627 * CHOOSE(CONTROL!$C$32, $C$9, 100%, $E$9)</f>
        <v>6.6627000000000001</v>
      </c>
      <c r="J83" s="11">
        <f>6.6595 * CHOOSE(CONTROL!$C$32, $C$9, 100%, $E$9)</f>
        <v>6.6595000000000004</v>
      </c>
      <c r="K83" s="11">
        <f>6.6627 * CHOOSE(CONTROL!$C$32, $C$9, 100%, $E$9)</f>
        <v>6.6627000000000001</v>
      </c>
      <c r="L83" s="11">
        <f>4.0369 * CHOOSE(CONTROL!$C$32, $C$9, 100%, $E$9)</f>
        <v>4.0369000000000002</v>
      </c>
      <c r="M83" s="11">
        <f>4.0402 * CHOOSE(CONTROL!$C$32, $C$9, 100%, $E$9)</f>
        <v>4.0401999999999996</v>
      </c>
      <c r="N83" s="11">
        <f>4.0369 * CHOOSE(CONTROL!$C$32, $C$9, 100%, $E$9)</f>
        <v>4.0369000000000002</v>
      </c>
      <c r="O83" s="11">
        <f>4.0402 * CHOOSE(CONTROL!$C$32, $C$9, 100%, $E$9)</f>
        <v>4.0401999999999996</v>
      </c>
      <c r="P83" s="14"/>
      <c r="Q83" s="14"/>
      <c r="R83" s="14"/>
    </row>
    <row r="84" spans="1:18" ht="15" x14ac:dyDescent="0.2">
      <c r="A84" s="13">
        <v>43405</v>
      </c>
      <c r="B84" s="9">
        <f>3.4253 * CHOOSE(CONTROL!$C$32, $C$9, 100%, $E$9)</f>
        <v>3.4253</v>
      </c>
      <c r="C84" s="9">
        <f>3.4253 * CHOOSE(CONTROL!$C$32, $C$9, 100%, $E$9)</f>
        <v>3.4253</v>
      </c>
      <c r="D84" s="9">
        <f>3.4262 * CHOOSE(CONTROL!$C$32, $C$9, 100%, $E$9)</f>
        <v>3.4262000000000001</v>
      </c>
      <c r="E84" s="11">
        <f>4.0389 * CHOOSE(CONTROL!$C$32, $C$9, 100%, $E$9)</f>
        <v>4.0388999999999999</v>
      </c>
      <c r="F84" s="11">
        <f>4.0389 * CHOOSE(CONTROL!$C$32, $C$9, 100%, $E$9)</f>
        <v>4.0388999999999999</v>
      </c>
      <c r="G84" s="11">
        <f>4.0422 * CHOOSE(CONTROL!$C$32, $C$9, 100%, $E$9)</f>
        <v>4.0422000000000002</v>
      </c>
      <c r="H84" s="11">
        <f>6.6733 * CHOOSE(CONTROL!$C$32, $C$9, 100%, $E$9)</f>
        <v>6.6733000000000002</v>
      </c>
      <c r="I84" s="11">
        <f>6.6766 * CHOOSE(CONTROL!$C$32, $C$9, 100%, $E$9)</f>
        <v>6.6765999999999996</v>
      </c>
      <c r="J84" s="11">
        <f>6.6733 * CHOOSE(CONTROL!$C$32, $C$9, 100%, $E$9)</f>
        <v>6.6733000000000002</v>
      </c>
      <c r="K84" s="11">
        <f>6.6766 * CHOOSE(CONTROL!$C$32, $C$9, 100%, $E$9)</f>
        <v>6.6765999999999996</v>
      </c>
      <c r="L84" s="11">
        <f>4.0389 * CHOOSE(CONTROL!$C$32, $C$9, 100%, $E$9)</f>
        <v>4.0388999999999999</v>
      </c>
      <c r="M84" s="11">
        <f>4.0422 * CHOOSE(CONTROL!$C$32, $C$9, 100%, $E$9)</f>
        <v>4.0422000000000002</v>
      </c>
      <c r="N84" s="11">
        <f>4.0389 * CHOOSE(CONTROL!$C$32, $C$9, 100%, $E$9)</f>
        <v>4.0388999999999999</v>
      </c>
      <c r="O84" s="11">
        <f>4.0422 * CHOOSE(CONTROL!$C$32, $C$9, 100%, $E$9)</f>
        <v>4.0422000000000002</v>
      </c>
      <c r="P84" s="14"/>
      <c r="Q84" s="14"/>
      <c r="R84" s="14"/>
    </row>
    <row r="85" spans="1:18" ht="15" x14ac:dyDescent="0.2">
      <c r="A85" s="13">
        <v>43435</v>
      </c>
      <c r="B85" s="9">
        <f>3.4251 * CHOOSE(CONTROL!$C$32, $C$9, 100%, $E$9)</f>
        <v>3.4251</v>
      </c>
      <c r="C85" s="9">
        <f>3.4251 * CHOOSE(CONTROL!$C$32, $C$9, 100%, $E$9)</f>
        <v>3.4251</v>
      </c>
      <c r="D85" s="9">
        <f>3.4261 * CHOOSE(CONTROL!$C$32, $C$9, 100%, $E$9)</f>
        <v>3.4260999999999999</v>
      </c>
      <c r="E85" s="11">
        <f>4.0389 * CHOOSE(CONTROL!$C$32, $C$9, 100%, $E$9)</f>
        <v>4.0388999999999999</v>
      </c>
      <c r="F85" s="11">
        <f>4.0389 * CHOOSE(CONTROL!$C$32, $C$9, 100%, $E$9)</f>
        <v>4.0388999999999999</v>
      </c>
      <c r="G85" s="11">
        <f>4.0422 * CHOOSE(CONTROL!$C$32, $C$9, 100%, $E$9)</f>
        <v>4.0422000000000002</v>
      </c>
      <c r="H85" s="11">
        <f>6.6872 * CHOOSE(CONTROL!$C$32, $C$9, 100%, $E$9)</f>
        <v>6.6871999999999998</v>
      </c>
      <c r="I85" s="11">
        <f>6.6905 * CHOOSE(CONTROL!$C$32, $C$9, 100%, $E$9)</f>
        <v>6.6905000000000001</v>
      </c>
      <c r="J85" s="11">
        <f>6.6872 * CHOOSE(CONTROL!$C$32, $C$9, 100%, $E$9)</f>
        <v>6.6871999999999998</v>
      </c>
      <c r="K85" s="11">
        <f>6.6905 * CHOOSE(CONTROL!$C$32, $C$9, 100%, $E$9)</f>
        <v>6.6905000000000001</v>
      </c>
      <c r="L85" s="11">
        <f>4.0389 * CHOOSE(CONTROL!$C$32, $C$9, 100%, $E$9)</f>
        <v>4.0388999999999999</v>
      </c>
      <c r="M85" s="11">
        <f>4.0422 * CHOOSE(CONTROL!$C$32, $C$9, 100%, $E$9)</f>
        <v>4.0422000000000002</v>
      </c>
      <c r="N85" s="11">
        <f>4.0389 * CHOOSE(CONTROL!$C$32, $C$9, 100%, $E$9)</f>
        <v>4.0388999999999999</v>
      </c>
      <c r="O85" s="11">
        <f>4.0422 * CHOOSE(CONTROL!$C$32, $C$9, 100%, $E$9)</f>
        <v>4.0422000000000002</v>
      </c>
      <c r="P85" s="14"/>
      <c r="Q85" s="14"/>
      <c r="R85" s="14"/>
    </row>
    <row r="86" spans="1:18" ht="15" x14ac:dyDescent="0.2">
      <c r="A86" s="13">
        <v>43466</v>
      </c>
      <c r="B86" s="9">
        <f>3.206 * CHOOSE(CONTROL!$C$32, $C$9, 100%, $E$9)</f>
        <v>3.206</v>
      </c>
      <c r="C86" s="9">
        <f>3.206 * CHOOSE(CONTROL!$C$32, $C$9, 100%, $E$9)</f>
        <v>3.206</v>
      </c>
      <c r="D86" s="9">
        <f>3.2069 * CHOOSE(CONTROL!$C$32, $C$9, 100%, $E$9)</f>
        <v>3.2069000000000001</v>
      </c>
      <c r="E86" s="11">
        <f>4.0646 * CHOOSE(CONTROL!$C$32, $C$9, 100%, $E$9)</f>
        <v>4.0646000000000004</v>
      </c>
      <c r="F86" s="11">
        <f>4.0646 * CHOOSE(CONTROL!$C$32, $C$9, 100%, $E$9)</f>
        <v>4.0646000000000004</v>
      </c>
      <c r="G86" s="11">
        <f>4.0678 * CHOOSE(CONTROL!$C$32, $C$9, 100%, $E$9)</f>
        <v>4.0678000000000001</v>
      </c>
      <c r="H86" s="11">
        <f>6.7012 * CHOOSE(CONTROL!$C$32, $C$9, 100%, $E$9)</f>
        <v>6.7012</v>
      </c>
      <c r="I86" s="11">
        <f>6.7044 * CHOOSE(CONTROL!$C$32, $C$9, 100%, $E$9)</f>
        <v>6.7043999999999997</v>
      </c>
      <c r="J86" s="11">
        <f>6.7012 * CHOOSE(CONTROL!$C$32, $C$9, 100%, $E$9)</f>
        <v>6.7012</v>
      </c>
      <c r="K86" s="11">
        <f>6.7044 * CHOOSE(CONTROL!$C$32, $C$9, 100%, $E$9)</f>
        <v>6.7043999999999997</v>
      </c>
      <c r="L86" s="11">
        <f>4.0646 * CHOOSE(CONTROL!$C$32, $C$9, 100%, $E$9)</f>
        <v>4.0646000000000004</v>
      </c>
      <c r="M86" s="11">
        <f>4.0678 * CHOOSE(CONTROL!$C$32, $C$9, 100%, $E$9)</f>
        <v>4.0678000000000001</v>
      </c>
      <c r="N86" s="11">
        <f>4.0646 * CHOOSE(CONTROL!$C$32, $C$9, 100%, $E$9)</f>
        <v>4.0646000000000004</v>
      </c>
      <c r="O86" s="11">
        <f>4.0678 * CHOOSE(CONTROL!$C$32, $C$9, 100%, $E$9)</f>
        <v>4.0678000000000001</v>
      </c>
      <c r="P86" s="14"/>
      <c r="Q86" s="14"/>
      <c r="R86" s="14"/>
    </row>
    <row r="87" spans="1:18" ht="15" x14ac:dyDescent="0.2">
      <c r="A87" s="13">
        <v>43497</v>
      </c>
      <c r="B87" s="9">
        <f>3.2029 * CHOOSE(CONTROL!$C$32, $C$9, 100%, $E$9)</f>
        <v>3.2029000000000001</v>
      </c>
      <c r="C87" s="9">
        <f>3.2029 * CHOOSE(CONTROL!$C$32, $C$9, 100%, $E$9)</f>
        <v>3.2029000000000001</v>
      </c>
      <c r="D87" s="9">
        <f>3.2039 * CHOOSE(CONTROL!$C$32, $C$9, 100%, $E$9)</f>
        <v>3.2039</v>
      </c>
      <c r="E87" s="11">
        <f>4.0626 * CHOOSE(CONTROL!$C$32, $C$9, 100%, $E$9)</f>
        <v>4.0625999999999998</v>
      </c>
      <c r="F87" s="11">
        <f>4.0626 * CHOOSE(CONTROL!$C$32, $C$9, 100%, $E$9)</f>
        <v>4.0625999999999998</v>
      </c>
      <c r="G87" s="11">
        <f>4.0658 * CHOOSE(CONTROL!$C$32, $C$9, 100%, $E$9)</f>
        <v>4.0658000000000003</v>
      </c>
      <c r="H87" s="11">
        <f>6.7151 * CHOOSE(CONTROL!$C$32, $C$9, 100%, $E$9)</f>
        <v>6.7150999999999996</v>
      </c>
      <c r="I87" s="11">
        <f>6.7184 * CHOOSE(CONTROL!$C$32, $C$9, 100%, $E$9)</f>
        <v>6.7183999999999999</v>
      </c>
      <c r="J87" s="11">
        <f>6.7151 * CHOOSE(CONTROL!$C$32, $C$9, 100%, $E$9)</f>
        <v>6.7150999999999996</v>
      </c>
      <c r="K87" s="11">
        <f>6.7184 * CHOOSE(CONTROL!$C$32, $C$9, 100%, $E$9)</f>
        <v>6.7183999999999999</v>
      </c>
      <c r="L87" s="11">
        <f>4.0626 * CHOOSE(CONTROL!$C$32, $C$9, 100%, $E$9)</f>
        <v>4.0625999999999998</v>
      </c>
      <c r="M87" s="11">
        <f>4.0658 * CHOOSE(CONTROL!$C$32, $C$9, 100%, $E$9)</f>
        <v>4.0658000000000003</v>
      </c>
      <c r="N87" s="11">
        <f>4.0626 * CHOOSE(CONTROL!$C$32, $C$9, 100%, $E$9)</f>
        <v>4.0625999999999998</v>
      </c>
      <c r="O87" s="11">
        <f>4.0658 * CHOOSE(CONTROL!$C$32, $C$9, 100%, $E$9)</f>
        <v>4.0658000000000003</v>
      </c>
      <c r="P87" s="14"/>
      <c r="Q87" s="14"/>
      <c r="R87" s="14"/>
    </row>
    <row r="88" spans="1:18" ht="15" x14ac:dyDescent="0.2">
      <c r="A88" s="13">
        <v>43525</v>
      </c>
      <c r="B88" s="9">
        <f>3.1999 * CHOOSE(CONTROL!$C$32, $C$9, 100%, $E$9)</f>
        <v>3.1999</v>
      </c>
      <c r="C88" s="9">
        <f>3.1999 * CHOOSE(CONTROL!$C$32, $C$9, 100%, $E$9)</f>
        <v>3.1999</v>
      </c>
      <c r="D88" s="9">
        <f>3.2009 * CHOOSE(CONTROL!$C$32, $C$9, 100%, $E$9)</f>
        <v>3.2008999999999999</v>
      </c>
      <c r="E88" s="11">
        <f>4.0606 * CHOOSE(CONTROL!$C$32, $C$9, 100%, $E$9)</f>
        <v>4.0606</v>
      </c>
      <c r="F88" s="11">
        <f>4.0606 * CHOOSE(CONTROL!$C$32, $C$9, 100%, $E$9)</f>
        <v>4.0606</v>
      </c>
      <c r="G88" s="11">
        <f>4.0638 * CHOOSE(CONTROL!$C$32, $C$9, 100%, $E$9)</f>
        <v>4.0637999999999996</v>
      </c>
      <c r="H88" s="11">
        <f>6.7291 * CHOOSE(CONTROL!$C$32, $C$9, 100%, $E$9)</f>
        <v>6.7290999999999999</v>
      </c>
      <c r="I88" s="11">
        <f>6.7324 * CHOOSE(CONTROL!$C$32, $C$9, 100%, $E$9)</f>
        <v>6.7324000000000002</v>
      </c>
      <c r="J88" s="11">
        <f>6.7291 * CHOOSE(CONTROL!$C$32, $C$9, 100%, $E$9)</f>
        <v>6.7290999999999999</v>
      </c>
      <c r="K88" s="11">
        <f>6.7324 * CHOOSE(CONTROL!$C$32, $C$9, 100%, $E$9)</f>
        <v>6.7324000000000002</v>
      </c>
      <c r="L88" s="11">
        <f>4.0606 * CHOOSE(CONTROL!$C$32, $C$9, 100%, $E$9)</f>
        <v>4.0606</v>
      </c>
      <c r="M88" s="11">
        <f>4.0638 * CHOOSE(CONTROL!$C$32, $C$9, 100%, $E$9)</f>
        <v>4.0637999999999996</v>
      </c>
      <c r="N88" s="11">
        <f>4.0606 * CHOOSE(CONTROL!$C$32, $C$9, 100%, $E$9)</f>
        <v>4.0606</v>
      </c>
      <c r="O88" s="11">
        <f>4.0638 * CHOOSE(CONTROL!$C$32, $C$9, 100%, $E$9)</f>
        <v>4.0637999999999996</v>
      </c>
      <c r="P88" s="14"/>
      <c r="Q88" s="14"/>
      <c r="R88" s="14"/>
    </row>
    <row r="89" spans="1:18" ht="15" x14ac:dyDescent="0.2">
      <c r="A89" s="13">
        <v>43556</v>
      </c>
      <c r="B89" s="9">
        <f>3.1968 * CHOOSE(CONTROL!$C$32, $C$9, 100%, $E$9)</f>
        <v>3.1968000000000001</v>
      </c>
      <c r="C89" s="9">
        <f>3.1968 * CHOOSE(CONTROL!$C$32, $C$9, 100%, $E$9)</f>
        <v>3.1968000000000001</v>
      </c>
      <c r="D89" s="9">
        <f>3.1978 * CHOOSE(CONTROL!$C$32, $C$9, 100%, $E$9)</f>
        <v>3.1978</v>
      </c>
      <c r="E89" s="11">
        <f>4.0581 * CHOOSE(CONTROL!$C$32, $C$9, 100%, $E$9)</f>
        <v>4.0580999999999996</v>
      </c>
      <c r="F89" s="11">
        <f>4.0581 * CHOOSE(CONTROL!$C$32, $C$9, 100%, $E$9)</f>
        <v>4.0580999999999996</v>
      </c>
      <c r="G89" s="11">
        <f>4.0613 * CHOOSE(CONTROL!$C$32, $C$9, 100%, $E$9)</f>
        <v>4.0613000000000001</v>
      </c>
      <c r="H89" s="11">
        <f>6.7431 * CHOOSE(CONTROL!$C$32, $C$9, 100%, $E$9)</f>
        <v>6.7431000000000001</v>
      </c>
      <c r="I89" s="11">
        <f>6.7464 * CHOOSE(CONTROL!$C$32, $C$9, 100%, $E$9)</f>
        <v>6.7464000000000004</v>
      </c>
      <c r="J89" s="11">
        <f>6.7431 * CHOOSE(CONTROL!$C$32, $C$9, 100%, $E$9)</f>
        <v>6.7431000000000001</v>
      </c>
      <c r="K89" s="11">
        <f>6.7464 * CHOOSE(CONTROL!$C$32, $C$9, 100%, $E$9)</f>
        <v>6.7464000000000004</v>
      </c>
      <c r="L89" s="11">
        <f>4.0581 * CHOOSE(CONTROL!$C$32, $C$9, 100%, $E$9)</f>
        <v>4.0580999999999996</v>
      </c>
      <c r="M89" s="11">
        <f>4.0613 * CHOOSE(CONTROL!$C$32, $C$9, 100%, $E$9)</f>
        <v>4.0613000000000001</v>
      </c>
      <c r="N89" s="11">
        <f>4.0581 * CHOOSE(CONTROL!$C$32, $C$9, 100%, $E$9)</f>
        <v>4.0580999999999996</v>
      </c>
      <c r="O89" s="11">
        <f>4.0613 * CHOOSE(CONTROL!$C$32, $C$9, 100%, $E$9)</f>
        <v>4.0613000000000001</v>
      </c>
      <c r="P89" s="14"/>
      <c r="Q89" s="14"/>
      <c r="R89" s="14"/>
    </row>
    <row r="90" spans="1:18" ht="15" x14ac:dyDescent="0.2">
      <c r="A90" s="13">
        <v>43586</v>
      </c>
      <c r="B90" s="9">
        <f>3.1968 * CHOOSE(CONTROL!$C$32, $C$9, 100%, $E$9)</f>
        <v>3.1968000000000001</v>
      </c>
      <c r="C90" s="9">
        <f>3.1968 * CHOOSE(CONTROL!$C$32, $C$9, 100%, $E$9)</f>
        <v>3.1968000000000001</v>
      </c>
      <c r="D90" s="9">
        <f>3.198 * CHOOSE(CONTROL!$C$32, $C$9, 100%, $E$9)</f>
        <v>3.198</v>
      </c>
      <c r="E90" s="11">
        <f>4.0581 * CHOOSE(CONTROL!$C$32, $C$9, 100%, $E$9)</f>
        <v>4.0580999999999996</v>
      </c>
      <c r="F90" s="11">
        <f>4.0581 * CHOOSE(CONTROL!$C$32, $C$9, 100%, $E$9)</f>
        <v>4.0580999999999996</v>
      </c>
      <c r="G90" s="11">
        <f>4.0623 * CHOOSE(CONTROL!$C$32, $C$9, 100%, $E$9)</f>
        <v>4.0622999999999996</v>
      </c>
      <c r="H90" s="11">
        <f>6.7572 * CHOOSE(CONTROL!$C$32, $C$9, 100%, $E$9)</f>
        <v>6.7572000000000001</v>
      </c>
      <c r="I90" s="11">
        <f>6.7614 * CHOOSE(CONTROL!$C$32, $C$9, 100%, $E$9)</f>
        <v>6.7614000000000001</v>
      </c>
      <c r="J90" s="11">
        <f>6.7572 * CHOOSE(CONTROL!$C$32, $C$9, 100%, $E$9)</f>
        <v>6.7572000000000001</v>
      </c>
      <c r="K90" s="11">
        <f>6.7614 * CHOOSE(CONTROL!$C$32, $C$9, 100%, $E$9)</f>
        <v>6.7614000000000001</v>
      </c>
      <c r="L90" s="11">
        <f>4.0581 * CHOOSE(CONTROL!$C$32, $C$9, 100%, $E$9)</f>
        <v>4.0580999999999996</v>
      </c>
      <c r="M90" s="11">
        <f>4.0623 * CHOOSE(CONTROL!$C$32, $C$9, 100%, $E$9)</f>
        <v>4.0622999999999996</v>
      </c>
      <c r="N90" s="11">
        <f>4.0581 * CHOOSE(CONTROL!$C$32, $C$9, 100%, $E$9)</f>
        <v>4.0580999999999996</v>
      </c>
      <c r="O90" s="11">
        <f>4.0623 * CHOOSE(CONTROL!$C$32, $C$9, 100%, $E$9)</f>
        <v>4.0622999999999996</v>
      </c>
      <c r="P90" s="14"/>
      <c r="Q90" s="14"/>
      <c r="R90" s="14"/>
    </row>
    <row r="91" spans="1:18" ht="15" x14ac:dyDescent="0.2">
      <c r="A91" s="13">
        <v>43617</v>
      </c>
      <c r="B91" s="9">
        <f>3.2029 * CHOOSE(CONTROL!$C$32, $C$9, 100%, $E$9)</f>
        <v>3.2029000000000001</v>
      </c>
      <c r="C91" s="9">
        <f>3.2029 * CHOOSE(CONTROL!$C$32, $C$9, 100%, $E$9)</f>
        <v>3.2029000000000001</v>
      </c>
      <c r="D91" s="9">
        <f>3.2041 * CHOOSE(CONTROL!$C$32, $C$9, 100%, $E$9)</f>
        <v>3.2040999999999999</v>
      </c>
      <c r="E91" s="11">
        <f>4.0621 * CHOOSE(CONTROL!$C$32, $C$9, 100%, $E$9)</f>
        <v>4.0621</v>
      </c>
      <c r="F91" s="11">
        <f>4.0621 * CHOOSE(CONTROL!$C$32, $C$9, 100%, $E$9)</f>
        <v>4.0621</v>
      </c>
      <c r="G91" s="11">
        <f>4.0663 * CHOOSE(CONTROL!$C$32, $C$9, 100%, $E$9)</f>
        <v>4.0663</v>
      </c>
      <c r="H91" s="11">
        <f>6.7713 * CHOOSE(CONTROL!$C$32, $C$9, 100%, $E$9)</f>
        <v>6.7713000000000001</v>
      </c>
      <c r="I91" s="11">
        <f>6.7755 * CHOOSE(CONTROL!$C$32, $C$9, 100%, $E$9)</f>
        <v>6.7755000000000001</v>
      </c>
      <c r="J91" s="11">
        <f>6.7713 * CHOOSE(CONTROL!$C$32, $C$9, 100%, $E$9)</f>
        <v>6.7713000000000001</v>
      </c>
      <c r="K91" s="11">
        <f>6.7755 * CHOOSE(CONTROL!$C$32, $C$9, 100%, $E$9)</f>
        <v>6.7755000000000001</v>
      </c>
      <c r="L91" s="11">
        <f>4.0621 * CHOOSE(CONTROL!$C$32, $C$9, 100%, $E$9)</f>
        <v>4.0621</v>
      </c>
      <c r="M91" s="11">
        <f>4.0663 * CHOOSE(CONTROL!$C$32, $C$9, 100%, $E$9)</f>
        <v>4.0663</v>
      </c>
      <c r="N91" s="11">
        <f>4.0621 * CHOOSE(CONTROL!$C$32, $C$9, 100%, $E$9)</f>
        <v>4.0621</v>
      </c>
      <c r="O91" s="11">
        <f>4.0663 * CHOOSE(CONTROL!$C$32, $C$9, 100%, $E$9)</f>
        <v>4.0663</v>
      </c>
      <c r="P91" s="14"/>
      <c r="Q91" s="14"/>
      <c r="R91" s="14"/>
    </row>
    <row r="92" spans="1:18" ht="15" x14ac:dyDescent="0.2">
      <c r="A92" s="13">
        <v>43647</v>
      </c>
      <c r="B92" s="9">
        <f>3.243 * CHOOSE(CONTROL!$C$32, $C$9, 100%, $E$9)</f>
        <v>3.2429999999999999</v>
      </c>
      <c r="C92" s="9">
        <f>3.243 * CHOOSE(CONTROL!$C$32, $C$9, 100%, $E$9)</f>
        <v>3.2429999999999999</v>
      </c>
      <c r="D92" s="9">
        <f>3.2442 * CHOOSE(CONTROL!$C$32, $C$9, 100%, $E$9)</f>
        <v>3.2442000000000002</v>
      </c>
      <c r="E92" s="11">
        <f>4.1173 * CHOOSE(CONTROL!$C$32, $C$9, 100%, $E$9)</f>
        <v>4.1173000000000002</v>
      </c>
      <c r="F92" s="11">
        <f>4.1173 * CHOOSE(CONTROL!$C$32, $C$9, 100%, $E$9)</f>
        <v>4.1173000000000002</v>
      </c>
      <c r="G92" s="11">
        <f>4.1215 * CHOOSE(CONTROL!$C$32, $C$9, 100%, $E$9)</f>
        <v>4.1215000000000002</v>
      </c>
      <c r="H92" s="11">
        <f>6.7854 * CHOOSE(CONTROL!$C$32, $C$9, 100%, $E$9)</f>
        <v>6.7854000000000001</v>
      </c>
      <c r="I92" s="11">
        <f>6.7896 * CHOOSE(CONTROL!$C$32, $C$9, 100%, $E$9)</f>
        <v>6.7896000000000001</v>
      </c>
      <c r="J92" s="11">
        <f>6.7854 * CHOOSE(CONTROL!$C$32, $C$9, 100%, $E$9)</f>
        <v>6.7854000000000001</v>
      </c>
      <c r="K92" s="11">
        <f>6.7896 * CHOOSE(CONTROL!$C$32, $C$9, 100%, $E$9)</f>
        <v>6.7896000000000001</v>
      </c>
      <c r="L92" s="11">
        <f>4.1173 * CHOOSE(CONTROL!$C$32, $C$9, 100%, $E$9)</f>
        <v>4.1173000000000002</v>
      </c>
      <c r="M92" s="11">
        <f>4.1215 * CHOOSE(CONTROL!$C$32, $C$9, 100%, $E$9)</f>
        <v>4.1215000000000002</v>
      </c>
      <c r="N92" s="11">
        <f>4.1173 * CHOOSE(CONTROL!$C$32, $C$9, 100%, $E$9)</f>
        <v>4.1173000000000002</v>
      </c>
      <c r="O92" s="11">
        <f>4.1215 * CHOOSE(CONTROL!$C$32, $C$9, 100%, $E$9)</f>
        <v>4.1215000000000002</v>
      </c>
      <c r="P92" s="14"/>
      <c r="Q92" s="14"/>
      <c r="R92" s="14"/>
    </row>
    <row r="93" spans="1:18" ht="15" x14ac:dyDescent="0.2">
      <c r="A93" s="13">
        <v>43678</v>
      </c>
      <c r="B93" s="9">
        <f>3.2497 * CHOOSE(CONTROL!$C$32, $C$9, 100%, $E$9)</f>
        <v>3.2496999999999998</v>
      </c>
      <c r="C93" s="9">
        <f>3.2497 * CHOOSE(CONTROL!$C$32, $C$9, 100%, $E$9)</f>
        <v>3.2496999999999998</v>
      </c>
      <c r="D93" s="9">
        <f>3.2509 * CHOOSE(CONTROL!$C$32, $C$9, 100%, $E$9)</f>
        <v>3.2509000000000001</v>
      </c>
      <c r="E93" s="11">
        <f>4.1217 * CHOOSE(CONTROL!$C$32, $C$9, 100%, $E$9)</f>
        <v>4.1216999999999997</v>
      </c>
      <c r="F93" s="11">
        <f>4.1217 * CHOOSE(CONTROL!$C$32, $C$9, 100%, $E$9)</f>
        <v>4.1216999999999997</v>
      </c>
      <c r="G93" s="11">
        <f>4.1259 * CHOOSE(CONTROL!$C$32, $C$9, 100%, $E$9)</f>
        <v>4.1258999999999997</v>
      </c>
      <c r="H93" s="11">
        <f>6.7995 * CHOOSE(CONTROL!$C$32, $C$9, 100%, $E$9)</f>
        <v>6.7995000000000001</v>
      </c>
      <c r="I93" s="11">
        <f>6.8037 * CHOOSE(CONTROL!$C$32, $C$9, 100%, $E$9)</f>
        <v>6.8037000000000001</v>
      </c>
      <c r="J93" s="11">
        <f>6.7995 * CHOOSE(CONTROL!$C$32, $C$9, 100%, $E$9)</f>
        <v>6.7995000000000001</v>
      </c>
      <c r="K93" s="11">
        <f>6.8037 * CHOOSE(CONTROL!$C$32, $C$9, 100%, $E$9)</f>
        <v>6.8037000000000001</v>
      </c>
      <c r="L93" s="11">
        <f>4.1217 * CHOOSE(CONTROL!$C$32, $C$9, 100%, $E$9)</f>
        <v>4.1216999999999997</v>
      </c>
      <c r="M93" s="11">
        <f>4.1259 * CHOOSE(CONTROL!$C$32, $C$9, 100%, $E$9)</f>
        <v>4.1258999999999997</v>
      </c>
      <c r="N93" s="11">
        <f>4.1217 * CHOOSE(CONTROL!$C$32, $C$9, 100%, $E$9)</f>
        <v>4.1216999999999997</v>
      </c>
      <c r="O93" s="11">
        <f>4.1259 * CHOOSE(CONTROL!$C$32, $C$9, 100%, $E$9)</f>
        <v>4.1258999999999997</v>
      </c>
      <c r="P93" s="14"/>
      <c r="Q93" s="14"/>
      <c r="R93" s="14"/>
    </row>
    <row r="94" spans="1:18" ht="15" x14ac:dyDescent="0.2">
      <c r="A94" s="13">
        <v>43709</v>
      </c>
      <c r="B94" s="9">
        <f>3.2466 * CHOOSE(CONTROL!$C$32, $C$9, 100%, $E$9)</f>
        <v>3.2465999999999999</v>
      </c>
      <c r="C94" s="9">
        <f>3.2466 * CHOOSE(CONTROL!$C$32, $C$9, 100%, $E$9)</f>
        <v>3.2465999999999999</v>
      </c>
      <c r="D94" s="9">
        <f>3.2479 * CHOOSE(CONTROL!$C$32, $C$9, 100%, $E$9)</f>
        <v>3.2479</v>
      </c>
      <c r="E94" s="11">
        <f>4.1197 * CHOOSE(CONTROL!$C$32, $C$9, 100%, $E$9)</f>
        <v>4.1196999999999999</v>
      </c>
      <c r="F94" s="11">
        <f>4.1197 * CHOOSE(CONTROL!$C$32, $C$9, 100%, $E$9)</f>
        <v>4.1196999999999999</v>
      </c>
      <c r="G94" s="11">
        <f>4.1239 * CHOOSE(CONTROL!$C$32, $C$9, 100%, $E$9)</f>
        <v>4.1238999999999999</v>
      </c>
      <c r="H94" s="11">
        <f>6.8137 * CHOOSE(CONTROL!$C$32, $C$9, 100%, $E$9)</f>
        <v>6.8136999999999999</v>
      </c>
      <c r="I94" s="11">
        <f>6.8179 * CHOOSE(CONTROL!$C$32, $C$9, 100%, $E$9)</f>
        <v>6.8178999999999998</v>
      </c>
      <c r="J94" s="11">
        <f>6.8137 * CHOOSE(CONTROL!$C$32, $C$9, 100%, $E$9)</f>
        <v>6.8136999999999999</v>
      </c>
      <c r="K94" s="11">
        <f>6.8179 * CHOOSE(CONTROL!$C$32, $C$9, 100%, $E$9)</f>
        <v>6.8178999999999998</v>
      </c>
      <c r="L94" s="11">
        <f>4.1197 * CHOOSE(CONTROL!$C$32, $C$9, 100%, $E$9)</f>
        <v>4.1196999999999999</v>
      </c>
      <c r="M94" s="11">
        <f>4.1239 * CHOOSE(CONTROL!$C$32, $C$9, 100%, $E$9)</f>
        <v>4.1238999999999999</v>
      </c>
      <c r="N94" s="11">
        <f>4.1197 * CHOOSE(CONTROL!$C$32, $C$9, 100%, $E$9)</f>
        <v>4.1196999999999999</v>
      </c>
      <c r="O94" s="11">
        <f>4.1239 * CHOOSE(CONTROL!$C$32, $C$9, 100%, $E$9)</f>
        <v>4.1238999999999999</v>
      </c>
      <c r="P94" s="14"/>
      <c r="Q94" s="14"/>
      <c r="R94" s="14"/>
    </row>
    <row r="95" spans="1:18" ht="15" x14ac:dyDescent="0.2">
      <c r="A95" s="13">
        <v>43739</v>
      </c>
      <c r="B95" s="9">
        <f>3.239 * CHOOSE(CONTROL!$C$32, $C$9, 100%, $E$9)</f>
        <v>3.2389999999999999</v>
      </c>
      <c r="C95" s="9">
        <f>3.239 * CHOOSE(CONTROL!$C$32, $C$9, 100%, $E$9)</f>
        <v>3.2389999999999999</v>
      </c>
      <c r="D95" s="9">
        <f>3.2399 * CHOOSE(CONTROL!$C$32, $C$9, 100%, $E$9)</f>
        <v>3.2399</v>
      </c>
      <c r="E95" s="11">
        <f>4.113 * CHOOSE(CONTROL!$C$32, $C$9, 100%, $E$9)</f>
        <v>4.1130000000000004</v>
      </c>
      <c r="F95" s="11">
        <f>4.113 * CHOOSE(CONTROL!$C$32, $C$9, 100%, $E$9)</f>
        <v>4.1130000000000004</v>
      </c>
      <c r="G95" s="11">
        <f>4.1163 * CHOOSE(CONTROL!$C$32, $C$9, 100%, $E$9)</f>
        <v>4.1162999999999998</v>
      </c>
      <c r="H95" s="11">
        <f>6.8279 * CHOOSE(CONTROL!$C$32, $C$9, 100%, $E$9)</f>
        <v>6.8278999999999996</v>
      </c>
      <c r="I95" s="11">
        <f>6.8311 * CHOOSE(CONTROL!$C$32, $C$9, 100%, $E$9)</f>
        <v>6.8311000000000002</v>
      </c>
      <c r="J95" s="11">
        <f>6.8279 * CHOOSE(CONTROL!$C$32, $C$9, 100%, $E$9)</f>
        <v>6.8278999999999996</v>
      </c>
      <c r="K95" s="11">
        <f>6.8311 * CHOOSE(CONTROL!$C$32, $C$9, 100%, $E$9)</f>
        <v>6.8311000000000002</v>
      </c>
      <c r="L95" s="11">
        <f>4.113 * CHOOSE(CONTROL!$C$32, $C$9, 100%, $E$9)</f>
        <v>4.1130000000000004</v>
      </c>
      <c r="M95" s="11">
        <f>4.1163 * CHOOSE(CONTROL!$C$32, $C$9, 100%, $E$9)</f>
        <v>4.1162999999999998</v>
      </c>
      <c r="N95" s="11">
        <f>4.113 * CHOOSE(CONTROL!$C$32, $C$9, 100%, $E$9)</f>
        <v>4.1130000000000004</v>
      </c>
      <c r="O95" s="11">
        <f>4.1163 * CHOOSE(CONTROL!$C$32, $C$9, 100%, $E$9)</f>
        <v>4.1162999999999998</v>
      </c>
      <c r="P95" s="14"/>
      <c r="Q95" s="14"/>
      <c r="R95" s="14"/>
    </row>
    <row r="96" spans="1:18" ht="15" x14ac:dyDescent="0.2">
      <c r="A96" s="13">
        <v>43770</v>
      </c>
      <c r="B96" s="9">
        <f>3.242 * CHOOSE(CONTROL!$C$32, $C$9, 100%, $E$9)</f>
        <v>3.242</v>
      </c>
      <c r="C96" s="9">
        <f>3.242 * CHOOSE(CONTROL!$C$32, $C$9, 100%, $E$9)</f>
        <v>3.242</v>
      </c>
      <c r="D96" s="9">
        <f>3.243 * CHOOSE(CONTROL!$C$32, $C$9, 100%, $E$9)</f>
        <v>3.2429999999999999</v>
      </c>
      <c r="E96" s="11">
        <f>4.115 * CHOOSE(CONTROL!$C$32, $C$9, 100%, $E$9)</f>
        <v>4.1150000000000002</v>
      </c>
      <c r="F96" s="11">
        <f>4.115 * CHOOSE(CONTROL!$C$32, $C$9, 100%, $E$9)</f>
        <v>4.1150000000000002</v>
      </c>
      <c r="G96" s="11">
        <f>4.1183 * CHOOSE(CONTROL!$C$32, $C$9, 100%, $E$9)</f>
        <v>4.1182999999999996</v>
      </c>
      <c r="H96" s="11">
        <f>6.8421 * CHOOSE(CONTROL!$C$32, $C$9, 100%, $E$9)</f>
        <v>6.8421000000000003</v>
      </c>
      <c r="I96" s="11">
        <f>6.8453 * CHOOSE(CONTROL!$C$32, $C$9, 100%, $E$9)</f>
        <v>6.8452999999999999</v>
      </c>
      <c r="J96" s="11">
        <f>6.8421 * CHOOSE(CONTROL!$C$32, $C$9, 100%, $E$9)</f>
        <v>6.8421000000000003</v>
      </c>
      <c r="K96" s="11">
        <f>6.8453 * CHOOSE(CONTROL!$C$32, $C$9, 100%, $E$9)</f>
        <v>6.8452999999999999</v>
      </c>
      <c r="L96" s="11">
        <f>4.115 * CHOOSE(CONTROL!$C$32, $C$9, 100%, $E$9)</f>
        <v>4.1150000000000002</v>
      </c>
      <c r="M96" s="11">
        <f>4.1183 * CHOOSE(CONTROL!$C$32, $C$9, 100%, $E$9)</f>
        <v>4.1182999999999996</v>
      </c>
      <c r="N96" s="11">
        <f>4.115 * CHOOSE(CONTROL!$C$32, $C$9, 100%, $E$9)</f>
        <v>4.1150000000000002</v>
      </c>
      <c r="O96" s="11">
        <f>4.1183 * CHOOSE(CONTROL!$C$32, $C$9, 100%, $E$9)</f>
        <v>4.1182999999999996</v>
      </c>
      <c r="P96" s="14"/>
      <c r="Q96" s="14"/>
      <c r="R96" s="14"/>
    </row>
    <row r="97" spans="1:18" ht="15" x14ac:dyDescent="0.2">
      <c r="A97" s="13">
        <v>43800</v>
      </c>
      <c r="B97" s="9">
        <f>3.242 * CHOOSE(CONTROL!$C$32, $C$9, 100%, $E$9)</f>
        <v>3.242</v>
      </c>
      <c r="C97" s="9">
        <f>3.242 * CHOOSE(CONTROL!$C$32, $C$9, 100%, $E$9)</f>
        <v>3.242</v>
      </c>
      <c r="D97" s="9">
        <f>3.243 * CHOOSE(CONTROL!$C$32, $C$9, 100%, $E$9)</f>
        <v>3.2429999999999999</v>
      </c>
      <c r="E97" s="11">
        <f>4.115 * CHOOSE(CONTROL!$C$32, $C$9, 100%, $E$9)</f>
        <v>4.1150000000000002</v>
      </c>
      <c r="F97" s="11">
        <f>4.115 * CHOOSE(CONTROL!$C$32, $C$9, 100%, $E$9)</f>
        <v>4.1150000000000002</v>
      </c>
      <c r="G97" s="11">
        <f>4.1183 * CHOOSE(CONTROL!$C$32, $C$9, 100%, $E$9)</f>
        <v>4.1182999999999996</v>
      </c>
      <c r="H97" s="11">
        <f>6.8564 * CHOOSE(CONTROL!$C$32, $C$9, 100%, $E$9)</f>
        <v>6.8563999999999998</v>
      </c>
      <c r="I97" s="11">
        <f>6.8596 * CHOOSE(CONTROL!$C$32, $C$9, 100%, $E$9)</f>
        <v>6.8596000000000004</v>
      </c>
      <c r="J97" s="11">
        <f>6.8564 * CHOOSE(CONTROL!$C$32, $C$9, 100%, $E$9)</f>
        <v>6.8563999999999998</v>
      </c>
      <c r="K97" s="11">
        <f>6.8596 * CHOOSE(CONTROL!$C$32, $C$9, 100%, $E$9)</f>
        <v>6.8596000000000004</v>
      </c>
      <c r="L97" s="11">
        <f>4.115 * CHOOSE(CONTROL!$C$32, $C$9, 100%, $E$9)</f>
        <v>4.1150000000000002</v>
      </c>
      <c r="M97" s="11">
        <f>4.1183 * CHOOSE(CONTROL!$C$32, $C$9, 100%, $E$9)</f>
        <v>4.1182999999999996</v>
      </c>
      <c r="N97" s="11">
        <f>4.115 * CHOOSE(CONTROL!$C$32, $C$9, 100%, $E$9)</f>
        <v>4.1150000000000002</v>
      </c>
      <c r="O97" s="11">
        <f>4.1183 * CHOOSE(CONTROL!$C$32, $C$9, 100%, $E$9)</f>
        <v>4.1182999999999996</v>
      </c>
      <c r="P97" s="14"/>
      <c r="Q97" s="14"/>
      <c r="R97" s="14"/>
    </row>
    <row r="98" spans="1:18" ht="15" x14ac:dyDescent="0.2">
      <c r="A98" s="13">
        <v>43831</v>
      </c>
      <c r="B98" s="9">
        <f>3.2675 * CHOOSE(CONTROL!$C$32, $C$9, 100%, $E$9)</f>
        <v>3.2675000000000001</v>
      </c>
      <c r="C98" s="9">
        <f>3.2675 * CHOOSE(CONTROL!$C$32, $C$9, 100%, $E$9)</f>
        <v>3.2675000000000001</v>
      </c>
      <c r="D98" s="9">
        <f>3.2684 * CHOOSE(CONTROL!$C$32, $C$9, 100%, $E$9)</f>
        <v>3.2684000000000002</v>
      </c>
      <c r="E98" s="11">
        <f>4.148 * CHOOSE(CONTROL!$C$32, $C$9, 100%, $E$9)</f>
        <v>4.1479999999999997</v>
      </c>
      <c r="F98" s="11">
        <f>4.148 * CHOOSE(CONTROL!$C$32, $C$9, 100%, $E$9)</f>
        <v>4.1479999999999997</v>
      </c>
      <c r="G98" s="11">
        <f>4.1512 * CHOOSE(CONTROL!$C$32, $C$9, 100%, $E$9)</f>
        <v>4.1512000000000002</v>
      </c>
      <c r="H98" s="11">
        <f>6.8706 * CHOOSE(CONTROL!$C$32, $C$9, 100%, $E$9)</f>
        <v>6.8705999999999996</v>
      </c>
      <c r="I98" s="11">
        <f>6.8739 * CHOOSE(CONTROL!$C$32, $C$9, 100%, $E$9)</f>
        <v>6.8738999999999999</v>
      </c>
      <c r="J98" s="11">
        <f>6.8706 * CHOOSE(CONTROL!$C$32, $C$9, 100%, $E$9)</f>
        <v>6.8705999999999996</v>
      </c>
      <c r="K98" s="11">
        <f>6.8739 * CHOOSE(CONTROL!$C$32, $C$9, 100%, $E$9)</f>
        <v>6.8738999999999999</v>
      </c>
      <c r="L98" s="11">
        <f>4.148 * CHOOSE(CONTROL!$C$32, $C$9, 100%, $E$9)</f>
        <v>4.1479999999999997</v>
      </c>
      <c r="M98" s="11">
        <f>4.1512 * CHOOSE(CONTROL!$C$32, $C$9, 100%, $E$9)</f>
        <v>4.1512000000000002</v>
      </c>
      <c r="N98" s="11">
        <f>4.148 * CHOOSE(CONTROL!$C$32, $C$9, 100%, $E$9)</f>
        <v>4.1479999999999997</v>
      </c>
      <c r="O98" s="11">
        <f>4.1512 * CHOOSE(CONTROL!$C$32, $C$9, 100%, $E$9)</f>
        <v>4.1512000000000002</v>
      </c>
      <c r="P98" s="14"/>
      <c r="Q98" s="14"/>
      <c r="R98" s="14"/>
    </row>
    <row r="99" spans="1:18" ht="15" x14ac:dyDescent="0.2">
      <c r="A99" s="13">
        <v>43862</v>
      </c>
      <c r="B99" s="9">
        <f>3.2644 * CHOOSE(CONTROL!$C$32, $C$9, 100%, $E$9)</f>
        <v>3.2644000000000002</v>
      </c>
      <c r="C99" s="9">
        <f>3.2644 * CHOOSE(CONTROL!$C$32, $C$9, 100%, $E$9)</f>
        <v>3.2644000000000002</v>
      </c>
      <c r="D99" s="9">
        <f>3.2654 * CHOOSE(CONTROL!$C$32, $C$9, 100%, $E$9)</f>
        <v>3.2654000000000001</v>
      </c>
      <c r="E99" s="11">
        <f>4.146 * CHOOSE(CONTROL!$C$32, $C$9, 100%, $E$9)</f>
        <v>4.1459999999999999</v>
      </c>
      <c r="F99" s="11">
        <f>4.146 * CHOOSE(CONTROL!$C$32, $C$9, 100%, $E$9)</f>
        <v>4.1459999999999999</v>
      </c>
      <c r="G99" s="11">
        <f>4.1492 * CHOOSE(CONTROL!$C$32, $C$9, 100%, $E$9)</f>
        <v>4.1492000000000004</v>
      </c>
      <c r="H99" s="11">
        <f>6.885 * CHOOSE(CONTROL!$C$32, $C$9, 100%, $E$9)</f>
        <v>6.8849999999999998</v>
      </c>
      <c r="I99" s="11">
        <f>6.8882 * CHOOSE(CONTROL!$C$32, $C$9, 100%, $E$9)</f>
        <v>6.8882000000000003</v>
      </c>
      <c r="J99" s="11">
        <f>6.885 * CHOOSE(CONTROL!$C$32, $C$9, 100%, $E$9)</f>
        <v>6.8849999999999998</v>
      </c>
      <c r="K99" s="11">
        <f>6.8882 * CHOOSE(CONTROL!$C$32, $C$9, 100%, $E$9)</f>
        <v>6.8882000000000003</v>
      </c>
      <c r="L99" s="11">
        <f>4.146 * CHOOSE(CONTROL!$C$32, $C$9, 100%, $E$9)</f>
        <v>4.1459999999999999</v>
      </c>
      <c r="M99" s="11">
        <f>4.1492 * CHOOSE(CONTROL!$C$32, $C$9, 100%, $E$9)</f>
        <v>4.1492000000000004</v>
      </c>
      <c r="N99" s="11">
        <f>4.146 * CHOOSE(CONTROL!$C$32, $C$9, 100%, $E$9)</f>
        <v>4.1459999999999999</v>
      </c>
      <c r="O99" s="11">
        <f>4.1492 * CHOOSE(CONTROL!$C$32, $C$9, 100%, $E$9)</f>
        <v>4.1492000000000004</v>
      </c>
      <c r="P99" s="14"/>
      <c r="Q99" s="14"/>
      <c r="R99" s="14"/>
    </row>
    <row r="100" spans="1:18" ht="15" x14ac:dyDescent="0.2">
      <c r="A100" s="13">
        <v>43891</v>
      </c>
      <c r="B100" s="9">
        <f>3.2614 * CHOOSE(CONTROL!$C$32, $C$9, 100%, $E$9)</f>
        <v>3.2614000000000001</v>
      </c>
      <c r="C100" s="9">
        <f>3.2614 * CHOOSE(CONTROL!$C$32, $C$9, 100%, $E$9)</f>
        <v>3.2614000000000001</v>
      </c>
      <c r="D100" s="9">
        <f>3.2624 * CHOOSE(CONTROL!$C$32, $C$9, 100%, $E$9)</f>
        <v>3.2624</v>
      </c>
      <c r="E100" s="11">
        <f>4.144 * CHOOSE(CONTROL!$C$32, $C$9, 100%, $E$9)</f>
        <v>4.1440000000000001</v>
      </c>
      <c r="F100" s="11">
        <f>4.144 * CHOOSE(CONTROL!$C$32, $C$9, 100%, $E$9)</f>
        <v>4.1440000000000001</v>
      </c>
      <c r="G100" s="11">
        <f>4.1472 * CHOOSE(CONTROL!$C$32, $C$9, 100%, $E$9)</f>
        <v>4.1471999999999998</v>
      </c>
      <c r="H100" s="11">
        <f>6.8993 * CHOOSE(CONTROL!$C$32, $C$9, 100%, $E$9)</f>
        <v>6.8993000000000002</v>
      </c>
      <c r="I100" s="11">
        <f>6.9025 * CHOOSE(CONTROL!$C$32, $C$9, 100%, $E$9)</f>
        <v>6.9024999999999999</v>
      </c>
      <c r="J100" s="11">
        <f>6.8993 * CHOOSE(CONTROL!$C$32, $C$9, 100%, $E$9)</f>
        <v>6.8993000000000002</v>
      </c>
      <c r="K100" s="11">
        <f>6.9025 * CHOOSE(CONTROL!$C$32, $C$9, 100%, $E$9)</f>
        <v>6.9024999999999999</v>
      </c>
      <c r="L100" s="11">
        <f>4.144 * CHOOSE(CONTROL!$C$32, $C$9, 100%, $E$9)</f>
        <v>4.1440000000000001</v>
      </c>
      <c r="M100" s="11">
        <f>4.1472 * CHOOSE(CONTROL!$C$32, $C$9, 100%, $E$9)</f>
        <v>4.1471999999999998</v>
      </c>
      <c r="N100" s="11">
        <f>4.144 * CHOOSE(CONTROL!$C$32, $C$9, 100%, $E$9)</f>
        <v>4.1440000000000001</v>
      </c>
      <c r="O100" s="11">
        <f>4.1472 * CHOOSE(CONTROL!$C$32, $C$9, 100%, $E$9)</f>
        <v>4.1471999999999998</v>
      </c>
      <c r="P100" s="14"/>
      <c r="Q100" s="14"/>
      <c r="R100" s="14"/>
    </row>
    <row r="101" spans="1:18" ht="15" x14ac:dyDescent="0.2">
      <c r="A101" s="13">
        <v>43922</v>
      </c>
      <c r="B101" s="9">
        <f>3.2584 * CHOOSE(CONTROL!$C$32, $C$9, 100%, $E$9)</f>
        <v>3.2584</v>
      </c>
      <c r="C101" s="9">
        <f>3.2584 * CHOOSE(CONTROL!$C$32, $C$9, 100%, $E$9)</f>
        <v>3.2584</v>
      </c>
      <c r="D101" s="9">
        <f>3.2593 * CHOOSE(CONTROL!$C$32, $C$9, 100%, $E$9)</f>
        <v>3.2593000000000001</v>
      </c>
      <c r="E101" s="11">
        <f>4.1415 * CHOOSE(CONTROL!$C$32, $C$9, 100%, $E$9)</f>
        <v>4.1414999999999997</v>
      </c>
      <c r="F101" s="11">
        <f>4.1415 * CHOOSE(CONTROL!$C$32, $C$9, 100%, $E$9)</f>
        <v>4.1414999999999997</v>
      </c>
      <c r="G101" s="11">
        <f>4.1448 * CHOOSE(CONTROL!$C$32, $C$9, 100%, $E$9)</f>
        <v>4.1448</v>
      </c>
      <c r="H101" s="11">
        <f>6.9137 * CHOOSE(CONTROL!$C$32, $C$9, 100%, $E$9)</f>
        <v>6.9137000000000004</v>
      </c>
      <c r="I101" s="11">
        <f>6.9169 * CHOOSE(CONTROL!$C$32, $C$9, 100%, $E$9)</f>
        <v>6.9169</v>
      </c>
      <c r="J101" s="11">
        <f>6.9137 * CHOOSE(CONTROL!$C$32, $C$9, 100%, $E$9)</f>
        <v>6.9137000000000004</v>
      </c>
      <c r="K101" s="11">
        <f>6.9169 * CHOOSE(CONTROL!$C$32, $C$9, 100%, $E$9)</f>
        <v>6.9169</v>
      </c>
      <c r="L101" s="11">
        <f>4.1415 * CHOOSE(CONTROL!$C$32, $C$9, 100%, $E$9)</f>
        <v>4.1414999999999997</v>
      </c>
      <c r="M101" s="11">
        <f>4.1448 * CHOOSE(CONTROL!$C$32, $C$9, 100%, $E$9)</f>
        <v>4.1448</v>
      </c>
      <c r="N101" s="11">
        <f>4.1415 * CHOOSE(CONTROL!$C$32, $C$9, 100%, $E$9)</f>
        <v>4.1414999999999997</v>
      </c>
      <c r="O101" s="11">
        <f>4.1448 * CHOOSE(CONTROL!$C$32, $C$9, 100%, $E$9)</f>
        <v>4.1448</v>
      </c>
      <c r="P101" s="14"/>
      <c r="Q101" s="14"/>
      <c r="R101" s="14"/>
    </row>
    <row r="102" spans="1:18" ht="15" x14ac:dyDescent="0.2">
      <c r="A102" s="13">
        <v>43952</v>
      </c>
      <c r="B102" s="9">
        <f>3.2584 * CHOOSE(CONTROL!$C$32, $C$9, 100%, $E$9)</f>
        <v>3.2584</v>
      </c>
      <c r="C102" s="9">
        <f>3.2584 * CHOOSE(CONTROL!$C$32, $C$9, 100%, $E$9)</f>
        <v>3.2584</v>
      </c>
      <c r="D102" s="9">
        <f>3.2596 * CHOOSE(CONTROL!$C$32, $C$9, 100%, $E$9)</f>
        <v>3.2595999999999998</v>
      </c>
      <c r="E102" s="11">
        <f>4.1415 * CHOOSE(CONTROL!$C$32, $C$9, 100%, $E$9)</f>
        <v>4.1414999999999997</v>
      </c>
      <c r="F102" s="11">
        <f>4.1415 * CHOOSE(CONTROL!$C$32, $C$9, 100%, $E$9)</f>
        <v>4.1414999999999997</v>
      </c>
      <c r="G102" s="11">
        <f>4.1457 * CHOOSE(CONTROL!$C$32, $C$9, 100%, $E$9)</f>
        <v>4.1456999999999997</v>
      </c>
      <c r="H102" s="11">
        <f>6.9281 * CHOOSE(CONTROL!$C$32, $C$9, 100%, $E$9)</f>
        <v>6.9280999999999997</v>
      </c>
      <c r="I102" s="11">
        <f>6.9323 * CHOOSE(CONTROL!$C$32, $C$9, 100%, $E$9)</f>
        <v>6.9322999999999997</v>
      </c>
      <c r="J102" s="11">
        <f>6.9281 * CHOOSE(CONTROL!$C$32, $C$9, 100%, $E$9)</f>
        <v>6.9280999999999997</v>
      </c>
      <c r="K102" s="11">
        <f>6.9323 * CHOOSE(CONTROL!$C$32, $C$9, 100%, $E$9)</f>
        <v>6.9322999999999997</v>
      </c>
      <c r="L102" s="11">
        <f>4.1415 * CHOOSE(CONTROL!$C$32, $C$9, 100%, $E$9)</f>
        <v>4.1414999999999997</v>
      </c>
      <c r="M102" s="11">
        <f>4.1457 * CHOOSE(CONTROL!$C$32, $C$9, 100%, $E$9)</f>
        <v>4.1456999999999997</v>
      </c>
      <c r="N102" s="11">
        <f>4.1415 * CHOOSE(CONTROL!$C$32, $C$9, 100%, $E$9)</f>
        <v>4.1414999999999997</v>
      </c>
      <c r="O102" s="11">
        <f>4.1457 * CHOOSE(CONTROL!$C$32, $C$9, 100%, $E$9)</f>
        <v>4.1456999999999997</v>
      </c>
      <c r="P102" s="14"/>
      <c r="Q102" s="14"/>
      <c r="R102" s="14"/>
    </row>
    <row r="103" spans="1:18" ht="15" x14ac:dyDescent="0.2">
      <c r="A103" s="13">
        <v>43983</v>
      </c>
      <c r="B103" s="9">
        <f>3.2644 * CHOOSE(CONTROL!$C$32, $C$9, 100%, $E$9)</f>
        <v>3.2644000000000002</v>
      </c>
      <c r="C103" s="9">
        <f>3.2644 * CHOOSE(CONTROL!$C$32, $C$9, 100%, $E$9)</f>
        <v>3.2644000000000002</v>
      </c>
      <c r="D103" s="9">
        <f>3.2657 * CHOOSE(CONTROL!$C$32, $C$9, 100%, $E$9)</f>
        <v>3.2656999999999998</v>
      </c>
      <c r="E103" s="11">
        <f>4.1455 * CHOOSE(CONTROL!$C$32, $C$9, 100%, $E$9)</f>
        <v>4.1455000000000002</v>
      </c>
      <c r="F103" s="11">
        <f>4.1455 * CHOOSE(CONTROL!$C$32, $C$9, 100%, $E$9)</f>
        <v>4.1455000000000002</v>
      </c>
      <c r="G103" s="11">
        <f>4.1497 * CHOOSE(CONTROL!$C$32, $C$9, 100%, $E$9)</f>
        <v>4.1497000000000002</v>
      </c>
      <c r="H103" s="11">
        <f>6.9425 * CHOOSE(CONTROL!$C$32, $C$9, 100%, $E$9)</f>
        <v>6.9424999999999999</v>
      </c>
      <c r="I103" s="11">
        <f>6.9467 * CHOOSE(CONTROL!$C$32, $C$9, 100%, $E$9)</f>
        <v>6.9466999999999999</v>
      </c>
      <c r="J103" s="11">
        <f>6.9425 * CHOOSE(CONTROL!$C$32, $C$9, 100%, $E$9)</f>
        <v>6.9424999999999999</v>
      </c>
      <c r="K103" s="11">
        <f>6.9467 * CHOOSE(CONTROL!$C$32, $C$9, 100%, $E$9)</f>
        <v>6.9466999999999999</v>
      </c>
      <c r="L103" s="11">
        <f>4.1455 * CHOOSE(CONTROL!$C$32, $C$9, 100%, $E$9)</f>
        <v>4.1455000000000002</v>
      </c>
      <c r="M103" s="11">
        <f>4.1497 * CHOOSE(CONTROL!$C$32, $C$9, 100%, $E$9)</f>
        <v>4.1497000000000002</v>
      </c>
      <c r="N103" s="11">
        <f>4.1455 * CHOOSE(CONTROL!$C$32, $C$9, 100%, $E$9)</f>
        <v>4.1455000000000002</v>
      </c>
      <c r="O103" s="11">
        <f>4.1497 * CHOOSE(CONTROL!$C$32, $C$9, 100%, $E$9)</f>
        <v>4.1497000000000002</v>
      </c>
      <c r="P103" s="14"/>
      <c r="Q103" s="14"/>
      <c r="R103" s="14"/>
    </row>
    <row r="104" spans="1:18" ht="15" x14ac:dyDescent="0.2">
      <c r="A104" s="13">
        <v>44013</v>
      </c>
      <c r="B104" s="9">
        <f>3.3098 * CHOOSE(CONTROL!$C$32, $C$9, 100%, $E$9)</f>
        <v>3.3098000000000001</v>
      </c>
      <c r="C104" s="9">
        <f>3.3098 * CHOOSE(CONTROL!$C$32, $C$9, 100%, $E$9)</f>
        <v>3.3098000000000001</v>
      </c>
      <c r="D104" s="9">
        <f>3.3111 * CHOOSE(CONTROL!$C$32, $C$9, 100%, $E$9)</f>
        <v>3.3111000000000002</v>
      </c>
      <c r="E104" s="11">
        <f>4.2176 * CHOOSE(CONTROL!$C$32, $C$9, 100%, $E$9)</f>
        <v>4.2176</v>
      </c>
      <c r="F104" s="11">
        <f>4.2176 * CHOOSE(CONTROL!$C$32, $C$9, 100%, $E$9)</f>
        <v>4.2176</v>
      </c>
      <c r="G104" s="11">
        <f>4.2218 * CHOOSE(CONTROL!$C$32, $C$9, 100%, $E$9)</f>
        <v>4.2218</v>
      </c>
      <c r="H104" s="11">
        <f>6.957 * CHOOSE(CONTROL!$C$32, $C$9, 100%, $E$9)</f>
        <v>6.9569999999999999</v>
      </c>
      <c r="I104" s="11">
        <f>6.9612 * CHOOSE(CONTROL!$C$32, $C$9, 100%, $E$9)</f>
        <v>6.9611999999999998</v>
      </c>
      <c r="J104" s="11">
        <f>6.957 * CHOOSE(CONTROL!$C$32, $C$9, 100%, $E$9)</f>
        <v>6.9569999999999999</v>
      </c>
      <c r="K104" s="11">
        <f>6.9612 * CHOOSE(CONTROL!$C$32, $C$9, 100%, $E$9)</f>
        <v>6.9611999999999998</v>
      </c>
      <c r="L104" s="11">
        <f>4.2176 * CHOOSE(CONTROL!$C$32, $C$9, 100%, $E$9)</f>
        <v>4.2176</v>
      </c>
      <c r="M104" s="11">
        <f>4.2218 * CHOOSE(CONTROL!$C$32, $C$9, 100%, $E$9)</f>
        <v>4.2218</v>
      </c>
      <c r="N104" s="11">
        <f>4.2176 * CHOOSE(CONTROL!$C$32, $C$9, 100%, $E$9)</f>
        <v>4.2176</v>
      </c>
      <c r="O104" s="11">
        <f>4.2218 * CHOOSE(CONTROL!$C$32, $C$9, 100%, $E$9)</f>
        <v>4.2218</v>
      </c>
      <c r="P104" s="14"/>
      <c r="Q104" s="14"/>
      <c r="R104" s="14"/>
    </row>
    <row r="105" spans="1:18" ht="15" x14ac:dyDescent="0.2">
      <c r="A105" s="13">
        <v>44044</v>
      </c>
      <c r="B105" s="9">
        <f>3.3165 * CHOOSE(CONTROL!$C$32, $C$9, 100%, $E$9)</f>
        <v>3.3165</v>
      </c>
      <c r="C105" s="9">
        <f>3.3165 * CHOOSE(CONTROL!$C$32, $C$9, 100%, $E$9)</f>
        <v>3.3165</v>
      </c>
      <c r="D105" s="9">
        <f>3.3178 * CHOOSE(CONTROL!$C$32, $C$9, 100%, $E$9)</f>
        <v>3.3178000000000001</v>
      </c>
      <c r="E105" s="11">
        <f>4.222 * CHOOSE(CONTROL!$C$32, $C$9, 100%, $E$9)</f>
        <v>4.2220000000000004</v>
      </c>
      <c r="F105" s="11">
        <f>4.222 * CHOOSE(CONTROL!$C$32, $C$9, 100%, $E$9)</f>
        <v>4.2220000000000004</v>
      </c>
      <c r="G105" s="11">
        <f>4.2262 * CHOOSE(CONTROL!$C$32, $C$9, 100%, $E$9)</f>
        <v>4.2262000000000004</v>
      </c>
      <c r="H105" s="11">
        <f>6.9715 * CHOOSE(CONTROL!$C$32, $C$9, 100%, $E$9)</f>
        <v>6.9714999999999998</v>
      </c>
      <c r="I105" s="11">
        <f>6.9757 * CHOOSE(CONTROL!$C$32, $C$9, 100%, $E$9)</f>
        <v>6.9756999999999998</v>
      </c>
      <c r="J105" s="11">
        <f>6.9715 * CHOOSE(CONTROL!$C$32, $C$9, 100%, $E$9)</f>
        <v>6.9714999999999998</v>
      </c>
      <c r="K105" s="11">
        <f>6.9757 * CHOOSE(CONTROL!$C$32, $C$9, 100%, $E$9)</f>
        <v>6.9756999999999998</v>
      </c>
      <c r="L105" s="11">
        <f>4.222 * CHOOSE(CONTROL!$C$32, $C$9, 100%, $E$9)</f>
        <v>4.2220000000000004</v>
      </c>
      <c r="M105" s="11">
        <f>4.2262 * CHOOSE(CONTROL!$C$32, $C$9, 100%, $E$9)</f>
        <v>4.2262000000000004</v>
      </c>
      <c r="N105" s="11">
        <f>4.222 * CHOOSE(CONTROL!$C$32, $C$9, 100%, $E$9)</f>
        <v>4.2220000000000004</v>
      </c>
      <c r="O105" s="11">
        <f>4.2262 * CHOOSE(CONTROL!$C$32, $C$9, 100%, $E$9)</f>
        <v>4.2262000000000004</v>
      </c>
      <c r="P105" s="14"/>
      <c r="Q105" s="14"/>
      <c r="R105" s="14"/>
    </row>
    <row r="106" spans="1:18" ht="15" x14ac:dyDescent="0.2">
      <c r="A106" s="13">
        <v>44075</v>
      </c>
      <c r="B106" s="9">
        <f>3.3135 * CHOOSE(CONTROL!$C$32, $C$9, 100%, $E$9)</f>
        <v>3.3134999999999999</v>
      </c>
      <c r="C106" s="9">
        <f>3.3135 * CHOOSE(CONTROL!$C$32, $C$9, 100%, $E$9)</f>
        <v>3.3134999999999999</v>
      </c>
      <c r="D106" s="9">
        <f>3.3147 * CHOOSE(CONTROL!$C$32, $C$9, 100%, $E$9)</f>
        <v>3.3147000000000002</v>
      </c>
      <c r="E106" s="11">
        <f>4.22 * CHOOSE(CONTROL!$C$32, $C$9, 100%, $E$9)</f>
        <v>4.22</v>
      </c>
      <c r="F106" s="11">
        <f>4.22 * CHOOSE(CONTROL!$C$32, $C$9, 100%, $E$9)</f>
        <v>4.22</v>
      </c>
      <c r="G106" s="11">
        <f>4.2242 * CHOOSE(CONTROL!$C$32, $C$9, 100%, $E$9)</f>
        <v>4.2241999999999997</v>
      </c>
      <c r="H106" s="11">
        <f>6.986 * CHOOSE(CONTROL!$C$32, $C$9, 100%, $E$9)</f>
        <v>6.9859999999999998</v>
      </c>
      <c r="I106" s="11">
        <f>6.9902 * CHOOSE(CONTROL!$C$32, $C$9, 100%, $E$9)</f>
        <v>6.9901999999999997</v>
      </c>
      <c r="J106" s="11">
        <f>6.986 * CHOOSE(CONTROL!$C$32, $C$9, 100%, $E$9)</f>
        <v>6.9859999999999998</v>
      </c>
      <c r="K106" s="11">
        <f>6.9902 * CHOOSE(CONTROL!$C$32, $C$9, 100%, $E$9)</f>
        <v>6.9901999999999997</v>
      </c>
      <c r="L106" s="11">
        <f>4.22 * CHOOSE(CONTROL!$C$32, $C$9, 100%, $E$9)</f>
        <v>4.22</v>
      </c>
      <c r="M106" s="11">
        <f>4.2242 * CHOOSE(CONTROL!$C$32, $C$9, 100%, $E$9)</f>
        <v>4.2241999999999997</v>
      </c>
      <c r="N106" s="11">
        <f>4.22 * CHOOSE(CONTROL!$C$32, $C$9, 100%, $E$9)</f>
        <v>4.22</v>
      </c>
      <c r="O106" s="11">
        <f>4.2242 * CHOOSE(CONTROL!$C$32, $C$9, 100%, $E$9)</f>
        <v>4.2241999999999997</v>
      </c>
      <c r="P106" s="14"/>
      <c r="Q106" s="14"/>
      <c r="R106" s="14"/>
    </row>
    <row r="107" spans="1:18" ht="15" x14ac:dyDescent="0.2">
      <c r="A107" s="13">
        <v>44105</v>
      </c>
      <c r="B107" s="9">
        <f>3.3061 * CHOOSE(CONTROL!$C$32, $C$9, 100%, $E$9)</f>
        <v>3.3060999999999998</v>
      </c>
      <c r="C107" s="9">
        <f>3.3061 * CHOOSE(CONTROL!$C$32, $C$9, 100%, $E$9)</f>
        <v>3.3060999999999998</v>
      </c>
      <c r="D107" s="9">
        <f>3.3071 * CHOOSE(CONTROL!$C$32, $C$9, 100%, $E$9)</f>
        <v>3.3071000000000002</v>
      </c>
      <c r="E107" s="11">
        <f>4.2135 * CHOOSE(CONTROL!$C$32, $C$9, 100%, $E$9)</f>
        <v>4.2134999999999998</v>
      </c>
      <c r="F107" s="11">
        <f>4.2135 * CHOOSE(CONTROL!$C$32, $C$9, 100%, $E$9)</f>
        <v>4.2134999999999998</v>
      </c>
      <c r="G107" s="11">
        <f>4.2167 * CHOOSE(CONTROL!$C$32, $C$9, 100%, $E$9)</f>
        <v>4.2167000000000003</v>
      </c>
      <c r="H107" s="11">
        <f>7.0005 * CHOOSE(CONTROL!$C$32, $C$9, 100%, $E$9)</f>
        <v>7.0004999999999997</v>
      </c>
      <c r="I107" s="11">
        <f>7.0038 * CHOOSE(CONTROL!$C$32, $C$9, 100%, $E$9)</f>
        <v>7.0038</v>
      </c>
      <c r="J107" s="11">
        <f>7.0005 * CHOOSE(CONTROL!$C$32, $C$9, 100%, $E$9)</f>
        <v>7.0004999999999997</v>
      </c>
      <c r="K107" s="11">
        <f>7.0038 * CHOOSE(CONTROL!$C$32, $C$9, 100%, $E$9)</f>
        <v>7.0038</v>
      </c>
      <c r="L107" s="11">
        <f>4.2135 * CHOOSE(CONTROL!$C$32, $C$9, 100%, $E$9)</f>
        <v>4.2134999999999998</v>
      </c>
      <c r="M107" s="11">
        <f>4.2167 * CHOOSE(CONTROL!$C$32, $C$9, 100%, $E$9)</f>
        <v>4.2167000000000003</v>
      </c>
      <c r="N107" s="11">
        <f>4.2135 * CHOOSE(CONTROL!$C$32, $C$9, 100%, $E$9)</f>
        <v>4.2134999999999998</v>
      </c>
      <c r="O107" s="11">
        <f>4.2167 * CHOOSE(CONTROL!$C$32, $C$9, 100%, $E$9)</f>
        <v>4.2167000000000003</v>
      </c>
      <c r="P107" s="14"/>
      <c r="Q107" s="14"/>
      <c r="R107" s="14"/>
    </row>
    <row r="108" spans="1:18" ht="15" x14ac:dyDescent="0.2">
      <c r="A108" s="13">
        <v>44136</v>
      </c>
      <c r="B108" s="9">
        <f>3.3092 * CHOOSE(CONTROL!$C$32, $C$9, 100%, $E$9)</f>
        <v>3.3092000000000001</v>
      </c>
      <c r="C108" s="9">
        <f>3.3092 * CHOOSE(CONTROL!$C$32, $C$9, 100%, $E$9)</f>
        <v>3.3092000000000001</v>
      </c>
      <c r="D108" s="9">
        <f>3.3101 * CHOOSE(CONTROL!$C$32, $C$9, 100%, $E$9)</f>
        <v>3.3100999999999998</v>
      </c>
      <c r="E108" s="11">
        <f>4.2155 * CHOOSE(CONTROL!$C$32, $C$9, 100%, $E$9)</f>
        <v>4.2154999999999996</v>
      </c>
      <c r="F108" s="11">
        <f>4.2155 * CHOOSE(CONTROL!$C$32, $C$9, 100%, $E$9)</f>
        <v>4.2154999999999996</v>
      </c>
      <c r="G108" s="11">
        <f>4.2187 * CHOOSE(CONTROL!$C$32, $C$9, 100%, $E$9)</f>
        <v>4.2187000000000001</v>
      </c>
      <c r="H108" s="11">
        <f>7.0151 * CHOOSE(CONTROL!$C$32, $C$9, 100%, $E$9)</f>
        <v>7.0151000000000003</v>
      </c>
      <c r="I108" s="11">
        <f>7.0184 * CHOOSE(CONTROL!$C$32, $C$9, 100%, $E$9)</f>
        <v>7.0183999999999997</v>
      </c>
      <c r="J108" s="11">
        <f>7.0151 * CHOOSE(CONTROL!$C$32, $C$9, 100%, $E$9)</f>
        <v>7.0151000000000003</v>
      </c>
      <c r="K108" s="11">
        <f>7.0184 * CHOOSE(CONTROL!$C$32, $C$9, 100%, $E$9)</f>
        <v>7.0183999999999997</v>
      </c>
      <c r="L108" s="11">
        <f>4.2155 * CHOOSE(CONTROL!$C$32, $C$9, 100%, $E$9)</f>
        <v>4.2154999999999996</v>
      </c>
      <c r="M108" s="11">
        <f>4.2187 * CHOOSE(CONTROL!$C$32, $C$9, 100%, $E$9)</f>
        <v>4.2187000000000001</v>
      </c>
      <c r="N108" s="11">
        <f>4.2155 * CHOOSE(CONTROL!$C$32, $C$9, 100%, $E$9)</f>
        <v>4.2154999999999996</v>
      </c>
      <c r="O108" s="11">
        <f>4.2187 * CHOOSE(CONTROL!$C$32, $C$9, 100%, $E$9)</f>
        <v>4.2187000000000001</v>
      </c>
      <c r="P108" s="14"/>
      <c r="Q108" s="14"/>
      <c r="R108" s="14"/>
    </row>
    <row r="109" spans="1:18" ht="15" x14ac:dyDescent="0.2">
      <c r="A109" s="13">
        <v>44166</v>
      </c>
      <c r="B109" s="9">
        <f>3.3092 * CHOOSE(CONTROL!$C$32, $C$9, 100%, $E$9)</f>
        <v>3.3092000000000001</v>
      </c>
      <c r="C109" s="9">
        <f>3.3092 * CHOOSE(CONTROL!$C$32, $C$9, 100%, $E$9)</f>
        <v>3.3092000000000001</v>
      </c>
      <c r="D109" s="9">
        <f>3.3101 * CHOOSE(CONTROL!$C$32, $C$9, 100%, $E$9)</f>
        <v>3.3100999999999998</v>
      </c>
      <c r="E109" s="11">
        <f>4.2155 * CHOOSE(CONTROL!$C$32, $C$9, 100%, $E$9)</f>
        <v>4.2154999999999996</v>
      </c>
      <c r="F109" s="11">
        <f>4.2155 * CHOOSE(CONTROL!$C$32, $C$9, 100%, $E$9)</f>
        <v>4.2154999999999996</v>
      </c>
      <c r="G109" s="11">
        <f>4.2187 * CHOOSE(CONTROL!$C$32, $C$9, 100%, $E$9)</f>
        <v>4.2187000000000001</v>
      </c>
      <c r="H109" s="11">
        <f>7.0297 * CHOOSE(CONTROL!$C$32, $C$9, 100%, $E$9)</f>
        <v>7.0297000000000001</v>
      </c>
      <c r="I109" s="11">
        <f>7.033 * CHOOSE(CONTROL!$C$32, $C$9, 100%, $E$9)</f>
        <v>7.0330000000000004</v>
      </c>
      <c r="J109" s="11">
        <f>7.0297 * CHOOSE(CONTROL!$C$32, $C$9, 100%, $E$9)</f>
        <v>7.0297000000000001</v>
      </c>
      <c r="K109" s="11">
        <f>7.033 * CHOOSE(CONTROL!$C$32, $C$9, 100%, $E$9)</f>
        <v>7.0330000000000004</v>
      </c>
      <c r="L109" s="11">
        <f>4.2155 * CHOOSE(CONTROL!$C$32, $C$9, 100%, $E$9)</f>
        <v>4.2154999999999996</v>
      </c>
      <c r="M109" s="11">
        <f>4.2187 * CHOOSE(CONTROL!$C$32, $C$9, 100%, $E$9)</f>
        <v>4.2187000000000001</v>
      </c>
      <c r="N109" s="11">
        <f>4.2155 * CHOOSE(CONTROL!$C$32, $C$9, 100%, $E$9)</f>
        <v>4.2154999999999996</v>
      </c>
      <c r="O109" s="11">
        <f>4.2187 * CHOOSE(CONTROL!$C$32, $C$9, 100%, $E$9)</f>
        <v>4.2187000000000001</v>
      </c>
      <c r="P109" s="14"/>
      <c r="Q109" s="14"/>
      <c r="R109" s="14"/>
    </row>
    <row r="110" spans="1:18" ht="15" x14ac:dyDescent="0.2">
      <c r="A110" s="13">
        <v>44197</v>
      </c>
      <c r="B110" s="9">
        <f>3.3407 * CHOOSE(CONTROL!$C$32, $C$9, 100%, $E$9)</f>
        <v>3.3407</v>
      </c>
      <c r="C110" s="9">
        <f>3.3407 * CHOOSE(CONTROL!$C$32, $C$9, 100%, $E$9)</f>
        <v>3.3407</v>
      </c>
      <c r="D110" s="9">
        <f>3.3416 * CHOOSE(CONTROL!$C$32, $C$9, 100%, $E$9)</f>
        <v>3.3416000000000001</v>
      </c>
      <c r="E110" s="11">
        <f>4.2457 * CHOOSE(CONTROL!$C$32, $C$9, 100%, $E$9)</f>
        <v>4.2457000000000003</v>
      </c>
      <c r="F110" s="11">
        <f>4.2457 * CHOOSE(CONTROL!$C$32, $C$9, 100%, $E$9)</f>
        <v>4.2457000000000003</v>
      </c>
      <c r="G110" s="11">
        <f>4.249 * CHOOSE(CONTROL!$C$32, $C$9, 100%, $E$9)</f>
        <v>4.2489999999999997</v>
      </c>
      <c r="H110" s="11">
        <f>7.0444 * CHOOSE(CONTROL!$C$32, $C$9, 100%, $E$9)</f>
        <v>7.0444000000000004</v>
      </c>
      <c r="I110" s="11">
        <f>7.0476 * CHOOSE(CONTROL!$C$32, $C$9, 100%, $E$9)</f>
        <v>7.0476000000000001</v>
      </c>
      <c r="J110" s="11">
        <f>7.0444 * CHOOSE(CONTROL!$C$32, $C$9, 100%, $E$9)</f>
        <v>7.0444000000000004</v>
      </c>
      <c r="K110" s="11">
        <f>7.0476 * CHOOSE(CONTROL!$C$32, $C$9, 100%, $E$9)</f>
        <v>7.0476000000000001</v>
      </c>
      <c r="L110" s="11">
        <f>4.2457 * CHOOSE(CONTROL!$C$32, $C$9, 100%, $E$9)</f>
        <v>4.2457000000000003</v>
      </c>
      <c r="M110" s="11">
        <f>4.249 * CHOOSE(CONTROL!$C$32, $C$9, 100%, $E$9)</f>
        <v>4.2489999999999997</v>
      </c>
      <c r="N110" s="11">
        <f>4.2457 * CHOOSE(CONTROL!$C$32, $C$9, 100%, $E$9)</f>
        <v>4.2457000000000003</v>
      </c>
      <c r="O110" s="11">
        <f>4.249 * CHOOSE(CONTROL!$C$32, $C$9, 100%, $E$9)</f>
        <v>4.2489999999999997</v>
      </c>
      <c r="P110" s="14"/>
      <c r="Q110" s="14"/>
      <c r="R110" s="14"/>
    </row>
    <row r="111" spans="1:18" ht="15" x14ac:dyDescent="0.2">
      <c r="A111" s="13">
        <v>44228</v>
      </c>
      <c r="B111" s="9">
        <f>3.3376 * CHOOSE(CONTROL!$C$32, $C$9, 100%, $E$9)</f>
        <v>3.3376000000000001</v>
      </c>
      <c r="C111" s="9">
        <f>3.3376 * CHOOSE(CONTROL!$C$32, $C$9, 100%, $E$9)</f>
        <v>3.3376000000000001</v>
      </c>
      <c r="D111" s="9">
        <f>3.3386 * CHOOSE(CONTROL!$C$32, $C$9, 100%, $E$9)</f>
        <v>3.3386</v>
      </c>
      <c r="E111" s="11">
        <f>4.2437 * CHOOSE(CONTROL!$C$32, $C$9, 100%, $E$9)</f>
        <v>4.2436999999999996</v>
      </c>
      <c r="F111" s="11">
        <f>4.2437 * CHOOSE(CONTROL!$C$32, $C$9, 100%, $E$9)</f>
        <v>4.2436999999999996</v>
      </c>
      <c r="G111" s="11">
        <f>4.247 * CHOOSE(CONTROL!$C$32, $C$9, 100%, $E$9)</f>
        <v>4.2469999999999999</v>
      </c>
      <c r="H111" s="11">
        <f>7.0591 * CHOOSE(CONTROL!$C$32, $C$9, 100%, $E$9)</f>
        <v>7.0590999999999999</v>
      </c>
      <c r="I111" s="11">
        <f>7.0623 * CHOOSE(CONTROL!$C$32, $C$9, 100%, $E$9)</f>
        <v>7.0622999999999996</v>
      </c>
      <c r="J111" s="11">
        <f>7.0591 * CHOOSE(CONTROL!$C$32, $C$9, 100%, $E$9)</f>
        <v>7.0590999999999999</v>
      </c>
      <c r="K111" s="11">
        <f>7.0623 * CHOOSE(CONTROL!$C$32, $C$9, 100%, $E$9)</f>
        <v>7.0622999999999996</v>
      </c>
      <c r="L111" s="11">
        <f>4.2437 * CHOOSE(CONTROL!$C$32, $C$9, 100%, $E$9)</f>
        <v>4.2436999999999996</v>
      </c>
      <c r="M111" s="11">
        <f>4.247 * CHOOSE(CONTROL!$C$32, $C$9, 100%, $E$9)</f>
        <v>4.2469999999999999</v>
      </c>
      <c r="N111" s="11">
        <f>4.2437 * CHOOSE(CONTROL!$C$32, $C$9, 100%, $E$9)</f>
        <v>4.2436999999999996</v>
      </c>
      <c r="O111" s="11">
        <f>4.247 * CHOOSE(CONTROL!$C$32, $C$9, 100%, $E$9)</f>
        <v>4.2469999999999999</v>
      </c>
      <c r="P111" s="14"/>
      <c r="Q111" s="14"/>
      <c r="R111" s="14"/>
    </row>
    <row r="112" spans="1:18" ht="15" x14ac:dyDescent="0.2">
      <c r="A112" s="13">
        <v>44256</v>
      </c>
      <c r="B112" s="9">
        <f>3.3346 * CHOOSE(CONTROL!$C$32, $C$9, 100%, $E$9)</f>
        <v>3.3346</v>
      </c>
      <c r="C112" s="9">
        <f>3.3346 * CHOOSE(CONTROL!$C$32, $C$9, 100%, $E$9)</f>
        <v>3.3346</v>
      </c>
      <c r="D112" s="9">
        <f>3.3355 * CHOOSE(CONTROL!$C$32, $C$9, 100%, $E$9)</f>
        <v>3.3355000000000001</v>
      </c>
      <c r="E112" s="11">
        <f>4.2417 * CHOOSE(CONTROL!$C$32, $C$9, 100%, $E$9)</f>
        <v>4.2416999999999998</v>
      </c>
      <c r="F112" s="11">
        <f>4.2417 * CHOOSE(CONTROL!$C$32, $C$9, 100%, $E$9)</f>
        <v>4.2416999999999998</v>
      </c>
      <c r="G112" s="11">
        <f>4.245 * CHOOSE(CONTROL!$C$32, $C$9, 100%, $E$9)</f>
        <v>4.2450000000000001</v>
      </c>
      <c r="H112" s="11">
        <f>7.0738 * CHOOSE(CONTROL!$C$32, $C$9, 100%, $E$9)</f>
        <v>7.0738000000000003</v>
      </c>
      <c r="I112" s="11">
        <f>7.077 * CHOOSE(CONTROL!$C$32, $C$9, 100%, $E$9)</f>
        <v>7.077</v>
      </c>
      <c r="J112" s="11">
        <f>7.0738 * CHOOSE(CONTROL!$C$32, $C$9, 100%, $E$9)</f>
        <v>7.0738000000000003</v>
      </c>
      <c r="K112" s="11">
        <f>7.077 * CHOOSE(CONTROL!$C$32, $C$9, 100%, $E$9)</f>
        <v>7.077</v>
      </c>
      <c r="L112" s="11">
        <f>4.2417 * CHOOSE(CONTROL!$C$32, $C$9, 100%, $E$9)</f>
        <v>4.2416999999999998</v>
      </c>
      <c r="M112" s="11">
        <f>4.245 * CHOOSE(CONTROL!$C$32, $C$9, 100%, $E$9)</f>
        <v>4.2450000000000001</v>
      </c>
      <c r="N112" s="11">
        <f>4.2417 * CHOOSE(CONTROL!$C$32, $C$9, 100%, $E$9)</f>
        <v>4.2416999999999998</v>
      </c>
      <c r="O112" s="11">
        <f>4.245 * CHOOSE(CONTROL!$C$32, $C$9, 100%, $E$9)</f>
        <v>4.2450000000000001</v>
      </c>
      <c r="P112" s="14"/>
      <c r="Q112" s="14"/>
      <c r="R112" s="14"/>
    </row>
    <row r="113" spans="1:18" ht="15" x14ac:dyDescent="0.2">
      <c r="A113" s="13">
        <v>44287</v>
      </c>
      <c r="B113" s="9">
        <f>3.3316 * CHOOSE(CONTROL!$C$32, $C$9, 100%, $E$9)</f>
        <v>3.3315999999999999</v>
      </c>
      <c r="C113" s="9">
        <f>3.3316 * CHOOSE(CONTROL!$C$32, $C$9, 100%, $E$9)</f>
        <v>3.3315999999999999</v>
      </c>
      <c r="D113" s="9">
        <f>3.3326 * CHOOSE(CONTROL!$C$32, $C$9, 100%, $E$9)</f>
        <v>3.3325999999999998</v>
      </c>
      <c r="E113" s="11">
        <f>4.2394 * CHOOSE(CONTROL!$C$32, $C$9, 100%, $E$9)</f>
        <v>4.2393999999999998</v>
      </c>
      <c r="F113" s="11">
        <f>4.2394 * CHOOSE(CONTROL!$C$32, $C$9, 100%, $E$9)</f>
        <v>4.2393999999999998</v>
      </c>
      <c r="G113" s="11">
        <f>4.2426 * CHOOSE(CONTROL!$C$32, $C$9, 100%, $E$9)</f>
        <v>4.2426000000000004</v>
      </c>
      <c r="H113" s="11">
        <f>7.0885 * CHOOSE(CONTROL!$C$32, $C$9, 100%, $E$9)</f>
        <v>7.0884999999999998</v>
      </c>
      <c r="I113" s="11">
        <f>7.0917 * CHOOSE(CONTROL!$C$32, $C$9, 100%, $E$9)</f>
        <v>7.0917000000000003</v>
      </c>
      <c r="J113" s="11">
        <f>7.0885 * CHOOSE(CONTROL!$C$32, $C$9, 100%, $E$9)</f>
        <v>7.0884999999999998</v>
      </c>
      <c r="K113" s="11">
        <f>7.0917 * CHOOSE(CONTROL!$C$32, $C$9, 100%, $E$9)</f>
        <v>7.0917000000000003</v>
      </c>
      <c r="L113" s="11">
        <f>4.2394 * CHOOSE(CONTROL!$C$32, $C$9, 100%, $E$9)</f>
        <v>4.2393999999999998</v>
      </c>
      <c r="M113" s="11">
        <f>4.2426 * CHOOSE(CONTROL!$C$32, $C$9, 100%, $E$9)</f>
        <v>4.2426000000000004</v>
      </c>
      <c r="N113" s="11">
        <f>4.2394 * CHOOSE(CONTROL!$C$32, $C$9, 100%, $E$9)</f>
        <v>4.2393999999999998</v>
      </c>
      <c r="O113" s="11">
        <f>4.2426 * CHOOSE(CONTROL!$C$32, $C$9, 100%, $E$9)</f>
        <v>4.2426000000000004</v>
      </c>
      <c r="P113" s="14"/>
      <c r="Q113" s="14"/>
      <c r="R113" s="14"/>
    </row>
    <row r="114" spans="1:18" ht="15" x14ac:dyDescent="0.2">
      <c r="A114" s="13">
        <v>44317</v>
      </c>
      <c r="B114" s="9">
        <f>3.3316 * CHOOSE(CONTROL!$C$32, $C$9, 100%, $E$9)</f>
        <v>3.3315999999999999</v>
      </c>
      <c r="C114" s="9">
        <f>3.3316 * CHOOSE(CONTROL!$C$32, $C$9, 100%, $E$9)</f>
        <v>3.3315999999999999</v>
      </c>
      <c r="D114" s="9">
        <f>3.3329 * CHOOSE(CONTROL!$C$32, $C$9, 100%, $E$9)</f>
        <v>3.3329</v>
      </c>
      <c r="E114" s="11">
        <f>4.2394 * CHOOSE(CONTROL!$C$32, $C$9, 100%, $E$9)</f>
        <v>4.2393999999999998</v>
      </c>
      <c r="F114" s="11">
        <f>4.2394 * CHOOSE(CONTROL!$C$32, $C$9, 100%, $E$9)</f>
        <v>4.2393999999999998</v>
      </c>
      <c r="G114" s="11">
        <f>4.2436 * CHOOSE(CONTROL!$C$32, $C$9, 100%, $E$9)</f>
        <v>4.2435999999999998</v>
      </c>
      <c r="H114" s="11">
        <f>7.1033 * CHOOSE(CONTROL!$C$32, $C$9, 100%, $E$9)</f>
        <v>7.1032999999999999</v>
      </c>
      <c r="I114" s="11">
        <f>7.1075 * CHOOSE(CONTROL!$C$32, $C$9, 100%, $E$9)</f>
        <v>7.1074999999999999</v>
      </c>
      <c r="J114" s="11">
        <f>7.1033 * CHOOSE(CONTROL!$C$32, $C$9, 100%, $E$9)</f>
        <v>7.1032999999999999</v>
      </c>
      <c r="K114" s="11">
        <f>7.1075 * CHOOSE(CONTROL!$C$32, $C$9, 100%, $E$9)</f>
        <v>7.1074999999999999</v>
      </c>
      <c r="L114" s="11">
        <f>4.2394 * CHOOSE(CONTROL!$C$32, $C$9, 100%, $E$9)</f>
        <v>4.2393999999999998</v>
      </c>
      <c r="M114" s="11">
        <f>4.2436 * CHOOSE(CONTROL!$C$32, $C$9, 100%, $E$9)</f>
        <v>4.2435999999999998</v>
      </c>
      <c r="N114" s="11">
        <f>4.2394 * CHOOSE(CONTROL!$C$32, $C$9, 100%, $E$9)</f>
        <v>4.2393999999999998</v>
      </c>
      <c r="O114" s="11">
        <f>4.2436 * CHOOSE(CONTROL!$C$32, $C$9, 100%, $E$9)</f>
        <v>4.2435999999999998</v>
      </c>
      <c r="P114" s="14"/>
      <c r="Q114" s="14"/>
      <c r="R114" s="14"/>
    </row>
    <row r="115" spans="1:18" ht="15" x14ac:dyDescent="0.2">
      <c r="A115" s="13">
        <v>44348</v>
      </c>
      <c r="B115" s="9">
        <f>3.3377 * CHOOSE(CONTROL!$C$32, $C$9, 100%, $E$9)</f>
        <v>3.3376999999999999</v>
      </c>
      <c r="C115" s="9">
        <f>3.3377 * CHOOSE(CONTROL!$C$32, $C$9, 100%, $E$9)</f>
        <v>3.3376999999999999</v>
      </c>
      <c r="D115" s="9">
        <f>3.339 * CHOOSE(CONTROL!$C$32, $C$9, 100%, $E$9)</f>
        <v>3.339</v>
      </c>
      <c r="E115" s="11">
        <f>4.2434 * CHOOSE(CONTROL!$C$32, $C$9, 100%, $E$9)</f>
        <v>4.2434000000000003</v>
      </c>
      <c r="F115" s="11">
        <f>4.2434 * CHOOSE(CONTROL!$C$32, $C$9, 100%, $E$9)</f>
        <v>4.2434000000000003</v>
      </c>
      <c r="G115" s="11">
        <f>4.2476 * CHOOSE(CONTROL!$C$32, $C$9, 100%, $E$9)</f>
        <v>4.2476000000000003</v>
      </c>
      <c r="H115" s="11">
        <f>7.1181 * CHOOSE(CONTROL!$C$32, $C$9, 100%, $E$9)</f>
        <v>7.1181000000000001</v>
      </c>
      <c r="I115" s="11">
        <f>7.1223 * CHOOSE(CONTROL!$C$32, $C$9, 100%, $E$9)</f>
        <v>7.1223000000000001</v>
      </c>
      <c r="J115" s="11">
        <f>7.1181 * CHOOSE(CONTROL!$C$32, $C$9, 100%, $E$9)</f>
        <v>7.1181000000000001</v>
      </c>
      <c r="K115" s="11">
        <f>7.1223 * CHOOSE(CONTROL!$C$32, $C$9, 100%, $E$9)</f>
        <v>7.1223000000000001</v>
      </c>
      <c r="L115" s="11">
        <f>4.2434 * CHOOSE(CONTROL!$C$32, $C$9, 100%, $E$9)</f>
        <v>4.2434000000000003</v>
      </c>
      <c r="M115" s="11">
        <f>4.2476 * CHOOSE(CONTROL!$C$32, $C$9, 100%, $E$9)</f>
        <v>4.2476000000000003</v>
      </c>
      <c r="N115" s="11">
        <f>4.2434 * CHOOSE(CONTROL!$C$32, $C$9, 100%, $E$9)</f>
        <v>4.2434000000000003</v>
      </c>
      <c r="O115" s="11">
        <f>4.2476 * CHOOSE(CONTROL!$C$32, $C$9, 100%, $E$9)</f>
        <v>4.2476000000000003</v>
      </c>
      <c r="P115" s="14"/>
      <c r="Q115" s="14"/>
      <c r="R115" s="14"/>
    </row>
    <row r="116" spans="1:18" ht="15" x14ac:dyDescent="0.2">
      <c r="A116" s="13">
        <v>44378</v>
      </c>
      <c r="B116" s="9">
        <f>3.3976 * CHOOSE(CONTROL!$C$32, $C$9, 100%, $E$9)</f>
        <v>3.3976000000000002</v>
      </c>
      <c r="C116" s="9">
        <f>3.3976 * CHOOSE(CONTROL!$C$32, $C$9, 100%, $E$9)</f>
        <v>3.3976000000000002</v>
      </c>
      <c r="D116" s="9">
        <f>3.3988 * CHOOSE(CONTROL!$C$32, $C$9, 100%, $E$9)</f>
        <v>3.3988</v>
      </c>
      <c r="E116" s="11">
        <f>4.3089 * CHOOSE(CONTROL!$C$32, $C$9, 100%, $E$9)</f>
        <v>4.3089000000000004</v>
      </c>
      <c r="F116" s="11">
        <f>4.3089 * CHOOSE(CONTROL!$C$32, $C$9, 100%, $E$9)</f>
        <v>4.3089000000000004</v>
      </c>
      <c r="G116" s="11">
        <f>4.3131 * CHOOSE(CONTROL!$C$32, $C$9, 100%, $E$9)</f>
        <v>4.3131000000000004</v>
      </c>
      <c r="H116" s="11">
        <f>7.1329 * CHOOSE(CONTROL!$C$32, $C$9, 100%, $E$9)</f>
        <v>7.1329000000000002</v>
      </c>
      <c r="I116" s="11">
        <f>7.1371 * CHOOSE(CONTROL!$C$32, $C$9, 100%, $E$9)</f>
        <v>7.1371000000000002</v>
      </c>
      <c r="J116" s="11">
        <f>7.1329 * CHOOSE(CONTROL!$C$32, $C$9, 100%, $E$9)</f>
        <v>7.1329000000000002</v>
      </c>
      <c r="K116" s="11">
        <f>7.1371 * CHOOSE(CONTROL!$C$32, $C$9, 100%, $E$9)</f>
        <v>7.1371000000000002</v>
      </c>
      <c r="L116" s="11">
        <f>4.3089 * CHOOSE(CONTROL!$C$32, $C$9, 100%, $E$9)</f>
        <v>4.3089000000000004</v>
      </c>
      <c r="M116" s="11">
        <f>4.3131 * CHOOSE(CONTROL!$C$32, $C$9, 100%, $E$9)</f>
        <v>4.3131000000000004</v>
      </c>
      <c r="N116" s="11">
        <f>4.3089 * CHOOSE(CONTROL!$C$32, $C$9, 100%, $E$9)</f>
        <v>4.3089000000000004</v>
      </c>
      <c r="O116" s="11">
        <f>4.3131 * CHOOSE(CONTROL!$C$32, $C$9, 100%, $E$9)</f>
        <v>4.3131000000000004</v>
      </c>
      <c r="P116" s="14"/>
      <c r="Q116" s="14"/>
      <c r="R116" s="14"/>
    </row>
    <row r="117" spans="1:18" ht="15" x14ac:dyDescent="0.2">
      <c r="A117" s="13">
        <v>44409</v>
      </c>
      <c r="B117" s="9">
        <f>3.4043 * CHOOSE(CONTROL!$C$32, $C$9, 100%, $E$9)</f>
        <v>3.4043000000000001</v>
      </c>
      <c r="C117" s="9">
        <f>3.4043 * CHOOSE(CONTROL!$C$32, $C$9, 100%, $E$9)</f>
        <v>3.4043000000000001</v>
      </c>
      <c r="D117" s="9">
        <f>3.4055 * CHOOSE(CONTROL!$C$32, $C$9, 100%, $E$9)</f>
        <v>3.4055</v>
      </c>
      <c r="E117" s="11">
        <f>4.3133 * CHOOSE(CONTROL!$C$32, $C$9, 100%, $E$9)</f>
        <v>4.3132999999999999</v>
      </c>
      <c r="F117" s="11">
        <f>4.3133 * CHOOSE(CONTROL!$C$32, $C$9, 100%, $E$9)</f>
        <v>4.3132999999999999</v>
      </c>
      <c r="G117" s="11">
        <f>4.3175 * CHOOSE(CONTROL!$C$32, $C$9, 100%, $E$9)</f>
        <v>4.3174999999999999</v>
      </c>
      <c r="H117" s="11">
        <f>7.1478 * CHOOSE(CONTROL!$C$32, $C$9, 100%, $E$9)</f>
        <v>7.1478000000000002</v>
      </c>
      <c r="I117" s="11">
        <f>7.152 * CHOOSE(CONTROL!$C$32, $C$9, 100%, $E$9)</f>
        <v>7.1520000000000001</v>
      </c>
      <c r="J117" s="11">
        <f>7.1478 * CHOOSE(CONTROL!$C$32, $C$9, 100%, $E$9)</f>
        <v>7.1478000000000002</v>
      </c>
      <c r="K117" s="11">
        <f>7.152 * CHOOSE(CONTROL!$C$32, $C$9, 100%, $E$9)</f>
        <v>7.1520000000000001</v>
      </c>
      <c r="L117" s="11">
        <f>4.3133 * CHOOSE(CONTROL!$C$32, $C$9, 100%, $E$9)</f>
        <v>4.3132999999999999</v>
      </c>
      <c r="M117" s="11">
        <f>4.3175 * CHOOSE(CONTROL!$C$32, $C$9, 100%, $E$9)</f>
        <v>4.3174999999999999</v>
      </c>
      <c r="N117" s="11">
        <f>4.3133 * CHOOSE(CONTROL!$C$32, $C$9, 100%, $E$9)</f>
        <v>4.3132999999999999</v>
      </c>
      <c r="O117" s="11">
        <f>4.3175 * CHOOSE(CONTROL!$C$32, $C$9, 100%, $E$9)</f>
        <v>4.3174999999999999</v>
      </c>
      <c r="P117" s="14"/>
      <c r="Q117" s="14"/>
      <c r="R117" s="14"/>
    </row>
    <row r="118" spans="1:18" ht="15" x14ac:dyDescent="0.2">
      <c r="A118" s="13">
        <v>44440</v>
      </c>
      <c r="B118" s="9">
        <f>3.4012 * CHOOSE(CONTROL!$C$32, $C$9, 100%, $E$9)</f>
        <v>3.4011999999999998</v>
      </c>
      <c r="C118" s="9">
        <f>3.4012 * CHOOSE(CONTROL!$C$32, $C$9, 100%, $E$9)</f>
        <v>3.4011999999999998</v>
      </c>
      <c r="D118" s="9">
        <f>3.4025 * CHOOSE(CONTROL!$C$32, $C$9, 100%, $E$9)</f>
        <v>3.4024999999999999</v>
      </c>
      <c r="E118" s="11">
        <f>4.3113 * CHOOSE(CONTROL!$C$32, $C$9, 100%, $E$9)</f>
        <v>4.3113000000000001</v>
      </c>
      <c r="F118" s="11">
        <f>4.3113 * CHOOSE(CONTROL!$C$32, $C$9, 100%, $E$9)</f>
        <v>4.3113000000000001</v>
      </c>
      <c r="G118" s="11">
        <f>4.3155 * CHOOSE(CONTROL!$C$32, $C$9, 100%, $E$9)</f>
        <v>4.3155000000000001</v>
      </c>
      <c r="H118" s="11">
        <f>7.1627 * CHOOSE(CONTROL!$C$32, $C$9, 100%, $E$9)</f>
        <v>7.1627000000000001</v>
      </c>
      <c r="I118" s="11">
        <f>7.1669 * CHOOSE(CONTROL!$C$32, $C$9, 100%, $E$9)</f>
        <v>7.1669</v>
      </c>
      <c r="J118" s="11">
        <f>7.1627 * CHOOSE(CONTROL!$C$32, $C$9, 100%, $E$9)</f>
        <v>7.1627000000000001</v>
      </c>
      <c r="K118" s="11">
        <f>7.1669 * CHOOSE(CONTROL!$C$32, $C$9, 100%, $E$9)</f>
        <v>7.1669</v>
      </c>
      <c r="L118" s="11">
        <f>4.3113 * CHOOSE(CONTROL!$C$32, $C$9, 100%, $E$9)</f>
        <v>4.3113000000000001</v>
      </c>
      <c r="M118" s="11">
        <f>4.3155 * CHOOSE(CONTROL!$C$32, $C$9, 100%, $E$9)</f>
        <v>4.3155000000000001</v>
      </c>
      <c r="N118" s="11">
        <f>4.3113 * CHOOSE(CONTROL!$C$32, $C$9, 100%, $E$9)</f>
        <v>4.3113000000000001</v>
      </c>
      <c r="O118" s="11">
        <f>4.3155 * CHOOSE(CONTROL!$C$32, $C$9, 100%, $E$9)</f>
        <v>4.3155000000000001</v>
      </c>
      <c r="P118" s="14"/>
      <c r="Q118" s="14"/>
      <c r="R118" s="14"/>
    </row>
    <row r="119" spans="1:18" ht="15" x14ac:dyDescent="0.2">
      <c r="A119" s="13">
        <v>44470</v>
      </c>
      <c r="B119" s="9">
        <f>3.3942 * CHOOSE(CONTROL!$C$32, $C$9, 100%, $E$9)</f>
        <v>3.3942000000000001</v>
      </c>
      <c r="C119" s="9">
        <f>3.3942 * CHOOSE(CONTROL!$C$32, $C$9, 100%, $E$9)</f>
        <v>3.3942000000000001</v>
      </c>
      <c r="D119" s="9">
        <f>3.3951 * CHOOSE(CONTROL!$C$32, $C$9, 100%, $E$9)</f>
        <v>3.3950999999999998</v>
      </c>
      <c r="E119" s="11">
        <f>4.3049 * CHOOSE(CONTROL!$C$32, $C$9, 100%, $E$9)</f>
        <v>4.3048999999999999</v>
      </c>
      <c r="F119" s="11">
        <f>4.3049 * CHOOSE(CONTROL!$C$32, $C$9, 100%, $E$9)</f>
        <v>4.3048999999999999</v>
      </c>
      <c r="G119" s="11">
        <f>4.3081 * CHOOSE(CONTROL!$C$32, $C$9, 100%, $E$9)</f>
        <v>4.3080999999999996</v>
      </c>
      <c r="H119" s="11">
        <f>7.1776 * CHOOSE(CONTROL!$C$32, $C$9, 100%, $E$9)</f>
        <v>7.1776</v>
      </c>
      <c r="I119" s="11">
        <f>7.1808 * CHOOSE(CONTROL!$C$32, $C$9, 100%, $E$9)</f>
        <v>7.1807999999999996</v>
      </c>
      <c r="J119" s="11">
        <f>7.1776 * CHOOSE(CONTROL!$C$32, $C$9, 100%, $E$9)</f>
        <v>7.1776</v>
      </c>
      <c r="K119" s="11">
        <f>7.1808 * CHOOSE(CONTROL!$C$32, $C$9, 100%, $E$9)</f>
        <v>7.1807999999999996</v>
      </c>
      <c r="L119" s="11">
        <f>4.3049 * CHOOSE(CONTROL!$C$32, $C$9, 100%, $E$9)</f>
        <v>4.3048999999999999</v>
      </c>
      <c r="M119" s="11">
        <f>4.3081 * CHOOSE(CONTROL!$C$32, $C$9, 100%, $E$9)</f>
        <v>4.3080999999999996</v>
      </c>
      <c r="N119" s="11">
        <f>4.3049 * CHOOSE(CONTROL!$C$32, $C$9, 100%, $E$9)</f>
        <v>4.3048999999999999</v>
      </c>
      <c r="O119" s="11">
        <f>4.3081 * CHOOSE(CONTROL!$C$32, $C$9, 100%, $E$9)</f>
        <v>4.3080999999999996</v>
      </c>
      <c r="P119" s="14"/>
      <c r="Q119" s="14"/>
      <c r="R119" s="14"/>
    </row>
    <row r="120" spans="1:18" ht="15" x14ac:dyDescent="0.2">
      <c r="A120" s="13">
        <v>44501</v>
      </c>
      <c r="B120" s="9">
        <f>3.3972 * CHOOSE(CONTROL!$C$32, $C$9, 100%, $E$9)</f>
        <v>3.3972000000000002</v>
      </c>
      <c r="C120" s="9">
        <f>3.3972 * CHOOSE(CONTROL!$C$32, $C$9, 100%, $E$9)</f>
        <v>3.3972000000000002</v>
      </c>
      <c r="D120" s="9">
        <f>3.3982 * CHOOSE(CONTROL!$C$32, $C$9, 100%, $E$9)</f>
        <v>3.3982000000000001</v>
      </c>
      <c r="E120" s="11">
        <f>4.3069 * CHOOSE(CONTROL!$C$32, $C$9, 100%, $E$9)</f>
        <v>4.3068999999999997</v>
      </c>
      <c r="F120" s="11">
        <f>4.3069 * CHOOSE(CONTROL!$C$32, $C$9, 100%, $E$9)</f>
        <v>4.3068999999999997</v>
      </c>
      <c r="G120" s="11">
        <f>4.3101 * CHOOSE(CONTROL!$C$32, $C$9, 100%, $E$9)</f>
        <v>4.3101000000000003</v>
      </c>
      <c r="H120" s="11">
        <f>7.1925 * CHOOSE(CONTROL!$C$32, $C$9, 100%, $E$9)</f>
        <v>7.1924999999999999</v>
      </c>
      <c r="I120" s="11">
        <f>7.1958 * CHOOSE(CONTROL!$C$32, $C$9, 100%, $E$9)</f>
        <v>7.1958000000000002</v>
      </c>
      <c r="J120" s="11">
        <f>7.1925 * CHOOSE(CONTROL!$C$32, $C$9, 100%, $E$9)</f>
        <v>7.1924999999999999</v>
      </c>
      <c r="K120" s="11">
        <f>7.1958 * CHOOSE(CONTROL!$C$32, $C$9, 100%, $E$9)</f>
        <v>7.1958000000000002</v>
      </c>
      <c r="L120" s="11">
        <f>4.3069 * CHOOSE(CONTROL!$C$32, $C$9, 100%, $E$9)</f>
        <v>4.3068999999999997</v>
      </c>
      <c r="M120" s="11">
        <f>4.3101 * CHOOSE(CONTROL!$C$32, $C$9, 100%, $E$9)</f>
        <v>4.3101000000000003</v>
      </c>
      <c r="N120" s="11">
        <f>4.3069 * CHOOSE(CONTROL!$C$32, $C$9, 100%, $E$9)</f>
        <v>4.3068999999999997</v>
      </c>
      <c r="O120" s="11">
        <f>4.3101 * CHOOSE(CONTROL!$C$32, $C$9, 100%, $E$9)</f>
        <v>4.3101000000000003</v>
      </c>
      <c r="P120" s="14"/>
      <c r="Q120" s="14"/>
      <c r="R120" s="14"/>
    </row>
    <row r="121" spans="1:18" ht="15" x14ac:dyDescent="0.2">
      <c r="A121" s="13">
        <v>44531</v>
      </c>
      <c r="B121" s="9">
        <f>3.3972 * CHOOSE(CONTROL!$C$32, $C$9, 100%, $E$9)</f>
        <v>3.3972000000000002</v>
      </c>
      <c r="C121" s="9">
        <f>3.3972 * CHOOSE(CONTROL!$C$32, $C$9, 100%, $E$9)</f>
        <v>3.3972000000000002</v>
      </c>
      <c r="D121" s="9">
        <f>3.3982 * CHOOSE(CONTROL!$C$32, $C$9, 100%, $E$9)</f>
        <v>3.3982000000000001</v>
      </c>
      <c r="E121" s="11">
        <f>4.3069 * CHOOSE(CONTROL!$C$32, $C$9, 100%, $E$9)</f>
        <v>4.3068999999999997</v>
      </c>
      <c r="F121" s="11">
        <f>4.3069 * CHOOSE(CONTROL!$C$32, $C$9, 100%, $E$9)</f>
        <v>4.3068999999999997</v>
      </c>
      <c r="G121" s="11">
        <f>4.3101 * CHOOSE(CONTROL!$C$32, $C$9, 100%, $E$9)</f>
        <v>4.3101000000000003</v>
      </c>
      <c r="H121" s="11">
        <f>7.2075 * CHOOSE(CONTROL!$C$32, $C$9, 100%, $E$9)</f>
        <v>7.2074999999999996</v>
      </c>
      <c r="I121" s="11">
        <f>7.2107 * CHOOSE(CONTROL!$C$32, $C$9, 100%, $E$9)</f>
        <v>7.2107000000000001</v>
      </c>
      <c r="J121" s="11">
        <f>7.2075 * CHOOSE(CONTROL!$C$32, $C$9, 100%, $E$9)</f>
        <v>7.2074999999999996</v>
      </c>
      <c r="K121" s="11">
        <f>7.2107 * CHOOSE(CONTROL!$C$32, $C$9, 100%, $E$9)</f>
        <v>7.2107000000000001</v>
      </c>
      <c r="L121" s="11">
        <f>4.3069 * CHOOSE(CONTROL!$C$32, $C$9, 100%, $E$9)</f>
        <v>4.3068999999999997</v>
      </c>
      <c r="M121" s="11">
        <f>4.3101 * CHOOSE(CONTROL!$C$32, $C$9, 100%, $E$9)</f>
        <v>4.3101000000000003</v>
      </c>
      <c r="N121" s="11">
        <f>4.3069 * CHOOSE(CONTROL!$C$32, $C$9, 100%, $E$9)</f>
        <v>4.3068999999999997</v>
      </c>
      <c r="O121" s="11">
        <f>4.3101 * CHOOSE(CONTROL!$C$32, $C$9, 100%, $E$9)</f>
        <v>4.3101000000000003</v>
      </c>
      <c r="P121" s="14"/>
      <c r="Q121" s="14"/>
      <c r="R121" s="14"/>
    </row>
    <row r="122" spans="1:18" ht="15" x14ac:dyDescent="0.2">
      <c r="A122" s="13">
        <v>44562</v>
      </c>
      <c r="B122" s="9">
        <f>3.4251 * CHOOSE(CONTROL!$C$32, $C$9, 100%, $E$9)</f>
        <v>3.4251</v>
      </c>
      <c r="C122" s="9">
        <f>3.4251 * CHOOSE(CONTROL!$C$32, $C$9, 100%, $E$9)</f>
        <v>3.4251</v>
      </c>
      <c r="D122" s="9">
        <f>3.426 * CHOOSE(CONTROL!$C$32, $C$9, 100%, $E$9)</f>
        <v>3.4260000000000002</v>
      </c>
      <c r="E122" s="11">
        <f>4.3439 * CHOOSE(CONTROL!$C$32, $C$9, 100%, $E$9)</f>
        <v>4.3438999999999997</v>
      </c>
      <c r="F122" s="11">
        <f>4.3439 * CHOOSE(CONTROL!$C$32, $C$9, 100%, $E$9)</f>
        <v>4.3438999999999997</v>
      </c>
      <c r="G122" s="11">
        <f>4.3471 * CHOOSE(CONTROL!$C$32, $C$9, 100%, $E$9)</f>
        <v>4.3471000000000002</v>
      </c>
      <c r="H122" s="11">
        <f>7.2225 * CHOOSE(CONTROL!$C$32, $C$9, 100%, $E$9)</f>
        <v>7.2225000000000001</v>
      </c>
      <c r="I122" s="11">
        <f>7.2258 * CHOOSE(CONTROL!$C$32, $C$9, 100%, $E$9)</f>
        <v>7.2257999999999996</v>
      </c>
      <c r="J122" s="11">
        <f>7.2225 * CHOOSE(CONTROL!$C$32, $C$9, 100%, $E$9)</f>
        <v>7.2225000000000001</v>
      </c>
      <c r="K122" s="11">
        <f>7.2258 * CHOOSE(CONTROL!$C$32, $C$9, 100%, $E$9)</f>
        <v>7.2257999999999996</v>
      </c>
      <c r="L122" s="11">
        <f>4.3439 * CHOOSE(CONTROL!$C$32, $C$9, 100%, $E$9)</f>
        <v>4.3438999999999997</v>
      </c>
      <c r="M122" s="11">
        <f>4.3471 * CHOOSE(CONTROL!$C$32, $C$9, 100%, $E$9)</f>
        <v>4.3471000000000002</v>
      </c>
      <c r="N122" s="11">
        <f>4.3439 * CHOOSE(CONTROL!$C$32, $C$9, 100%, $E$9)</f>
        <v>4.3438999999999997</v>
      </c>
      <c r="O122" s="11">
        <f>4.3471 * CHOOSE(CONTROL!$C$32, $C$9, 100%, $E$9)</f>
        <v>4.3471000000000002</v>
      </c>
      <c r="P122" s="14"/>
      <c r="Q122" s="14"/>
      <c r="R122" s="14"/>
    </row>
    <row r="123" spans="1:18" ht="15" x14ac:dyDescent="0.2">
      <c r="A123" s="13">
        <v>44593</v>
      </c>
      <c r="B123" s="9">
        <f>3.422 * CHOOSE(CONTROL!$C$32, $C$9, 100%, $E$9)</f>
        <v>3.4220000000000002</v>
      </c>
      <c r="C123" s="9">
        <f>3.422 * CHOOSE(CONTROL!$C$32, $C$9, 100%, $E$9)</f>
        <v>3.4220000000000002</v>
      </c>
      <c r="D123" s="9">
        <f>3.423 * CHOOSE(CONTROL!$C$32, $C$9, 100%, $E$9)</f>
        <v>3.423</v>
      </c>
      <c r="E123" s="11">
        <f>4.3419 * CHOOSE(CONTROL!$C$32, $C$9, 100%, $E$9)</f>
        <v>4.3418999999999999</v>
      </c>
      <c r="F123" s="11">
        <f>4.3419 * CHOOSE(CONTROL!$C$32, $C$9, 100%, $E$9)</f>
        <v>4.3418999999999999</v>
      </c>
      <c r="G123" s="11">
        <f>4.3451 * CHOOSE(CONTROL!$C$32, $C$9, 100%, $E$9)</f>
        <v>4.3451000000000004</v>
      </c>
      <c r="H123" s="11">
        <f>7.2376 * CHOOSE(CONTROL!$C$32, $C$9, 100%, $E$9)</f>
        <v>7.2375999999999996</v>
      </c>
      <c r="I123" s="11">
        <f>7.2408 * CHOOSE(CONTROL!$C$32, $C$9, 100%, $E$9)</f>
        <v>7.2408000000000001</v>
      </c>
      <c r="J123" s="11">
        <f>7.2376 * CHOOSE(CONTROL!$C$32, $C$9, 100%, $E$9)</f>
        <v>7.2375999999999996</v>
      </c>
      <c r="K123" s="11">
        <f>7.2408 * CHOOSE(CONTROL!$C$32, $C$9, 100%, $E$9)</f>
        <v>7.2408000000000001</v>
      </c>
      <c r="L123" s="11">
        <f>4.3419 * CHOOSE(CONTROL!$C$32, $C$9, 100%, $E$9)</f>
        <v>4.3418999999999999</v>
      </c>
      <c r="M123" s="11">
        <f>4.3451 * CHOOSE(CONTROL!$C$32, $C$9, 100%, $E$9)</f>
        <v>4.3451000000000004</v>
      </c>
      <c r="N123" s="11">
        <f>4.3419 * CHOOSE(CONTROL!$C$32, $C$9, 100%, $E$9)</f>
        <v>4.3418999999999999</v>
      </c>
      <c r="O123" s="11">
        <f>4.3451 * CHOOSE(CONTROL!$C$32, $C$9, 100%, $E$9)</f>
        <v>4.3451000000000004</v>
      </c>
      <c r="P123" s="14"/>
      <c r="Q123" s="14"/>
      <c r="R123" s="14"/>
    </row>
    <row r="124" spans="1:18" ht="15" x14ac:dyDescent="0.2">
      <c r="A124" s="13">
        <v>44621</v>
      </c>
      <c r="B124" s="9">
        <f>3.419 * CHOOSE(CONTROL!$C$32, $C$9, 100%, $E$9)</f>
        <v>3.419</v>
      </c>
      <c r="C124" s="9">
        <f>3.419 * CHOOSE(CONTROL!$C$32, $C$9, 100%, $E$9)</f>
        <v>3.419</v>
      </c>
      <c r="D124" s="9">
        <f>3.4199 * CHOOSE(CONTROL!$C$32, $C$9, 100%, $E$9)</f>
        <v>3.4199000000000002</v>
      </c>
      <c r="E124" s="11">
        <f>4.3399 * CHOOSE(CONTROL!$C$32, $C$9, 100%, $E$9)</f>
        <v>4.3399000000000001</v>
      </c>
      <c r="F124" s="11">
        <f>4.3399 * CHOOSE(CONTROL!$C$32, $C$9, 100%, $E$9)</f>
        <v>4.3399000000000001</v>
      </c>
      <c r="G124" s="11">
        <f>4.3431 * CHOOSE(CONTROL!$C$32, $C$9, 100%, $E$9)</f>
        <v>4.3430999999999997</v>
      </c>
      <c r="H124" s="11">
        <f>7.2527 * CHOOSE(CONTROL!$C$32, $C$9, 100%, $E$9)</f>
        <v>7.2526999999999999</v>
      </c>
      <c r="I124" s="11">
        <f>7.2559 * CHOOSE(CONTROL!$C$32, $C$9, 100%, $E$9)</f>
        <v>7.2558999999999996</v>
      </c>
      <c r="J124" s="11">
        <f>7.2527 * CHOOSE(CONTROL!$C$32, $C$9, 100%, $E$9)</f>
        <v>7.2526999999999999</v>
      </c>
      <c r="K124" s="11">
        <f>7.2559 * CHOOSE(CONTROL!$C$32, $C$9, 100%, $E$9)</f>
        <v>7.2558999999999996</v>
      </c>
      <c r="L124" s="11">
        <f>4.3399 * CHOOSE(CONTROL!$C$32, $C$9, 100%, $E$9)</f>
        <v>4.3399000000000001</v>
      </c>
      <c r="M124" s="11">
        <f>4.3431 * CHOOSE(CONTROL!$C$32, $C$9, 100%, $E$9)</f>
        <v>4.3430999999999997</v>
      </c>
      <c r="N124" s="11">
        <f>4.3399 * CHOOSE(CONTROL!$C$32, $C$9, 100%, $E$9)</f>
        <v>4.3399000000000001</v>
      </c>
      <c r="O124" s="11">
        <f>4.3431 * CHOOSE(CONTROL!$C$32, $C$9, 100%, $E$9)</f>
        <v>4.3430999999999997</v>
      </c>
      <c r="P124" s="14"/>
      <c r="Q124" s="14"/>
      <c r="R124" s="14"/>
    </row>
    <row r="125" spans="1:18" ht="15" x14ac:dyDescent="0.2">
      <c r="A125" s="13">
        <v>44652</v>
      </c>
      <c r="B125" s="9">
        <f>3.4161 * CHOOSE(CONTROL!$C$32, $C$9, 100%, $E$9)</f>
        <v>3.4161000000000001</v>
      </c>
      <c r="C125" s="9">
        <f>3.4161 * CHOOSE(CONTROL!$C$32, $C$9, 100%, $E$9)</f>
        <v>3.4161000000000001</v>
      </c>
      <c r="D125" s="9">
        <f>3.4171 * CHOOSE(CONTROL!$C$32, $C$9, 100%, $E$9)</f>
        <v>3.4171</v>
      </c>
      <c r="E125" s="11">
        <f>4.3376 * CHOOSE(CONTROL!$C$32, $C$9, 100%, $E$9)</f>
        <v>4.3376000000000001</v>
      </c>
      <c r="F125" s="11">
        <f>4.3376 * CHOOSE(CONTROL!$C$32, $C$9, 100%, $E$9)</f>
        <v>4.3376000000000001</v>
      </c>
      <c r="G125" s="11">
        <f>4.3408 * CHOOSE(CONTROL!$C$32, $C$9, 100%, $E$9)</f>
        <v>4.3407999999999998</v>
      </c>
      <c r="H125" s="11">
        <f>7.2678 * CHOOSE(CONTROL!$C$32, $C$9, 100%, $E$9)</f>
        <v>7.2678000000000003</v>
      </c>
      <c r="I125" s="11">
        <f>7.271 * CHOOSE(CONTROL!$C$32, $C$9, 100%, $E$9)</f>
        <v>7.2709999999999999</v>
      </c>
      <c r="J125" s="11">
        <f>7.2678 * CHOOSE(CONTROL!$C$32, $C$9, 100%, $E$9)</f>
        <v>7.2678000000000003</v>
      </c>
      <c r="K125" s="11">
        <f>7.271 * CHOOSE(CONTROL!$C$32, $C$9, 100%, $E$9)</f>
        <v>7.2709999999999999</v>
      </c>
      <c r="L125" s="11">
        <f>4.3376 * CHOOSE(CONTROL!$C$32, $C$9, 100%, $E$9)</f>
        <v>4.3376000000000001</v>
      </c>
      <c r="M125" s="11">
        <f>4.3408 * CHOOSE(CONTROL!$C$32, $C$9, 100%, $E$9)</f>
        <v>4.3407999999999998</v>
      </c>
      <c r="N125" s="11">
        <f>4.3376 * CHOOSE(CONTROL!$C$32, $C$9, 100%, $E$9)</f>
        <v>4.3376000000000001</v>
      </c>
      <c r="O125" s="11">
        <f>4.3408 * CHOOSE(CONTROL!$C$32, $C$9, 100%, $E$9)</f>
        <v>4.3407999999999998</v>
      </c>
      <c r="P125" s="14"/>
      <c r="Q125" s="14"/>
      <c r="R125" s="14"/>
    </row>
    <row r="126" spans="1:18" ht="15" x14ac:dyDescent="0.2">
      <c r="A126" s="13">
        <v>44682</v>
      </c>
      <c r="B126" s="9">
        <f>3.4161 * CHOOSE(CONTROL!$C$32, $C$9, 100%, $E$9)</f>
        <v>3.4161000000000001</v>
      </c>
      <c r="C126" s="9">
        <f>3.4161 * CHOOSE(CONTROL!$C$32, $C$9, 100%, $E$9)</f>
        <v>3.4161000000000001</v>
      </c>
      <c r="D126" s="9">
        <f>3.4174 * CHOOSE(CONTROL!$C$32, $C$9, 100%, $E$9)</f>
        <v>3.4174000000000002</v>
      </c>
      <c r="E126" s="11">
        <f>4.3376 * CHOOSE(CONTROL!$C$32, $C$9, 100%, $E$9)</f>
        <v>4.3376000000000001</v>
      </c>
      <c r="F126" s="11">
        <f>4.3376 * CHOOSE(CONTROL!$C$32, $C$9, 100%, $E$9)</f>
        <v>4.3376000000000001</v>
      </c>
      <c r="G126" s="11">
        <f>4.3418 * CHOOSE(CONTROL!$C$32, $C$9, 100%, $E$9)</f>
        <v>4.3418000000000001</v>
      </c>
      <c r="H126" s="11">
        <f>7.2829 * CHOOSE(CONTROL!$C$32, $C$9, 100%, $E$9)</f>
        <v>7.2828999999999997</v>
      </c>
      <c r="I126" s="11">
        <f>7.2871 * CHOOSE(CONTROL!$C$32, $C$9, 100%, $E$9)</f>
        <v>7.2870999999999997</v>
      </c>
      <c r="J126" s="11">
        <f>7.2829 * CHOOSE(CONTROL!$C$32, $C$9, 100%, $E$9)</f>
        <v>7.2828999999999997</v>
      </c>
      <c r="K126" s="11">
        <f>7.2871 * CHOOSE(CONTROL!$C$32, $C$9, 100%, $E$9)</f>
        <v>7.2870999999999997</v>
      </c>
      <c r="L126" s="11">
        <f>4.3376 * CHOOSE(CONTROL!$C$32, $C$9, 100%, $E$9)</f>
        <v>4.3376000000000001</v>
      </c>
      <c r="M126" s="11">
        <f>4.3418 * CHOOSE(CONTROL!$C$32, $C$9, 100%, $E$9)</f>
        <v>4.3418000000000001</v>
      </c>
      <c r="N126" s="11">
        <f>4.3376 * CHOOSE(CONTROL!$C$32, $C$9, 100%, $E$9)</f>
        <v>4.3376000000000001</v>
      </c>
      <c r="O126" s="11">
        <f>4.3418 * CHOOSE(CONTROL!$C$32, $C$9, 100%, $E$9)</f>
        <v>4.3418000000000001</v>
      </c>
      <c r="P126" s="14"/>
      <c r="Q126" s="14"/>
      <c r="R126" s="14"/>
    </row>
    <row r="127" spans="1:18" ht="15" x14ac:dyDescent="0.2">
      <c r="A127" s="13">
        <v>44713</v>
      </c>
      <c r="B127" s="9">
        <f>3.4222 * CHOOSE(CONTROL!$C$32, $C$9, 100%, $E$9)</f>
        <v>3.4222000000000001</v>
      </c>
      <c r="C127" s="9">
        <f>3.4222 * CHOOSE(CONTROL!$C$32, $C$9, 100%, $E$9)</f>
        <v>3.4222000000000001</v>
      </c>
      <c r="D127" s="9">
        <f>3.4234 * CHOOSE(CONTROL!$C$32, $C$9, 100%, $E$9)</f>
        <v>3.4234</v>
      </c>
      <c r="E127" s="11">
        <f>4.3416 * CHOOSE(CONTROL!$C$32, $C$9, 100%, $E$9)</f>
        <v>4.3415999999999997</v>
      </c>
      <c r="F127" s="11">
        <f>4.3416 * CHOOSE(CONTROL!$C$32, $C$9, 100%, $E$9)</f>
        <v>4.3415999999999997</v>
      </c>
      <c r="G127" s="11">
        <f>4.3458 * CHOOSE(CONTROL!$C$32, $C$9, 100%, $E$9)</f>
        <v>4.3457999999999997</v>
      </c>
      <c r="H127" s="11">
        <f>7.2981 * CHOOSE(CONTROL!$C$32, $C$9, 100%, $E$9)</f>
        <v>7.2980999999999998</v>
      </c>
      <c r="I127" s="11">
        <f>7.3023 * CHOOSE(CONTROL!$C$32, $C$9, 100%, $E$9)</f>
        <v>7.3022999999999998</v>
      </c>
      <c r="J127" s="11">
        <f>7.2981 * CHOOSE(CONTROL!$C$32, $C$9, 100%, $E$9)</f>
        <v>7.2980999999999998</v>
      </c>
      <c r="K127" s="11">
        <f>7.3023 * CHOOSE(CONTROL!$C$32, $C$9, 100%, $E$9)</f>
        <v>7.3022999999999998</v>
      </c>
      <c r="L127" s="11">
        <f>4.3416 * CHOOSE(CONTROL!$C$32, $C$9, 100%, $E$9)</f>
        <v>4.3415999999999997</v>
      </c>
      <c r="M127" s="11">
        <f>4.3458 * CHOOSE(CONTROL!$C$32, $C$9, 100%, $E$9)</f>
        <v>4.3457999999999997</v>
      </c>
      <c r="N127" s="11">
        <f>4.3416 * CHOOSE(CONTROL!$C$32, $C$9, 100%, $E$9)</f>
        <v>4.3415999999999997</v>
      </c>
      <c r="O127" s="11">
        <f>4.3458 * CHOOSE(CONTROL!$C$32, $C$9, 100%, $E$9)</f>
        <v>4.3457999999999997</v>
      </c>
      <c r="P127" s="14"/>
      <c r="Q127" s="14"/>
      <c r="R127" s="14"/>
    </row>
    <row r="128" spans="1:18" ht="15" x14ac:dyDescent="0.2">
      <c r="A128" s="13">
        <v>44743</v>
      </c>
      <c r="B128" s="9">
        <f>3.4729 * CHOOSE(CONTROL!$C$32, $C$9, 100%, $E$9)</f>
        <v>3.4729000000000001</v>
      </c>
      <c r="C128" s="9">
        <f>3.4729 * CHOOSE(CONTROL!$C$32, $C$9, 100%, $E$9)</f>
        <v>3.4729000000000001</v>
      </c>
      <c r="D128" s="9">
        <f>3.4741 * CHOOSE(CONTROL!$C$32, $C$9, 100%, $E$9)</f>
        <v>3.4741</v>
      </c>
      <c r="E128" s="11">
        <f>4.4233 * CHOOSE(CONTROL!$C$32, $C$9, 100%, $E$9)</f>
        <v>4.4233000000000002</v>
      </c>
      <c r="F128" s="11">
        <f>4.4233 * CHOOSE(CONTROL!$C$32, $C$9, 100%, $E$9)</f>
        <v>4.4233000000000002</v>
      </c>
      <c r="G128" s="11">
        <f>4.4275 * CHOOSE(CONTROL!$C$32, $C$9, 100%, $E$9)</f>
        <v>4.4275000000000002</v>
      </c>
      <c r="H128" s="11">
        <f>7.3133 * CHOOSE(CONTROL!$C$32, $C$9, 100%, $E$9)</f>
        <v>7.3132999999999999</v>
      </c>
      <c r="I128" s="11">
        <f>7.3175 * CHOOSE(CONTROL!$C$32, $C$9, 100%, $E$9)</f>
        <v>7.3174999999999999</v>
      </c>
      <c r="J128" s="11">
        <f>7.3133 * CHOOSE(CONTROL!$C$32, $C$9, 100%, $E$9)</f>
        <v>7.3132999999999999</v>
      </c>
      <c r="K128" s="11">
        <f>7.3175 * CHOOSE(CONTROL!$C$32, $C$9, 100%, $E$9)</f>
        <v>7.3174999999999999</v>
      </c>
      <c r="L128" s="11">
        <f>4.4233 * CHOOSE(CONTROL!$C$32, $C$9, 100%, $E$9)</f>
        <v>4.4233000000000002</v>
      </c>
      <c r="M128" s="11">
        <f>4.4275 * CHOOSE(CONTROL!$C$32, $C$9, 100%, $E$9)</f>
        <v>4.4275000000000002</v>
      </c>
      <c r="N128" s="11">
        <f>4.4233 * CHOOSE(CONTROL!$C$32, $C$9, 100%, $E$9)</f>
        <v>4.4233000000000002</v>
      </c>
      <c r="O128" s="11">
        <f>4.4275 * CHOOSE(CONTROL!$C$32, $C$9, 100%, $E$9)</f>
        <v>4.4275000000000002</v>
      </c>
      <c r="P128" s="14"/>
      <c r="Q128" s="14"/>
      <c r="R128" s="14"/>
    </row>
    <row r="129" spans="1:18" ht="15" x14ac:dyDescent="0.2">
      <c r="A129" s="13">
        <v>44774</v>
      </c>
      <c r="B129" s="9">
        <f>3.4796 * CHOOSE(CONTROL!$C$32, $C$9, 100%, $E$9)</f>
        <v>3.4796</v>
      </c>
      <c r="C129" s="9">
        <f>3.4796 * CHOOSE(CONTROL!$C$32, $C$9, 100%, $E$9)</f>
        <v>3.4796</v>
      </c>
      <c r="D129" s="9">
        <f>3.4808 * CHOOSE(CONTROL!$C$32, $C$9, 100%, $E$9)</f>
        <v>3.4807999999999999</v>
      </c>
      <c r="E129" s="11">
        <f>4.4277 * CHOOSE(CONTROL!$C$32, $C$9, 100%, $E$9)</f>
        <v>4.4276999999999997</v>
      </c>
      <c r="F129" s="11">
        <f>4.4277 * CHOOSE(CONTROL!$C$32, $C$9, 100%, $E$9)</f>
        <v>4.4276999999999997</v>
      </c>
      <c r="G129" s="11">
        <f>4.4319 * CHOOSE(CONTROL!$C$32, $C$9, 100%, $E$9)</f>
        <v>4.4318999999999997</v>
      </c>
      <c r="H129" s="11">
        <f>7.3285 * CHOOSE(CONTROL!$C$32, $C$9, 100%, $E$9)</f>
        <v>7.3285</v>
      </c>
      <c r="I129" s="11">
        <f>7.3327 * CHOOSE(CONTROL!$C$32, $C$9, 100%, $E$9)</f>
        <v>7.3327</v>
      </c>
      <c r="J129" s="11">
        <f>7.3285 * CHOOSE(CONTROL!$C$32, $C$9, 100%, $E$9)</f>
        <v>7.3285</v>
      </c>
      <c r="K129" s="11">
        <f>7.3327 * CHOOSE(CONTROL!$C$32, $C$9, 100%, $E$9)</f>
        <v>7.3327</v>
      </c>
      <c r="L129" s="11">
        <f>4.4277 * CHOOSE(CONTROL!$C$32, $C$9, 100%, $E$9)</f>
        <v>4.4276999999999997</v>
      </c>
      <c r="M129" s="11">
        <f>4.4319 * CHOOSE(CONTROL!$C$32, $C$9, 100%, $E$9)</f>
        <v>4.4318999999999997</v>
      </c>
      <c r="N129" s="11">
        <f>4.4277 * CHOOSE(CONTROL!$C$32, $C$9, 100%, $E$9)</f>
        <v>4.4276999999999997</v>
      </c>
      <c r="O129" s="11">
        <f>4.4319 * CHOOSE(CONTROL!$C$32, $C$9, 100%, $E$9)</f>
        <v>4.4318999999999997</v>
      </c>
      <c r="P129" s="14"/>
      <c r="Q129" s="14"/>
      <c r="R129" s="14"/>
    </row>
    <row r="130" spans="1:18" ht="15" x14ac:dyDescent="0.2">
      <c r="A130" s="13">
        <v>44805</v>
      </c>
      <c r="B130" s="9">
        <f>3.4765 * CHOOSE(CONTROL!$C$32, $C$9, 100%, $E$9)</f>
        <v>3.4765000000000001</v>
      </c>
      <c r="C130" s="9">
        <f>3.4765 * CHOOSE(CONTROL!$C$32, $C$9, 100%, $E$9)</f>
        <v>3.4765000000000001</v>
      </c>
      <c r="D130" s="9">
        <f>3.4778 * CHOOSE(CONTROL!$C$32, $C$9, 100%, $E$9)</f>
        <v>3.4777999999999998</v>
      </c>
      <c r="E130" s="11">
        <f>4.4257 * CHOOSE(CONTROL!$C$32, $C$9, 100%, $E$9)</f>
        <v>4.4257</v>
      </c>
      <c r="F130" s="11">
        <f>4.4257 * CHOOSE(CONTROL!$C$32, $C$9, 100%, $E$9)</f>
        <v>4.4257</v>
      </c>
      <c r="G130" s="11">
        <f>4.4299 * CHOOSE(CONTROL!$C$32, $C$9, 100%, $E$9)</f>
        <v>4.4298999999999999</v>
      </c>
      <c r="H130" s="11">
        <f>7.3438 * CHOOSE(CONTROL!$C$32, $C$9, 100%, $E$9)</f>
        <v>7.3437999999999999</v>
      </c>
      <c r="I130" s="11">
        <f>7.348 * CHOOSE(CONTROL!$C$32, $C$9, 100%, $E$9)</f>
        <v>7.3479999999999999</v>
      </c>
      <c r="J130" s="11">
        <f>7.3438 * CHOOSE(CONTROL!$C$32, $C$9, 100%, $E$9)</f>
        <v>7.3437999999999999</v>
      </c>
      <c r="K130" s="11">
        <f>7.348 * CHOOSE(CONTROL!$C$32, $C$9, 100%, $E$9)</f>
        <v>7.3479999999999999</v>
      </c>
      <c r="L130" s="11">
        <f>4.4257 * CHOOSE(CONTROL!$C$32, $C$9, 100%, $E$9)</f>
        <v>4.4257</v>
      </c>
      <c r="M130" s="11">
        <f>4.4299 * CHOOSE(CONTROL!$C$32, $C$9, 100%, $E$9)</f>
        <v>4.4298999999999999</v>
      </c>
      <c r="N130" s="11">
        <f>4.4257 * CHOOSE(CONTROL!$C$32, $C$9, 100%, $E$9)</f>
        <v>4.4257</v>
      </c>
      <c r="O130" s="11">
        <f>4.4299 * CHOOSE(CONTROL!$C$32, $C$9, 100%, $E$9)</f>
        <v>4.4298999999999999</v>
      </c>
      <c r="P130" s="14"/>
      <c r="Q130" s="14"/>
      <c r="R130" s="14"/>
    </row>
    <row r="131" spans="1:18" ht="15" x14ac:dyDescent="0.2">
      <c r="A131" s="13">
        <v>44835</v>
      </c>
      <c r="B131" s="9">
        <f>3.4698 * CHOOSE(CONTROL!$C$32, $C$9, 100%, $E$9)</f>
        <v>3.4698000000000002</v>
      </c>
      <c r="C131" s="9">
        <f>3.4698 * CHOOSE(CONTROL!$C$32, $C$9, 100%, $E$9)</f>
        <v>3.4698000000000002</v>
      </c>
      <c r="D131" s="9">
        <f>3.4707 * CHOOSE(CONTROL!$C$32, $C$9, 100%, $E$9)</f>
        <v>3.4706999999999999</v>
      </c>
      <c r="E131" s="11">
        <f>4.4195 * CHOOSE(CONTROL!$C$32, $C$9, 100%, $E$9)</f>
        <v>4.4195000000000002</v>
      </c>
      <c r="F131" s="11">
        <f>4.4195 * CHOOSE(CONTROL!$C$32, $C$9, 100%, $E$9)</f>
        <v>4.4195000000000002</v>
      </c>
      <c r="G131" s="11">
        <f>4.4228 * CHOOSE(CONTROL!$C$32, $C$9, 100%, $E$9)</f>
        <v>4.4227999999999996</v>
      </c>
      <c r="H131" s="11">
        <f>7.3591 * CHOOSE(CONTROL!$C$32, $C$9, 100%, $E$9)</f>
        <v>7.3590999999999998</v>
      </c>
      <c r="I131" s="11">
        <f>7.3623 * CHOOSE(CONTROL!$C$32, $C$9, 100%, $E$9)</f>
        <v>7.3623000000000003</v>
      </c>
      <c r="J131" s="11">
        <f>7.3591 * CHOOSE(CONTROL!$C$32, $C$9, 100%, $E$9)</f>
        <v>7.3590999999999998</v>
      </c>
      <c r="K131" s="11">
        <f>7.3623 * CHOOSE(CONTROL!$C$32, $C$9, 100%, $E$9)</f>
        <v>7.3623000000000003</v>
      </c>
      <c r="L131" s="11">
        <f>4.4195 * CHOOSE(CONTROL!$C$32, $C$9, 100%, $E$9)</f>
        <v>4.4195000000000002</v>
      </c>
      <c r="M131" s="11">
        <f>4.4228 * CHOOSE(CONTROL!$C$32, $C$9, 100%, $E$9)</f>
        <v>4.4227999999999996</v>
      </c>
      <c r="N131" s="11">
        <f>4.4195 * CHOOSE(CONTROL!$C$32, $C$9, 100%, $E$9)</f>
        <v>4.4195000000000002</v>
      </c>
      <c r="O131" s="11">
        <f>4.4228 * CHOOSE(CONTROL!$C$32, $C$9, 100%, $E$9)</f>
        <v>4.4227999999999996</v>
      </c>
      <c r="P131" s="14"/>
      <c r="Q131" s="14"/>
      <c r="R131" s="14"/>
    </row>
    <row r="132" spans="1:18" ht="15" x14ac:dyDescent="0.2">
      <c r="A132" s="13">
        <v>44866</v>
      </c>
      <c r="B132" s="9">
        <f>3.4728 * CHOOSE(CONTROL!$C$32, $C$9, 100%, $E$9)</f>
        <v>3.4727999999999999</v>
      </c>
      <c r="C132" s="9">
        <f>3.4728 * CHOOSE(CONTROL!$C$32, $C$9, 100%, $E$9)</f>
        <v>3.4727999999999999</v>
      </c>
      <c r="D132" s="9">
        <f>3.4738 * CHOOSE(CONTROL!$C$32, $C$9, 100%, $E$9)</f>
        <v>3.4738000000000002</v>
      </c>
      <c r="E132" s="11">
        <f>4.4215 * CHOOSE(CONTROL!$C$32, $C$9, 100%, $E$9)</f>
        <v>4.4215</v>
      </c>
      <c r="F132" s="11">
        <f>4.4215 * CHOOSE(CONTROL!$C$32, $C$9, 100%, $E$9)</f>
        <v>4.4215</v>
      </c>
      <c r="G132" s="11">
        <f>4.4248 * CHOOSE(CONTROL!$C$32, $C$9, 100%, $E$9)</f>
        <v>4.4248000000000003</v>
      </c>
      <c r="H132" s="11">
        <f>7.3744 * CHOOSE(CONTROL!$C$32, $C$9, 100%, $E$9)</f>
        <v>7.3743999999999996</v>
      </c>
      <c r="I132" s="11">
        <f>7.3776 * CHOOSE(CONTROL!$C$32, $C$9, 100%, $E$9)</f>
        <v>7.3776000000000002</v>
      </c>
      <c r="J132" s="11">
        <f>7.3744 * CHOOSE(CONTROL!$C$32, $C$9, 100%, $E$9)</f>
        <v>7.3743999999999996</v>
      </c>
      <c r="K132" s="11">
        <f>7.3776 * CHOOSE(CONTROL!$C$32, $C$9, 100%, $E$9)</f>
        <v>7.3776000000000002</v>
      </c>
      <c r="L132" s="11">
        <f>4.4215 * CHOOSE(CONTROL!$C$32, $C$9, 100%, $E$9)</f>
        <v>4.4215</v>
      </c>
      <c r="M132" s="11">
        <f>4.4248 * CHOOSE(CONTROL!$C$32, $C$9, 100%, $E$9)</f>
        <v>4.4248000000000003</v>
      </c>
      <c r="N132" s="11">
        <f>4.4215 * CHOOSE(CONTROL!$C$32, $C$9, 100%, $E$9)</f>
        <v>4.4215</v>
      </c>
      <c r="O132" s="11">
        <f>4.4248 * CHOOSE(CONTROL!$C$32, $C$9, 100%, $E$9)</f>
        <v>4.4248000000000003</v>
      </c>
      <c r="P132" s="14"/>
      <c r="Q132" s="14"/>
      <c r="R132" s="14"/>
    </row>
    <row r="133" spans="1:18" ht="15" x14ac:dyDescent="0.2">
      <c r="A133" s="13">
        <v>44896</v>
      </c>
      <c r="B133" s="9">
        <f>3.4728 * CHOOSE(CONTROL!$C$32, $C$9, 100%, $E$9)</f>
        <v>3.4727999999999999</v>
      </c>
      <c r="C133" s="9">
        <f>3.4728 * CHOOSE(CONTROL!$C$32, $C$9, 100%, $E$9)</f>
        <v>3.4727999999999999</v>
      </c>
      <c r="D133" s="9">
        <f>3.4738 * CHOOSE(CONTROL!$C$32, $C$9, 100%, $E$9)</f>
        <v>3.4738000000000002</v>
      </c>
      <c r="E133" s="11">
        <f>4.4215 * CHOOSE(CONTROL!$C$32, $C$9, 100%, $E$9)</f>
        <v>4.4215</v>
      </c>
      <c r="F133" s="11">
        <f>4.4215 * CHOOSE(CONTROL!$C$32, $C$9, 100%, $E$9)</f>
        <v>4.4215</v>
      </c>
      <c r="G133" s="11">
        <f>4.4248 * CHOOSE(CONTROL!$C$32, $C$9, 100%, $E$9)</f>
        <v>4.4248000000000003</v>
      </c>
      <c r="H133" s="11">
        <f>7.3898 * CHOOSE(CONTROL!$C$32, $C$9, 100%, $E$9)</f>
        <v>7.3898000000000001</v>
      </c>
      <c r="I133" s="11">
        <f>7.393 * CHOOSE(CONTROL!$C$32, $C$9, 100%, $E$9)</f>
        <v>7.3929999999999998</v>
      </c>
      <c r="J133" s="11">
        <f>7.3898 * CHOOSE(CONTROL!$C$32, $C$9, 100%, $E$9)</f>
        <v>7.3898000000000001</v>
      </c>
      <c r="K133" s="11">
        <f>7.393 * CHOOSE(CONTROL!$C$32, $C$9, 100%, $E$9)</f>
        <v>7.3929999999999998</v>
      </c>
      <c r="L133" s="11">
        <f>4.4215 * CHOOSE(CONTROL!$C$32, $C$9, 100%, $E$9)</f>
        <v>4.4215</v>
      </c>
      <c r="M133" s="11">
        <f>4.4248 * CHOOSE(CONTROL!$C$32, $C$9, 100%, $E$9)</f>
        <v>4.4248000000000003</v>
      </c>
      <c r="N133" s="11">
        <f>4.4215 * CHOOSE(CONTROL!$C$32, $C$9, 100%, $E$9)</f>
        <v>4.4215</v>
      </c>
      <c r="O133" s="11">
        <f>4.4248 * CHOOSE(CONTROL!$C$32, $C$9, 100%, $E$9)</f>
        <v>4.4248000000000003</v>
      </c>
      <c r="P133" s="14"/>
      <c r="Q133" s="14"/>
      <c r="R133" s="14"/>
    </row>
    <row r="134" spans="1:18" ht="15" x14ac:dyDescent="0.2">
      <c r="A134" s="13">
        <v>44927</v>
      </c>
      <c r="B134" s="9">
        <f>3.5089 * CHOOSE(CONTROL!$C$32, $C$9, 100%, $E$9)</f>
        <v>3.5089000000000001</v>
      </c>
      <c r="C134" s="9">
        <f>3.5089 * CHOOSE(CONTROL!$C$32, $C$9, 100%, $E$9)</f>
        <v>3.5089000000000001</v>
      </c>
      <c r="D134" s="9">
        <f>3.5098 * CHOOSE(CONTROL!$C$32, $C$9, 100%, $E$9)</f>
        <v>3.5097999999999998</v>
      </c>
      <c r="E134" s="11">
        <f>4.4558 * CHOOSE(CONTROL!$C$32, $C$9, 100%, $E$9)</f>
        <v>4.4558</v>
      </c>
      <c r="F134" s="11">
        <f>4.4558 * CHOOSE(CONTROL!$C$32, $C$9, 100%, $E$9)</f>
        <v>4.4558</v>
      </c>
      <c r="G134" s="11">
        <f>4.459 * CHOOSE(CONTROL!$C$32, $C$9, 100%, $E$9)</f>
        <v>4.4589999999999996</v>
      </c>
      <c r="H134" s="11">
        <f>7.4052 * CHOOSE(CONTROL!$C$32, $C$9, 100%, $E$9)</f>
        <v>7.4051999999999998</v>
      </c>
      <c r="I134" s="11">
        <f>7.4084 * CHOOSE(CONTROL!$C$32, $C$9, 100%, $E$9)</f>
        <v>7.4084000000000003</v>
      </c>
      <c r="J134" s="11">
        <f>7.4052 * CHOOSE(CONTROL!$C$32, $C$9, 100%, $E$9)</f>
        <v>7.4051999999999998</v>
      </c>
      <c r="K134" s="11">
        <f>7.4084 * CHOOSE(CONTROL!$C$32, $C$9, 100%, $E$9)</f>
        <v>7.4084000000000003</v>
      </c>
      <c r="L134" s="11">
        <f>4.4558 * CHOOSE(CONTROL!$C$32, $C$9, 100%, $E$9)</f>
        <v>4.4558</v>
      </c>
      <c r="M134" s="11">
        <f>4.459 * CHOOSE(CONTROL!$C$32, $C$9, 100%, $E$9)</f>
        <v>4.4589999999999996</v>
      </c>
      <c r="N134" s="11">
        <f>4.4558 * CHOOSE(CONTROL!$C$32, $C$9, 100%, $E$9)</f>
        <v>4.4558</v>
      </c>
      <c r="O134" s="11">
        <f>4.459 * CHOOSE(CONTROL!$C$32, $C$9, 100%, $E$9)</f>
        <v>4.4589999999999996</v>
      </c>
      <c r="P134" s="14"/>
      <c r="Q134" s="14"/>
      <c r="R134" s="14"/>
    </row>
    <row r="135" spans="1:18" ht="15" x14ac:dyDescent="0.2">
      <c r="A135" s="13">
        <v>44958</v>
      </c>
      <c r="B135" s="9">
        <f>3.5058 * CHOOSE(CONTROL!$C$32, $C$9, 100%, $E$9)</f>
        <v>3.5057999999999998</v>
      </c>
      <c r="C135" s="9">
        <f>3.5058 * CHOOSE(CONTROL!$C$32, $C$9, 100%, $E$9)</f>
        <v>3.5057999999999998</v>
      </c>
      <c r="D135" s="9">
        <f>3.5068 * CHOOSE(CONTROL!$C$32, $C$9, 100%, $E$9)</f>
        <v>3.5068000000000001</v>
      </c>
      <c r="E135" s="11">
        <f>4.4538 * CHOOSE(CONTROL!$C$32, $C$9, 100%, $E$9)</f>
        <v>4.4538000000000002</v>
      </c>
      <c r="F135" s="11">
        <f>4.4538 * CHOOSE(CONTROL!$C$32, $C$9, 100%, $E$9)</f>
        <v>4.4538000000000002</v>
      </c>
      <c r="G135" s="11">
        <f>4.457 * CHOOSE(CONTROL!$C$32, $C$9, 100%, $E$9)</f>
        <v>4.4569999999999999</v>
      </c>
      <c r="H135" s="11">
        <f>7.4206 * CHOOSE(CONTROL!$C$32, $C$9, 100%, $E$9)</f>
        <v>7.4206000000000003</v>
      </c>
      <c r="I135" s="11">
        <f>7.4238 * CHOOSE(CONTROL!$C$32, $C$9, 100%, $E$9)</f>
        <v>7.4238</v>
      </c>
      <c r="J135" s="11">
        <f>7.4206 * CHOOSE(CONTROL!$C$32, $C$9, 100%, $E$9)</f>
        <v>7.4206000000000003</v>
      </c>
      <c r="K135" s="11">
        <f>7.4238 * CHOOSE(CONTROL!$C$32, $C$9, 100%, $E$9)</f>
        <v>7.4238</v>
      </c>
      <c r="L135" s="11">
        <f>4.4538 * CHOOSE(CONTROL!$C$32, $C$9, 100%, $E$9)</f>
        <v>4.4538000000000002</v>
      </c>
      <c r="M135" s="11">
        <f>4.457 * CHOOSE(CONTROL!$C$32, $C$9, 100%, $E$9)</f>
        <v>4.4569999999999999</v>
      </c>
      <c r="N135" s="11">
        <f>4.4538 * CHOOSE(CONTROL!$C$32, $C$9, 100%, $E$9)</f>
        <v>4.4538000000000002</v>
      </c>
      <c r="O135" s="11">
        <f>4.457 * CHOOSE(CONTROL!$C$32, $C$9, 100%, $E$9)</f>
        <v>4.4569999999999999</v>
      </c>
      <c r="P135" s="14"/>
      <c r="Q135" s="14"/>
      <c r="R135" s="14"/>
    </row>
    <row r="136" spans="1:18" ht="15" x14ac:dyDescent="0.2">
      <c r="A136" s="13">
        <v>44986</v>
      </c>
      <c r="B136" s="9">
        <f>3.5028 * CHOOSE(CONTROL!$C$32, $C$9, 100%, $E$9)</f>
        <v>3.5028000000000001</v>
      </c>
      <c r="C136" s="9">
        <f>3.5028 * CHOOSE(CONTROL!$C$32, $C$9, 100%, $E$9)</f>
        <v>3.5028000000000001</v>
      </c>
      <c r="D136" s="9">
        <f>3.5038 * CHOOSE(CONTROL!$C$32, $C$9, 100%, $E$9)</f>
        <v>3.5038</v>
      </c>
      <c r="E136" s="11">
        <f>4.4518 * CHOOSE(CONTROL!$C$32, $C$9, 100%, $E$9)</f>
        <v>4.4518000000000004</v>
      </c>
      <c r="F136" s="11">
        <f>4.4518 * CHOOSE(CONTROL!$C$32, $C$9, 100%, $E$9)</f>
        <v>4.4518000000000004</v>
      </c>
      <c r="G136" s="11">
        <f>4.455 * CHOOSE(CONTROL!$C$32, $C$9, 100%, $E$9)</f>
        <v>4.4550000000000001</v>
      </c>
      <c r="H136" s="11">
        <f>7.4361 * CHOOSE(CONTROL!$C$32, $C$9, 100%, $E$9)</f>
        <v>7.4360999999999997</v>
      </c>
      <c r="I136" s="11">
        <f>7.4393 * CHOOSE(CONTROL!$C$32, $C$9, 100%, $E$9)</f>
        <v>7.4393000000000002</v>
      </c>
      <c r="J136" s="11">
        <f>7.4361 * CHOOSE(CONTROL!$C$32, $C$9, 100%, $E$9)</f>
        <v>7.4360999999999997</v>
      </c>
      <c r="K136" s="11">
        <f>7.4393 * CHOOSE(CONTROL!$C$32, $C$9, 100%, $E$9)</f>
        <v>7.4393000000000002</v>
      </c>
      <c r="L136" s="11">
        <f>4.4518 * CHOOSE(CONTROL!$C$32, $C$9, 100%, $E$9)</f>
        <v>4.4518000000000004</v>
      </c>
      <c r="M136" s="11">
        <f>4.455 * CHOOSE(CONTROL!$C$32, $C$9, 100%, $E$9)</f>
        <v>4.4550000000000001</v>
      </c>
      <c r="N136" s="11">
        <f>4.4518 * CHOOSE(CONTROL!$C$32, $C$9, 100%, $E$9)</f>
        <v>4.4518000000000004</v>
      </c>
      <c r="O136" s="11">
        <f>4.455 * CHOOSE(CONTROL!$C$32, $C$9, 100%, $E$9)</f>
        <v>4.4550000000000001</v>
      </c>
      <c r="P136" s="14"/>
      <c r="Q136" s="14"/>
      <c r="R136" s="14"/>
    </row>
    <row r="137" spans="1:18" ht="15" x14ac:dyDescent="0.2">
      <c r="A137" s="13">
        <v>45017</v>
      </c>
      <c r="B137" s="9">
        <f>3.5 * CHOOSE(CONTROL!$C$32, $C$9, 100%, $E$9)</f>
        <v>3.5</v>
      </c>
      <c r="C137" s="9">
        <f>3.5 * CHOOSE(CONTROL!$C$32, $C$9, 100%, $E$9)</f>
        <v>3.5</v>
      </c>
      <c r="D137" s="9">
        <f>3.501 * CHOOSE(CONTROL!$C$32, $C$9, 100%, $E$9)</f>
        <v>3.5009999999999999</v>
      </c>
      <c r="E137" s="11">
        <f>4.4495 * CHOOSE(CONTROL!$C$32, $C$9, 100%, $E$9)</f>
        <v>4.4494999999999996</v>
      </c>
      <c r="F137" s="11">
        <f>4.4495 * CHOOSE(CONTROL!$C$32, $C$9, 100%, $E$9)</f>
        <v>4.4494999999999996</v>
      </c>
      <c r="G137" s="11">
        <f>4.4527 * CHOOSE(CONTROL!$C$32, $C$9, 100%, $E$9)</f>
        <v>4.4527000000000001</v>
      </c>
      <c r="H137" s="11">
        <f>7.4516 * CHOOSE(CONTROL!$C$32, $C$9, 100%, $E$9)</f>
        <v>7.4516</v>
      </c>
      <c r="I137" s="11">
        <f>7.4548 * CHOOSE(CONTROL!$C$32, $C$9, 100%, $E$9)</f>
        <v>7.4547999999999996</v>
      </c>
      <c r="J137" s="11">
        <f>7.4516 * CHOOSE(CONTROL!$C$32, $C$9, 100%, $E$9)</f>
        <v>7.4516</v>
      </c>
      <c r="K137" s="11">
        <f>7.4548 * CHOOSE(CONTROL!$C$32, $C$9, 100%, $E$9)</f>
        <v>7.4547999999999996</v>
      </c>
      <c r="L137" s="11">
        <f>4.4495 * CHOOSE(CONTROL!$C$32, $C$9, 100%, $E$9)</f>
        <v>4.4494999999999996</v>
      </c>
      <c r="M137" s="11">
        <f>4.4527 * CHOOSE(CONTROL!$C$32, $C$9, 100%, $E$9)</f>
        <v>4.4527000000000001</v>
      </c>
      <c r="N137" s="11">
        <f>4.4495 * CHOOSE(CONTROL!$C$32, $C$9, 100%, $E$9)</f>
        <v>4.4494999999999996</v>
      </c>
      <c r="O137" s="11">
        <f>4.4527 * CHOOSE(CONTROL!$C$32, $C$9, 100%, $E$9)</f>
        <v>4.4527000000000001</v>
      </c>
      <c r="P137" s="14"/>
      <c r="Q137" s="14"/>
      <c r="R137" s="14"/>
    </row>
    <row r="138" spans="1:18" ht="15" x14ac:dyDescent="0.2">
      <c r="A138" s="13">
        <v>45047</v>
      </c>
      <c r="B138" s="9">
        <f>3.5 * CHOOSE(CONTROL!$C$32, $C$9, 100%, $E$9)</f>
        <v>3.5</v>
      </c>
      <c r="C138" s="9">
        <f>3.5 * CHOOSE(CONTROL!$C$32, $C$9, 100%, $E$9)</f>
        <v>3.5</v>
      </c>
      <c r="D138" s="9">
        <f>3.5013 * CHOOSE(CONTROL!$C$32, $C$9, 100%, $E$9)</f>
        <v>3.5013000000000001</v>
      </c>
      <c r="E138" s="11">
        <f>4.4495 * CHOOSE(CONTROL!$C$32, $C$9, 100%, $E$9)</f>
        <v>4.4494999999999996</v>
      </c>
      <c r="F138" s="11">
        <f>4.4495 * CHOOSE(CONTROL!$C$32, $C$9, 100%, $E$9)</f>
        <v>4.4494999999999996</v>
      </c>
      <c r="G138" s="11">
        <f>4.4537 * CHOOSE(CONTROL!$C$32, $C$9, 100%, $E$9)</f>
        <v>4.4537000000000004</v>
      </c>
      <c r="H138" s="11">
        <f>7.4671 * CHOOSE(CONTROL!$C$32, $C$9, 100%, $E$9)</f>
        <v>7.4671000000000003</v>
      </c>
      <c r="I138" s="11">
        <f>7.4713 * CHOOSE(CONTROL!$C$32, $C$9, 100%, $E$9)</f>
        <v>7.4713000000000003</v>
      </c>
      <c r="J138" s="11">
        <f>7.4671 * CHOOSE(CONTROL!$C$32, $C$9, 100%, $E$9)</f>
        <v>7.4671000000000003</v>
      </c>
      <c r="K138" s="11">
        <f>7.4713 * CHOOSE(CONTROL!$C$32, $C$9, 100%, $E$9)</f>
        <v>7.4713000000000003</v>
      </c>
      <c r="L138" s="11">
        <f>4.4495 * CHOOSE(CONTROL!$C$32, $C$9, 100%, $E$9)</f>
        <v>4.4494999999999996</v>
      </c>
      <c r="M138" s="11">
        <f>4.4537 * CHOOSE(CONTROL!$C$32, $C$9, 100%, $E$9)</f>
        <v>4.4537000000000004</v>
      </c>
      <c r="N138" s="11">
        <f>4.4495 * CHOOSE(CONTROL!$C$32, $C$9, 100%, $E$9)</f>
        <v>4.4494999999999996</v>
      </c>
      <c r="O138" s="11">
        <f>4.4537 * CHOOSE(CONTROL!$C$32, $C$9, 100%, $E$9)</f>
        <v>4.4537000000000004</v>
      </c>
      <c r="P138" s="14"/>
      <c r="Q138" s="14"/>
      <c r="R138" s="14"/>
    </row>
    <row r="139" spans="1:18" ht="15" x14ac:dyDescent="0.2">
      <c r="A139" s="13">
        <v>45078</v>
      </c>
      <c r="B139" s="9">
        <f>3.5061 * CHOOSE(CONTROL!$C$32, $C$9, 100%, $E$9)</f>
        <v>3.5061</v>
      </c>
      <c r="C139" s="9">
        <f>3.5061 * CHOOSE(CONTROL!$C$32, $C$9, 100%, $E$9)</f>
        <v>3.5061</v>
      </c>
      <c r="D139" s="9">
        <f>3.5073 * CHOOSE(CONTROL!$C$32, $C$9, 100%, $E$9)</f>
        <v>3.5072999999999999</v>
      </c>
      <c r="E139" s="11">
        <f>4.4535 * CHOOSE(CONTROL!$C$32, $C$9, 100%, $E$9)</f>
        <v>4.4535</v>
      </c>
      <c r="F139" s="11">
        <f>4.4535 * CHOOSE(CONTROL!$C$32, $C$9, 100%, $E$9)</f>
        <v>4.4535</v>
      </c>
      <c r="G139" s="11">
        <f>4.4577 * CHOOSE(CONTROL!$C$32, $C$9, 100%, $E$9)</f>
        <v>4.4577</v>
      </c>
      <c r="H139" s="11">
        <f>7.4826 * CHOOSE(CONTROL!$C$32, $C$9, 100%, $E$9)</f>
        <v>7.4825999999999997</v>
      </c>
      <c r="I139" s="11">
        <f>7.4868 * CHOOSE(CONTROL!$C$32, $C$9, 100%, $E$9)</f>
        <v>7.4867999999999997</v>
      </c>
      <c r="J139" s="11">
        <f>7.4826 * CHOOSE(CONTROL!$C$32, $C$9, 100%, $E$9)</f>
        <v>7.4825999999999997</v>
      </c>
      <c r="K139" s="11">
        <f>7.4868 * CHOOSE(CONTROL!$C$32, $C$9, 100%, $E$9)</f>
        <v>7.4867999999999997</v>
      </c>
      <c r="L139" s="11">
        <f>4.4535 * CHOOSE(CONTROL!$C$32, $C$9, 100%, $E$9)</f>
        <v>4.4535</v>
      </c>
      <c r="M139" s="11">
        <f>4.4577 * CHOOSE(CONTROL!$C$32, $C$9, 100%, $E$9)</f>
        <v>4.4577</v>
      </c>
      <c r="N139" s="11">
        <f>4.4535 * CHOOSE(CONTROL!$C$32, $C$9, 100%, $E$9)</f>
        <v>4.4535</v>
      </c>
      <c r="O139" s="11">
        <f>4.4577 * CHOOSE(CONTROL!$C$32, $C$9, 100%, $E$9)</f>
        <v>4.4577</v>
      </c>
      <c r="P139" s="14"/>
      <c r="Q139" s="14"/>
      <c r="R139" s="14"/>
    </row>
    <row r="140" spans="1:18" ht="15" x14ac:dyDescent="0.2">
      <c r="A140" s="13">
        <v>45108</v>
      </c>
      <c r="B140" s="9">
        <f>3.5764 * CHOOSE(CONTROL!$C$32, $C$9, 100%, $E$9)</f>
        <v>3.5764</v>
      </c>
      <c r="C140" s="9">
        <f>3.5764 * CHOOSE(CONTROL!$C$32, $C$9, 100%, $E$9)</f>
        <v>3.5764</v>
      </c>
      <c r="D140" s="9">
        <f>3.5776 * CHOOSE(CONTROL!$C$32, $C$9, 100%, $E$9)</f>
        <v>3.5775999999999999</v>
      </c>
      <c r="E140" s="11">
        <f>4.5283 * CHOOSE(CONTROL!$C$32, $C$9, 100%, $E$9)</f>
        <v>4.5282999999999998</v>
      </c>
      <c r="F140" s="11">
        <f>4.5283 * CHOOSE(CONTROL!$C$32, $C$9, 100%, $E$9)</f>
        <v>4.5282999999999998</v>
      </c>
      <c r="G140" s="11">
        <f>4.5325 * CHOOSE(CONTROL!$C$32, $C$9, 100%, $E$9)</f>
        <v>4.5324999999999998</v>
      </c>
      <c r="H140" s="11">
        <f>7.4982 * CHOOSE(CONTROL!$C$32, $C$9, 100%, $E$9)</f>
        <v>7.4981999999999998</v>
      </c>
      <c r="I140" s="11">
        <f>7.5024 * CHOOSE(CONTROL!$C$32, $C$9, 100%, $E$9)</f>
        <v>7.5023999999999997</v>
      </c>
      <c r="J140" s="11">
        <f>7.4982 * CHOOSE(CONTROL!$C$32, $C$9, 100%, $E$9)</f>
        <v>7.4981999999999998</v>
      </c>
      <c r="K140" s="11">
        <f>7.5024 * CHOOSE(CONTROL!$C$32, $C$9, 100%, $E$9)</f>
        <v>7.5023999999999997</v>
      </c>
      <c r="L140" s="11">
        <f>4.5283 * CHOOSE(CONTROL!$C$32, $C$9, 100%, $E$9)</f>
        <v>4.5282999999999998</v>
      </c>
      <c r="M140" s="11">
        <f>4.5325 * CHOOSE(CONTROL!$C$32, $C$9, 100%, $E$9)</f>
        <v>4.5324999999999998</v>
      </c>
      <c r="N140" s="11">
        <f>4.5283 * CHOOSE(CONTROL!$C$32, $C$9, 100%, $E$9)</f>
        <v>4.5282999999999998</v>
      </c>
      <c r="O140" s="11">
        <f>4.5325 * CHOOSE(CONTROL!$C$32, $C$9, 100%, $E$9)</f>
        <v>4.5324999999999998</v>
      </c>
      <c r="P140" s="14"/>
      <c r="Q140" s="14"/>
      <c r="R140" s="14"/>
    </row>
    <row r="141" spans="1:18" ht="15" x14ac:dyDescent="0.2">
      <c r="A141" s="13">
        <v>45139</v>
      </c>
      <c r="B141" s="9">
        <f>3.5831 * CHOOSE(CONTROL!$C$32, $C$9, 100%, $E$9)</f>
        <v>3.5831</v>
      </c>
      <c r="C141" s="9">
        <f>3.5831 * CHOOSE(CONTROL!$C$32, $C$9, 100%, $E$9)</f>
        <v>3.5831</v>
      </c>
      <c r="D141" s="9">
        <f>3.5843 * CHOOSE(CONTROL!$C$32, $C$9, 100%, $E$9)</f>
        <v>3.5842999999999998</v>
      </c>
      <c r="E141" s="11">
        <f>4.5327 * CHOOSE(CONTROL!$C$32, $C$9, 100%, $E$9)</f>
        <v>4.5327000000000002</v>
      </c>
      <c r="F141" s="11">
        <f>4.5327 * CHOOSE(CONTROL!$C$32, $C$9, 100%, $E$9)</f>
        <v>4.5327000000000002</v>
      </c>
      <c r="G141" s="11">
        <f>4.5369 * CHOOSE(CONTROL!$C$32, $C$9, 100%, $E$9)</f>
        <v>4.5369000000000002</v>
      </c>
      <c r="H141" s="11">
        <f>7.5138 * CHOOSE(CONTROL!$C$32, $C$9, 100%, $E$9)</f>
        <v>7.5137999999999998</v>
      </c>
      <c r="I141" s="11">
        <f>7.5181 * CHOOSE(CONTROL!$C$32, $C$9, 100%, $E$9)</f>
        <v>7.5180999999999996</v>
      </c>
      <c r="J141" s="11">
        <f>7.5138 * CHOOSE(CONTROL!$C$32, $C$9, 100%, $E$9)</f>
        <v>7.5137999999999998</v>
      </c>
      <c r="K141" s="11">
        <f>7.5181 * CHOOSE(CONTROL!$C$32, $C$9, 100%, $E$9)</f>
        <v>7.5180999999999996</v>
      </c>
      <c r="L141" s="11">
        <f>4.5327 * CHOOSE(CONTROL!$C$32, $C$9, 100%, $E$9)</f>
        <v>4.5327000000000002</v>
      </c>
      <c r="M141" s="11">
        <f>4.5369 * CHOOSE(CONTROL!$C$32, $C$9, 100%, $E$9)</f>
        <v>4.5369000000000002</v>
      </c>
      <c r="N141" s="11">
        <f>4.5327 * CHOOSE(CONTROL!$C$32, $C$9, 100%, $E$9)</f>
        <v>4.5327000000000002</v>
      </c>
      <c r="O141" s="11">
        <f>4.5369 * CHOOSE(CONTROL!$C$32, $C$9, 100%, $E$9)</f>
        <v>4.5369000000000002</v>
      </c>
      <c r="P141" s="14"/>
      <c r="Q141" s="14"/>
      <c r="R141" s="14"/>
    </row>
    <row r="142" spans="1:18" ht="15" x14ac:dyDescent="0.2">
      <c r="A142" s="13">
        <v>45170</v>
      </c>
      <c r="B142" s="9">
        <f>3.58 * CHOOSE(CONTROL!$C$32, $C$9, 100%, $E$9)</f>
        <v>3.58</v>
      </c>
      <c r="C142" s="9">
        <f>3.58 * CHOOSE(CONTROL!$C$32, $C$9, 100%, $E$9)</f>
        <v>3.58</v>
      </c>
      <c r="D142" s="9">
        <f>3.5813 * CHOOSE(CONTROL!$C$32, $C$9, 100%, $E$9)</f>
        <v>3.5813000000000001</v>
      </c>
      <c r="E142" s="11">
        <f>4.5307 * CHOOSE(CONTROL!$C$32, $C$9, 100%, $E$9)</f>
        <v>4.5307000000000004</v>
      </c>
      <c r="F142" s="11">
        <f>4.5307 * CHOOSE(CONTROL!$C$32, $C$9, 100%, $E$9)</f>
        <v>4.5307000000000004</v>
      </c>
      <c r="G142" s="11">
        <f>4.5349 * CHOOSE(CONTROL!$C$32, $C$9, 100%, $E$9)</f>
        <v>4.5349000000000004</v>
      </c>
      <c r="H142" s="11">
        <f>7.5295 * CHOOSE(CONTROL!$C$32, $C$9, 100%, $E$9)</f>
        <v>7.5294999999999996</v>
      </c>
      <c r="I142" s="11">
        <f>7.5337 * CHOOSE(CONTROL!$C$32, $C$9, 100%, $E$9)</f>
        <v>7.5336999999999996</v>
      </c>
      <c r="J142" s="11">
        <f>7.5295 * CHOOSE(CONTROL!$C$32, $C$9, 100%, $E$9)</f>
        <v>7.5294999999999996</v>
      </c>
      <c r="K142" s="11">
        <f>7.5337 * CHOOSE(CONTROL!$C$32, $C$9, 100%, $E$9)</f>
        <v>7.5336999999999996</v>
      </c>
      <c r="L142" s="11">
        <f>4.5307 * CHOOSE(CONTROL!$C$32, $C$9, 100%, $E$9)</f>
        <v>4.5307000000000004</v>
      </c>
      <c r="M142" s="11">
        <f>4.5349 * CHOOSE(CONTROL!$C$32, $C$9, 100%, $E$9)</f>
        <v>4.5349000000000004</v>
      </c>
      <c r="N142" s="11">
        <f>4.5307 * CHOOSE(CONTROL!$C$32, $C$9, 100%, $E$9)</f>
        <v>4.5307000000000004</v>
      </c>
      <c r="O142" s="11">
        <f>4.5349 * CHOOSE(CONTROL!$C$32, $C$9, 100%, $E$9)</f>
        <v>4.5349000000000004</v>
      </c>
      <c r="P142" s="14"/>
      <c r="Q142" s="14"/>
      <c r="R142" s="14"/>
    </row>
    <row r="143" spans="1:18" ht="15" x14ac:dyDescent="0.2">
      <c r="A143" s="13">
        <v>45200</v>
      </c>
      <c r="B143" s="9">
        <f>3.5736 * CHOOSE(CONTROL!$C$32, $C$9, 100%, $E$9)</f>
        <v>3.5735999999999999</v>
      </c>
      <c r="C143" s="9">
        <f>3.5736 * CHOOSE(CONTROL!$C$32, $C$9, 100%, $E$9)</f>
        <v>3.5735999999999999</v>
      </c>
      <c r="D143" s="9">
        <f>3.5746 * CHOOSE(CONTROL!$C$32, $C$9, 100%, $E$9)</f>
        <v>3.5746000000000002</v>
      </c>
      <c r="E143" s="11">
        <f>4.5247 * CHOOSE(CONTROL!$C$32, $C$9, 100%, $E$9)</f>
        <v>4.5247000000000002</v>
      </c>
      <c r="F143" s="11">
        <f>4.5247 * CHOOSE(CONTROL!$C$32, $C$9, 100%, $E$9)</f>
        <v>4.5247000000000002</v>
      </c>
      <c r="G143" s="11">
        <f>4.5279 * CHOOSE(CONTROL!$C$32, $C$9, 100%, $E$9)</f>
        <v>4.5278999999999998</v>
      </c>
      <c r="H143" s="11">
        <f>7.5452 * CHOOSE(CONTROL!$C$32, $C$9, 100%, $E$9)</f>
        <v>7.5452000000000004</v>
      </c>
      <c r="I143" s="11">
        <f>7.5484 * CHOOSE(CONTROL!$C$32, $C$9, 100%, $E$9)</f>
        <v>7.5484</v>
      </c>
      <c r="J143" s="11">
        <f>7.5452 * CHOOSE(CONTROL!$C$32, $C$9, 100%, $E$9)</f>
        <v>7.5452000000000004</v>
      </c>
      <c r="K143" s="11">
        <f>7.5484 * CHOOSE(CONTROL!$C$32, $C$9, 100%, $E$9)</f>
        <v>7.5484</v>
      </c>
      <c r="L143" s="11">
        <f>4.5247 * CHOOSE(CONTROL!$C$32, $C$9, 100%, $E$9)</f>
        <v>4.5247000000000002</v>
      </c>
      <c r="M143" s="11">
        <f>4.5279 * CHOOSE(CONTROL!$C$32, $C$9, 100%, $E$9)</f>
        <v>4.5278999999999998</v>
      </c>
      <c r="N143" s="11">
        <f>4.5247 * CHOOSE(CONTROL!$C$32, $C$9, 100%, $E$9)</f>
        <v>4.5247000000000002</v>
      </c>
      <c r="O143" s="11">
        <f>4.5279 * CHOOSE(CONTROL!$C$32, $C$9, 100%, $E$9)</f>
        <v>4.5278999999999998</v>
      </c>
      <c r="P143" s="14"/>
      <c r="Q143" s="14"/>
      <c r="R143" s="14"/>
    </row>
    <row r="144" spans="1:18" ht="15" x14ac:dyDescent="0.2">
      <c r="A144" s="13">
        <v>45231</v>
      </c>
      <c r="B144" s="9">
        <f>3.5766 * CHOOSE(CONTROL!$C$32, $C$9, 100%, $E$9)</f>
        <v>3.5766</v>
      </c>
      <c r="C144" s="9">
        <f>3.5766 * CHOOSE(CONTROL!$C$32, $C$9, 100%, $E$9)</f>
        <v>3.5766</v>
      </c>
      <c r="D144" s="9">
        <f>3.5776 * CHOOSE(CONTROL!$C$32, $C$9, 100%, $E$9)</f>
        <v>3.5775999999999999</v>
      </c>
      <c r="E144" s="11">
        <f>4.5267 * CHOOSE(CONTROL!$C$32, $C$9, 100%, $E$9)</f>
        <v>4.5266999999999999</v>
      </c>
      <c r="F144" s="11">
        <f>4.5267 * CHOOSE(CONTROL!$C$32, $C$9, 100%, $E$9)</f>
        <v>4.5266999999999999</v>
      </c>
      <c r="G144" s="11">
        <f>4.5299 * CHOOSE(CONTROL!$C$32, $C$9, 100%, $E$9)</f>
        <v>4.5298999999999996</v>
      </c>
      <c r="H144" s="11">
        <f>7.5609 * CHOOSE(CONTROL!$C$32, $C$9, 100%, $E$9)</f>
        <v>7.5609000000000002</v>
      </c>
      <c r="I144" s="11">
        <f>7.5641 * CHOOSE(CONTROL!$C$32, $C$9, 100%, $E$9)</f>
        <v>7.5640999999999998</v>
      </c>
      <c r="J144" s="11">
        <f>7.5609 * CHOOSE(CONTROL!$C$32, $C$9, 100%, $E$9)</f>
        <v>7.5609000000000002</v>
      </c>
      <c r="K144" s="11">
        <f>7.5641 * CHOOSE(CONTROL!$C$32, $C$9, 100%, $E$9)</f>
        <v>7.5640999999999998</v>
      </c>
      <c r="L144" s="11">
        <f>4.5267 * CHOOSE(CONTROL!$C$32, $C$9, 100%, $E$9)</f>
        <v>4.5266999999999999</v>
      </c>
      <c r="M144" s="11">
        <f>4.5299 * CHOOSE(CONTROL!$C$32, $C$9, 100%, $E$9)</f>
        <v>4.5298999999999996</v>
      </c>
      <c r="N144" s="11">
        <f>4.5267 * CHOOSE(CONTROL!$C$32, $C$9, 100%, $E$9)</f>
        <v>4.5266999999999999</v>
      </c>
      <c r="O144" s="11">
        <f>4.5299 * CHOOSE(CONTROL!$C$32, $C$9, 100%, $E$9)</f>
        <v>4.5298999999999996</v>
      </c>
      <c r="P144" s="14"/>
      <c r="Q144" s="14"/>
      <c r="R144" s="14"/>
    </row>
    <row r="145" spans="1:18" ht="15" x14ac:dyDescent="0.2">
      <c r="A145" s="13">
        <v>45261</v>
      </c>
      <c r="B145" s="9">
        <f>3.5766 * CHOOSE(CONTROL!$C$32, $C$9, 100%, $E$9)</f>
        <v>3.5766</v>
      </c>
      <c r="C145" s="9">
        <f>3.5766 * CHOOSE(CONTROL!$C$32, $C$9, 100%, $E$9)</f>
        <v>3.5766</v>
      </c>
      <c r="D145" s="9">
        <f>3.5776 * CHOOSE(CONTROL!$C$32, $C$9, 100%, $E$9)</f>
        <v>3.5775999999999999</v>
      </c>
      <c r="E145" s="11">
        <f>4.5267 * CHOOSE(CONTROL!$C$32, $C$9, 100%, $E$9)</f>
        <v>4.5266999999999999</v>
      </c>
      <c r="F145" s="11">
        <f>4.5267 * CHOOSE(CONTROL!$C$32, $C$9, 100%, $E$9)</f>
        <v>4.5266999999999999</v>
      </c>
      <c r="G145" s="11">
        <f>4.5299 * CHOOSE(CONTROL!$C$32, $C$9, 100%, $E$9)</f>
        <v>4.5298999999999996</v>
      </c>
      <c r="H145" s="11">
        <f>7.5767 * CHOOSE(CONTROL!$C$32, $C$9, 100%, $E$9)</f>
        <v>7.5766999999999998</v>
      </c>
      <c r="I145" s="11">
        <f>7.5799 * CHOOSE(CONTROL!$C$32, $C$9, 100%, $E$9)</f>
        <v>7.5799000000000003</v>
      </c>
      <c r="J145" s="11">
        <f>7.5767 * CHOOSE(CONTROL!$C$32, $C$9, 100%, $E$9)</f>
        <v>7.5766999999999998</v>
      </c>
      <c r="K145" s="11">
        <f>7.5799 * CHOOSE(CONTROL!$C$32, $C$9, 100%, $E$9)</f>
        <v>7.5799000000000003</v>
      </c>
      <c r="L145" s="11">
        <f>4.5267 * CHOOSE(CONTROL!$C$32, $C$9, 100%, $E$9)</f>
        <v>4.5266999999999999</v>
      </c>
      <c r="M145" s="11">
        <f>4.5299 * CHOOSE(CONTROL!$C$32, $C$9, 100%, $E$9)</f>
        <v>4.5298999999999996</v>
      </c>
      <c r="N145" s="11">
        <f>4.5267 * CHOOSE(CONTROL!$C$32, $C$9, 100%, $E$9)</f>
        <v>4.5266999999999999</v>
      </c>
      <c r="O145" s="11">
        <f>4.5299 * CHOOSE(CONTROL!$C$32, $C$9, 100%, $E$9)</f>
        <v>4.5298999999999996</v>
      </c>
      <c r="P145" s="14"/>
      <c r="Q145" s="14"/>
      <c r="R145" s="14"/>
    </row>
    <row r="146" spans="1:18" ht="15" x14ac:dyDescent="0.2">
      <c r="A146" s="13">
        <v>45292</v>
      </c>
      <c r="B146" s="9">
        <f>3.6058 * CHOOSE(CONTROL!$C$32, $C$9, 100%, $E$9)</f>
        <v>3.6057999999999999</v>
      </c>
      <c r="C146" s="9">
        <f>3.6058 * CHOOSE(CONTROL!$C$32, $C$9, 100%, $E$9)</f>
        <v>3.6057999999999999</v>
      </c>
      <c r="D146" s="9">
        <f>3.6068 * CHOOSE(CONTROL!$C$32, $C$9, 100%, $E$9)</f>
        <v>3.6067999999999998</v>
      </c>
      <c r="E146" s="11">
        <f>4.5664 * CHOOSE(CONTROL!$C$32, $C$9, 100%, $E$9)</f>
        <v>4.5663999999999998</v>
      </c>
      <c r="F146" s="11">
        <f>4.5664 * CHOOSE(CONTROL!$C$32, $C$9, 100%, $E$9)</f>
        <v>4.5663999999999998</v>
      </c>
      <c r="G146" s="11">
        <f>4.5696 * CHOOSE(CONTROL!$C$32, $C$9, 100%, $E$9)</f>
        <v>4.5696000000000003</v>
      </c>
      <c r="H146" s="11">
        <f>7.5924 * CHOOSE(CONTROL!$C$32, $C$9, 100%, $E$9)</f>
        <v>7.5923999999999996</v>
      </c>
      <c r="I146" s="11">
        <f>7.5957 * CHOOSE(CONTROL!$C$32, $C$9, 100%, $E$9)</f>
        <v>7.5956999999999999</v>
      </c>
      <c r="J146" s="11">
        <f>7.5924 * CHOOSE(CONTROL!$C$32, $C$9, 100%, $E$9)</f>
        <v>7.5923999999999996</v>
      </c>
      <c r="K146" s="11">
        <f>7.5957 * CHOOSE(CONTROL!$C$32, $C$9, 100%, $E$9)</f>
        <v>7.5956999999999999</v>
      </c>
      <c r="L146" s="11">
        <f>4.5664 * CHOOSE(CONTROL!$C$32, $C$9, 100%, $E$9)</f>
        <v>4.5663999999999998</v>
      </c>
      <c r="M146" s="11">
        <f>4.5696 * CHOOSE(CONTROL!$C$32, $C$9, 100%, $E$9)</f>
        <v>4.5696000000000003</v>
      </c>
      <c r="N146" s="11">
        <f>4.5664 * CHOOSE(CONTROL!$C$32, $C$9, 100%, $E$9)</f>
        <v>4.5663999999999998</v>
      </c>
      <c r="O146" s="11">
        <f>4.5696 * CHOOSE(CONTROL!$C$32, $C$9, 100%, $E$9)</f>
        <v>4.5696000000000003</v>
      </c>
      <c r="P146" s="14"/>
      <c r="Q146" s="14"/>
      <c r="R146" s="14"/>
    </row>
    <row r="147" spans="1:18" ht="15" x14ac:dyDescent="0.2">
      <c r="A147" s="13">
        <v>45323</v>
      </c>
      <c r="B147" s="9">
        <f>3.6028 * CHOOSE(CONTROL!$C$32, $C$9, 100%, $E$9)</f>
        <v>3.6027999999999998</v>
      </c>
      <c r="C147" s="9">
        <f>3.6028 * CHOOSE(CONTROL!$C$32, $C$9, 100%, $E$9)</f>
        <v>3.6027999999999998</v>
      </c>
      <c r="D147" s="9">
        <f>3.6037 * CHOOSE(CONTROL!$C$32, $C$9, 100%, $E$9)</f>
        <v>3.6036999999999999</v>
      </c>
      <c r="E147" s="11">
        <f>4.5644 * CHOOSE(CONTROL!$C$32, $C$9, 100%, $E$9)</f>
        <v>4.5644</v>
      </c>
      <c r="F147" s="11">
        <f>4.5644 * CHOOSE(CONTROL!$C$32, $C$9, 100%, $E$9)</f>
        <v>4.5644</v>
      </c>
      <c r="G147" s="11">
        <f>4.5676 * CHOOSE(CONTROL!$C$32, $C$9, 100%, $E$9)</f>
        <v>4.5675999999999997</v>
      </c>
      <c r="H147" s="11">
        <f>7.6083 * CHOOSE(CONTROL!$C$32, $C$9, 100%, $E$9)</f>
        <v>7.6082999999999998</v>
      </c>
      <c r="I147" s="11">
        <f>7.6115 * CHOOSE(CONTROL!$C$32, $C$9, 100%, $E$9)</f>
        <v>7.6115000000000004</v>
      </c>
      <c r="J147" s="11">
        <f>7.6083 * CHOOSE(CONTROL!$C$32, $C$9, 100%, $E$9)</f>
        <v>7.6082999999999998</v>
      </c>
      <c r="K147" s="11">
        <f>7.6115 * CHOOSE(CONTROL!$C$32, $C$9, 100%, $E$9)</f>
        <v>7.6115000000000004</v>
      </c>
      <c r="L147" s="11">
        <f>4.5644 * CHOOSE(CONTROL!$C$32, $C$9, 100%, $E$9)</f>
        <v>4.5644</v>
      </c>
      <c r="M147" s="11">
        <f>4.5676 * CHOOSE(CONTROL!$C$32, $C$9, 100%, $E$9)</f>
        <v>4.5675999999999997</v>
      </c>
      <c r="N147" s="11">
        <f>4.5644 * CHOOSE(CONTROL!$C$32, $C$9, 100%, $E$9)</f>
        <v>4.5644</v>
      </c>
      <c r="O147" s="11">
        <f>4.5676 * CHOOSE(CONTROL!$C$32, $C$9, 100%, $E$9)</f>
        <v>4.5675999999999997</v>
      </c>
      <c r="P147" s="14"/>
      <c r="Q147" s="14"/>
      <c r="R147" s="14"/>
    </row>
    <row r="148" spans="1:18" ht="15" x14ac:dyDescent="0.2">
      <c r="A148" s="13">
        <v>45352</v>
      </c>
      <c r="B148" s="9">
        <f>3.5997 * CHOOSE(CONTROL!$C$32, $C$9, 100%, $E$9)</f>
        <v>3.5996999999999999</v>
      </c>
      <c r="C148" s="9">
        <f>3.5997 * CHOOSE(CONTROL!$C$32, $C$9, 100%, $E$9)</f>
        <v>3.5996999999999999</v>
      </c>
      <c r="D148" s="9">
        <f>3.6007 * CHOOSE(CONTROL!$C$32, $C$9, 100%, $E$9)</f>
        <v>3.6006999999999998</v>
      </c>
      <c r="E148" s="11">
        <f>4.5624 * CHOOSE(CONTROL!$C$32, $C$9, 100%, $E$9)</f>
        <v>4.5624000000000002</v>
      </c>
      <c r="F148" s="11">
        <f>4.5624 * CHOOSE(CONTROL!$C$32, $C$9, 100%, $E$9)</f>
        <v>4.5624000000000002</v>
      </c>
      <c r="G148" s="11">
        <f>4.5656 * CHOOSE(CONTROL!$C$32, $C$9, 100%, $E$9)</f>
        <v>4.5655999999999999</v>
      </c>
      <c r="H148" s="11">
        <f>7.6241 * CHOOSE(CONTROL!$C$32, $C$9, 100%, $E$9)</f>
        <v>7.6241000000000003</v>
      </c>
      <c r="I148" s="11">
        <f>7.6273 * CHOOSE(CONTROL!$C$32, $C$9, 100%, $E$9)</f>
        <v>7.6273</v>
      </c>
      <c r="J148" s="11">
        <f>7.6241 * CHOOSE(CONTROL!$C$32, $C$9, 100%, $E$9)</f>
        <v>7.6241000000000003</v>
      </c>
      <c r="K148" s="11">
        <f>7.6273 * CHOOSE(CONTROL!$C$32, $C$9, 100%, $E$9)</f>
        <v>7.6273</v>
      </c>
      <c r="L148" s="11">
        <f>4.5624 * CHOOSE(CONTROL!$C$32, $C$9, 100%, $E$9)</f>
        <v>4.5624000000000002</v>
      </c>
      <c r="M148" s="11">
        <f>4.5656 * CHOOSE(CONTROL!$C$32, $C$9, 100%, $E$9)</f>
        <v>4.5655999999999999</v>
      </c>
      <c r="N148" s="11">
        <f>4.5624 * CHOOSE(CONTROL!$C$32, $C$9, 100%, $E$9)</f>
        <v>4.5624000000000002</v>
      </c>
      <c r="O148" s="11">
        <f>4.5656 * CHOOSE(CONTROL!$C$32, $C$9, 100%, $E$9)</f>
        <v>4.5655999999999999</v>
      </c>
      <c r="P148" s="14"/>
      <c r="Q148" s="14"/>
      <c r="R148" s="14"/>
    </row>
    <row r="149" spans="1:18" ht="15" x14ac:dyDescent="0.2">
      <c r="A149" s="13">
        <v>45383</v>
      </c>
      <c r="B149" s="9">
        <f>3.597 * CHOOSE(CONTROL!$C$32, $C$9, 100%, $E$9)</f>
        <v>3.597</v>
      </c>
      <c r="C149" s="9">
        <f>3.597 * CHOOSE(CONTROL!$C$32, $C$9, 100%, $E$9)</f>
        <v>3.597</v>
      </c>
      <c r="D149" s="9">
        <f>3.598 * CHOOSE(CONTROL!$C$32, $C$9, 100%, $E$9)</f>
        <v>3.5979999999999999</v>
      </c>
      <c r="E149" s="11">
        <f>4.5602 * CHOOSE(CONTROL!$C$32, $C$9, 100%, $E$9)</f>
        <v>4.5602</v>
      </c>
      <c r="F149" s="11">
        <f>4.5602 * CHOOSE(CONTROL!$C$32, $C$9, 100%, $E$9)</f>
        <v>4.5602</v>
      </c>
      <c r="G149" s="11">
        <f>4.5634 * CHOOSE(CONTROL!$C$32, $C$9, 100%, $E$9)</f>
        <v>4.5633999999999997</v>
      </c>
      <c r="H149" s="11">
        <f>7.64 * CHOOSE(CONTROL!$C$32, $C$9, 100%, $E$9)</f>
        <v>7.64</v>
      </c>
      <c r="I149" s="11">
        <f>7.6432 * CHOOSE(CONTROL!$C$32, $C$9, 100%, $E$9)</f>
        <v>7.6432000000000002</v>
      </c>
      <c r="J149" s="11">
        <f>7.64 * CHOOSE(CONTROL!$C$32, $C$9, 100%, $E$9)</f>
        <v>7.64</v>
      </c>
      <c r="K149" s="11">
        <f>7.6432 * CHOOSE(CONTROL!$C$32, $C$9, 100%, $E$9)</f>
        <v>7.6432000000000002</v>
      </c>
      <c r="L149" s="11">
        <f>4.5602 * CHOOSE(CONTROL!$C$32, $C$9, 100%, $E$9)</f>
        <v>4.5602</v>
      </c>
      <c r="M149" s="11">
        <f>4.5634 * CHOOSE(CONTROL!$C$32, $C$9, 100%, $E$9)</f>
        <v>4.5633999999999997</v>
      </c>
      <c r="N149" s="11">
        <f>4.5602 * CHOOSE(CONTROL!$C$32, $C$9, 100%, $E$9)</f>
        <v>4.5602</v>
      </c>
      <c r="O149" s="11">
        <f>4.5634 * CHOOSE(CONTROL!$C$32, $C$9, 100%, $E$9)</f>
        <v>4.5633999999999997</v>
      </c>
      <c r="P149" s="14"/>
      <c r="Q149" s="14"/>
      <c r="R149" s="14"/>
    </row>
    <row r="150" spans="1:18" ht="15" x14ac:dyDescent="0.2">
      <c r="A150" s="13">
        <v>45413</v>
      </c>
      <c r="B150" s="9">
        <f>3.597 * CHOOSE(CONTROL!$C$32, $C$9, 100%, $E$9)</f>
        <v>3.597</v>
      </c>
      <c r="C150" s="9">
        <f>3.597 * CHOOSE(CONTROL!$C$32, $C$9, 100%, $E$9)</f>
        <v>3.597</v>
      </c>
      <c r="D150" s="9">
        <f>3.5983 * CHOOSE(CONTROL!$C$32, $C$9, 100%, $E$9)</f>
        <v>3.5983000000000001</v>
      </c>
      <c r="E150" s="11">
        <f>4.5602 * CHOOSE(CONTROL!$C$32, $C$9, 100%, $E$9)</f>
        <v>4.5602</v>
      </c>
      <c r="F150" s="11">
        <f>4.5602 * CHOOSE(CONTROL!$C$32, $C$9, 100%, $E$9)</f>
        <v>4.5602</v>
      </c>
      <c r="G150" s="11">
        <f>4.5644 * CHOOSE(CONTROL!$C$32, $C$9, 100%, $E$9)</f>
        <v>4.5644</v>
      </c>
      <c r="H150" s="11">
        <f>7.6559 * CHOOSE(CONTROL!$C$32, $C$9, 100%, $E$9)</f>
        <v>7.6558999999999999</v>
      </c>
      <c r="I150" s="11">
        <f>7.6601 * CHOOSE(CONTROL!$C$32, $C$9, 100%, $E$9)</f>
        <v>7.6600999999999999</v>
      </c>
      <c r="J150" s="11">
        <f>7.6559 * CHOOSE(CONTROL!$C$32, $C$9, 100%, $E$9)</f>
        <v>7.6558999999999999</v>
      </c>
      <c r="K150" s="11">
        <f>7.6601 * CHOOSE(CONTROL!$C$32, $C$9, 100%, $E$9)</f>
        <v>7.6600999999999999</v>
      </c>
      <c r="L150" s="11">
        <f>4.5602 * CHOOSE(CONTROL!$C$32, $C$9, 100%, $E$9)</f>
        <v>4.5602</v>
      </c>
      <c r="M150" s="11">
        <f>4.5644 * CHOOSE(CONTROL!$C$32, $C$9, 100%, $E$9)</f>
        <v>4.5644</v>
      </c>
      <c r="N150" s="11">
        <f>4.5602 * CHOOSE(CONTROL!$C$32, $C$9, 100%, $E$9)</f>
        <v>4.5602</v>
      </c>
      <c r="O150" s="11">
        <f>4.5644 * CHOOSE(CONTROL!$C$32, $C$9, 100%, $E$9)</f>
        <v>4.5644</v>
      </c>
      <c r="P150" s="14"/>
      <c r="Q150" s="14"/>
      <c r="R150" s="14"/>
    </row>
    <row r="151" spans="1:18" ht="15" x14ac:dyDescent="0.2">
      <c r="A151" s="13">
        <v>45444</v>
      </c>
      <c r="B151" s="9">
        <f>3.6031 * CHOOSE(CONTROL!$C$32, $C$9, 100%, $E$9)</f>
        <v>3.6031</v>
      </c>
      <c r="C151" s="9">
        <f>3.6031 * CHOOSE(CONTROL!$C$32, $C$9, 100%, $E$9)</f>
        <v>3.6031</v>
      </c>
      <c r="D151" s="9">
        <f>3.6044 * CHOOSE(CONTROL!$C$32, $C$9, 100%, $E$9)</f>
        <v>3.6044</v>
      </c>
      <c r="E151" s="11">
        <f>4.5642 * CHOOSE(CONTROL!$C$32, $C$9, 100%, $E$9)</f>
        <v>4.5641999999999996</v>
      </c>
      <c r="F151" s="11">
        <f>4.5642 * CHOOSE(CONTROL!$C$32, $C$9, 100%, $E$9)</f>
        <v>4.5641999999999996</v>
      </c>
      <c r="G151" s="11">
        <f>4.5684 * CHOOSE(CONTROL!$C$32, $C$9, 100%, $E$9)</f>
        <v>4.5683999999999996</v>
      </c>
      <c r="H151" s="11">
        <f>7.6719 * CHOOSE(CONTROL!$C$32, $C$9, 100%, $E$9)</f>
        <v>7.6718999999999999</v>
      </c>
      <c r="I151" s="11">
        <f>7.6761 * CHOOSE(CONTROL!$C$32, $C$9, 100%, $E$9)</f>
        <v>7.6760999999999999</v>
      </c>
      <c r="J151" s="11">
        <f>7.6719 * CHOOSE(CONTROL!$C$32, $C$9, 100%, $E$9)</f>
        <v>7.6718999999999999</v>
      </c>
      <c r="K151" s="11">
        <f>7.6761 * CHOOSE(CONTROL!$C$32, $C$9, 100%, $E$9)</f>
        <v>7.6760999999999999</v>
      </c>
      <c r="L151" s="11">
        <f>4.5642 * CHOOSE(CONTROL!$C$32, $C$9, 100%, $E$9)</f>
        <v>4.5641999999999996</v>
      </c>
      <c r="M151" s="11">
        <f>4.5684 * CHOOSE(CONTROL!$C$32, $C$9, 100%, $E$9)</f>
        <v>4.5683999999999996</v>
      </c>
      <c r="N151" s="11">
        <f>4.5642 * CHOOSE(CONTROL!$C$32, $C$9, 100%, $E$9)</f>
        <v>4.5641999999999996</v>
      </c>
      <c r="O151" s="11">
        <f>4.5684 * CHOOSE(CONTROL!$C$32, $C$9, 100%, $E$9)</f>
        <v>4.5683999999999996</v>
      </c>
      <c r="P151" s="14"/>
      <c r="Q151" s="14"/>
      <c r="R151" s="14"/>
    </row>
    <row r="152" spans="1:18" ht="15" x14ac:dyDescent="0.2">
      <c r="A152" s="13">
        <v>45474</v>
      </c>
      <c r="B152" s="9">
        <f>3.6559 * CHOOSE(CONTROL!$C$32, $C$9, 100%, $E$9)</f>
        <v>3.6558999999999999</v>
      </c>
      <c r="C152" s="9">
        <f>3.6559 * CHOOSE(CONTROL!$C$32, $C$9, 100%, $E$9)</f>
        <v>3.6558999999999999</v>
      </c>
      <c r="D152" s="9">
        <f>3.6571 * CHOOSE(CONTROL!$C$32, $C$9, 100%, $E$9)</f>
        <v>3.6570999999999998</v>
      </c>
      <c r="E152" s="11">
        <f>4.6521 * CHOOSE(CONTROL!$C$32, $C$9, 100%, $E$9)</f>
        <v>4.6520999999999999</v>
      </c>
      <c r="F152" s="11">
        <f>4.6521 * CHOOSE(CONTROL!$C$32, $C$9, 100%, $E$9)</f>
        <v>4.6520999999999999</v>
      </c>
      <c r="G152" s="11">
        <f>4.6563 * CHOOSE(CONTROL!$C$32, $C$9, 100%, $E$9)</f>
        <v>4.6562999999999999</v>
      </c>
      <c r="H152" s="11">
        <f>7.6878 * CHOOSE(CONTROL!$C$32, $C$9, 100%, $E$9)</f>
        <v>7.6878000000000002</v>
      </c>
      <c r="I152" s="11">
        <f>7.692 * CHOOSE(CONTROL!$C$32, $C$9, 100%, $E$9)</f>
        <v>7.6920000000000002</v>
      </c>
      <c r="J152" s="11">
        <f>7.6878 * CHOOSE(CONTROL!$C$32, $C$9, 100%, $E$9)</f>
        <v>7.6878000000000002</v>
      </c>
      <c r="K152" s="11">
        <f>7.692 * CHOOSE(CONTROL!$C$32, $C$9, 100%, $E$9)</f>
        <v>7.6920000000000002</v>
      </c>
      <c r="L152" s="11">
        <f>4.6521 * CHOOSE(CONTROL!$C$32, $C$9, 100%, $E$9)</f>
        <v>4.6520999999999999</v>
      </c>
      <c r="M152" s="11">
        <f>4.6563 * CHOOSE(CONTROL!$C$32, $C$9, 100%, $E$9)</f>
        <v>4.6562999999999999</v>
      </c>
      <c r="N152" s="11">
        <f>4.6521 * CHOOSE(CONTROL!$C$32, $C$9, 100%, $E$9)</f>
        <v>4.6520999999999999</v>
      </c>
      <c r="O152" s="11">
        <f>4.6563 * CHOOSE(CONTROL!$C$32, $C$9, 100%, $E$9)</f>
        <v>4.6562999999999999</v>
      </c>
      <c r="P152" s="14"/>
      <c r="Q152" s="14"/>
      <c r="R152" s="14"/>
    </row>
    <row r="153" spans="1:18" ht="15" x14ac:dyDescent="0.2">
      <c r="A153" s="13">
        <v>45505</v>
      </c>
      <c r="B153" s="9">
        <f>3.6626 * CHOOSE(CONTROL!$C$32, $C$9, 100%, $E$9)</f>
        <v>3.6625999999999999</v>
      </c>
      <c r="C153" s="9">
        <f>3.6626 * CHOOSE(CONTROL!$C$32, $C$9, 100%, $E$9)</f>
        <v>3.6625999999999999</v>
      </c>
      <c r="D153" s="9">
        <f>3.6638 * CHOOSE(CONTROL!$C$32, $C$9, 100%, $E$9)</f>
        <v>3.6638000000000002</v>
      </c>
      <c r="E153" s="11">
        <f>4.6565 * CHOOSE(CONTROL!$C$32, $C$9, 100%, $E$9)</f>
        <v>4.6565000000000003</v>
      </c>
      <c r="F153" s="11">
        <f>4.6565 * CHOOSE(CONTROL!$C$32, $C$9, 100%, $E$9)</f>
        <v>4.6565000000000003</v>
      </c>
      <c r="G153" s="11">
        <f>4.6607 * CHOOSE(CONTROL!$C$32, $C$9, 100%, $E$9)</f>
        <v>4.6607000000000003</v>
      </c>
      <c r="H153" s="11">
        <f>7.7039 * CHOOSE(CONTROL!$C$32, $C$9, 100%, $E$9)</f>
        <v>7.7039</v>
      </c>
      <c r="I153" s="11">
        <f>7.7081 * CHOOSE(CONTROL!$C$32, $C$9, 100%, $E$9)</f>
        <v>7.7081</v>
      </c>
      <c r="J153" s="11">
        <f>7.7039 * CHOOSE(CONTROL!$C$32, $C$9, 100%, $E$9)</f>
        <v>7.7039</v>
      </c>
      <c r="K153" s="11">
        <f>7.7081 * CHOOSE(CONTROL!$C$32, $C$9, 100%, $E$9)</f>
        <v>7.7081</v>
      </c>
      <c r="L153" s="11">
        <f>4.6565 * CHOOSE(CONTROL!$C$32, $C$9, 100%, $E$9)</f>
        <v>4.6565000000000003</v>
      </c>
      <c r="M153" s="11">
        <f>4.6607 * CHOOSE(CONTROL!$C$32, $C$9, 100%, $E$9)</f>
        <v>4.6607000000000003</v>
      </c>
      <c r="N153" s="11">
        <f>4.6565 * CHOOSE(CONTROL!$C$32, $C$9, 100%, $E$9)</f>
        <v>4.6565000000000003</v>
      </c>
      <c r="O153" s="11">
        <f>4.6607 * CHOOSE(CONTROL!$C$32, $C$9, 100%, $E$9)</f>
        <v>4.6607000000000003</v>
      </c>
      <c r="P153" s="14"/>
      <c r="Q153" s="14"/>
      <c r="R153" s="14"/>
    </row>
    <row r="154" spans="1:18" ht="15" x14ac:dyDescent="0.2">
      <c r="A154" s="13">
        <v>45536</v>
      </c>
      <c r="B154" s="9">
        <f>3.6595 * CHOOSE(CONTROL!$C$32, $C$9, 100%, $E$9)</f>
        <v>3.6595</v>
      </c>
      <c r="C154" s="9">
        <f>3.6595 * CHOOSE(CONTROL!$C$32, $C$9, 100%, $E$9)</f>
        <v>3.6595</v>
      </c>
      <c r="D154" s="9">
        <f>3.6608 * CHOOSE(CONTROL!$C$32, $C$9, 100%, $E$9)</f>
        <v>3.6608000000000001</v>
      </c>
      <c r="E154" s="11">
        <f>4.6545 * CHOOSE(CONTROL!$C$32, $C$9, 100%, $E$9)</f>
        <v>4.6544999999999996</v>
      </c>
      <c r="F154" s="11">
        <f>4.6545 * CHOOSE(CONTROL!$C$32, $C$9, 100%, $E$9)</f>
        <v>4.6544999999999996</v>
      </c>
      <c r="G154" s="11">
        <f>4.6587 * CHOOSE(CONTROL!$C$32, $C$9, 100%, $E$9)</f>
        <v>4.6586999999999996</v>
      </c>
      <c r="H154" s="11">
        <f>7.7199 * CHOOSE(CONTROL!$C$32, $C$9, 100%, $E$9)</f>
        <v>7.7199</v>
      </c>
      <c r="I154" s="11">
        <f>7.7241 * CHOOSE(CONTROL!$C$32, $C$9, 100%, $E$9)</f>
        <v>7.7241</v>
      </c>
      <c r="J154" s="11">
        <f>7.7199 * CHOOSE(CONTROL!$C$32, $C$9, 100%, $E$9)</f>
        <v>7.7199</v>
      </c>
      <c r="K154" s="11">
        <f>7.7241 * CHOOSE(CONTROL!$C$32, $C$9, 100%, $E$9)</f>
        <v>7.7241</v>
      </c>
      <c r="L154" s="11">
        <f>4.6545 * CHOOSE(CONTROL!$C$32, $C$9, 100%, $E$9)</f>
        <v>4.6544999999999996</v>
      </c>
      <c r="M154" s="11">
        <f>4.6587 * CHOOSE(CONTROL!$C$32, $C$9, 100%, $E$9)</f>
        <v>4.6586999999999996</v>
      </c>
      <c r="N154" s="11">
        <f>4.6545 * CHOOSE(CONTROL!$C$32, $C$9, 100%, $E$9)</f>
        <v>4.6544999999999996</v>
      </c>
      <c r="O154" s="11">
        <f>4.6587 * CHOOSE(CONTROL!$C$32, $C$9, 100%, $E$9)</f>
        <v>4.6586999999999996</v>
      </c>
      <c r="P154" s="14"/>
      <c r="Q154" s="14"/>
      <c r="R154" s="14"/>
    </row>
    <row r="155" spans="1:18" ht="15" x14ac:dyDescent="0.2">
      <c r="A155" s="13">
        <v>45566</v>
      </c>
      <c r="B155" s="9">
        <f>3.6534 * CHOOSE(CONTROL!$C$32, $C$9, 100%, $E$9)</f>
        <v>3.6534</v>
      </c>
      <c r="C155" s="9">
        <f>3.6534 * CHOOSE(CONTROL!$C$32, $C$9, 100%, $E$9)</f>
        <v>3.6534</v>
      </c>
      <c r="D155" s="9">
        <f>3.6544 * CHOOSE(CONTROL!$C$32, $C$9, 100%, $E$9)</f>
        <v>3.6543999999999999</v>
      </c>
      <c r="E155" s="11">
        <f>4.6486 * CHOOSE(CONTROL!$C$32, $C$9, 100%, $E$9)</f>
        <v>4.6486000000000001</v>
      </c>
      <c r="F155" s="11">
        <f>4.6486 * CHOOSE(CONTROL!$C$32, $C$9, 100%, $E$9)</f>
        <v>4.6486000000000001</v>
      </c>
      <c r="G155" s="11">
        <f>4.6518 * CHOOSE(CONTROL!$C$32, $C$9, 100%, $E$9)</f>
        <v>4.6517999999999997</v>
      </c>
      <c r="H155" s="11">
        <f>7.736 * CHOOSE(CONTROL!$C$32, $C$9, 100%, $E$9)</f>
        <v>7.7359999999999998</v>
      </c>
      <c r="I155" s="11">
        <f>7.7392 * CHOOSE(CONTROL!$C$32, $C$9, 100%, $E$9)</f>
        <v>7.7392000000000003</v>
      </c>
      <c r="J155" s="11">
        <f>7.736 * CHOOSE(CONTROL!$C$32, $C$9, 100%, $E$9)</f>
        <v>7.7359999999999998</v>
      </c>
      <c r="K155" s="11">
        <f>7.7392 * CHOOSE(CONTROL!$C$32, $C$9, 100%, $E$9)</f>
        <v>7.7392000000000003</v>
      </c>
      <c r="L155" s="11">
        <f>4.6486 * CHOOSE(CONTROL!$C$32, $C$9, 100%, $E$9)</f>
        <v>4.6486000000000001</v>
      </c>
      <c r="M155" s="11">
        <f>4.6518 * CHOOSE(CONTROL!$C$32, $C$9, 100%, $E$9)</f>
        <v>4.6517999999999997</v>
      </c>
      <c r="N155" s="11">
        <f>4.6486 * CHOOSE(CONTROL!$C$32, $C$9, 100%, $E$9)</f>
        <v>4.6486000000000001</v>
      </c>
      <c r="O155" s="11">
        <f>4.6518 * CHOOSE(CONTROL!$C$32, $C$9, 100%, $E$9)</f>
        <v>4.6517999999999997</v>
      </c>
      <c r="P155" s="14"/>
      <c r="Q155" s="14"/>
      <c r="R155" s="14"/>
    </row>
    <row r="156" spans="1:18" ht="15" x14ac:dyDescent="0.2">
      <c r="A156" s="13">
        <v>45597</v>
      </c>
      <c r="B156" s="9">
        <f>3.6565 * CHOOSE(CONTROL!$C$32, $C$9, 100%, $E$9)</f>
        <v>3.6564999999999999</v>
      </c>
      <c r="C156" s="9">
        <f>3.6565 * CHOOSE(CONTROL!$C$32, $C$9, 100%, $E$9)</f>
        <v>3.6564999999999999</v>
      </c>
      <c r="D156" s="9">
        <f>3.6574 * CHOOSE(CONTROL!$C$32, $C$9, 100%, $E$9)</f>
        <v>3.6574</v>
      </c>
      <c r="E156" s="11">
        <f>4.6506 * CHOOSE(CONTROL!$C$32, $C$9, 100%, $E$9)</f>
        <v>4.6505999999999998</v>
      </c>
      <c r="F156" s="11">
        <f>4.6506 * CHOOSE(CONTROL!$C$32, $C$9, 100%, $E$9)</f>
        <v>4.6505999999999998</v>
      </c>
      <c r="G156" s="11">
        <f>4.6538 * CHOOSE(CONTROL!$C$32, $C$9, 100%, $E$9)</f>
        <v>4.6538000000000004</v>
      </c>
      <c r="H156" s="11">
        <f>7.7521 * CHOOSE(CONTROL!$C$32, $C$9, 100%, $E$9)</f>
        <v>7.7521000000000004</v>
      </c>
      <c r="I156" s="11">
        <f>7.7553 * CHOOSE(CONTROL!$C$32, $C$9, 100%, $E$9)</f>
        <v>7.7553000000000001</v>
      </c>
      <c r="J156" s="11">
        <f>7.7521 * CHOOSE(CONTROL!$C$32, $C$9, 100%, $E$9)</f>
        <v>7.7521000000000004</v>
      </c>
      <c r="K156" s="11">
        <f>7.7553 * CHOOSE(CONTROL!$C$32, $C$9, 100%, $E$9)</f>
        <v>7.7553000000000001</v>
      </c>
      <c r="L156" s="11">
        <f>4.6506 * CHOOSE(CONTROL!$C$32, $C$9, 100%, $E$9)</f>
        <v>4.6505999999999998</v>
      </c>
      <c r="M156" s="11">
        <f>4.6538 * CHOOSE(CONTROL!$C$32, $C$9, 100%, $E$9)</f>
        <v>4.6538000000000004</v>
      </c>
      <c r="N156" s="11">
        <f>4.6506 * CHOOSE(CONTROL!$C$32, $C$9, 100%, $E$9)</f>
        <v>4.6505999999999998</v>
      </c>
      <c r="O156" s="11">
        <f>4.6538 * CHOOSE(CONTROL!$C$32, $C$9, 100%, $E$9)</f>
        <v>4.6538000000000004</v>
      </c>
      <c r="P156" s="14"/>
      <c r="Q156" s="14"/>
      <c r="R156" s="14"/>
    </row>
    <row r="157" spans="1:18" ht="15" x14ac:dyDescent="0.2">
      <c r="A157" s="13">
        <v>45627</v>
      </c>
      <c r="B157" s="9">
        <f>3.6565 * CHOOSE(CONTROL!$C$32, $C$9, 100%, $E$9)</f>
        <v>3.6564999999999999</v>
      </c>
      <c r="C157" s="9">
        <f>3.6565 * CHOOSE(CONTROL!$C$32, $C$9, 100%, $E$9)</f>
        <v>3.6564999999999999</v>
      </c>
      <c r="D157" s="9">
        <f>3.6574 * CHOOSE(CONTROL!$C$32, $C$9, 100%, $E$9)</f>
        <v>3.6574</v>
      </c>
      <c r="E157" s="11">
        <f>4.6506 * CHOOSE(CONTROL!$C$32, $C$9, 100%, $E$9)</f>
        <v>4.6505999999999998</v>
      </c>
      <c r="F157" s="11">
        <f>4.6506 * CHOOSE(CONTROL!$C$32, $C$9, 100%, $E$9)</f>
        <v>4.6505999999999998</v>
      </c>
      <c r="G157" s="11">
        <f>4.6538 * CHOOSE(CONTROL!$C$32, $C$9, 100%, $E$9)</f>
        <v>4.6538000000000004</v>
      </c>
      <c r="H157" s="11">
        <f>7.7683 * CHOOSE(CONTROL!$C$32, $C$9, 100%, $E$9)</f>
        <v>7.7683</v>
      </c>
      <c r="I157" s="11">
        <f>7.7715 * CHOOSE(CONTROL!$C$32, $C$9, 100%, $E$9)</f>
        <v>7.7714999999999996</v>
      </c>
      <c r="J157" s="11">
        <f>7.7683 * CHOOSE(CONTROL!$C$32, $C$9, 100%, $E$9)</f>
        <v>7.7683</v>
      </c>
      <c r="K157" s="11">
        <f>7.7715 * CHOOSE(CONTROL!$C$32, $C$9, 100%, $E$9)</f>
        <v>7.7714999999999996</v>
      </c>
      <c r="L157" s="11">
        <f>4.6506 * CHOOSE(CONTROL!$C$32, $C$9, 100%, $E$9)</f>
        <v>4.6505999999999998</v>
      </c>
      <c r="M157" s="11">
        <f>4.6538 * CHOOSE(CONTROL!$C$32, $C$9, 100%, $E$9)</f>
        <v>4.6538000000000004</v>
      </c>
      <c r="N157" s="11">
        <f>4.6506 * CHOOSE(CONTROL!$C$32, $C$9, 100%, $E$9)</f>
        <v>4.6505999999999998</v>
      </c>
      <c r="O157" s="11">
        <f>4.6538 * CHOOSE(CONTROL!$C$32, $C$9, 100%, $E$9)</f>
        <v>4.6538000000000004</v>
      </c>
      <c r="P157" s="14"/>
      <c r="Q157" s="14"/>
      <c r="R157" s="14"/>
    </row>
    <row r="158" spans="1:18" ht="15" x14ac:dyDescent="0.2">
      <c r="A158" s="13">
        <v>45658</v>
      </c>
      <c r="B158" s="9">
        <f>3.691 * CHOOSE(CONTROL!$C$32, $C$9, 100%, $E$9)</f>
        <v>3.6909999999999998</v>
      </c>
      <c r="C158" s="9">
        <f>3.691 * CHOOSE(CONTROL!$C$32, $C$9, 100%, $E$9)</f>
        <v>3.6909999999999998</v>
      </c>
      <c r="D158" s="9">
        <f>3.692 * CHOOSE(CONTROL!$C$32, $C$9, 100%, $E$9)</f>
        <v>3.6920000000000002</v>
      </c>
      <c r="E158" s="11">
        <f>4.6908 * CHOOSE(CONTROL!$C$32, $C$9, 100%, $E$9)</f>
        <v>4.6908000000000003</v>
      </c>
      <c r="F158" s="11">
        <f>4.6908 * CHOOSE(CONTROL!$C$32, $C$9, 100%, $E$9)</f>
        <v>4.6908000000000003</v>
      </c>
      <c r="G158" s="11">
        <f>4.6941 * CHOOSE(CONTROL!$C$32, $C$9, 100%, $E$9)</f>
        <v>4.6940999999999997</v>
      </c>
      <c r="H158" s="11">
        <f>7.7844 * CHOOSE(CONTROL!$C$32, $C$9, 100%, $E$9)</f>
        <v>7.7843999999999998</v>
      </c>
      <c r="I158" s="11">
        <f>7.7877 * CHOOSE(CONTROL!$C$32, $C$9, 100%, $E$9)</f>
        <v>7.7877000000000001</v>
      </c>
      <c r="J158" s="11">
        <f>7.7844 * CHOOSE(CONTROL!$C$32, $C$9, 100%, $E$9)</f>
        <v>7.7843999999999998</v>
      </c>
      <c r="K158" s="11">
        <f>7.7877 * CHOOSE(CONTROL!$C$32, $C$9, 100%, $E$9)</f>
        <v>7.7877000000000001</v>
      </c>
      <c r="L158" s="11">
        <f>4.6908 * CHOOSE(CONTROL!$C$32, $C$9, 100%, $E$9)</f>
        <v>4.6908000000000003</v>
      </c>
      <c r="M158" s="11">
        <f>4.6941 * CHOOSE(CONTROL!$C$32, $C$9, 100%, $E$9)</f>
        <v>4.6940999999999997</v>
      </c>
      <c r="N158" s="11">
        <f>4.6908 * CHOOSE(CONTROL!$C$32, $C$9, 100%, $E$9)</f>
        <v>4.6908000000000003</v>
      </c>
      <c r="O158" s="11">
        <f>4.6941 * CHOOSE(CONTROL!$C$32, $C$9, 100%, $E$9)</f>
        <v>4.6940999999999997</v>
      </c>
      <c r="P158" s="14"/>
      <c r="Q158" s="14"/>
      <c r="R158" s="14"/>
    </row>
    <row r="159" spans="1:18" ht="15" x14ac:dyDescent="0.2">
      <c r="A159" s="13">
        <v>45689</v>
      </c>
      <c r="B159" s="9">
        <f>3.688 * CHOOSE(CONTROL!$C$32, $C$9, 100%, $E$9)</f>
        <v>3.6880000000000002</v>
      </c>
      <c r="C159" s="9">
        <f>3.688 * CHOOSE(CONTROL!$C$32, $C$9, 100%, $E$9)</f>
        <v>3.6880000000000002</v>
      </c>
      <c r="D159" s="9">
        <f>3.689 * CHOOSE(CONTROL!$C$32, $C$9, 100%, $E$9)</f>
        <v>3.6890000000000001</v>
      </c>
      <c r="E159" s="11">
        <f>4.6888 * CHOOSE(CONTROL!$C$32, $C$9, 100%, $E$9)</f>
        <v>4.6887999999999996</v>
      </c>
      <c r="F159" s="11">
        <f>4.6888 * CHOOSE(CONTROL!$C$32, $C$9, 100%, $E$9)</f>
        <v>4.6887999999999996</v>
      </c>
      <c r="G159" s="11">
        <f>4.6921 * CHOOSE(CONTROL!$C$32, $C$9, 100%, $E$9)</f>
        <v>4.6920999999999999</v>
      </c>
      <c r="H159" s="11">
        <f>7.8007 * CHOOSE(CONTROL!$C$32, $C$9, 100%, $E$9)</f>
        <v>7.8007</v>
      </c>
      <c r="I159" s="11">
        <f>7.8039 * CHOOSE(CONTROL!$C$32, $C$9, 100%, $E$9)</f>
        <v>7.8038999999999996</v>
      </c>
      <c r="J159" s="11">
        <f>7.8007 * CHOOSE(CONTROL!$C$32, $C$9, 100%, $E$9)</f>
        <v>7.8007</v>
      </c>
      <c r="K159" s="11">
        <f>7.8039 * CHOOSE(CONTROL!$C$32, $C$9, 100%, $E$9)</f>
        <v>7.8038999999999996</v>
      </c>
      <c r="L159" s="11">
        <f>4.6888 * CHOOSE(CONTROL!$C$32, $C$9, 100%, $E$9)</f>
        <v>4.6887999999999996</v>
      </c>
      <c r="M159" s="11">
        <f>4.6921 * CHOOSE(CONTROL!$C$32, $C$9, 100%, $E$9)</f>
        <v>4.6920999999999999</v>
      </c>
      <c r="N159" s="11">
        <f>4.6888 * CHOOSE(CONTROL!$C$32, $C$9, 100%, $E$9)</f>
        <v>4.6887999999999996</v>
      </c>
      <c r="O159" s="11">
        <f>4.6921 * CHOOSE(CONTROL!$C$32, $C$9, 100%, $E$9)</f>
        <v>4.6920999999999999</v>
      </c>
      <c r="P159" s="14"/>
      <c r="Q159" s="14"/>
      <c r="R159" s="14"/>
    </row>
    <row r="160" spans="1:18" ht="15" x14ac:dyDescent="0.2">
      <c r="A160" s="13">
        <v>45717</v>
      </c>
      <c r="B160" s="9">
        <f>3.685 * CHOOSE(CONTROL!$C$32, $C$9, 100%, $E$9)</f>
        <v>3.6850000000000001</v>
      </c>
      <c r="C160" s="9">
        <f>3.685 * CHOOSE(CONTROL!$C$32, $C$9, 100%, $E$9)</f>
        <v>3.6850000000000001</v>
      </c>
      <c r="D160" s="9">
        <f>3.6859 * CHOOSE(CONTROL!$C$32, $C$9, 100%, $E$9)</f>
        <v>3.6859000000000002</v>
      </c>
      <c r="E160" s="11">
        <f>4.6868 * CHOOSE(CONTROL!$C$32, $C$9, 100%, $E$9)</f>
        <v>4.6867999999999999</v>
      </c>
      <c r="F160" s="11">
        <f>4.6868 * CHOOSE(CONTROL!$C$32, $C$9, 100%, $E$9)</f>
        <v>4.6867999999999999</v>
      </c>
      <c r="G160" s="11">
        <f>4.6901 * CHOOSE(CONTROL!$C$32, $C$9, 100%, $E$9)</f>
        <v>4.6901000000000002</v>
      </c>
      <c r="H160" s="11">
        <f>7.8169 * CHOOSE(CONTROL!$C$32, $C$9, 100%, $E$9)</f>
        <v>7.8169000000000004</v>
      </c>
      <c r="I160" s="11">
        <f>7.8201 * CHOOSE(CONTROL!$C$32, $C$9, 100%, $E$9)</f>
        <v>7.8201000000000001</v>
      </c>
      <c r="J160" s="11">
        <f>7.8169 * CHOOSE(CONTROL!$C$32, $C$9, 100%, $E$9)</f>
        <v>7.8169000000000004</v>
      </c>
      <c r="K160" s="11">
        <f>7.8201 * CHOOSE(CONTROL!$C$32, $C$9, 100%, $E$9)</f>
        <v>7.8201000000000001</v>
      </c>
      <c r="L160" s="11">
        <f>4.6868 * CHOOSE(CONTROL!$C$32, $C$9, 100%, $E$9)</f>
        <v>4.6867999999999999</v>
      </c>
      <c r="M160" s="11">
        <f>4.6901 * CHOOSE(CONTROL!$C$32, $C$9, 100%, $E$9)</f>
        <v>4.6901000000000002</v>
      </c>
      <c r="N160" s="11">
        <f>4.6868 * CHOOSE(CONTROL!$C$32, $C$9, 100%, $E$9)</f>
        <v>4.6867999999999999</v>
      </c>
      <c r="O160" s="11">
        <f>4.6901 * CHOOSE(CONTROL!$C$32, $C$9, 100%, $E$9)</f>
        <v>4.6901000000000002</v>
      </c>
      <c r="P160" s="14"/>
      <c r="Q160" s="14"/>
      <c r="R160" s="14"/>
    </row>
    <row r="161" spans="1:18" ht="15" x14ac:dyDescent="0.2">
      <c r="A161" s="13">
        <v>45748</v>
      </c>
      <c r="B161" s="9">
        <f>3.6823 * CHOOSE(CONTROL!$C$32, $C$9, 100%, $E$9)</f>
        <v>3.6823000000000001</v>
      </c>
      <c r="C161" s="9">
        <f>3.6823 * CHOOSE(CONTROL!$C$32, $C$9, 100%, $E$9)</f>
        <v>3.6823000000000001</v>
      </c>
      <c r="D161" s="9">
        <f>3.6833 * CHOOSE(CONTROL!$C$32, $C$9, 100%, $E$9)</f>
        <v>3.6833</v>
      </c>
      <c r="E161" s="11">
        <f>4.6846 * CHOOSE(CONTROL!$C$32, $C$9, 100%, $E$9)</f>
        <v>4.6845999999999997</v>
      </c>
      <c r="F161" s="11">
        <f>4.6846 * CHOOSE(CONTROL!$C$32, $C$9, 100%, $E$9)</f>
        <v>4.6845999999999997</v>
      </c>
      <c r="G161" s="11">
        <f>4.6879 * CHOOSE(CONTROL!$C$32, $C$9, 100%, $E$9)</f>
        <v>4.6879</v>
      </c>
      <c r="H161" s="11">
        <f>7.8332 * CHOOSE(CONTROL!$C$32, $C$9, 100%, $E$9)</f>
        <v>7.8331999999999997</v>
      </c>
      <c r="I161" s="11">
        <f>7.8364 * CHOOSE(CONTROL!$C$32, $C$9, 100%, $E$9)</f>
        <v>7.8364000000000003</v>
      </c>
      <c r="J161" s="11">
        <f>7.8332 * CHOOSE(CONTROL!$C$32, $C$9, 100%, $E$9)</f>
        <v>7.8331999999999997</v>
      </c>
      <c r="K161" s="11">
        <f>7.8364 * CHOOSE(CONTROL!$C$32, $C$9, 100%, $E$9)</f>
        <v>7.8364000000000003</v>
      </c>
      <c r="L161" s="11">
        <f>4.6846 * CHOOSE(CONTROL!$C$32, $C$9, 100%, $E$9)</f>
        <v>4.6845999999999997</v>
      </c>
      <c r="M161" s="11">
        <f>4.6879 * CHOOSE(CONTROL!$C$32, $C$9, 100%, $E$9)</f>
        <v>4.6879</v>
      </c>
      <c r="N161" s="11">
        <f>4.6846 * CHOOSE(CONTROL!$C$32, $C$9, 100%, $E$9)</f>
        <v>4.6845999999999997</v>
      </c>
      <c r="O161" s="11">
        <f>4.6879 * CHOOSE(CONTROL!$C$32, $C$9, 100%, $E$9)</f>
        <v>4.6879</v>
      </c>
      <c r="P161" s="14"/>
      <c r="Q161" s="14"/>
      <c r="R161" s="14"/>
    </row>
    <row r="162" spans="1:18" ht="15" x14ac:dyDescent="0.2">
      <c r="A162" s="13">
        <v>45778</v>
      </c>
      <c r="B162" s="9">
        <f>3.6823 * CHOOSE(CONTROL!$C$32, $C$9, 100%, $E$9)</f>
        <v>3.6823000000000001</v>
      </c>
      <c r="C162" s="9">
        <f>3.6823 * CHOOSE(CONTROL!$C$32, $C$9, 100%, $E$9)</f>
        <v>3.6823000000000001</v>
      </c>
      <c r="D162" s="9">
        <f>3.6836 * CHOOSE(CONTROL!$C$32, $C$9, 100%, $E$9)</f>
        <v>3.6836000000000002</v>
      </c>
      <c r="E162" s="11">
        <f>4.6846 * CHOOSE(CONTROL!$C$32, $C$9, 100%, $E$9)</f>
        <v>4.6845999999999997</v>
      </c>
      <c r="F162" s="11">
        <f>4.6846 * CHOOSE(CONTROL!$C$32, $C$9, 100%, $E$9)</f>
        <v>4.6845999999999997</v>
      </c>
      <c r="G162" s="11">
        <f>4.6888 * CHOOSE(CONTROL!$C$32, $C$9, 100%, $E$9)</f>
        <v>4.6887999999999996</v>
      </c>
      <c r="H162" s="11">
        <f>7.8495 * CHOOSE(CONTROL!$C$32, $C$9, 100%, $E$9)</f>
        <v>7.8494999999999999</v>
      </c>
      <c r="I162" s="11">
        <f>7.8537 * CHOOSE(CONTROL!$C$32, $C$9, 100%, $E$9)</f>
        <v>7.8536999999999999</v>
      </c>
      <c r="J162" s="11">
        <f>7.8495 * CHOOSE(CONTROL!$C$32, $C$9, 100%, $E$9)</f>
        <v>7.8494999999999999</v>
      </c>
      <c r="K162" s="11">
        <f>7.8537 * CHOOSE(CONTROL!$C$32, $C$9, 100%, $E$9)</f>
        <v>7.8536999999999999</v>
      </c>
      <c r="L162" s="11">
        <f>4.6846 * CHOOSE(CONTROL!$C$32, $C$9, 100%, $E$9)</f>
        <v>4.6845999999999997</v>
      </c>
      <c r="M162" s="11">
        <f>4.6888 * CHOOSE(CONTROL!$C$32, $C$9, 100%, $E$9)</f>
        <v>4.6887999999999996</v>
      </c>
      <c r="N162" s="11">
        <f>4.6846 * CHOOSE(CONTROL!$C$32, $C$9, 100%, $E$9)</f>
        <v>4.6845999999999997</v>
      </c>
      <c r="O162" s="11">
        <f>4.6888 * CHOOSE(CONTROL!$C$32, $C$9, 100%, $E$9)</f>
        <v>4.6887999999999996</v>
      </c>
      <c r="P162" s="14"/>
      <c r="Q162" s="14"/>
      <c r="R162" s="14"/>
    </row>
    <row r="163" spans="1:18" ht="15" x14ac:dyDescent="0.2">
      <c r="A163" s="13">
        <v>45809</v>
      </c>
      <c r="B163" s="9">
        <f>3.6884 * CHOOSE(CONTROL!$C$32, $C$9, 100%, $E$9)</f>
        <v>3.6884000000000001</v>
      </c>
      <c r="C163" s="9">
        <f>3.6884 * CHOOSE(CONTROL!$C$32, $C$9, 100%, $E$9)</f>
        <v>3.6884000000000001</v>
      </c>
      <c r="D163" s="9">
        <f>3.6897 * CHOOSE(CONTROL!$C$32, $C$9, 100%, $E$9)</f>
        <v>3.6897000000000002</v>
      </c>
      <c r="E163" s="11">
        <f>4.6886 * CHOOSE(CONTROL!$C$32, $C$9, 100%, $E$9)</f>
        <v>4.6886000000000001</v>
      </c>
      <c r="F163" s="11">
        <f>4.6886 * CHOOSE(CONTROL!$C$32, $C$9, 100%, $E$9)</f>
        <v>4.6886000000000001</v>
      </c>
      <c r="G163" s="11">
        <f>4.6928 * CHOOSE(CONTROL!$C$32, $C$9, 100%, $E$9)</f>
        <v>4.6928000000000001</v>
      </c>
      <c r="H163" s="11">
        <f>7.8659 * CHOOSE(CONTROL!$C$32, $C$9, 100%, $E$9)</f>
        <v>7.8658999999999999</v>
      </c>
      <c r="I163" s="11">
        <f>7.8701 * CHOOSE(CONTROL!$C$32, $C$9, 100%, $E$9)</f>
        <v>7.8700999999999999</v>
      </c>
      <c r="J163" s="11">
        <f>7.8659 * CHOOSE(CONTROL!$C$32, $C$9, 100%, $E$9)</f>
        <v>7.8658999999999999</v>
      </c>
      <c r="K163" s="11">
        <f>7.8701 * CHOOSE(CONTROL!$C$32, $C$9, 100%, $E$9)</f>
        <v>7.8700999999999999</v>
      </c>
      <c r="L163" s="11">
        <f>4.6886 * CHOOSE(CONTROL!$C$32, $C$9, 100%, $E$9)</f>
        <v>4.6886000000000001</v>
      </c>
      <c r="M163" s="11">
        <f>4.6928 * CHOOSE(CONTROL!$C$32, $C$9, 100%, $E$9)</f>
        <v>4.6928000000000001</v>
      </c>
      <c r="N163" s="11">
        <f>4.6886 * CHOOSE(CONTROL!$C$32, $C$9, 100%, $E$9)</f>
        <v>4.6886000000000001</v>
      </c>
      <c r="O163" s="11">
        <f>4.6928 * CHOOSE(CONTROL!$C$32, $C$9, 100%, $E$9)</f>
        <v>4.6928000000000001</v>
      </c>
      <c r="P163" s="14"/>
      <c r="Q163" s="14"/>
      <c r="R163" s="14"/>
    </row>
    <row r="164" spans="1:18" ht="15" x14ac:dyDescent="0.2">
      <c r="A164" s="13">
        <v>45839</v>
      </c>
      <c r="B164" s="9">
        <f>3.7541 * CHOOSE(CONTROL!$C$32, $C$9, 100%, $E$9)</f>
        <v>3.7541000000000002</v>
      </c>
      <c r="C164" s="9">
        <f>3.7541 * CHOOSE(CONTROL!$C$32, $C$9, 100%, $E$9)</f>
        <v>3.7541000000000002</v>
      </c>
      <c r="D164" s="9">
        <f>3.7553 * CHOOSE(CONTROL!$C$32, $C$9, 100%, $E$9)</f>
        <v>3.7553000000000001</v>
      </c>
      <c r="E164" s="11">
        <f>4.7776 * CHOOSE(CONTROL!$C$32, $C$9, 100%, $E$9)</f>
        <v>4.7775999999999996</v>
      </c>
      <c r="F164" s="11">
        <f>4.7776 * CHOOSE(CONTROL!$C$32, $C$9, 100%, $E$9)</f>
        <v>4.7775999999999996</v>
      </c>
      <c r="G164" s="11">
        <f>4.7818 * CHOOSE(CONTROL!$C$32, $C$9, 100%, $E$9)</f>
        <v>4.7817999999999996</v>
      </c>
      <c r="H164" s="11">
        <f>7.8823 * CHOOSE(CONTROL!$C$32, $C$9, 100%, $E$9)</f>
        <v>7.8822999999999999</v>
      </c>
      <c r="I164" s="11">
        <f>7.8865 * CHOOSE(CONTROL!$C$32, $C$9, 100%, $E$9)</f>
        <v>7.8864999999999998</v>
      </c>
      <c r="J164" s="11">
        <f>7.8823 * CHOOSE(CONTROL!$C$32, $C$9, 100%, $E$9)</f>
        <v>7.8822999999999999</v>
      </c>
      <c r="K164" s="11">
        <f>7.8865 * CHOOSE(CONTROL!$C$32, $C$9, 100%, $E$9)</f>
        <v>7.8864999999999998</v>
      </c>
      <c r="L164" s="11">
        <f>4.7776 * CHOOSE(CONTROL!$C$32, $C$9, 100%, $E$9)</f>
        <v>4.7775999999999996</v>
      </c>
      <c r="M164" s="11">
        <f>4.7818 * CHOOSE(CONTROL!$C$32, $C$9, 100%, $E$9)</f>
        <v>4.7817999999999996</v>
      </c>
      <c r="N164" s="11">
        <f>4.7776 * CHOOSE(CONTROL!$C$32, $C$9, 100%, $E$9)</f>
        <v>4.7775999999999996</v>
      </c>
      <c r="O164" s="11">
        <f>4.7818 * CHOOSE(CONTROL!$C$32, $C$9, 100%, $E$9)</f>
        <v>4.7817999999999996</v>
      </c>
      <c r="P164" s="14"/>
      <c r="Q164" s="14"/>
      <c r="R164" s="14"/>
    </row>
    <row r="165" spans="1:18" ht="15" x14ac:dyDescent="0.2">
      <c r="A165" s="13">
        <v>45870</v>
      </c>
      <c r="B165" s="9">
        <f>3.7607 * CHOOSE(CONTROL!$C$32, $C$9, 100%, $E$9)</f>
        <v>3.7606999999999999</v>
      </c>
      <c r="C165" s="9">
        <f>3.7607 * CHOOSE(CONTROL!$C$32, $C$9, 100%, $E$9)</f>
        <v>3.7606999999999999</v>
      </c>
      <c r="D165" s="9">
        <f>3.762 * CHOOSE(CONTROL!$C$32, $C$9, 100%, $E$9)</f>
        <v>3.762</v>
      </c>
      <c r="E165" s="11">
        <f>4.782 * CHOOSE(CONTROL!$C$32, $C$9, 100%, $E$9)</f>
        <v>4.782</v>
      </c>
      <c r="F165" s="11">
        <f>4.782 * CHOOSE(CONTROL!$C$32, $C$9, 100%, $E$9)</f>
        <v>4.782</v>
      </c>
      <c r="G165" s="11">
        <f>4.7862 * CHOOSE(CONTROL!$C$32, $C$9, 100%, $E$9)</f>
        <v>4.7862</v>
      </c>
      <c r="H165" s="11">
        <f>7.8987 * CHOOSE(CONTROL!$C$32, $C$9, 100%, $E$9)</f>
        <v>7.8986999999999998</v>
      </c>
      <c r="I165" s="11">
        <f>7.9029 * CHOOSE(CONTROL!$C$32, $C$9, 100%, $E$9)</f>
        <v>7.9028999999999998</v>
      </c>
      <c r="J165" s="11">
        <f>7.8987 * CHOOSE(CONTROL!$C$32, $C$9, 100%, $E$9)</f>
        <v>7.8986999999999998</v>
      </c>
      <c r="K165" s="11">
        <f>7.9029 * CHOOSE(CONTROL!$C$32, $C$9, 100%, $E$9)</f>
        <v>7.9028999999999998</v>
      </c>
      <c r="L165" s="11">
        <f>4.782 * CHOOSE(CONTROL!$C$32, $C$9, 100%, $E$9)</f>
        <v>4.782</v>
      </c>
      <c r="M165" s="11">
        <f>4.7862 * CHOOSE(CONTROL!$C$32, $C$9, 100%, $E$9)</f>
        <v>4.7862</v>
      </c>
      <c r="N165" s="11">
        <f>4.782 * CHOOSE(CONTROL!$C$32, $C$9, 100%, $E$9)</f>
        <v>4.782</v>
      </c>
      <c r="O165" s="11">
        <f>4.7862 * CHOOSE(CONTROL!$C$32, $C$9, 100%, $E$9)</f>
        <v>4.7862</v>
      </c>
      <c r="P165" s="14"/>
      <c r="Q165" s="14"/>
      <c r="R165" s="14"/>
    </row>
    <row r="166" spans="1:18" ht="15" x14ac:dyDescent="0.2">
      <c r="A166" s="13">
        <v>45901</v>
      </c>
      <c r="B166" s="9">
        <f>3.7577 * CHOOSE(CONTROL!$C$32, $C$9, 100%, $E$9)</f>
        <v>3.7576999999999998</v>
      </c>
      <c r="C166" s="9">
        <f>3.7577 * CHOOSE(CONTROL!$C$32, $C$9, 100%, $E$9)</f>
        <v>3.7576999999999998</v>
      </c>
      <c r="D166" s="9">
        <f>3.7589 * CHOOSE(CONTROL!$C$32, $C$9, 100%, $E$9)</f>
        <v>3.7589000000000001</v>
      </c>
      <c r="E166" s="11">
        <f>4.78 * CHOOSE(CONTROL!$C$32, $C$9, 100%, $E$9)</f>
        <v>4.78</v>
      </c>
      <c r="F166" s="11">
        <f>4.78 * CHOOSE(CONTROL!$C$32, $C$9, 100%, $E$9)</f>
        <v>4.78</v>
      </c>
      <c r="G166" s="11">
        <f>4.7842 * CHOOSE(CONTROL!$C$32, $C$9, 100%, $E$9)</f>
        <v>4.7842000000000002</v>
      </c>
      <c r="H166" s="11">
        <f>7.9151 * CHOOSE(CONTROL!$C$32, $C$9, 100%, $E$9)</f>
        <v>7.9150999999999998</v>
      </c>
      <c r="I166" s="11">
        <f>7.9193 * CHOOSE(CONTROL!$C$32, $C$9, 100%, $E$9)</f>
        <v>7.9192999999999998</v>
      </c>
      <c r="J166" s="11">
        <f>7.9151 * CHOOSE(CONTROL!$C$32, $C$9, 100%, $E$9)</f>
        <v>7.9150999999999998</v>
      </c>
      <c r="K166" s="11">
        <f>7.9193 * CHOOSE(CONTROL!$C$32, $C$9, 100%, $E$9)</f>
        <v>7.9192999999999998</v>
      </c>
      <c r="L166" s="11">
        <f>4.78 * CHOOSE(CONTROL!$C$32, $C$9, 100%, $E$9)</f>
        <v>4.78</v>
      </c>
      <c r="M166" s="11">
        <f>4.7842 * CHOOSE(CONTROL!$C$32, $C$9, 100%, $E$9)</f>
        <v>4.7842000000000002</v>
      </c>
      <c r="N166" s="11">
        <f>4.78 * CHOOSE(CONTROL!$C$32, $C$9, 100%, $E$9)</f>
        <v>4.78</v>
      </c>
      <c r="O166" s="11">
        <f>4.7842 * CHOOSE(CONTROL!$C$32, $C$9, 100%, $E$9)</f>
        <v>4.7842000000000002</v>
      </c>
      <c r="P166" s="14"/>
      <c r="Q166" s="14"/>
      <c r="R166" s="14"/>
    </row>
    <row r="167" spans="1:18" ht="15" x14ac:dyDescent="0.2">
      <c r="A167" s="13">
        <v>45931</v>
      </c>
      <c r="B167" s="9">
        <f>3.7519 * CHOOSE(CONTROL!$C$32, $C$9, 100%, $E$9)</f>
        <v>3.7519</v>
      </c>
      <c r="C167" s="9">
        <f>3.7519 * CHOOSE(CONTROL!$C$32, $C$9, 100%, $E$9)</f>
        <v>3.7519</v>
      </c>
      <c r="D167" s="9">
        <f>3.7529 * CHOOSE(CONTROL!$C$32, $C$9, 100%, $E$9)</f>
        <v>3.7528999999999999</v>
      </c>
      <c r="E167" s="11">
        <f>4.7743 * CHOOSE(CONTROL!$C$32, $C$9, 100%, $E$9)</f>
        <v>4.7743000000000002</v>
      </c>
      <c r="F167" s="11">
        <f>4.7743 * CHOOSE(CONTROL!$C$32, $C$9, 100%, $E$9)</f>
        <v>4.7743000000000002</v>
      </c>
      <c r="G167" s="11">
        <f>4.7775 * CHOOSE(CONTROL!$C$32, $C$9, 100%, $E$9)</f>
        <v>4.7774999999999999</v>
      </c>
      <c r="H167" s="11">
        <f>7.9316 * CHOOSE(CONTROL!$C$32, $C$9, 100%, $E$9)</f>
        <v>7.9316000000000004</v>
      </c>
      <c r="I167" s="11">
        <f>7.9349 * CHOOSE(CONTROL!$C$32, $C$9, 100%, $E$9)</f>
        <v>7.9348999999999998</v>
      </c>
      <c r="J167" s="11">
        <f>7.9316 * CHOOSE(CONTROL!$C$32, $C$9, 100%, $E$9)</f>
        <v>7.9316000000000004</v>
      </c>
      <c r="K167" s="11">
        <f>7.9349 * CHOOSE(CONTROL!$C$32, $C$9, 100%, $E$9)</f>
        <v>7.9348999999999998</v>
      </c>
      <c r="L167" s="11">
        <f>4.7743 * CHOOSE(CONTROL!$C$32, $C$9, 100%, $E$9)</f>
        <v>4.7743000000000002</v>
      </c>
      <c r="M167" s="11">
        <f>4.7775 * CHOOSE(CONTROL!$C$32, $C$9, 100%, $E$9)</f>
        <v>4.7774999999999999</v>
      </c>
      <c r="N167" s="11">
        <f>4.7743 * CHOOSE(CONTROL!$C$32, $C$9, 100%, $E$9)</f>
        <v>4.7743000000000002</v>
      </c>
      <c r="O167" s="11">
        <f>4.7775 * CHOOSE(CONTROL!$C$32, $C$9, 100%, $E$9)</f>
        <v>4.7774999999999999</v>
      </c>
      <c r="P167" s="14"/>
      <c r="Q167" s="14"/>
      <c r="R167" s="14"/>
    </row>
    <row r="168" spans="1:18" ht="15" x14ac:dyDescent="0.2">
      <c r="A168" s="13">
        <v>45962</v>
      </c>
      <c r="B168" s="9">
        <f>3.755 * CHOOSE(CONTROL!$C$32, $C$9, 100%, $E$9)</f>
        <v>3.7549999999999999</v>
      </c>
      <c r="C168" s="9">
        <f>3.755 * CHOOSE(CONTROL!$C$32, $C$9, 100%, $E$9)</f>
        <v>3.7549999999999999</v>
      </c>
      <c r="D168" s="9">
        <f>3.7559 * CHOOSE(CONTROL!$C$32, $C$9, 100%, $E$9)</f>
        <v>3.7559</v>
      </c>
      <c r="E168" s="11">
        <f>4.7763 * CHOOSE(CONTROL!$C$32, $C$9, 100%, $E$9)</f>
        <v>4.7763</v>
      </c>
      <c r="F168" s="11">
        <f>4.7763 * CHOOSE(CONTROL!$C$32, $C$9, 100%, $E$9)</f>
        <v>4.7763</v>
      </c>
      <c r="G168" s="11">
        <f>4.7795 * CHOOSE(CONTROL!$C$32, $C$9, 100%, $E$9)</f>
        <v>4.7794999999999996</v>
      </c>
      <c r="H168" s="11">
        <f>7.9482 * CHOOSE(CONTROL!$C$32, $C$9, 100%, $E$9)</f>
        <v>7.9481999999999999</v>
      </c>
      <c r="I168" s="11">
        <f>7.9514 * CHOOSE(CONTROL!$C$32, $C$9, 100%, $E$9)</f>
        <v>7.9513999999999996</v>
      </c>
      <c r="J168" s="11">
        <f>7.9482 * CHOOSE(CONTROL!$C$32, $C$9, 100%, $E$9)</f>
        <v>7.9481999999999999</v>
      </c>
      <c r="K168" s="11">
        <f>7.9514 * CHOOSE(CONTROL!$C$32, $C$9, 100%, $E$9)</f>
        <v>7.9513999999999996</v>
      </c>
      <c r="L168" s="11">
        <f>4.7763 * CHOOSE(CONTROL!$C$32, $C$9, 100%, $E$9)</f>
        <v>4.7763</v>
      </c>
      <c r="M168" s="11">
        <f>4.7795 * CHOOSE(CONTROL!$C$32, $C$9, 100%, $E$9)</f>
        <v>4.7794999999999996</v>
      </c>
      <c r="N168" s="11">
        <f>4.7763 * CHOOSE(CONTROL!$C$32, $C$9, 100%, $E$9)</f>
        <v>4.7763</v>
      </c>
      <c r="O168" s="11">
        <f>4.7795 * CHOOSE(CONTROL!$C$32, $C$9, 100%, $E$9)</f>
        <v>4.7794999999999996</v>
      </c>
    </row>
    <row r="169" spans="1:18" ht="15" x14ac:dyDescent="0.2">
      <c r="A169" s="13">
        <v>45992</v>
      </c>
      <c r="B169" s="9">
        <f>3.755 * CHOOSE(CONTROL!$C$32, $C$9, 100%, $E$9)</f>
        <v>3.7549999999999999</v>
      </c>
      <c r="C169" s="9">
        <f>3.755 * CHOOSE(CONTROL!$C$32, $C$9, 100%, $E$9)</f>
        <v>3.7549999999999999</v>
      </c>
      <c r="D169" s="9">
        <f>3.7559 * CHOOSE(CONTROL!$C$32, $C$9, 100%, $E$9)</f>
        <v>3.7559</v>
      </c>
      <c r="E169" s="11">
        <f>4.7763 * CHOOSE(CONTROL!$C$32, $C$9, 100%, $E$9)</f>
        <v>4.7763</v>
      </c>
      <c r="F169" s="11">
        <f>4.7763 * CHOOSE(CONTROL!$C$32, $C$9, 100%, $E$9)</f>
        <v>4.7763</v>
      </c>
      <c r="G169" s="11">
        <f>4.7795 * CHOOSE(CONTROL!$C$32, $C$9, 100%, $E$9)</f>
        <v>4.7794999999999996</v>
      </c>
      <c r="H169" s="11">
        <f>7.9647 * CHOOSE(CONTROL!$C$32, $C$9, 100%, $E$9)</f>
        <v>7.9646999999999997</v>
      </c>
      <c r="I169" s="11">
        <f>7.9679 * CHOOSE(CONTROL!$C$32, $C$9, 100%, $E$9)</f>
        <v>7.9679000000000002</v>
      </c>
      <c r="J169" s="11">
        <f>7.9647 * CHOOSE(CONTROL!$C$32, $C$9, 100%, $E$9)</f>
        <v>7.9646999999999997</v>
      </c>
      <c r="K169" s="11">
        <f>7.9679 * CHOOSE(CONTROL!$C$32, $C$9, 100%, $E$9)</f>
        <v>7.9679000000000002</v>
      </c>
      <c r="L169" s="11">
        <f>4.7763 * CHOOSE(CONTROL!$C$32, $C$9, 100%, $E$9)</f>
        <v>4.7763</v>
      </c>
      <c r="M169" s="11">
        <f>4.7795 * CHOOSE(CONTROL!$C$32, $C$9, 100%, $E$9)</f>
        <v>4.7794999999999996</v>
      </c>
      <c r="N169" s="11">
        <f>4.7763 * CHOOSE(CONTROL!$C$32, $C$9, 100%, $E$9)</f>
        <v>4.7763</v>
      </c>
      <c r="O169" s="11">
        <f>4.7795 * CHOOSE(CONTROL!$C$32, $C$9, 100%, $E$9)</f>
        <v>4.7794999999999996</v>
      </c>
    </row>
    <row r="170" spans="1:18" ht="15" x14ac:dyDescent="0.2">
      <c r="A170" s="13">
        <v>46023</v>
      </c>
      <c r="B170" s="9">
        <f>3.7892 * CHOOSE(CONTROL!$C$32, $C$9, 100%, $E$9)</f>
        <v>3.7892000000000001</v>
      </c>
      <c r="C170" s="9">
        <f>3.7892 * CHOOSE(CONTROL!$C$32, $C$9, 100%, $E$9)</f>
        <v>3.7892000000000001</v>
      </c>
      <c r="D170" s="9">
        <f>3.7901 * CHOOSE(CONTROL!$C$32, $C$9, 100%, $E$9)</f>
        <v>3.7900999999999998</v>
      </c>
      <c r="E170" s="11">
        <f>4.8185 * CHOOSE(CONTROL!$C$32, $C$9, 100%, $E$9)</f>
        <v>4.8185000000000002</v>
      </c>
      <c r="F170" s="11">
        <f>4.8185 * CHOOSE(CONTROL!$C$32, $C$9, 100%, $E$9)</f>
        <v>4.8185000000000002</v>
      </c>
      <c r="G170" s="11">
        <f>4.8217 * CHOOSE(CONTROL!$C$32, $C$9, 100%, $E$9)</f>
        <v>4.8216999999999999</v>
      </c>
      <c r="H170" s="11">
        <f>7.9813 * CHOOSE(CONTROL!$C$32, $C$9, 100%, $E$9)</f>
        <v>7.9813000000000001</v>
      </c>
      <c r="I170" s="11">
        <f>7.9845 * CHOOSE(CONTROL!$C$32, $C$9, 100%, $E$9)</f>
        <v>7.9844999999999997</v>
      </c>
      <c r="J170" s="11">
        <f>7.9813 * CHOOSE(CONTROL!$C$32, $C$9, 100%, $E$9)</f>
        <v>7.9813000000000001</v>
      </c>
      <c r="K170" s="11">
        <f>7.9845 * CHOOSE(CONTROL!$C$32, $C$9, 100%, $E$9)</f>
        <v>7.9844999999999997</v>
      </c>
      <c r="L170" s="11">
        <f>4.8185 * CHOOSE(CONTROL!$C$32, $C$9, 100%, $E$9)</f>
        <v>4.8185000000000002</v>
      </c>
      <c r="M170" s="11">
        <f>4.8217 * CHOOSE(CONTROL!$C$32, $C$9, 100%, $E$9)</f>
        <v>4.8216999999999999</v>
      </c>
      <c r="N170" s="11">
        <f>4.8185 * CHOOSE(CONTROL!$C$32, $C$9, 100%, $E$9)</f>
        <v>4.8185000000000002</v>
      </c>
      <c r="O170" s="11">
        <f>4.8217 * CHOOSE(CONTROL!$C$32, $C$9, 100%, $E$9)</f>
        <v>4.8216999999999999</v>
      </c>
    </row>
    <row r="171" spans="1:18" ht="15" x14ac:dyDescent="0.2">
      <c r="A171" s="13">
        <v>46054</v>
      </c>
      <c r="B171" s="9">
        <f>3.7861 * CHOOSE(CONTROL!$C$32, $C$9, 100%, $E$9)</f>
        <v>3.7860999999999998</v>
      </c>
      <c r="C171" s="9">
        <f>3.7861 * CHOOSE(CONTROL!$C$32, $C$9, 100%, $E$9)</f>
        <v>3.7860999999999998</v>
      </c>
      <c r="D171" s="9">
        <f>3.7871 * CHOOSE(CONTROL!$C$32, $C$9, 100%, $E$9)</f>
        <v>3.7871000000000001</v>
      </c>
      <c r="E171" s="11">
        <f>4.8165 * CHOOSE(CONTROL!$C$32, $C$9, 100%, $E$9)</f>
        <v>4.8164999999999996</v>
      </c>
      <c r="F171" s="11">
        <f>4.8165 * CHOOSE(CONTROL!$C$32, $C$9, 100%, $E$9)</f>
        <v>4.8164999999999996</v>
      </c>
      <c r="G171" s="11">
        <f>4.8197 * CHOOSE(CONTROL!$C$32, $C$9, 100%, $E$9)</f>
        <v>4.8197000000000001</v>
      </c>
      <c r="H171" s="11">
        <f>7.9979 * CHOOSE(CONTROL!$C$32, $C$9, 100%, $E$9)</f>
        <v>7.9978999999999996</v>
      </c>
      <c r="I171" s="11">
        <f>8.0012 * CHOOSE(CONTROL!$C$32, $C$9, 100%, $E$9)</f>
        <v>8.0012000000000008</v>
      </c>
      <c r="J171" s="11">
        <f>7.9979 * CHOOSE(CONTROL!$C$32, $C$9, 100%, $E$9)</f>
        <v>7.9978999999999996</v>
      </c>
      <c r="K171" s="11">
        <f>8.0012 * CHOOSE(CONTROL!$C$32, $C$9, 100%, $E$9)</f>
        <v>8.0012000000000008</v>
      </c>
      <c r="L171" s="11">
        <f>4.8165 * CHOOSE(CONTROL!$C$32, $C$9, 100%, $E$9)</f>
        <v>4.8164999999999996</v>
      </c>
      <c r="M171" s="11">
        <f>4.8197 * CHOOSE(CONTROL!$C$32, $C$9, 100%, $E$9)</f>
        <v>4.8197000000000001</v>
      </c>
      <c r="N171" s="11">
        <f>4.8165 * CHOOSE(CONTROL!$C$32, $C$9, 100%, $E$9)</f>
        <v>4.8164999999999996</v>
      </c>
      <c r="O171" s="11">
        <f>4.8197 * CHOOSE(CONTROL!$C$32, $C$9, 100%, $E$9)</f>
        <v>4.8197000000000001</v>
      </c>
    </row>
    <row r="172" spans="1:18" ht="15" x14ac:dyDescent="0.2">
      <c r="A172" s="13">
        <v>46082</v>
      </c>
      <c r="B172" s="9">
        <f>3.7831 * CHOOSE(CONTROL!$C$32, $C$9, 100%, $E$9)</f>
        <v>3.7831000000000001</v>
      </c>
      <c r="C172" s="9">
        <f>3.7831 * CHOOSE(CONTROL!$C$32, $C$9, 100%, $E$9)</f>
        <v>3.7831000000000001</v>
      </c>
      <c r="D172" s="9">
        <f>3.784 * CHOOSE(CONTROL!$C$32, $C$9, 100%, $E$9)</f>
        <v>3.7839999999999998</v>
      </c>
      <c r="E172" s="11">
        <f>4.8145 * CHOOSE(CONTROL!$C$32, $C$9, 100%, $E$9)</f>
        <v>4.8144999999999998</v>
      </c>
      <c r="F172" s="11">
        <f>4.8145 * CHOOSE(CONTROL!$C$32, $C$9, 100%, $E$9)</f>
        <v>4.8144999999999998</v>
      </c>
      <c r="G172" s="11">
        <f>4.8177 * CHOOSE(CONTROL!$C$32, $C$9, 100%, $E$9)</f>
        <v>4.8177000000000003</v>
      </c>
      <c r="H172" s="11">
        <f>8.0146 * CHOOSE(CONTROL!$C$32, $C$9, 100%, $E$9)</f>
        <v>8.0145999999999997</v>
      </c>
      <c r="I172" s="11">
        <f>8.0178 * CHOOSE(CONTROL!$C$32, $C$9, 100%, $E$9)</f>
        <v>8.0177999999999994</v>
      </c>
      <c r="J172" s="11">
        <f>8.0146 * CHOOSE(CONTROL!$C$32, $C$9, 100%, $E$9)</f>
        <v>8.0145999999999997</v>
      </c>
      <c r="K172" s="11">
        <f>8.0178 * CHOOSE(CONTROL!$C$32, $C$9, 100%, $E$9)</f>
        <v>8.0177999999999994</v>
      </c>
      <c r="L172" s="11">
        <f>4.8145 * CHOOSE(CONTROL!$C$32, $C$9, 100%, $E$9)</f>
        <v>4.8144999999999998</v>
      </c>
      <c r="M172" s="11">
        <f>4.8177 * CHOOSE(CONTROL!$C$32, $C$9, 100%, $E$9)</f>
        <v>4.8177000000000003</v>
      </c>
      <c r="N172" s="11">
        <f>4.8145 * CHOOSE(CONTROL!$C$32, $C$9, 100%, $E$9)</f>
        <v>4.8144999999999998</v>
      </c>
      <c r="O172" s="11">
        <f>4.8177 * CHOOSE(CONTROL!$C$32, $C$9, 100%, $E$9)</f>
        <v>4.8177000000000003</v>
      </c>
    </row>
    <row r="173" spans="1:18" ht="15" x14ac:dyDescent="0.2">
      <c r="A173" s="13">
        <v>46113</v>
      </c>
      <c r="B173" s="9">
        <f>3.7805 * CHOOSE(CONTROL!$C$32, $C$9, 100%, $E$9)</f>
        <v>3.7805</v>
      </c>
      <c r="C173" s="9">
        <f>3.7805 * CHOOSE(CONTROL!$C$32, $C$9, 100%, $E$9)</f>
        <v>3.7805</v>
      </c>
      <c r="D173" s="9">
        <f>3.7815 * CHOOSE(CONTROL!$C$32, $C$9, 100%, $E$9)</f>
        <v>3.7814999999999999</v>
      </c>
      <c r="E173" s="11">
        <f>4.8123 * CHOOSE(CONTROL!$C$32, $C$9, 100%, $E$9)</f>
        <v>4.8122999999999996</v>
      </c>
      <c r="F173" s="11">
        <f>4.8123 * CHOOSE(CONTROL!$C$32, $C$9, 100%, $E$9)</f>
        <v>4.8122999999999996</v>
      </c>
      <c r="G173" s="11">
        <f>4.8156 * CHOOSE(CONTROL!$C$32, $C$9, 100%, $E$9)</f>
        <v>4.8155999999999999</v>
      </c>
      <c r="H173" s="11">
        <f>8.0313 * CHOOSE(CONTROL!$C$32, $C$9, 100%, $E$9)</f>
        <v>8.0312999999999999</v>
      </c>
      <c r="I173" s="11">
        <f>8.0345 * CHOOSE(CONTROL!$C$32, $C$9, 100%, $E$9)</f>
        <v>8.0344999999999995</v>
      </c>
      <c r="J173" s="11">
        <f>8.0313 * CHOOSE(CONTROL!$C$32, $C$9, 100%, $E$9)</f>
        <v>8.0312999999999999</v>
      </c>
      <c r="K173" s="11">
        <f>8.0345 * CHOOSE(CONTROL!$C$32, $C$9, 100%, $E$9)</f>
        <v>8.0344999999999995</v>
      </c>
      <c r="L173" s="11">
        <f>4.8123 * CHOOSE(CONTROL!$C$32, $C$9, 100%, $E$9)</f>
        <v>4.8122999999999996</v>
      </c>
      <c r="M173" s="11">
        <f>4.8156 * CHOOSE(CONTROL!$C$32, $C$9, 100%, $E$9)</f>
        <v>4.8155999999999999</v>
      </c>
      <c r="N173" s="11">
        <f>4.8123 * CHOOSE(CONTROL!$C$32, $C$9, 100%, $E$9)</f>
        <v>4.8122999999999996</v>
      </c>
      <c r="O173" s="11">
        <f>4.8156 * CHOOSE(CONTROL!$C$32, $C$9, 100%, $E$9)</f>
        <v>4.8155999999999999</v>
      </c>
    </row>
    <row r="174" spans="1:18" ht="15" x14ac:dyDescent="0.2">
      <c r="A174" s="13">
        <v>46143</v>
      </c>
      <c r="B174" s="9">
        <f>3.7805 * CHOOSE(CONTROL!$C$32, $C$9, 100%, $E$9)</f>
        <v>3.7805</v>
      </c>
      <c r="C174" s="9">
        <f>3.7805 * CHOOSE(CONTROL!$C$32, $C$9, 100%, $E$9)</f>
        <v>3.7805</v>
      </c>
      <c r="D174" s="9">
        <f>3.7818 * CHOOSE(CONTROL!$C$32, $C$9, 100%, $E$9)</f>
        <v>3.7818000000000001</v>
      </c>
      <c r="E174" s="11">
        <f>4.8123 * CHOOSE(CONTROL!$C$32, $C$9, 100%, $E$9)</f>
        <v>4.8122999999999996</v>
      </c>
      <c r="F174" s="11">
        <f>4.8123 * CHOOSE(CONTROL!$C$32, $C$9, 100%, $E$9)</f>
        <v>4.8122999999999996</v>
      </c>
      <c r="G174" s="11">
        <f>4.8165 * CHOOSE(CONTROL!$C$32, $C$9, 100%, $E$9)</f>
        <v>4.8164999999999996</v>
      </c>
      <c r="H174" s="11">
        <f>8.048 * CHOOSE(CONTROL!$C$32, $C$9, 100%, $E$9)</f>
        <v>8.048</v>
      </c>
      <c r="I174" s="11">
        <f>8.0522 * CHOOSE(CONTROL!$C$32, $C$9, 100%, $E$9)</f>
        <v>8.0521999999999991</v>
      </c>
      <c r="J174" s="11">
        <f>8.048 * CHOOSE(CONTROL!$C$32, $C$9, 100%, $E$9)</f>
        <v>8.048</v>
      </c>
      <c r="K174" s="11">
        <f>8.0522 * CHOOSE(CONTROL!$C$32, $C$9, 100%, $E$9)</f>
        <v>8.0521999999999991</v>
      </c>
      <c r="L174" s="11">
        <f>4.8123 * CHOOSE(CONTROL!$C$32, $C$9, 100%, $E$9)</f>
        <v>4.8122999999999996</v>
      </c>
      <c r="M174" s="11">
        <f>4.8165 * CHOOSE(CONTROL!$C$32, $C$9, 100%, $E$9)</f>
        <v>4.8164999999999996</v>
      </c>
      <c r="N174" s="11">
        <f>4.8123 * CHOOSE(CONTROL!$C$32, $C$9, 100%, $E$9)</f>
        <v>4.8122999999999996</v>
      </c>
      <c r="O174" s="11">
        <f>4.8165 * CHOOSE(CONTROL!$C$32, $C$9, 100%, $E$9)</f>
        <v>4.8164999999999996</v>
      </c>
    </row>
    <row r="175" spans="1:18" ht="15" x14ac:dyDescent="0.2">
      <c r="A175" s="13">
        <v>46174</v>
      </c>
      <c r="B175" s="9">
        <f>3.7866 * CHOOSE(CONTROL!$C$32, $C$9, 100%, $E$9)</f>
        <v>3.7866</v>
      </c>
      <c r="C175" s="9">
        <f>3.7866 * CHOOSE(CONTROL!$C$32, $C$9, 100%, $E$9)</f>
        <v>3.7866</v>
      </c>
      <c r="D175" s="9">
        <f>3.7879 * CHOOSE(CONTROL!$C$32, $C$9, 100%, $E$9)</f>
        <v>3.7879</v>
      </c>
      <c r="E175" s="11">
        <f>4.8163 * CHOOSE(CONTROL!$C$32, $C$9, 100%, $E$9)</f>
        <v>4.8163</v>
      </c>
      <c r="F175" s="11">
        <f>4.8163 * CHOOSE(CONTROL!$C$32, $C$9, 100%, $E$9)</f>
        <v>4.8163</v>
      </c>
      <c r="G175" s="11">
        <f>4.8205 * CHOOSE(CONTROL!$C$32, $C$9, 100%, $E$9)</f>
        <v>4.8205</v>
      </c>
      <c r="H175" s="11">
        <f>8.0648 * CHOOSE(CONTROL!$C$32, $C$9, 100%, $E$9)</f>
        <v>8.0648</v>
      </c>
      <c r="I175" s="11">
        <f>8.069 * CHOOSE(CONTROL!$C$32, $C$9, 100%, $E$9)</f>
        <v>8.0690000000000008</v>
      </c>
      <c r="J175" s="11">
        <f>8.0648 * CHOOSE(CONTROL!$C$32, $C$9, 100%, $E$9)</f>
        <v>8.0648</v>
      </c>
      <c r="K175" s="11">
        <f>8.069 * CHOOSE(CONTROL!$C$32, $C$9, 100%, $E$9)</f>
        <v>8.0690000000000008</v>
      </c>
      <c r="L175" s="11">
        <f>4.8163 * CHOOSE(CONTROL!$C$32, $C$9, 100%, $E$9)</f>
        <v>4.8163</v>
      </c>
      <c r="M175" s="11">
        <f>4.8205 * CHOOSE(CONTROL!$C$32, $C$9, 100%, $E$9)</f>
        <v>4.8205</v>
      </c>
      <c r="N175" s="11">
        <f>4.8163 * CHOOSE(CONTROL!$C$32, $C$9, 100%, $E$9)</f>
        <v>4.8163</v>
      </c>
      <c r="O175" s="11">
        <f>4.8205 * CHOOSE(CONTROL!$C$32, $C$9, 100%, $E$9)</f>
        <v>4.8205</v>
      </c>
    </row>
    <row r="176" spans="1:18" ht="15" x14ac:dyDescent="0.2">
      <c r="A176" s="13">
        <v>46204</v>
      </c>
      <c r="B176" s="9">
        <f>3.8506 * CHOOSE(CONTROL!$C$32, $C$9, 100%, $E$9)</f>
        <v>3.8506</v>
      </c>
      <c r="C176" s="9">
        <f>3.8506 * CHOOSE(CONTROL!$C$32, $C$9, 100%, $E$9)</f>
        <v>3.8506</v>
      </c>
      <c r="D176" s="9">
        <f>3.8519 * CHOOSE(CONTROL!$C$32, $C$9, 100%, $E$9)</f>
        <v>3.8519000000000001</v>
      </c>
      <c r="E176" s="11">
        <f>4.9098 * CHOOSE(CONTROL!$C$32, $C$9, 100%, $E$9)</f>
        <v>4.9097999999999997</v>
      </c>
      <c r="F176" s="11">
        <f>4.9098 * CHOOSE(CONTROL!$C$32, $C$9, 100%, $E$9)</f>
        <v>4.9097999999999997</v>
      </c>
      <c r="G176" s="11">
        <f>4.914 * CHOOSE(CONTROL!$C$32, $C$9, 100%, $E$9)</f>
        <v>4.9139999999999997</v>
      </c>
      <c r="H176" s="11">
        <f>8.0816 * CHOOSE(CONTROL!$C$32, $C$9, 100%, $E$9)</f>
        <v>8.0815999999999999</v>
      </c>
      <c r="I176" s="11">
        <f>8.0858 * CHOOSE(CONTROL!$C$32, $C$9, 100%, $E$9)</f>
        <v>8.0858000000000008</v>
      </c>
      <c r="J176" s="11">
        <f>8.0816 * CHOOSE(CONTROL!$C$32, $C$9, 100%, $E$9)</f>
        <v>8.0815999999999999</v>
      </c>
      <c r="K176" s="11">
        <f>8.0858 * CHOOSE(CONTROL!$C$32, $C$9, 100%, $E$9)</f>
        <v>8.0858000000000008</v>
      </c>
      <c r="L176" s="11">
        <f>4.9098 * CHOOSE(CONTROL!$C$32, $C$9, 100%, $E$9)</f>
        <v>4.9097999999999997</v>
      </c>
      <c r="M176" s="11">
        <f>4.914 * CHOOSE(CONTROL!$C$32, $C$9, 100%, $E$9)</f>
        <v>4.9139999999999997</v>
      </c>
      <c r="N176" s="11">
        <f>4.9098 * CHOOSE(CONTROL!$C$32, $C$9, 100%, $E$9)</f>
        <v>4.9097999999999997</v>
      </c>
      <c r="O176" s="11">
        <f>4.914 * CHOOSE(CONTROL!$C$32, $C$9, 100%, $E$9)</f>
        <v>4.9139999999999997</v>
      </c>
    </row>
    <row r="177" spans="1:15" ht="15" x14ac:dyDescent="0.2">
      <c r="A177" s="13">
        <v>46235</v>
      </c>
      <c r="B177" s="9">
        <f>3.8573 * CHOOSE(CONTROL!$C$32, $C$9, 100%, $E$9)</f>
        <v>3.8573</v>
      </c>
      <c r="C177" s="9">
        <f>3.8573 * CHOOSE(CONTROL!$C$32, $C$9, 100%, $E$9)</f>
        <v>3.8573</v>
      </c>
      <c r="D177" s="9">
        <f>3.8586 * CHOOSE(CONTROL!$C$32, $C$9, 100%, $E$9)</f>
        <v>3.8586</v>
      </c>
      <c r="E177" s="11">
        <f>4.9142 * CHOOSE(CONTROL!$C$32, $C$9, 100%, $E$9)</f>
        <v>4.9142000000000001</v>
      </c>
      <c r="F177" s="11">
        <f>4.9142 * CHOOSE(CONTROL!$C$32, $C$9, 100%, $E$9)</f>
        <v>4.9142000000000001</v>
      </c>
      <c r="G177" s="11">
        <f>4.9184 * CHOOSE(CONTROL!$C$32, $C$9, 100%, $E$9)</f>
        <v>4.9184000000000001</v>
      </c>
      <c r="H177" s="11">
        <f>8.0984 * CHOOSE(CONTROL!$C$32, $C$9, 100%, $E$9)</f>
        <v>8.0983999999999998</v>
      </c>
      <c r="I177" s="11">
        <f>8.1026 * CHOOSE(CONTROL!$C$32, $C$9, 100%, $E$9)</f>
        <v>8.1026000000000007</v>
      </c>
      <c r="J177" s="11">
        <f>8.0984 * CHOOSE(CONTROL!$C$32, $C$9, 100%, $E$9)</f>
        <v>8.0983999999999998</v>
      </c>
      <c r="K177" s="11">
        <f>8.1026 * CHOOSE(CONTROL!$C$32, $C$9, 100%, $E$9)</f>
        <v>8.1026000000000007</v>
      </c>
      <c r="L177" s="11">
        <f>4.9142 * CHOOSE(CONTROL!$C$32, $C$9, 100%, $E$9)</f>
        <v>4.9142000000000001</v>
      </c>
      <c r="M177" s="11">
        <f>4.9184 * CHOOSE(CONTROL!$C$32, $C$9, 100%, $E$9)</f>
        <v>4.9184000000000001</v>
      </c>
      <c r="N177" s="11">
        <f>4.9142 * CHOOSE(CONTROL!$C$32, $C$9, 100%, $E$9)</f>
        <v>4.9142000000000001</v>
      </c>
      <c r="O177" s="11">
        <f>4.9184 * CHOOSE(CONTROL!$C$32, $C$9, 100%, $E$9)</f>
        <v>4.9184000000000001</v>
      </c>
    </row>
    <row r="178" spans="1:15" ht="15" x14ac:dyDescent="0.2">
      <c r="A178" s="13">
        <v>46266</v>
      </c>
      <c r="B178" s="9">
        <f>3.8543 * CHOOSE(CONTROL!$C$32, $C$9, 100%, $E$9)</f>
        <v>3.8542999999999998</v>
      </c>
      <c r="C178" s="9">
        <f>3.8543 * CHOOSE(CONTROL!$C$32, $C$9, 100%, $E$9)</f>
        <v>3.8542999999999998</v>
      </c>
      <c r="D178" s="9">
        <f>3.8555 * CHOOSE(CONTROL!$C$32, $C$9, 100%, $E$9)</f>
        <v>3.8555000000000001</v>
      </c>
      <c r="E178" s="11">
        <f>4.9122 * CHOOSE(CONTROL!$C$32, $C$9, 100%, $E$9)</f>
        <v>4.9122000000000003</v>
      </c>
      <c r="F178" s="11">
        <f>4.9122 * CHOOSE(CONTROL!$C$32, $C$9, 100%, $E$9)</f>
        <v>4.9122000000000003</v>
      </c>
      <c r="G178" s="11">
        <f>4.9164 * CHOOSE(CONTROL!$C$32, $C$9, 100%, $E$9)</f>
        <v>4.9164000000000003</v>
      </c>
      <c r="H178" s="11">
        <f>8.1153 * CHOOSE(CONTROL!$C$32, $C$9, 100%, $E$9)</f>
        <v>8.1152999999999995</v>
      </c>
      <c r="I178" s="11">
        <f>8.1195 * CHOOSE(CONTROL!$C$32, $C$9, 100%, $E$9)</f>
        <v>8.1195000000000004</v>
      </c>
      <c r="J178" s="11">
        <f>8.1153 * CHOOSE(CONTROL!$C$32, $C$9, 100%, $E$9)</f>
        <v>8.1152999999999995</v>
      </c>
      <c r="K178" s="11">
        <f>8.1195 * CHOOSE(CONTROL!$C$32, $C$9, 100%, $E$9)</f>
        <v>8.1195000000000004</v>
      </c>
      <c r="L178" s="11">
        <f>4.9122 * CHOOSE(CONTROL!$C$32, $C$9, 100%, $E$9)</f>
        <v>4.9122000000000003</v>
      </c>
      <c r="M178" s="11">
        <f>4.9164 * CHOOSE(CONTROL!$C$32, $C$9, 100%, $E$9)</f>
        <v>4.9164000000000003</v>
      </c>
      <c r="N178" s="11">
        <f>4.9122 * CHOOSE(CONTROL!$C$32, $C$9, 100%, $E$9)</f>
        <v>4.9122000000000003</v>
      </c>
      <c r="O178" s="11">
        <f>4.9164 * CHOOSE(CONTROL!$C$32, $C$9, 100%, $E$9)</f>
        <v>4.9164000000000003</v>
      </c>
    </row>
    <row r="179" spans="1:15" ht="15" x14ac:dyDescent="0.2">
      <c r="A179" s="13">
        <v>46296</v>
      </c>
      <c r="B179" s="9">
        <f>3.8489 * CHOOSE(CONTROL!$C$32, $C$9, 100%, $E$9)</f>
        <v>3.8489</v>
      </c>
      <c r="C179" s="9">
        <f>3.8489 * CHOOSE(CONTROL!$C$32, $C$9, 100%, $E$9)</f>
        <v>3.8489</v>
      </c>
      <c r="D179" s="9">
        <f>3.8498 * CHOOSE(CONTROL!$C$32, $C$9, 100%, $E$9)</f>
        <v>3.8498000000000001</v>
      </c>
      <c r="E179" s="11">
        <f>4.9067 * CHOOSE(CONTROL!$C$32, $C$9, 100%, $E$9)</f>
        <v>4.9066999999999998</v>
      </c>
      <c r="F179" s="11">
        <f>4.9067 * CHOOSE(CONTROL!$C$32, $C$9, 100%, $E$9)</f>
        <v>4.9066999999999998</v>
      </c>
      <c r="G179" s="11">
        <f>4.9099 * CHOOSE(CONTROL!$C$32, $C$9, 100%, $E$9)</f>
        <v>4.9099000000000004</v>
      </c>
      <c r="H179" s="11">
        <f>8.1322 * CHOOSE(CONTROL!$C$32, $C$9, 100%, $E$9)</f>
        <v>8.1321999999999992</v>
      </c>
      <c r="I179" s="11">
        <f>8.1354 * CHOOSE(CONTROL!$C$32, $C$9, 100%, $E$9)</f>
        <v>8.1354000000000006</v>
      </c>
      <c r="J179" s="11">
        <f>8.1322 * CHOOSE(CONTROL!$C$32, $C$9, 100%, $E$9)</f>
        <v>8.1321999999999992</v>
      </c>
      <c r="K179" s="11">
        <f>8.1354 * CHOOSE(CONTROL!$C$32, $C$9, 100%, $E$9)</f>
        <v>8.1354000000000006</v>
      </c>
      <c r="L179" s="11">
        <f>4.9067 * CHOOSE(CONTROL!$C$32, $C$9, 100%, $E$9)</f>
        <v>4.9066999999999998</v>
      </c>
      <c r="M179" s="11">
        <f>4.9099 * CHOOSE(CONTROL!$C$32, $C$9, 100%, $E$9)</f>
        <v>4.9099000000000004</v>
      </c>
      <c r="N179" s="11">
        <f>4.9067 * CHOOSE(CONTROL!$C$32, $C$9, 100%, $E$9)</f>
        <v>4.9066999999999998</v>
      </c>
      <c r="O179" s="11">
        <f>4.9099 * CHOOSE(CONTROL!$C$32, $C$9, 100%, $E$9)</f>
        <v>4.9099000000000004</v>
      </c>
    </row>
    <row r="180" spans="1:15" ht="15" x14ac:dyDescent="0.2">
      <c r="A180" s="13">
        <v>46327</v>
      </c>
      <c r="B180" s="9">
        <f>3.8519 * CHOOSE(CONTROL!$C$32, $C$9, 100%, $E$9)</f>
        <v>3.8519000000000001</v>
      </c>
      <c r="C180" s="9">
        <f>3.8519 * CHOOSE(CONTROL!$C$32, $C$9, 100%, $E$9)</f>
        <v>3.8519000000000001</v>
      </c>
      <c r="D180" s="9">
        <f>3.8529 * CHOOSE(CONTROL!$C$32, $C$9, 100%, $E$9)</f>
        <v>3.8529</v>
      </c>
      <c r="E180" s="11">
        <f>4.9087 * CHOOSE(CONTROL!$C$32, $C$9, 100%, $E$9)</f>
        <v>4.9086999999999996</v>
      </c>
      <c r="F180" s="11">
        <f>4.9087 * CHOOSE(CONTROL!$C$32, $C$9, 100%, $E$9)</f>
        <v>4.9086999999999996</v>
      </c>
      <c r="G180" s="11">
        <f>4.9119 * CHOOSE(CONTROL!$C$32, $C$9, 100%, $E$9)</f>
        <v>4.9119000000000002</v>
      </c>
      <c r="H180" s="11">
        <f>8.1491 * CHOOSE(CONTROL!$C$32, $C$9, 100%, $E$9)</f>
        <v>8.1491000000000007</v>
      </c>
      <c r="I180" s="11">
        <f>8.1524 * CHOOSE(CONTROL!$C$32, $C$9, 100%, $E$9)</f>
        <v>8.1524000000000001</v>
      </c>
      <c r="J180" s="11">
        <f>8.1491 * CHOOSE(CONTROL!$C$32, $C$9, 100%, $E$9)</f>
        <v>8.1491000000000007</v>
      </c>
      <c r="K180" s="11">
        <f>8.1524 * CHOOSE(CONTROL!$C$32, $C$9, 100%, $E$9)</f>
        <v>8.1524000000000001</v>
      </c>
      <c r="L180" s="11">
        <f>4.9087 * CHOOSE(CONTROL!$C$32, $C$9, 100%, $E$9)</f>
        <v>4.9086999999999996</v>
      </c>
      <c r="M180" s="11">
        <f>4.9119 * CHOOSE(CONTROL!$C$32, $C$9, 100%, $E$9)</f>
        <v>4.9119000000000002</v>
      </c>
      <c r="N180" s="11">
        <f>4.9087 * CHOOSE(CONTROL!$C$32, $C$9, 100%, $E$9)</f>
        <v>4.9086999999999996</v>
      </c>
      <c r="O180" s="11">
        <f>4.9119 * CHOOSE(CONTROL!$C$32, $C$9, 100%, $E$9)</f>
        <v>4.9119000000000002</v>
      </c>
    </row>
    <row r="181" spans="1:15" ht="15" x14ac:dyDescent="0.2">
      <c r="A181" s="13">
        <v>46357</v>
      </c>
      <c r="B181" s="9">
        <f>3.8519 * CHOOSE(CONTROL!$C$32, $C$9, 100%, $E$9)</f>
        <v>3.8519000000000001</v>
      </c>
      <c r="C181" s="9">
        <f>3.8519 * CHOOSE(CONTROL!$C$32, $C$9, 100%, $E$9)</f>
        <v>3.8519000000000001</v>
      </c>
      <c r="D181" s="9">
        <f>3.8529 * CHOOSE(CONTROL!$C$32, $C$9, 100%, $E$9)</f>
        <v>3.8529</v>
      </c>
      <c r="E181" s="11">
        <f>4.9087 * CHOOSE(CONTROL!$C$32, $C$9, 100%, $E$9)</f>
        <v>4.9086999999999996</v>
      </c>
      <c r="F181" s="11">
        <f>4.9087 * CHOOSE(CONTROL!$C$32, $C$9, 100%, $E$9)</f>
        <v>4.9086999999999996</v>
      </c>
      <c r="G181" s="11">
        <f>4.9119 * CHOOSE(CONTROL!$C$32, $C$9, 100%, $E$9)</f>
        <v>4.9119000000000002</v>
      </c>
      <c r="H181" s="11">
        <f>8.1661 * CHOOSE(CONTROL!$C$32, $C$9, 100%, $E$9)</f>
        <v>8.1661000000000001</v>
      </c>
      <c r="I181" s="11">
        <f>8.1694 * CHOOSE(CONTROL!$C$32, $C$9, 100%, $E$9)</f>
        <v>8.1693999999999996</v>
      </c>
      <c r="J181" s="11">
        <f>8.1661 * CHOOSE(CONTROL!$C$32, $C$9, 100%, $E$9)</f>
        <v>8.1661000000000001</v>
      </c>
      <c r="K181" s="11">
        <f>8.1694 * CHOOSE(CONTROL!$C$32, $C$9, 100%, $E$9)</f>
        <v>8.1693999999999996</v>
      </c>
      <c r="L181" s="11">
        <f>4.9087 * CHOOSE(CONTROL!$C$32, $C$9, 100%, $E$9)</f>
        <v>4.9086999999999996</v>
      </c>
      <c r="M181" s="11">
        <f>4.9119 * CHOOSE(CONTROL!$C$32, $C$9, 100%, $E$9)</f>
        <v>4.9119000000000002</v>
      </c>
      <c r="N181" s="11">
        <f>4.9087 * CHOOSE(CONTROL!$C$32, $C$9, 100%, $E$9)</f>
        <v>4.9086999999999996</v>
      </c>
      <c r="O181" s="11">
        <f>4.9119 * CHOOSE(CONTROL!$C$32, $C$9, 100%, $E$9)</f>
        <v>4.9119000000000002</v>
      </c>
    </row>
    <row r="182" spans="1:15" ht="15" x14ac:dyDescent="0.2">
      <c r="A182" s="13">
        <v>46388</v>
      </c>
      <c r="B182" s="9">
        <f>3.8871 * CHOOSE(CONTROL!$C$32, $C$9, 100%, $E$9)</f>
        <v>3.8871000000000002</v>
      </c>
      <c r="C182" s="9">
        <f>3.8871 * CHOOSE(CONTROL!$C$32, $C$9, 100%, $E$9)</f>
        <v>3.8871000000000002</v>
      </c>
      <c r="D182" s="9">
        <f>3.888 * CHOOSE(CONTROL!$C$32, $C$9, 100%, $E$9)</f>
        <v>3.8879999999999999</v>
      </c>
      <c r="E182" s="11">
        <f>4.9479 * CHOOSE(CONTROL!$C$32, $C$9, 100%, $E$9)</f>
        <v>4.9478999999999997</v>
      </c>
      <c r="F182" s="11">
        <f>4.9479 * CHOOSE(CONTROL!$C$32, $C$9, 100%, $E$9)</f>
        <v>4.9478999999999997</v>
      </c>
      <c r="G182" s="11">
        <f>4.9511 * CHOOSE(CONTROL!$C$32, $C$9, 100%, $E$9)</f>
        <v>4.9511000000000003</v>
      </c>
      <c r="H182" s="11">
        <f>8.1831 * CHOOSE(CONTROL!$C$32, $C$9, 100%, $E$9)</f>
        <v>8.1830999999999996</v>
      </c>
      <c r="I182" s="11">
        <f>8.1864 * CHOOSE(CONTROL!$C$32, $C$9, 100%, $E$9)</f>
        <v>8.1864000000000008</v>
      </c>
      <c r="J182" s="11">
        <f>8.1831 * CHOOSE(CONTROL!$C$32, $C$9, 100%, $E$9)</f>
        <v>8.1830999999999996</v>
      </c>
      <c r="K182" s="11">
        <f>8.1864 * CHOOSE(CONTROL!$C$32, $C$9, 100%, $E$9)</f>
        <v>8.1864000000000008</v>
      </c>
      <c r="L182" s="11">
        <f>4.9479 * CHOOSE(CONTROL!$C$32, $C$9, 100%, $E$9)</f>
        <v>4.9478999999999997</v>
      </c>
      <c r="M182" s="11">
        <f>4.9511 * CHOOSE(CONTROL!$C$32, $C$9, 100%, $E$9)</f>
        <v>4.9511000000000003</v>
      </c>
      <c r="N182" s="11">
        <f>4.9479 * CHOOSE(CONTROL!$C$32, $C$9, 100%, $E$9)</f>
        <v>4.9478999999999997</v>
      </c>
      <c r="O182" s="11">
        <f>4.9511 * CHOOSE(CONTROL!$C$32, $C$9, 100%, $E$9)</f>
        <v>4.9511000000000003</v>
      </c>
    </row>
    <row r="183" spans="1:15" ht="15" x14ac:dyDescent="0.2">
      <c r="A183" s="13">
        <v>46419</v>
      </c>
      <c r="B183" s="9">
        <f>3.884 * CHOOSE(CONTROL!$C$32, $C$9, 100%, $E$9)</f>
        <v>3.8839999999999999</v>
      </c>
      <c r="C183" s="9">
        <f>3.884 * CHOOSE(CONTROL!$C$32, $C$9, 100%, $E$9)</f>
        <v>3.8839999999999999</v>
      </c>
      <c r="D183" s="9">
        <f>3.885 * CHOOSE(CONTROL!$C$32, $C$9, 100%, $E$9)</f>
        <v>3.8849999999999998</v>
      </c>
      <c r="E183" s="11">
        <f>4.9459 * CHOOSE(CONTROL!$C$32, $C$9, 100%, $E$9)</f>
        <v>4.9459</v>
      </c>
      <c r="F183" s="11">
        <f>4.9459 * CHOOSE(CONTROL!$C$32, $C$9, 100%, $E$9)</f>
        <v>4.9459</v>
      </c>
      <c r="G183" s="11">
        <f>4.9491 * CHOOSE(CONTROL!$C$32, $C$9, 100%, $E$9)</f>
        <v>4.9490999999999996</v>
      </c>
      <c r="H183" s="11">
        <f>8.2002 * CHOOSE(CONTROL!$C$32, $C$9, 100%, $E$9)</f>
        <v>8.2002000000000006</v>
      </c>
      <c r="I183" s="11">
        <f>8.2034 * CHOOSE(CONTROL!$C$32, $C$9, 100%, $E$9)</f>
        <v>8.2034000000000002</v>
      </c>
      <c r="J183" s="11">
        <f>8.2002 * CHOOSE(CONTROL!$C$32, $C$9, 100%, $E$9)</f>
        <v>8.2002000000000006</v>
      </c>
      <c r="K183" s="11">
        <f>8.2034 * CHOOSE(CONTROL!$C$32, $C$9, 100%, $E$9)</f>
        <v>8.2034000000000002</v>
      </c>
      <c r="L183" s="11">
        <f>4.9459 * CHOOSE(CONTROL!$C$32, $C$9, 100%, $E$9)</f>
        <v>4.9459</v>
      </c>
      <c r="M183" s="11">
        <f>4.9491 * CHOOSE(CONTROL!$C$32, $C$9, 100%, $E$9)</f>
        <v>4.9490999999999996</v>
      </c>
      <c r="N183" s="11">
        <f>4.9459 * CHOOSE(CONTROL!$C$32, $C$9, 100%, $E$9)</f>
        <v>4.9459</v>
      </c>
      <c r="O183" s="11">
        <f>4.9491 * CHOOSE(CONTROL!$C$32, $C$9, 100%, $E$9)</f>
        <v>4.9490999999999996</v>
      </c>
    </row>
    <row r="184" spans="1:15" ht="15" x14ac:dyDescent="0.2">
      <c r="A184" s="13">
        <v>46447</v>
      </c>
      <c r="B184" s="9">
        <f>3.881 * CHOOSE(CONTROL!$C$32, $C$9, 100%, $E$9)</f>
        <v>3.8809999999999998</v>
      </c>
      <c r="C184" s="9">
        <f>3.881 * CHOOSE(CONTROL!$C$32, $C$9, 100%, $E$9)</f>
        <v>3.8809999999999998</v>
      </c>
      <c r="D184" s="9">
        <f>3.882 * CHOOSE(CONTROL!$C$32, $C$9, 100%, $E$9)</f>
        <v>3.8820000000000001</v>
      </c>
      <c r="E184" s="11">
        <f>4.9439 * CHOOSE(CONTROL!$C$32, $C$9, 100%, $E$9)</f>
        <v>4.9439000000000002</v>
      </c>
      <c r="F184" s="11">
        <f>4.9439 * CHOOSE(CONTROL!$C$32, $C$9, 100%, $E$9)</f>
        <v>4.9439000000000002</v>
      </c>
      <c r="G184" s="11">
        <f>4.9471 * CHOOSE(CONTROL!$C$32, $C$9, 100%, $E$9)</f>
        <v>4.9470999999999998</v>
      </c>
      <c r="H184" s="11">
        <f>8.2173 * CHOOSE(CONTROL!$C$32, $C$9, 100%, $E$9)</f>
        <v>8.2172999999999998</v>
      </c>
      <c r="I184" s="11">
        <f>8.2205 * CHOOSE(CONTROL!$C$32, $C$9, 100%, $E$9)</f>
        <v>8.2204999999999995</v>
      </c>
      <c r="J184" s="11">
        <f>8.2173 * CHOOSE(CONTROL!$C$32, $C$9, 100%, $E$9)</f>
        <v>8.2172999999999998</v>
      </c>
      <c r="K184" s="11">
        <f>8.2205 * CHOOSE(CONTROL!$C$32, $C$9, 100%, $E$9)</f>
        <v>8.2204999999999995</v>
      </c>
      <c r="L184" s="11">
        <f>4.9439 * CHOOSE(CONTROL!$C$32, $C$9, 100%, $E$9)</f>
        <v>4.9439000000000002</v>
      </c>
      <c r="M184" s="11">
        <f>4.9471 * CHOOSE(CONTROL!$C$32, $C$9, 100%, $E$9)</f>
        <v>4.9470999999999998</v>
      </c>
      <c r="N184" s="11">
        <f>4.9439 * CHOOSE(CONTROL!$C$32, $C$9, 100%, $E$9)</f>
        <v>4.9439000000000002</v>
      </c>
      <c r="O184" s="11">
        <f>4.9471 * CHOOSE(CONTROL!$C$32, $C$9, 100%, $E$9)</f>
        <v>4.9470999999999998</v>
      </c>
    </row>
    <row r="185" spans="1:15" ht="15" x14ac:dyDescent="0.2">
      <c r="A185" s="13">
        <v>46478</v>
      </c>
      <c r="B185" s="9">
        <f>3.8786 * CHOOSE(CONTROL!$C$32, $C$9, 100%, $E$9)</f>
        <v>3.8786</v>
      </c>
      <c r="C185" s="9">
        <f>3.8786 * CHOOSE(CONTROL!$C$32, $C$9, 100%, $E$9)</f>
        <v>3.8786</v>
      </c>
      <c r="D185" s="9">
        <f>3.8795 * CHOOSE(CONTROL!$C$32, $C$9, 100%, $E$9)</f>
        <v>3.8795000000000002</v>
      </c>
      <c r="E185" s="11">
        <f>4.9418 * CHOOSE(CONTROL!$C$32, $C$9, 100%, $E$9)</f>
        <v>4.9417999999999997</v>
      </c>
      <c r="F185" s="11">
        <f>4.9418 * CHOOSE(CONTROL!$C$32, $C$9, 100%, $E$9)</f>
        <v>4.9417999999999997</v>
      </c>
      <c r="G185" s="11">
        <f>4.945 * CHOOSE(CONTROL!$C$32, $C$9, 100%, $E$9)</f>
        <v>4.9450000000000003</v>
      </c>
      <c r="H185" s="11">
        <f>8.2344 * CHOOSE(CONTROL!$C$32, $C$9, 100%, $E$9)</f>
        <v>8.2344000000000008</v>
      </c>
      <c r="I185" s="11">
        <f>8.2376 * CHOOSE(CONTROL!$C$32, $C$9, 100%, $E$9)</f>
        <v>8.2376000000000005</v>
      </c>
      <c r="J185" s="11">
        <f>8.2344 * CHOOSE(CONTROL!$C$32, $C$9, 100%, $E$9)</f>
        <v>8.2344000000000008</v>
      </c>
      <c r="K185" s="11">
        <f>8.2376 * CHOOSE(CONTROL!$C$32, $C$9, 100%, $E$9)</f>
        <v>8.2376000000000005</v>
      </c>
      <c r="L185" s="11">
        <f>4.9418 * CHOOSE(CONTROL!$C$32, $C$9, 100%, $E$9)</f>
        <v>4.9417999999999997</v>
      </c>
      <c r="M185" s="11">
        <f>4.945 * CHOOSE(CONTROL!$C$32, $C$9, 100%, $E$9)</f>
        <v>4.9450000000000003</v>
      </c>
      <c r="N185" s="11">
        <f>4.9418 * CHOOSE(CONTROL!$C$32, $C$9, 100%, $E$9)</f>
        <v>4.9417999999999997</v>
      </c>
      <c r="O185" s="11">
        <f>4.945 * CHOOSE(CONTROL!$C$32, $C$9, 100%, $E$9)</f>
        <v>4.9450000000000003</v>
      </c>
    </row>
    <row r="186" spans="1:15" ht="15" x14ac:dyDescent="0.2">
      <c r="A186" s="13">
        <v>46508</v>
      </c>
      <c r="B186" s="9">
        <f>3.8786 * CHOOSE(CONTROL!$C$32, $C$9, 100%, $E$9)</f>
        <v>3.8786</v>
      </c>
      <c r="C186" s="9">
        <f>3.8786 * CHOOSE(CONTROL!$C$32, $C$9, 100%, $E$9)</f>
        <v>3.8786</v>
      </c>
      <c r="D186" s="9">
        <f>3.8798 * CHOOSE(CONTROL!$C$32, $C$9, 100%, $E$9)</f>
        <v>3.8797999999999999</v>
      </c>
      <c r="E186" s="11">
        <f>4.9418 * CHOOSE(CONTROL!$C$32, $C$9, 100%, $E$9)</f>
        <v>4.9417999999999997</v>
      </c>
      <c r="F186" s="11">
        <f>4.9418 * CHOOSE(CONTROL!$C$32, $C$9, 100%, $E$9)</f>
        <v>4.9417999999999997</v>
      </c>
      <c r="G186" s="11">
        <f>4.946 * CHOOSE(CONTROL!$C$32, $C$9, 100%, $E$9)</f>
        <v>4.9459999999999997</v>
      </c>
      <c r="H186" s="11">
        <f>8.2515 * CHOOSE(CONTROL!$C$32, $C$9, 100%, $E$9)</f>
        <v>8.2515000000000001</v>
      </c>
      <c r="I186" s="11">
        <f>8.2557 * CHOOSE(CONTROL!$C$32, $C$9, 100%, $E$9)</f>
        <v>8.2556999999999992</v>
      </c>
      <c r="J186" s="11">
        <f>8.2515 * CHOOSE(CONTROL!$C$32, $C$9, 100%, $E$9)</f>
        <v>8.2515000000000001</v>
      </c>
      <c r="K186" s="11">
        <f>8.2557 * CHOOSE(CONTROL!$C$32, $C$9, 100%, $E$9)</f>
        <v>8.2556999999999992</v>
      </c>
      <c r="L186" s="11">
        <f>4.9418 * CHOOSE(CONTROL!$C$32, $C$9, 100%, $E$9)</f>
        <v>4.9417999999999997</v>
      </c>
      <c r="M186" s="11">
        <f>4.946 * CHOOSE(CONTROL!$C$32, $C$9, 100%, $E$9)</f>
        <v>4.9459999999999997</v>
      </c>
      <c r="N186" s="11">
        <f>4.9418 * CHOOSE(CONTROL!$C$32, $C$9, 100%, $E$9)</f>
        <v>4.9417999999999997</v>
      </c>
      <c r="O186" s="11">
        <f>4.946 * CHOOSE(CONTROL!$C$32, $C$9, 100%, $E$9)</f>
        <v>4.9459999999999997</v>
      </c>
    </row>
    <row r="187" spans="1:15" ht="15" x14ac:dyDescent="0.2">
      <c r="A187" s="13">
        <v>46539</v>
      </c>
      <c r="B187" s="9">
        <f>3.8846 * CHOOSE(CONTROL!$C$32, $C$9, 100%, $E$9)</f>
        <v>3.8845999999999998</v>
      </c>
      <c r="C187" s="9">
        <f>3.8846 * CHOOSE(CONTROL!$C$32, $C$9, 100%, $E$9)</f>
        <v>3.8845999999999998</v>
      </c>
      <c r="D187" s="9">
        <f>3.8859 * CHOOSE(CONTROL!$C$32, $C$9, 100%, $E$9)</f>
        <v>3.8858999999999999</v>
      </c>
      <c r="E187" s="11">
        <f>4.9458 * CHOOSE(CONTROL!$C$32, $C$9, 100%, $E$9)</f>
        <v>4.9458000000000002</v>
      </c>
      <c r="F187" s="11">
        <f>4.9458 * CHOOSE(CONTROL!$C$32, $C$9, 100%, $E$9)</f>
        <v>4.9458000000000002</v>
      </c>
      <c r="G187" s="11">
        <f>4.95 * CHOOSE(CONTROL!$C$32, $C$9, 100%, $E$9)</f>
        <v>4.95</v>
      </c>
      <c r="H187" s="11">
        <f>8.2687 * CHOOSE(CONTROL!$C$32, $C$9, 100%, $E$9)</f>
        <v>8.2687000000000008</v>
      </c>
      <c r="I187" s="11">
        <f>8.2729 * CHOOSE(CONTROL!$C$32, $C$9, 100%, $E$9)</f>
        <v>8.2728999999999999</v>
      </c>
      <c r="J187" s="11">
        <f>8.2687 * CHOOSE(CONTROL!$C$32, $C$9, 100%, $E$9)</f>
        <v>8.2687000000000008</v>
      </c>
      <c r="K187" s="11">
        <f>8.2729 * CHOOSE(CONTROL!$C$32, $C$9, 100%, $E$9)</f>
        <v>8.2728999999999999</v>
      </c>
      <c r="L187" s="11">
        <f>4.9458 * CHOOSE(CONTROL!$C$32, $C$9, 100%, $E$9)</f>
        <v>4.9458000000000002</v>
      </c>
      <c r="M187" s="11">
        <f>4.95 * CHOOSE(CONTROL!$C$32, $C$9, 100%, $E$9)</f>
        <v>4.95</v>
      </c>
      <c r="N187" s="11">
        <f>4.9458 * CHOOSE(CONTROL!$C$32, $C$9, 100%, $E$9)</f>
        <v>4.9458000000000002</v>
      </c>
      <c r="O187" s="11">
        <f>4.95 * CHOOSE(CONTROL!$C$32, $C$9, 100%, $E$9)</f>
        <v>4.95</v>
      </c>
    </row>
    <row r="188" spans="1:15" ht="15" x14ac:dyDescent="0.2">
      <c r="A188" s="13">
        <v>46569</v>
      </c>
      <c r="B188" s="9">
        <f>3.951 * CHOOSE(CONTROL!$C$32, $C$9, 100%, $E$9)</f>
        <v>3.9510000000000001</v>
      </c>
      <c r="C188" s="9">
        <f>3.951 * CHOOSE(CONTROL!$C$32, $C$9, 100%, $E$9)</f>
        <v>3.9510000000000001</v>
      </c>
      <c r="D188" s="9">
        <f>3.9522 * CHOOSE(CONTROL!$C$32, $C$9, 100%, $E$9)</f>
        <v>3.9521999999999999</v>
      </c>
      <c r="E188" s="11">
        <f>5.0318 * CHOOSE(CONTROL!$C$32, $C$9, 100%, $E$9)</f>
        <v>5.0317999999999996</v>
      </c>
      <c r="F188" s="11">
        <f>5.0318 * CHOOSE(CONTROL!$C$32, $C$9, 100%, $E$9)</f>
        <v>5.0317999999999996</v>
      </c>
      <c r="G188" s="11">
        <f>5.036 * CHOOSE(CONTROL!$C$32, $C$9, 100%, $E$9)</f>
        <v>5.0359999999999996</v>
      </c>
      <c r="H188" s="11">
        <f>8.286 * CHOOSE(CONTROL!$C$32, $C$9, 100%, $E$9)</f>
        <v>8.2859999999999996</v>
      </c>
      <c r="I188" s="11">
        <f>8.2902 * CHOOSE(CONTROL!$C$32, $C$9, 100%, $E$9)</f>
        <v>8.2902000000000005</v>
      </c>
      <c r="J188" s="11">
        <f>8.286 * CHOOSE(CONTROL!$C$32, $C$9, 100%, $E$9)</f>
        <v>8.2859999999999996</v>
      </c>
      <c r="K188" s="11">
        <f>8.2902 * CHOOSE(CONTROL!$C$32, $C$9, 100%, $E$9)</f>
        <v>8.2902000000000005</v>
      </c>
      <c r="L188" s="11">
        <f>5.0318 * CHOOSE(CONTROL!$C$32, $C$9, 100%, $E$9)</f>
        <v>5.0317999999999996</v>
      </c>
      <c r="M188" s="11">
        <f>5.036 * CHOOSE(CONTROL!$C$32, $C$9, 100%, $E$9)</f>
        <v>5.0359999999999996</v>
      </c>
      <c r="N188" s="11">
        <f>5.0318 * CHOOSE(CONTROL!$C$32, $C$9, 100%, $E$9)</f>
        <v>5.0317999999999996</v>
      </c>
      <c r="O188" s="11">
        <f>5.036 * CHOOSE(CONTROL!$C$32, $C$9, 100%, $E$9)</f>
        <v>5.0359999999999996</v>
      </c>
    </row>
    <row r="189" spans="1:15" ht="15" x14ac:dyDescent="0.2">
      <c r="A189" s="13">
        <v>46600</v>
      </c>
      <c r="B189" s="9">
        <f>3.9577 * CHOOSE(CONTROL!$C$32, $C$9, 100%, $E$9)</f>
        <v>3.9577</v>
      </c>
      <c r="C189" s="9">
        <f>3.9577 * CHOOSE(CONTROL!$C$32, $C$9, 100%, $E$9)</f>
        <v>3.9577</v>
      </c>
      <c r="D189" s="9">
        <f>3.9589 * CHOOSE(CONTROL!$C$32, $C$9, 100%, $E$9)</f>
        <v>3.9588999999999999</v>
      </c>
      <c r="E189" s="11">
        <f>5.0362 * CHOOSE(CONTROL!$C$32, $C$9, 100%, $E$9)</f>
        <v>5.0362</v>
      </c>
      <c r="F189" s="11">
        <f>5.0362 * CHOOSE(CONTROL!$C$32, $C$9, 100%, $E$9)</f>
        <v>5.0362</v>
      </c>
      <c r="G189" s="11">
        <f>5.0404 * CHOOSE(CONTROL!$C$32, $C$9, 100%, $E$9)</f>
        <v>5.0404</v>
      </c>
      <c r="H189" s="11">
        <f>8.3032 * CHOOSE(CONTROL!$C$32, $C$9, 100%, $E$9)</f>
        <v>8.3032000000000004</v>
      </c>
      <c r="I189" s="11">
        <f>8.3074 * CHOOSE(CONTROL!$C$32, $C$9, 100%, $E$9)</f>
        <v>8.3073999999999995</v>
      </c>
      <c r="J189" s="11">
        <f>8.3032 * CHOOSE(CONTROL!$C$32, $C$9, 100%, $E$9)</f>
        <v>8.3032000000000004</v>
      </c>
      <c r="K189" s="11">
        <f>8.3074 * CHOOSE(CONTROL!$C$32, $C$9, 100%, $E$9)</f>
        <v>8.3073999999999995</v>
      </c>
      <c r="L189" s="11">
        <f>5.0362 * CHOOSE(CONTROL!$C$32, $C$9, 100%, $E$9)</f>
        <v>5.0362</v>
      </c>
      <c r="M189" s="11">
        <f>5.0404 * CHOOSE(CONTROL!$C$32, $C$9, 100%, $E$9)</f>
        <v>5.0404</v>
      </c>
      <c r="N189" s="11">
        <f>5.0362 * CHOOSE(CONTROL!$C$32, $C$9, 100%, $E$9)</f>
        <v>5.0362</v>
      </c>
      <c r="O189" s="11">
        <f>5.0404 * CHOOSE(CONTROL!$C$32, $C$9, 100%, $E$9)</f>
        <v>5.0404</v>
      </c>
    </row>
    <row r="190" spans="1:15" ht="15" x14ac:dyDescent="0.2">
      <c r="A190" s="13">
        <v>46631</v>
      </c>
      <c r="B190" s="9">
        <f>3.9546 * CHOOSE(CONTROL!$C$32, $C$9, 100%, $E$9)</f>
        <v>3.9546000000000001</v>
      </c>
      <c r="C190" s="9">
        <f>3.9546 * CHOOSE(CONTROL!$C$32, $C$9, 100%, $E$9)</f>
        <v>3.9546000000000001</v>
      </c>
      <c r="D190" s="9">
        <f>3.9559 * CHOOSE(CONTROL!$C$32, $C$9, 100%, $E$9)</f>
        <v>3.9559000000000002</v>
      </c>
      <c r="E190" s="11">
        <f>5.0342 * CHOOSE(CONTROL!$C$32, $C$9, 100%, $E$9)</f>
        <v>5.0342000000000002</v>
      </c>
      <c r="F190" s="11">
        <f>5.0342 * CHOOSE(CONTROL!$C$32, $C$9, 100%, $E$9)</f>
        <v>5.0342000000000002</v>
      </c>
      <c r="G190" s="11">
        <f>5.0384 * CHOOSE(CONTROL!$C$32, $C$9, 100%, $E$9)</f>
        <v>5.0384000000000002</v>
      </c>
      <c r="H190" s="11">
        <f>8.3205 * CHOOSE(CONTROL!$C$32, $C$9, 100%, $E$9)</f>
        <v>8.3204999999999991</v>
      </c>
      <c r="I190" s="11">
        <f>8.3247 * CHOOSE(CONTROL!$C$32, $C$9, 100%, $E$9)</f>
        <v>8.3247</v>
      </c>
      <c r="J190" s="11">
        <f>8.3205 * CHOOSE(CONTROL!$C$32, $C$9, 100%, $E$9)</f>
        <v>8.3204999999999991</v>
      </c>
      <c r="K190" s="11">
        <f>8.3247 * CHOOSE(CONTROL!$C$32, $C$9, 100%, $E$9)</f>
        <v>8.3247</v>
      </c>
      <c r="L190" s="11">
        <f>5.0342 * CHOOSE(CONTROL!$C$32, $C$9, 100%, $E$9)</f>
        <v>5.0342000000000002</v>
      </c>
      <c r="M190" s="11">
        <f>5.0384 * CHOOSE(CONTROL!$C$32, $C$9, 100%, $E$9)</f>
        <v>5.0384000000000002</v>
      </c>
      <c r="N190" s="11">
        <f>5.0342 * CHOOSE(CONTROL!$C$32, $C$9, 100%, $E$9)</f>
        <v>5.0342000000000002</v>
      </c>
      <c r="O190" s="11">
        <f>5.0384 * CHOOSE(CONTROL!$C$32, $C$9, 100%, $E$9)</f>
        <v>5.0384000000000002</v>
      </c>
    </row>
    <row r="191" spans="1:15" ht="15" x14ac:dyDescent="0.2">
      <c r="A191" s="13">
        <v>46661</v>
      </c>
      <c r="B191" s="9">
        <f>3.9496 * CHOOSE(CONTROL!$C$32, $C$9, 100%, $E$9)</f>
        <v>3.9496000000000002</v>
      </c>
      <c r="C191" s="9">
        <f>3.9496 * CHOOSE(CONTROL!$C$32, $C$9, 100%, $E$9)</f>
        <v>3.9496000000000002</v>
      </c>
      <c r="D191" s="9">
        <f>3.9505 * CHOOSE(CONTROL!$C$32, $C$9, 100%, $E$9)</f>
        <v>3.9504999999999999</v>
      </c>
      <c r="E191" s="11">
        <f>5.0288 * CHOOSE(CONTROL!$C$32, $C$9, 100%, $E$9)</f>
        <v>5.0288000000000004</v>
      </c>
      <c r="F191" s="11">
        <f>5.0288 * CHOOSE(CONTROL!$C$32, $C$9, 100%, $E$9)</f>
        <v>5.0288000000000004</v>
      </c>
      <c r="G191" s="11">
        <f>5.0321 * CHOOSE(CONTROL!$C$32, $C$9, 100%, $E$9)</f>
        <v>5.0320999999999998</v>
      </c>
      <c r="H191" s="11">
        <f>8.3379 * CHOOSE(CONTROL!$C$32, $C$9, 100%, $E$9)</f>
        <v>8.3378999999999994</v>
      </c>
      <c r="I191" s="11">
        <f>8.3411 * CHOOSE(CONTROL!$C$32, $C$9, 100%, $E$9)</f>
        <v>8.3411000000000008</v>
      </c>
      <c r="J191" s="11">
        <f>8.3379 * CHOOSE(CONTROL!$C$32, $C$9, 100%, $E$9)</f>
        <v>8.3378999999999994</v>
      </c>
      <c r="K191" s="11">
        <f>8.3411 * CHOOSE(CONTROL!$C$32, $C$9, 100%, $E$9)</f>
        <v>8.3411000000000008</v>
      </c>
      <c r="L191" s="11">
        <f>5.0288 * CHOOSE(CONTROL!$C$32, $C$9, 100%, $E$9)</f>
        <v>5.0288000000000004</v>
      </c>
      <c r="M191" s="11">
        <f>5.0321 * CHOOSE(CONTROL!$C$32, $C$9, 100%, $E$9)</f>
        <v>5.0320999999999998</v>
      </c>
      <c r="N191" s="11">
        <f>5.0288 * CHOOSE(CONTROL!$C$32, $C$9, 100%, $E$9)</f>
        <v>5.0288000000000004</v>
      </c>
      <c r="O191" s="11">
        <f>5.0321 * CHOOSE(CONTROL!$C$32, $C$9, 100%, $E$9)</f>
        <v>5.0320999999999998</v>
      </c>
    </row>
    <row r="192" spans="1:15" ht="15" x14ac:dyDescent="0.2">
      <c r="A192" s="13">
        <v>46692</v>
      </c>
      <c r="B192" s="9">
        <f>3.9526 * CHOOSE(CONTROL!$C$32, $C$9, 100%, $E$9)</f>
        <v>3.9525999999999999</v>
      </c>
      <c r="C192" s="9">
        <f>3.9526 * CHOOSE(CONTROL!$C$32, $C$9, 100%, $E$9)</f>
        <v>3.9525999999999999</v>
      </c>
      <c r="D192" s="9">
        <f>3.9535 * CHOOSE(CONTROL!$C$32, $C$9, 100%, $E$9)</f>
        <v>3.9535</v>
      </c>
      <c r="E192" s="11">
        <f>5.0308 * CHOOSE(CONTROL!$C$32, $C$9, 100%, $E$9)</f>
        <v>5.0308000000000002</v>
      </c>
      <c r="F192" s="11">
        <f>5.0308 * CHOOSE(CONTROL!$C$32, $C$9, 100%, $E$9)</f>
        <v>5.0308000000000002</v>
      </c>
      <c r="G192" s="11">
        <f>5.0341 * CHOOSE(CONTROL!$C$32, $C$9, 100%, $E$9)</f>
        <v>5.0340999999999996</v>
      </c>
      <c r="H192" s="11">
        <f>8.3552 * CHOOSE(CONTROL!$C$32, $C$9, 100%, $E$9)</f>
        <v>8.3552</v>
      </c>
      <c r="I192" s="11">
        <f>8.3585 * CHOOSE(CONTROL!$C$32, $C$9, 100%, $E$9)</f>
        <v>8.3584999999999994</v>
      </c>
      <c r="J192" s="11">
        <f>8.3552 * CHOOSE(CONTROL!$C$32, $C$9, 100%, $E$9)</f>
        <v>8.3552</v>
      </c>
      <c r="K192" s="11">
        <f>8.3585 * CHOOSE(CONTROL!$C$32, $C$9, 100%, $E$9)</f>
        <v>8.3584999999999994</v>
      </c>
      <c r="L192" s="11">
        <f>5.0308 * CHOOSE(CONTROL!$C$32, $C$9, 100%, $E$9)</f>
        <v>5.0308000000000002</v>
      </c>
      <c r="M192" s="11">
        <f>5.0341 * CHOOSE(CONTROL!$C$32, $C$9, 100%, $E$9)</f>
        <v>5.0340999999999996</v>
      </c>
      <c r="N192" s="11">
        <f>5.0308 * CHOOSE(CONTROL!$C$32, $C$9, 100%, $E$9)</f>
        <v>5.0308000000000002</v>
      </c>
      <c r="O192" s="11">
        <f>5.0341 * CHOOSE(CONTROL!$C$32, $C$9, 100%, $E$9)</f>
        <v>5.0340999999999996</v>
      </c>
    </row>
    <row r="193" spans="1:15" ht="15" x14ac:dyDescent="0.2">
      <c r="A193" s="13">
        <v>46722</v>
      </c>
      <c r="B193" s="9">
        <f>3.9526 * CHOOSE(CONTROL!$C$32, $C$9, 100%, $E$9)</f>
        <v>3.9525999999999999</v>
      </c>
      <c r="C193" s="9">
        <f>3.9526 * CHOOSE(CONTROL!$C$32, $C$9, 100%, $E$9)</f>
        <v>3.9525999999999999</v>
      </c>
      <c r="D193" s="9">
        <f>3.9535 * CHOOSE(CONTROL!$C$32, $C$9, 100%, $E$9)</f>
        <v>3.9535</v>
      </c>
      <c r="E193" s="11">
        <f>5.0308 * CHOOSE(CONTROL!$C$32, $C$9, 100%, $E$9)</f>
        <v>5.0308000000000002</v>
      </c>
      <c r="F193" s="11">
        <f>5.0308 * CHOOSE(CONTROL!$C$32, $C$9, 100%, $E$9)</f>
        <v>5.0308000000000002</v>
      </c>
      <c r="G193" s="11">
        <f>5.0341 * CHOOSE(CONTROL!$C$32, $C$9, 100%, $E$9)</f>
        <v>5.0340999999999996</v>
      </c>
      <c r="H193" s="11">
        <f>8.3726 * CHOOSE(CONTROL!$C$32, $C$9, 100%, $E$9)</f>
        <v>8.3726000000000003</v>
      </c>
      <c r="I193" s="11">
        <f>8.3759 * CHOOSE(CONTROL!$C$32, $C$9, 100%, $E$9)</f>
        <v>8.3758999999999997</v>
      </c>
      <c r="J193" s="11">
        <f>8.3726 * CHOOSE(CONTROL!$C$32, $C$9, 100%, $E$9)</f>
        <v>8.3726000000000003</v>
      </c>
      <c r="K193" s="11">
        <f>8.3759 * CHOOSE(CONTROL!$C$32, $C$9, 100%, $E$9)</f>
        <v>8.3758999999999997</v>
      </c>
      <c r="L193" s="11">
        <f>5.0308 * CHOOSE(CONTROL!$C$32, $C$9, 100%, $E$9)</f>
        <v>5.0308000000000002</v>
      </c>
      <c r="M193" s="11">
        <f>5.0341 * CHOOSE(CONTROL!$C$32, $C$9, 100%, $E$9)</f>
        <v>5.0340999999999996</v>
      </c>
      <c r="N193" s="11">
        <f>5.0308 * CHOOSE(CONTROL!$C$32, $C$9, 100%, $E$9)</f>
        <v>5.0308000000000002</v>
      </c>
      <c r="O193" s="11">
        <f>5.0341 * CHOOSE(CONTROL!$C$32, $C$9, 100%, $E$9)</f>
        <v>5.0340999999999996</v>
      </c>
    </row>
    <row r="194" spans="1:15" ht="15" x14ac:dyDescent="0.2">
      <c r="A194" s="13">
        <v>46753</v>
      </c>
      <c r="B194" s="9">
        <f>3.9901 * CHOOSE(CONTROL!$C$32, $C$9, 100%, $E$9)</f>
        <v>3.9901</v>
      </c>
      <c r="C194" s="9">
        <f>3.9901 * CHOOSE(CONTROL!$C$32, $C$9, 100%, $E$9)</f>
        <v>3.9901</v>
      </c>
      <c r="D194" s="9">
        <f>3.9911 * CHOOSE(CONTROL!$C$32, $C$9, 100%, $E$9)</f>
        <v>3.9910999999999999</v>
      </c>
      <c r="E194" s="11">
        <f>5.0753 * CHOOSE(CONTROL!$C$32, $C$9, 100%, $E$9)</f>
        <v>5.0753000000000004</v>
      </c>
      <c r="F194" s="11">
        <f>5.0753 * CHOOSE(CONTROL!$C$32, $C$9, 100%, $E$9)</f>
        <v>5.0753000000000004</v>
      </c>
      <c r="G194" s="11">
        <f>5.0785 * CHOOSE(CONTROL!$C$32, $C$9, 100%, $E$9)</f>
        <v>5.0785</v>
      </c>
      <c r="H194" s="11">
        <f>8.3901 * CHOOSE(CONTROL!$C$32, $C$9, 100%, $E$9)</f>
        <v>8.3901000000000003</v>
      </c>
      <c r="I194" s="11">
        <f>8.3933 * CHOOSE(CONTROL!$C$32, $C$9, 100%, $E$9)</f>
        <v>8.3933</v>
      </c>
      <c r="J194" s="11">
        <f>8.3901 * CHOOSE(CONTROL!$C$32, $C$9, 100%, $E$9)</f>
        <v>8.3901000000000003</v>
      </c>
      <c r="K194" s="11">
        <f>8.3933 * CHOOSE(CONTROL!$C$32, $C$9, 100%, $E$9)</f>
        <v>8.3933</v>
      </c>
      <c r="L194" s="11">
        <f>5.0753 * CHOOSE(CONTROL!$C$32, $C$9, 100%, $E$9)</f>
        <v>5.0753000000000004</v>
      </c>
      <c r="M194" s="11">
        <f>5.0785 * CHOOSE(CONTROL!$C$32, $C$9, 100%, $E$9)</f>
        <v>5.0785</v>
      </c>
      <c r="N194" s="11">
        <f>5.0753 * CHOOSE(CONTROL!$C$32, $C$9, 100%, $E$9)</f>
        <v>5.0753000000000004</v>
      </c>
      <c r="O194" s="11">
        <f>5.0785 * CHOOSE(CONTROL!$C$32, $C$9, 100%, $E$9)</f>
        <v>5.0785</v>
      </c>
    </row>
    <row r="195" spans="1:15" ht="15" x14ac:dyDescent="0.2">
      <c r="A195" s="13">
        <v>46784</v>
      </c>
      <c r="B195" s="9">
        <f>3.9871 * CHOOSE(CONTROL!$C$32, $C$9, 100%, $E$9)</f>
        <v>3.9870999999999999</v>
      </c>
      <c r="C195" s="9">
        <f>3.9871 * CHOOSE(CONTROL!$C$32, $C$9, 100%, $E$9)</f>
        <v>3.9870999999999999</v>
      </c>
      <c r="D195" s="9">
        <f>3.988 * CHOOSE(CONTROL!$C$32, $C$9, 100%, $E$9)</f>
        <v>3.988</v>
      </c>
      <c r="E195" s="11">
        <f>5.0733 * CHOOSE(CONTROL!$C$32, $C$9, 100%, $E$9)</f>
        <v>5.0732999999999997</v>
      </c>
      <c r="F195" s="11">
        <f>5.0733 * CHOOSE(CONTROL!$C$32, $C$9, 100%, $E$9)</f>
        <v>5.0732999999999997</v>
      </c>
      <c r="G195" s="11">
        <f>5.0765 * CHOOSE(CONTROL!$C$32, $C$9, 100%, $E$9)</f>
        <v>5.0765000000000002</v>
      </c>
      <c r="H195" s="11">
        <f>8.4076 * CHOOSE(CONTROL!$C$32, $C$9, 100%, $E$9)</f>
        <v>8.4076000000000004</v>
      </c>
      <c r="I195" s="11">
        <f>8.4108 * CHOOSE(CONTROL!$C$32, $C$9, 100%, $E$9)</f>
        <v>8.4108000000000001</v>
      </c>
      <c r="J195" s="11">
        <f>8.4076 * CHOOSE(CONTROL!$C$32, $C$9, 100%, $E$9)</f>
        <v>8.4076000000000004</v>
      </c>
      <c r="K195" s="11">
        <f>8.4108 * CHOOSE(CONTROL!$C$32, $C$9, 100%, $E$9)</f>
        <v>8.4108000000000001</v>
      </c>
      <c r="L195" s="11">
        <f>5.0733 * CHOOSE(CONTROL!$C$32, $C$9, 100%, $E$9)</f>
        <v>5.0732999999999997</v>
      </c>
      <c r="M195" s="11">
        <f>5.0765 * CHOOSE(CONTROL!$C$32, $C$9, 100%, $E$9)</f>
        <v>5.0765000000000002</v>
      </c>
      <c r="N195" s="11">
        <f>5.0733 * CHOOSE(CONTROL!$C$32, $C$9, 100%, $E$9)</f>
        <v>5.0732999999999997</v>
      </c>
      <c r="O195" s="11">
        <f>5.0765 * CHOOSE(CONTROL!$C$32, $C$9, 100%, $E$9)</f>
        <v>5.0765000000000002</v>
      </c>
    </row>
    <row r="196" spans="1:15" ht="15" x14ac:dyDescent="0.2">
      <c r="A196" s="13">
        <v>46813</v>
      </c>
      <c r="B196" s="9">
        <f>3.984 * CHOOSE(CONTROL!$C$32, $C$9, 100%, $E$9)</f>
        <v>3.984</v>
      </c>
      <c r="C196" s="9">
        <f>3.984 * CHOOSE(CONTROL!$C$32, $C$9, 100%, $E$9)</f>
        <v>3.984</v>
      </c>
      <c r="D196" s="9">
        <f>3.985 * CHOOSE(CONTROL!$C$32, $C$9, 100%, $E$9)</f>
        <v>3.9849999999999999</v>
      </c>
      <c r="E196" s="11">
        <f>5.0713 * CHOOSE(CONTROL!$C$32, $C$9, 100%, $E$9)</f>
        <v>5.0712999999999999</v>
      </c>
      <c r="F196" s="11">
        <f>5.0713 * CHOOSE(CONTROL!$C$32, $C$9, 100%, $E$9)</f>
        <v>5.0712999999999999</v>
      </c>
      <c r="G196" s="11">
        <f>5.0745 * CHOOSE(CONTROL!$C$32, $C$9, 100%, $E$9)</f>
        <v>5.0744999999999996</v>
      </c>
      <c r="H196" s="11">
        <f>8.4251 * CHOOSE(CONTROL!$C$32, $C$9, 100%, $E$9)</f>
        <v>8.4251000000000005</v>
      </c>
      <c r="I196" s="11">
        <f>8.4283 * CHOOSE(CONTROL!$C$32, $C$9, 100%, $E$9)</f>
        <v>8.4283000000000001</v>
      </c>
      <c r="J196" s="11">
        <f>8.4251 * CHOOSE(CONTROL!$C$32, $C$9, 100%, $E$9)</f>
        <v>8.4251000000000005</v>
      </c>
      <c r="K196" s="11">
        <f>8.4283 * CHOOSE(CONTROL!$C$32, $C$9, 100%, $E$9)</f>
        <v>8.4283000000000001</v>
      </c>
      <c r="L196" s="11">
        <f>5.0713 * CHOOSE(CONTROL!$C$32, $C$9, 100%, $E$9)</f>
        <v>5.0712999999999999</v>
      </c>
      <c r="M196" s="11">
        <f>5.0745 * CHOOSE(CONTROL!$C$32, $C$9, 100%, $E$9)</f>
        <v>5.0744999999999996</v>
      </c>
      <c r="N196" s="11">
        <f>5.0713 * CHOOSE(CONTROL!$C$32, $C$9, 100%, $E$9)</f>
        <v>5.0712999999999999</v>
      </c>
      <c r="O196" s="11">
        <f>5.0745 * CHOOSE(CONTROL!$C$32, $C$9, 100%, $E$9)</f>
        <v>5.0744999999999996</v>
      </c>
    </row>
    <row r="197" spans="1:15" ht="15" x14ac:dyDescent="0.2">
      <c r="A197" s="13">
        <v>46844</v>
      </c>
      <c r="B197" s="9">
        <f>3.9817 * CHOOSE(CONTROL!$C$32, $C$9, 100%, $E$9)</f>
        <v>3.9817</v>
      </c>
      <c r="C197" s="9">
        <f>3.9817 * CHOOSE(CONTROL!$C$32, $C$9, 100%, $E$9)</f>
        <v>3.9817</v>
      </c>
      <c r="D197" s="9">
        <f>3.9826 * CHOOSE(CONTROL!$C$32, $C$9, 100%, $E$9)</f>
        <v>3.9826000000000001</v>
      </c>
      <c r="E197" s="11">
        <f>5.0692 * CHOOSE(CONTROL!$C$32, $C$9, 100%, $E$9)</f>
        <v>5.0692000000000004</v>
      </c>
      <c r="F197" s="11">
        <f>5.0692 * CHOOSE(CONTROL!$C$32, $C$9, 100%, $E$9)</f>
        <v>5.0692000000000004</v>
      </c>
      <c r="G197" s="11">
        <f>5.0724 * CHOOSE(CONTROL!$C$32, $C$9, 100%, $E$9)</f>
        <v>5.0724</v>
      </c>
      <c r="H197" s="11">
        <f>8.4426 * CHOOSE(CONTROL!$C$32, $C$9, 100%, $E$9)</f>
        <v>8.4426000000000005</v>
      </c>
      <c r="I197" s="11">
        <f>8.4458 * CHOOSE(CONTROL!$C$32, $C$9, 100%, $E$9)</f>
        <v>8.4458000000000002</v>
      </c>
      <c r="J197" s="11">
        <f>8.4426 * CHOOSE(CONTROL!$C$32, $C$9, 100%, $E$9)</f>
        <v>8.4426000000000005</v>
      </c>
      <c r="K197" s="11">
        <f>8.4458 * CHOOSE(CONTROL!$C$32, $C$9, 100%, $E$9)</f>
        <v>8.4458000000000002</v>
      </c>
      <c r="L197" s="11">
        <f>5.0692 * CHOOSE(CONTROL!$C$32, $C$9, 100%, $E$9)</f>
        <v>5.0692000000000004</v>
      </c>
      <c r="M197" s="11">
        <f>5.0724 * CHOOSE(CONTROL!$C$32, $C$9, 100%, $E$9)</f>
        <v>5.0724</v>
      </c>
      <c r="N197" s="11">
        <f>5.0692 * CHOOSE(CONTROL!$C$32, $C$9, 100%, $E$9)</f>
        <v>5.0692000000000004</v>
      </c>
      <c r="O197" s="11">
        <f>5.0724 * CHOOSE(CONTROL!$C$32, $C$9, 100%, $E$9)</f>
        <v>5.0724</v>
      </c>
    </row>
    <row r="198" spans="1:15" ht="15" x14ac:dyDescent="0.2">
      <c r="A198" s="13">
        <v>46874</v>
      </c>
      <c r="B198" s="9">
        <f>3.9817 * CHOOSE(CONTROL!$C$32, $C$9, 100%, $E$9)</f>
        <v>3.9817</v>
      </c>
      <c r="C198" s="9">
        <f>3.9817 * CHOOSE(CONTROL!$C$32, $C$9, 100%, $E$9)</f>
        <v>3.9817</v>
      </c>
      <c r="D198" s="9">
        <f>3.9829 * CHOOSE(CONTROL!$C$32, $C$9, 100%, $E$9)</f>
        <v>3.9828999999999999</v>
      </c>
      <c r="E198" s="11">
        <f>5.0692 * CHOOSE(CONTROL!$C$32, $C$9, 100%, $E$9)</f>
        <v>5.0692000000000004</v>
      </c>
      <c r="F198" s="11">
        <f>5.0692 * CHOOSE(CONTROL!$C$32, $C$9, 100%, $E$9)</f>
        <v>5.0692000000000004</v>
      </c>
      <c r="G198" s="11">
        <f>5.0734 * CHOOSE(CONTROL!$C$32, $C$9, 100%, $E$9)</f>
        <v>5.0734000000000004</v>
      </c>
      <c r="H198" s="11">
        <f>8.4602 * CHOOSE(CONTROL!$C$32, $C$9, 100%, $E$9)</f>
        <v>8.4602000000000004</v>
      </c>
      <c r="I198" s="11">
        <f>8.4644 * CHOOSE(CONTROL!$C$32, $C$9, 100%, $E$9)</f>
        <v>8.4643999999999995</v>
      </c>
      <c r="J198" s="11">
        <f>8.4602 * CHOOSE(CONTROL!$C$32, $C$9, 100%, $E$9)</f>
        <v>8.4602000000000004</v>
      </c>
      <c r="K198" s="11">
        <f>8.4644 * CHOOSE(CONTROL!$C$32, $C$9, 100%, $E$9)</f>
        <v>8.4643999999999995</v>
      </c>
      <c r="L198" s="11">
        <f>5.0692 * CHOOSE(CONTROL!$C$32, $C$9, 100%, $E$9)</f>
        <v>5.0692000000000004</v>
      </c>
      <c r="M198" s="11">
        <f>5.0734 * CHOOSE(CONTROL!$C$32, $C$9, 100%, $E$9)</f>
        <v>5.0734000000000004</v>
      </c>
      <c r="N198" s="11">
        <f>5.0692 * CHOOSE(CONTROL!$C$32, $C$9, 100%, $E$9)</f>
        <v>5.0692000000000004</v>
      </c>
      <c r="O198" s="11">
        <f>5.0734 * CHOOSE(CONTROL!$C$32, $C$9, 100%, $E$9)</f>
        <v>5.0734000000000004</v>
      </c>
    </row>
    <row r="199" spans="1:15" ht="15" x14ac:dyDescent="0.2">
      <c r="A199" s="13">
        <v>46905</v>
      </c>
      <c r="B199" s="9">
        <f>3.9878 * CHOOSE(CONTROL!$C$32, $C$9, 100%, $E$9)</f>
        <v>3.9878</v>
      </c>
      <c r="C199" s="9">
        <f>3.9878 * CHOOSE(CONTROL!$C$32, $C$9, 100%, $E$9)</f>
        <v>3.9878</v>
      </c>
      <c r="D199" s="9">
        <f>3.989 * CHOOSE(CONTROL!$C$32, $C$9, 100%, $E$9)</f>
        <v>3.9889999999999999</v>
      </c>
      <c r="E199" s="11">
        <f>5.0732 * CHOOSE(CONTROL!$C$32, $C$9, 100%, $E$9)</f>
        <v>5.0731999999999999</v>
      </c>
      <c r="F199" s="11">
        <f>5.0732 * CHOOSE(CONTROL!$C$32, $C$9, 100%, $E$9)</f>
        <v>5.0731999999999999</v>
      </c>
      <c r="G199" s="11">
        <f>5.0774 * CHOOSE(CONTROL!$C$32, $C$9, 100%, $E$9)</f>
        <v>5.0773999999999999</v>
      </c>
      <c r="H199" s="11">
        <f>8.4778 * CHOOSE(CONTROL!$C$32, $C$9, 100%, $E$9)</f>
        <v>8.4778000000000002</v>
      </c>
      <c r="I199" s="11">
        <f>8.482 * CHOOSE(CONTROL!$C$32, $C$9, 100%, $E$9)</f>
        <v>8.4819999999999993</v>
      </c>
      <c r="J199" s="11">
        <f>8.4778 * CHOOSE(CONTROL!$C$32, $C$9, 100%, $E$9)</f>
        <v>8.4778000000000002</v>
      </c>
      <c r="K199" s="11">
        <f>8.482 * CHOOSE(CONTROL!$C$32, $C$9, 100%, $E$9)</f>
        <v>8.4819999999999993</v>
      </c>
      <c r="L199" s="11">
        <f>5.0732 * CHOOSE(CONTROL!$C$32, $C$9, 100%, $E$9)</f>
        <v>5.0731999999999999</v>
      </c>
      <c r="M199" s="11">
        <f>5.0774 * CHOOSE(CONTROL!$C$32, $C$9, 100%, $E$9)</f>
        <v>5.0773999999999999</v>
      </c>
      <c r="N199" s="11">
        <f>5.0732 * CHOOSE(CONTROL!$C$32, $C$9, 100%, $E$9)</f>
        <v>5.0731999999999999</v>
      </c>
      <c r="O199" s="11">
        <f>5.0774 * CHOOSE(CONTROL!$C$32, $C$9, 100%, $E$9)</f>
        <v>5.0773999999999999</v>
      </c>
    </row>
    <row r="200" spans="1:15" ht="15" x14ac:dyDescent="0.2">
      <c r="A200" s="13">
        <v>46935</v>
      </c>
      <c r="B200" s="9">
        <f>4.0588 * CHOOSE(CONTROL!$C$32, $C$9, 100%, $E$9)</f>
        <v>4.0587999999999997</v>
      </c>
      <c r="C200" s="9">
        <f>4.0588 * CHOOSE(CONTROL!$C$32, $C$9, 100%, $E$9)</f>
        <v>4.0587999999999997</v>
      </c>
      <c r="D200" s="9">
        <f>4.06 * CHOOSE(CONTROL!$C$32, $C$9, 100%, $E$9)</f>
        <v>4.0599999999999996</v>
      </c>
      <c r="E200" s="11">
        <f>5.1714 * CHOOSE(CONTROL!$C$32, $C$9, 100%, $E$9)</f>
        <v>5.1714000000000002</v>
      </c>
      <c r="F200" s="11">
        <f>5.1714 * CHOOSE(CONTROL!$C$32, $C$9, 100%, $E$9)</f>
        <v>5.1714000000000002</v>
      </c>
      <c r="G200" s="11">
        <f>5.1756 * CHOOSE(CONTROL!$C$32, $C$9, 100%, $E$9)</f>
        <v>5.1756000000000002</v>
      </c>
      <c r="H200" s="11">
        <f>8.4955 * CHOOSE(CONTROL!$C$32, $C$9, 100%, $E$9)</f>
        <v>8.4954999999999998</v>
      </c>
      <c r="I200" s="11">
        <f>8.4997 * CHOOSE(CONTROL!$C$32, $C$9, 100%, $E$9)</f>
        <v>8.4997000000000007</v>
      </c>
      <c r="J200" s="11">
        <f>8.4955 * CHOOSE(CONTROL!$C$32, $C$9, 100%, $E$9)</f>
        <v>8.4954999999999998</v>
      </c>
      <c r="K200" s="11">
        <f>8.4997 * CHOOSE(CONTROL!$C$32, $C$9, 100%, $E$9)</f>
        <v>8.4997000000000007</v>
      </c>
      <c r="L200" s="11">
        <f>5.1714 * CHOOSE(CONTROL!$C$32, $C$9, 100%, $E$9)</f>
        <v>5.1714000000000002</v>
      </c>
      <c r="M200" s="11">
        <f>5.1756 * CHOOSE(CONTROL!$C$32, $C$9, 100%, $E$9)</f>
        <v>5.1756000000000002</v>
      </c>
      <c r="N200" s="11">
        <f>5.1714 * CHOOSE(CONTROL!$C$32, $C$9, 100%, $E$9)</f>
        <v>5.1714000000000002</v>
      </c>
      <c r="O200" s="11">
        <f>5.1756 * CHOOSE(CONTROL!$C$32, $C$9, 100%, $E$9)</f>
        <v>5.1756000000000002</v>
      </c>
    </row>
    <row r="201" spans="1:15" ht="15" x14ac:dyDescent="0.2">
      <c r="A201" s="13">
        <v>46966</v>
      </c>
      <c r="B201" s="9">
        <f>4.0654 * CHOOSE(CONTROL!$C$32, $C$9, 100%, $E$9)</f>
        <v>4.0654000000000003</v>
      </c>
      <c r="C201" s="9">
        <f>4.0654 * CHOOSE(CONTROL!$C$32, $C$9, 100%, $E$9)</f>
        <v>4.0654000000000003</v>
      </c>
      <c r="D201" s="9">
        <f>4.0667 * CHOOSE(CONTROL!$C$32, $C$9, 100%, $E$9)</f>
        <v>4.0667</v>
      </c>
      <c r="E201" s="11">
        <f>5.1758 * CHOOSE(CONTROL!$C$32, $C$9, 100%, $E$9)</f>
        <v>5.1757999999999997</v>
      </c>
      <c r="F201" s="11">
        <f>5.1758 * CHOOSE(CONTROL!$C$32, $C$9, 100%, $E$9)</f>
        <v>5.1757999999999997</v>
      </c>
      <c r="G201" s="11">
        <f>5.18 * CHOOSE(CONTROL!$C$32, $C$9, 100%, $E$9)</f>
        <v>5.18</v>
      </c>
      <c r="H201" s="11">
        <f>8.5132 * CHOOSE(CONTROL!$C$32, $C$9, 100%, $E$9)</f>
        <v>8.5131999999999994</v>
      </c>
      <c r="I201" s="11">
        <f>8.5174 * CHOOSE(CONTROL!$C$32, $C$9, 100%, $E$9)</f>
        <v>8.5174000000000003</v>
      </c>
      <c r="J201" s="11">
        <f>8.5132 * CHOOSE(CONTROL!$C$32, $C$9, 100%, $E$9)</f>
        <v>8.5131999999999994</v>
      </c>
      <c r="K201" s="11">
        <f>8.5174 * CHOOSE(CONTROL!$C$32, $C$9, 100%, $E$9)</f>
        <v>8.5174000000000003</v>
      </c>
      <c r="L201" s="11">
        <f>5.1758 * CHOOSE(CONTROL!$C$32, $C$9, 100%, $E$9)</f>
        <v>5.1757999999999997</v>
      </c>
      <c r="M201" s="11">
        <f>5.18 * CHOOSE(CONTROL!$C$32, $C$9, 100%, $E$9)</f>
        <v>5.18</v>
      </c>
      <c r="N201" s="11">
        <f>5.1758 * CHOOSE(CONTROL!$C$32, $C$9, 100%, $E$9)</f>
        <v>5.1757999999999997</v>
      </c>
      <c r="O201" s="11">
        <f>5.18 * CHOOSE(CONTROL!$C$32, $C$9, 100%, $E$9)</f>
        <v>5.18</v>
      </c>
    </row>
    <row r="202" spans="1:15" ht="15" x14ac:dyDescent="0.2">
      <c r="A202" s="13">
        <v>46997</v>
      </c>
      <c r="B202" s="9">
        <f>4.0624 * CHOOSE(CONTROL!$C$32, $C$9, 100%, $E$9)</f>
        <v>4.0624000000000002</v>
      </c>
      <c r="C202" s="9">
        <f>4.0624 * CHOOSE(CONTROL!$C$32, $C$9, 100%, $E$9)</f>
        <v>4.0624000000000002</v>
      </c>
      <c r="D202" s="9">
        <f>4.0637 * CHOOSE(CONTROL!$C$32, $C$9, 100%, $E$9)</f>
        <v>4.0636999999999999</v>
      </c>
      <c r="E202" s="11">
        <f>5.1738 * CHOOSE(CONTROL!$C$32, $C$9, 100%, $E$9)</f>
        <v>5.1738</v>
      </c>
      <c r="F202" s="11">
        <f>5.1738 * CHOOSE(CONTROL!$C$32, $C$9, 100%, $E$9)</f>
        <v>5.1738</v>
      </c>
      <c r="G202" s="11">
        <f>5.178 * CHOOSE(CONTROL!$C$32, $C$9, 100%, $E$9)</f>
        <v>5.1779999999999999</v>
      </c>
      <c r="H202" s="11">
        <f>8.5309 * CHOOSE(CONTROL!$C$32, $C$9, 100%, $E$9)</f>
        <v>8.5309000000000008</v>
      </c>
      <c r="I202" s="11">
        <f>8.5351 * CHOOSE(CONTROL!$C$32, $C$9, 100%, $E$9)</f>
        <v>8.5350999999999999</v>
      </c>
      <c r="J202" s="11">
        <f>8.5309 * CHOOSE(CONTROL!$C$32, $C$9, 100%, $E$9)</f>
        <v>8.5309000000000008</v>
      </c>
      <c r="K202" s="11">
        <f>8.5351 * CHOOSE(CONTROL!$C$32, $C$9, 100%, $E$9)</f>
        <v>8.5350999999999999</v>
      </c>
      <c r="L202" s="11">
        <f>5.1738 * CHOOSE(CONTROL!$C$32, $C$9, 100%, $E$9)</f>
        <v>5.1738</v>
      </c>
      <c r="M202" s="11">
        <f>5.178 * CHOOSE(CONTROL!$C$32, $C$9, 100%, $E$9)</f>
        <v>5.1779999999999999</v>
      </c>
      <c r="N202" s="11">
        <f>5.1738 * CHOOSE(CONTROL!$C$32, $C$9, 100%, $E$9)</f>
        <v>5.1738</v>
      </c>
      <c r="O202" s="11">
        <f>5.178 * CHOOSE(CONTROL!$C$32, $C$9, 100%, $E$9)</f>
        <v>5.1779999999999999</v>
      </c>
    </row>
    <row r="203" spans="1:15" ht="15" x14ac:dyDescent="0.2">
      <c r="A203" s="13">
        <v>47027</v>
      </c>
      <c r="B203" s="9">
        <f>4.0577 * CHOOSE(CONTROL!$C$32, $C$9, 100%, $E$9)</f>
        <v>4.0576999999999996</v>
      </c>
      <c r="C203" s="9">
        <f>4.0577 * CHOOSE(CONTROL!$C$32, $C$9, 100%, $E$9)</f>
        <v>4.0576999999999996</v>
      </c>
      <c r="D203" s="9">
        <f>4.0587 * CHOOSE(CONTROL!$C$32, $C$9, 100%, $E$9)</f>
        <v>4.0587</v>
      </c>
      <c r="E203" s="11">
        <f>5.1686 * CHOOSE(CONTROL!$C$32, $C$9, 100%, $E$9)</f>
        <v>5.1685999999999996</v>
      </c>
      <c r="F203" s="11">
        <f>5.1686 * CHOOSE(CONTROL!$C$32, $C$9, 100%, $E$9)</f>
        <v>5.1685999999999996</v>
      </c>
      <c r="G203" s="11">
        <f>5.1718 * CHOOSE(CONTROL!$C$32, $C$9, 100%, $E$9)</f>
        <v>5.1718000000000002</v>
      </c>
      <c r="H203" s="11">
        <f>8.5487 * CHOOSE(CONTROL!$C$32, $C$9, 100%, $E$9)</f>
        <v>8.5487000000000002</v>
      </c>
      <c r="I203" s="11">
        <f>8.5519 * CHOOSE(CONTROL!$C$32, $C$9, 100%, $E$9)</f>
        <v>8.5518999999999998</v>
      </c>
      <c r="J203" s="11">
        <f>8.5487 * CHOOSE(CONTROL!$C$32, $C$9, 100%, $E$9)</f>
        <v>8.5487000000000002</v>
      </c>
      <c r="K203" s="11">
        <f>8.5519 * CHOOSE(CONTROL!$C$32, $C$9, 100%, $E$9)</f>
        <v>8.5518999999999998</v>
      </c>
      <c r="L203" s="11">
        <f>5.1686 * CHOOSE(CONTROL!$C$32, $C$9, 100%, $E$9)</f>
        <v>5.1685999999999996</v>
      </c>
      <c r="M203" s="11">
        <f>5.1718 * CHOOSE(CONTROL!$C$32, $C$9, 100%, $E$9)</f>
        <v>5.1718000000000002</v>
      </c>
      <c r="N203" s="11">
        <f>5.1686 * CHOOSE(CONTROL!$C$32, $C$9, 100%, $E$9)</f>
        <v>5.1685999999999996</v>
      </c>
      <c r="O203" s="11">
        <f>5.1718 * CHOOSE(CONTROL!$C$32, $C$9, 100%, $E$9)</f>
        <v>5.1718000000000002</v>
      </c>
    </row>
    <row r="204" spans="1:15" ht="15" x14ac:dyDescent="0.2">
      <c r="A204" s="13">
        <v>47058</v>
      </c>
      <c r="B204" s="9">
        <f>4.0607 * CHOOSE(CONTROL!$C$32, $C$9, 100%, $E$9)</f>
        <v>4.0606999999999998</v>
      </c>
      <c r="C204" s="9">
        <f>4.0607 * CHOOSE(CONTROL!$C$32, $C$9, 100%, $E$9)</f>
        <v>4.0606999999999998</v>
      </c>
      <c r="D204" s="9">
        <f>4.0617 * CHOOSE(CONTROL!$C$32, $C$9, 100%, $E$9)</f>
        <v>4.0617000000000001</v>
      </c>
      <c r="E204" s="11">
        <f>5.1706 * CHOOSE(CONTROL!$C$32, $C$9, 100%, $E$9)</f>
        <v>5.1706000000000003</v>
      </c>
      <c r="F204" s="11">
        <f>5.1706 * CHOOSE(CONTROL!$C$32, $C$9, 100%, $E$9)</f>
        <v>5.1706000000000003</v>
      </c>
      <c r="G204" s="11">
        <f>5.1738 * CHOOSE(CONTROL!$C$32, $C$9, 100%, $E$9)</f>
        <v>5.1738</v>
      </c>
      <c r="H204" s="11">
        <f>8.5665 * CHOOSE(CONTROL!$C$32, $C$9, 100%, $E$9)</f>
        <v>8.5664999999999996</v>
      </c>
      <c r="I204" s="11">
        <f>8.5697 * CHOOSE(CONTROL!$C$32, $C$9, 100%, $E$9)</f>
        <v>8.5696999999999992</v>
      </c>
      <c r="J204" s="11">
        <f>8.5665 * CHOOSE(CONTROL!$C$32, $C$9, 100%, $E$9)</f>
        <v>8.5664999999999996</v>
      </c>
      <c r="K204" s="11">
        <f>8.5697 * CHOOSE(CONTROL!$C$32, $C$9, 100%, $E$9)</f>
        <v>8.5696999999999992</v>
      </c>
      <c r="L204" s="11">
        <f>5.1706 * CHOOSE(CONTROL!$C$32, $C$9, 100%, $E$9)</f>
        <v>5.1706000000000003</v>
      </c>
      <c r="M204" s="11">
        <f>5.1738 * CHOOSE(CONTROL!$C$32, $C$9, 100%, $E$9)</f>
        <v>5.1738</v>
      </c>
      <c r="N204" s="11">
        <f>5.1706 * CHOOSE(CONTROL!$C$32, $C$9, 100%, $E$9)</f>
        <v>5.1706000000000003</v>
      </c>
      <c r="O204" s="11">
        <f>5.1738 * CHOOSE(CONTROL!$C$32, $C$9, 100%, $E$9)</f>
        <v>5.1738</v>
      </c>
    </row>
    <row r="205" spans="1:15" ht="15" x14ac:dyDescent="0.2">
      <c r="A205" s="13">
        <v>47088</v>
      </c>
      <c r="B205" s="9">
        <f>4.0607 * CHOOSE(CONTROL!$C$32, $C$9, 100%, $E$9)</f>
        <v>4.0606999999999998</v>
      </c>
      <c r="C205" s="9">
        <f>4.0607 * CHOOSE(CONTROL!$C$32, $C$9, 100%, $E$9)</f>
        <v>4.0606999999999998</v>
      </c>
      <c r="D205" s="9">
        <f>4.0617 * CHOOSE(CONTROL!$C$32, $C$9, 100%, $E$9)</f>
        <v>4.0617000000000001</v>
      </c>
      <c r="E205" s="11">
        <f>5.1706 * CHOOSE(CONTROL!$C$32, $C$9, 100%, $E$9)</f>
        <v>5.1706000000000003</v>
      </c>
      <c r="F205" s="11">
        <f>5.1706 * CHOOSE(CONTROL!$C$32, $C$9, 100%, $E$9)</f>
        <v>5.1706000000000003</v>
      </c>
      <c r="G205" s="11">
        <f>5.1738 * CHOOSE(CONTROL!$C$32, $C$9, 100%, $E$9)</f>
        <v>5.1738</v>
      </c>
      <c r="H205" s="11">
        <f>8.5844 * CHOOSE(CONTROL!$C$32, $C$9, 100%, $E$9)</f>
        <v>8.5844000000000005</v>
      </c>
      <c r="I205" s="11">
        <f>8.5876 * CHOOSE(CONTROL!$C$32, $C$9, 100%, $E$9)</f>
        <v>8.5876000000000001</v>
      </c>
      <c r="J205" s="11">
        <f>8.5844 * CHOOSE(CONTROL!$C$32, $C$9, 100%, $E$9)</f>
        <v>8.5844000000000005</v>
      </c>
      <c r="K205" s="11">
        <f>8.5876 * CHOOSE(CONTROL!$C$32, $C$9, 100%, $E$9)</f>
        <v>8.5876000000000001</v>
      </c>
      <c r="L205" s="11">
        <f>5.1706 * CHOOSE(CONTROL!$C$32, $C$9, 100%, $E$9)</f>
        <v>5.1706000000000003</v>
      </c>
      <c r="M205" s="11">
        <f>5.1738 * CHOOSE(CONTROL!$C$32, $C$9, 100%, $E$9)</f>
        <v>5.1738</v>
      </c>
      <c r="N205" s="11">
        <f>5.1706 * CHOOSE(CONTROL!$C$32, $C$9, 100%, $E$9)</f>
        <v>5.1706000000000003</v>
      </c>
      <c r="O205" s="11">
        <f>5.1738 * CHOOSE(CONTROL!$C$32, $C$9, 100%, $E$9)</f>
        <v>5.1738</v>
      </c>
    </row>
    <row r="206" spans="1:15" ht="15" x14ac:dyDescent="0.2">
      <c r="A206" s="13">
        <v>47119</v>
      </c>
      <c r="B206" s="9">
        <f>4.0932 * CHOOSE(CONTROL!$C$32, $C$9, 100%, $E$9)</f>
        <v>4.0932000000000004</v>
      </c>
      <c r="C206" s="9">
        <f>4.0932 * CHOOSE(CONTROL!$C$32, $C$9, 100%, $E$9)</f>
        <v>4.0932000000000004</v>
      </c>
      <c r="D206" s="9">
        <f>4.0942 * CHOOSE(CONTROL!$C$32, $C$9, 100%, $E$9)</f>
        <v>4.0941999999999998</v>
      </c>
      <c r="E206" s="11">
        <f>5.2103 * CHOOSE(CONTROL!$C$32, $C$9, 100%, $E$9)</f>
        <v>5.2103000000000002</v>
      </c>
      <c r="F206" s="11">
        <f>5.2103 * CHOOSE(CONTROL!$C$32, $C$9, 100%, $E$9)</f>
        <v>5.2103000000000002</v>
      </c>
      <c r="G206" s="11">
        <f>5.2135 * CHOOSE(CONTROL!$C$32, $C$9, 100%, $E$9)</f>
        <v>5.2134999999999998</v>
      </c>
      <c r="H206" s="11">
        <f>8.6022 * CHOOSE(CONTROL!$C$32, $C$9, 100%, $E$9)</f>
        <v>8.6021999999999998</v>
      </c>
      <c r="I206" s="11">
        <f>8.6055 * CHOOSE(CONTROL!$C$32, $C$9, 100%, $E$9)</f>
        <v>8.6054999999999993</v>
      </c>
      <c r="J206" s="11">
        <f>8.6022 * CHOOSE(CONTROL!$C$32, $C$9, 100%, $E$9)</f>
        <v>8.6021999999999998</v>
      </c>
      <c r="K206" s="11">
        <f>8.6055 * CHOOSE(CONTROL!$C$32, $C$9, 100%, $E$9)</f>
        <v>8.6054999999999993</v>
      </c>
      <c r="L206" s="11">
        <f>5.2103 * CHOOSE(CONTROL!$C$32, $C$9, 100%, $E$9)</f>
        <v>5.2103000000000002</v>
      </c>
      <c r="M206" s="11">
        <f>5.2135 * CHOOSE(CONTROL!$C$32, $C$9, 100%, $E$9)</f>
        <v>5.2134999999999998</v>
      </c>
      <c r="N206" s="11">
        <f>5.2103 * CHOOSE(CONTROL!$C$32, $C$9, 100%, $E$9)</f>
        <v>5.2103000000000002</v>
      </c>
      <c r="O206" s="11">
        <f>5.2135 * CHOOSE(CONTROL!$C$32, $C$9, 100%, $E$9)</f>
        <v>5.2134999999999998</v>
      </c>
    </row>
    <row r="207" spans="1:15" ht="15" x14ac:dyDescent="0.2">
      <c r="A207" s="13">
        <v>47150</v>
      </c>
      <c r="B207" s="9">
        <f>4.0902 * CHOOSE(CONTROL!$C$32, $C$9, 100%, $E$9)</f>
        <v>4.0902000000000003</v>
      </c>
      <c r="C207" s="9">
        <f>4.0902 * CHOOSE(CONTROL!$C$32, $C$9, 100%, $E$9)</f>
        <v>4.0902000000000003</v>
      </c>
      <c r="D207" s="9">
        <f>4.0911 * CHOOSE(CONTROL!$C$32, $C$9, 100%, $E$9)</f>
        <v>4.0911</v>
      </c>
      <c r="E207" s="11">
        <f>5.2083 * CHOOSE(CONTROL!$C$32, $C$9, 100%, $E$9)</f>
        <v>5.2083000000000004</v>
      </c>
      <c r="F207" s="11">
        <f>5.2083 * CHOOSE(CONTROL!$C$32, $C$9, 100%, $E$9)</f>
        <v>5.2083000000000004</v>
      </c>
      <c r="G207" s="11">
        <f>5.2115 * CHOOSE(CONTROL!$C$32, $C$9, 100%, $E$9)</f>
        <v>5.2115</v>
      </c>
      <c r="H207" s="11">
        <f>8.6202 * CHOOSE(CONTROL!$C$32, $C$9, 100%, $E$9)</f>
        <v>8.6202000000000005</v>
      </c>
      <c r="I207" s="11">
        <f>8.6234 * CHOOSE(CONTROL!$C$32, $C$9, 100%, $E$9)</f>
        <v>8.6234000000000002</v>
      </c>
      <c r="J207" s="11">
        <f>8.6202 * CHOOSE(CONTROL!$C$32, $C$9, 100%, $E$9)</f>
        <v>8.6202000000000005</v>
      </c>
      <c r="K207" s="11">
        <f>8.6234 * CHOOSE(CONTROL!$C$32, $C$9, 100%, $E$9)</f>
        <v>8.6234000000000002</v>
      </c>
      <c r="L207" s="11">
        <f>5.2083 * CHOOSE(CONTROL!$C$32, $C$9, 100%, $E$9)</f>
        <v>5.2083000000000004</v>
      </c>
      <c r="M207" s="11">
        <f>5.2115 * CHOOSE(CONTROL!$C$32, $C$9, 100%, $E$9)</f>
        <v>5.2115</v>
      </c>
      <c r="N207" s="11">
        <f>5.2083 * CHOOSE(CONTROL!$C$32, $C$9, 100%, $E$9)</f>
        <v>5.2083000000000004</v>
      </c>
      <c r="O207" s="11">
        <f>5.2115 * CHOOSE(CONTROL!$C$32, $C$9, 100%, $E$9)</f>
        <v>5.2115</v>
      </c>
    </row>
    <row r="208" spans="1:15" ht="15" x14ac:dyDescent="0.2">
      <c r="A208" s="13">
        <v>47178</v>
      </c>
      <c r="B208" s="9">
        <f>4.0872 * CHOOSE(CONTROL!$C$32, $C$9, 100%, $E$9)</f>
        <v>4.0872000000000002</v>
      </c>
      <c r="C208" s="9">
        <f>4.0872 * CHOOSE(CONTROL!$C$32, $C$9, 100%, $E$9)</f>
        <v>4.0872000000000002</v>
      </c>
      <c r="D208" s="9">
        <f>4.0881 * CHOOSE(CONTROL!$C$32, $C$9, 100%, $E$9)</f>
        <v>4.0880999999999998</v>
      </c>
      <c r="E208" s="11">
        <f>5.2063 * CHOOSE(CONTROL!$C$32, $C$9, 100%, $E$9)</f>
        <v>5.2062999999999997</v>
      </c>
      <c r="F208" s="11">
        <f>5.2063 * CHOOSE(CONTROL!$C$32, $C$9, 100%, $E$9)</f>
        <v>5.2062999999999997</v>
      </c>
      <c r="G208" s="11">
        <f>5.2095 * CHOOSE(CONTROL!$C$32, $C$9, 100%, $E$9)</f>
        <v>5.2095000000000002</v>
      </c>
      <c r="H208" s="11">
        <f>8.6381 * CHOOSE(CONTROL!$C$32, $C$9, 100%, $E$9)</f>
        <v>8.6380999999999997</v>
      </c>
      <c r="I208" s="11">
        <f>8.6414 * CHOOSE(CONTROL!$C$32, $C$9, 100%, $E$9)</f>
        <v>8.6414000000000009</v>
      </c>
      <c r="J208" s="11">
        <f>8.6381 * CHOOSE(CONTROL!$C$32, $C$9, 100%, $E$9)</f>
        <v>8.6380999999999997</v>
      </c>
      <c r="K208" s="11">
        <f>8.6414 * CHOOSE(CONTROL!$C$32, $C$9, 100%, $E$9)</f>
        <v>8.6414000000000009</v>
      </c>
      <c r="L208" s="11">
        <f>5.2063 * CHOOSE(CONTROL!$C$32, $C$9, 100%, $E$9)</f>
        <v>5.2062999999999997</v>
      </c>
      <c r="M208" s="11">
        <f>5.2095 * CHOOSE(CONTROL!$C$32, $C$9, 100%, $E$9)</f>
        <v>5.2095000000000002</v>
      </c>
      <c r="N208" s="11">
        <f>5.2063 * CHOOSE(CONTROL!$C$32, $C$9, 100%, $E$9)</f>
        <v>5.2062999999999997</v>
      </c>
      <c r="O208" s="11">
        <f>5.2095 * CHOOSE(CONTROL!$C$32, $C$9, 100%, $E$9)</f>
        <v>5.2095000000000002</v>
      </c>
    </row>
    <row r="209" spans="1:15" ht="15" x14ac:dyDescent="0.2">
      <c r="A209" s="13">
        <v>47209</v>
      </c>
      <c r="B209" s="9">
        <f>4.0849 * CHOOSE(CONTROL!$C$32, $C$9, 100%, $E$9)</f>
        <v>4.0849000000000002</v>
      </c>
      <c r="C209" s="9">
        <f>4.0849 * CHOOSE(CONTROL!$C$32, $C$9, 100%, $E$9)</f>
        <v>4.0849000000000002</v>
      </c>
      <c r="D209" s="9">
        <f>4.0858 * CHOOSE(CONTROL!$C$32, $C$9, 100%, $E$9)</f>
        <v>4.0857999999999999</v>
      </c>
      <c r="E209" s="11">
        <f>5.2043 * CHOOSE(CONTROL!$C$32, $C$9, 100%, $E$9)</f>
        <v>5.2042999999999999</v>
      </c>
      <c r="F209" s="11">
        <f>5.2043 * CHOOSE(CONTROL!$C$32, $C$9, 100%, $E$9)</f>
        <v>5.2042999999999999</v>
      </c>
      <c r="G209" s="11">
        <f>5.2075 * CHOOSE(CONTROL!$C$32, $C$9, 100%, $E$9)</f>
        <v>5.2074999999999996</v>
      </c>
      <c r="H209" s="11">
        <f>8.6561 * CHOOSE(CONTROL!$C$32, $C$9, 100%, $E$9)</f>
        <v>8.6561000000000003</v>
      </c>
      <c r="I209" s="11">
        <f>8.6594 * CHOOSE(CONTROL!$C$32, $C$9, 100%, $E$9)</f>
        <v>8.6593999999999998</v>
      </c>
      <c r="J209" s="11">
        <f>8.6561 * CHOOSE(CONTROL!$C$32, $C$9, 100%, $E$9)</f>
        <v>8.6561000000000003</v>
      </c>
      <c r="K209" s="11">
        <f>8.6594 * CHOOSE(CONTROL!$C$32, $C$9, 100%, $E$9)</f>
        <v>8.6593999999999998</v>
      </c>
      <c r="L209" s="11">
        <f>5.2043 * CHOOSE(CONTROL!$C$32, $C$9, 100%, $E$9)</f>
        <v>5.2042999999999999</v>
      </c>
      <c r="M209" s="11">
        <f>5.2075 * CHOOSE(CONTROL!$C$32, $C$9, 100%, $E$9)</f>
        <v>5.2074999999999996</v>
      </c>
      <c r="N209" s="11">
        <f>5.2043 * CHOOSE(CONTROL!$C$32, $C$9, 100%, $E$9)</f>
        <v>5.2042999999999999</v>
      </c>
      <c r="O209" s="11">
        <f>5.2075 * CHOOSE(CONTROL!$C$32, $C$9, 100%, $E$9)</f>
        <v>5.2074999999999996</v>
      </c>
    </row>
    <row r="210" spans="1:15" ht="15" x14ac:dyDescent="0.2">
      <c r="A210" s="13">
        <v>47239</v>
      </c>
      <c r="B210" s="9">
        <f>4.0849 * CHOOSE(CONTROL!$C$32, $C$9, 100%, $E$9)</f>
        <v>4.0849000000000002</v>
      </c>
      <c r="C210" s="9">
        <f>4.0849 * CHOOSE(CONTROL!$C$32, $C$9, 100%, $E$9)</f>
        <v>4.0849000000000002</v>
      </c>
      <c r="D210" s="9">
        <f>4.0861 * CHOOSE(CONTROL!$C$32, $C$9, 100%, $E$9)</f>
        <v>4.0861000000000001</v>
      </c>
      <c r="E210" s="11">
        <f>5.2043 * CHOOSE(CONTROL!$C$32, $C$9, 100%, $E$9)</f>
        <v>5.2042999999999999</v>
      </c>
      <c r="F210" s="11">
        <f>5.2043 * CHOOSE(CONTROL!$C$32, $C$9, 100%, $E$9)</f>
        <v>5.2042999999999999</v>
      </c>
      <c r="G210" s="11">
        <f>5.2085 * CHOOSE(CONTROL!$C$32, $C$9, 100%, $E$9)</f>
        <v>5.2084999999999999</v>
      </c>
      <c r="H210" s="11">
        <f>8.6742 * CHOOSE(CONTROL!$C$32, $C$9, 100%, $E$9)</f>
        <v>8.6742000000000008</v>
      </c>
      <c r="I210" s="11">
        <f>8.6784 * CHOOSE(CONTROL!$C$32, $C$9, 100%, $E$9)</f>
        <v>8.6783999999999999</v>
      </c>
      <c r="J210" s="11">
        <f>8.6742 * CHOOSE(CONTROL!$C$32, $C$9, 100%, $E$9)</f>
        <v>8.6742000000000008</v>
      </c>
      <c r="K210" s="11">
        <f>8.6784 * CHOOSE(CONTROL!$C$32, $C$9, 100%, $E$9)</f>
        <v>8.6783999999999999</v>
      </c>
      <c r="L210" s="11">
        <f>5.2043 * CHOOSE(CONTROL!$C$32, $C$9, 100%, $E$9)</f>
        <v>5.2042999999999999</v>
      </c>
      <c r="M210" s="11">
        <f>5.2085 * CHOOSE(CONTROL!$C$32, $C$9, 100%, $E$9)</f>
        <v>5.2084999999999999</v>
      </c>
      <c r="N210" s="11">
        <f>5.2043 * CHOOSE(CONTROL!$C$32, $C$9, 100%, $E$9)</f>
        <v>5.2042999999999999</v>
      </c>
      <c r="O210" s="11">
        <f>5.2085 * CHOOSE(CONTROL!$C$32, $C$9, 100%, $E$9)</f>
        <v>5.2084999999999999</v>
      </c>
    </row>
    <row r="211" spans="1:15" ht="15" x14ac:dyDescent="0.2">
      <c r="A211" s="13">
        <v>47270</v>
      </c>
      <c r="B211" s="9">
        <f>4.091 * CHOOSE(CONTROL!$C$32, $C$9, 100%, $E$9)</f>
        <v>4.0910000000000002</v>
      </c>
      <c r="C211" s="9">
        <f>4.091 * CHOOSE(CONTROL!$C$32, $C$9, 100%, $E$9)</f>
        <v>4.0910000000000002</v>
      </c>
      <c r="D211" s="9">
        <f>4.0922 * CHOOSE(CONTROL!$C$32, $C$9, 100%, $E$9)</f>
        <v>4.0922000000000001</v>
      </c>
      <c r="E211" s="11">
        <f>5.2083 * CHOOSE(CONTROL!$C$32, $C$9, 100%, $E$9)</f>
        <v>5.2083000000000004</v>
      </c>
      <c r="F211" s="11">
        <f>5.2083 * CHOOSE(CONTROL!$C$32, $C$9, 100%, $E$9)</f>
        <v>5.2083000000000004</v>
      </c>
      <c r="G211" s="11">
        <f>5.2125 * CHOOSE(CONTROL!$C$32, $C$9, 100%, $E$9)</f>
        <v>5.2125000000000004</v>
      </c>
      <c r="H211" s="11">
        <f>8.6922 * CHOOSE(CONTROL!$C$32, $C$9, 100%, $E$9)</f>
        <v>8.6921999999999997</v>
      </c>
      <c r="I211" s="11">
        <f>8.6964 * CHOOSE(CONTROL!$C$32, $C$9, 100%, $E$9)</f>
        <v>8.6964000000000006</v>
      </c>
      <c r="J211" s="11">
        <f>8.6922 * CHOOSE(CONTROL!$C$32, $C$9, 100%, $E$9)</f>
        <v>8.6921999999999997</v>
      </c>
      <c r="K211" s="11">
        <f>8.6964 * CHOOSE(CONTROL!$C$32, $C$9, 100%, $E$9)</f>
        <v>8.6964000000000006</v>
      </c>
      <c r="L211" s="11">
        <f>5.2083 * CHOOSE(CONTROL!$C$32, $C$9, 100%, $E$9)</f>
        <v>5.2083000000000004</v>
      </c>
      <c r="M211" s="11">
        <f>5.2125 * CHOOSE(CONTROL!$C$32, $C$9, 100%, $E$9)</f>
        <v>5.2125000000000004</v>
      </c>
      <c r="N211" s="11">
        <f>5.2083 * CHOOSE(CONTROL!$C$32, $C$9, 100%, $E$9)</f>
        <v>5.2083000000000004</v>
      </c>
      <c r="O211" s="11">
        <f>5.2125 * CHOOSE(CONTROL!$C$32, $C$9, 100%, $E$9)</f>
        <v>5.2125000000000004</v>
      </c>
    </row>
    <row r="212" spans="1:15" ht="15" x14ac:dyDescent="0.2">
      <c r="A212" s="13">
        <v>47300</v>
      </c>
      <c r="B212" s="9">
        <f>4.1496 * CHOOSE(CONTROL!$C$32, $C$9, 100%, $E$9)</f>
        <v>4.1496000000000004</v>
      </c>
      <c r="C212" s="9">
        <f>4.1496 * CHOOSE(CONTROL!$C$32, $C$9, 100%, $E$9)</f>
        <v>4.1496000000000004</v>
      </c>
      <c r="D212" s="9">
        <f>4.1509 * CHOOSE(CONTROL!$C$32, $C$9, 100%, $E$9)</f>
        <v>4.1509</v>
      </c>
      <c r="E212" s="11">
        <f>5.2949 * CHOOSE(CONTROL!$C$32, $C$9, 100%, $E$9)</f>
        <v>5.2949000000000002</v>
      </c>
      <c r="F212" s="11">
        <f>5.2949 * CHOOSE(CONTROL!$C$32, $C$9, 100%, $E$9)</f>
        <v>5.2949000000000002</v>
      </c>
      <c r="G212" s="11">
        <f>5.2991 * CHOOSE(CONTROL!$C$32, $C$9, 100%, $E$9)</f>
        <v>5.2991000000000001</v>
      </c>
      <c r="H212" s="11">
        <f>8.7103 * CHOOSE(CONTROL!$C$32, $C$9, 100%, $E$9)</f>
        <v>8.7103000000000002</v>
      </c>
      <c r="I212" s="11">
        <f>8.7145 * CHOOSE(CONTROL!$C$32, $C$9, 100%, $E$9)</f>
        <v>8.7144999999999992</v>
      </c>
      <c r="J212" s="11">
        <f>8.7103 * CHOOSE(CONTROL!$C$32, $C$9, 100%, $E$9)</f>
        <v>8.7103000000000002</v>
      </c>
      <c r="K212" s="11">
        <f>8.7145 * CHOOSE(CONTROL!$C$32, $C$9, 100%, $E$9)</f>
        <v>8.7144999999999992</v>
      </c>
      <c r="L212" s="11">
        <f>5.2949 * CHOOSE(CONTROL!$C$32, $C$9, 100%, $E$9)</f>
        <v>5.2949000000000002</v>
      </c>
      <c r="M212" s="11">
        <f>5.2991 * CHOOSE(CONTROL!$C$32, $C$9, 100%, $E$9)</f>
        <v>5.2991000000000001</v>
      </c>
      <c r="N212" s="11">
        <f>5.2949 * CHOOSE(CONTROL!$C$32, $C$9, 100%, $E$9)</f>
        <v>5.2949000000000002</v>
      </c>
      <c r="O212" s="11">
        <f>5.2991 * CHOOSE(CONTROL!$C$32, $C$9, 100%, $E$9)</f>
        <v>5.2991000000000001</v>
      </c>
    </row>
    <row r="213" spans="1:15" ht="15" x14ac:dyDescent="0.2">
      <c r="A213" s="13">
        <v>47331</v>
      </c>
      <c r="B213" s="9">
        <f>4.1563 * CHOOSE(CONTROL!$C$32, $C$9, 100%, $E$9)</f>
        <v>4.1562999999999999</v>
      </c>
      <c r="C213" s="9">
        <f>4.1563 * CHOOSE(CONTROL!$C$32, $C$9, 100%, $E$9)</f>
        <v>4.1562999999999999</v>
      </c>
      <c r="D213" s="9">
        <f>4.1576 * CHOOSE(CONTROL!$C$32, $C$9, 100%, $E$9)</f>
        <v>4.1576000000000004</v>
      </c>
      <c r="E213" s="11">
        <f>5.2993 * CHOOSE(CONTROL!$C$32, $C$9, 100%, $E$9)</f>
        <v>5.2992999999999997</v>
      </c>
      <c r="F213" s="11">
        <f>5.2993 * CHOOSE(CONTROL!$C$32, $C$9, 100%, $E$9)</f>
        <v>5.2992999999999997</v>
      </c>
      <c r="G213" s="11">
        <f>5.3035 * CHOOSE(CONTROL!$C$32, $C$9, 100%, $E$9)</f>
        <v>5.3034999999999997</v>
      </c>
      <c r="H213" s="11">
        <f>8.7285 * CHOOSE(CONTROL!$C$32, $C$9, 100%, $E$9)</f>
        <v>8.7285000000000004</v>
      </c>
      <c r="I213" s="11">
        <f>8.7327 * CHOOSE(CONTROL!$C$32, $C$9, 100%, $E$9)</f>
        <v>8.7326999999999995</v>
      </c>
      <c r="J213" s="11">
        <f>8.7285 * CHOOSE(CONTROL!$C$32, $C$9, 100%, $E$9)</f>
        <v>8.7285000000000004</v>
      </c>
      <c r="K213" s="11">
        <f>8.7327 * CHOOSE(CONTROL!$C$32, $C$9, 100%, $E$9)</f>
        <v>8.7326999999999995</v>
      </c>
      <c r="L213" s="11">
        <f>5.2993 * CHOOSE(CONTROL!$C$32, $C$9, 100%, $E$9)</f>
        <v>5.2992999999999997</v>
      </c>
      <c r="M213" s="11">
        <f>5.3035 * CHOOSE(CONTROL!$C$32, $C$9, 100%, $E$9)</f>
        <v>5.3034999999999997</v>
      </c>
      <c r="N213" s="11">
        <f>5.2993 * CHOOSE(CONTROL!$C$32, $C$9, 100%, $E$9)</f>
        <v>5.2992999999999997</v>
      </c>
      <c r="O213" s="11">
        <f>5.3035 * CHOOSE(CONTROL!$C$32, $C$9, 100%, $E$9)</f>
        <v>5.3034999999999997</v>
      </c>
    </row>
    <row r="214" spans="1:15" ht="15" x14ac:dyDescent="0.2">
      <c r="A214" s="13">
        <v>47362</v>
      </c>
      <c r="B214" s="9">
        <f>4.1533 * CHOOSE(CONTROL!$C$32, $C$9, 100%, $E$9)</f>
        <v>4.1532999999999998</v>
      </c>
      <c r="C214" s="9">
        <f>4.1533 * CHOOSE(CONTROL!$C$32, $C$9, 100%, $E$9)</f>
        <v>4.1532999999999998</v>
      </c>
      <c r="D214" s="9">
        <f>4.1545 * CHOOSE(CONTROL!$C$32, $C$9, 100%, $E$9)</f>
        <v>4.1544999999999996</v>
      </c>
      <c r="E214" s="11">
        <f>5.2973 * CHOOSE(CONTROL!$C$32, $C$9, 100%, $E$9)</f>
        <v>5.2972999999999999</v>
      </c>
      <c r="F214" s="11">
        <f>5.2973 * CHOOSE(CONTROL!$C$32, $C$9, 100%, $E$9)</f>
        <v>5.2972999999999999</v>
      </c>
      <c r="G214" s="11">
        <f>5.3015 * CHOOSE(CONTROL!$C$32, $C$9, 100%, $E$9)</f>
        <v>5.3014999999999999</v>
      </c>
      <c r="H214" s="11">
        <f>8.7467 * CHOOSE(CONTROL!$C$32, $C$9, 100%, $E$9)</f>
        <v>8.7467000000000006</v>
      </c>
      <c r="I214" s="11">
        <f>8.7509 * CHOOSE(CONTROL!$C$32, $C$9, 100%, $E$9)</f>
        <v>8.7508999999999997</v>
      </c>
      <c r="J214" s="11">
        <f>8.7467 * CHOOSE(CONTROL!$C$32, $C$9, 100%, $E$9)</f>
        <v>8.7467000000000006</v>
      </c>
      <c r="K214" s="11">
        <f>8.7509 * CHOOSE(CONTROL!$C$32, $C$9, 100%, $E$9)</f>
        <v>8.7508999999999997</v>
      </c>
      <c r="L214" s="11">
        <f>5.2973 * CHOOSE(CONTROL!$C$32, $C$9, 100%, $E$9)</f>
        <v>5.2972999999999999</v>
      </c>
      <c r="M214" s="11">
        <f>5.3015 * CHOOSE(CONTROL!$C$32, $C$9, 100%, $E$9)</f>
        <v>5.3014999999999999</v>
      </c>
      <c r="N214" s="11">
        <f>5.2973 * CHOOSE(CONTROL!$C$32, $C$9, 100%, $E$9)</f>
        <v>5.2972999999999999</v>
      </c>
      <c r="O214" s="11">
        <f>5.3015 * CHOOSE(CONTROL!$C$32, $C$9, 100%, $E$9)</f>
        <v>5.3014999999999999</v>
      </c>
    </row>
    <row r="215" spans="1:15" ht="15" x14ac:dyDescent="0.2">
      <c r="A215" s="13">
        <v>47392</v>
      </c>
      <c r="B215" s="9">
        <f>4.1489 * CHOOSE(CONTROL!$C$32, $C$9, 100%, $E$9)</f>
        <v>4.1489000000000003</v>
      </c>
      <c r="C215" s="9">
        <f>4.1489 * CHOOSE(CONTROL!$C$32, $C$9, 100%, $E$9)</f>
        <v>4.1489000000000003</v>
      </c>
      <c r="D215" s="9">
        <f>4.1499 * CHOOSE(CONTROL!$C$32, $C$9, 100%, $E$9)</f>
        <v>4.1498999999999997</v>
      </c>
      <c r="E215" s="11">
        <f>5.2923 * CHOOSE(CONTROL!$C$32, $C$9, 100%, $E$9)</f>
        <v>5.2923</v>
      </c>
      <c r="F215" s="11">
        <f>5.2923 * CHOOSE(CONTROL!$C$32, $C$9, 100%, $E$9)</f>
        <v>5.2923</v>
      </c>
      <c r="G215" s="11">
        <f>5.2955 * CHOOSE(CONTROL!$C$32, $C$9, 100%, $E$9)</f>
        <v>5.2954999999999997</v>
      </c>
      <c r="H215" s="11">
        <f>8.7649 * CHOOSE(CONTROL!$C$32, $C$9, 100%, $E$9)</f>
        <v>8.7649000000000008</v>
      </c>
      <c r="I215" s="11">
        <f>8.7681 * CHOOSE(CONTROL!$C$32, $C$9, 100%, $E$9)</f>
        <v>8.7681000000000004</v>
      </c>
      <c r="J215" s="11">
        <f>8.7649 * CHOOSE(CONTROL!$C$32, $C$9, 100%, $E$9)</f>
        <v>8.7649000000000008</v>
      </c>
      <c r="K215" s="11">
        <f>8.7681 * CHOOSE(CONTROL!$C$32, $C$9, 100%, $E$9)</f>
        <v>8.7681000000000004</v>
      </c>
      <c r="L215" s="11">
        <f>5.2923 * CHOOSE(CONTROL!$C$32, $C$9, 100%, $E$9)</f>
        <v>5.2923</v>
      </c>
      <c r="M215" s="11">
        <f>5.2955 * CHOOSE(CONTROL!$C$32, $C$9, 100%, $E$9)</f>
        <v>5.2954999999999997</v>
      </c>
      <c r="N215" s="11">
        <f>5.2923 * CHOOSE(CONTROL!$C$32, $C$9, 100%, $E$9)</f>
        <v>5.2923</v>
      </c>
      <c r="O215" s="11">
        <f>5.2955 * CHOOSE(CONTROL!$C$32, $C$9, 100%, $E$9)</f>
        <v>5.2954999999999997</v>
      </c>
    </row>
    <row r="216" spans="1:15" ht="15" x14ac:dyDescent="0.2">
      <c r="A216" s="13">
        <v>47423</v>
      </c>
      <c r="B216" s="9">
        <f>4.152 * CHOOSE(CONTROL!$C$32, $C$9, 100%, $E$9)</f>
        <v>4.1520000000000001</v>
      </c>
      <c r="C216" s="9">
        <f>4.152 * CHOOSE(CONTROL!$C$32, $C$9, 100%, $E$9)</f>
        <v>4.1520000000000001</v>
      </c>
      <c r="D216" s="9">
        <f>4.1529 * CHOOSE(CONTROL!$C$32, $C$9, 100%, $E$9)</f>
        <v>4.1528999999999998</v>
      </c>
      <c r="E216" s="11">
        <f>5.2943 * CHOOSE(CONTROL!$C$32, $C$9, 100%, $E$9)</f>
        <v>5.2942999999999998</v>
      </c>
      <c r="F216" s="11">
        <f>5.2943 * CHOOSE(CONTROL!$C$32, $C$9, 100%, $E$9)</f>
        <v>5.2942999999999998</v>
      </c>
      <c r="G216" s="11">
        <f>5.2975 * CHOOSE(CONTROL!$C$32, $C$9, 100%, $E$9)</f>
        <v>5.2975000000000003</v>
      </c>
      <c r="H216" s="11">
        <f>8.7832 * CHOOSE(CONTROL!$C$32, $C$9, 100%, $E$9)</f>
        <v>8.7832000000000008</v>
      </c>
      <c r="I216" s="11">
        <f>8.7864 * CHOOSE(CONTROL!$C$32, $C$9, 100%, $E$9)</f>
        <v>8.7864000000000004</v>
      </c>
      <c r="J216" s="11">
        <f>8.7832 * CHOOSE(CONTROL!$C$32, $C$9, 100%, $E$9)</f>
        <v>8.7832000000000008</v>
      </c>
      <c r="K216" s="11">
        <f>8.7864 * CHOOSE(CONTROL!$C$32, $C$9, 100%, $E$9)</f>
        <v>8.7864000000000004</v>
      </c>
      <c r="L216" s="11">
        <f>5.2943 * CHOOSE(CONTROL!$C$32, $C$9, 100%, $E$9)</f>
        <v>5.2942999999999998</v>
      </c>
      <c r="M216" s="11">
        <f>5.2975 * CHOOSE(CONTROL!$C$32, $C$9, 100%, $E$9)</f>
        <v>5.2975000000000003</v>
      </c>
      <c r="N216" s="11">
        <f>5.2943 * CHOOSE(CONTROL!$C$32, $C$9, 100%, $E$9)</f>
        <v>5.2942999999999998</v>
      </c>
      <c r="O216" s="11">
        <f>5.2975 * CHOOSE(CONTROL!$C$32, $C$9, 100%, $E$9)</f>
        <v>5.2975000000000003</v>
      </c>
    </row>
    <row r="217" spans="1:15" ht="15" x14ac:dyDescent="0.2">
      <c r="A217" s="13">
        <v>47453</v>
      </c>
      <c r="B217" s="9">
        <f>4.152 * CHOOSE(CONTROL!$C$32, $C$9, 100%, $E$9)</f>
        <v>4.1520000000000001</v>
      </c>
      <c r="C217" s="9">
        <f>4.152 * CHOOSE(CONTROL!$C$32, $C$9, 100%, $E$9)</f>
        <v>4.1520000000000001</v>
      </c>
      <c r="D217" s="9">
        <f>4.1529 * CHOOSE(CONTROL!$C$32, $C$9, 100%, $E$9)</f>
        <v>4.1528999999999998</v>
      </c>
      <c r="E217" s="11">
        <f>5.2943 * CHOOSE(CONTROL!$C$32, $C$9, 100%, $E$9)</f>
        <v>5.2942999999999998</v>
      </c>
      <c r="F217" s="11">
        <f>5.2943 * CHOOSE(CONTROL!$C$32, $C$9, 100%, $E$9)</f>
        <v>5.2942999999999998</v>
      </c>
      <c r="G217" s="11">
        <f>5.2975 * CHOOSE(CONTROL!$C$32, $C$9, 100%, $E$9)</f>
        <v>5.2975000000000003</v>
      </c>
      <c r="H217" s="11">
        <f>8.8014 * CHOOSE(CONTROL!$C$32, $C$9, 100%, $E$9)</f>
        <v>8.8013999999999992</v>
      </c>
      <c r="I217" s="11">
        <f>8.8047 * CHOOSE(CONTROL!$C$32, $C$9, 100%, $E$9)</f>
        <v>8.8047000000000004</v>
      </c>
      <c r="J217" s="11">
        <f>8.8014 * CHOOSE(CONTROL!$C$32, $C$9, 100%, $E$9)</f>
        <v>8.8013999999999992</v>
      </c>
      <c r="K217" s="11">
        <f>8.8047 * CHOOSE(CONTROL!$C$32, $C$9, 100%, $E$9)</f>
        <v>8.8047000000000004</v>
      </c>
      <c r="L217" s="11">
        <f>5.2943 * CHOOSE(CONTROL!$C$32, $C$9, 100%, $E$9)</f>
        <v>5.2942999999999998</v>
      </c>
      <c r="M217" s="11">
        <f>5.2975 * CHOOSE(CONTROL!$C$32, $C$9, 100%, $E$9)</f>
        <v>5.2975000000000003</v>
      </c>
      <c r="N217" s="11">
        <f>5.2943 * CHOOSE(CONTROL!$C$32, $C$9, 100%, $E$9)</f>
        <v>5.2942999999999998</v>
      </c>
      <c r="O217" s="11">
        <f>5.2975 * CHOOSE(CONTROL!$C$32, $C$9, 100%, $E$9)</f>
        <v>5.2975000000000003</v>
      </c>
    </row>
    <row r="218" spans="1:15" ht="15" x14ac:dyDescent="0.2">
      <c r="A218" s="13">
        <v>47484</v>
      </c>
      <c r="B218" s="9">
        <f>4.1883 * CHOOSE(CONTROL!$C$32, $C$9, 100%, $E$9)</f>
        <v>4.1882999999999999</v>
      </c>
      <c r="C218" s="9">
        <f>4.1883 * CHOOSE(CONTROL!$C$32, $C$9, 100%, $E$9)</f>
        <v>4.1882999999999999</v>
      </c>
      <c r="D218" s="9">
        <f>4.1892 * CHOOSE(CONTROL!$C$32, $C$9, 100%, $E$9)</f>
        <v>4.1891999999999996</v>
      </c>
      <c r="E218" s="11">
        <f>5.3388 * CHOOSE(CONTROL!$C$32, $C$9, 100%, $E$9)</f>
        <v>5.3388</v>
      </c>
      <c r="F218" s="11">
        <f>5.3388 * CHOOSE(CONTROL!$C$32, $C$9, 100%, $E$9)</f>
        <v>5.3388</v>
      </c>
      <c r="G218" s="11">
        <f>5.342 * CHOOSE(CONTROL!$C$32, $C$9, 100%, $E$9)</f>
        <v>5.3419999999999996</v>
      </c>
      <c r="H218" s="11">
        <f>8.8198 * CHOOSE(CONTROL!$C$32, $C$9, 100%, $E$9)</f>
        <v>8.8198000000000008</v>
      </c>
      <c r="I218" s="11">
        <f>8.823 * CHOOSE(CONTROL!$C$32, $C$9, 100%, $E$9)</f>
        <v>8.8230000000000004</v>
      </c>
      <c r="J218" s="11">
        <f>8.8198 * CHOOSE(CONTROL!$C$32, $C$9, 100%, $E$9)</f>
        <v>8.8198000000000008</v>
      </c>
      <c r="K218" s="11">
        <f>8.823 * CHOOSE(CONTROL!$C$32, $C$9, 100%, $E$9)</f>
        <v>8.8230000000000004</v>
      </c>
      <c r="L218" s="11">
        <f>5.3388 * CHOOSE(CONTROL!$C$32, $C$9, 100%, $E$9)</f>
        <v>5.3388</v>
      </c>
      <c r="M218" s="11">
        <f>5.342 * CHOOSE(CONTROL!$C$32, $C$9, 100%, $E$9)</f>
        <v>5.3419999999999996</v>
      </c>
      <c r="N218" s="11">
        <f>5.3388 * CHOOSE(CONTROL!$C$32, $C$9, 100%, $E$9)</f>
        <v>5.3388</v>
      </c>
      <c r="O218" s="11">
        <f>5.342 * CHOOSE(CONTROL!$C$32, $C$9, 100%, $E$9)</f>
        <v>5.3419999999999996</v>
      </c>
    </row>
    <row r="219" spans="1:15" ht="15" x14ac:dyDescent="0.2">
      <c r="A219" s="13">
        <v>47515</v>
      </c>
      <c r="B219" s="9">
        <f>4.1852 * CHOOSE(CONTROL!$C$32, $C$9, 100%, $E$9)</f>
        <v>4.1852</v>
      </c>
      <c r="C219" s="9">
        <f>4.1852 * CHOOSE(CONTROL!$C$32, $C$9, 100%, $E$9)</f>
        <v>4.1852</v>
      </c>
      <c r="D219" s="9">
        <f>4.1862 * CHOOSE(CONTROL!$C$32, $C$9, 100%, $E$9)</f>
        <v>4.1862000000000004</v>
      </c>
      <c r="E219" s="11">
        <f>5.3368 * CHOOSE(CONTROL!$C$32, $C$9, 100%, $E$9)</f>
        <v>5.3368000000000002</v>
      </c>
      <c r="F219" s="11">
        <f>5.3368 * CHOOSE(CONTROL!$C$32, $C$9, 100%, $E$9)</f>
        <v>5.3368000000000002</v>
      </c>
      <c r="G219" s="11">
        <f>5.34 * CHOOSE(CONTROL!$C$32, $C$9, 100%, $E$9)</f>
        <v>5.34</v>
      </c>
      <c r="H219" s="11">
        <f>8.8382 * CHOOSE(CONTROL!$C$32, $C$9, 100%, $E$9)</f>
        <v>8.8382000000000005</v>
      </c>
      <c r="I219" s="11">
        <f>8.8414 * CHOOSE(CONTROL!$C$32, $C$9, 100%, $E$9)</f>
        <v>8.8414000000000001</v>
      </c>
      <c r="J219" s="11">
        <f>8.8382 * CHOOSE(CONTROL!$C$32, $C$9, 100%, $E$9)</f>
        <v>8.8382000000000005</v>
      </c>
      <c r="K219" s="11">
        <f>8.8414 * CHOOSE(CONTROL!$C$32, $C$9, 100%, $E$9)</f>
        <v>8.8414000000000001</v>
      </c>
      <c r="L219" s="11">
        <f>5.3368 * CHOOSE(CONTROL!$C$32, $C$9, 100%, $E$9)</f>
        <v>5.3368000000000002</v>
      </c>
      <c r="M219" s="11">
        <f>5.34 * CHOOSE(CONTROL!$C$32, $C$9, 100%, $E$9)</f>
        <v>5.34</v>
      </c>
      <c r="N219" s="11">
        <f>5.3368 * CHOOSE(CONTROL!$C$32, $C$9, 100%, $E$9)</f>
        <v>5.3368000000000002</v>
      </c>
      <c r="O219" s="11">
        <f>5.34 * CHOOSE(CONTROL!$C$32, $C$9, 100%, $E$9)</f>
        <v>5.34</v>
      </c>
    </row>
    <row r="220" spans="1:15" ht="15" x14ac:dyDescent="0.2">
      <c r="A220" s="13">
        <v>47543</v>
      </c>
      <c r="B220" s="9">
        <f>4.1822 * CHOOSE(CONTROL!$C$32, $C$9, 100%, $E$9)</f>
        <v>4.1821999999999999</v>
      </c>
      <c r="C220" s="9">
        <f>4.1822 * CHOOSE(CONTROL!$C$32, $C$9, 100%, $E$9)</f>
        <v>4.1821999999999999</v>
      </c>
      <c r="D220" s="9">
        <f>4.1831 * CHOOSE(CONTROL!$C$32, $C$9, 100%, $E$9)</f>
        <v>4.1830999999999996</v>
      </c>
      <c r="E220" s="11">
        <f>5.3348 * CHOOSE(CONTROL!$C$32, $C$9, 100%, $E$9)</f>
        <v>5.3348000000000004</v>
      </c>
      <c r="F220" s="11">
        <f>5.3348 * CHOOSE(CONTROL!$C$32, $C$9, 100%, $E$9)</f>
        <v>5.3348000000000004</v>
      </c>
      <c r="G220" s="11">
        <f>5.338 * CHOOSE(CONTROL!$C$32, $C$9, 100%, $E$9)</f>
        <v>5.3380000000000001</v>
      </c>
      <c r="H220" s="11">
        <f>8.8566 * CHOOSE(CONTROL!$C$32, $C$9, 100%, $E$9)</f>
        <v>8.8566000000000003</v>
      </c>
      <c r="I220" s="11">
        <f>8.8598 * CHOOSE(CONTROL!$C$32, $C$9, 100%, $E$9)</f>
        <v>8.8597999999999999</v>
      </c>
      <c r="J220" s="11">
        <f>8.8566 * CHOOSE(CONTROL!$C$32, $C$9, 100%, $E$9)</f>
        <v>8.8566000000000003</v>
      </c>
      <c r="K220" s="11">
        <f>8.8598 * CHOOSE(CONTROL!$C$32, $C$9, 100%, $E$9)</f>
        <v>8.8597999999999999</v>
      </c>
      <c r="L220" s="11">
        <f>5.3348 * CHOOSE(CONTROL!$C$32, $C$9, 100%, $E$9)</f>
        <v>5.3348000000000004</v>
      </c>
      <c r="M220" s="11">
        <f>5.338 * CHOOSE(CONTROL!$C$32, $C$9, 100%, $E$9)</f>
        <v>5.3380000000000001</v>
      </c>
      <c r="N220" s="11">
        <f>5.3348 * CHOOSE(CONTROL!$C$32, $C$9, 100%, $E$9)</f>
        <v>5.3348000000000004</v>
      </c>
      <c r="O220" s="11">
        <f>5.338 * CHOOSE(CONTROL!$C$32, $C$9, 100%, $E$9)</f>
        <v>5.3380000000000001</v>
      </c>
    </row>
    <row r="221" spans="1:15" ht="15" x14ac:dyDescent="0.2">
      <c r="A221" s="13">
        <v>47574</v>
      </c>
      <c r="B221" s="9">
        <f>4.18 * CHOOSE(CONTROL!$C$32, $C$9, 100%, $E$9)</f>
        <v>4.18</v>
      </c>
      <c r="C221" s="9">
        <f>4.18 * CHOOSE(CONTROL!$C$32, $C$9, 100%, $E$9)</f>
        <v>4.18</v>
      </c>
      <c r="D221" s="9">
        <f>4.181 * CHOOSE(CONTROL!$C$32, $C$9, 100%, $E$9)</f>
        <v>4.181</v>
      </c>
      <c r="E221" s="11">
        <f>5.3328 * CHOOSE(CONTROL!$C$32, $C$9, 100%, $E$9)</f>
        <v>5.3327999999999998</v>
      </c>
      <c r="F221" s="11">
        <f>5.3328 * CHOOSE(CONTROL!$C$32, $C$9, 100%, $E$9)</f>
        <v>5.3327999999999998</v>
      </c>
      <c r="G221" s="11">
        <f>5.336 * CHOOSE(CONTROL!$C$32, $C$9, 100%, $E$9)</f>
        <v>5.3360000000000003</v>
      </c>
      <c r="H221" s="11">
        <f>8.875 * CHOOSE(CONTROL!$C$32, $C$9, 100%, $E$9)</f>
        <v>8.875</v>
      </c>
      <c r="I221" s="11">
        <f>8.8783 * CHOOSE(CONTROL!$C$32, $C$9, 100%, $E$9)</f>
        <v>8.8782999999999994</v>
      </c>
      <c r="J221" s="11">
        <f>8.875 * CHOOSE(CONTROL!$C$32, $C$9, 100%, $E$9)</f>
        <v>8.875</v>
      </c>
      <c r="K221" s="11">
        <f>8.8783 * CHOOSE(CONTROL!$C$32, $C$9, 100%, $E$9)</f>
        <v>8.8782999999999994</v>
      </c>
      <c r="L221" s="11">
        <f>5.3328 * CHOOSE(CONTROL!$C$32, $C$9, 100%, $E$9)</f>
        <v>5.3327999999999998</v>
      </c>
      <c r="M221" s="11">
        <f>5.336 * CHOOSE(CONTROL!$C$32, $C$9, 100%, $E$9)</f>
        <v>5.3360000000000003</v>
      </c>
      <c r="N221" s="11">
        <f>5.3328 * CHOOSE(CONTROL!$C$32, $C$9, 100%, $E$9)</f>
        <v>5.3327999999999998</v>
      </c>
      <c r="O221" s="11">
        <f>5.336 * CHOOSE(CONTROL!$C$32, $C$9, 100%, $E$9)</f>
        <v>5.3360000000000003</v>
      </c>
    </row>
    <row r="222" spans="1:15" ht="15" x14ac:dyDescent="0.2">
      <c r="A222" s="13">
        <v>47604</v>
      </c>
      <c r="B222" s="9">
        <f>4.18 * CHOOSE(CONTROL!$C$32, $C$9, 100%, $E$9)</f>
        <v>4.18</v>
      </c>
      <c r="C222" s="9">
        <f>4.18 * CHOOSE(CONTROL!$C$32, $C$9, 100%, $E$9)</f>
        <v>4.18</v>
      </c>
      <c r="D222" s="9">
        <f>4.1813 * CHOOSE(CONTROL!$C$32, $C$9, 100%, $E$9)</f>
        <v>4.1813000000000002</v>
      </c>
      <c r="E222" s="11">
        <f>5.3328 * CHOOSE(CONTROL!$C$32, $C$9, 100%, $E$9)</f>
        <v>5.3327999999999998</v>
      </c>
      <c r="F222" s="11">
        <f>5.3328 * CHOOSE(CONTROL!$C$32, $C$9, 100%, $E$9)</f>
        <v>5.3327999999999998</v>
      </c>
      <c r="G222" s="11">
        <f>5.337 * CHOOSE(CONTROL!$C$32, $C$9, 100%, $E$9)</f>
        <v>5.3369999999999997</v>
      </c>
      <c r="H222" s="11">
        <f>8.8935 * CHOOSE(CONTROL!$C$32, $C$9, 100%, $E$9)</f>
        <v>8.8934999999999995</v>
      </c>
      <c r="I222" s="11">
        <f>8.8977 * CHOOSE(CONTROL!$C$32, $C$9, 100%, $E$9)</f>
        <v>8.8977000000000004</v>
      </c>
      <c r="J222" s="11">
        <f>8.8935 * CHOOSE(CONTROL!$C$32, $C$9, 100%, $E$9)</f>
        <v>8.8934999999999995</v>
      </c>
      <c r="K222" s="11">
        <f>8.8977 * CHOOSE(CONTROL!$C$32, $C$9, 100%, $E$9)</f>
        <v>8.8977000000000004</v>
      </c>
      <c r="L222" s="11">
        <f>5.3328 * CHOOSE(CONTROL!$C$32, $C$9, 100%, $E$9)</f>
        <v>5.3327999999999998</v>
      </c>
      <c r="M222" s="11">
        <f>5.337 * CHOOSE(CONTROL!$C$32, $C$9, 100%, $E$9)</f>
        <v>5.3369999999999997</v>
      </c>
      <c r="N222" s="11">
        <f>5.3328 * CHOOSE(CONTROL!$C$32, $C$9, 100%, $E$9)</f>
        <v>5.3327999999999998</v>
      </c>
      <c r="O222" s="11">
        <f>5.337 * CHOOSE(CONTROL!$C$32, $C$9, 100%, $E$9)</f>
        <v>5.3369999999999997</v>
      </c>
    </row>
    <row r="223" spans="1:15" ht="15" x14ac:dyDescent="0.2">
      <c r="A223" s="13">
        <v>47635</v>
      </c>
      <c r="B223" s="9">
        <f>4.1861 * CHOOSE(CONTROL!$C$32, $C$9, 100%, $E$9)</f>
        <v>4.1860999999999997</v>
      </c>
      <c r="C223" s="9">
        <f>4.1861 * CHOOSE(CONTROL!$C$32, $C$9, 100%, $E$9)</f>
        <v>4.1860999999999997</v>
      </c>
      <c r="D223" s="9">
        <f>4.1873 * CHOOSE(CONTROL!$C$32, $C$9, 100%, $E$9)</f>
        <v>4.1872999999999996</v>
      </c>
      <c r="E223" s="11">
        <f>5.3368 * CHOOSE(CONTROL!$C$32, $C$9, 100%, $E$9)</f>
        <v>5.3368000000000002</v>
      </c>
      <c r="F223" s="11">
        <f>5.3368 * CHOOSE(CONTROL!$C$32, $C$9, 100%, $E$9)</f>
        <v>5.3368000000000002</v>
      </c>
      <c r="G223" s="11">
        <f>5.341 * CHOOSE(CONTROL!$C$32, $C$9, 100%, $E$9)</f>
        <v>5.3410000000000002</v>
      </c>
      <c r="H223" s="11">
        <f>8.912 * CHOOSE(CONTROL!$C$32, $C$9, 100%, $E$9)</f>
        <v>8.9120000000000008</v>
      </c>
      <c r="I223" s="11">
        <f>8.9162 * CHOOSE(CONTROL!$C$32, $C$9, 100%, $E$9)</f>
        <v>8.9161999999999999</v>
      </c>
      <c r="J223" s="11">
        <f>8.912 * CHOOSE(CONTROL!$C$32, $C$9, 100%, $E$9)</f>
        <v>8.9120000000000008</v>
      </c>
      <c r="K223" s="11">
        <f>8.9162 * CHOOSE(CONTROL!$C$32, $C$9, 100%, $E$9)</f>
        <v>8.9161999999999999</v>
      </c>
      <c r="L223" s="11">
        <f>5.3368 * CHOOSE(CONTROL!$C$32, $C$9, 100%, $E$9)</f>
        <v>5.3368000000000002</v>
      </c>
      <c r="M223" s="11">
        <f>5.341 * CHOOSE(CONTROL!$C$32, $C$9, 100%, $E$9)</f>
        <v>5.3410000000000002</v>
      </c>
      <c r="N223" s="11">
        <f>5.3368 * CHOOSE(CONTROL!$C$32, $C$9, 100%, $E$9)</f>
        <v>5.3368000000000002</v>
      </c>
      <c r="O223" s="11">
        <f>5.341 * CHOOSE(CONTROL!$C$32, $C$9, 100%, $E$9)</f>
        <v>5.3410000000000002</v>
      </c>
    </row>
    <row r="224" spans="1:15" ht="15" x14ac:dyDescent="0.2">
      <c r="A224" s="13">
        <v>47665</v>
      </c>
      <c r="B224" s="9">
        <f>4.2533 * CHOOSE(CONTROL!$C$32, $C$9, 100%, $E$9)</f>
        <v>4.2533000000000003</v>
      </c>
      <c r="C224" s="9">
        <f>4.2533 * CHOOSE(CONTROL!$C$32, $C$9, 100%, $E$9)</f>
        <v>4.2533000000000003</v>
      </c>
      <c r="D224" s="9">
        <f>4.2545 * CHOOSE(CONTROL!$C$32, $C$9, 100%, $E$9)</f>
        <v>4.2545000000000002</v>
      </c>
      <c r="E224" s="11">
        <f>5.4347 * CHOOSE(CONTROL!$C$32, $C$9, 100%, $E$9)</f>
        <v>5.4347000000000003</v>
      </c>
      <c r="F224" s="11">
        <f>5.4347 * CHOOSE(CONTROL!$C$32, $C$9, 100%, $E$9)</f>
        <v>5.4347000000000003</v>
      </c>
      <c r="G224" s="11">
        <f>5.4389 * CHOOSE(CONTROL!$C$32, $C$9, 100%, $E$9)</f>
        <v>5.4389000000000003</v>
      </c>
      <c r="H224" s="11">
        <f>8.9306 * CHOOSE(CONTROL!$C$32, $C$9, 100%, $E$9)</f>
        <v>8.9306000000000001</v>
      </c>
      <c r="I224" s="11">
        <f>8.9348 * CHOOSE(CONTROL!$C$32, $C$9, 100%, $E$9)</f>
        <v>8.9347999999999992</v>
      </c>
      <c r="J224" s="11">
        <f>8.9306 * CHOOSE(CONTROL!$C$32, $C$9, 100%, $E$9)</f>
        <v>8.9306000000000001</v>
      </c>
      <c r="K224" s="11">
        <f>8.9348 * CHOOSE(CONTROL!$C$32, $C$9, 100%, $E$9)</f>
        <v>8.9347999999999992</v>
      </c>
      <c r="L224" s="11">
        <f>5.4347 * CHOOSE(CONTROL!$C$32, $C$9, 100%, $E$9)</f>
        <v>5.4347000000000003</v>
      </c>
      <c r="M224" s="11">
        <f>5.4389 * CHOOSE(CONTROL!$C$32, $C$9, 100%, $E$9)</f>
        <v>5.4389000000000003</v>
      </c>
      <c r="N224" s="11">
        <f>5.4347 * CHOOSE(CONTROL!$C$32, $C$9, 100%, $E$9)</f>
        <v>5.4347000000000003</v>
      </c>
      <c r="O224" s="11">
        <f>5.4389 * CHOOSE(CONTROL!$C$32, $C$9, 100%, $E$9)</f>
        <v>5.4389000000000003</v>
      </c>
    </row>
    <row r="225" spans="1:15" ht="15" x14ac:dyDescent="0.2">
      <c r="A225" s="13">
        <v>47696</v>
      </c>
      <c r="B225" s="9">
        <f>4.26 * CHOOSE(CONTROL!$C$32, $C$9, 100%, $E$9)</f>
        <v>4.26</v>
      </c>
      <c r="C225" s="9">
        <f>4.26 * CHOOSE(CONTROL!$C$32, $C$9, 100%, $E$9)</f>
        <v>4.26</v>
      </c>
      <c r="D225" s="9">
        <f>4.2612 * CHOOSE(CONTROL!$C$32, $C$9, 100%, $E$9)</f>
        <v>4.2611999999999997</v>
      </c>
      <c r="E225" s="11">
        <f>5.4391 * CHOOSE(CONTROL!$C$32, $C$9, 100%, $E$9)</f>
        <v>5.4390999999999998</v>
      </c>
      <c r="F225" s="11">
        <f>5.4391 * CHOOSE(CONTROL!$C$32, $C$9, 100%, $E$9)</f>
        <v>5.4390999999999998</v>
      </c>
      <c r="G225" s="11">
        <f>5.4433 * CHOOSE(CONTROL!$C$32, $C$9, 100%, $E$9)</f>
        <v>5.4432999999999998</v>
      </c>
      <c r="H225" s="11">
        <f>8.9492 * CHOOSE(CONTROL!$C$32, $C$9, 100%, $E$9)</f>
        <v>8.9491999999999994</v>
      </c>
      <c r="I225" s="11">
        <f>8.9534 * CHOOSE(CONTROL!$C$32, $C$9, 100%, $E$9)</f>
        <v>8.9534000000000002</v>
      </c>
      <c r="J225" s="11">
        <f>8.9492 * CHOOSE(CONTROL!$C$32, $C$9, 100%, $E$9)</f>
        <v>8.9491999999999994</v>
      </c>
      <c r="K225" s="11">
        <f>8.9534 * CHOOSE(CONTROL!$C$32, $C$9, 100%, $E$9)</f>
        <v>8.9534000000000002</v>
      </c>
      <c r="L225" s="11">
        <f>5.4391 * CHOOSE(CONTROL!$C$32, $C$9, 100%, $E$9)</f>
        <v>5.4390999999999998</v>
      </c>
      <c r="M225" s="11">
        <f>5.4433 * CHOOSE(CONTROL!$C$32, $C$9, 100%, $E$9)</f>
        <v>5.4432999999999998</v>
      </c>
      <c r="N225" s="11">
        <f>5.4391 * CHOOSE(CONTROL!$C$32, $C$9, 100%, $E$9)</f>
        <v>5.4390999999999998</v>
      </c>
      <c r="O225" s="11">
        <f>5.4433 * CHOOSE(CONTROL!$C$32, $C$9, 100%, $E$9)</f>
        <v>5.4432999999999998</v>
      </c>
    </row>
    <row r="226" spans="1:15" ht="15" x14ac:dyDescent="0.2">
      <c r="A226" s="13">
        <v>47727</v>
      </c>
      <c r="B226" s="9">
        <f>4.2569 * CHOOSE(CONTROL!$C$32, $C$9, 100%, $E$9)</f>
        <v>4.2568999999999999</v>
      </c>
      <c r="C226" s="9">
        <f>4.2569 * CHOOSE(CONTROL!$C$32, $C$9, 100%, $E$9)</f>
        <v>4.2568999999999999</v>
      </c>
      <c r="D226" s="9">
        <f>4.2582 * CHOOSE(CONTROL!$C$32, $C$9, 100%, $E$9)</f>
        <v>4.2582000000000004</v>
      </c>
      <c r="E226" s="11">
        <f>5.4371 * CHOOSE(CONTROL!$C$32, $C$9, 100%, $E$9)</f>
        <v>5.4371</v>
      </c>
      <c r="F226" s="11">
        <f>5.4371 * CHOOSE(CONTROL!$C$32, $C$9, 100%, $E$9)</f>
        <v>5.4371</v>
      </c>
      <c r="G226" s="11">
        <f>5.4413 * CHOOSE(CONTROL!$C$32, $C$9, 100%, $E$9)</f>
        <v>5.4413</v>
      </c>
      <c r="H226" s="11">
        <f>8.9679 * CHOOSE(CONTROL!$C$32, $C$9, 100%, $E$9)</f>
        <v>8.9679000000000002</v>
      </c>
      <c r="I226" s="11">
        <f>8.9721 * CHOOSE(CONTROL!$C$32, $C$9, 100%, $E$9)</f>
        <v>8.9720999999999993</v>
      </c>
      <c r="J226" s="11">
        <f>8.9679 * CHOOSE(CONTROL!$C$32, $C$9, 100%, $E$9)</f>
        <v>8.9679000000000002</v>
      </c>
      <c r="K226" s="11">
        <f>8.9721 * CHOOSE(CONTROL!$C$32, $C$9, 100%, $E$9)</f>
        <v>8.9720999999999993</v>
      </c>
      <c r="L226" s="11">
        <f>5.4371 * CHOOSE(CONTROL!$C$32, $C$9, 100%, $E$9)</f>
        <v>5.4371</v>
      </c>
      <c r="M226" s="11">
        <f>5.4413 * CHOOSE(CONTROL!$C$32, $C$9, 100%, $E$9)</f>
        <v>5.4413</v>
      </c>
      <c r="N226" s="11">
        <f>5.4371 * CHOOSE(CONTROL!$C$32, $C$9, 100%, $E$9)</f>
        <v>5.4371</v>
      </c>
      <c r="O226" s="11">
        <f>5.4413 * CHOOSE(CONTROL!$C$32, $C$9, 100%, $E$9)</f>
        <v>5.4413</v>
      </c>
    </row>
    <row r="227" spans="1:15" ht="15" x14ac:dyDescent="0.2">
      <c r="A227" s="13">
        <v>47757</v>
      </c>
      <c r="B227" s="9">
        <f>4.253 * CHOOSE(CONTROL!$C$32, $C$9, 100%, $E$9)</f>
        <v>4.2530000000000001</v>
      </c>
      <c r="C227" s="9">
        <f>4.253 * CHOOSE(CONTROL!$C$32, $C$9, 100%, $E$9)</f>
        <v>4.2530000000000001</v>
      </c>
      <c r="D227" s="9">
        <f>4.2539 * CHOOSE(CONTROL!$C$32, $C$9, 100%, $E$9)</f>
        <v>4.2538999999999998</v>
      </c>
      <c r="E227" s="11">
        <f>5.4323 * CHOOSE(CONTROL!$C$32, $C$9, 100%, $E$9)</f>
        <v>5.4322999999999997</v>
      </c>
      <c r="F227" s="11">
        <f>5.4323 * CHOOSE(CONTROL!$C$32, $C$9, 100%, $E$9)</f>
        <v>5.4322999999999997</v>
      </c>
      <c r="G227" s="11">
        <f>5.4356 * CHOOSE(CONTROL!$C$32, $C$9, 100%, $E$9)</f>
        <v>5.4356</v>
      </c>
      <c r="H227" s="11">
        <f>8.9865 * CHOOSE(CONTROL!$C$32, $C$9, 100%, $E$9)</f>
        <v>8.9864999999999995</v>
      </c>
      <c r="I227" s="11">
        <f>8.9898 * CHOOSE(CONTROL!$C$32, $C$9, 100%, $E$9)</f>
        <v>8.9898000000000007</v>
      </c>
      <c r="J227" s="11">
        <f>8.9865 * CHOOSE(CONTROL!$C$32, $C$9, 100%, $E$9)</f>
        <v>8.9864999999999995</v>
      </c>
      <c r="K227" s="11">
        <f>8.9898 * CHOOSE(CONTROL!$C$32, $C$9, 100%, $E$9)</f>
        <v>8.9898000000000007</v>
      </c>
      <c r="L227" s="11">
        <f>5.4323 * CHOOSE(CONTROL!$C$32, $C$9, 100%, $E$9)</f>
        <v>5.4322999999999997</v>
      </c>
      <c r="M227" s="11">
        <f>5.4356 * CHOOSE(CONTROL!$C$32, $C$9, 100%, $E$9)</f>
        <v>5.4356</v>
      </c>
      <c r="N227" s="11">
        <f>5.4323 * CHOOSE(CONTROL!$C$32, $C$9, 100%, $E$9)</f>
        <v>5.4322999999999997</v>
      </c>
      <c r="O227" s="11">
        <f>5.4356 * CHOOSE(CONTROL!$C$32, $C$9, 100%, $E$9)</f>
        <v>5.4356</v>
      </c>
    </row>
    <row r="228" spans="1:15" ht="15" x14ac:dyDescent="0.2">
      <c r="A228" s="13">
        <v>47788</v>
      </c>
      <c r="B228" s="9">
        <f>4.256 * CHOOSE(CONTROL!$C$32, $C$9, 100%, $E$9)</f>
        <v>4.2560000000000002</v>
      </c>
      <c r="C228" s="9">
        <f>4.256 * CHOOSE(CONTROL!$C$32, $C$9, 100%, $E$9)</f>
        <v>4.2560000000000002</v>
      </c>
      <c r="D228" s="9">
        <f>4.257 * CHOOSE(CONTROL!$C$32, $C$9, 100%, $E$9)</f>
        <v>4.2569999999999997</v>
      </c>
      <c r="E228" s="11">
        <f>5.4343 * CHOOSE(CONTROL!$C$32, $C$9, 100%, $E$9)</f>
        <v>5.4343000000000004</v>
      </c>
      <c r="F228" s="11">
        <f>5.4343 * CHOOSE(CONTROL!$C$32, $C$9, 100%, $E$9)</f>
        <v>5.4343000000000004</v>
      </c>
      <c r="G228" s="11">
        <f>5.4376 * CHOOSE(CONTROL!$C$32, $C$9, 100%, $E$9)</f>
        <v>5.4375999999999998</v>
      </c>
      <c r="H228" s="11">
        <f>9.0053 * CHOOSE(CONTROL!$C$32, $C$9, 100%, $E$9)</f>
        <v>9.0053000000000001</v>
      </c>
      <c r="I228" s="11">
        <f>9.0085 * CHOOSE(CONTROL!$C$32, $C$9, 100%, $E$9)</f>
        <v>9.0084999999999997</v>
      </c>
      <c r="J228" s="11">
        <f>9.0053 * CHOOSE(CONTROL!$C$32, $C$9, 100%, $E$9)</f>
        <v>9.0053000000000001</v>
      </c>
      <c r="K228" s="11">
        <f>9.0085 * CHOOSE(CONTROL!$C$32, $C$9, 100%, $E$9)</f>
        <v>9.0084999999999997</v>
      </c>
      <c r="L228" s="11">
        <f>5.4343 * CHOOSE(CONTROL!$C$32, $C$9, 100%, $E$9)</f>
        <v>5.4343000000000004</v>
      </c>
      <c r="M228" s="11">
        <f>5.4376 * CHOOSE(CONTROL!$C$32, $C$9, 100%, $E$9)</f>
        <v>5.4375999999999998</v>
      </c>
      <c r="N228" s="11">
        <f>5.4343 * CHOOSE(CONTROL!$C$32, $C$9, 100%, $E$9)</f>
        <v>5.4343000000000004</v>
      </c>
      <c r="O228" s="11">
        <f>5.4376 * CHOOSE(CONTROL!$C$32, $C$9, 100%, $E$9)</f>
        <v>5.4375999999999998</v>
      </c>
    </row>
    <row r="229" spans="1:15" ht="15" x14ac:dyDescent="0.2">
      <c r="A229" s="13">
        <v>47818</v>
      </c>
      <c r="B229" s="9">
        <f>4.256 * CHOOSE(CONTROL!$C$32, $C$9, 100%, $E$9)</f>
        <v>4.2560000000000002</v>
      </c>
      <c r="C229" s="9">
        <f>4.256 * CHOOSE(CONTROL!$C$32, $C$9, 100%, $E$9)</f>
        <v>4.2560000000000002</v>
      </c>
      <c r="D229" s="9">
        <f>4.257 * CHOOSE(CONTROL!$C$32, $C$9, 100%, $E$9)</f>
        <v>4.2569999999999997</v>
      </c>
      <c r="E229" s="11">
        <f>5.4343 * CHOOSE(CONTROL!$C$32, $C$9, 100%, $E$9)</f>
        <v>5.4343000000000004</v>
      </c>
      <c r="F229" s="11">
        <f>5.4343 * CHOOSE(CONTROL!$C$32, $C$9, 100%, $E$9)</f>
        <v>5.4343000000000004</v>
      </c>
      <c r="G229" s="11">
        <f>5.4376 * CHOOSE(CONTROL!$C$32, $C$9, 100%, $E$9)</f>
        <v>5.4375999999999998</v>
      </c>
      <c r="H229" s="11">
        <f>9.024 * CHOOSE(CONTROL!$C$32, $C$9, 100%, $E$9)</f>
        <v>9.0239999999999991</v>
      </c>
      <c r="I229" s="11">
        <f>9.0273 * CHOOSE(CONTROL!$C$32, $C$9, 100%, $E$9)</f>
        <v>9.0273000000000003</v>
      </c>
      <c r="J229" s="11">
        <f>9.024 * CHOOSE(CONTROL!$C$32, $C$9, 100%, $E$9)</f>
        <v>9.0239999999999991</v>
      </c>
      <c r="K229" s="11">
        <f>9.0273 * CHOOSE(CONTROL!$C$32, $C$9, 100%, $E$9)</f>
        <v>9.0273000000000003</v>
      </c>
      <c r="L229" s="11">
        <f>5.4343 * CHOOSE(CONTROL!$C$32, $C$9, 100%, $E$9)</f>
        <v>5.4343000000000004</v>
      </c>
      <c r="M229" s="11">
        <f>5.4376 * CHOOSE(CONTROL!$C$32, $C$9, 100%, $E$9)</f>
        <v>5.4375999999999998</v>
      </c>
      <c r="N229" s="11">
        <f>5.4343 * CHOOSE(CONTROL!$C$32, $C$9, 100%, $E$9)</f>
        <v>5.4343000000000004</v>
      </c>
      <c r="O229" s="11">
        <f>5.4376 * CHOOSE(CONTROL!$C$32, $C$9, 100%, $E$9)</f>
        <v>5.4375999999999998</v>
      </c>
    </row>
    <row r="230" spans="1:15" ht="15" x14ac:dyDescent="0.2">
      <c r="A230" s="13">
        <v>47849</v>
      </c>
      <c r="B230" s="9">
        <f>4.2906 * CHOOSE(CONTROL!$C$32, $C$9, 100%, $E$9)</f>
        <v>4.2906000000000004</v>
      </c>
      <c r="C230" s="9">
        <f>4.2906 * CHOOSE(CONTROL!$C$32, $C$9, 100%, $E$9)</f>
        <v>4.2906000000000004</v>
      </c>
      <c r="D230" s="9">
        <f>4.2915 * CHOOSE(CONTROL!$C$32, $C$9, 100%, $E$9)</f>
        <v>4.2915000000000001</v>
      </c>
      <c r="E230" s="11">
        <f>5.4769 * CHOOSE(CONTROL!$C$32, $C$9, 100%, $E$9)</f>
        <v>5.4768999999999997</v>
      </c>
      <c r="F230" s="11">
        <f>5.4769 * CHOOSE(CONTROL!$C$32, $C$9, 100%, $E$9)</f>
        <v>5.4768999999999997</v>
      </c>
      <c r="G230" s="11">
        <f>5.4802 * CHOOSE(CONTROL!$C$32, $C$9, 100%, $E$9)</f>
        <v>5.4802</v>
      </c>
      <c r="H230" s="11">
        <f>9.0428 * CHOOSE(CONTROL!$C$32, $C$9, 100%, $E$9)</f>
        <v>9.0427999999999997</v>
      </c>
      <c r="I230" s="11">
        <f>9.0461 * CHOOSE(CONTROL!$C$32, $C$9, 100%, $E$9)</f>
        <v>9.0460999999999991</v>
      </c>
      <c r="J230" s="11">
        <f>9.0428 * CHOOSE(CONTROL!$C$32, $C$9, 100%, $E$9)</f>
        <v>9.0427999999999997</v>
      </c>
      <c r="K230" s="11">
        <f>9.0461 * CHOOSE(CONTROL!$C$32, $C$9, 100%, $E$9)</f>
        <v>9.0460999999999991</v>
      </c>
      <c r="L230" s="11">
        <f>5.4769 * CHOOSE(CONTROL!$C$32, $C$9, 100%, $E$9)</f>
        <v>5.4768999999999997</v>
      </c>
      <c r="M230" s="11">
        <f>5.4802 * CHOOSE(CONTROL!$C$32, $C$9, 100%, $E$9)</f>
        <v>5.4802</v>
      </c>
      <c r="N230" s="11">
        <f>5.4769 * CHOOSE(CONTROL!$C$32, $C$9, 100%, $E$9)</f>
        <v>5.4768999999999997</v>
      </c>
      <c r="O230" s="11">
        <f>5.4802 * CHOOSE(CONTROL!$C$32, $C$9, 100%, $E$9)</f>
        <v>5.4802</v>
      </c>
    </row>
    <row r="231" spans="1:15" ht="15" x14ac:dyDescent="0.2">
      <c r="A231" s="13">
        <v>47880</v>
      </c>
      <c r="B231" s="9">
        <f>4.2875 * CHOOSE(CONTROL!$C$32, $C$9, 100%, $E$9)</f>
        <v>4.2874999999999996</v>
      </c>
      <c r="C231" s="9">
        <f>4.2875 * CHOOSE(CONTROL!$C$32, $C$9, 100%, $E$9)</f>
        <v>4.2874999999999996</v>
      </c>
      <c r="D231" s="9">
        <f>4.2885 * CHOOSE(CONTROL!$C$32, $C$9, 100%, $E$9)</f>
        <v>4.2885</v>
      </c>
      <c r="E231" s="11">
        <f>5.4749 * CHOOSE(CONTROL!$C$32, $C$9, 100%, $E$9)</f>
        <v>5.4748999999999999</v>
      </c>
      <c r="F231" s="11">
        <f>5.4749 * CHOOSE(CONTROL!$C$32, $C$9, 100%, $E$9)</f>
        <v>5.4748999999999999</v>
      </c>
      <c r="G231" s="11">
        <f>5.4782 * CHOOSE(CONTROL!$C$32, $C$9, 100%, $E$9)</f>
        <v>5.4782000000000002</v>
      </c>
      <c r="H231" s="11">
        <f>9.0617 * CHOOSE(CONTROL!$C$32, $C$9, 100%, $E$9)</f>
        <v>9.0617000000000001</v>
      </c>
      <c r="I231" s="11">
        <f>9.0649 * CHOOSE(CONTROL!$C$32, $C$9, 100%, $E$9)</f>
        <v>9.0648999999999997</v>
      </c>
      <c r="J231" s="11">
        <f>9.0617 * CHOOSE(CONTROL!$C$32, $C$9, 100%, $E$9)</f>
        <v>9.0617000000000001</v>
      </c>
      <c r="K231" s="11">
        <f>9.0649 * CHOOSE(CONTROL!$C$32, $C$9, 100%, $E$9)</f>
        <v>9.0648999999999997</v>
      </c>
      <c r="L231" s="11">
        <f>5.4749 * CHOOSE(CONTROL!$C$32, $C$9, 100%, $E$9)</f>
        <v>5.4748999999999999</v>
      </c>
      <c r="M231" s="11">
        <f>5.4782 * CHOOSE(CONTROL!$C$32, $C$9, 100%, $E$9)</f>
        <v>5.4782000000000002</v>
      </c>
      <c r="N231" s="11">
        <f>5.4749 * CHOOSE(CONTROL!$C$32, $C$9, 100%, $E$9)</f>
        <v>5.4748999999999999</v>
      </c>
      <c r="O231" s="11">
        <f>5.4782 * CHOOSE(CONTROL!$C$32, $C$9, 100%, $E$9)</f>
        <v>5.4782000000000002</v>
      </c>
    </row>
    <row r="232" spans="1:15" ht="15" x14ac:dyDescent="0.2">
      <c r="A232" s="13">
        <v>47908</v>
      </c>
      <c r="B232" s="9">
        <f>4.2845 * CHOOSE(CONTROL!$C$32, $C$9, 100%, $E$9)</f>
        <v>4.2845000000000004</v>
      </c>
      <c r="C232" s="9">
        <f>4.2845 * CHOOSE(CONTROL!$C$32, $C$9, 100%, $E$9)</f>
        <v>4.2845000000000004</v>
      </c>
      <c r="D232" s="9">
        <f>4.2855 * CHOOSE(CONTROL!$C$32, $C$9, 100%, $E$9)</f>
        <v>4.2854999999999999</v>
      </c>
      <c r="E232" s="11">
        <f>5.4729 * CHOOSE(CONTROL!$C$32, $C$9, 100%, $E$9)</f>
        <v>5.4729000000000001</v>
      </c>
      <c r="F232" s="11">
        <f>5.4729 * CHOOSE(CONTROL!$C$32, $C$9, 100%, $E$9)</f>
        <v>5.4729000000000001</v>
      </c>
      <c r="G232" s="11">
        <f>5.4762 * CHOOSE(CONTROL!$C$32, $C$9, 100%, $E$9)</f>
        <v>5.4762000000000004</v>
      </c>
      <c r="H232" s="11">
        <f>9.0805 * CHOOSE(CONTROL!$C$32, $C$9, 100%, $E$9)</f>
        <v>9.0805000000000007</v>
      </c>
      <c r="I232" s="11">
        <f>9.0838 * CHOOSE(CONTROL!$C$32, $C$9, 100%, $E$9)</f>
        <v>9.0838000000000001</v>
      </c>
      <c r="J232" s="11">
        <f>9.0805 * CHOOSE(CONTROL!$C$32, $C$9, 100%, $E$9)</f>
        <v>9.0805000000000007</v>
      </c>
      <c r="K232" s="11">
        <f>9.0838 * CHOOSE(CONTROL!$C$32, $C$9, 100%, $E$9)</f>
        <v>9.0838000000000001</v>
      </c>
      <c r="L232" s="11">
        <f>5.4729 * CHOOSE(CONTROL!$C$32, $C$9, 100%, $E$9)</f>
        <v>5.4729000000000001</v>
      </c>
      <c r="M232" s="11">
        <f>5.4762 * CHOOSE(CONTROL!$C$32, $C$9, 100%, $E$9)</f>
        <v>5.4762000000000004</v>
      </c>
      <c r="N232" s="11">
        <f>5.4729 * CHOOSE(CONTROL!$C$32, $C$9, 100%, $E$9)</f>
        <v>5.4729000000000001</v>
      </c>
      <c r="O232" s="11">
        <f>5.4762 * CHOOSE(CONTROL!$C$32, $C$9, 100%, $E$9)</f>
        <v>5.4762000000000004</v>
      </c>
    </row>
    <row r="233" spans="1:15" ht="15" x14ac:dyDescent="0.2">
      <c r="A233" s="13">
        <v>47939</v>
      </c>
      <c r="B233" s="9">
        <f>4.2824 * CHOOSE(CONTROL!$C$32, $C$9, 100%, $E$9)</f>
        <v>4.2824</v>
      </c>
      <c r="C233" s="9">
        <f>4.2824 * CHOOSE(CONTROL!$C$32, $C$9, 100%, $E$9)</f>
        <v>4.2824</v>
      </c>
      <c r="D233" s="9">
        <f>4.2834 * CHOOSE(CONTROL!$C$32, $C$9, 100%, $E$9)</f>
        <v>4.2834000000000003</v>
      </c>
      <c r="E233" s="11">
        <f>5.471 * CHOOSE(CONTROL!$C$32, $C$9, 100%, $E$9)</f>
        <v>5.4710000000000001</v>
      </c>
      <c r="F233" s="11">
        <f>5.471 * CHOOSE(CONTROL!$C$32, $C$9, 100%, $E$9)</f>
        <v>5.4710000000000001</v>
      </c>
      <c r="G233" s="11">
        <f>5.4742 * CHOOSE(CONTROL!$C$32, $C$9, 100%, $E$9)</f>
        <v>5.4741999999999997</v>
      </c>
      <c r="H233" s="11">
        <f>9.0995 * CHOOSE(CONTROL!$C$32, $C$9, 100%, $E$9)</f>
        <v>9.0995000000000008</v>
      </c>
      <c r="I233" s="11">
        <f>9.1027 * CHOOSE(CONTROL!$C$32, $C$9, 100%, $E$9)</f>
        <v>9.1027000000000005</v>
      </c>
      <c r="J233" s="11">
        <f>9.0995 * CHOOSE(CONTROL!$C$32, $C$9, 100%, $E$9)</f>
        <v>9.0995000000000008</v>
      </c>
      <c r="K233" s="11">
        <f>9.1027 * CHOOSE(CONTROL!$C$32, $C$9, 100%, $E$9)</f>
        <v>9.1027000000000005</v>
      </c>
      <c r="L233" s="11">
        <f>5.471 * CHOOSE(CONTROL!$C$32, $C$9, 100%, $E$9)</f>
        <v>5.4710000000000001</v>
      </c>
      <c r="M233" s="11">
        <f>5.4742 * CHOOSE(CONTROL!$C$32, $C$9, 100%, $E$9)</f>
        <v>5.4741999999999997</v>
      </c>
      <c r="N233" s="11">
        <f>5.471 * CHOOSE(CONTROL!$C$32, $C$9, 100%, $E$9)</f>
        <v>5.4710000000000001</v>
      </c>
      <c r="O233" s="11">
        <f>5.4742 * CHOOSE(CONTROL!$C$32, $C$9, 100%, $E$9)</f>
        <v>5.4741999999999997</v>
      </c>
    </row>
    <row r="234" spans="1:15" ht="15" x14ac:dyDescent="0.2">
      <c r="A234" s="13">
        <v>47969</v>
      </c>
      <c r="B234" s="9">
        <f>4.2824 * CHOOSE(CONTROL!$C$32, $C$9, 100%, $E$9)</f>
        <v>4.2824</v>
      </c>
      <c r="C234" s="9">
        <f>4.2824 * CHOOSE(CONTROL!$C$32, $C$9, 100%, $E$9)</f>
        <v>4.2824</v>
      </c>
      <c r="D234" s="9">
        <f>4.2837 * CHOOSE(CONTROL!$C$32, $C$9, 100%, $E$9)</f>
        <v>4.2836999999999996</v>
      </c>
      <c r="E234" s="11">
        <f>5.471 * CHOOSE(CONTROL!$C$32, $C$9, 100%, $E$9)</f>
        <v>5.4710000000000001</v>
      </c>
      <c r="F234" s="11">
        <f>5.471 * CHOOSE(CONTROL!$C$32, $C$9, 100%, $E$9)</f>
        <v>5.4710000000000001</v>
      </c>
      <c r="G234" s="11">
        <f>5.4752 * CHOOSE(CONTROL!$C$32, $C$9, 100%, $E$9)</f>
        <v>5.4752000000000001</v>
      </c>
      <c r="H234" s="11">
        <f>9.1184 * CHOOSE(CONTROL!$C$32, $C$9, 100%, $E$9)</f>
        <v>9.1183999999999994</v>
      </c>
      <c r="I234" s="11">
        <f>9.1226 * CHOOSE(CONTROL!$C$32, $C$9, 100%, $E$9)</f>
        <v>9.1226000000000003</v>
      </c>
      <c r="J234" s="11">
        <f>9.1184 * CHOOSE(CONTROL!$C$32, $C$9, 100%, $E$9)</f>
        <v>9.1183999999999994</v>
      </c>
      <c r="K234" s="11">
        <f>9.1226 * CHOOSE(CONTROL!$C$32, $C$9, 100%, $E$9)</f>
        <v>9.1226000000000003</v>
      </c>
      <c r="L234" s="11">
        <f>5.471 * CHOOSE(CONTROL!$C$32, $C$9, 100%, $E$9)</f>
        <v>5.4710000000000001</v>
      </c>
      <c r="M234" s="11">
        <f>5.4752 * CHOOSE(CONTROL!$C$32, $C$9, 100%, $E$9)</f>
        <v>5.4752000000000001</v>
      </c>
      <c r="N234" s="11">
        <f>5.471 * CHOOSE(CONTROL!$C$32, $C$9, 100%, $E$9)</f>
        <v>5.4710000000000001</v>
      </c>
      <c r="O234" s="11">
        <f>5.4752 * CHOOSE(CONTROL!$C$32, $C$9, 100%, $E$9)</f>
        <v>5.4752000000000001</v>
      </c>
    </row>
    <row r="235" spans="1:15" ht="15" x14ac:dyDescent="0.2">
      <c r="A235" s="13">
        <v>48000</v>
      </c>
      <c r="B235" s="9">
        <f>4.2885 * CHOOSE(CONTROL!$C$32, $C$9, 100%, $E$9)</f>
        <v>4.2885</v>
      </c>
      <c r="C235" s="9">
        <f>4.2885 * CHOOSE(CONTROL!$C$32, $C$9, 100%, $E$9)</f>
        <v>4.2885</v>
      </c>
      <c r="D235" s="9">
        <f>4.2898 * CHOOSE(CONTROL!$C$32, $C$9, 100%, $E$9)</f>
        <v>4.2897999999999996</v>
      </c>
      <c r="E235" s="11">
        <f>5.475 * CHOOSE(CONTROL!$C$32, $C$9, 100%, $E$9)</f>
        <v>5.4749999999999996</v>
      </c>
      <c r="F235" s="11">
        <f>5.475 * CHOOSE(CONTROL!$C$32, $C$9, 100%, $E$9)</f>
        <v>5.4749999999999996</v>
      </c>
      <c r="G235" s="11">
        <f>5.4792 * CHOOSE(CONTROL!$C$32, $C$9, 100%, $E$9)</f>
        <v>5.4791999999999996</v>
      </c>
      <c r="H235" s="11">
        <f>9.1374 * CHOOSE(CONTROL!$C$32, $C$9, 100%, $E$9)</f>
        <v>9.1373999999999995</v>
      </c>
      <c r="I235" s="11">
        <f>9.1416 * CHOOSE(CONTROL!$C$32, $C$9, 100%, $E$9)</f>
        <v>9.1416000000000004</v>
      </c>
      <c r="J235" s="11">
        <f>9.1374 * CHOOSE(CONTROL!$C$32, $C$9, 100%, $E$9)</f>
        <v>9.1373999999999995</v>
      </c>
      <c r="K235" s="11">
        <f>9.1416 * CHOOSE(CONTROL!$C$32, $C$9, 100%, $E$9)</f>
        <v>9.1416000000000004</v>
      </c>
      <c r="L235" s="11">
        <f>5.475 * CHOOSE(CONTROL!$C$32, $C$9, 100%, $E$9)</f>
        <v>5.4749999999999996</v>
      </c>
      <c r="M235" s="11">
        <f>5.4792 * CHOOSE(CONTROL!$C$32, $C$9, 100%, $E$9)</f>
        <v>5.4791999999999996</v>
      </c>
      <c r="N235" s="11">
        <f>5.475 * CHOOSE(CONTROL!$C$32, $C$9, 100%, $E$9)</f>
        <v>5.4749999999999996</v>
      </c>
      <c r="O235" s="11">
        <f>5.4792 * CHOOSE(CONTROL!$C$32, $C$9, 100%, $E$9)</f>
        <v>5.4791999999999996</v>
      </c>
    </row>
    <row r="236" spans="1:15" ht="15" x14ac:dyDescent="0.2">
      <c r="A236" s="13">
        <v>48030</v>
      </c>
      <c r="B236" s="9">
        <f>4.3512 * CHOOSE(CONTROL!$C$32, $C$9, 100%, $E$9)</f>
        <v>4.3512000000000004</v>
      </c>
      <c r="C236" s="9">
        <f>4.3512 * CHOOSE(CONTROL!$C$32, $C$9, 100%, $E$9)</f>
        <v>4.3512000000000004</v>
      </c>
      <c r="D236" s="9">
        <f>4.3525 * CHOOSE(CONTROL!$C$32, $C$9, 100%, $E$9)</f>
        <v>4.3525</v>
      </c>
      <c r="E236" s="11">
        <f>5.5682 * CHOOSE(CONTROL!$C$32, $C$9, 100%, $E$9)</f>
        <v>5.5682</v>
      </c>
      <c r="F236" s="11">
        <f>5.5682 * CHOOSE(CONTROL!$C$32, $C$9, 100%, $E$9)</f>
        <v>5.5682</v>
      </c>
      <c r="G236" s="11">
        <f>5.5724 * CHOOSE(CONTROL!$C$32, $C$9, 100%, $E$9)</f>
        <v>5.5724</v>
      </c>
      <c r="H236" s="11">
        <f>9.1564 * CHOOSE(CONTROL!$C$32, $C$9, 100%, $E$9)</f>
        <v>9.1563999999999997</v>
      </c>
      <c r="I236" s="11">
        <f>9.1607 * CHOOSE(CONTROL!$C$32, $C$9, 100%, $E$9)</f>
        <v>9.1607000000000003</v>
      </c>
      <c r="J236" s="11">
        <f>9.1564 * CHOOSE(CONTROL!$C$32, $C$9, 100%, $E$9)</f>
        <v>9.1563999999999997</v>
      </c>
      <c r="K236" s="11">
        <f>9.1607 * CHOOSE(CONTROL!$C$32, $C$9, 100%, $E$9)</f>
        <v>9.1607000000000003</v>
      </c>
      <c r="L236" s="11">
        <f>5.5682 * CHOOSE(CONTROL!$C$32, $C$9, 100%, $E$9)</f>
        <v>5.5682</v>
      </c>
      <c r="M236" s="11">
        <f>5.5724 * CHOOSE(CONTROL!$C$32, $C$9, 100%, $E$9)</f>
        <v>5.5724</v>
      </c>
      <c r="N236" s="11">
        <f>5.5682 * CHOOSE(CONTROL!$C$32, $C$9, 100%, $E$9)</f>
        <v>5.5682</v>
      </c>
      <c r="O236" s="11">
        <f>5.5724 * CHOOSE(CONTROL!$C$32, $C$9, 100%, $E$9)</f>
        <v>5.5724</v>
      </c>
    </row>
    <row r="237" spans="1:15" ht="15" x14ac:dyDescent="0.2">
      <c r="A237" s="13">
        <v>48061</v>
      </c>
      <c r="B237" s="9">
        <f>4.3579 * CHOOSE(CONTROL!$C$32, $C$9, 100%, $E$9)</f>
        <v>4.3578999999999999</v>
      </c>
      <c r="C237" s="9">
        <f>4.3579 * CHOOSE(CONTROL!$C$32, $C$9, 100%, $E$9)</f>
        <v>4.3578999999999999</v>
      </c>
      <c r="D237" s="9">
        <f>4.3592 * CHOOSE(CONTROL!$C$32, $C$9, 100%, $E$9)</f>
        <v>4.3592000000000004</v>
      </c>
      <c r="E237" s="11">
        <f>5.5726 * CHOOSE(CONTROL!$C$32, $C$9, 100%, $E$9)</f>
        <v>5.5726000000000004</v>
      </c>
      <c r="F237" s="11">
        <f>5.5726 * CHOOSE(CONTROL!$C$32, $C$9, 100%, $E$9)</f>
        <v>5.5726000000000004</v>
      </c>
      <c r="G237" s="11">
        <f>5.5768 * CHOOSE(CONTROL!$C$32, $C$9, 100%, $E$9)</f>
        <v>5.5768000000000004</v>
      </c>
      <c r="H237" s="11">
        <f>9.1755 * CHOOSE(CONTROL!$C$32, $C$9, 100%, $E$9)</f>
        <v>9.1754999999999995</v>
      </c>
      <c r="I237" s="11">
        <f>9.1797 * CHOOSE(CONTROL!$C$32, $C$9, 100%, $E$9)</f>
        <v>9.1797000000000004</v>
      </c>
      <c r="J237" s="11">
        <f>9.1755 * CHOOSE(CONTROL!$C$32, $C$9, 100%, $E$9)</f>
        <v>9.1754999999999995</v>
      </c>
      <c r="K237" s="11">
        <f>9.1797 * CHOOSE(CONTROL!$C$32, $C$9, 100%, $E$9)</f>
        <v>9.1797000000000004</v>
      </c>
      <c r="L237" s="11">
        <f>5.5726 * CHOOSE(CONTROL!$C$32, $C$9, 100%, $E$9)</f>
        <v>5.5726000000000004</v>
      </c>
      <c r="M237" s="11">
        <f>5.5768 * CHOOSE(CONTROL!$C$32, $C$9, 100%, $E$9)</f>
        <v>5.5768000000000004</v>
      </c>
      <c r="N237" s="11">
        <f>5.5726 * CHOOSE(CONTROL!$C$32, $C$9, 100%, $E$9)</f>
        <v>5.5726000000000004</v>
      </c>
      <c r="O237" s="11">
        <f>5.5768 * CHOOSE(CONTROL!$C$32, $C$9, 100%, $E$9)</f>
        <v>5.5768000000000004</v>
      </c>
    </row>
    <row r="238" spans="1:15" ht="15" x14ac:dyDescent="0.2">
      <c r="A238" s="13">
        <v>48092</v>
      </c>
      <c r="B238" s="9">
        <f>4.3549 * CHOOSE(CONTROL!$C$32, $C$9, 100%, $E$9)</f>
        <v>4.3548999999999998</v>
      </c>
      <c r="C238" s="9">
        <f>4.3549 * CHOOSE(CONTROL!$C$32, $C$9, 100%, $E$9)</f>
        <v>4.3548999999999998</v>
      </c>
      <c r="D238" s="9">
        <f>4.3561 * CHOOSE(CONTROL!$C$32, $C$9, 100%, $E$9)</f>
        <v>4.3560999999999996</v>
      </c>
      <c r="E238" s="11">
        <f>5.5706 * CHOOSE(CONTROL!$C$32, $C$9, 100%, $E$9)</f>
        <v>5.5705999999999998</v>
      </c>
      <c r="F238" s="11">
        <f>5.5706 * CHOOSE(CONTROL!$C$32, $C$9, 100%, $E$9)</f>
        <v>5.5705999999999998</v>
      </c>
      <c r="G238" s="11">
        <f>5.5748 * CHOOSE(CONTROL!$C$32, $C$9, 100%, $E$9)</f>
        <v>5.5747999999999998</v>
      </c>
      <c r="H238" s="11">
        <f>9.1946 * CHOOSE(CONTROL!$C$32, $C$9, 100%, $E$9)</f>
        <v>9.1945999999999994</v>
      </c>
      <c r="I238" s="11">
        <f>9.1988 * CHOOSE(CONTROL!$C$32, $C$9, 100%, $E$9)</f>
        <v>9.1988000000000003</v>
      </c>
      <c r="J238" s="11">
        <f>9.1946 * CHOOSE(CONTROL!$C$32, $C$9, 100%, $E$9)</f>
        <v>9.1945999999999994</v>
      </c>
      <c r="K238" s="11">
        <f>9.1988 * CHOOSE(CONTROL!$C$32, $C$9, 100%, $E$9)</f>
        <v>9.1988000000000003</v>
      </c>
      <c r="L238" s="11">
        <f>5.5706 * CHOOSE(CONTROL!$C$32, $C$9, 100%, $E$9)</f>
        <v>5.5705999999999998</v>
      </c>
      <c r="M238" s="11">
        <f>5.5748 * CHOOSE(CONTROL!$C$32, $C$9, 100%, $E$9)</f>
        <v>5.5747999999999998</v>
      </c>
      <c r="N238" s="11">
        <f>5.5706 * CHOOSE(CONTROL!$C$32, $C$9, 100%, $E$9)</f>
        <v>5.5705999999999998</v>
      </c>
      <c r="O238" s="11">
        <f>5.5748 * CHOOSE(CONTROL!$C$32, $C$9, 100%, $E$9)</f>
        <v>5.5747999999999998</v>
      </c>
    </row>
    <row r="239" spans="1:15" ht="15" x14ac:dyDescent="0.2">
      <c r="A239" s="13">
        <v>48122</v>
      </c>
      <c r="B239" s="9">
        <f>4.3513 * CHOOSE(CONTROL!$C$32, $C$9, 100%, $E$9)</f>
        <v>4.3513000000000002</v>
      </c>
      <c r="C239" s="9">
        <f>4.3513 * CHOOSE(CONTROL!$C$32, $C$9, 100%, $E$9)</f>
        <v>4.3513000000000002</v>
      </c>
      <c r="D239" s="9">
        <f>4.3522 * CHOOSE(CONTROL!$C$32, $C$9, 100%, $E$9)</f>
        <v>4.3521999999999998</v>
      </c>
      <c r="E239" s="11">
        <f>5.566 * CHOOSE(CONTROL!$C$32, $C$9, 100%, $E$9)</f>
        <v>5.5659999999999998</v>
      </c>
      <c r="F239" s="11">
        <f>5.566 * CHOOSE(CONTROL!$C$32, $C$9, 100%, $E$9)</f>
        <v>5.5659999999999998</v>
      </c>
      <c r="G239" s="11">
        <f>5.5692 * CHOOSE(CONTROL!$C$32, $C$9, 100%, $E$9)</f>
        <v>5.5692000000000004</v>
      </c>
      <c r="H239" s="11">
        <f>9.2138 * CHOOSE(CONTROL!$C$32, $C$9, 100%, $E$9)</f>
        <v>9.2138000000000009</v>
      </c>
      <c r="I239" s="11">
        <f>9.217 * CHOOSE(CONTROL!$C$32, $C$9, 100%, $E$9)</f>
        <v>9.2170000000000005</v>
      </c>
      <c r="J239" s="11">
        <f>9.2138 * CHOOSE(CONTROL!$C$32, $C$9, 100%, $E$9)</f>
        <v>9.2138000000000009</v>
      </c>
      <c r="K239" s="11">
        <f>9.217 * CHOOSE(CONTROL!$C$32, $C$9, 100%, $E$9)</f>
        <v>9.2170000000000005</v>
      </c>
      <c r="L239" s="11">
        <f>5.566 * CHOOSE(CONTROL!$C$32, $C$9, 100%, $E$9)</f>
        <v>5.5659999999999998</v>
      </c>
      <c r="M239" s="11">
        <f>5.5692 * CHOOSE(CONTROL!$C$32, $C$9, 100%, $E$9)</f>
        <v>5.5692000000000004</v>
      </c>
      <c r="N239" s="11">
        <f>5.566 * CHOOSE(CONTROL!$C$32, $C$9, 100%, $E$9)</f>
        <v>5.5659999999999998</v>
      </c>
      <c r="O239" s="11">
        <f>5.5692 * CHOOSE(CONTROL!$C$32, $C$9, 100%, $E$9)</f>
        <v>5.5692000000000004</v>
      </c>
    </row>
    <row r="240" spans="1:15" ht="15" x14ac:dyDescent="0.2">
      <c r="A240" s="13">
        <v>48153</v>
      </c>
      <c r="B240" s="9">
        <f>4.3543 * CHOOSE(CONTROL!$C$32, $C$9, 100%, $E$9)</f>
        <v>4.3543000000000003</v>
      </c>
      <c r="C240" s="9">
        <f>4.3543 * CHOOSE(CONTROL!$C$32, $C$9, 100%, $E$9)</f>
        <v>4.3543000000000003</v>
      </c>
      <c r="D240" s="9">
        <f>4.3553 * CHOOSE(CONTROL!$C$32, $C$9, 100%, $E$9)</f>
        <v>4.3552999999999997</v>
      </c>
      <c r="E240" s="11">
        <f>5.568 * CHOOSE(CONTROL!$C$32, $C$9, 100%, $E$9)</f>
        <v>5.5679999999999996</v>
      </c>
      <c r="F240" s="11">
        <f>5.568 * CHOOSE(CONTROL!$C$32, $C$9, 100%, $E$9)</f>
        <v>5.5679999999999996</v>
      </c>
      <c r="G240" s="11">
        <f>5.5712 * CHOOSE(CONTROL!$C$32, $C$9, 100%, $E$9)</f>
        <v>5.5712000000000002</v>
      </c>
      <c r="H240" s="11">
        <f>9.233 * CHOOSE(CONTROL!$C$32, $C$9, 100%, $E$9)</f>
        <v>9.2330000000000005</v>
      </c>
      <c r="I240" s="11">
        <f>9.2362 * CHOOSE(CONTROL!$C$32, $C$9, 100%, $E$9)</f>
        <v>9.2362000000000002</v>
      </c>
      <c r="J240" s="11">
        <f>9.233 * CHOOSE(CONTROL!$C$32, $C$9, 100%, $E$9)</f>
        <v>9.2330000000000005</v>
      </c>
      <c r="K240" s="11">
        <f>9.2362 * CHOOSE(CONTROL!$C$32, $C$9, 100%, $E$9)</f>
        <v>9.2362000000000002</v>
      </c>
      <c r="L240" s="11">
        <f>5.568 * CHOOSE(CONTROL!$C$32, $C$9, 100%, $E$9)</f>
        <v>5.5679999999999996</v>
      </c>
      <c r="M240" s="11">
        <f>5.5712 * CHOOSE(CONTROL!$C$32, $C$9, 100%, $E$9)</f>
        <v>5.5712000000000002</v>
      </c>
      <c r="N240" s="11">
        <f>5.568 * CHOOSE(CONTROL!$C$32, $C$9, 100%, $E$9)</f>
        <v>5.5679999999999996</v>
      </c>
      <c r="O240" s="11">
        <f>5.5712 * CHOOSE(CONTROL!$C$32, $C$9, 100%, $E$9)</f>
        <v>5.5712000000000002</v>
      </c>
    </row>
    <row r="241" spans="1:15" ht="15" x14ac:dyDescent="0.2">
      <c r="A241" s="13">
        <v>48183</v>
      </c>
      <c r="B241" s="9">
        <f>4.3543 * CHOOSE(CONTROL!$C$32, $C$9, 100%, $E$9)</f>
        <v>4.3543000000000003</v>
      </c>
      <c r="C241" s="9">
        <f>4.3543 * CHOOSE(CONTROL!$C$32, $C$9, 100%, $E$9)</f>
        <v>4.3543000000000003</v>
      </c>
      <c r="D241" s="9">
        <f>4.3553 * CHOOSE(CONTROL!$C$32, $C$9, 100%, $E$9)</f>
        <v>4.3552999999999997</v>
      </c>
      <c r="E241" s="11">
        <f>5.568 * CHOOSE(CONTROL!$C$32, $C$9, 100%, $E$9)</f>
        <v>5.5679999999999996</v>
      </c>
      <c r="F241" s="11">
        <f>5.568 * CHOOSE(CONTROL!$C$32, $C$9, 100%, $E$9)</f>
        <v>5.5679999999999996</v>
      </c>
      <c r="G241" s="11">
        <f>5.5712 * CHOOSE(CONTROL!$C$32, $C$9, 100%, $E$9)</f>
        <v>5.5712000000000002</v>
      </c>
      <c r="H241" s="11">
        <f>9.2522 * CHOOSE(CONTROL!$C$32, $C$9, 100%, $E$9)</f>
        <v>9.2522000000000002</v>
      </c>
      <c r="I241" s="11">
        <f>9.2555 * CHOOSE(CONTROL!$C$32, $C$9, 100%, $E$9)</f>
        <v>9.2554999999999996</v>
      </c>
      <c r="J241" s="11">
        <f>9.2522 * CHOOSE(CONTROL!$C$32, $C$9, 100%, $E$9)</f>
        <v>9.2522000000000002</v>
      </c>
      <c r="K241" s="11">
        <f>9.2555 * CHOOSE(CONTROL!$C$32, $C$9, 100%, $E$9)</f>
        <v>9.2554999999999996</v>
      </c>
      <c r="L241" s="11">
        <f>5.568 * CHOOSE(CONTROL!$C$32, $C$9, 100%, $E$9)</f>
        <v>5.5679999999999996</v>
      </c>
      <c r="M241" s="11">
        <f>5.5712 * CHOOSE(CONTROL!$C$32, $C$9, 100%, $E$9)</f>
        <v>5.5712000000000002</v>
      </c>
      <c r="N241" s="11">
        <f>5.568 * CHOOSE(CONTROL!$C$32, $C$9, 100%, $E$9)</f>
        <v>5.5679999999999996</v>
      </c>
      <c r="O241" s="11">
        <f>5.5712 * CHOOSE(CONTROL!$C$32, $C$9, 100%, $E$9)</f>
        <v>5.5712000000000002</v>
      </c>
    </row>
    <row r="242" spans="1:15" ht="15" x14ac:dyDescent="0.2">
      <c r="A242" s="13">
        <v>48214</v>
      </c>
      <c r="B242" s="9">
        <f>4.3913 * CHOOSE(CONTROL!$C$32, $C$9, 100%, $E$9)</f>
        <v>4.3913000000000002</v>
      </c>
      <c r="C242" s="9">
        <f>4.3913 * CHOOSE(CONTROL!$C$32, $C$9, 100%, $E$9)</f>
        <v>4.3913000000000002</v>
      </c>
      <c r="D242" s="9">
        <f>4.3922 * CHOOSE(CONTROL!$C$32, $C$9, 100%, $E$9)</f>
        <v>4.3921999999999999</v>
      </c>
      <c r="E242" s="11">
        <f>5.6146 * CHOOSE(CONTROL!$C$32, $C$9, 100%, $E$9)</f>
        <v>5.6146000000000003</v>
      </c>
      <c r="F242" s="11">
        <f>5.6146 * CHOOSE(CONTROL!$C$32, $C$9, 100%, $E$9)</f>
        <v>5.6146000000000003</v>
      </c>
      <c r="G242" s="11">
        <f>5.6178 * CHOOSE(CONTROL!$C$32, $C$9, 100%, $E$9)</f>
        <v>5.6177999999999999</v>
      </c>
      <c r="H242" s="11">
        <f>9.2715 * CHOOSE(CONTROL!$C$32, $C$9, 100%, $E$9)</f>
        <v>9.2714999999999996</v>
      </c>
      <c r="I242" s="11">
        <f>9.2747 * CHOOSE(CONTROL!$C$32, $C$9, 100%, $E$9)</f>
        <v>9.2746999999999993</v>
      </c>
      <c r="J242" s="11">
        <f>9.2715 * CHOOSE(CONTROL!$C$32, $C$9, 100%, $E$9)</f>
        <v>9.2714999999999996</v>
      </c>
      <c r="K242" s="11">
        <f>9.2747 * CHOOSE(CONTROL!$C$32, $C$9, 100%, $E$9)</f>
        <v>9.2746999999999993</v>
      </c>
      <c r="L242" s="11">
        <f>5.6146 * CHOOSE(CONTROL!$C$32, $C$9, 100%, $E$9)</f>
        <v>5.6146000000000003</v>
      </c>
      <c r="M242" s="11">
        <f>5.6178 * CHOOSE(CONTROL!$C$32, $C$9, 100%, $E$9)</f>
        <v>5.6177999999999999</v>
      </c>
      <c r="N242" s="11">
        <f>5.6146 * CHOOSE(CONTROL!$C$32, $C$9, 100%, $E$9)</f>
        <v>5.6146000000000003</v>
      </c>
      <c r="O242" s="11">
        <f>5.6178 * CHOOSE(CONTROL!$C$32, $C$9, 100%, $E$9)</f>
        <v>5.6177999999999999</v>
      </c>
    </row>
    <row r="243" spans="1:15" ht="15" x14ac:dyDescent="0.2">
      <c r="A243" s="13">
        <v>48245</v>
      </c>
      <c r="B243" s="9">
        <f>4.3882 * CHOOSE(CONTROL!$C$32, $C$9, 100%, $E$9)</f>
        <v>4.3882000000000003</v>
      </c>
      <c r="C243" s="9">
        <f>4.3882 * CHOOSE(CONTROL!$C$32, $C$9, 100%, $E$9)</f>
        <v>4.3882000000000003</v>
      </c>
      <c r="D243" s="9">
        <f>4.3892 * CHOOSE(CONTROL!$C$32, $C$9, 100%, $E$9)</f>
        <v>4.3891999999999998</v>
      </c>
      <c r="E243" s="11">
        <f>5.6126 * CHOOSE(CONTROL!$C$32, $C$9, 100%, $E$9)</f>
        <v>5.6125999999999996</v>
      </c>
      <c r="F243" s="11">
        <f>5.6126 * CHOOSE(CONTROL!$C$32, $C$9, 100%, $E$9)</f>
        <v>5.6125999999999996</v>
      </c>
      <c r="G243" s="11">
        <f>5.6158 * CHOOSE(CONTROL!$C$32, $C$9, 100%, $E$9)</f>
        <v>5.6158000000000001</v>
      </c>
      <c r="H243" s="11">
        <f>9.2908 * CHOOSE(CONTROL!$C$32, $C$9, 100%, $E$9)</f>
        <v>9.2908000000000008</v>
      </c>
      <c r="I243" s="11">
        <f>9.294 * CHOOSE(CONTROL!$C$32, $C$9, 100%, $E$9)</f>
        <v>9.2940000000000005</v>
      </c>
      <c r="J243" s="11">
        <f>9.2908 * CHOOSE(CONTROL!$C$32, $C$9, 100%, $E$9)</f>
        <v>9.2908000000000008</v>
      </c>
      <c r="K243" s="11">
        <f>9.294 * CHOOSE(CONTROL!$C$32, $C$9, 100%, $E$9)</f>
        <v>9.2940000000000005</v>
      </c>
      <c r="L243" s="11">
        <f>5.6126 * CHOOSE(CONTROL!$C$32, $C$9, 100%, $E$9)</f>
        <v>5.6125999999999996</v>
      </c>
      <c r="M243" s="11">
        <f>5.6158 * CHOOSE(CONTROL!$C$32, $C$9, 100%, $E$9)</f>
        <v>5.6158000000000001</v>
      </c>
      <c r="N243" s="11">
        <f>5.6126 * CHOOSE(CONTROL!$C$32, $C$9, 100%, $E$9)</f>
        <v>5.6125999999999996</v>
      </c>
      <c r="O243" s="11">
        <f>5.6158 * CHOOSE(CONTROL!$C$32, $C$9, 100%, $E$9)</f>
        <v>5.6158000000000001</v>
      </c>
    </row>
    <row r="244" spans="1:15" ht="15" x14ac:dyDescent="0.2">
      <c r="A244" s="13">
        <v>48274</v>
      </c>
      <c r="B244" s="9">
        <f>4.3852 * CHOOSE(CONTROL!$C$32, $C$9, 100%, $E$9)</f>
        <v>4.3852000000000002</v>
      </c>
      <c r="C244" s="9">
        <f>4.3852 * CHOOSE(CONTROL!$C$32, $C$9, 100%, $E$9)</f>
        <v>4.3852000000000002</v>
      </c>
      <c r="D244" s="9">
        <f>4.3861 * CHOOSE(CONTROL!$C$32, $C$9, 100%, $E$9)</f>
        <v>4.3860999999999999</v>
      </c>
      <c r="E244" s="11">
        <f>5.6106 * CHOOSE(CONTROL!$C$32, $C$9, 100%, $E$9)</f>
        <v>5.6105999999999998</v>
      </c>
      <c r="F244" s="11">
        <f>5.6106 * CHOOSE(CONTROL!$C$32, $C$9, 100%, $E$9)</f>
        <v>5.6105999999999998</v>
      </c>
      <c r="G244" s="11">
        <f>5.6138 * CHOOSE(CONTROL!$C$32, $C$9, 100%, $E$9)</f>
        <v>5.6138000000000003</v>
      </c>
      <c r="H244" s="11">
        <f>9.3102 * CHOOSE(CONTROL!$C$32, $C$9, 100%, $E$9)</f>
        <v>9.3102</v>
      </c>
      <c r="I244" s="11">
        <f>9.3134 * CHOOSE(CONTROL!$C$32, $C$9, 100%, $E$9)</f>
        <v>9.3133999999999997</v>
      </c>
      <c r="J244" s="11">
        <f>9.3102 * CHOOSE(CONTROL!$C$32, $C$9, 100%, $E$9)</f>
        <v>9.3102</v>
      </c>
      <c r="K244" s="11">
        <f>9.3134 * CHOOSE(CONTROL!$C$32, $C$9, 100%, $E$9)</f>
        <v>9.3133999999999997</v>
      </c>
      <c r="L244" s="11">
        <f>5.6106 * CHOOSE(CONTROL!$C$32, $C$9, 100%, $E$9)</f>
        <v>5.6105999999999998</v>
      </c>
      <c r="M244" s="11">
        <f>5.6138 * CHOOSE(CONTROL!$C$32, $C$9, 100%, $E$9)</f>
        <v>5.6138000000000003</v>
      </c>
      <c r="N244" s="11">
        <f>5.6106 * CHOOSE(CONTROL!$C$32, $C$9, 100%, $E$9)</f>
        <v>5.6105999999999998</v>
      </c>
      <c r="O244" s="11">
        <f>5.6138 * CHOOSE(CONTROL!$C$32, $C$9, 100%, $E$9)</f>
        <v>5.6138000000000003</v>
      </c>
    </row>
    <row r="245" spans="1:15" ht="15" x14ac:dyDescent="0.2">
      <c r="A245" s="13">
        <v>48305</v>
      </c>
      <c r="B245" s="9">
        <f>4.3832 * CHOOSE(CONTROL!$C$32, $C$9, 100%, $E$9)</f>
        <v>4.3832000000000004</v>
      </c>
      <c r="C245" s="9">
        <f>4.3832 * CHOOSE(CONTROL!$C$32, $C$9, 100%, $E$9)</f>
        <v>4.3832000000000004</v>
      </c>
      <c r="D245" s="9">
        <f>4.3842 * CHOOSE(CONTROL!$C$32, $C$9, 100%, $E$9)</f>
        <v>4.3841999999999999</v>
      </c>
      <c r="E245" s="11">
        <f>5.6087 * CHOOSE(CONTROL!$C$32, $C$9, 100%, $E$9)</f>
        <v>5.6086999999999998</v>
      </c>
      <c r="F245" s="11">
        <f>5.6087 * CHOOSE(CONTROL!$C$32, $C$9, 100%, $E$9)</f>
        <v>5.6086999999999998</v>
      </c>
      <c r="G245" s="11">
        <f>5.6119 * CHOOSE(CONTROL!$C$32, $C$9, 100%, $E$9)</f>
        <v>5.6119000000000003</v>
      </c>
      <c r="H245" s="11">
        <f>9.3296 * CHOOSE(CONTROL!$C$32, $C$9, 100%, $E$9)</f>
        <v>9.3295999999999992</v>
      </c>
      <c r="I245" s="11">
        <f>9.3328 * CHOOSE(CONTROL!$C$32, $C$9, 100%, $E$9)</f>
        <v>9.3328000000000007</v>
      </c>
      <c r="J245" s="11">
        <f>9.3296 * CHOOSE(CONTROL!$C$32, $C$9, 100%, $E$9)</f>
        <v>9.3295999999999992</v>
      </c>
      <c r="K245" s="11">
        <f>9.3328 * CHOOSE(CONTROL!$C$32, $C$9, 100%, $E$9)</f>
        <v>9.3328000000000007</v>
      </c>
      <c r="L245" s="11">
        <f>5.6087 * CHOOSE(CONTROL!$C$32, $C$9, 100%, $E$9)</f>
        <v>5.6086999999999998</v>
      </c>
      <c r="M245" s="11">
        <f>5.6119 * CHOOSE(CONTROL!$C$32, $C$9, 100%, $E$9)</f>
        <v>5.6119000000000003</v>
      </c>
      <c r="N245" s="11">
        <f>5.6087 * CHOOSE(CONTROL!$C$32, $C$9, 100%, $E$9)</f>
        <v>5.6086999999999998</v>
      </c>
      <c r="O245" s="11">
        <f>5.6119 * CHOOSE(CONTROL!$C$32, $C$9, 100%, $E$9)</f>
        <v>5.6119000000000003</v>
      </c>
    </row>
    <row r="246" spans="1:15" ht="15" x14ac:dyDescent="0.2">
      <c r="A246" s="13">
        <v>48335</v>
      </c>
      <c r="B246" s="9">
        <f>4.3832 * CHOOSE(CONTROL!$C$32, $C$9, 100%, $E$9)</f>
        <v>4.3832000000000004</v>
      </c>
      <c r="C246" s="9">
        <f>4.3832 * CHOOSE(CONTROL!$C$32, $C$9, 100%, $E$9)</f>
        <v>4.3832000000000004</v>
      </c>
      <c r="D246" s="9">
        <f>4.3845 * CHOOSE(CONTROL!$C$32, $C$9, 100%, $E$9)</f>
        <v>4.3845000000000001</v>
      </c>
      <c r="E246" s="11">
        <f>5.6087 * CHOOSE(CONTROL!$C$32, $C$9, 100%, $E$9)</f>
        <v>5.6086999999999998</v>
      </c>
      <c r="F246" s="11">
        <f>5.6087 * CHOOSE(CONTROL!$C$32, $C$9, 100%, $E$9)</f>
        <v>5.6086999999999998</v>
      </c>
      <c r="G246" s="11">
        <f>5.6129 * CHOOSE(CONTROL!$C$32, $C$9, 100%, $E$9)</f>
        <v>5.6128999999999998</v>
      </c>
      <c r="H246" s="11">
        <f>9.349 * CHOOSE(CONTROL!$C$32, $C$9, 100%, $E$9)</f>
        <v>9.3490000000000002</v>
      </c>
      <c r="I246" s="11">
        <f>9.3532 * CHOOSE(CONTROL!$C$32, $C$9, 100%, $E$9)</f>
        <v>9.3531999999999993</v>
      </c>
      <c r="J246" s="11">
        <f>9.349 * CHOOSE(CONTROL!$C$32, $C$9, 100%, $E$9)</f>
        <v>9.3490000000000002</v>
      </c>
      <c r="K246" s="11">
        <f>9.3532 * CHOOSE(CONTROL!$C$32, $C$9, 100%, $E$9)</f>
        <v>9.3531999999999993</v>
      </c>
      <c r="L246" s="11">
        <f>5.6087 * CHOOSE(CONTROL!$C$32, $C$9, 100%, $E$9)</f>
        <v>5.6086999999999998</v>
      </c>
      <c r="M246" s="11">
        <f>5.6129 * CHOOSE(CONTROL!$C$32, $C$9, 100%, $E$9)</f>
        <v>5.6128999999999998</v>
      </c>
      <c r="N246" s="11">
        <f>5.6087 * CHOOSE(CONTROL!$C$32, $C$9, 100%, $E$9)</f>
        <v>5.6086999999999998</v>
      </c>
      <c r="O246" s="11">
        <f>5.6129 * CHOOSE(CONTROL!$C$32, $C$9, 100%, $E$9)</f>
        <v>5.6128999999999998</v>
      </c>
    </row>
    <row r="247" spans="1:15" ht="15" x14ac:dyDescent="0.2">
      <c r="A247" s="13">
        <v>48366</v>
      </c>
      <c r="B247" s="9">
        <f>4.3893 * CHOOSE(CONTROL!$C$32, $C$9, 100%, $E$9)</f>
        <v>4.3893000000000004</v>
      </c>
      <c r="C247" s="9">
        <f>4.3893 * CHOOSE(CONTROL!$C$32, $C$9, 100%, $E$9)</f>
        <v>4.3893000000000004</v>
      </c>
      <c r="D247" s="9">
        <f>4.3905 * CHOOSE(CONTROL!$C$32, $C$9, 100%, $E$9)</f>
        <v>4.3905000000000003</v>
      </c>
      <c r="E247" s="11">
        <f>5.6127 * CHOOSE(CONTROL!$C$32, $C$9, 100%, $E$9)</f>
        <v>5.6127000000000002</v>
      </c>
      <c r="F247" s="11">
        <f>5.6127 * CHOOSE(CONTROL!$C$32, $C$9, 100%, $E$9)</f>
        <v>5.6127000000000002</v>
      </c>
      <c r="G247" s="11">
        <f>5.6169 * CHOOSE(CONTROL!$C$32, $C$9, 100%, $E$9)</f>
        <v>5.6169000000000002</v>
      </c>
      <c r="H247" s="11">
        <f>9.3685 * CHOOSE(CONTROL!$C$32, $C$9, 100%, $E$9)</f>
        <v>9.3684999999999992</v>
      </c>
      <c r="I247" s="11">
        <f>9.3727 * CHOOSE(CONTROL!$C$32, $C$9, 100%, $E$9)</f>
        <v>9.3727</v>
      </c>
      <c r="J247" s="11">
        <f>9.3685 * CHOOSE(CONTROL!$C$32, $C$9, 100%, $E$9)</f>
        <v>9.3684999999999992</v>
      </c>
      <c r="K247" s="11">
        <f>9.3727 * CHOOSE(CONTROL!$C$32, $C$9, 100%, $E$9)</f>
        <v>9.3727</v>
      </c>
      <c r="L247" s="11">
        <f>5.6127 * CHOOSE(CONTROL!$C$32, $C$9, 100%, $E$9)</f>
        <v>5.6127000000000002</v>
      </c>
      <c r="M247" s="11">
        <f>5.6169 * CHOOSE(CONTROL!$C$32, $C$9, 100%, $E$9)</f>
        <v>5.6169000000000002</v>
      </c>
      <c r="N247" s="11">
        <f>5.6127 * CHOOSE(CONTROL!$C$32, $C$9, 100%, $E$9)</f>
        <v>5.6127000000000002</v>
      </c>
      <c r="O247" s="11">
        <f>5.6169 * CHOOSE(CONTROL!$C$32, $C$9, 100%, $E$9)</f>
        <v>5.6169000000000002</v>
      </c>
    </row>
    <row r="248" spans="1:15" ht="15" x14ac:dyDescent="0.2">
      <c r="A248" s="13">
        <v>48396</v>
      </c>
      <c r="B248" s="9">
        <f>4.4571 * CHOOSE(CONTROL!$C$32, $C$9, 100%, $E$9)</f>
        <v>4.4570999999999996</v>
      </c>
      <c r="C248" s="9">
        <f>4.4571 * CHOOSE(CONTROL!$C$32, $C$9, 100%, $E$9)</f>
        <v>4.4570999999999996</v>
      </c>
      <c r="D248" s="9">
        <f>4.4583 * CHOOSE(CONTROL!$C$32, $C$9, 100%, $E$9)</f>
        <v>4.4583000000000004</v>
      </c>
      <c r="E248" s="11">
        <f>5.7152 * CHOOSE(CONTROL!$C$32, $C$9, 100%, $E$9)</f>
        <v>5.7152000000000003</v>
      </c>
      <c r="F248" s="11">
        <f>5.7152 * CHOOSE(CONTROL!$C$32, $C$9, 100%, $E$9)</f>
        <v>5.7152000000000003</v>
      </c>
      <c r="G248" s="11">
        <f>5.7194 * CHOOSE(CONTROL!$C$32, $C$9, 100%, $E$9)</f>
        <v>5.7194000000000003</v>
      </c>
      <c r="H248" s="11">
        <f>9.388 * CHOOSE(CONTROL!$C$32, $C$9, 100%, $E$9)</f>
        <v>9.3879999999999999</v>
      </c>
      <c r="I248" s="11">
        <f>9.3922 * CHOOSE(CONTROL!$C$32, $C$9, 100%, $E$9)</f>
        <v>9.3922000000000008</v>
      </c>
      <c r="J248" s="11">
        <f>9.388 * CHOOSE(CONTROL!$C$32, $C$9, 100%, $E$9)</f>
        <v>9.3879999999999999</v>
      </c>
      <c r="K248" s="11">
        <f>9.3922 * CHOOSE(CONTROL!$C$32, $C$9, 100%, $E$9)</f>
        <v>9.3922000000000008</v>
      </c>
      <c r="L248" s="11">
        <f>5.7152 * CHOOSE(CONTROL!$C$32, $C$9, 100%, $E$9)</f>
        <v>5.7152000000000003</v>
      </c>
      <c r="M248" s="11">
        <f>5.7194 * CHOOSE(CONTROL!$C$32, $C$9, 100%, $E$9)</f>
        <v>5.7194000000000003</v>
      </c>
      <c r="N248" s="11">
        <f>5.7152 * CHOOSE(CONTROL!$C$32, $C$9, 100%, $E$9)</f>
        <v>5.7152000000000003</v>
      </c>
      <c r="O248" s="11">
        <f>5.7194 * CHOOSE(CONTROL!$C$32, $C$9, 100%, $E$9)</f>
        <v>5.7194000000000003</v>
      </c>
    </row>
    <row r="249" spans="1:15" ht="15" x14ac:dyDescent="0.2">
      <c r="A249" s="13">
        <v>48427</v>
      </c>
      <c r="B249" s="9">
        <f>4.4637 * CHOOSE(CONTROL!$C$32, $C$9, 100%, $E$9)</f>
        <v>4.4637000000000002</v>
      </c>
      <c r="C249" s="9">
        <f>4.4637 * CHOOSE(CONTROL!$C$32, $C$9, 100%, $E$9)</f>
        <v>4.4637000000000002</v>
      </c>
      <c r="D249" s="9">
        <f>4.465 * CHOOSE(CONTROL!$C$32, $C$9, 100%, $E$9)</f>
        <v>4.4649999999999999</v>
      </c>
      <c r="E249" s="11">
        <f>5.7196 * CHOOSE(CONTROL!$C$32, $C$9, 100%, $E$9)</f>
        <v>5.7195999999999998</v>
      </c>
      <c r="F249" s="11">
        <f>5.7196 * CHOOSE(CONTROL!$C$32, $C$9, 100%, $E$9)</f>
        <v>5.7195999999999998</v>
      </c>
      <c r="G249" s="11">
        <f>5.7238 * CHOOSE(CONTROL!$C$32, $C$9, 100%, $E$9)</f>
        <v>5.7237999999999998</v>
      </c>
      <c r="H249" s="11">
        <f>9.4076 * CHOOSE(CONTROL!$C$32, $C$9, 100%, $E$9)</f>
        <v>9.4076000000000004</v>
      </c>
      <c r="I249" s="11">
        <f>9.4118 * CHOOSE(CONTROL!$C$32, $C$9, 100%, $E$9)</f>
        <v>9.4117999999999995</v>
      </c>
      <c r="J249" s="11">
        <f>9.4076 * CHOOSE(CONTROL!$C$32, $C$9, 100%, $E$9)</f>
        <v>9.4076000000000004</v>
      </c>
      <c r="K249" s="11">
        <f>9.4118 * CHOOSE(CONTROL!$C$32, $C$9, 100%, $E$9)</f>
        <v>9.4117999999999995</v>
      </c>
      <c r="L249" s="11">
        <f>5.7196 * CHOOSE(CONTROL!$C$32, $C$9, 100%, $E$9)</f>
        <v>5.7195999999999998</v>
      </c>
      <c r="M249" s="11">
        <f>5.7238 * CHOOSE(CONTROL!$C$32, $C$9, 100%, $E$9)</f>
        <v>5.7237999999999998</v>
      </c>
      <c r="N249" s="11">
        <f>5.7196 * CHOOSE(CONTROL!$C$32, $C$9, 100%, $E$9)</f>
        <v>5.7195999999999998</v>
      </c>
      <c r="O249" s="11">
        <f>5.7238 * CHOOSE(CONTROL!$C$32, $C$9, 100%, $E$9)</f>
        <v>5.7237999999999998</v>
      </c>
    </row>
    <row r="250" spans="1:15" ht="15" x14ac:dyDescent="0.2">
      <c r="A250" s="13">
        <v>48458</v>
      </c>
      <c r="B250" s="9">
        <f>4.4607 * CHOOSE(CONTROL!$C$32, $C$9, 100%, $E$9)</f>
        <v>4.4607000000000001</v>
      </c>
      <c r="C250" s="9">
        <f>4.4607 * CHOOSE(CONTROL!$C$32, $C$9, 100%, $E$9)</f>
        <v>4.4607000000000001</v>
      </c>
      <c r="D250" s="9">
        <f>4.4619 * CHOOSE(CONTROL!$C$32, $C$9, 100%, $E$9)</f>
        <v>4.4619</v>
      </c>
      <c r="E250" s="11">
        <f>5.7176 * CHOOSE(CONTROL!$C$32, $C$9, 100%, $E$9)</f>
        <v>5.7176</v>
      </c>
      <c r="F250" s="11">
        <f>5.7176 * CHOOSE(CONTROL!$C$32, $C$9, 100%, $E$9)</f>
        <v>5.7176</v>
      </c>
      <c r="G250" s="11">
        <f>5.7218 * CHOOSE(CONTROL!$C$32, $C$9, 100%, $E$9)</f>
        <v>5.7218</v>
      </c>
      <c r="H250" s="11">
        <f>9.4272 * CHOOSE(CONTROL!$C$32, $C$9, 100%, $E$9)</f>
        <v>9.4271999999999991</v>
      </c>
      <c r="I250" s="11">
        <f>9.4314 * CHOOSE(CONTROL!$C$32, $C$9, 100%, $E$9)</f>
        <v>9.4314</v>
      </c>
      <c r="J250" s="11">
        <f>9.4272 * CHOOSE(CONTROL!$C$32, $C$9, 100%, $E$9)</f>
        <v>9.4271999999999991</v>
      </c>
      <c r="K250" s="11">
        <f>9.4314 * CHOOSE(CONTROL!$C$32, $C$9, 100%, $E$9)</f>
        <v>9.4314</v>
      </c>
      <c r="L250" s="11">
        <f>5.7176 * CHOOSE(CONTROL!$C$32, $C$9, 100%, $E$9)</f>
        <v>5.7176</v>
      </c>
      <c r="M250" s="11">
        <f>5.7218 * CHOOSE(CONTROL!$C$32, $C$9, 100%, $E$9)</f>
        <v>5.7218</v>
      </c>
      <c r="N250" s="11">
        <f>5.7176 * CHOOSE(CONTROL!$C$32, $C$9, 100%, $E$9)</f>
        <v>5.7176</v>
      </c>
      <c r="O250" s="11">
        <f>5.7218 * CHOOSE(CONTROL!$C$32, $C$9, 100%, $E$9)</f>
        <v>5.7218</v>
      </c>
    </row>
    <row r="251" spans="1:15" ht="15" x14ac:dyDescent="0.2">
      <c r="A251" s="13">
        <v>48488</v>
      </c>
      <c r="B251" s="9">
        <f>4.4575 * CHOOSE(CONTROL!$C$32, $C$9, 100%, $E$9)</f>
        <v>4.4574999999999996</v>
      </c>
      <c r="C251" s="9">
        <f>4.4575 * CHOOSE(CONTROL!$C$32, $C$9, 100%, $E$9)</f>
        <v>4.4574999999999996</v>
      </c>
      <c r="D251" s="9">
        <f>4.4584 * CHOOSE(CONTROL!$C$32, $C$9, 100%, $E$9)</f>
        <v>4.4584000000000001</v>
      </c>
      <c r="E251" s="11">
        <f>5.7132 * CHOOSE(CONTROL!$C$32, $C$9, 100%, $E$9)</f>
        <v>5.7131999999999996</v>
      </c>
      <c r="F251" s="11">
        <f>5.7132 * CHOOSE(CONTROL!$C$32, $C$9, 100%, $E$9)</f>
        <v>5.7131999999999996</v>
      </c>
      <c r="G251" s="11">
        <f>5.7165 * CHOOSE(CONTROL!$C$32, $C$9, 100%, $E$9)</f>
        <v>5.7164999999999999</v>
      </c>
      <c r="H251" s="11">
        <f>9.4468 * CHOOSE(CONTROL!$C$32, $C$9, 100%, $E$9)</f>
        <v>9.4467999999999996</v>
      </c>
      <c r="I251" s="11">
        <f>9.45 * CHOOSE(CONTROL!$C$32, $C$9, 100%, $E$9)</f>
        <v>9.4499999999999993</v>
      </c>
      <c r="J251" s="11">
        <f>9.4468 * CHOOSE(CONTROL!$C$32, $C$9, 100%, $E$9)</f>
        <v>9.4467999999999996</v>
      </c>
      <c r="K251" s="11">
        <f>9.45 * CHOOSE(CONTROL!$C$32, $C$9, 100%, $E$9)</f>
        <v>9.4499999999999993</v>
      </c>
      <c r="L251" s="11">
        <f>5.7132 * CHOOSE(CONTROL!$C$32, $C$9, 100%, $E$9)</f>
        <v>5.7131999999999996</v>
      </c>
      <c r="M251" s="11">
        <f>5.7165 * CHOOSE(CONTROL!$C$32, $C$9, 100%, $E$9)</f>
        <v>5.7164999999999999</v>
      </c>
      <c r="N251" s="11">
        <f>5.7132 * CHOOSE(CONTROL!$C$32, $C$9, 100%, $E$9)</f>
        <v>5.7131999999999996</v>
      </c>
      <c r="O251" s="11">
        <f>5.7165 * CHOOSE(CONTROL!$C$32, $C$9, 100%, $E$9)</f>
        <v>5.7164999999999999</v>
      </c>
    </row>
    <row r="252" spans="1:15" ht="15" x14ac:dyDescent="0.2">
      <c r="A252" s="13">
        <v>48519</v>
      </c>
      <c r="B252" s="9">
        <f>4.4605 * CHOOSE(CONTROL!$C$32, $C$9, 100%, $E$9)</f>
        <v>4.4604999999999997</v>
      </c>
      <c r="C252" s="9">
        <f>4.4605 * CHOOSE(CONTROL!$C$32, $C$9, 100%, $E$9)</f>
        <v>4.4604999999999997</v>
      </c>
      <c r="D252" s="9">
        <f>4.4615 * CHOOSE(CONTROL!$C$32, $C$9, 100%, $E$9)</f>
        <v>4.4615</v>
      </c>
      <c r="E252" s="11">
        <f>5.7152 * CHOOSE(CONTROL!$C$32, $C$9, 100%, $E$9)</f>
        <v>5.7152000000000003</v>
      </c>
      <c r="F252" s="11">
        <f>5.7152 * CHOOSE(CONTROL!$C$32, $C$9, 100%, $E$9)</f>
        <v>5.7152000000000003</v>
      </c>
      <c r="G252" s="11">
        <f>5.7185 * CHOOSE(CONTROL!$C$32, $C$9, 100%, $E$9)</f>
        <v>5.7184999999999997</v>
      </c>
      <c r="H252" s="11">
        <f>9.4665 * CHOOSE(CONTROL!$C$32, $C$9, 100%, $E$9)</f>
        <v>9.4664999999999999</v>
      </c>
      <c r="I252" s="11">
        <f>9.4697 * CHOOSE(CONTROL!$C$32, $C$9, 100%, $E$9)</f>
        <v>9.4696999999999996</v>
      </c>
      <c r="J252" s="11">
        <f>9.4665 * CHOOSE(CONTROL!$C$32, $C$9, 100%, $E$9)</f>
        <v>9.4664999999999999</v>
      </c>
      <c r="K252" s="11">
        <f>9.4697 * CHOOSE(CONTROL!$C$32, $C$9, 100%, $E$9)</f>
        <v>9.4696999999999996</v>
      </c>
      <c r="L252" s="11">
        <f>5.7152 * CHOOSE(CONTROL!$C$32, $C$9, 100%, $E$9)</f>
        <v>5.7152000000000003</v>
      </c>
      <c r="M252" s="11">
        <f>5.7185 * CHOOSE(CONTROL!$C$32, $C$9, 100%, $E$9)</f>
        <v>5.7184999999999997</v>
      </c>
      <c r="N252" s="11">
        <f>5.7152 * CHOOSE(CONTROL!$C$32, $C$9, 100%, $E$9)</f>
        <v>5.7152000000000003</v>
      </c>
      <c r="O252" s="11">
        <f>5.7185 * CHOOSE(CONTROL!$C$32, $C$9, 100%, $E$9)</f>
        <v>5.7184999999999997</v>
      </c>
    </row>
    <row r="253" spans="1:15" ht="15" x14ac:dyDescent="0.2">
      <c r="A253" s="13">
        <v>48549</v>
      </c>
      <c r="B253" s="9">
        <f>4.4605 * CHOOSE(CONTROL!$C$32, $C$9, 100%, $E$9)</f>
        <v>4.4604999999999997</v>
      </c>
      <c r="C253" s="9">
        <f>4.4605 * CHOOSE(CONTROL!$C$32, $C$9, 100%, $E$9)</f>
        <v>4.4604999999999997</v>
      </c>
      <c r="D253" s="9">
        <f>4.4615 * CHOOSE(CONTROL!$C$32, $C$9, 100%, $E$9)</f>
        <v>4.4615</v>
      </c>
      <c r="E253" s="11">
        <f>5.7152 * CHOOSE(CONTROL!$C$32, $C$9, 100%, $E$9)</f>
        <v>5.7152000000000003</v>
      </c>
      <c r="F253" s="11">
        <f>5.7152 * CHOOSE(CONTROL!$C$32, $C$9, 100%, $E$9)</f>
        <v>5.7152000000000003</v>
      </c>
      <c r="G253" s="11">
        <f>5.7185 * CHOOSE(CONTROL!$C$32, $C$9, 100%, $E$9)</f>
        <v>5.7184999999999997</v>
      </c>
      <c r="H253" s="11">
        <f>9.4862 * CHOOSE(CONTROL!$C$32, $C$9, 100%, $E$9)</f>
        <v>9.4862000000000002</v>
      </c>
      <c r="I253" s="11">
        <f>9.4894 * CHOOSE(CONTROL!$C$32, $C$9, 100%, $E$9)</f>
        <v>9.4893999999999998</v>
      </c>
      <c r="J253" s="11">
        <f>9.4862 * CHOOSE(CONTROL!$C$32, $C$9, 100%, $E$9)</f>
        <v>9.4862000000000002</v>
      </c>
      <c r="K253" s="11">
        <f>9.4894 * CHOOSE(CONTROL!$C$32, $C$9, 100%, $E$9)</f>
        <v>9.4893999999999998</v>
      </c>
      <c r="L253" s="11">
        <f>5.7152 * CHOOSE(CONTROL!$C$32, $C$9, 100%, $E$9)</f>
        <v>5.7152000000000003</v>
      </c>
      <c r="M253" s="11">
        <f>5.7185 * CHOOSE(CONTROL!$C$32, $C$9, 100%, $E$9)</f>
        <v>5.7184999999999997</v>
      </c>
      <c r="N253" s="11">
        <f>5.7152 * CHOOSE(CONTROL!$C$32, $C$9, 100%, $E$9)</f>
        <v>5.7152000000000003</v>
      </c>
      <c r="O253" s="11">
        <f>5.7185 * CHOOSE(CONTROL!$C$32, $C$9, 100%, $E$9)</f>
        <v>5.7184999999999997</v>
      </c>
    </row>
    <row r="254" spans="1:15" ht="15" x14ac:dyDescent="0.2">
      <c r="A254" s="13">
        <v>48580</v>
      </c>
      <c r="B254" s="9">
        <f>4.4966 * CHOOSE(CONTROL!$C$32, $C$9, 100%, $E$9)</f>
        <v>4.4965999999999999</v>
      </c>
      <c r="C254" s="9">
        <f>4.4966 * CHOOSE(CONTROL!$C$32, $C$9, 100%, $E$9)</f>
        <v>4.4965999999999999</v>
      </c>
      <c r="D254" s="9">
        <f>4.4976 * CHOOSE(CONTROL!$C$32, $C$9, 100%, $E$9)</f>
        <v>4.4976000000000003</v>
      </c>
      <c r="E254" s="11">
        <f>5.7608 * CHOOSE(CONTROL!$C$32, $C$9, 100%, $E$9)</f>
        <v>5.7607999999999997</v>
      </c>
      <c r="F254" s="11">
        <f>5.7608 * CHOOSE(CONTROL!$C$32, $C$9, 100%, $E$9)</f>
        <v>5.7607999999999997</v>
      </c>
      <c r="G254" s="11">
        <f>5.764 * CHOOSE(CONTROL!$C$32, $C$9, 100%, $E$9)</f>
        <v>5.7640000000000002</v>
      </c>
      <c r="H254" s="11">
        <f>9.506 * CHOOSE(CONTROL!$C$32, $C$9, 100%, $E$9)</f>
        <v>9.5060000000000002</v>
      </c>
      <c r="I254" s="11">
        <f>9.5092 * CHOOSE(CONTROL!$C$32, $C$9, 100%, $E$9)</f>
        <v>9.5091999999999999</v>
      </c>
      <c r="J254" s="11">
        <f>9.506 * CHOOSE(CONTROL!$C$32, $C$9, 100%, $E$9)</f>
        <v>9.5060000000000002</v>
      </c>
      <c r="K254" s="11">
        <f>9.5092 * CHOOSE(CONTROL!$C$32, $C$9, 100%, $E$9)</f>
        <v>9.5091999999999999</v>
      </c>
      <c r="L254" s="11">
        <f>5.7608 * CHOOSE(CONTROL!$C$32, $C$9, 100%, $E$9)</f>
        <v>5.7607999999999997</v>
      </c>
      <c r="M254" s="11">
        <f>5.764 * CHOOSE(CONTROL!$C$32, $C$9, 100%, $E$9)</f>
        <v>5.7640000000000002</v>
      </c>
      <c r="N254" s="11">
        <f>5.7608 * CHOOSE(CONTROL!$C$32, $C$9, 100%, $E$9)</f>
        <v>5.7607999999999997</v>
      </c>
      <c r="O254" s="11">
        <f>5.764 * CHOOSE(CONTROL!$C$32, $C$9, 100%, $E$9)</f>
        <v>5.7640000000000002</v>
      </c>
    </row>
    <row r="255" spans="1:15" ht="15" x14ac:dyDescent="0.2">
      <c r="A255" s="13">
        <v>48611</v>
      </c>
      <c r="B255" s="9">
        <f>4.4936 * CHOOSE(CONTROL!$C$32, $C$9, 100%, $E$9)</f>
        <v>4.4935999999999998</v>
      </c>
      <c r="C255" s="9">
        <f>4.4936 * CHOOSE(CONTROL!$C$32, $C$9, 100%, $E$9)</f>
        <v>4.4935999999999998</v>
      </c>
      <c r="D255" s="9">
        <f>4.4945 * CHOOSE(CONTROL!$C$32, $C$9, 100%, $E$9)</f>
        <v>4.4945000000000004</v>
      </c>
      <c r="E255" s="11">
        <f>5.7588 * CHOOSE(CONTROL!$C$32, $C$9, 100%, $E$9)</f>
        <v>5.7587999999999999</v>
      </c>
      <c r="F255" s="11">
        <f>5.7588 * CHOOSE(CONTROL!$C$32, $C$9, 100%, $E$9)</f>
        <v>5.7587999999999999</v>
      </c>
      <c r="G255" s="11">
        <f>5.762 * CHOOSE(CONTROL!$C$32, $C$9, 100%, $E$9)</f>
        <v>5.7619999999999996</v>
      </c>
      <c r="H255" s="11">
        <f>9.5258 * CHOOSE(CONTROL!$C$32, $C$9, 100%, $E$9)</f>
        <v>9.5258000000000003</v>
      </c>
      <c r="I255" s="11">
        <f>9.529 * CHOOSE(CONTROL!$C$32, $C$9, 100%, $E$9)</f>
        <v>9.5289999999999999</v>
      </c>
      <c r="J255" s="11">
        <f>9.5258 * CHOOSE(CONTROL!$C$32, $C$9, 100%, $E$9)</f>
        <v>9.5258000000000003</v>
      </c>
      <c r="K255" s="11">
        <f>9.529 * CHOOSE(CONTROL!$C$32, $C$9, 100%, $E$9)</f>
        <v>9.5289999999999999</v>
      </c>
      <c r="L255" s="11">
        <f>5.7588 * CHOOSE(CONTROL!$C$32, $C$9, 100%, $E$9)</f>
        <v>5.7587999999999999</v>
      </c>
      <c r="M255" s="11">
        <f>5.762 * CHOOSE(CONTROL!$C$32, $C$9, 100%, $E$9)</f>
        <v>5.7619999999999996</v>
      </c>
      <c r="N255" s="11">
        <f>5.7588 * CHOOSE(CONTROL!$C$32, $C$9, 100%, $E$9)</f>
        <v>5.7587999999999999</v>
      </c>
      <c r="O255" s="11">
        <f>5.762 * CHOOSE(CONTROL!$C$32, $C$9, 100%, $E$9)</f>
        <v>5.7619999999999996</v>
      </c>
    </row>
    <row r="256" spans="1:15" ht="15" x14ac:dyDescent="0.2">
      <c r="A256" s="13">
        <v>48639</v>
      </c>
      <c r="B256" s="9">
        <f>4.4905 * CHOOSE(CONTROL!$C$32, $C$9, 100%, $E$9)</f>
        <v>4.4904999999999999</v>
      </c>
      <c r="C256" s="9">
        <f>4.4905 * CHOOSE(CONTROL!$C$32, $C$9, 100%, $E$9)</f>
        <v>4.4904999999999999</v>
      </c>
      <c r="D256" s="9">
        <f>4.4915 * CHOOSE(CONTROL!$C$32, $C$9, 100%, $E$9)</f>
        <v>4.4915000000000003</v>
      </c>
      <c r="E256" s="11">
        <f>5.7568 * CHOOSE(CONTROL!$C$32, $C$9, 100%, $E$9)</f>
        <v>5.7568000000000001</v>
      </c>
      <c r="F256" s="11">
        <f>5.7568 * CHOOSE(CONTROL!$C$32, $C$9, 100%, $E$9)</f>
        <v>5.7568000000000001</v>
      </c>
      <c r="G256" s="11">
        <f>5.76 * CHOOSE(CONTROL!$C$32, $C$9, 100%, $E$9)</f>
        <v>5.76</v>
      </c>
      <c r="H256" s="11">
        <f>9.5456 * CHOOSE(CONTROL!$C$32, $C$9, 100%, $E$9)</f>
        <v>9.5456000000000003</v>
      </c>
      <c r="I256" s="11">
        <f>9.5488 * CHOOSE(CONTROL!$C$32, $C$9, 100%, $E$9)</f>
        <v>9.5488</v>
      </c>
      <c r="J256" s="11">
        <f>9.5456 * CHOOSE(CONTROL!$C$32, $C$9, 100%, $E$9)</f>
        <v>9.5456000000000003</v>
      </c>
      <c r="K256" s="11">
        <f>9.5488 * CHOOSE(CONTROL!$C$32, $C$9, 100%, $E$9)</f>
        <v>9.5488</v>
      </c>
      <c r="L256" s="11">
        <f>5.7568 * CHOOSE(CONTROL!$C$32, $C$9, 100%, $E$9)</f>
        <v>5.7568000000000001</v>
      </c>
      <c r="M256" s="11">
        <f>5.76 * CHOOSE(CONTROL!$C$32, $C$9, 100%, $E$9)</f>
        <v>5.76</v>
      </c>
      <c r="N256" s="11">
        <f>5.7568 * CHOOSE(CONTROL!$C$32, $C$9, 100%, $E$9)</f>
        <v>5.7568000000000001</v>
      </c>
      <c r="O256" s="11">
        <f>5.76 * CHOOSE(CONTROL!$C$32, $C$9, 100%, $E$9)</f>
        <v>5.76</v>
      </c>
    </row>
    <row r="257" spans="1:15" ht="15" x14ac:dyDescent="0.2">
      <c r="A257" s="13">
        <v>48670</v>
      </c>
      <c r="B257" s="9">
        <f>4.4887 * CHOOSE(CONTROL!$C$32, $C$9, 100%, $E$9)</f>
        <v>4.4886999999999997</v>
      </c>
      <c r="C257" s="9">
        <f>4.4887 * CHOOSE(CONTROL!$C$32, $C$9, 100%, $E$9)</f>
        <v>4.4886999999999997</v>
      </c>
      <c r="D257" s="9">
        <f>4.4896 * CHOOSE(CONTROL!$C$32, $C$9, 100%, $E$9)</f>
        <v>4.4896000000000003</v>
      </c>
      <c r="E257" s="11">
        <f>5.755 * CHOOSE(CONTROL!$C$32, $C$9, 100%, $E$9)</f>
        <v>5.7549999999999999</v>
      </c>
      <c r="F257" s="11">
        <f>5.755 * CHOOSE(CONTROL!$C$32, $C$9, 100%, $E$9)</f>
        <v>5.7549999999999999</v>
      </c>
      <c r="G257" s="11">
        <f>5.7582 * CHOOSE(CONTROL!$C$32, $C$9, 100%, $E$9)</f>
        <v>5.7582000000000004</v>
      </c>
      <c r="H257" s="11">
        <f>9.5655 * CHOOSE(CONTROL!$C$32, $C$9, 100%, $E$9)</f>
        <v>9.5655000000000001</v>
      </c>
      <c r="I257" s="11">
        <f>9.5687 * CHOOSE(CONTROL!$C$32, $C$9, 100%, $E$9)</f>
        <v>9.5686999999999998</v>
      </c>
      <c r="J257" s="11">
        <f>9.5655 * CHOOSE(CONTROL!$C$32, $C$9, 100%, $E$9)</f>
        <v>9.5655000000000001</v>
      </c>
      <c r="K257" s="11">
        <f>9.5687 * CHOOSE(CONTROL!$C$32, $C$9, 100%, $E$9)</f>
        <v>9.5686999999999998</v>
      </c>
      <c r="L257" s="11">
        <f>5.755 * CHOOSE(CONTROL!$C$32, $C$9, 100%, $E$9)</f>
        <v>5.7549999999999999</v>
      </c>
      <c r="M257" s="11">
        <f>5.7582 * CHOOSE(CONTROL!$C$32, $C$9, 100%, $E$9)</f>
        <v>5.7582000000000004</v>
      </c>
      <c r="N257" s="11">
        <f>5.755 * CHOOSE(CONTROL!$C$32, $C$9, 100%, $E$9)</f>
        <v>5.7549999999999999</v>
      </c>
      <c r="O257" s="11">
        <f>5.7582 * CHOOSE(CONTROL!$C$32, $C$9, 100%, $E$9)</f>
        <v>5.7582000000000004</v>
      </c>
    </row>
    <row r="258" spans="1:15" ht="15" x14ac:dyDescent="0.2">
      <c r="A258" s="13">
        <v>48700</v>
      </c>
      <c r="B258" s="9">
        <f>4.4887 * CHOOSE(CONTROL!$C$32, $C$9, 100%, $E$9)</f>
        <v>4.4886999999999997</v>
      </c>
      <c r="C258" s="9">
        <f>4.4887 * CHOOSE(CONTROL!$C$32, $C$9, 100%, $E$9)</f>
        <v>4.4886999999999997</v>
      </c>
      <c r="D258" s="9">
        <f>4.4899 * CHOOSE(CONTROL!$C$32, $C$9, 100%, $E$9)</f>
        <v>4.4898999999999996</v>
      </c>
      <c r="E258" s="11">
        <f>5.755 * CHOOSE(CONTROL!$C$32, $C$9, 100%, $E$9)</f>
        <v>5.7549999999999999</v>
      </c>
      <c r="F258" s="11">
        <f>5.755 * CHOOSE(CONTROL!$C$32, $C$9, 100%, $E$9)</f>
        <v>5.7549999999999999</v>
      </c>
      <c r="G258" s="11">
        <f>5.7592 * CHOOSE(CONTROL!$C$32, $C$9, 100%, $E$9)</f>
        <v>5.7591999999999999</v>
      </c>
      <c r="H258" s="11">
        <f>9.5854 * CHOOSE(CONTROL!$C$32, $C$9, 100%, $E$9)</f>
        <v>9.5853999999999999</v>
      </c>
      <c r="I258" s="11">
        <f>9.5896 * CHOOSE(CONTROL!$C$32, $C$9, 100%, $E$9)</f>
        <v>9.5896000000000008</v>
      </c>
      <c r="J258" s="11">
        <f>9.5854 * CHOOSE(CONTROL!$C$32, $C$9, 100%, $E$9)</f>
        <v>9.5853999999999999</v>
      </c>
      <c r="K258" s="11">
        <f>9.5896 * CHOOSE(CONTROL!$C$32, $C$9, 100%, $E$9)</f>
        <v>9.5896000000000008</v>
      </c>
      <c r="L258" s="11">
        <f>5.755 * CHOOSE(CONTROL!$C$32, $C$9, 100%, $E$9)</f>
        <v>5.7549999999999999</v>
      </c>
      <c r="M258" s="11">
        <f>5.7592 * CHOOSE(CONTROL!$C$32, $C$9, 100%, $E$9)</f>
        <v>5.7591999999999999</v>
      </c>
      <c r="N258" s="11">
        <f>5.755 * CHOOSE(CONTROL!$C$32, $C$9, 100%, $E$9)</f>
        <v>5.7549999999999999</v>
      </c>
      <c r="O258" s="11">
        <f>5.7592 * CHOOSE(CONTROL!$C$32, $C$9, 100%, $E$9)</f>
        <v>5.7591999999999999</v>
      </c>
    </row>
    <row r="259" spans="1:15" ht="15" x14ac:dyDescent="0.2">
      <c r="A259" s="13">
        <v>48731</v>
      </c>
      <c r="B259" s="9">
        <f>4.4947 * CHOOSE(CONTROL!$C$32, $C$9, 100%, $E$9)</f>
        <v>4.4946999999999999</v>
      </c>
      <c r="C259" s="9">
        <f>4.4947 * CHOOSE(CONTROL!$C$32, $C$9, 100%, $E$9)</f>
        <v>4.4946999999999999</v>
      </c>
      <c r="D259" s="9">
        <f>4.496 * CHOOSE(CONTROL!$C$32, $C$9, 100%, $E$9)</f>
        <v>4.4960000000000004</v>
      </c>
      <c r="E259" s="11">
        <f>5.759 * CHOOSE(CONTROL!$C$32, $C$9, 100%, $E$9)</f>
        <v>5.7590000000000003</v>
      </c>
      <c r="F259" s="11">
        <f>5.759 * CHOOSE(CONTROL!$C$32, $C$9, 100%, $E$9)</f>
        <v>5.7590000000000003</v>
      </c>
      <c r="G259" s="11">
        <f>5.7632 * CHOOSE(CONTROL!$C$32, $C$9, 100%, $E$9)</f>
        <v>5.7632000000000003</v>
      </c>
      <c r="H259" s="11">
        <f>9.6054 * CHOOSE(CONTROL!$C$32, $C$9, 100%, $E$9)</f>
        <v>9.6053999999999995</v>
      </c>
      <c r="I259" s="11">
        <f>9.6096 * CHOOSE(CONTROL!$C$32, $C$9, 100%, $E$9)</f>
        <v>9.6096000000000004</v>
      </c>
      <c r="J259" s="11">
        <f>9.6054 * CHOOSE(CONTROL!$C$32, $C$9, 100%, $E$9)</f>
        <v>9.6053999999999995</v>
      </c>
      <c r="K259" s="11">
        <f>9.6096 * CHOOSE(CONTROL!$C$32, $C$9, 100%, $E$9)</f>
        <v>9.6096000000000004</v>
      </c>
      <c r="L259" s="11">
        <f>5.759 * CHOOSE(CONTROL!$C$32, $C$9, 100%, $E$9)</f>
        <v>5.7590000000000003</v>
      </c>
      <c r="M259" s="11">
        <f>5.7632 * CHOOSE(CONTROL!$C$32, $C$9, 100%, $E$9)</f>
        <v>5.7632000000000003</v>
      </c>
      <c r="N259" s="11">
        <f>5.759 * CHOOSE(CONTROL!$C$32, $C$9, 100%, $E$9)</f>
        <v>5.7590000000000003</v>
      </c>
      <c r="O259" s="11">
        <f>5.7632 * CHOOSE(CONTROL!$C$32, $C$9, 100%, $E$9)</f>
        <v>5.7632000000000003</v>
      </c>
    </row>
    <row r="260" spans="1:15" ht="15" x14ac:dyDescent="0.2">
      <c r="A260" s="13">
        <v>48761</v>
      </c>
      <c r="B260" s="9">
        <f>4.5602 * CHOOSE(CONTROL!$C$32, $C$9, 100%, $E$9)</f>
        <v>4.5602</v>
      </c>
      <c r="C260" s="9">
        <f>4.5602 * CHOOSE(CONTROL!$C$32, $C$9, 100%, $E$9)</f>
        <v>4.5602</v>
      </c>
      <c r="D260" s="9">
        <f>4.5614 * CHOOSE(CONTROL!$C$32, $C$9, 100%, $E$9)</f>
        <v>4.5613999999999999</v>
      </c>
      <c r="E260" s="11">
        <f>5.8589 * CHOOSE(CONTROL!$C$32, $C$9, 100%, $E$9)</f>
        <v>5.8589000000000002</v>
      </c>
      <c r="F260" s="11">
        <f>5.8589 * CHOOSE(CONTROL!$C$32, $C$9, 100%, $E$9)</f>
        <v>5.8589000000000002</v>
      </c>
      <c r="G260" s="11">
        <f>5.8631 * CHOOSE(CONTROL!$C$32, $C$9, 100%, $E$9)</f>
        <v>5.8631000000000002</v>
      </c>
      <c r="H260" s="11">
        <f>9.6254 * CHOOSE(CONTROL!$C$32, $C$9, 100%, $E$9)</f>
        <v>9.6254000000000008</v>
      </c>
      <c r="I260" s="11">
        <f>9.6296 * CHOOSE(CONTROL!$C$32, $C$9, 100%, $E$9)</f>
        <v>9.6295999999999999</v>
      </c>
      <c r="J260" s="11">
        <f>9.6254 * CHOOSE(CONTROL!$C$32, $C$9, 100%, $E$9)</f>
        <v>9.6254000000000008</v>
      </c>
      <c r="K260" s="11">
        <f>9.6296 * CHOOSE(CONTROL!$C$32, $C$9, 100%, $E$9)</f>
        <v>9.6295999999999999</v>
      </c>
      <c r="L260" s="11">
        <f>5.8589 * CHOOSE(CONTROL!$C$32, $C$9, 100%, $E$9)</f>
        <v>5.8589000000000002</v>
      </c>
      <c r="M260" s="11">
        <f>5.8631 * CHOOSE(CONTROL!$C$32, $C$9, 100%, $E$9)</f>
        <v>5.8631000000000002</v>
      </c>
      <c r="N260" s="11">
        <f>5.8589 * CHOOSE(CONTROL!$C$32, $C$9, 100%, $E$9)</f>
        <v>5.8589000000000002</v>
      </c>
      <c r="O260" s="11">
        <f>5.8631 * CHOOSE(CONTROL!$C$32, $C$9, 100%, $E$9)</f>
        <v>5.8631000000000002</v>
      </c>
    </row>
    <row r="261" spans="1:15" ht="15" x14ac:dyDescent="0.2">
      <c r="A261" s="13">
        <v>48792</v>
      </c>
      <c r="B261" s="9">
        <f>4.5669 * CHOOSE(CONTROL!$C$32, $C$9, 100%, $E$9)</f>
        <v>4.5669000000000004</v>
      </c>
      <c r="C261" s="9">
        <f>4.5669 * CHOOSE(CONTROL!$C$32, $C$9, 100%, $E$9)</f>
        <v>4.5669000000000004</v>
      </c>
      <c r="D261" s="9">
        <f>4.5681 * CHOOSE(CONTROL!$C$32, $C$9, 100%, $E$9)</f>
        <v>4.5681000000000003</v>
      </c>
      <c r="E261" s="11">
        <f>5.8633 * CHOOSE(CONTROL!$C$32, $C$9, 100%, $E$9)</f>
        <v>5.8632999999999997</v>
      </c>
      <c r="F261" s="11">
        <f>5.8633 * CHOOSE(CONTROL!$C$32, $C$9, 100%, $E$9)</f>
        <v>5.8632999999999997</v>
      </c>
      <c r="G261" s="11">
        <f>5.8675 * CHOOSE(CONTROL!$C$32, $C$9, 100%, $E$9)</f>
        <v>5.8674999999999997</v>
      </c>
      <c r="H261" s="11">
        <f>9.6455 * CHOOSE(CONTROL!$C$32, $C$9, 100%, $E$9)</f>
        <v>9.6455000000000002</v>
      </c>
      <c r="I261" s="11">
        <f>9.6497 * CHOOSE(CONTROL!$C$32, $C$9, 100%, $E$9)</f>
        <v>9.6496999999999993</v>
      </c>
      <c r="J261" s="11">
        <f>9.6455 * CHOOSE(CONTROL!$C$32, $C$9, 100%, $E$9)</f>
        <v>9.6455000000000002</v>
      </c>
      <c r="K261" s="11">
        <f>9.6497 * CHOOSE(CONTROL!$C$32, $C$9, 100%, $E$9)</f>
        <v>9.6496999999999993</v>
      </c>
      <c r="L261" s="11">
        <f>5.8633 * CHOOSE(CONTROL!$C$32, $C$9, 100%, $E$9)</f>
        <v>5.8632999999999997</v>
      </c>
      <c r="M261" s="11">
        <f>5.8675 * CHOOSE(CONTROL!$C$32, $C$9, 100%, $E$9)</f>
        <v>5.8674999999999997</v>
      </c>
      <c r="N261" s="11">
        <f>5.8633 * CHOOSE(CONTROL!$C$32, $C$9, 100%, $E$9)</f>
        <v>5.8632999999999997</v>
      </c>
      <c r="O261" s="11">
        <f>5.8675 * CHOOSE(CONTROL!$C$32, $C$9, 100%, $E$9)</f>
        <v>5.8674999999999997</v>
      </c>
    </row>
    <row r="262" spans="1:15" ht="15" x14ac:dyDescent="0.2">
      <c r="A262" s="13">
        <v>48823</v>
      </c>
      <c r="B262" s="9">
        <f>4.5638 * CHOOSE(CONTROL!$C$32, $C$9, 100%, $E$9)</f>
        <v>4.5637999999999996</v>
      </c>
      <c r="C262" s="9">
        <f>4.5638 * CHOOSE(CONTROL!$C$32, $C$9, 100%, $E$9)</f>
        <v>4.5637999999999996</v>
      </c>
      <c r="D262" s="9">
        <f>4.5651 * CHOOSE(CONTROL!$C$32, $C$9, 100%, $E$9)</f>
        <v>4.5651000000000002</v>
      </c>
      <c r="E262" s="11">
        <f>5.8613 * CHOOSE(CONTROL!$C$32, $C$9, 100%, $E$9)</f>
        <v>5.8613</v>
      </c>
      <c r="F262" s="11">
        <f>5.8613 * CHOOSE(CONTROL!$C$32, $C$9, 100%, $E$9)</f>
        <v>5.8613</v>
      </c>
      <c r="G262" s="11">
        <f>5.8655 * CHOOSE(CONTROL!$C$32, $C$9, 100%, $E$9)</f>
        <v>5.8654999999999999</v>
      </c>
      <c r="H262" s="11">
        <f>9.6656 * CHOOSE(CONTROL!$C$32, $C$9, 100%, $E$9)</f>
        <v>9.6655999999999995</v>
      </c>
      <c r="I262" s="11">
        <f>9.6698 * CHOOSE(CONTROL!$C$32, $C$9, 100%, $E$9)</f>
        <v>9.6698000000000004</v>
      </c>
      <c r="J262" s="11">
        <f>9.6656 * CHOOSE(CONTROL!$C$32, $C$9, 100%, $E$9)</f>
        <v>9.6655999999999995</v>
      </c>
      <c r="K262" s="11">
        <f>9.6698 * CHOOSE(CONTROL!$C$32, $C$9, 100%, $E$9)</f>
        <v>9.6698000000000004</v>
      </c>
      <c r="L262" s="11">
        <f>5.8613 * CHOOSE(CONTROL!$C$32, $C$9, 100%, $E$9)</f>
        <v>5.8613</v>
      </c>
      <c r="M262" s="11">
        <f>5.8655 * CHOOSE(CONTROL!$C$32, $C$9, 100%, $E$9)</f>
        <v>5.8654999999999999</v>
      </c>
      <c r="N262" s="11">
        <f>5.8613 * CHOOSE(CONTROL!$C$32, $C$9, 100%, $E$9)</f>
        <v>5.8613</v>
      </c>
      <c r="O262" s="11">
        <f>5.8655 * CHOOSE(CONTROL!$C$32, $C$9, 100%, $E$9)</f>
        <v>5.8654999999999999</v>
      </c>
    </row>
    <row r="263" spans="1:15" ht="15" x14ac:dyDescent="0.2">
      <c r="A263" s="13">
        <v>48853</v>
      </c>
      <c r="B263" s="9">
        <f>4.561 * CHOOSE(CONTROL!$C$32, $C$9, 100%, $E$9)</f>
        <v>4.5609999999999999</v>
      </c>
      <c r="C263" s="9">
        <f>4.561 * CHOOSE(CONTROL!$C$32, $C$9, 100%, $E$9)</f>
        <v>4.5609999999999999</v>
      </c>
      <c r="D263" s="9">
        <f>4.562 * CHOOSE(CONTROL!$C$32, $C$9, 100%, $E$9)</f>
        <v>4.5620000000000003</v>
      </c>
      <c r="E263" s="11">
        <f>5.8571 * CHOOSE(CONTROL!$C$32, $C$9, 100%, $E$9)</f>
        <v>5.8571</v>
      </c>
      <c r="F263" s="11">
        <f>5.8571 * CHOOSE(CONTROL!$C$32, $C$9, 100%, $E$9)</f>
        <v>5.8571</v>
      </c>
      <c r="G263" s="11">
        <f>5.8603 * CHOOSE(CONTROL!$C$32, $C$9, 100%, $E$9)</f>
        <v>5.8602999999999996</v>
      </c>
      <c r="H263" s="11">
        <f>9.6857 * CHOOSE(CONTROL!$C$32, $C$9, 100%, $E$9)</f>
        <v>9.6857000000000006</v>
      </c>
      <c r="I263" s="11">
        <f>9.6889 * CHOOSE(CONTROL!$C$32, $C$9, 100%, $E$9)</f>
        <v>9.6889000000000003</v>
      </c>
      <c r="J263" s="11">
        <f>9.6857 * CHOOSE(CONTROL!$C$32, $C$9, 100%, $E$9)</f>
        <v>9.6857000000000006</v>
      </c>
      <c r="K263" s="11">
        <f>9.6889 * CHOOSE(CONTROL!$C$32, $C$9, 100%, $E$9)</f>
        <v>9.6889000000000003</v>
      </c>
      <c r="L263" s="11">
        <f>5.8571 * CHOOSE(CONTROL!$C$32, $C$9, 100%, $E$9)</f>
        <v>5.8571</v>
      </c>
      <c r="M263" s="11">
        <f>5.8603 * CHOOSE(CONTROL!$C$32, $C$9, 100%, $E$9)</f>
        <v>5.8602999999999996</v>
      </c>
      <c r="N263" s="11">
        <f>5.8571 * CHOOSE(CONTROL!$C$32, $C$9, 100%, $E$9)</f>
        <v>5.8571</v>
      </c>
      <c r="O263" s="11">
        <f>5.8603 * CHOOSE(CONTROL!$C$32, $C$9, 100%, $E$9)</f>
        <v>5.8602999999999996</v>
      </c>
    </row>
    <row r="264" spans="1:15" ht="15" x14ac:dyDescent="0.2">
      <c r="A264" s="13">
        <v>48884</v>
      </c>
      <c r="B264" s="9">
        <f>4.564 * CHOOSE(CONTROL!$C$32, $C$9, 100%, $E$9)</f>
        <v>4.5640000000000001</v>
      </c>
      <c r="C264" s="9">
        <f>4.564 * CHOOSE(CONTROL!$C$32, $C$9, 100%, $E$9)</f>
        <v>4.5640000000000001</v>
      </c>
      <c r="D264" s="9">
        <f>4.565 * CHOOSE(CONTROL!$C$32, $C$9, 100%, $E$9)</f>
        <v>4.5650000000000004</v>
      </c>
      <c r="E264" s="11">
        <f>5.8591 * CHOOSE(CONTROL!$C$32, $C$9, 100%, $E$9)</f>
        <v>5.8590999999999998</v>
      </c>
      <c r="F264" s="11">
        <f>5.8591 * CHOOSE(CONTROL!$C$32, $C$9, 100%, $E$9)</f>
        <v>5.8590999999999998</v>
      </c>
      <c r="G264" s="11">
        <f>5.8623 * CHOOSE(CONTROL!$C$32, $C$9, 100%, $E$9)</f>
        <v>5.8623000000000003</v>
      </c>
      <c r="H264" s="11">
        <f>9.7059 * CHOOSE(CONTROL!$C$32, $C$9, 100%, $E$9)</f>
        <v>9.7058999999999997</v>
      </c>
      <c r="I264" s="11">
        <f>9.7091 * CHOOSE(CONTROL!$C$32, $C$9, 100%, $E$9)</f>
        <v>9.7090999999999994</v>
      </c>
      <c r="J264" s="11">
        <f>9.7059 * CHOOSE(CONTROL!$C$32, $C$9, 100%, $E$9)</f>
        <v>9.7058999999999997</v>
      </c>
      <c r="K264" s="11">
        <f>9.7091 * CHOOSE(CONTROL!$C$32, $C$9, 100%, $E$9)</f>
        <v>9.7090999999999994</v>
      </c>
      <c r="L264" s="11">
        <f>5.8591 * CHOOSE(CONTROL!$C$32, $C$9, 100%, $E$9)</f>
        <v>5.8590999999999998</v>
      </c>
      <c r="M264" s="11">
        <f>5.8623 * CHOOSE(CONTROL!$C$32, $C$9, 100%, $E$9)</f>
        <v>5.8623000000000003</v>
      </c>
      <c r="N264" s="11">
        <f>5.8591 * CHOOSE(CONTROL!$C$32, $C$9, 100%, $E$9)</f>
        <v>5.8590999999999998</v>
      </c>
      <c r="O264" s="11">
        <f>5.8623 * CHOOSE(CONTROL!$C$32, $C$9, 100%, $E$9)</f>
        <v>5.8623000000000003</v>
      </c>
    </row>
    <row r="265" spans="1:15" ht="15" x14ac:dyDescent="0.2">
      <c r="A265" s="13">
        <v>48914</v>
      </c>
      <c r="B265" s="9">
        <f>4.564 * CHOOSE(CONTROL!$C$32, $C$9, 100%, $E$9)</f>
        <v>4.5640000000000001</v>
      </c>
      <c r="C265" s="9">
        <f>4.564 * CHOOSE(CONTROL!$C$32, $C$9, 100%, $E$9)</f>
        <v>4.5640000000000001</v>
      </c>
      <c r="D265" s="9">
        <f>4.565 * CHOOSE(CONTROL!$C$32, $C$9, 100%, $E$9)</f>
        <v>4.5650000000000004</v>
      </c>
      <c r="E265" s="11">
        <f>5.8591 * CHOOSE(CONTROL!$C$32, $C$9, 100%, $E$9)</f>
        <v>5.8590999999999998</v>
      </c>
      <c r="F265" s="11">
        <f>5.8591 * CHOOSE(CONTROL!$C$32, $C$9, 100%, $E$9)</f>
        <v>5.8590999999999998</v>
      </c>
      <c r="G265" s="11">
        <f>5.8623 * CHOOSE(CONTROL!$C$32, $C$9, 100%, $E$9)</f>
        <v>5.8623000000000003</v>
      </c>
      <c r="H265" s="11">
        <f>9.7261 * CHOOSE(CONTROL!$C$32, $C$9, 100%, $E$9)</f>
        <v>9.7261000000000006</v>
      </c>
      <c r="I265" s="11">
        <f>9.7293 * CHOOSE(CONTROL!$C$32, $C$9, 100%, $E$9)</f>
        <v>9.7293000000000003</v>
      </c>
      <c r="J265" s="11">
        <f>9.7261 * CHOOSE(CONTROL!$C$32, $C$9, 100%, $E$9)</f>
        <v>9.7261000000000006</v>
      </c>
      <c r="K265" s="11">
        <f>9.7293 * CHOOSE(CONTROL!$C$32, $C$9, 100%, $E$9)</f>
        <v>9.7293000000000003</v>
      </c>
      <c r="L265" s="11">
        <f>5.8591 * CHOOSE(CONTROL!$C$32, $C$9, 100%, $E$9)</f>
        <v>5.8590999999999998</v>
      </c>
      <c r="M265" s="11">
        <f>5.8623 * CHOOSE(CONTROL!$C$32, $C$9, 100%, $E$9)</f>
        <v>5.8623000000000003</v>
      </c>
      <c r="N265" s="11">
        <f>5.8591 * CHOOSE(CONTROL!$C$32, $C$9, 100%, $E$9)</f>
        <v>5.8590999999999998</v>
      </c>
      <c r="O265" s="11">
        <f>5.8623 * CHOOSE(CONTROL!$C$32, $C$9, 100%, $E$9)</f>
        <v>5.8623000000000003</v>
      </c>
    </row>
    <row r="266" spans="1:15" ht="15" x14ac:dyDescent="0.2">
      <c r="A266" s="13">
        <v>48945</v>
      </c>
      <c r="B266" s="9">
        <f>4.6027 * CHOOSE(CONTROL!$C$32, $C$9, 100%, $E$9)</f>
        <v>4.6026999999999996</v>
      </c>
      <c r="C266" s="9">
        <f>4.6027 * CHOOSE(CONTROL!$C$32, $C$9, 100%, $E$9)</f>
        <v>4.6026999999999996</v>
      </c>
      <c r="D266" s="9">
        <f>4.6036 * CHOOSE(CONTROL!$C$32, $C$9, 100%, $E$9)</f>
        <v>4.6036000000000001</v>
      </c>
      <c r="E266" s="11">
        <f>5.9092 * CHOOSE(CONTROL!$C$32, $C$9, 100%, $E$9)</f>
        <v>5.9092000000000002</v>
      </c>
      <c r="F266" s="11">
        <f>5.9092 * CHOOSE(CONTROL!$C$32, $C$9, 100%, $E$9)</f>
        <v>5.9092000000000002</v>
      </c>
      <c r="G266" s="11">
        <f>5.9125 * CHOOSE(CONTROL!$C$32, $C$9, 100%, $E$9)</f>
        <v>5.9124999999999996</v>
      </c>
      <c r="H266" s="11">
        <f>9.7464 * CHOOSE(CONTROL!$C$32, $C$9, 100%, $E$9)</f>
        <v>9.7463999999999995</v>
      </c>
      <c r="I266" s="11">
        <f>9.7496 * CHOOSE(CONTROL!$C$32, $C$9, 100%, $E$9)</f>
        <v>9.7495999999999992</v>
      </c>
      <c r="J266" s="11">
        <f>9.7464 * CHOOSE(CONTROL!$C$32, $C$9, 100%, $E$9)</f>
        <v>9.7463999999999995</v>
      </c>
      <c r="K266" s="11">
        <f>9.7496 * CHOOSE(CONTROL!$C$32, $C$9, 100%, $E$9)</f>
        <v>9.7495999999999992</v>
      </c>
      <c r="L266" s="11">
        <f>5.9092 * CHOOSE(CONTROL!$C$32, $C$9, 100%, $E$9)</f>
        <v>5.9092000000000002</v>
      </c>
      <c r="M266" s="11">
        <f>5.9125 * CHOOSE(CONTROL!$C$32, $C$9, 100%, $E$9)</f>
        <v>5.9124999999999996</v>
      </c>
      <c r="N266" s="11">
        <f>5.9092 * CHOOSE(CONTROL!$C$32, $C$9, 100%, $E$9)</f>
        <v>5.9092000000000002</v>
      </c>
      <c r="O266" s="11">
        <f>5.9125 * CHOOSE(CONTROL!$C$32, $C$9, 100%, $E$9)</f>
        <v>5.9124999999999996</v>
      </c>
    </row>
    <row r="267" spans="1:15" ht="15" x14ac:dyDescent="0.2">
      <c r="A267" s="13">
        <v>48976</v>
      </c>
      <c r="B267" s="9">
        <f>4.5996 * CHOOSE(CONTROL!$C$32, $C$9, 100%, $E$9)</f>
        <v>4.5995999999999997</v>
      </c>
      <c r="C267" s="9">
        <f>4.5996 * CHOOSE(CONTROL!$C$32, $C$9, 100%, $E$9)</f>
        <v>4.5995999999999997</v>
      </c>
      <c r="D267" s="9">
        <f>4.6006 * CHOOSE(CONTROL!$C$32, $C$9, 100%, $E$9)</f>
        <v>4.6006</v>
      </c>
      <c r="E267" s="11">
        <f>5.9072 * CHOOSE(CONTROL!$C$32, $C$9, 100%, $E$9)</f>
        <v>5.9071999999999996</v>
      </c>
      <c r="F267" s="11">
        <f>5.9072 * CHOOSE(CONTROL!$C$32, $C$9, 100%, $E$9)</f>
        <v>5.9071999999999996</v>
      </c>
      <c r="G267" s="11">
        <f>5.9105 * CHOOSE(CONTROL!$C$32, $C$9, 100%, $E$9)</f>
        <v>5.9104999999999999</v>
      </c>
      <c r="H267" s="11">
        <f>9.7667 * CHOOSE(CONTROL!$C$32, $C$9, 100%, $E$9)</f>
        <v>9.7667000000000002</v>
      </c>
      <c r="I267" s="11">
        <f>9.7699 * CHOOSE(CONTROL!$C$32, $C$9, 100%, $E$9)</f>
        <v>9.7698999999999998</v>
      </c>
      <c r="J267" s="11">
        <f>9.7667 * CHOOSE(CONTROL!$C$32, $C$9, 100%, $E$9)</f>
        <v>9.7667000000000002</v>
      </c>
      <c r="K267" s="11">
        <f>9.7699 * CHOOSE(CONTROL!$C$32, $C$9, 100%, $E$9)</f>
        <v>9.7698999999999998</v>
      </c>
      <c r="L267" s="11">
        <f>5.9072 * CHOOSE(CONTROL!$C$32, $C$9, 100%, $E$9)</f>
        <v>5.9071999999999996</v>
      </c>
      <c r="M267" s="11">
        <f>5.9105 * CHOOSE(CONTROL!$C$32, $C$9, 100%, $E$9)</f>
        <v>5.9104999999999999</v>
      </c>
      <c r="N267" s="11">
        <f>5.9072 * CHOOSE(CONTROL!$C$32, $C$9, 100%, $E$9)</f>
        <v>5.9071999999999996</v>
      </c>
      <c r="O267" s="11">
        <f>5.9105 * CHOOSE(CONTROL!$C$32, $C$9, 100%, $E$9)</f>
        <v>5.9104999999999999</v>
      </c>
    </row>
    <row r="268" spans="1:15" ht="15" x14ac:dyDescent="0.2">
      <c r="A268" s="13">
        <v>49004</v>
      </c>
      <c r="B268" s="9">
        <f>4.5966 * CHOOSE(CONTROL!$C$32, $C$9, 100%, $E$9)</f>
        <v>4.5965999999999996</v>
      </c>
      <c r="C268" s="9">
        <f>4.5966 * CHOOSE(CONTROL!$C$32, $C$9, 100%, $E$9)</f>
        <v>4.5965999999999996</v>
      </c>
      <c r="D268" s="9">
        <f>4.5975 * CHOOSE(CONTROL!$C$32, $C$9, 100%, $E$9)</f>
        <v>4.5975000000000001</v>
      </c>
      <c r="E268" s="11">
        <f>5.9052 * CHOOSE(CONTROL!$C$32, $C$9, 100%, $E$9)</f>
        <v>5.9051999999999998</v>
      </c>
      <c r="F268" s="11">
        <f>5.9052 * CHOOSE(CONTROL!$C$32, $C$9, 100%, $E$9)</f>
        <v>5.9051999999999998</v>
      </c>
      <c r="G268" s="11">
        <f>5.9085 * CHOOSE(CONTROL!$C$32, $C$9, 100%, $E$9)</f>
        <v>5.9085000000000001</v>
      </c>
      <c r="H268" s="11">
        <f>9.787 * CHOOSE(CONTROL!$C$32, $C$9, 100%, $E$9)</f>
        <v>9.7870000000000008</v>
      </c>
      <c r="I268" s="11">
        <f>9.7902 * CHOOSE(CONTROL!$C$32, $C$9, 100%, $E$9)</f>
        <v>9.7902000000000005</v>
      </c>
      <c r="J268" s="11">
        <f>9.787 * CHOOSE(CONTROL!$C$32, $C$9, 100%, $E$9)</f>
        <v>9.7870000000000008</v>
      </c>
      <c r="K268" s="11">
        <f>9.7902 * CHOOSE(CONTROL!$C$32, $C$9, 100%, $E$9)</f>
        <v>9.7902000000000005</v>
      </c>
      <c r="L268" s="11">
        <f>5.9052 * CHOOSE(CONTROL!$C$32, $C$9, 100%, $E$9)</f>
        <v>5.9051999999999998</v>
      </c>
      <c r="M268" s="11">
        <f>5.9085 * CHOOSE(CONTROL!$C$32, $C$9, 100%, $E$9)</f>
        <v>5.9085000000000001</v>
      </c>
      <c r="N268" s="11">
        <f>5.9052 * CHOOSE(CONTROL!$C$32, $C$9, 100%, $E$9)</f>
        <v>5.9051999999999998</v>
      </c>
      <c r="O268" s="11">
        <f>5.9085 * CHOOSE(CONTROL!$C$32, $C$9, 100%, $E$9)</f>
        <v>5.9085000000000001</v>
      </c>
    </row>
    <row r="269" spans="1:15" ht="15" x14ac:dyDescent="0.2">
      <c r="A269" s="13">
        <v>49035</v>
      </c>
      <c r="B269" s="9">
        <f>4.5948 * CHOOSE(CONTROL!$C$32, $C$9, 100%, $E$9)</f>
        <v>4.5948000000000002</v>
      </c>
      <c r="C269" s="9">
        <f>4.5948 * CHOOSE(CONTROL!$C$32, $C$9, 100%, $E$9)</f>
        <v>4.5948000000000002</v>
      </c>
      <c r="D269" s="9">
        <f>4.5958 * CHOOSE(CONTROL!$C$32, $C$9, 100%, $E$9)</f>
        <v>4.5957999999999997</v>
      </c>
      <c r="E269" s="11">
        <f>5.9035 * CHOOSE(CONTROL!$C$32, $C$9, 100%, $E$9)</f>
        <v>5.9035000000000002</v>
      </c>
      <c r="F269" s="11">
        <f>5.9035 * CHOOSE(CONTROL!$C$32, $C$9, 100%, $E$9)</f>
        <v>5.9035000000000002</v>
      </c>
      <c r="G269" s="11">
        <f>5.9067 * CHOOSE(CONTROL!$C$32, $C$9, 100%, $E$9)</f>
        <v>5.9066999999999998</v>
      </c>
      <c r="H269" s="11">
        <f>9.8074 * CHOOSE(CONTROL!$C$32, $C$9, 100%, $E$9)</f>
        <v>9.8073999999999995</v>
      </c>
      <c r="I269" s="11">
        <f>9.8106 * CHOOSE(CONTROL!$C$32, $C$9, 100%, $E$9)</f>
        <v>9.8106000000000009</v>
      </c>
      <c r="J269" s="11">
        <f>9.8074 * CHOOSE(CONTROL!$C$32, $C$9, 100%, $E$9)</f>
        <v>9.8073999999999995</v>
      </c>
      <c r="K269" s="11">
        <f>9.8106 * CHOOSE(CONTROL!$C$32, $C$9, 100%, $E$9)</f>
        <v>9.8106000000000009</v>
      </c>
      <c r="L269" s="11">
        <f>5.9035 * CHOOSE(CONTROL!$C$32, $C$9, 100%, $E$9)</f>
        <v>5.9035000000000002</v>
      </c>
      <c r="M269" s="11">
        <f>5.9067 * CHOOSE(CONTROL!$C$32, $C$9, 100%, $E$9)</f>
        <v>5.9066999999999998</v>
      </c>
      <c r="N269" s="11">
        <f>5.9035 * CHOOSE(CONTROL!$C$32, $C$9, 100%, $E$9)</f>
        <v>5.9035000000000002</v>
      </c>
      <c r="O269" s="11">
        <f>5.9067 * CHOOSE(CONTROL!$C$32, $C$9, 100%, $E$9)</f>
        <v>5.9066999999999998</v>
      </c>
    </row>
    <row r="270" spans="1:15" ht="15" x14ac:dyDescent="0.2">
      <c r="A270" s="13">
        <v>49065</v>
      </c>
      <c r="B270" s="9">
        <f>4.5948 * CHOOSE(CONTROL!$C$32, $C$9, 100%, $E$9)</f>
        <v>4.5948000000000002</v>
      </c>
      <c r="C270" s="9">
        <f>4.5948 * CHOOSE(CONTROL!$C$32, $C$9, 100%, $E$9)</f>
        <v>4.5948000000000002</v>
      </c>
      <c r="D270" s="9">
        <f>4.5961 * CHOOSE(CONTROL!$C$32, $C$9, 100%, $E$9)</f>
        <v>4.5960999999999999</v>
      </c>
      <c r="E270" s="11">
        <f>5.9035 * CHOOSE(CONTROL!$C$32, $C$9, 100%, $E$9)</f>
        <v>5.9035000000000002</v>
      </c>
      <c r="F270" s="11">
        <f>5.9035 * CHOOSE(CONTROL!$C$32, $C$9, 100%, $E$9)</f>
        <v>5.9035000000000002</v>
      </c>
      <c r="G270" s="11">
        <f>5.9077 * CHOOSE(CONTROL!$C$32, $C$9, 100%, $E$9)</f>
        <v>5.9077000000000002</v>
      </c>
      <c r="H270" s="11">
        <f>9.8278 * CHOOSE(CONTROL!$C$32, $C$9, 100%, $E$9)</f>
        <v>9.8277999999999999</v>
      </c>
      <c r="I270" s="11">
        <f>9.832 * CHOOSE(CONTROL!$C$32, $C$9, 100%, $E$9)</f>
        <v>9.8320000000000007</v>
      </c>
      <c r="J270" s="11">
        <f>9.8278 * CHOOSE(CONTROL!$C$32, $C$9, 100%, $E$9)</f>
        <v>9.8277999999999999</v>
      </c>
      <c r="K270" s="11">
        <f>9.832 * CHOOSE(CONTROL!$C$32, $C$9, 100%, $E$9)</f>
        <v>9.8320000000000007</v>
      </c>
      <c r="L270" s="11">
        <f>5.9035 * CHOOSE(CONTROL!$C$32, $C$9, 100%, $E$9)</f>
        <v>5.9035000000000002</v>
      </c>
      <c r="M270" s="11">
        <f>5.9077 * CHOOSE(CONTROL!$C$32, $C$9, 100%, $E$9)</f>
        <v>5.9077000000000002</v>
      </c>
      <c r="N270" s="11">
        <f>5.9035 * CHOOSE(CONTROL!$C$32, $C$9, 100%, $E$9)</f>
        <v>5.9035000000000002</v>
      </c>
      <c r="O270" s="11">
        <f>5.9077 * CHOOSE(CONTROL!$C$32, $C$9, 100%, $E$9)</f>
        <v>5.9077000000000002</v>
      </c>
    </row>
    <row r="271" spans="1:15" ht="15" x14ac:dyDescent="0.2">
      <c r="A271" s="13">
        <v>49096</v>
      </c>
      <c r="B271" s="9">
        <f>4.6009 * CHOOSE(CONTROL!$C$32, $C$9, 100%, $E$9)</f>
        <v>4.6009000000000002</v>
      </c>
      <c r="C271" s="9">
        <f>4.6009 * CHOOSE(CONTROL!$C$32, $C$9, 100%, $E$9)</f>
        <v>4.6009000000000002</v>
      </c>
      <c r="D271" s="9">
        <f>4.6021 * CHOOSE(CONTROL!$C$32, $C$9, 100%, $E$9)</f>
        <v>4.6021000000000001</v>
      </c>
      <c r="E271" s="11">
        <f>5.9075 * CHOOSE(CONTROL!$C$32, $C$9, 100%, $E$9)</f>
        <v>5.9074999999999998</v>
      </c>
      <c r="F271" s="11">
        <f>5.9075 * CHOOSE(CONTROL!$C$32, $C$9, 100%, $E$9)</f>
        <v>5.9074999999999998</v>
      </c>
      <c r="G271" s="11">
        <f>5.9117 * CHOOSE(CONTROL!$C$32, $C$9, 100%, $E$9)</f>
        <v>5.9116999999999997</v>
      </c>
      <c r="H271" s="11">
        <f>9.8483 * CHOOSE(CONTROL!$C$32, $C$9, 100%, $E$9)</f>
        <v>9.8483000000000001</v>
      </c>
      <c r="I271" s="11">
        <f>9.8525 * CHOOSE(CONTROL!$C$32, $C$9, 100%, $E$9)</f>
        <v>9.8524999999999991</v>
      </c>
      <c r="J271" s="11">
        <f>9.8483 * CHOOSE(CONTROL!$C$32, $C$9, 100%, $E$9)</f>
        <v>9.8483000000000001</v>
      </c>
      <c r="K271" s="11">
        <f>9.8525 * CHOOSE(CONTROL!$C$32, $C$9, 100%, $E$9)</f>
        <v>9.8524999999999991</v>
      </c>
      <c r="L271" s="11">
        <f>5.9075 * CHOOSE(CONTROL!$C$32, $C$9, 100%, $E$9)</f>
        <v>5.9074999999999998</v>
      </c>
      <c r="M271" s="11">
        <f>5.9117 * CHOOSE(CONTROL!$C$32, $C$9, 100%, $E$9)</f>
        <v>5.9116999999999997</v>
      </c>
      <c r="N271" s="11">
        <f>5.9075 * CHOOSE(CONTROL!$C$32, $C$9, 100%, $E$9)</f>
        <v>5.9074999999999998</v>
      </c>
      <c r="O271" s="11">
        <f>5.9117 * CHOOSE(CONTROL!$C$32, $C$9, 100%, $E$9)</f>
        <v>5.9116999999999997</v>
      </c>
    </row>
    <row r="272" spans="1:15" ht="15" x14ac:dyDescent="0.2">
      <c r="A272" s="13">
        <v>49126</v>
      </c>
      <c r="B272" s="9">
        <f>4.6716 * CHOOSE(CONTROL!$C$32, $C$9, 100%, $E$9)</f>
        <v>4.6715999999999998</v>
      </c>
      <c r="C272" s="9">
        <f>4.6716 * CHOOSE(CONTROL!$C$32, $C$9, 100%, $E$9)</f>
        <v>4.6715999999999998</v>
      </c>
      <c r="D272" s="9">
        <f>4.6728 * CHOOSE(CONTROL!$C$32, $C$9, 100%, $E$9)</f>
        <v>4.6727999999999996</v>
      </c>
      <c r="E272" s="11">
        <f>6.0182 * CHOOSE(CONTROL!$C$32, $C$9, 100%, $E$9)</f>
        <v>6.0182000000000002</v>
      </c>
      <c r="F272" s="11">
        <f>6.0182 * CHOOSE(CONTROL!$C$32, $C$9, 100%, $E$9)</f>
        <v>6.0182000000000002</v>
      </c>
      <c r="G272" s="11">
        <f>6.0224 * CHOOSE(CONTROL!$C$32, $C$9, 100%, $E$9)</f>
        <v>6.0224000000000002</v>
      </c>
      <c r="H272" s="11">
        <f>9.8688 * CHOOSE(CONTROL!$C$32, $C$9, 100%, $E$9)</f>
        <v>9.8688000000000002</v>
      </c>
      <c r="I272" s="11">
        <f>9.873 * CHOOSE(CONTROL!$C$32, $C$9, 100%, $E$9)</f>
        <v>9.8729999999999993</v>
      </c>
      <c r="J272" s="11">
        <f>9.8688 * CHOOSE(CONTROL!$C$32, $C$9, 100%, $E$9)</f>
        <v>9.8688000000000002</v>
      </c>
      <c r="K272" s="11">
        <f>9.873 * CHOOSE(CONTROL!$C$32, $C$9, 100%, $E$9)</f>
        <v>9.8729999999999993</v>
      </c>
      <c r="L272" s="11">
        <f>6.0182 * CHOOSE(CONTROL!$C$32, $C$9, 100%, $E$9)</f>
        <v>6.0182000000000002</v>
      </c>
      <c r="M272" s="11">
        <f>6.0224 * CHOOSE(CONTROL!$C$32, $C$9, 100%, $E$9)</f>
        <v>6.0224000000000002</v>
      </c>
      <c r="N272" s="11">
        <f>6.0182 * CHOOSE(CONTROL!$C$32, $C$9, 100%, $E$9)</f>
        <v>6.0182000000000002</v>
      </c>
      <c r="O272" s="11">
        <f>6.0224 * CHOOSE(CONTROL!$C$32, $C$9, 100%, $E$9)</f>
        <v>6.0224000000000002</v>
      </c>
    </row>
    <row r="273" spans="1:15" ht="15" x14ac:dyDescent="0.2">
      <c r="A273" s="13">
        <v>49157</v>
      </c>
      <c r="B273" s="9">
        <f>4.6783 * CHOOSE(CONTROL!$C$32, $C$9, 100%, $E$9)</f>
        <v>4.6783000000000001</v>
      </c>
      <c r="C273" s="9">
        <f>4.6783 * CHOOSE(CONTROL!$C$32, $C$9, 100%, $E$9)</f>
        <v>4.6783000000000001</v>
      </c>
      <c r="D273" s="9">
        <f>4.6795 * CHOOSE(CONTROL!$C$32, $C$9, 100%, $E$9)</f>
        <v>4.6795</v>
      </c>
      <c r="E273" s="11">
        <f>6.0226 * CHOOSE(CONTROL!$C$32, $C$9, 100%, $E$9)</f>
        <v>6.0225999999999997</v>
      </c>
      <c r="F273" s="11">
        <f>6.0226 * CHOOSE(CONTROL!$C$32, $C$9, 100%, $E$9)</f>
        <v>6.0225999999999997</v>
      </c>
      <c r="G273" s="11">
        <f>6.0268 * CHOOSE(CONTROL!$C$32, $C$9, 100%, $E$9)</f>
        <v>6.0267999999999997</v>
      </c>
      <c r="H273" s="11">
        <f>9.8894 * CHOOSE(CONTROL!$C$32, $C$9, 100%, $E$9)</f>
        <v>9.8894000000000002</v>
      </c>
      <c r="I273" s="11">
        <f>9.8936 * CHOOSE(CONTROL!$C$32, $C$9, 100%, $E$9)</f>
        <v>9.8935999999999993</v>
      </c>
      <c r="J273" s="11">
        <f>9.8894 * CHOOSE(CONTROL!$C$32, $C$9, 100%, $E$9)</f>
        <v>9.8894000000000002</v>
      </c>
      <c r="K273" s="11">
        <f>9.8936 * CHOOSE(CONTROL!$C$32, $C$9, 100%, $E$9)</f>
        <v>9.8935999999999993</v>
      </c>
      <c r="L273" s="11">
        <f>6.0226 * CHOOSE(CONTROL!$C$32, $C$9, 100%, $E$9)</f>
        <v>6.0225999999999997</v>
      </c>
      <c r="M273" s="11">
        <f>6.0268 * CHOOSE(CONTROL!$C$32, $C$9, 100%, $E$9)</f>
        <v>6.0267999999999997</v>
      </c>
      <c r="N273" s="11">
        <f>6.0226 * CHOOSE(CONTROL!$C$32, $C$9, 100%, $E$9)</f>
        <v>6.0225999999999997</v>
      </c>
      <c r="O273" s="11">
        <f>6.0268 * CHOOSE(CONTROL!$C$32, $C$9, 100%, $E$9)</f>
        <v>6.0267999999999997</v>
      </c>
    </row>
    <row r="274" spans="1:15" ht="15" x14ac:dyDescent="0.2">
      <c r="A274" s="13">
        <v>49188</v>
      </c>
      <c r="B274" s="9">
        <f>4.6752 * CHOOSE(CONTROL!$C$32, $C$9, 100%, $E$9)</f>
        <v>4.6752000000000002</v>
      </c>
      <c r="C274" s="9">
        <f>4.6752 * CHOOSE(CONTROL!$C$32, $C$9, 100%, $E$9)</f>
        <v>4.6752000000000002</v>
      </c>
      <c r="D274" s="9">
        <f>4.6765 * CHOOSE(CONTROL!$C$32, $C$9, 100%, $E$9)</f>
        <v>4.6764999999999999</v>
      </c>
      <c r="E274" s="11">
        <f>6.0206 * CHOOSE(CONTROL!$C$32, $C$9, 100%, $E$9)</f>
        <v>6.0206</v>
      </c>
      <c r="F274" s="11">
        <f>6.0206 * CHOOSE(CONTROL!$C$32, $C$9, 100%, $E$9)</f>
        <v>6.0206</v>
      </c>
      <c r="G274" s="11">
        <f>6.0248 * CHOOSE(CONTROL!$C$32, $C$9, 100%, $E$9)</f>
        <v>6.0247999999999999</v>
      </c>
      <c r="H274" s="11">
        <f>9.91 * CHOOSE(CONTROL!$C$32, $C$9, 100%, $E$9)</f>
        <v>9.91</v>
      </c>
      <c r="I274" s="11">
        <f>9.9142 * CHOOSE(CONTROL!$C$32, $C$9, 100%, $E$9)</f>
        <v>9.9141999999999992</v>
      </c>
      <c r="J274" s="11">
        <f>9.91 * CHOOSE(CONTROL!$C$32, $C$9, 100%, $E$9)</f>
        <v>9.91</v>
      </c>
      <c r="K274" s="11">
        <f>9.9142 * CHOOSE(CONTROL!$C$32, $C$9, 100%, $E$9)</f>
        <v>9.9141999999999992</v>
      </c>
      <c r="L274" s="11">
        <f>6.0206 * CHOOSE(CONTROL!$C$32, $C$9, 100%, $E$9)</f>
        <v>6.0206</v>
      </c>
      <c r="M274" s="11">
        <f>6.0248 * CHOOSE(CONTROL!$C$32, $C$9, 100%, $E$9)</f>
        <v>6.0247999999999999</v>
      </c>
      <c r="N274" s="11">
        <f>6.0206 * CHOOSE(CONTROL!$C$32, $C$9, 100%, $E$9)</f>
        <v>6.0206</v>
      </c>
      <c r="O274" s="11">
        <f>6.0248 * CHOOSE(CONTROL!$C$32, $C$9, 100%, $E$9)</f>
        <v>6.0247999999999999</v>
      </c>
    </row>
    <row r="275" spans="1:15" ht="15" x14ac:dyDescent="0.2">
      <c r="A275" s="13">
        <v>49218</v>
      </c>
      <c r="B275" s="9">
        <f>4.6728 * CHOOSE(CONTROL!$C$32, $C$9, 100%, $E$9)</f>
        <v>4.6727999999999996</v>
      </c>
      <c r="C275" s="9">
        <f>4.6728 * CHOOSE(CONTROL!$C$32, $C$9, 100%, $E$9)</f>
        <v>4.6727999999999996</v>
      </c>
      <c r="D275" s="9">
        <f>4.6737 * CHOOSE(CONTROL!$C$32, $C$9, 100%, $E$9)</f>
        <v>4.6737000000000002</v>
      </c>
      <c r="E275" s="11">
        <f>6.0166 * CHOOSE(CONTROL!$C$32, $C$9, 100%, $E$9)</f>
        <v>6.0166000000000004</v>
      </c>
      <c r="F275" s="11">
        <f>6.0166 * CHOOSE(CONTROL!$C$32, $C$9, 100%, $E$9)</f>
        <v>6.0166000000000004</v>
      </c>
      <c r="G275" s="11">
        <f>6.0198 * CHOOSE(CONTROL!$C$32, $C$9, 100%, $E$9)</f>
        <v>6.0198</v>
      </c>
      <c r="H275" s="11">
        <f>9.9306 * CHOOSE(CONTROL!$C$32, $C$9, 100%, $E$9)</f>
        <v>9.9306000000000001</v>
      </c>
      <c r="I275" s="11">
        <f>9.9339 * CHOOSE(CONTROL!$C$32, $C$9, 100%, $E$9)</f>
        <v>9.9338999999999995</v>
      </c>
      <c r="J275" s="11">
        <f>9.9306 * CHOOSE(CONTROL!$C$32, $C$9, 100%, $E$9)</f>
        <v>9.9306000000000001</v>
      </c>
      <c r="K275" s="11">
        <f>9.9339 * CHOOSE(CONTROL!$C$32, $C$9, 100%, $E$9)</f>
        <v>9.9338999999999995</v>
      </c>
      <c r="L275" s="11">
        <f>6.0166 * CHOOSE(CONTROL!$C$32, $C$9, 100%, $E$9)</f>
        <v>6.0166000000000004</v>
      </c>
      <c r="M275" s="11">
        <f>6.0198 * CHOOSE(CONTROL!$C$32, $C$9, 100%, $E$9)</f>
        <v>6.0198</v>
      </c>
      <c r="N275" s="11">
        <f>6.0166 * CHOOSE(CONTROL!$C$32, $C$9, 100%, $E$9)</f>
        <v>6.0166000000000004</v>
      </c>
      <c r="O275" s="11">
        <f>6.0198 * CHOOSE(CONTROL!$C$32, $C$9, 100%, $E$9)</f>
        <v>6.0198</v>
      </c>
    </row>
    <row r="276" spans="1:15" ht="15" x14ac:dyDescent="0.2">
      <c r="A276" s="13">
        <v>49249</v>
      </c>
      <c r="B276" s="9">
        <f>4.6758 * CHOOSE(CONTROL!$C$32, $C$9, 100%, $E$9)</f>
        <v>4.6757999999999997</v>
      </c>
      <c r="C276" s="9">
        <f>4.6758 * CHOOSE(CONTROL!$C$32, $C$9, 100%, $E$9)</f>
        <v>4.6757999999999997</v>
      </c>
      <c r="D276" s="9">
        <f>4.6768 * CHOOSE(CONTROL!$C$32, $C$9, 100%, $E$9)</f>
        <v>4.6768000000000001</v>
      </c>
      <c r="E276" s="11">
        <f>6.0186 * CHOOSE(CONTROL!$C$32, $C$9, 100%, $E$9)</f>
        <v>6.0186000000000002</v>
      </c>
      <c r="F276" s="11">
        <f>6.0186 * CHOOSE(CONTROL!$C$32, $C$9, 100%, $E$9)</f>
        <v>6.0186000000000002</v>
      </c>
      <c r="G276" s="11">
        <f>6.0218 * CHOOSE(CONTROL!$C$32, $C$9, 100%, $E$9)</f>
        <v>6.0217999999999998</v>
      </c>
      <c r="H276" s="11">
        <f>9.9513 * CHOOSE(CONTROL!$C$32, $C$9, 100%, $E$9)</f>
        <v>9.9512999999999998</v>
      </c>
      <c r="I276" s="11">
        <f>9.9545 * CHOOSE(CONTROL!$C$32, $C$9, 100%, $E$9)</f>
        <v>9.9544999999999995</v>
      </c>
      <c r="J276" s="11">
        <f>9.9513 * CHOOSE(CONTROL!$C$32, $C$9, 100%, $E$9)</f>
        <v>9.9512999999999998</v>
      </c>
      <c r="K276" s="11">
        <f>9.9545 * CHOOSE(CONTROL!$C$32, $C$9, 100%, $E$9)</f>
        <v>9.9544999999999995</v>
      </c>
      <c r="L276" s="11">
        <f>6.0186 * CHOOSE(CONTROL!$C$32, $C$9, 100%, $E$9)</f>
        <v>6.0186000000000002</v>
      </c>
      <c r="M276" s="11">
        <f>6.0218 * CHOOSE(CONTROL!$C$32, $C$9, 100%, $E$9)</f>
        <v>6.0217999999999998</v>
      </c>
      <c r="N276" s="11">
        <f>6.0186 * CHOOSE(CONTROL!$C$32, $C$9, 100%, $E$9)</f>
        <v>6.0186000000000002</v>
      </c>
      <c r="O276" s="11">
        <f>6.0218 * CHOOSE(CONTROL!$C$32, $C$9, 100%, $E$9)</f>
        <v>6.0217999999999998</v>
      </c>
    </row>
    <row r="277" spans="1:15" ht="15" x14ac:dyDescent="0.2">
      <c r="A277" s="13">
        <v>49279</v>
      </c>
      <c r="B277" s="9">
        <f>4.6758 * CHOOSE(CONTROL!$C$32, $C$9, 100%, $E$9)</f>
        <v>4.6757999999999997</v>
      </c>
      <c r="C277" s="9">
        <f>4.6758 * CHOOSE(CONTROL!$C$32, $C$9, 100%, $E$9)</f>
        <v>4.6757999999999997</v>
      </c>
      <c r="D277" s="9">
        <f>4.6768 * CHOOSE(CONTROL!$C$32, $C$9, 100%, $E$9)</f>
        <v>4.6768000000000001</v>
      </c>
      <c r="E277" s="11">
        <f>6.0186 * CHOOSE(CONTROL!$C$32, $C$9, 100%, $E$9)</f>
        <v>6.0186000000000002</v>
      </c>
      <c r="F277" s="11">
        <f>6.0186 * CHOOSE(CONTROL!$C$32, $C$9, 100%, $E$9)</f>
        <v>6.0186000000000002</v>
      </c>
      <c r="G277" s="11">
        <f>6.0218 * CHOOSE(CONTROL!$C$32, $C$9, 100%, $E$9)</f>
        <v>6.0217999999999998</v>
      </c>
      <c r="H277" s="11">
        <f>9.9721 * CHOOSE(CONTROL!$C$32, $C$9, 100%, $E$9)</f>
        <v>9.9720999999999993</v>
      </c>
      <c r="I277" s="11">
        <f>9.9753 * CHOOSE(CONTROL!$C$32, $C$9, 100%, $E$9)</f>
        <v>9.9753000000000007</v>
      </c>
      <c r="J277" s="11">
        <f>9.9721 * CHOOSE(CONTROL!$C$32, $C$9, 100%, $E$9)</f>
        <v>9.9720999999999993</v>
      </c>
      <c r="K277" s="11">
        <f>9.9753 * CHOOSE(CONTROL!$C$32, $C$9, 100%, $E$9)</f>
        <v>9.9753000000000007</v>
      </c>
      <c r="L277" s="11">
        <f>6.0186 * CHOOSE(CONTROL!$C$32, $C$9, 100%, $E$9)</f>
        <v>6.0186000000000002</v>
      </c>
      <c r="M277" s="11">
        <f>6.0218 * CHOOSE(CONTROL!$C$32, $C$9, 100%, $E$9)</f>
        <v>6.0217999999999998</v>
      </c>
      <c r="N277" s="11">
        <f>6.0186 * CHOOSE(CONTROL!$C$32, $C$9, 100%, $E$9)</f>
        <v>6.0186000000000002</v>
      </c>
      <c r="O277" s="11">
        <f>6.0218 * CHOOSE(CONTROL!$C$32, $C$9, 100%, $E$9)</f>
        <v>6.0217999999999998</v>
      </c>
    </row>
    <row r="278" spans="1:15" ht="15" x14ac:dyDescent="0.2">
      <c r="A278" s="13">
        <v>49310</v>
      </c>
      <c r="B278" s="9">
        <f>4.713 * CHOOSE(CONTROL!$C$32, $C$9, 100%, $E$9)</f>
        <v>4.7130000000000001</v>
      </c>
      <c r="C278" s="9">
        <f>4.713 * CHOOSE(CONTROL!$C$32, $C$9, 100%, $E$9)</f>
        <v>4.7130000000000001</v>
      </c>
      <c r="D278" s="9">
        <f>4.7139 * CHOOSE(CONTROL!$C$32, $C$9, 100%, $E$9)</f>
        <v>4.7138999999999998</v>
      </c>
      <c r="E278" s="11">
        <f>6.0663 * CHOOSE(CONTROL!$C$32, $C$9, 100%, $E$9)</f>
        <v>6.0663</v>
      </c>
      <c r="F278" s="11">
        <f>6.0663 * CHOOSE(CONTROL!$C$32, $C$9, 100%, $E$9)</f>
        <v>6.0663</v>
      </c>
      <c r="G278" s="11">
        <f>6.0695 * CHOOSE(CONTROL!$C$32, $C$9, 100%, $E$9)</f>
        <v>6.0694999999999997</v>
      </c>
      <c r="H278" s="11">
        <f>9.9928 * CHOOSE(CONTROL!$C$32, $C$9, 100%, $E$9)</f>
        <v>9.9928000000000008</v>
      </c>
      <c r="I278" s="11">
        <f>9.9961 * CHOOSE(CONTROL!$C$32, $C$9, 100%, $E$9)</f>
        <v>9.9961000000000002</v>
      </c>
      <c r="J278" s="11">
        <f>9.9928 * CHOOSE(CONTROL!$C$32, $C$9, 100%, $E$9)</f>
        <v>9.9928000000000008</v>
      </c>
      <c r="K278" s="11">
        <f>9.9961 * CHOOSE(CONTROL!$C$32, $C$9, 100%, $E$9)</f>
        <v>9.9961000000000002</v>
      </c>
      <c r="L278" s="11">
        <f>6.0663 * CHOOSE(CONTROL!$C$32, $C$9, 100%, $E$9)</f>
        <v>6.0663</v>
      </c>
      <c r="M278" s="11">
        <f>6.0695 * CHOOSE(CONTROL!$C$32, $C$9, 100%, $E$9)</f>
        <v>6.0694999999999997</v>
      </c>
      <c r="N278" s="11">
        <f>6.0663 * CHOOSE(CONTROL!$C$32, $C$9, 100%, $E$9)</f>
        <v>6.0663</v>
      </c>
      <c r="O278" s="11">
        <f>6.0695 * CHOOSE(CONTROL!$C$32, $C$9, 100%, $E$9)</f>
        <v>6.0694999999999997</v>
      </c>
    </row>
    <row r="279" spans="1:15" ht="15" x14ac:dyDescent="0.2">
      <c r="A279" s="13">
        <v>49341</v>
      </c>
      <c r="B279" s="9">
        <f>4.71 * CHOOSE(CONTROL!$C$32, $C$9, 100%, $E$9)</f>
        <v>4.71</v>
      </c>
      <c r="C279" s="9">
        <f>4.71 * CHOOSE(CONTROL!$C$32, $C$9, 100%, $E$9)</f>
        <v>4.71</v>
      </c>
      <c r="D279" s="9">
        <f>4.7109 * CHOOSE(CONTROL!$C$32, $C$9, 100%, $E$9)</f>
        <v>4.7108999999999996</v>
      </c>
      <c r="E279" s="11">
        <f>6.3757 * CHOOSE(CONTROL!$C$32, $C$9, 100%, $E$9)</f>
        <v>6.3757000000000001</v>
      </c>
      <c r="F279" s="11">
        <f>6.3757 * CHOOSE(CONTROL!$C$32, $C$9, 100%, $E$9)</f>
        <v>6.3757000000000001</v>
      </c>
      <c r="G279" s="11">
        <f>6.3789 * CHOOSE(CONTROL!$C$32, $C$9, 100%, $E$9)</f>
        <v>6.3788999999999998</v>
      </c>
      <c r="H279" s="11">
        <f>10.0136 * CHOOSE(CONTROL!$C$32, $C$9, 100%, $E$9)</f>
        <v>10.0136</v>
      </c>
      <c r="I279" s="11">
        <f>10.0169 * CHOOSE(CONTROL!$C$32, $C$9, 100%, $E$9)</f>
        <v>10.0169</v>
      </c>
      <c r="J279" s="11">
        <f>10.0136 * CHOOSE(CONTROL!$C$32, $C$9, 100%, $E$9)</f>
        <v>10.0136</v>
      </c>
      <c r="K279" s="11">
        <f>10.0169 * CHOOSE(CONTROL!$C$32, $C$9, 100%, $E$9)</f>
        <v>10.0169</v>
      </c>
      <c r="L279" s="11">
        <f>6.3757 * CHOOSE(CONTROL!$C$32, $C$9, 100%, $E$9)</f>
        <v>6.3757000000000001</v>
      </c>
      <c r="M279" s="11">
        <f>6.3789 * CHOOSE(CONTROL!$C$32, $C$9, 100%, $E$9)</f>
        <v>6.3788999999999998</v>
      </c>
      <c r="N279" s="11">
        <f>6.3757 * CHOOSE(CONTROL!$C$32, $C$9, 100%, $E$9)</f>
        <v>6.3757000000000001</v>
      </c>
      <c r="O279" s="11">
        <f>6.3789 * CHOOSE(CONTROL!$C$32, $C$9, 100%, $E$9)</f>
        <v>6.3788999999999998</v>
      </c>
    </row>
    <row r="280" spans="1:15" ht="15" x14ac:dyDescent="0.2">
      <c r="A280" s="13">
        <v>49369</v>
      </c>
      <c r="B280" s="9">
        <f>4.7069 * CHOOSE(CONTROL!$C$32, $C$9, 100%, $E$9)</f>
        <v>4.7069000000000001</v>
      </c>
      <c r="C280" s="9">
        <f>4.7069 * CHOOSE(CONTROL!$C$32, $C$9, 100%, $E$9)</f>
        <v>4.7069000000000001</v>
      </c>
      <c r="D280" s="9">
        <f>4.7079 * CHOOSE(CONTROL!$C$32, $C$9, 100%, $E$9)</f>
        <v>4.7079000000000004</v>
      </c>
      <c r="E280" s="11">
        <f>6.0623 * CHOOSE(CONTROL!$C$32, $C$9, 100%, $E$9)</f>
        <v>6.0622999999999996</v>
      </c>
      <c r="F280" s="11">
        <f>6.0623 * CHOOSE(CONTROL!$C$32, $C$9, 100%, $E$9)</f>
        <v>6.0622999999999996</v>
      </c>
      <c r="G280" s="11">
        <f>6.0655 * CHOOSE(CONTROL!$C$32, $C$9, 100%, $E$9)</f>
        <v>6.0655000000000001</v>
      </c>
      <c r="H280" s="11">
        <f>10.0345 * CHOOSE(CONTROL!$C$32, $C$9, 100%, $E$9)</f>
        <v>10.0345</v>
      </c>
      <c r="I280" s="11">
        <f>10.0377 * CHOOSE(CONTROL!$C$32, $C$9, 100%, $E$9)</f>
        <v>10.037699999999999</v>
      </c>
      <c r="J280" s="11">
        <f>10.0345 * CHOOSE(CONTROL!$C$32, $C$9, 100%, $E$9)</f>
        <v>10.0345</v>
      </c>
      <c r="K280" s="11">
        <f>10.0377 * CHOOSE(CONTROL!$C$32, $C$9, 100%, $E$9)</f>
        <v>10.037699999999999</v>
      </c>
      <c r="L280" s="11">
        <f>6.0623 * CHOOSE(CONTROL!$C$32, $C$9, 100%, $E$9)</f>
        <v>6.0622999999999996</v>
      </c>
      <c r="M280" s="11">
        <f>6.0655 * CHOOSE(CONTROL!$C$32, $C$9, 100%, $E$9)</f>
        <v>6.0655000000000001</v>
      </c>
      <c r="N280" s="11">
        <f>6.0623 * CHOOSE(CONTROL!$C$32, $C$9, 100%, $E$9)</f>
        <v>6.0622999999999996</v>
      </c>
      <c r="O280" s="11">
        <f>6.0655 * CHOOSE(CONTROL!$C$32, $C$9, 100%, $E$9)</f>
        <v>6.0655000000000001</v>
      </c>
    </row>
    <row r="281" spans="1:15" ht="15" x14ac:dyDescent="0.2">
      <c r="A281" s="13">
        <v>49400</v>
      </c>
      <c r="B281" s="9">
        <f>4.7052 * CHOOSE(CONTROL!$C$32, $C$9, 100%, $E$9)</f>
        <v>4.7051999999999996</v>
      </c>
      <c r="C281" s="9">
        <f>4.7052 * CHOOSE(CONTROL!$C$32, $C$9, 100%, $E$9)</f>
        <v>4.7051999999999996</v>
      </c>
      <c r="D281" s="9">
        <f>4.7062 * CHOOSE(CONTROL!$C$32, $C$9, 100%, $E$9)</f>
        <v>4.7061999999999999</v>
      </c>
      <c r="E281" s="11">
        <f>6.0605 * CHOOSE(CONTROL!$C$32, $C$9, 100%, $E$9)</f>
        <v>6.0605000000000002</v>
      </c>
      <c r="F281" s="11">
        <f>6.0605 * CHOOSE(CONTROL!$C$32, $C$9, 100%, $E$9)</f>
        <v>6.0605000000000002</v>
      </c>
      <c r="G281" s="11">
        <f>6.0638 * CHOOSE(CONTROL!$C$32, $C$9, 100%, $E$9)</f>
        <v>6.0637999999999996</v>
      </c>
      <c r="H281" s="11">
        <f>10.0554 * CHOOSE(CONTROL!$C$32, $C$9, 100%, $E$9)</f>
        <v>10.055400000000001</v>
      </c>
      <c r="I281" s="11">
        <f>10.0586 * CHOOSE(CONTROL!$C$32, $C$9, 100%, $E$9)</f>
        <v>10.0586</v>
      </c>
      <c r="J281" s="11">
        <f>10.0554 * CHOOSE(CONTROL!$C$32, $C$9, 100%, $E$9)</f>
        <v>10.055400000000001</v>
      </c>
      <c r="K281" s="11">
        <f>10.0586 * CHOOSE(CONTROL!$C$32, $C$9, 100%, $E$9)</f>
        <v>10.0586</v>
      </c>
      <c r="L281" s="11">
        <f>6.0605 * CHOOSE(CONTROL!$C$32, $C$9, 100%, $E$9)</f>
        <v>6.0605000000000002</v>
      </c>
      <c r="M281" s="11">
        <f>6.0638 * CHOOSE(CONTROL!$C$32, $C$9, 100%, $E$9)</f>
        <v>6.0637999999999996</v>
      </c>
      <c r="N281" s="11">
        <f>6.0605 * CHOOSE(CONTROL!$C$32, $C$9, 100%, $E$9)</f>
        <v>6.0605000000000002</v>
      </c>
      <c r="O281" s="11">
        <f>6.0638 * CHOOSE(CONTROL!$C$32, $C$9, 100%, $E$9)</f>
        <v>6.0637999999999996</v>
      </c>
    </row>
    <row r="282" spans="1:15" ht="15" x14ac:dyDescent="0.2">
      <c r="A282" s="13">
        <v>49430</v>
      </c>
      <c r="B282" s="9">
        <f>4.7052 * CHOOSE(CONTROL!$C$32, $C$9, 100%, $E$9)</f>
        <v>4.7051999999999996</v>
      </c>
      <c r="C282" s="9">
        <f>4.7052 * CHOOSE(CONTROL!$C$32, $C$9, 100%, $E$9)</f>
        <v>4.7051999999999996</v>
      </c>
      <c r="D282" s="9">
        <f>4.7065 * CHOOSE(CONTROL!$C$32, $C$9, 100%, $E$9)</f>
        <v>4.7065000000000001</v>
      </c>
      <c r="E282" s="11">
        <f>6.0605 * CHOOSE(CONTROL!$C$32, $C$9, 100%, $E$9)</f>
        <v>6.0605000000000002</v>
      </c>
      <c r="F282" s="11">
        <f>6.0605 * CHOOSE(CONTROL!$C$32, $C$9, 100%, $E$9)</f>
        <v>6.0605000000000002</v>
      </c>
      <c r="G282" s="11">
        <f>6.0647 * CHOOSE(CONTROL!$C$32, $C$9, 100%, $E$9)</f>
        <v>6.0647000000000002</v>
      </c>
      <c r="H282" s="11">
        <f>10.0764 * CHOOSE(CONTROL!$C$32, $C$9, 100%, $E$9)</f>
        <v>10.0764</v>
      </c>
      <c r="I282" s="11">
        <f>10.0806 * CHOOSE(CONTROL!$C$32, $C$9, 100%, $E$9)</f>
        <v>10.0806</v>
      </c>
      <c r="J282" s="11">
        <f>10.0764 * CHOOSE(CONTROL!$C$32, $C$9, 100%, $E$9)</f>
        <v>10.0764</v>
      </c>
      <c r="K282" s="11">
        <f>10.0806 * CHOOSE(CONTROL!$C$32, $C$9, 100%, $E$9)</f>
        <v>10.0806</v>
      </c>
      <c r="L282" s="11">
        <f>6.0605 * CHOOSE(CONTROL!$C$32, $C$9, 100%, $E$9)</f>
        <v>6.0605000000000002</v>
      </c>
      <c r="M282" s="11">
        <f>6.0647 * CHOOSE(CONTROL!$C$32, $C$9, 100%, $E$9)</f>
        <v>6.0647000000000002</v>
      </c>
      <c r="N282" s="11">
        <f>6.0605 * CHOOSE(CONTROL!$C$32, $C$9, 100%, $E$9)</f>
        <v>6.0605000000000002</v>
      </c>
      <c r="O282" s="11">
        <f>6.0647 * CHOOSE(CONTROL!$C$32, $C$9, 100%, $E$9)</f>
        <v>6.0647000000000002</v>
      </c>
    </row>
    <row r="283" spans="1:15" ht="15" x14ac:dyDescent="0.2">
      <c r="A283" s="13">
        <v>49461</v>
      </c>
      <c r="B283" s="9">
        <f>4.7113 * CHOOSE(CONTROL!$C$32, $C$9, 100%, $E$9)</f>
        <v>4.7112999999999996</v>
      </c>
      <c r="C283" s="9">
        <f>4.7113 * CHOOSE(CONTROL!$C$32, $C$9, 100%, $E$9)</f>
        <v>4.7112999999999996</v>
      </c>
      <c r="D283" s="9">
        <f>4.7126 * CHOOSE(CONTROL!$C$32, $C$9, 100%, $E$9)</f>
        <v>4.7126000000000001</v>
      </c>
      <c r="E283" s="11">
        <f>6.0645 * CHOOSE(CONTROL!$C$32, $C$9, 100%, $E$9)</f>
        <v>6.0644999999999998</v>
      </c>
      <c r="F283" s="11">
        <f>6.0645 * CHOOSE(CONTROL!$C$32, $C$9, 100%, $E$9)</f>
        <v>6.0644999999999998</v>
      </c>
      <c r="G283" s="11">
        <f>6.0687 * CHOOSE(CONTROL!$C$32, $C$9, 100%, $E$9)</f>
        <v>6.0686999999999998</v>
      </c>
      <c r="H283" s="11">
        <f>10.0974 * CHOOSE(CONTROL!$C$32, $C$9, 100%, $E$9)</f>
        <v>10.0974</v>
      </c>
      <c r="I283" s="11">
        <f>10.1016 * CHOOSE(CONTROL!$C$32, $C$9, 100%, $E$9)</f>
        <v>10.101599999999999</v>
      </c>
      <c r="J283" s="11">
        <f>10.0974 * CHOOSE(CONTROL!$C$32, $C$9, 100%, $E$9)</f>
        <v>10.0974</v>
      </c>
      <c r="K283" s="11">
        <f>10.1016 * CHOOSE(CONTROL!$C$32, $C$9, 100%, $E$9)</f>
        <v>10.101599999999999</v>
      </c>
      <c r="L283" s="11">
        <f>6.0645 * CHOOSE(CONTROL!$C$32, $C$9, 100%, $E$9)</f>
        <v>6.0644999999999998</v>
      </c>
      <c r="M283" s="11">
        <f>6.0687 * CHOOSE(CONTROL!$C$32, $C$9, 100%, $E$9)</f>
        <v>6.0686999999999998</v>
      </c>
      <c r="N283" s="11">
        <f>6.0645 * CHOOSE(CONTROL!$C$32, $C$9, 100%, $E$9)</f>
        <v>6.0644999999999998</v>
      </c>
      <c r="O283" s="11">
        <f>6.0687 * CHOOSE(CONTROL!$C$32, $C$9, 100%, $E$9)</f>
        <v>6.0686999999999998</v>
      </c>
    </row>
    <row r="284" spans="1:15" ht="15" x14ac:dyDescent="0.2">
      <c r="A284" s="13">
        <v>49491</v>
      </c>
      <c r="B284" s="9">
        <f>4.7784 * CHOOSE(CONTROL!$C$32, $C$9, 100%, $E$9)</f>
        <v>4.7784000000000004</v>
      </c>
      <c r="C284" s="9">
        <f>4.7784 * CHOOSE(CONTROL!$C$32, $C$9, 100%, $E$9)</f>
        <v>4.7784000000000004</v>
      </c>
      <c r="D284" s="9">
        <f>4.7796 * CHOOSE(CONTROL!$C$32, $C$9, 100%, $E$9)</f>
        <v>4.7796000000000003</v>
      </c>
      <c r="E284" s="11">
        <f>6.1692 * CHOOSE(CONTROL!$C$32, $C$9, 100%, $E$9)</f>
        <v>6.1692</v>
      </c>
      <c r="F284" s="11">
        <f>6.1692 * CHOOSE(CONTROL!$C$32, $C$9, 100%, $E$9)</f>
        <v>6.1692</v>
      </c>
      <c r="G284" s="11">
        <f>6.1734 * CHOOSE(CONTROL!$C$32, $C$9, 100%, $E$9)</f>
        <v>6.1734</v>
      </c>
      <c r="H284" s="11">
        <f>10.1184 * CHOOSE(CONTROL!$C$32, $C$9, 100%, $E$9)</f>
        <v>10.118399999999999</v>
      </c>
      <c r="I284" s="11">
        <f>10.1226 * CHOOSE(CONTROL!$C$32, $C$9, 100%, $E$9)</f>
        <v>10.1226</v>
      </c>
      <c r="J284" s="11">
        <f>10.1184 * CHOOSE(CONTROL!$C$32, $C$9, 100%, $E$9)</f>
        <v>10.118399999999999</v>
      </c>
      <c r="K284" s="11">
        <f>10.1226 * CHOOSE(CONTROL!$C$32, $C$9, 100%, $E$9)</f>
        <v>10.1226</v>
      </c>
      <c r="L284" s="11">
        <f>6.1692 * CHOOSE(CONTROL!$C$32, $C$9, 100%, $E$9)</f>
        <v>6.1692</v>
      </c>
      <c r="M284" s="11">
        <f>6.1734 * CHOOSE(CONTROL!$C$32, $C$9, 100%, $E$9)</f>
        <v>6.1734</v>
      </c>
      <c r="N284" s="11">
        <f>6.1692 * CHOOSE(CONTROL!$C$32, $C$9, 100%, $E$9)</f>
        <v>6.1692</v>
      </c>
      <c r="O284" s="11">
        <f>6.1734 * CHOOSE(CONTROL!$C$32, $C$9, 100%, $E$9)</f>
        <v>6.1734</v>
      </c>
    </row>
    <row r="285" spans="1:15" ht="15" x14ac:dyDescent="0.2">
      <c r="A285" s="13">
        <v>49522</v>
      </c>
      <c r="B285" s="9">
        <f>4.785 * CHOOSE(CONTROL!$C$32, $C$9, 100%, $E$9)</f>
        <v>4.7850000000000001</v>
      </c>
      <c r="C285" s="9">
        <f>4.785 * CHOOSE(CONTROL!$C$32, $C$9, 100%, $E$9)</f>
        <v>4.7850000000000001</v>
      </c>
      <c r="D285" s="9">
        <f>4.7863 * CHOOSE(CONTROL!$C$32, $C$9, 100%, $E$9)</f>
        <v>4.7862999999999998</v>
      </c>
      <c r="E285" s="11">
        <f>6.523 * CHOOSE(CONTROL!$C$32, $C$9, 100%, $E$9)</f>
        <v>6.5229999999999997</v>
      </c>
      <c r="F285" s="11">
        <f>6.523 * CHOOSE(CONTROL!$C$32, $C$9, 100%, $E$9)</f>
        <v>6.5229999999999997</v>
      </c>
      <c r="G285" s="11">
        <f>6.5272 * CHOOSE(CONTROL!$C$32, $C$9, 100%, $E$9)</f>
        <v>6.5271999999999997</v>
      </c>
      <c r="H285" s="11">
        <f>10.1395 * CHOOSE(CONTROL!$C$32, $C$9, 100%, $E$9)</f>
        <v>10.1395</v>
      </c>
      <c r="I285" s="11">
        <f>10.1437 * CHOOSE(CONTROL!$C$32, $C$9, 100%, $E$9)</f>
        <v>10.143700000000001</v>
      </c>
      <c r="J285" s="11">
        <f>10.1395 * CHOOSE(CONTROL!$C$32, $C$9, 100%, $E$9)</f>
        <v>10.1395</v>
      </c>
      <c r="K285" s="11">
        <f>10.1437 * CHOOSE(CONTROL!$C$32, $C$9, 100%, $E$9)</f>
        <v>10.143700000000001</v>
      </c>
      <c r="L285" s="11">
        <f>6.523 * CHOOSE(CONTROL!$C$32, $C$9, 100%, $E$9)</f>
        <v>6.5229999999999997</v>
      </c>
      <c r="M285" s="11">
        <f>6.5272 * CHOOSE(CONTROL!$C$32, $C$9, 100%, $E$9)</f>
        <v>6.5271999999999997</v>
      </c>
      <c r="N285" s="11">
        <f>6.523 * CHOOSE(CONTROL!$C$32, $C$9, 100%, $E$9)</f>
        <v>6.5229999999999997</v>
      </c>
      <c r="O285" s="11">
        <f>6.5272 * CHOOSE(CONTROL!$C$32, $C$9, 100%, $E$9)</f>
        <v>6.5271999999999997</v>
      </c>
    </row>
    <row r="286" spans="1:15" ht="15" x14ac:dyDescent="0.2">
      <c r="A286" s="13">
        <v>49553</v>
      </c>
      <c r="B286" s="9">
        <f>4.782 * CHOOSE(CONTROL!$C$32, $C$9, 100%, $E$9)</f>
        <v>4.782</v>
      </c>
      <c r="C286" s="9">
        <f>4.782 * CHOOSE(CONTROL!$C$32, $C$9, 100%, $E$9)</f>
        <v>4.782</v>
      </c>
      <c r="D286" s="9">
        <f>4.7833 * CHOOSE(CONTROL!$C$32, $C$9, 100%, $E$9)</f>
        <v>4.7832999999999997</v>
      </c>
      <c r="E286" s="11">
        <f>6.5105 * CHOOSE(CONTROL!$C$32, $C$9, 100%, $E$9)</f>
        <v>6.5105000000000004</v>
      </c>
      <c r="F286" s="11">
        <f>6.5105 * CHOOSE(CONTROL!$C$32, $C$9, 100%, $E$9)</f>
        <v>6.5105000000000004</v>
      </c>
      <c r="G286" s="11">
        <f>6.5147 * CHOOSE(CONTROL!$C$32, $C$9, 100%, $E$9)</f>
        <v>6.5147000000000004</v>
      </c>
      <c r="H286" s="11">
        <f>10.1606 * CHOOSE(CONTROL!$C$32, $C$9, 100%, $E$9)</f>
        <v>10.160600000000001</v>
      </c>
      <c r="I286" s="11">
        <f>10.1648 * CHOOSE(CONTROL!$C$32, $C$9, 100%, $E$9)</f>
        <v>10.1648</v>
      </c>
      <c r="J286" s="11">
        <f>10.1606 * CHOOSE(CONTROL!$C$32, $C$9, 100%, $E$9)</f>
        <v>10.160600000000001</v>
      </c>
      <c r="K286" s="11">
        <f>10.1648 * CHOOSE(CONTROL!$C$32, $C$9, 100%, $E$9)</f>
        <v>10.1648</v>
      </c>
      <c r="L286" s="11">
        <f>6.5105 * CHOOSE(CONTROL!$C$32, $C$9, 100%, $E$9)</f>
        <v>6.5105000000000004</v>
      </c>
      <c r="M286" s="11">
        <f>6.5147 * CHOOSE(CONTROL!$C$32, $C$9, 100%, $E$9)</f>
        <v>6.5147000000000004</v>
      </c>
      <c r="N286" s="11">
        <f>6.5105 * CHOOSE(CONTROL!$C$32, $C$9, 100%, $E$9)</f>
        <v>6.5105000000000004</v>
      </c>
      <c r="O286" s="11">
        <f>6.5147 * CHOOSE(CONTROL!$C$32, $C$9, 100%, $E$9)</f>
        <v>6.5147000000000004</v>
      </c>
    </row>
    <row r="287" spans="1:15" ht="15" x14ac:dyDescent="0.2">
      <c r="A287" s="13">
        <v>49583</v>
      </c>
      <c r="B287" s="9">
        <f>4.78 * CHOOSE(CONTROL!$C$32, $C$9, 100%, $E$9)</f>
        <v>4.78</v>
      </c>
      <c r="C287" s="9">
        <f>4.78 * CHOOSE(CONTROL!$C$32, $C$9, 100%, $E$9)</f>
        <v>4.78</v>
      </c>
      <c r="D287" s="9">
        <f>4.7809 * CHOOSE(CONTROL!$C$32, $C$9, 100%, $E$9)</f>
        <v>4.7808999999999999</v>
      </c>
      <c r="E287" s="11">
        <f>6.1678 * CHOOSE(CONTROL!$C$32, $C$9, 100%, $E$9)</f>
        <v>6.1677999999999997</v>
      </c>
      <c r="F287" s="11">
        <f>6.1678 * CHOOSE(CONTROL!$C$32, $C$9, 100%, $E$9)</f>
        <v>6.1677999999999997</v>
      </c>
      <c r="G287" s="11">
        <f>6.171 * CHOOSE(CONTROL!$C$32, $C$9, 100%, $E$9)</f>
        <v>6.1710000000000003</v>
      </c>
      <c r="H287" s="11">
        <f>10.1818 * CHOOSE(CONTROL!$C$32, $C$9, 100%, $E$9)</f>
        <v>10.181800000000001</v>
      </c>
      <c r="I287" s="11">
        <f>10.185 * CHOOSE(CONTROL!$C$32, $C$9, 100%, $E$9)</f>
        <v>10.185</v>
      </c>
      <c r="J287" s="11">
        <f>10.1818 * CHOOSE(CONTROL!$C$32, $C$9, 100%, $E$9)</f>
        <v>10.181800000000001</v>
      </c>
      <c r="K287" s="11">
        <f>10.185 * CHOOSE(CONTROL!$C$32, $C$9, 100%, $E$9)</f>
        <v>10.185</v>
      </c>
      <c r="L287" s="11">
        <f>6.1678 * CHOOSE(CONTROL!$C$32, $C$9, 100%, $E$9)</f>
        <v>6.1677999999999997</v>
      </c>
      <c r="M287" s="11">
        <f>6.171 * CHOOSE(CONTROL!$C$32, $C$9, 100%, $E$9)</f>
        <v>6.1710000000000003</v>
      </c>
      <c r="N287" s="11">
        <f>6.1678 * CHOOSE(CONTROL!$C$32, $C$9, 100%, $E$9)</f>
        <v>6.1677999999999997</v>
      </c>
      <c r="O287" s="11">
        <f>6.171 * CHOOSE(CONTROL!$C$32, $C$9, 100%, $E$9)</f>
        <v>6.1710000000000003</v>
      </c>
    </row>
    <row r="288" spans="1:15" ht="15" x14ac:dyDescent="0.2">
      <c r="A288" s="13">
        <v>49614</v>
      </c>
      <c r="B288" s="9">
        <f>4.783 * CHOOSE(CONTROL!$C$32, $C$9, 100%, $E$9)</f>
        <v>4.7830000000000004</v>
      </c>
      <c r="C288" s="9">
        <f>4.783 * CHOOSE(CONTROL!$C$32, $C$9, 100%, $E$9)</f>
        <v>4.7830000000000004</v>
      </c>
      <c r="D288" s="9">
        <f>4.784 * CHOOSE(CONTROL!$C$32, $C$9, 100%, $E$9)</f>
        <v>4.7839999999999998</v>
      </c>
      <c r="E288" s="11">
        <f>6.1698 * CHOOSE(CONTROL!$C$32, $C$9, 100%, $E$9)</f>
        <v>6.1698000000000004</v>
      </c>
      <c r="F288" s="11">
        <f>6.1698 * CHOOSE(CONTROL!$C$32, $C$9, 100%, $E$9)</f>
        <v>6.1698000000000004</v>
      </c>
      <c r="G288" s="11">
        <f>6.173 * CHOOSE(CONTROL!$C$32, $C$9, 100%, $E$9)</f>
        <v>6.173</v>
      </c>
      <c r="H288" s="11">
        <f>10.203 * CHOOSE(CONTROL!$C$32, $C$9, 100%, $E$9)</f>
        <v>10.202999999999999</v>
      </c>
      <c r="I288" s="11">
        <f>10.2062 * CHOOSE(CONTROL!$C$32, $C$9, 100%, $E$9)</f>
        <v>10.206200000000001</v>
      </c>
      <c r="J288" s="11">
        <f>10.203 * CHOOSE(CONTROL!$C$32, $C$9, 100%, $E$9)</f>
        <v>10.202999999999999</v>
      </c>
      <c r="K288" s="11">
        <f>10.2062 * CHOOSE(CONTROL!$C$32, $C$9, 100%, $E$9)</f>
        <v>10.206200000000001</v>
      </c>
      <c r="L288" s="11">
        <f>6.1698 * CHOOSE(CONTROL!$C$32, $C$9, 100%, $E$9)</f>
        <v>6.1698000000000004</v>
      </c>
      <c r="M288" s="11">
        <f>6.173 * CHOOSE(CONTROL!$C$32, $C$9, 100%, $E$9)</f>
        <v>6.173</v>
      </c>
      <c r="N288" s="11">
        <f>6.1698 * CHOOSE(CONTROL!$C$32, $C$9, 100%, $E$9)</f>
        <v>6.1698000000000004</v>
      </c>
      <c r="O288" s="11">
        <f>6.173 * CHOOSE(CONTROL!$C$32, $C$9, 100%, $E$9)</f>
        <v>6.173</v>
      </c>
    </row>
    <row r="289" spans="1:15" ht="15" x14ac:dyDescent="0.2">
      <c r="A289" s="13">
        <v>49644</v>
      </c>
      <c r="B289" s="9">
        <f>4.783 * CHOOSE(CONTROL!$C$32, $C$9, 100%, $E$9)</f>
        <v>4.7830000000000004</v>
      </c>
      <c r="C289" s="9">
        <f>4.783 * CHOOSE(CONTROL!$C$32, $C$9, 100%, $E$9)</f>
        <v>4.7830000000000004</v>
      </c>
      <c r="D289" s="9">
        <f>4.784 * CHOOSE(CONTROL!$C$32, $C$9, 100%, $E$9)</f>
        <v>4.7839999999999998</v>
      </c>
      <c r="E289" s="11">
        <f>6.5096 * CHOOSE(CONTROL!$C$32, $C$9, 100%, $E$9)</f>
        <v>6.5095999999999998</v>
      </c>
      <c r="F289" s="11">
        <f>6.5096 * CHOOSE(CONTROL!$C$32, $C$9, 100%, $E$9)</f>
        <v>6.5095999999999998</v>
      </c>
      <c r="G289" s="11">
        <f>6.5128 * CHOOSE(CONTROL!$C$32, $C$9, 100%, $E$9)</f>
        <v>6.5128000000000004</v>
      </c>
      <c r="H289" s="11">
        <f>10.2242 * CHOOSE(CONTROL!$C$32, $C$9, 100%, $E$9)</f>
        <v>10.2242</v>
      </c>
      <c r="I289" s="11">
        <f>10.2275 * CHOOSE(CONTROL!$C$32, $C$9, 100%, $E$9)</f>
        <v>10.227499999999999</v>
      </c>
      <c r="J289" s="11">
        <f>10.2242 * CHOOSE(CONTROL!$C$32, $C$9, 100%, $E$9)</f>
        <v>10.2242</v>
      </c>
      <c r="K289" s="11">
        <f>10.2275 * CHOOSE(CONTROL!$C$32, $C$9, 100%, $E$9)</f>
        <v>10.227499999999999</v>
      </c>
      <c r="L289" s="11">
        <f>6.5096 * CHOOSE(CONTROL!$C$32, $C$9, 100%, $E$9)</f>
        <v>6.5095999999999998</v>
      </c>
      <c r="M289" s="11">
        <f>6.5128 * CHOOSE(CONTROL!$C$32, $C$9, 100%, $E$9)</f>
        <v>6.5128000000000004</v>
      </c>
      <c r="N289" s="11">
        <f>6.5096 * CHOOSE(CONTROL!$C$32, $C$9, 100%, $E$9)</f>
        <v>6.5095999999999998</v>
      </c>
      <c r="O289" s="11">
        <f>6.5128 * CHOOSE(CONTROL!$C$32, $C$9, 100%, $E$9)</f>
        <v>6.5128000000000004</v>
      </c>
    </row>
    <row r="290" spans="1:15" ht="15" x14ac:dyDescent="0.2">
      <c r="A290" s="13">
        <v>49675</v>
      </c>
      <c r="B290" s="9">
        <f>4.8216 * CHOOSE(CONTROL!$C$32, $C$9, 100%, $E$9)</f>
        <v>4.8216000000000001</v>
      </c>
      <c r="C290" s="9">
        <f>4.8216 * CHOOSE(CONTROL!$C$32, $C$9, 100%, $E$9)</f>
        <v>4.8216000000000001</v>
      </c>
      <c r="D290" s="9">
        <f>4.8225 * CHOOSE(CONTROL!$C$32, $C$9, 100%, $E$9)</f>
        <v>4.8224999999999998</v>
      </c>
      <c r="E290" s="11">
        <f>6.5301 * CHOOSE(CONTROL!$C$32, $C$9, 100%, $E$9)</f>
        <v>6.5301</v>
      </c>
      <c r="F290" s="11">
        <f>6.5301 * CHOOSE(CONTROL!$C$32, $C$9, 100%, $E$9)</f>
        <v>6.5301</v>
      </c>
      <c r="G290" s="11">
        <f>6.5333 * CHOOSE(CONTROL!$C$32, $C$9, 100%, $E$9)</f>
        <v>6.5332999999999997</v>
      </c>
      <c r="H290" s="11">
        <f>10.2455 * CHOOSE(CONTROL!$C$32, $C$9, 100%, $E$9)</f>
        <v>10.2455</v>
      </c>
      <c r="I290" s="11">
        <f>10.2488 * CHOOSE(CONTROL!$C$32, $C$9, 100%, $E$9)</f>
        <v>10.248799999999999</v>
      </c>
      <c r="J290" s="11">
        <f>10.2455 * CHOOSE(CONTROL!$C$32, $C$9, 100%, $E$9)</f>
        <v>10.2455</v>
      </c>
      <c r="K290" s="11">
        <f>10.2488 * CHOOSE(CONTROL!$C$32, $C$9, 100%, $E$9)</f>
        <v>10.248799999999999</v>
      </c>
      <c r="L290" s="11">
        <f>6.5301 * CHOOSE(CONTROL!$C$32, $C$9, 100%, $E$9)</f>
        <v>6.5301</v>
      </c>
      <c r="M290" s="11">
        <f>6.5333 * CHOOSE(CONTROL!$C$32, $C$9, 100%, $E$9)</f>
        <v>6.5332999999999997</v>
      </c>
      <c r="N290" s="11">
        <f>6.5301 * CHOOSE(CONTROL!$C$32, $C$9, 100%, $E$9)</f>
        <v>6.5301</v>
      </c>
      <c r="O290" s="11">
        <f>6.5333 * CHOOSE(CONTROL!$C$32, $C$9, 100%, $E$9)</f>
        <v>6.5332999999999997</v>
      </c>
    </row>
    <row r="291" spans="1:15" ht="15" x14ac:dyDescent="0.2">
      <c r="A291" s="13">
        <v>49706</v>
      </c>
      <c r="B291" s="9">
        <f>4.8186 * CHOOSE(CONTROL!$C$32, $C$9, 100%, $E$9)</f>
        <v>4.8186</v>
      </c>
      <c r="C291" s="9">
        <f>4.8186 * CHOOSE(CONTROL!$C$32, $C$9, 100%, $E$9)</f>
        <v>4.8186</v>
      </c>
      <c r="D291" s="9">
        <f>4.8195 * CHOOSE(CONTROL!$C$32, $C$9, 100%, $E$9)</f>
        <v>4.8194999999999997</v>
      </c>
      <c r="E291" s="11">
        <f>6.4268 * CHOOSE(CONTROL!$C$32, $C$9, 100%, $E$9)</f>
        <v>6.4268000000000001</v>
      </c>
      <c r="F291" s="11">
        <f>6.4268 * CHOOSE(CONTROL!$C$32, $C$9, 100%, $E$9)</f>
        <v>6.4268000000000001</v>
      </c>
      <c r="G291" s="11">
        <f>6.43 * CHOOSE(CONTROL!$C$32, $C$9, 100%, $E$9)</f>
        <v>6.43</v>
      </c>
      <c r="H291" s="11">
        <f>10.2669 * CHOOSE(CONTROL!$C$32, $C$9, 100%, $E$9)</f>
        <v>10.2669</v>
      </c>
      <c r="I291" s="11">
        <f>10.2701 * CHOOSE(CONTROL!$C$32, $C$9, 100%, $E$9)</f>
        <v>10.270099999999999</v>
      </c>
      <c r="J291" s="11">
        <f>10.2669 * CHOOSE(CONTROL!$C$32, $C$9, 100%, $E$9)</f>
        <v>10.2669</v>
      </c>
      <c r="K291" s="11">
        <f>10.2701 * CHOOSE(CONTROL!$C$32, $C$9, 100%, $E$9)</f>
        <v>10.270099999999999</v>
      </c>
      <c r="L291" s="11">
        <f>6.4268 * CHOOSE(CONTROL!$C$32, $C$9, 100%, $E$9)</f>
        <v>6.4268000000000001</v>
      </c>
      <c r="M291" s="11">
        <f>6.43 * CHOOSE(CONTROL!$C$32, $C$9, 100%, $E$9)</f>
        <v>6.43</v>
      </c>
      <c r="N291" s="11">
        <f>6.4268 * CHOOSE(CONTROL!$C$32, $C$9, 100%, $E$9)</f>
        <v>6.4268000000000001</v>
      </c>
      <c r="O291" s="11">
        <f>6.43 * CHOOSE(CONTROL!$C$32, $C$9, 100%, $E$9)</f>
        <v>6.43</v>
      </c>
    </row>
    <row r="292" spans="1:15" ht="15" x14ac:dyDescent="0.2">
      <c r="A292" s="13">
        <v>49735</v>
      </c>
      <c r="B292" s="9">
        <f>4.8155 * CHOOSE(CONTROL!$C$32, $C$9, 100%, $E$9)</f>
        <v>4.8155000000000001</v>
      </c>
      <c r="C292" s="9">
        <f>4.8155 * CHOOSE(CONTROL!$C$32, $C$9, 100%, $E$9)</f>
        <v>4.8155000000000001</v>
      </c>
      <c r="D292" s="9">
        <f>4.8165 * CHOOSE(CONTROL!$C$32, $C$9, 100%, $E$9)</f>
        <v>4.8164999999999996</v>
      </c>
      <c r="E292" s="11">
        <f>6.5044 * CHOOSE(CONTROL!$C$32, $C$9, 100%, $E$9)</f>
        <v>6.5044000000000004</v>
      </c>
      <c r="F292" s="11">
        <f>6.5044 * CHOOSE(CONTROL!$C$32, $C$9, 100%, $E$9)</f>
        <v>6.5044000000000004</v>
      </c>
      <c r="G292" s="11">
        <f>6.5077 * CHOOSE(CONTROL!$C$32, $C$9, 100%, $E$9)</f>
        <v>6.5076999999999998</v>
      </c>
      <c r="H292" s="11">
        <f>10.2883 * CHOOSE(CONTROL!$C$32, $C$9, 100%, $E$9)</f>
        <v>10.2883</v>
      </c>
      <c r="I292" s="11">
        <f>10.2915 * CHOOSE(CONTROL!$C$32, $C$9, 100%, $E$9)</f>
        <v>10.291499999999999</v>
      </c>
      <c r="J292" s="11">
        <f>10.2883 * CHOOSE(CONTROL!$C$32, $C$9, 100%, $E$9)</f>
        <v>10.2883</v>
      </c>
      <c r="K292" s="11">
        <f>10.2915 * CHOOSE(CONTROL!$C$32, $C$9, 100%, $E$9)</f>
        <v>10.291499999999999</v>
      </c>
      <c r="L292" s="11">
        <f>6.5044 * CHOOSE(CONTROL!$C$32, $C$9, 100%, $E$9)</f>
        <v>6.5044000000000004</v>
      </c>
      <c r="M292" s="11">
        <f>6.5077 * CHOOSE(CONTROL!$C$32, $C$9, 100%, $E$9)</f>
        <v>6.5076999999999998</v>
      </c>
      <c r="N292" s="11">
        <f>6.5044 * CHOOSE(CONTROL!$C$32, $C$9, 100%, $E$9)</f>
        <v>6.5044000000000004</v>
      </c>
      <c r="O292" s="11">
        <f>6.5077 * CHOOSE(CONTROL!$C$32, $C$9, 100%, $E$9)</f>
        <v>6.5076999999999998</v>
      </c>
    </row>
    <row r="293" spans="1:15" ht="15" x14ac:dyDescent="0.2">
      <c r="A293" s="13">
        <v>49766</v>
      </c>
      <c r="B293" s="9">
        <f>4.814 * CHOOSE(CONTROL!$C$32, $C$9, 100%, $E$9)</f>
        <v>4.8140000000000001</v>
      </c>
      <c r="C293" s="9">
        <f>4.814 * CHOOSE(CONTROL!$C$32, $C$9, 100%, $E$9)</f>
        <v>4.8140000000000001</v>
      </c>
      <c r="D293" s="9">
        <f>4.8149 * CHOOSE(CONTROL!$C$32, $C$9, 100%, $E$9)</f>
        <v>4.8148999999999997</v>
      </c>
      <c r="E293" s="11">
        <f>6.5859 * CHOOSE(CONTROL!$C$32, $C$9, 100%, $E$9)</f>
        <v>6.5858999999999996</v>
      </c>
      <c r="F293" s="11">
        <f>6.5859 * CHOOSE(CONTROL!$C$32, $C$9, 100%, $E$9)</f>
        <v>6.5858999999999996</v>
      </c>
      <c r="G293" s="11">
        <f>6.5891 * CHOOSE(CONTROL!$C$32, $C$9, 100%, $E$9)</f>
        <v>6.5891000000000002</v>
      </c>
      <c r="H293" s="11">
        <f>10.3097 * CHOOSE(CONTROL!$C$32, $C$9, 100%, $E$9)</f>
        <v>10.309699999999999</v>
      </c>
      <c r="I293" s="11">
        <f>10.3129 * CHOOSE(CONTROL!$C$32, $C$9, 100%, $E$9)</f>
        <v>10.312900000000001</v>
      </c>
      <c r="J293" s="11">
        <f>10.3097 * CHOOSE(CONTROL!$C$32, $C$9, 100%, $E$9)</f>
        <v>10.309699999999999</v>
      </c>
      <c r="K293" s="11">
        <f>10.3129 * CHOOSE(CONTROL!$C$32, $C$9, 100%, $E$9)</f>
        <v>10.312900000000001</v>
      </c>
      <c r="L293" s="11">
        <f>6.5859 * CHOOSE(CONTROL!$C$32, $C$9, 100%, $E$9)</f>
        <v>6.5858999999999996</v>
      </c>
      <c r="M293" s="11">
        <f>6.5891 * CHOOSE(CONTROL!$C$32, $C$9, 100%, $E$9)</f>
        <v>6.5891000000000002</v>
      </c>
      <c r="N293" s="11">
        <f>6.5859 * CHOOSE(CONTROL!$C$32, $C$9, 100%, $E$9)</f>
        <v>6.5858999999999996</v>
      </c>
      <c r="O293" s="11">
        <f>6.5891 * CHOOSE(CONTROL!$C$32, $C$9, 100%, $E$9)</f>
        <v>6.5891000000000002</v>
      </c>
    </row>
    <row r="294" spans="1:15" ht="15" x14ac:dyDescent="0.2">
      <c r="A294" s="13">
        <v>49796</v>
      </c>
      <c r="B294" s="9">
        <f>4.814 * CHOOSE(CONTROL!$C$32, $C$9, 100%, $E$9)</f>
        <v>4.8140000000000001</v>
      </c>
      <c r="C294" s="9">
        <f>4.814 * CHOOSE(CONTROL!$C$32, $C$9, 100%, $E$9)</f>
        <v>4.8140000000000001</v>
      </c>
      <c r="D294" s="9">
        <f>4.8152 * CHOOSE(CONTROL!$C$32, $C$9, 100%, $E$9)</f>
        <v>4.8151999999999999</v>
      </c>
      <c r="E294" s="11">
        <f>6.2171 * CHOOSE(CONTROL!$C$32, $C$9, 100%, $E$9)</f>
        <v>6.2171000000000003</v>
      </c>
      <c r="F294" s="11">
        <f>6.2171 * CHOOSE(CONTROL!$C$32, $C$9, 100%, $E$9)</f>
        <v>6.2171000000000003</v>
      </c>
      <c r="G294" s="11">
        <f>6.2213 * CHOOSE(CONTROL!$C$32, $C$9, 100%, $E$9)</f>
        <v>6.2213000000000003</v>
      </c>
      <c r="H294" s="11">
        <f>10.3312 * CHOOSE(CONTROL!$C$32, $C$9, 100%, $E$9)</f>
        <v>10.331200000000001</v>
      </c>
      <c r="I294" s="11">
        <f>10.3354 * CHOOSE(CONTROL!$C$32, $C$9, 100%, $E$9)</f>
        <v>10.3354</v>
      </c>
      <c r="J294" s="11">
        <f>10.3312 * CHOOSE(CONTROL!$C$32, $C$9, 100%, $E$9)</f>
        <v>10.331200000000001</v>
      </c>
      <c r="K294" s="11">
        <f>10.3354 * CHOOSE(CONTROL!$C$32, $C$9, 100%, $E$9)</f>
        <v>10.3354</v>
      </c>
      <c r="L294" s="11">
        <f>6.2171 * CHOOSE(CONTROL!$C$32, $C$9, 100%, $E$9)</f>
        <v>6.2171000000000003</v>
      </c>
      <c r="M294" s="11">
        <f>6.2213 * CHOOSE(CONTROL!$C$32, $C$9, 100%, $E$9)</f>
        <v>6.2213000000000003</v>
      </c>
      <c r="N294" s="11">
        <f>6.2171 * CHOOSE(CONTROL!$C$32, $C$9, 100%, $E$9)</f>
        <v>6.2171000000000003</v>
      </c>
      <c r="O294" s="11">
        <f>6.2213 * CHOOSE(CONTROL!$C$32, $C$9, 100%, $E$9)</f>
        <v>6.2213000000000003</v>
      </c>
    </row>
    <row r="295" spans="1:15" ht="15" x14ac:dyDescent="0.2">
      <c r="A295" s="13">
        <v>49827</v>
      </c>
      <c r="B295" s="9">
        <f>4.82 * CHOOSE(CONTROL!$C$32, $C$9, 100%, $E$9)</f>
        <v>4.82</v>
      </c>
      <c r="C295" s="9">
        <f>4.82 * CHOOSE(CONTROL!$C$32, $C$9, 100%, $E$9)</f>
        <v>4.82</v>
      </c>
      <c r="D295" s="9">
        <f>4.8213 * CHOOSE(CONTROL!$C$32, $C$9, 100%, $E$9)</f>
        <v>4.8212999999999999</v>
      </c>
      <c r="E295" s="11">
        <f>6.5901 * CHOOSE(CONTROL!$C$32, $C$9, 100%, $E$9)</f>
        <v>6.5900999999999996</v>
      </c>
      <c r="F295" s="11">
        <f>6.5901 * CHOOSE(CONTROL!$C$32, $C$9, 100%, $E$9)</f>
        <v>6.5900999999999996</v>
      </c>
      <c r="G295" s="11">
        <f>6.5943 * CHOOSE(CONTROL!$C$32, $C$9, 100%, $E$9)</f>
        <v>6.5942999999999996</v>
      </c>
      <c r="H295" s="11">
        <f>10.3527 * CHOOSE(CONTROL!$C$32, $C$9, 100%, $E$9)</f>
        <v>10.3527</v>
      </c>
      <c r="I295" s="11">
        <f>10.3569 * CHOOSE(CONTROL!$C$32, $C$9, 100%, $E$9)</f>
        <v>10.3569</v>
      </c>
      <c r="J295" s="11">
        <f>10.3527 * CHOOSE(CONTROL!$C$32, $C$9, 100%, $E$9)</f>
        <v>10.3527</v>
      </c>
      <c r="K295" s="11">
        <f>10.3569 * CHOOSE(CONTROL!$C$32, $C$9, 100%, $E$9)</f>
        <v>10.3569</v>
      </c>
      <c r="L295" s="11">
        <f>6.5901 * CHOOSE(CONTROL!$C$32, $C$9, 100%, $E$9)</f>
        <v>6.5900999999999996</v>
      </c>
      <c r="M295" s="11">
        <f>6.5943 * CHOOSE(CONTROL!$C$32, $C$9, 100%, $E$9)</f>
        <v>6.5942999999999996</v>
      </c>
      <c r="N295" s="11">
        <f>6.5901 * CHOOSE(CONTROL!$C$32, $C$9, 100%, $E$9)</f>
        <v>6.5900999999999996</v>
      </c>
      <c r="O295" s="11">
        <f>6.5943 * CHOOSE(CONTROL!$C$32, $C$9, 100%, $E$9)</f>
        <v>6.5942999999999996</v>
      </c>
    </row>
    <row r="296" spans="1:15" ht="15" x14ac:dyDescent="0.2">
      <c r="A296" s="13">
        <v>49857</v>
      </c>
      <c r="B296" s="9">
        <f>4.8896 * CHOOSE(CONTROL!$C$32, $C$9, 100%, $E$9)</f>
        <v>4.8895999999999997</v>
      </c>
      <c r="C296" s="9">
        <f>4.8896 * CHOOSE(CONTROL!$C$32, $C$9, 100%, $E$9)</f>
        <v>4.8895999999999997</v>
      </c>
      <c r="D296" s="9">
        <f>4.8908 * CHOOSE(CONTROL!$C$32, $C$9, 100%, $E$9)</f>
        <v>4.8907999999999996</v>
      </c>
      <c r="E296" s="11">
        <f>6.5201 * CHOOSE(CONTROL!$C$32, $C$9, 100%, $E$9)</f>
        <v>6.5201000000000002</v>
      </c>
      <c r="F296" s="11">
        <f>6.5201 * CHOOSE(CONTROL!$C$32, $C$9, 100%, $E$9)</f>
        <v>6.5201000000000002</v>
      </c>
      <c r="G296" s="11">
        <f>6.5243 * CHOOSE(CONTROL!$C$32, $C$9, 100%, $E$9)</f>
        <v>6.5243000000000002</v>
      </c>
      <c r="H296" s="11">
        <f>10.3743 * CHOOSE(CONTROL!$C$32, $C$9, 100%, $E$9)</f>
        <v>10.3743</v>
      </c>
      <c r="I296" s="11">
        <f>10.3785 * CHOOSE(CONTROL!$C$32, $C$9, 100%, $E$9)</f>
        <v>10.378500000000001</v>
      </c>
      <c r="J296" s="11">
        <f>10.3743 * CHOOSE(CONTROL!$C$32, $C$9, 100%, $E$9)</f>
        <v>10.3743</v>
      </c>
      <c r="K296" s="11">
        <f>10.3785 * CHOOSE(CONTROL!$C$32, $C$9, 100%, $E$9)</f>
        <v>10.378500000000001</v>
      </c>
      <c r="L296" s="11">
        <f>6.5201 * CHOOSE(CONTROL!$C$32, $C$9, 100%, $E$9)</f>
        <v>6.5201000000000002</v>
      </c>
      <c r="M296" s="11">
        <f>6.5243 * CHOOSE(CONTROL!$C$32, $C$9, 100%, $E$9)</f>
        <v>6.5243000000000002</v>
      </c>
      <c r="N296" s="11">
        <f>6.5201 * CHOOSE(CONTROL!$C$32, $C$9, 100%, $E$9)</f>
        <v>6.5201000000000002</v>
      </c>
      <c r="O296" s="11">
        <f>6.5243 * CHOOSE(CONTROL!$C$32, $C$9, 100%, $E$9)</f>
        <v>6.5243000000000002</v>
      </c>
    </row>
    <row r="297" spans="1:15" ht="15" x14ac:dyDescent="0.2">
      <c r="A297" s="13">
        <v>49888</v>
      </c>
      <c r="B297" s="9">
        <f>4.8962 * CHOOSE(CONTROL!$C$32, $C$9, 100%, $E$9)</f>
        <v>4.8962000000000003</v>
      </c>
      <c r="C297" s="9">
        <f>4.8962 * CHOOSE(CONTROL!$C$32, $C$9, 100%, $E$9)</f>
        <v>4.8962000000000003</v>
      </c>
      <c r="D297" s="9">
        <f>4.8975 * CHOOSE(CONTROL!$C$32, $C$9, 100%, $E$9)</f>
        <v>4.8975</v>
      </c>
      <c r="E297" s="11">
        <f>6.4284 * CHOOSE(CONTROL!$C$32, $C$9, 100%, $E$9)</f>
        <v>6.4283999999999999</v>
      </c>
      <c r="F297" s="11">
        <f>6.4284 * CHOOSE(CONTROL!$C$32, $C$9, 100%, $E$9)</f>
        <v>6.4283999999999999</v>
      </c>
      <c r="G297" s="11">
        <f>6.4326 * CHOOSE(CONTROL!$C$32, $C$9, 100%, $E$9)</f>
        <v>6.4325999999999999</v>
      </c>
      <c r="H297" s="11">
        <f>10.3959 * CHOOSE(CONTROL!$C$32, $C$9, 100%, $E$9)</f>
        <v>10.395899999999999</v>
      </c>
      <c r="I297" s="11">
        <f>10.4001 * CHOOSE(CONTROL!$C$32, $C$9, 100%, $E$9)</f>
        <v>10.4001</v>
      </c>
      <c r="J297" s="11">
        <f>10.3959 * CHOOSE(CONTROL!$C$32, $C$9, 100%, $E$9)</f>
        <v>10.395899999999999</v>
      </c>
      <c r="K297" s="11">
        <f>10.4001 * CHOOSE(CONTROL!$C$32, $C$9, 100%, $E$9)</f>
        <v>10.4001</v>
      </c>
      <c r="L297" s="11">
        <f>6.4284 * CHOOSE(CONTROL!$C$32, $C$9, 100%, $E$9)</f>
        <v>6.4283999999999999</v>
      </c>
      <c r="M297" s="11">
        <f>6.4326 * CHOOSE(CONTROL!$C$32, $C$9, 100%, $E$9)</f>
        <v>6.4325999999999999</v>
      </c>
      <c r="N297" s="11">
        <f>6.4284 * CHOOSE(CONTROL!$C$32, $C$9, 100%, $E$9)</f>
        <v>6.4283999999999999</v>
      </c>
      <c r="O297" s="11">
        <f>6.4326 * CHOOSE(CONTROL!$C$32, $C$9, 100%, $E$9)</f>
        <v>6.4325999999999999</v>
      </c>
    </row>
    <row r="298" spans="1:15" ht="15" x14ac:dyDescent="0.2">
      <c r="A298" s="13">
        <v>49919</v>
      </c>
      <c r="B298" s="9">
        <f>4.8932 * CHOOSE(CONTROL!$C$32, $C$9, 100%, $E$9)</f>
        <v>4.8932000000000002</v>
      </c>
      <c r="C298" s="9">
        <f>4.8932 * CHOOSE(CONTROL!$C$32, $C$9, 100%, $E$9)</f>
        <v>4.8932000000000002</v>
      </c>
      <c r="D298" s="9">
        <f>4.8945 * CHOOSE(CONTROL!$C$32, $C$9, 100%, $E$9)</f>
        <v>4.8944999999999999</v>
      </c>
      <c r="E298" s="11">
        <f>6.4155 * CHOOSE(CONTROL!$C$32, $C$9, 100%, $E$9)</f>
        <v>6.4154999999999998</v>
      </c>
      <c r="F298" s="11">
        <f>6.4155 * CHOOSE(CONTROL!$C$32, $C$9, 100%, $E$9)</f>
        <v>6.4154999999999998</v>
      </c>
      <c r="G298" s="11">
        <f>6.4197 * CHOOSE(CONTROL!$C$32, $C$9, 100%, $E$9)</f>
        <v>6.4196999999999997</v>
      </c>
      <c r="H298" s="11">
        <f>10.4175 * CHOOSE(CONTROL!$C$32, $C$9, 100%, $E$9)</f>
        <v>10.4175</v>
      </c>
      <c r="I298" s="11">
        <f>10.4217 * CHOOSE(CONTROL!$C$32, $C$9, 100%, $E$9)</f>
        <v>10.4217</v>
      </c>
      <c r="J298" s="11">
        <f>10.4175 * CHOOSE(CONTROL!$C$32, $C$9, 100%, $E$9)</f>
        <v>10.4175</v>
      </c>
      <c r="K298" s="11">
        <f>10.4217 * CHOOSE(CONTROL!$C$32, $C$9, 100%, $E$9)</f>
        <v>10.4217</v>
      </c>
      <c r="L298" s="11">
        <f>6.4155 * CHOOSE(CONTROL!$C$32, $C$9, 100%, $E$9)</f>
        <v>6.4154999999999998</v>
      </c>
      <c r="M298" s="11">
        <f>6.4197 * CHOOSE(CONTROL!$C$32, $C$9, 100%, $E$9)</f>
        <v>6.4196999999999997</v>
      </c>
      <c r="N298" s="11">
        <f>6.4155 * CHOOSE(CONTROL!$C$32, $C$9, 100%, $E$9)</f>
        <v>6.4154999999999998</v>
      </c>
      <c r="O298" s="11">
        <f>6.4197 * CHOOSE(CONTROL!$C$32, $C$9, 100%, $E$9)</f>
        <v>6.4196999999999997</v>
      </c>
    </row>
    <row r="299" spans="1:15" ht="15" x14ac:dyDescent="0.2">
      <c r="A299" s="13">
        <v>49949</v>
      </c>
      <c r="B299" s="9">
        <f>4.8916 * CHOOSE(CONTROL!$C$32, $C$9, 100%, $E$9)</f>
        <v>4.8916000000000004</v>
      </c>
      <c r="C299" s="9">
        <f>4.8916 * CHOOSE(CONTROL!$C$32, $C$9, 100%, $E$9)</f>
        <v>4.8916000000000004</v>
      </c>
      <c r="D299" s="9">
        <f>4.8925 * CHOOSE(CONTROL!$C$32, $C$9, 100%, $E$9)</f>
        <v>4.8925000000000001</v>
      </c>
      <c r="E299" s="11">
        <f>6.4449 * CHOOSE(CONTROL!$C$32, $C$9, 100%, $E$9)</f>
        <v>6.4448999999999996</v>
      </c>
      <c r="F299" s="11">
        <f>6.4449 * CHOOSE(CONTROL!$C$32, $C$9, 100%, $E$9)</f>
        <v>6.4448999999999996</v>
      </c>
      <c r="G299" s="11">
        <f>6.4482 * CHOOSE(CONTROL!$C$32, $C$9, 100%, $E$9)</f>
        <v>6.4481999999999999</v>
      </c>
      <c r="H299" s="11">
        <f>10.4392 * CHOOSE(CONTROL!$C$32, $C$9, 100%, $E$9)</f>
        <v>10.4392</v>
      </c>
      <c r="I299" s="11">
        <f>10.4425 * CHOOSE(CONTROL!$C$32, $C$9, 100%, $E$9)</f>
        <v>10.442500000000001</v>
      </c>
      <c r="J299" s="11">
        <f>10.4392 * CHOOSE(CONTROL!$C$32, $C$9, 100%, $E$9)</f>
        <v>10.4392</v>
      </c>
      <c r="K299" s="11">
        <f>10.4425 * CHOOSE(CONTROL!$C$32, $C$9, 100%, $E$9)</f>
        <v>10.442500000000001</v>
      </c>
      <c r="L299" s="11">
        <f>6.4449 * CHOOSE(CONTROL!$C$32, $C$9, 100%, $E$9)</f>
        <v>6.4448999999999996</v>
      </c>
      <c r="M299" s="11">
        <f>6.4482 * CHOOSE(CONTROL!$C$32, $C$9, 100%, $E$9)</f>
        <v>6.4481999999999999</v>
      </c>
      <c r="N299" s="11">
        <f>6.4449 * CHOOSE(CONTROL!$C$32, $C$9, 100%, $E$9)</f>
        <v>6.4448999999999996</v>
      </c>
      <c r="O299" s="11">
        <f>6.4482 * CHOOSE(CONTROL!$C$32, $C$9, 100%, $E$9)</f>
        <v>6.4481999999999999</v>
      </c>
    </row>
    <row r="300" spans="1:15" ht="15" x14ac:dyDescent="0.2">
      <c r="A300" s="13">
        <v>49980</v>
      </c>
      <c r="B300" s="9">
        <f>4.8946 * CHOOSE(CONTROL!$C$32, $C$9, 100%, $E$9)</f>
        <v>4.8945999999999996</v>
      </c>
      <c r="C300" s="9">
        <f>4.8946 * CHOOSE(CONTROL!$C$32, $C$9, 100%, $E$9)</f>
        <v>4.8945999999999996</v>
      </c>
      <c r="D300" s="9">
        <f>4.8956 * CHOOSE(CONTROL!$C$32, $C$9, 100%, $E$9)</f>
        <v>4.8956</v>
      </c>
      <c r="E300" s="11">
        <f>6.4685 * CHOOSE(CONTROL!$C$32, $C$9, 100%, $E$9)</f>
        <v>6.4684999999999997</v>
      </c>
      <c r="F300" s="11">
        <f>6.4685 * CHOOSE(CONTROL!$C$32, $C$9, 100%, $E$9)</f>
        <v>6.4684999999999997</v>
      </c>
      <c r="G300" s="11">
        <f>6.4717 * CHOOSE(CONTROL!$C$32, $C$9, 100%, $E$9)</f>
        <v>6.4717000000000002</v>
      </c>
      <c r="H300" s="11">
        <f>10.461 * CHOOSE(CONTROL!$C$32, $C$9, 100%, $E$9)</f>
        <v>10.461</v>
      </c>
      <c r="I300" s="11">
        <f>10.4642 * CHOOSE(CONTROL!$C$32, $C$9, 100%, $E$9)</f>
        <v>10.4642</v>
      </c>
      <c r="J300" s="11">
        <f>10.461 * CHOOSE(CONTROL!$C$32, $C$9, 100%, $E$9)</f>
        <v>10.461</v>
      </c>
      <c r="K300" s="11">
        <f>10.4642 * CHOOSE(CONTROL!$C$32, $C$9, 100%, $E$9)</f>
        <v>10.4642</v>
      </c>
      <c r="L300" s="11">
        <f>6.4685 * CHOOSE(CONTROL!$C$32, $C$9, 100%, $E$9)</f>
        <v>6.4684999999999997</v>
      </c>
      <c r="M300" s="11">
        <f>6.4717 * CHOOSE(CONTROL!$C$32, $C$9, 100%, $E$9)</f>
        <v>6.4717000000000002</v>
      </c>
      <c r="N300" s="11">
        <f>6.4685 * CHOOSE(CONTROL!$C$32, $C$9, 100%, $E$9)</f>
        <v>6.4684999999999997</v>
      </c>
      <c r="O300" s="11">
        <f>6.4717 * CHOOSE(CONTROL!$C$32, $C$9, 100%, $E$9)</f>
        <v>6.4717000000000002</v>
      </c>
    </row>
    <row r="301" spans="1:15" ht="15" x14ac:dyDescent="0.2">
      <c r="A301" s="13">
        <v>50010</v>
      </c>
      <c r="B301" s="9">
        <f>4.8946 * CHOOSE(CONTROL!$C$32, $C$9, 100%, $E$9)</f>
        <v>4.8945999999999996</v>
      </c>
      <c r="C301" s="9">
        <f>4.8946 * CHOOSE(CONTROL!$C$32, $C$9, 100%, $E$9)</f>
        <v>4.8945999999999996</v>
      </c>
      <c r="D301" s="9">
        <f>4.8956 * CHOOSE(CONTROL!$C$32, $C$9, 100%, $E$9)</f>
        <v>4.8956</v>
      </c>
      <c r="E301" s="11">
        <f>6.4149 * CHOOSE(CONTROL!$C$32, $C$9, 100%, $E$9)</f>
        <v>6.4149000000000003</v>
      </c>
      <c r="F301" s="11">
        <f>6.4149 * CHOOSE(CONTROL!$C$32, $C$9, 100%, $E$9)</f>
        <v>6.4149000000000003</v>
      </c>
      <c r="G301" s="11">
        <f>6.4182 * CHOOSE(CONTROL!$C$32, $C$9, 100%, $E$9)</f>
        <v>6.4181999999999997</v>
      </c>
      <c r="H301" s="11">
        <f>10.4828 * CHOOSE(CONTROL!$C$32, $C$9, 100%, $E$9)</f>
        <v>10.482799999999999</v>
      </c>
      <c r="I301" s="11">
        <f>10.486 * CHOOSE(CONTROL!$C$32, $C$9, 100%, $E$9)</f>
        <v>10.486000000000001</v>
      </c>
      <c r="J301" s="11">
        <f>10.4828 * CHOOSE(CONTROL!$C$32, $C$9, 100%, $E$9)</f>
        <v>10.482799999999999</v>
      </c>
      <c r="K301" s="11">
        <f>10.486 * CHOOSE(CONTROL!$C$32, $C$9, 100%, $E$9)</f>
        <v>10.486000000000001</v>
      </c>
      <c r="L301" s="11">
        <f>6.4149 * CHOOSE(CONTROL!$C$32, $C$9, 100%, $E$9)</f>
        <v>6.4149000000000003</v>
      </c>
      <c r="M301" s="11">
        <f>6.4182 * CHOOSE(CONTROL!$C$32, $C$9, 100%, $E$9)</f>
        <v>6.4181999999999997</v>
      </c>
      <c r="N301" s="11">
        <f>6.4149 * CHOOSE(CONTROL!$C$32, $C$9, 100%, $E$9)</f>
        <v>6.4149000000000003</v>
      </c>
      <c r="O301" s="11">
        <f>6.4182 * CHOOSE(CONTROL!$C$32, $C$9, 100%, $E$9)</f>
        <v>6.4181999999999997</v>
      </c>
    </row>
    <row r="302" spans="1:15" ht="15" x14ac:dyDescent="0.2">
      <c r="A302" s="13">
        <v>50041</v>
      </c>
      <c r="B302" s="9">
        <f>4.9322 * CHOOSE(CONTROL!$C$32, $C$9, 100%, $E$9)</f>
        <v>4.9321999999999999</v>
      </c>
      <c r="C302" s="9">
        <f>4.9322 * CHOOSE(CONTROL!$C$32, $C$9, 100%, $E$9)</f>
        <v>4.9321999999999999</v>
      </c>
      <c r="D302" s="9">
        <f>4.9331 * CHOOSE(CONTROL!$C$32, $C$9, 100%, $E$9)</f>
        <v>4.9330999999999996</v>
      </c>
      <c r="E302" s="11">
        <f>6.4909 * CHOOSE(CONTROL!$C$32, $C$9, 100%, $E$9)</f>
        <v>6.4908999999999999</v>
      </c>
      <c r="F302" s="11">
        <f>6.4909 * CHOOSE(CONTROL!$C$32, $C$9, 100%, $E$9)</f>
        <v>6.4908999999999999</v>
      </c>
      <c r="G302" s="11">
        <f>6.4941 * CHOOSE(CONTROL!$C$32, $C$9, 100%, $E$9)</f>
        <v>6.4941000000000004</v>
      </c>
      <c r="H302" s="11">
        <f>10.5046 * CHOOSE(CONTROL!$C$32, $C$9, 100%, $E$9)</f>
        <v>10.5046</v>
      </c>
      <c r="I302" s="11">
        <f>10.5079 * CHOOSE(CONTROL!$C$32, $C$9, 100%, $E$9)</f>
        <v>10.507899999999999</v>
      </c>
      <c r="J302" s="11">
        <f>10.5046 * CHOOSE(CONTROL!$C$32, $C$9, 100%, $E$9)</f>
        <v>10.5046</v>
      </c>
      <c r="K302" s="11">
        <f>10.5079 * CHOOSE(CONTROL!$C$32, $C$9, 100%, $E$9)</f>
        <v>10.507899999999999</v>
      </c>
      <c r="L302" s="11">
        <f>6.4909 * CHOOSE(CONTROL!$C$32, $C$9, 100%, $E$9)</f>
        <v>6.4908999999999999</v>
      </c>
      <c r="M302" s="11">
        <f>6.4941 * CHOOSE(CONTROL!$C$32, $C$9, 100%, $E$9)</f>
        <v>6.4941000000000004</v>
      </c>
      <c r="N302" s="11">
        <f>6.4909 * CHOOSE(CONTROL!$C$32, $C$9, 100%, $E$9)</f>
        <v>6.4908999999999999</v>
      </c>
      <c r="O302" s="11">
        <f>6.4941 * CHOOSE(CONTROL!$C$32, $C$9, 100%, $E$9)</f>
        <v>6.4941000000000004</v>
      </c>
    </row>
    <row r="303" spans="1:15" ht="15" x14ac:dyDescent="0.2">
      <c r="A303" s="13">
        <v>50072</v>
      </c>
      <c r="B303" s="9">
        <f>4.9291 * CHOOSE(CONTROL!$C$32, $C$9, 100%, $E$9)</f>
        <v>4.9291</v>
      </c>
      <c r="C303" s="9">
        <f>4.9291 * CHOOSE(CONTROL!$C$32, $C$9, 100%, $E$9)</f>
        <v>4.9291</v>
      </c>
      <c r="D303" s="9">
        <f>4.9301 * CHOOSE(CONTROL!$C$32, $C$9, 100%, $E$9)</f>
        <v>4.9301000000000004</v>
      </c>
      <c r="E303" s="11">
        <f>6.3843 * CHOOSE(CONTROL!$C$32, $C$9, 100%, $E$9)</f>
        <v>6.3842999999999996</v>
      </c>
      <c r="F303" s="11">
        <f>6.3843 * CHOOSE(CONTROL!$C$32, $C$9, 100%, $E$9)</f>
        <v>6.3842999999999996</v>
      </c>
      <c r="G303" s="11">
        <f>6.3875 * CHOOSE(CONTROL!$C$32, $C$9, 100%, $E$9)</f>
        <v>6.3875000000000002</v>
      </c>
      <c r="H303" s="11">
        <f>10.5265 * CHOOSE(CONTROL!$C$32, $C$9, 100%, $E$9)</f>
        <v>10.5265</v>
      </c>
      <c r="I303" s="11">
        <f>10.5297 * CHOOSE(CONTROL!$C$32, $C$9, 100%, $E$9)</f>
        <v>10.5297</v>
      </c>
      <c r="J303" s="11">
        <f>10.5265 * CHOOSE(CONTROL!$C$32, $C$9, 100%, $E$9)</f>
        <v>10.5265</v>
      </c>
      <c r="K303" s="11">
        <f>10.5297 * CHOOSE(CONTROL!$C$32, $C$9, 100%, $E$9)</f>
        <v>10.5297</v>
      </c>
      <c r="L303" s="11">
        <f>6.3843 * CHOOSE(CONTROL!$C$32, $C$9, 100%, $E$9)</f>
        <v>6.3842999999999996</v>
      </c>
      <c r="M303" s="11">
        <f>6.3875 * CHOOSE(CONTROL!$C$32, $C$9, 100%, $E$9)</f>
        <v>6.3875000000000002</v>
      </c>
      <c r="N303" s="11">
        <f>6.3843 * CHOOSE(CONTROL!$C$32, $C$9, 100%, $E$9)</f>
        <v>6.3842999999999996</v>
      </c>
      <c r="O303" s="11">
        <f>6.3875 * CHOOSE(CONTROL!$C$32, $C$9, 100%, $E$9)</f>
        <v>6.3875000000000002</v>
      </c>
    </row>
    <row r="304" spans="1:15" ht="15" x14ac:dyDescent="0.2">
      <c r="A304" s="13">
        <v>50100</v>
      </c>
      <c r="B304" s="9">
        <f>4.9261 * CHOOSE(CONTROL!$C$32, $C$9, 100%, $E$9)</f>
        <v>4.9260999999999999</v>
      </c>
      <c r="C304" s="9">
        <f>4.9261 * CHOOSE(CONTROL!$C$32, $C$9, 100%, $E$9)</f>
        <v>4.9260999999999999</v>
      </c>
      <c r="D304" s="9">
        <f>4.9271 * CHOOSE(CONTROL!$C$32, $C$9, 100%, $E$9)</f>
        <v>4.9271000000000003</v>
      </c>
      <c r="E304" s="11">
        <f>6.4645 * CHOOSE(CONTROL!$C$32, $C$9, 100%, $E$9)</f>
        <v>6.4645000000000001</v>
      </c>
      <c r="F304" s="11">
        <f>6.4645 * CHOOSE(CONTROL!$C$32, $C$9, 100%, $E$9)</f>
        <v>6.4645000000000001</v>
      </c>
      <c r="G304" s="11">
        <f>6.4677 * CHOOSE(CONTROL!$C$32, $C$9, 100%, $E$9)</f>
        <v>6.4676999999999998</v>
      </c>
      <c r="H304" s="11">
        <f>10.5484 * CHOOSE(CONTROL!$C$32, $C$9, 100%, $E$9)</f>
        <v>10.548400000000001</v>
      </c>
      <c r="I304" s="11">
        <f>10.5517 * CHOOSE(CONTROL!$C$32, $C$9, 100%, $E$9)</f>
        <v>10.5517</v>
      </c>
      <c r="J304" s="11">
        <f>10.5484 * CHOOSE(CONTROL!$C$32, $C$9, 100%, $E$9)</f>
        <v>10.548400000000001</v>
      </c>
      <c r="K304" s="11">
        <f>10.5517 * CHOOSE(CONTROL!$C$32, $C$9, 100%, $E$9)</f>
        <v>10.5517</v>
      </c>
      <c r="L304" s="11">
        <f>6.4645 * CHOOSE(CONTROL!$C$32, $C$9, 100%, $E$9)</f>
        <v>6.4645000000000001</v>
      </c>
      <c r="M304" s="11">
        <f>6.4677 * CHOOSE(CONTROL!$C$32, $C$9, 100%, $E$9)</f>
        <v>6.4676999999999998</v>
      </c>
      <c r="N304" s="11">
        <f>6.4645 * CHOOSE(CONTROL!$C$32, $C$9, 100%, $E$9)</f>
        <v>6.4645000000000001</v>
      </c>
      <c r="O304" s="11">
        <f>6.4677 * CHOOSE(CONTROL!$C$32, $C$9, 100%, $E$9)</f>
        <v>6.4676999999999998</v>
      </c>
    </row>
    <row r="305" spans="1:15" ht="15" x14ac:dyDescent="0.2">
      <c r="A305" s="13">
        <v>50131</v>
      </c>
      <c r="B305" s="9">
        <f>4.9246 * CHOOSE(CONTROL!$C$32, $C$9, 100%, $E$9)</f>
        <v>4.9245999999999999</v>
      </c>
      <c r="C305" s="9">
        <f>4.9246 * CHOOSE(CONTROL!$C$32, $C$9, 100%, $E$9)</f>
        <v>4.9245999999999999</v>
      </c>
      <c r="D305" s="9">
        <f>4.9256 * CHOOSE(CONTROL!$C$32, $C$9, 100%, $E$9)</f>
        <v>4.9256000000000002</v>
      </c>
      <c r="E305" s="11">
        <f>6.5488 * CHOOSE(CONTROL!$C$32, $C$9, 100%, $E$9)</f>
        <v>6.5488</v>
      </c>
      <c r="F305" s="11">
        <f>6.5488 * CHOOSE(CONTROL!$C$32, $C$9, 100%, $E$9)</f>
        <v>6.5488</v>
      </c>
      <c r="G305" s="11">
        <f>6.552 * CHOOSE(CONTROL!$C$32, $C$9, 100%, $E$9)</f>
        <v>6.5519999999999996</v>
      </c>
      <c r="H305" s="11">
        <f>10.5704 * CHOOSE(CONTROL!$C$32, $C$9, 100%, $E$9)</f>
        <v>10.570399999999999</v>
      </c>
      <c r="I305" s="11">
        <f>10.5736 * CHOOSE(CONTROL!$C$32, $C$9, 100%, $E$9)</f>
        <v>10.573600000000001</v>
      </c>
      <c r="J305" s="11">
        <f>10.5704 * CHOOSE(CONTROL!$C$32, $C$9, 100%, $E$9)</f>
        <v>10.570399999999999</v>
      </c>
      <c r="K305" s="11">
        <f>10.5736 * CHOOSE(CONTROL!$C$32, $C$9, 100%, $E$9)</f>
        <v>10.573600000000001</v>
      </c>
      <c r="L305" s="11">
        <f>6.5488 * CHOOSE(CONTROL!$C$32, $C$9, 100%, $E$9)</f>
        <v>6.5488</v>
      </c>
      <c r="M305" s="11">
        <f>6.552 * CHOOSE(CONTROL!$C$32, $C$9, 100%, $E$9)</f>
        <v>6.5519999999999996</v>
      </c>
      <c r="N305" s="11">
        <f>6.5488 * CHOOSE(CONTROL!$C$32, $C$9, 100%, $E$9)</f>
        <v>6.5488</v>
      </c>
      <c r="O305" s="11">
        <f>6.552 * CHOOSE(CONTROL!$C$32, $C$9, 100%, $E$9)</f>
        <v>6.5519999999999996</v>
      </c>
    </row>
    <row r="306" spans="1:15" ht="15" x14ac:dyDescent="0.2">
      <c r="A306" s="13">
        <v>50161</v>
      </c>
      <c r="B306" s="9">
        <f>4.9246 * CHOOSE(CONTROL!$C$32, $C$9, 100%, $E$9)</f>
        <v>4.9245999999999999</v>
      </c>
      <c r="C306" s="9">
        <f>4.9246 * CHOOSE(CONTROL!$C$32, $C$9, 100%, $E$9)</f>
        <v>4.9245999999999999</v>
      </c>
      <c r="D306" s="9">
        <f>4.9259 * CHOOSE(CONTROL!$C$32, $C$9, 100%, $E$9)</f>
        <v>4.9259000000000004</v>
      </c>
      <c r="E306" s="11">
        <f>6.5819 * CHOOSE(CONTROL!$C$32, $C$9, 100%, $E$9)</f>
        <v>6.5819000000000001</v>
      </c>
      <c r="F306" s="11">
        <f>6.5819 * CHOOSE(CONTROL!$C$32, $C$9, 100%, $E$9)</f>
        <v>6.5819000000000001</v>
      </c>
      <c r="G306" s="11">
        <f>6.5861 * CHOOSE(CONTROL!$C$32, $C$9, 100%, $E$9)</f>
        <v>6.5861000000000001</v>
      </c>
      <c r="H306" s="11">
        <f>10.5924 * CHOOSE(CONTROL!$C$32, $C$9, 100%, $E$9)</f>
        <v>10.5924</v>
      </c>
      <c r="I306" s="11">
        <f>10.5966 * CHOOSE(CONTROL!$C$32, $C$9, 100%, $E$9)</f>
        <v>10.5966</v>
      </c>
      <c r="J306" s="11">
        <f>10.5924 * CHOOSE(CONTROL!$C$32, $C$9, 100%, $E$9)</f>
        <v>10.5924</v>
      </c>
      <c r="K306" s="11">
        <f>10.5966 * CHOOSE(CONTROL!$C$32, $C$9, 100%, $E$9)</f>
        <v>10.5966</v>
      </c>
      <c r="L306" s="11">
        <f>6.5819 * CHOOSE(CONTROL!$C$32, $C$9, 100%, $E$9)</f>
        <v>6.5819000000000001</v>
      </c>
      <c r="M306" s="11">
        <f>6.5861 * CHOOSE(CONTROL!$C$32, $C$9, 100%, $E$9)</f>
        <v>6.5861000000000001</v>
      </c>
      <c r="N306" s="11">
        <f>6.5819 * CHOOSE(CONTROL!$C$32, $C$9, 100%, $E$9)</f>
        <v>6.5819000000000001</v>
      </c>
      <c r="O306" s="11">
        <f>6.5861 * CHOOSE(CONTROL!$C$32, $C$9, 100%, $E$9)</f>
        <v>6.5861000000000001</v>
      </c>
    </row>
    <row r="307" spans="1:15" ht="15" x14ac:dyDescent="0.2">
      <c r="A307" s="13">
        <v>50192</v>
      </c>
      <c r="B307" s="9">
        <f>4.9307 * CHOOSE(CONTROL!$C$32, $C$9, 100%, $E$9)</f>
        <v>4.9306999999999999</v>
      </c>
      <c r="C307" s="9">
        <f>4.9307 * CHOOSE(CONTROL!$C$32, $C$9, 100%, $E$9)</f>
        <v>4.9306999999999999</v>
      </c>
      <c r="D307" s="9">
        <f>4.932 * CHOOSE(CONTROL!$C$32, $C$9, 100%, $E$9)</f>
        <v>4.9320000000000004</v>
      </c>
      <c r="E307" s="11">
        <f>6.553 * CHOOSE(CONTROL!$C$32, $C$9, 100%, $E$9)</f>
        <v>6.5529999999999999</v>
      </c>
      <c r="F307" s="11">
        <f>6.553 * CHOOSE(CONTROL!$C$32, $C$9, 100%, $E$9)</f>
        <v>6.5529999999999999</v>
      </c>
      <c r="G307" s="11">
        <f>6.5572 * CHOOSE(CONTROL!$C$32, $C$9, 100%, $E$9)</f>
        <v>6.5571999999999999</v>
      </c>
      <c r="H307" s="11">
        <f>10.6145 * CHOOSE(CONTROL!$C$32, $C$9, 100%, $E$9)</f>
        <v>10.6145</v>
      </c>
      <c r="I307" s="11">
        <f>10.6187 * CHOOSE(CONTROL!$C$32, $C$9, 100%, $E$9)</f>
        <v>10.6187</v>
      </c>
      <c r="J307" s="11">
        <f>10.6145 * CHOOSE(CONTROL!$C$32, $C$9, 100%, $E$9)</f>
        <v>10.6145</v>
      </c>
      <c r="K307" s="11">
        <f>10.6187 * CHOOSE(CONTROL!$C$32, $C$9, 100%, $E$9)</f>
        <v>10.6187</v>
      </c>
      <c r="L307" s="11">
        <f>6.553 * CHOOSE(CONTROL!$C$32, $C$9, 100%, $E$9)</f>
        <v>6.5529999999999999</v>
      </c>
      <c r="M307" s="11">
        <f>6.5572 * CHOOSE(CONTROL!$C$32, $C$9, 100%, $E$9)</f>
        <v>6.5571999999999999</v>
      </c>
      <c r="N307" s="11">
        <f>6.553 * CHOOSE(CONTROL!$C$32, $C$9, 100%, $E$9)</f>
        <v>6.5529999999999999</v>
      </c>
      <c r="O307" s="11">
        <f>6.5572 * CHOOSE(CONTROL!$C$32, $C$9, 100%, $E$9)</f>
        <v>6.5571999999999999</v>
      </c>
    </row>
    <row r="308" spans="1:15" ht="15" x14ac:dyDescent="0.2">
      <c r="A308" s="13">
        <v>50222</v>
      </c>
      <c r="B308" s="9">
        <f>4.9977 * CHOOSE(CONTROL!$C$32, $C$9, 100%, $E$9)</f>
        <v>4.9977</v>
      </c>
      <c r="C308" s="9">
        <f>4.9977 * CHOOSE(CONTROL!$C$32, $C$9, 100%, $E$9)</f>
        <v>4.9977</v>
      </c>
      <c r="D308" s="9">
        <f>4.999 * CHOOSE(CONTROL!$C$32, $C$9, 100%, $E$9)</f>
        <v>4.9989999999999997</v>
      </c>
      <c r="E308" s="11">
        <f>6.6146 * CHOOSE(CONTROL!$C$32, $C$9, 100%, $E$9)</f>
        <v>6.6146000000000003</v>
      </c>
      <c r="F308" s="11">
        <f>6.6146 * CHOOSE(CONTROL!$C$32, $C$9, 100%, $E$9)</f>
        <v>6.6146000000000003</v>
      </c>
      <c r="G308" s="11">
        <f>6.6188 * CHOOSE(CONTROL!$C$32, $C$9, 100%, $E$9)</f>
        <v>6.6188000000000002</v>
      </c>
      <c r="H308" s="11">
        <f>10.6366 * CHOOSE(CONTROL!$C$32, $C$9, 100%, $E$9)</f>
        <v>10.6366</v>
      </c>
      <c r="I308" s="11">
        <f>10.6408 * CHOOSE(CONTROL!$C$32, $C$9, 100%, $E$9)</f>
        <v>10.6408</v>
      </c>
      <c r="J308" s="11">
        <f>10.6366 * CHOOSE(CONTROL!$C$32, $C$9, 100%, $E$9)</f>
        <v>10.6366</v>
      </c>
      <c r="K308" s="11">
        <f>10.6408 * CHOOSE(CONTROL!$C$32, $C$9, 100%, $E$9)</f>
        <v>10.6408</v>
      </c>
      <c r="L308" s="11">
        <f>6.6146 * CHOOSE(CONTROL!$C$32, $C$9, 100%, $E$9)</f>
        <v>6.6146000000000003</v>
      </c>
      <c r="M308" s="11">
        <f>6.6188 * CHOOSE(CONTROL!$C$32, $C$9, 100%, $E$9)</f>
        <v>6.6188000000000002</v>
      </c>
      <c r="N308" s="11">
        <f>6.6146 * CHOOSE(CONTROL!$C$32, $C$9, 100%, $E$9)</f>
        <v>6.6146000000000003</v>
      </c>
      <c r="O308" s="11">
        <f>6.6188 * CHOOSE(CONTROL!$C$32, $C$9, 100%, $E$9)</f>
        <v>6.6188000000000002</v>
      </c>
    </row>
    <row r="309" spans="1:15" ht="15" x14ac:dyDescent="0.2">
      <c r="A309" s="13">
        <v>50253</v>
      </c>
      <c r="B309" s="9">
        <f>5.0044 * CHOOSE(CONTROL!$C$32, $C$9, 100%, $E$9)</f>
        <v>5.0044000000000004</v>
      </c>
      <c r="C309" s="9">
        <f>5.0044 * CHOOSE(CONTROL!$C$32, $C$9, 100%, $E$9)</f>
        <v>5.0044000000000004</v>
      </c>
      <c r="D309" s="9">
        <f>5.0057 * CHOOSE(CONTROL!$C$32, $C$9, 100%, $E$9)</f>
        <v>5.0057</v>
      </c>
      <c r="E309" s="11">
        <f>6.5198 * CHOOSE(CONTROL!$C$32, $C$9, 100%, $E$9)</f>
        <v>6.5198</v>
      </c>
      <c r="F309" s="11">
        <f>6.5198 * CHOOSE(CONTROL!$C$32, $C$9, 100%, $E$9)</f>
        <v>6.5198</v>
      </c>
      <c r="G309" s="11">
        <f>6.524 * CHOOSE(CONTROL!$C$32, $C$9, 100%, $E$9)</f>
        <v>6.524</v>
      </c>
      <c r="H309" s="11">
        <f>10.6588 * CHOOSE(CONTROL!$C$32, $C$9, 100%, $E$9)</f>
        <v>10.658799999999999</v>
      </c>
      <c r="I309" s="11">
        <f>10.663 * CHOOSE(CONTROL!$C$32, $C$9, 100%, $E$9)</f>
        <v>10.663</v>
      </c>
      <c r="J309" s="11">
        <f>10.6588 * CHOOSE(CONTROL!$C$32, $C$9, 100%, $E$9)</f>
        <v>10.658799999999999</v>
      </c>
      <c r="K309" s="11">
        <f>10.663 * CHOOSE(CONTROL!$C$32, $C$9, 100%, $E$9)</f>
        <v>10.663</v>
      </c>
      <c r="L309" s="11">
        <f>6.5198 * CHOOSE(CONTROL!$C$32, $C$9, 100%, $E$9)</f>
        <v>6.5198</v>
      </c>
      <c r="M309" s="11">
        <f>6.524 * CHOOSE(CONTROL!$C$32, $C$9, 100%, $E$9)</f>
        <v>6.524</v>
      </c>
      <c r="N309" s="11">
        <f>6.5198 * CHOOSE(CONTROL!$C$32, $C$9, 100%, $E$9)</f>
        <v>6.5198</v>
      </c>
      <c r="O309" s="11">
        <f>6.524 * CHOOSE(CONTROL!$C$32, $C$9, 100%, $E$9)</f>
        <v>6.524</v>
      </c>
    </row>
    <row r="310" spans="1:15" ht="15" x14ac:dyDescent="0.2">
      <c r="A310" s="13">
        <v>50284</v>
      </c>
      <c r="B310" s="9">
        <f>5.0014 * CHOOSE(CONTROL!$C$32, $C$9, 100%, $E$9)</f>
        <v>5.0014000000000003</v>
      </c>
      <c r="C310" s="9">
        <f>5.0014 * CHOOSE(CONTROL!$C$32, $C$9, 100%, $E$9)</f>
        <v>5.0014000000000003</v>
      </c>
      <c r="D310" s="9">
        <f>5.0026 * CHOOSE(CONTROL!$C$32, $C$9, 100%, $E$9)</f>
        <v>5.0026000000000002</v>
      </c>
      <c r="E310" s="11">
        <f>6.5066 * CHOOSE(CONTROL!$C$32, $C$9, 100%, $E$9)</f>
        <v>6.5065999999999997</v>
      </c>
      <c r="F310" s="11">
        <f>6.5066 * CHOOSE(CONTROL!$C$32, $C$9, 100%, $E$9)</f>
        <v>6.5065999999999997</v>
      </c>
      <c r="G310" s="11">
        <f>6.5108 * CHOOSE(CONTROL!$C$32, $C$9, 100%, $E$9)</f>
        <v>6.5107999999999997</v>
      </c>
      <c r="H310" s="11">
        <f>10.681 * CHOOSE(CONTROL!$C$32, $C$9, 100%, $E$9)</f>
        <v>10.680999999999999</v>
      </c>
      <c r="I310" s="11">
        <f>10.6852 * CHOOSE(CONTROL!$C$32, $C$9, 100%, $E$9)</f>
        <v>10.6852</v>
      </c>
      <c r="J310" s="11">
        <f>10.681 * CHOOSE(CONTROL!$C$32, $C$9, 100%, $E$9)</f>
        <v>10.680999999999999</v>
      </c>
      <c r="K310" s="11">
        <f>10.6852 * CHOOSE(CONTROL!$C$32, $C$9, 100%, $E$9)</f>
        <v>10.6852</v>
      </c>
      <c r="L310" s="11">
        <f>6.5066 * CHOOSE(CONTROL!$C$32, $C$9, 100%, $E$9)</f>
        <v>6.5065999999999997</v>
      </c>
      <c r="M310" s="11">
        <f>6.5108 * CHOOSE(CONTROL!$C$32, $C$9, 100%, $E$9)</f>
        <v>6.5107999999999997</v>
      </c>
      <c r="N310" s="11">
        <f>6.5066 * CHOOSE(CONTROL!$C$32, $C$9, 100%, $E$9)</f>
        <v>6.5065999999999997</v>
      </c>
      <c r="O310" s="11">
        <f>6.5108 * CHOOSE(CONTROL!$C$32, $C$9, 100%, $E$9)</f>
        <v>6.5107999999999997</v>
      </c>
    </row>
    <row r="311" spans="1:15" ht="15" x14ac:dyDescent="0.2">
      <c r="A311" s="13">
        <v>50314</v>
      </c>
      <c r="B311" s="9">
        <f>5.0002 * CHOOSE(CONTROL!$C$32, $C$9, 100%, $E$9)</f>
        <v>5.0002000000000004</v>
      </c>
      <c r="C311" s="9">
        <f>5.0002 * CHOOSE(CONTROL!$C$32, $C$9, 100%, $E$9)</f>
        <v>5.0002000000000004</v>
      </c>
      <c r="D311" s="9">
        <f>5.0011 * CHOOSE(CONTROL!$C$32, $C$9, 100%, $E$9)</f>
        <v>5.0011000000000001</v>
      </c>
      <c r="E311" s="11">
        <f>6.5374 * CHOOSE(CONTROL!$C$32, $C$9, 100%, $E$9)</f>
        <v>6.5373999999999999</v>
      </c>
      <c r="F311" s="11">
        <f>6.5374 * CHOOSE(CONTROL!$C$32, $C$9, 100%, $E$9)</f>
        <v>6.5373999999999999</v>
      </c>
      <c r="G311" s="11">
        <f>6.5406 * CHOOSE(CONTROL!$C$32, $C$9, 100%, $E$9)</f>
        <v>6.5406000000000004</v>
      </c>
      <c r="H311" s="11">
        <f>10.7032 * CHOOSE(CONTROL!$C$32, $C$9, 100%, $E$9)</f>
        <v>10.703200000000001</v>
      </c>
      <c r="I311" s="11">
        <f>10.7065 * CHOOSE(CONTROL!$C$32, $C$9, 100%, $E$9)</f>
        <v>10.7065</v>
      </c>
      <c r="J311" s="11">
        <f>10.7032 * CHOOSE(CONTROL!$C$32, $C$9, 100%, $E$9)</f>
        <v>10.703200000000001</v>
      </c>
      <c r="K311" s="11">
        <f>10.7065 * CHOOSE(CONTROL!$C$32, $C$9, 100%, $E$9)</f>
        <v>10.7065</v>
      </c>
      <c r="L311" s="11">
        <f>6.5374 * CHOOSE(CONTROL!$C$32, $C$9, 100%, $E$9)</f>
        <v>6.5373999999999999</v>
      </c>
      <c r="M311" s="11">
        <f>6.5406 * CHOOSE(CONTROL!$C$32, $C$9, 100%, $E$9)</f>
        <v>6.5406000000000004</v>
      </c>
      <c r="N311" s="11">
        <f>6.5374 * CHOOSE(CONTROL!$C$32, $C$9, 100%, $E$9)</f>
        <v>6.5373999999999999</v>
      </c>
      <c r="O311" s="11">
        <f>6.5406 * CHOOSE(CONTROL!$C$32, $C$9, 100%, $E$9)</f>
        <v>6.5406000000000004</v>
      </c>
    </row>
    <row r="312" spans="1:15" ht="15" x14ac:dyDescent="0.2">
      <c r="A312" s="13">
        <v>50345</v>
      </c>
      <c r="B312" s="9">
        <f>5.0032 * CHOOSE(CONTROL!$C$32, $C$9, 100%, $E$9)</f>
        <v>5.0031999999999996</v>
      </c>
      <c r="C312" s="9">
        <f>5.0032 * CHOOSE(CONTROL!$C$32, $C$9, 100%, $E$9)</f>
        <v>5.0031999999999996</v>
      </c>
      <c r="D312" s="9">
        <f>5.0042 * CHOOSE(CONTROL!$C$32, $C$9, 100%, $E$9)</f>
        <v>5.0042</v>
      </c>
      <c r="E312" s="11">
        <f>6.5616 * CHOOSE(CONTROL!$C$32, $C$9, 100%, $E$9)</f>
        <v>6.5616000000000003</v>
      </c>
      <c r="F312" s="11">
        <f>6.5616 * CHOOSE(CONTROL!$C$32, $C$9, 100%, $E$9)</f>
        <v>6.5616000000000003</v>
      </c>
      <c r="G312" s="11">
        <f>6.5649 * CHOOSE(CONTROL!$C$32, $C$9, 100%, $E$9)</f>
        <v>6.5648999999999997</v>
      </c>
      <c r="H312" s="11">
        <f>10.7255 * CHOOSE(CONTROL!$C$32, $C$9, 100%, $E$9)</f>
        <v>10.7255</v>
      </c>
      <c r="I312" s="11">
        <f>10.7288 * CHOOSE(CONTROL!$C$32, $C$9, 100%, $E$9)</f>
        <v>10.7288</v>
      </c>
      <c r="J312" s="11">
        <f>10.7255 * CHOOSE(CONTROL!$C$32, $C$9, 100%, $E$9)</f>
        <v>10.7255</v>
      </c>
      <c r="K312" s="11">
        <f>10.7288 * CHOOSE(CONTROL!$C$32, $C$9, 100%, $E$9)</f>
        <v>10.7288</v>
      </c>
      <c r="L312" s="11">
        <f>6.5616 * CHOOSE(CONTROL!$C$32, $C$9, 100%, $E$9)</f>
        <v>6.5616000000000003</v>
      </c>
      <c r="M312" s="11">
        <f>6.5649 * CHOOSE(CONTROL!$C$32, $C$9, 100%, $E$9)</f>
        <v>6.5648999999999997</v>
      </c>
      <c r="N312" s="11">
        <f>6.5616 * CHOOSE(CONTROL!$C$32, $C$9, 100%, $E$9)</f>
        <v>6.5616000000000003</v>
      </c>
      <c r="O312" s="11">
        <f>6.5649 * CHOOSE(CONTROL!$C$32, $C$9, 100%, $E$9)</f>
        <v>6.5648999999999997</v>
      </c>
    </row>
    <row r="313" spans="1:15" ht="15" x14ac:dyDescent="0.2">
      <c r="A313" s="13">
        <v>50375</v>
      </c>
      <c r="B313" s="9">
        <f>5.0032 * CHOOSE(CONTROL!$C$32, $C$9, 100%, $E$9)</f>
        <v>5.0031999999999996</v>
      </c>
      <c r="C313" s="9">
        <f>5.0032 * CHOOSE(CONTROL!$C$32, $C$9, 100%, $E$9)</f>
        <v>5.0031999999999996</v>
      </c>
      <c r="D313" s="9">
        <f>5.0042 * CHOOSE(CONTROL!$C$32, $C$9, 100%, $E$9)</f>
        <v>5.0042</v>
      </c>
      <c r="E313" s="11">
        <f>6.5063 * CHOOSE(CONTROL!$C$32, $C$9, 100%, $E$9)</f>
        <v>6.5063000000000004</v>
      </c>
      <c r="F313" s="11">
        <f>6.5063 * CHOOSE(CONTROL!$C$32, $C$9, 100%, $E$9)</f>
        <v>6.5063000000000004</v>
      </c>
      <c r="G313" s="11">
        <f>6.5096 * CHOOSE(CONTROL!$C$32, $C$9, 100%, $E$9)</f>
        <v>6.5095999999999998</v>
      </c>
      <c r="H313" s="11">
        <f>10.7479 * CHOOSE(CONTROL!$C$32, $C$9, 100%, $E$9)</f>
        <v>10.7479</v>
      </c>
      <c r="I313" s="11">
        <f>10.7511 * CHOOSE(CONTROL!$C$32, $C$9, 100%, $E$9)</f>
        <v>10.751099999999999</v>
      </c>
      <c r="J313" s="11">
        <f>10.7479 * CHOOSE(CONTROL!$C$32, $C$9, 100%, $E$9)</f>
        <v>10.7479</v>
      </c>
      <c r="K313" s="11">
        <f>10.7511 * CHOOSE(CONTROL!$C$32, $C$9, 100%, $E$9)</f>
        <v>10.751099999999999</v>
      </c>
      <c r="L313" s="11">
        <f>6.5063 * CHOOSE(CONTROL!$C$32, $C$9, 100%, $E$9)</f>
        <v>6.5063000000000004</v>
      </c>
      <c r="M313" s="11">
        <f>6.5096 * CHOOSE(CONTROL!$C$32, $C$9, 100%, $E$9)</f>
        <v>6.5095999999999998</v>
      </c>
      <c r="N313" s="11">
        <f>6.5063 * CHOOSE(CONTROL!$C$32, $C$9, 100%, $E$9)</f>
        <v>6.5063000000000004</v>
      </c>
      <c r="O313" s="11">
        <f>6.5096 * CHOOSE(CONTROL!$C$32, $C$9, 100%, $E$9)</f>
        <v>6.5095999999999998</v>
      </c>
    </row>
    <row r="314" spans="1:15" ht="15" x14ac:dyDescent="0.2">
      <c r="A314" s="13">
        <v>50406</v>
      </c>
      <c r="B314" s="9">
        <f>5.043 * CHOOSE(CONTROL!$C$32, $C$9, 100%, $E$9)</f>
        <v>5.0430000000000001</v>
      </c>
      <c r="C314" s="9">
        <f>5.043 * CHOOSE(CONTROL!$C$32, $C$9, 100%, $E$9)</f>
        <v>5.0430000000000001</v>
      </c>
      <c r="D314" s="9">
        <f>5.0439 * CHOOSE(CONTROL!$C$32, $C$9, 100%, $E$9)</f>
        <v>5.0438999999999998</v>
      </c>
      <c r="E314" s="11">
        <f>6.5545 * CHOOSE(CONTROL!$C$32, $C$9, 100%, $E$9)</f>
        <v>6.5545</v>
      </c>
      <c r="F314" s="11">
        <f>6.5545 * CHOOSE(CONTROL!$C$32, $C$9, 100%, $E$9)</f>
        <v>6.5545</v>
      </c>
      <c r="G314" s="11">
        <f>6.5578 * CHOOSE(CONTROL!$C$32, $C$9, 100%, $E$9)</f>
        <v>6.5578000000000003</v>
      </c>
      <c r="H314" s="11">
        <f>10.7703 * CHOOSE(CONTROL!$C$32, $C$9, 100%, $E$9)</f>
        <v>10.770300000000001</v>
      </c>
      <c r="I314" s="11">
        <f>10.7735 * CHOOSE(CONTROL!$C$32, $C$9, 100%, $E$9)</f>
        <v>10.7735</v>
      </c>
      <c r="J314" s="11">
        <f>10.7703 * CHOOSE(CONTROL!$C$32, $C$9, 100%, $E$9)</f>
        <v>10.770300000000001</v>
      </c>
      <c r="K314" s="11">
        <f>10.7735 * CHOOSE(CONTROL!$C$32, $C$9, 100%, $E$9)</f>
        <v>10.7735</v>
      </c>
      <c r="L314" s="11">
        <f>6.5545 * CHOOSE(CONTROL!$C$32, $C$9, 100%, $E$9)</f>
        <v>6.5545</v>
      </c>
      <c r="M314" s="11">
        <f>6.5578 * CHOOSE(CONTROL!$C$32, $C$9, 100%, $E$9)</f>
        <v>6.5578000000000003</v>
      </c>
      <c r="N314" s="11">
        <f>6.5545 * CHOOSE(CONTROL!$C$32, $C$9, 100%, $E$9)</f>
        <v>6.5545</v>
      </c>
      <c r="O314" s="11">
        <f>6.5578 * CHOOSE(CONTROL!$C$32, $C$9, 100%, $E$9)</f>
        <v>6.5578000000000003</v>
      </c>
    </row>
    <row r="315" spans="1:15" ht="15" x14ac:dyDescent="0.2">
      <c r="A315" s="13">
        <v>50437</v>
      </c>
      <c r="B315" s="9">
        <f>5.0399 * CHOOSE(CONTROL!$C$32, $C$9, 100%, $E$9)</f>
        <v>5.0399000000000003</v>
      </c>
      <c r="C315" s="9">
        <f>5.0399 * CHOOSE(CONTROL!$C$32, $C$9, 100%, $E$9)</f>
        <v>5.0399000000000003</v>
      </c>
      <c r="D315" s="9">
        <f>5.0409 * CHOOSE(CONTROL!$C$32, $C$9, 100%, $E$9)</f>
        <v>5.0408999999999997</v>
      </c>
      <c r="E315" s="11">
        <f>6.4445 * CHOOSE(CONTROL!$C$32, $C$9, 100%, $E$9)</f>
        <v>6.4444999999999997</v>
      </c>
      <c r="F315" s="11">
        <f>6.4445 * CHOOSE(CONTROL!$C$32, $C$9, 100%, $E$9)</f>
        <v>6.4444999999999997</v>
      </c>
      <c r="G315" s="11">
        <f>6.4478 * CHOOSE(CONTROL!$C$32, $C$9, 100%, $E$9)</f>
        <v>6.4478</v>
      </c>
      <c r="H315" s="11">
        <f>10.7927 * CHOOSE(CONTROL!$C$32, $C$9, 100%, $E$9)</f>
        <v>10.7927</v>
      </c>
      <c r="I315" s="11">
        <f>10.7959 * CHOOSE(CONTROL!$C$32, $C$9, 100%, $E$9)</f>
        <v>10.7959</v>
      </c>
      <c r="J315" s="11">
        <f>10.7927 * CHOOSE(CONTROL!$C$32, $C$9, 100%, $E$9)</f>
        <v>10.7927</v>
      </c>
      <c r="K315" s="11">
        <f>10.7959 * CHOOSE(CONTROL!$C$32, $C$9, 100%, $E$9)</f>
        <v>10.7959</v>
      </c>
      <c r="L315" s="11">
        <f>6.4445 * CHOOSE(CONTROL!$C$32, $C$9, 100%, $E$9)</f>
        <v>6.4444999999999997</v>
      </c>
      <c r="M315" s="11">
        <f>6.4478 * CHOOSE(CONTROL!$C$32, $C$9, 100%, $E$9)</f>
        <v>6.4478</v>
      </c>
      <c r="N315" s="11">
        <f>6.4445 * CHOOSE(CONTROL!$C$32, $C$9, 100%, $E$9)</f>
        <v>6.4444999999999997</v>
      </c>
      <c r="O315" s="11">
        <f>6.4478 * CHOOSE(CONTROL!$C$32, $C$9, 100%, $E$9)</f>
        <v>6.4478</v>
      </c>
    </row>
    <row r="316" spans="1:15" ht="15" x14ac:dyDescent="0.2">
      <c r="A316" s="13">
        <v>50465</v>
      </c>
      <c r="B316" s="9">
        <f>5.0369 * CHOOSE(CONTROL!$C$32, $C$9, 100%, $E$9)</f>
        <v>5.0369000000000002</v>
      </c>
      <c r="C316" s="9">
        <f>5.0369 * CHOOSE(CONTROL!$C$32, $C$9, 100%, $E$9)</f>
        <v>5.0369000000000002</v>
      </c>
      <c r="D316" s="9">
        <f>5.0379 * CHOOSE(CONTROL!$C$32, $C$9, 100%, $E$9)</f>
        <v>5.0378999999999996</v>
      </c>
      <c r="E316" s="11">
        <f>6.5275 * CHOOSE(CONTROL!$C$32, $C$9, 100%, $E$9)</f>
        <v>6.5274999999999999</v>
      </c>
      <c r="F316" s="11">
        <f>6.5275 * CHOOSE(CONTROL!$C$32, $C$9, 100%, $E$9)</f>
        <v>6.5274999999999999</v>
      </c>
      <c r="G316" s="11">
        <f>6.5307 * CHOOSE(CONTROL!$C$32, $C$9, 100%, $E$9)</f>
        <v>6.5307000000000004</v>
      </c>
      <c r="H316" s="11">
        <f>10.8152 * CHOOSE(CONTROL!$C$32, $C$9, 100%, $E$9)</f>
        <v>10.815200000000001</v>
      </c>
      <c r="I316" s="11">
        <f>10.8184 * CHOOSE(CONTROL!$C$32, $C$9, 100%, $E$9)</f>
        <v>10.8184</v>
      </c>
      <c r="J316" s="11">
        <f>10.8152 * CHOOSE(CONTROL!$C$32, $C$9, 100%, $E$9)</f>
        <v>10.815200000000001</v>
      </c>
      <c r="K316" s="11">
        <f>10.8184 * CHOOSE(CONTROL!$C$32, $C$9, 100%, $E$9)</f>
        <v>10.8184</v>
      </c>
      <c r="L316" s="11">
        <f>6.5275 * CHOOSE(CONTROL!$C$32, $C$9, 100%, $E$9)</f>
        <v>6.5274999999999999</v>
      </c>
      <c r="M316" s="11">
        <f>6.5307 * CHOOSE(CONTROL!$C$32, $C$9, 100%, $E$9)</f>
        <v>6.5307000000000004</v>
      </c>
      <c r="N316" s="11">
        <f>6.5275 * CHOOSE(CONTROL!$C$32, $C$9, 100%, $E$9)</f>
        <v>6.5274999999999999</v>
      </c>
      <c r="O316" s="11">
        <f>6.5307 * CHOOSE(CONTROL!$C$32, $C$9, 100%, $E$9)</f>
        <v>6.5307000000000004</v>
      </c>
    </row>
    <row r="317" spans="1:15" ht="15" x14ac:dyDescent="0.2">
      <c r="A317" s="13">
        <v>50496</v>
      </c>
      <c r="B317" s="9">
        <f>5.0356 * CHOOSE(CONTROL!$C$32, $C$9, 100%, $E$9)</f>
        <v>5.0355999999999996</v>
      </c>
      <c r="C317" s="9">
        <f>5.0356 * CHOOSE(CONTROL!$C$32, $C$9, 100%, $E$9)</f>
        <v>5.0355999999999996</v>
      </c>
      <c r="D317" s="9">
        <f>5.0365 * CHOOSE(CONTROL!$C$32, $C$9, 100%, $E$9)</f>
        <v>5.0365000000000002</v>
      </c>
      <c r="E317" s="11">
        <f>6.6146 * CHOOSE(CONTROL!$C$32, $C$9, 100%, $E$9)</f>
        <v>6.6146000000000003</v>
      </c>
      <c r="F317" s="11">
        <f>6.6146 * CHOOSE(CONTROL!$C$32, $C$9, 100%, $E$9)</f>
        <v>6.6146000000000003</v>
      </c>
      <c r="G317" s="11">
        <f>6.6178 * CHOOSE(CONTROL!$C$32, $C$9, 100%, $E$9)</f>
        <v>6.6177999999999999</v>
      </c>
      <c r="H317" s="11">
        <f>10.8377 * CHOOSE(CONTROL!$C$32, $C$9, 100%, $E$9)</f>
        <v>10.8377</v>
      </c>
      <c r="I317" s="11">
        <f>10.841 * CHOOSE(CONTROL!$C$32, $C$9, 100%, $E$9)</f>
        <v>10.840999999999999</v>
      </c>
      <c r="J317" s="11">
        <f>10.8377 * CHOOSE(CONTROL!$C$32, $C$9, 100%, $E$9)</f>
        <v>10.8377</v>
      </c>
      <c r="K317" s="11">
        <f>10.841 * CHOOSE(CONTROL!$C$32, $C$9, 100%, $E$9)</f>
        <v>10.840999999999999</v>
      </c>
      <c r="L317" s="11">
        <f>6.6146 * CHOOSE(CONTROL!$C$32, $C$9, 100%, $E$9)</f>
        <v>6.6146000000000003</v>
      </c>
      <c r="M317" s="11">
        <f>6.6178 * CHOOSE(CONTROL!$C$32, $C$9, 100%, $E$9)</f>
        <v>6.6177999999999999</v>
      </c>
      <c r="N317" s="11">
        <f>6.6146 * CHOOSE(CONTROL!$C$32, $C$9, 100%, $E$9)</f>
        <v>6.6146000000000003</v>
      </c>
      <c r="O317" s="11">
        <f>6.6178 * CHOOSE(CONTROL!$C$32, $C$9, 100%, $E$9)</f>
        <v>6.6177999999999999</v>
      </c>
    </row>
    <row r="318" spans="1:15" ht="15" x14ac:dyDescent="0.2">
      <c r="A318" s="13">
        <v>50526</v>
      </c>
      <c r="B318" s="9">
        <f>5.0356 * CHOOSE(CONTROL!$C$32, $C$9, 100%, $E$9)</f>
        <v>5.0355999999999996</v>
      </c>
      <c r="C318" s="9">
        <f>5.0356 * CHOOSE(CONTROL!$C$32, $C$9, 100%, $E$9)</f>
        <v>5.0355999999999996</v>
      </c>
      <c r="D318" s="9">
        <f>5.0368 * CHOOSE(CONTROL!$C$32, $C$9, 100%, $E$9)</f>
        <v>5.0368000000000004</v>
      </c>
      <c r="E318" s="11">
        <f>6.6488 * CHOOSE(CONTROL!$C$32, $C$9, 100%, $E$9)</f>
        <v>6.6487999999999996</v>
      </c>
      <c r="F318" s="11">
        <f>6.6488 * CHOOSE(CONTROL!$C$32, $C$9, 100%, $E$9)</f>
        <v>6.6487999999999996</v>
      </c>
      <c r="G318" s="11">
        <f>6.653 * CHOOSE(CONTROL!$C$32, $C$9, 100%, $E$9)</f>
        <v>6.6529999999999996</v>
      </c>
      <c r="H318" s="11">
        <f>10.8603 * CHOOSE(CONTROL!$C$32, $C$9, 100%, $E$9)</f>
        <v>10.860300000000001</v>
      </c>
      <c r="I318" s="11">
        <f>10.8645 * CHOOSE(CONTROL!$C$32, $C$9, 100%, $E$9)</f>
        <v>10.8645</v>
      </c>
      <c r="J318" s="11">
        <f>10.8603 * CHOOSE(CONTROL!$C$32, $C$9, 100%, $E$9)</f>
        <v>10.860300000000001</v>
      </c>
      <c r="K318" s="11">
        <f>10.8645 * CHOOSE(CONTROL!$C$32, $C$9, 100%, $E$9)</f>
        <v>10.8645</v>
      </c>
      <c r="L318" s="11">
        <f>6.6488 * CHOOSE(CONTROL!$C$32, $C$9, 100%, $E$9)</f>
        <v>6.6487999999999996</v>
      </c>
      <c r="M318" s="11">
        <f>6.653 * CHOOSE(CONTROL!$C$32, $C$9, 100%, $E$9)</f>
        <v>6.6529999999999996</v>
      </c>
      <c r="N318" s="11">
        <f>6.6488 * CHOOSE(CONTROL!$C$32, $C$9, 100%, $E$9)</f>
        <v>6.6487999999999996</v>
      </c>
      <c r="O318" s="11">
        <f>6.653 * CHOOSE(CONTROL!$C$32, $C$9, 100%, $E$9)</f>
        <v>6.6529999999999996</v>
      </c>
    </row>
    <row r="319" spans="1:15" ht="15" x14ac:dyDescent="0.2">
      <c r="A319" s="13">
        <v>50557</v>
      </c>
      <c r="B319" s="9">
        <f>5.0416 * CHOOSE(CONTROL!$C$32, $C$9, 100%, $E$9)</f>
        <v>5.0415999999999999</v>
      </c>
      <c r="C319" s="9">
        <f>5.0416 * CHOOSE(CONTROL!$C$32, $C$9, 100%, $E$9)</f>
        <v>5.0415999999999999</v>
      </c>
      <c r="D319" s="9">
        <f>5.0429 * CHOOSE(CONTROL!$C$32, $C$9, 100%, $E$9)</f>
        <v>5.0429000000000004</v>
      </c>
      <c r="E319" s="11">
        <f>6.6188 * CHOOSE(CONTROL!$C$32, $C$9, 100%, $E$9)</f>
        <v>6.6188000000000002</v>
      </c>
      <c r="F319" s="11">
        <f>6.6188 * CHOOSE(CONTROL!$C$32, $C$9, 100%, $E$9)</f>
        <v>6.6188000000000002</v>
      </c>
      <c r="G319" s="11">
        <f>6.623 * CHOOSE(CONTROL!$C$32, $C$9, 100%, $E$9)</f>
        <v>6.6230000000000002</v>
      </c>
      <c r="H319" s="11">
        <f>10.8829 * CHOOSE(CONTROL!$C$32, $C$9, 100%, $E$9)</f>
        <v>10.882899999999999</v>
      </c>
      <c r="I319" s="11">
        <f>10.8871 * CHOOSE(CONTROL!$C$32, $C$9, 100%, $E$9)</f>
        <v>10.8871</v>
      </c>
      <c r="J319" s="11">
        <f>10.8829 * CHOOSE(CONTROL!$C$32, $C$9, 100%, $E$9)</f>
        <v>10.882899999999999</v>
      </c>
      <c r="K319" s="11">
        <f>10.8871 * CHOOSE(CONTROL!$C$32, $C$9, 100%, $E$9)</f>
        <v>10.8871</v>
      </c>
      <c r="L319" s="11">
        <f>6.6188 * CHOOSE(CONTROL!$C$32, $C$9, 100%, $E$9)</f>
        <v>6.6188000000000002</v>
      </c>
      <c r="M319" s="11">
        <f>6.623 * CHOOSE(CONTROL!$C$32, $C$9, 100%, $E$9)</f>
        <v>6.6230000000000002</v>
      </c>
      <c r="N319" s="11">
        <f>6.6188 * CHOOSE(CONTROL!$C$32, $C$9, 100%, $E$9)</f>
        <v>6.6188000000000002</v>
      </c>
      <c r="O319" s="11">
        <f>6.623 * CHOOSE(CONTROL!$C$32, $C$9, 100%, $E$9)</f>
        <v>6.6230000000000002</v>
      </c>
    </row>
    <row r="320" spans="1:15" ht="15" x14ac:dyDescent="0.2">
      <c r="A320" s="13">
        <v>50587</v>
      </c>
      <c r="B320" s="9">
        <f>5.1131 * CHOOSE(CONTROL!$C$32, $C$9, 100%, $E$9)</f>
        <v>5.1131000000000002</v>
      </c>
      <c r="C320" s="9">
        <f>5.1131 * CHOOSE(CONTROL!$C$32, $C$9, 100%, $E$9)</f>
        <v>5.1131000000000002</v>
      </c>
      <c r="D320" s="9">
        <f>5.1143 * CHOOSE(CONTROL!$C$32, $C$9, 100%, $E$9)</f>
        <v>5.1143000000000001</v>
      </c>
      <c r="E320" s="11">
        <f>6.6086 * CHOOSE(CONTROL!$C$32, $C$9, 100%, $E$9)</f>
        <v>6.6086</v>
      </c>
      <c r="F320" s="11">
        <f>6.6086 * CHOOSE(CONTROL!$C$32, $C$9, 100%, $E$9)</f>
        <v>6.6086</v>
      </c>
      <c r="G320" s="11">
        <f>6.6128 * CHOOSE(CONTROL!$C$32, $C$9, 100%, $E$9)</f>
        <v>6.6128</v>
      </c>
      <c r="H320" s="11">
        <f>10.9056 * CHOOSE(CONTROL!$C$32, $C$9, 100%, $E$9)</f>
        <v>10.9056</v>
      </c>
      <c r="I320" s="11">
        <f>10.9098 * CHOOSE(CONTROL!$C$32, $C$9, 100%, $E$9)</f>
        <v>10.909800000000001</v>
      </c>
      <c r="J320" s="11">
        <f>10.9056 * CHOOSE(CONTROL!$C$32, $C$9, 100%, $E$9)</f>
        <v>10.9056</v>
      </c>
      <c r="K320" s="11">
        <f>10.9098 * CHOOSE(CONTROL!$C$32, $C$9, 100%, $E$9)</f>
        <v>10.909800000000001</v>
      </c>
      <c r="L320" s="11">
        <f>6.6086 * CHOOSE(CONTROL!$C$32, $C$9, 100%, $E$9)</f>
        <v>6.6086</v>
      </c>
      <c r="M320" s="11">
        <f>6.6128 * CHOOSE(CONTROL!$C$32, $C$9, 100%, $E$9)</f>
        <v>6.6128</v>
      </c>
      <c r="N320" s="11">
        <f>6.6086 * CHOOSE(CONTROL!$C$32, $C$9, 100%, $E$9)</f>
        <v>6.6086</v>
      </c>
      <c r="O320" s="11">
        <f>6.6128 * CHOOSE(CONTROL!$C$32, $C$9, 100%, $E$9)</f>
        <v>6.6128</v>
      </c>
    </row>
    <row r="321" spans="1:15" ht="15" x14ac:dyDescent="0.2">
      <c r="A321" s="13">
        <v>50618</v>
      </c>
      <c r="B321" s="9">
        <f>5.1198 * CHOOSE(CONTROL!$C$32, $C$9, 100%, $E$9)</f>
        <v>5.1197999999999997</v>
      </c>
      <c r="C321" s="9">
        <f>5.1198 * CHOOSE(CONTROL!$C$32, $C$9, 100%, $E$9)</f>
        <v>5.1197999999999997</v>
      </c>
      <c r="D321" s="9">
        <f>5.121 * CHOOSE(CONTROL!$C$32, $C$9, 100%, $E$9)</f>
        <v>5.1210000000000004</v>
      </c>
      <c r="E321" s="11">
        <f>6.5105 * CHOOSE(CONTROL!$C$32, $C$9, 100%, $E$9)</f>
        <v>6.5105000000000004</v>
      </c>
      <c r="F321" s="11">
        <f>6.5105 * CHOOSE(CONTROL!$C$32, $C$9, 100%, $E$9)</f>
        <v>6.5105000000000004</v>
      </c>
      <c r="G321" s="11">
        <f>6.5147 * CHOOSE(CONTROL!$C$32, $C$9, 100%, $E$9)</f>
        <v>6.5147000000000004</v>
      </c>
      <c r="H321" s="11">
        <f>10.9283 * CHOOSE(CONTROL!$C$32, $C$9, 100%, $E$9)</f>
        <v>10.9283</v>
      </c>
      <c r="I321" s="11">
        <f>10.9325 * CHOOSE(CONTROL!$C$32, $C$9, 100%, $E$9)</f>
        <v>10.932499999999999</v>
      </c>
      <c r="J321" s="11">
        <f>10.9283 * CHOOSE(CONTROL!$C$32, $C$9, 100%, $E$9)</f>
        <v>10.9283</v>
      </c>
      <c r="K321" s="11">
        <f>10.9325 * CHOOSE(CONTROL!$C$32, $C$9, 100%, $E$9)</f>
        <v>10.932499999999999</v>
      </c>
      <c r="L321" s="11">
        <f>6.5105 * CHOOSE(CONTROL!$C$32, $C$9, 100%, $E$9)</f>
        <v>6.5105000000000004</v>
      </c>
      <c r="M321" s="11">
        <f>6.5147 * CHOOSE(CONTROL!$C$32, $C$9, 100%, $E$9)</f>
        <v>6.5147000000000004</v>
      </c>
      <c r="N321" s="11">
        <f>6.5105 * CHOOSE(CONTROL!$C$32, $C$9, 100%, $E$9)</f>
        <v>6.5105000000000004</v>
      </c>
      <c r="O321" s="11">
        <f>6.5147 * CHOOSE(CONTROL!$C$32, $C$9, 100%, $E$9)</f>
        <v>6.5147000000000004</v>
      </c>
    </row>
    <row r="322" spans="1:15" ht="15" x14ac:dyDescent="0.2">
      <c r="A322" s="13">
        <v>50649</v>
      </c>
      <c r="B322" s="9">
        <f>5.1167 * CHOOSE(CONTROL!$C$32, $C$9, 100%, $E$9)</f>
        <v>5.1166999999999998</v>
      </c>
      <c r="C322" s="9">
        <f>5.1167 * CHOOSE(CONTROL!$C$32, $C$9, 100%, $E$9)</f>
        <v>5.1166999999999998</v>
      </c>
      <c r="D322" s="9">
        <f>5.118 * CHOOSE(CONTROL!$C$32, $C$9, 100%, $E$9)</f>
        <v>5.1180000000000003</v>
      </c>
      <c r="E322" s="11">
        <f>6.4969 * CHOOSE(CONTROL!$C$32, $C$9, 100%, $E$9)</f>
        <v>6.4969000000000001</v>
      </c>
      <c r="F322" s="11">
        <f>6.4969 * CHOOSE(CONTROL!$C$32, $C$9, 100%, $E$9)</f>
        <v>6.4969000000000001</v>
      </c>
      <c r="G322" s="11">
        <f>6.5011 * CHOOSE(CONTROL!$C$32, $C$9, 100%, $E$9)</f>
        <v>6.5011000000000001</v>
      </c>
      <c r="H322" s="11">
        <f>10.9511 * CHOOSE(CONTROL!$C$32, $C$9, 100%, $E$9)</f>
        <v>10.9511</v>
      </c>
      <c r="I322" s="11">
        <f>10.9553 * CHOOSE(CONTROL!$C$32, $C$9, 100%, $E$9)</f>
        <v>10.955299999999999</v>
      </c>
      <c r="J322" s="11">
        <f>10.9511 * CHOOSE(CONTROL!$C$32, $C$9, 100%, $E$9)</f>
        <v>10.9511</v>
      </c>
      <c r="K322" s="11">
        <f>10.9553 * CHOOSE(CONTROL!$C$32, $C$9, 100%, $E$9)</f>
        <v>10.955299999999999</v>
      </c>
      <c r="L322" s="11">
        <f>6.4969 * CHOOSE(CONTROL!$C$32, $C$9, 100%, $E$9)</f>
        <v>6.4969000000000001</v>
      </c>
      <c r="M322" s="11">
        <f>6.5011 * CHOOSE(CONTROL!$C$32, $C$9, 100%, $E$9)</f>
        <v>6.5011000000000001</v>
      </c>
      <c r="N322" s="11">
        <f>6.4969 * CHOOSE(CONTROL!$C$32, $C$9, 100%, $E$9)</f>
        <v>6.4969000000000001</v>
      </c>
      <c r="O322" s="11">
        <f>6.5011 * CHOOSE(CONTROL!$C$32, $C$9, 100%, $E$9)</f>
        <v>6.5011000000000001</v>
      </c>
    </row>
    <row r="323" spans="1:15" ht="15" x14ac:dyDescent="0.2">
      <c r="A323" s="13">
        <v>50679</v>
      </c>
      <c r="B323" s="9">
        <f>5.1159 * CHOOSE(CONTROL!$C$32, $C$9, 100%, $E$9)</f>
        <v>5.1158999999999999</v>
      </c>
      <c r="C323" s="9">
        <f>5.1159 * CHOOSE(CONTROL!$C$32, $C$9, 100%, $E$9)</f>
        <v>5.1158999999999999</v>
      </c>
      <c r="D323" s="9">
        <f>5.1169 * CHOOSE(CONTROL!$C$32, $C$9, 100%, $E$9)</f>
        <v>5.1169000000000002</v>
      </c>
      <c r="E323" s="11">
        <f>6.5292 * CHOOSE(CONTROL!$C$32, $C$9, 100%, $E$9)</f>
        <v>6.5292000000000003</v>
      </c>
      <c r="F323" s="11">
        <f>6.5292 * CHOOSE(CONTROL!$C$32, $C$9, 100%, $E$9)</f>
        <v>6.5292000000000003</v>
      </c>
      <c r="G323" s="11">
        <f>6.5324 * CHOOSE(CONTROL!$C$32, $C$9, 100%, $E$9)</f>
        <v>6.5324</v>
      </c>
      <c r="H323" s="11">
        <f>10.9739 * CHOOSE(CONTROL!$C$32, $C$9, 100%, $E$9)</f>
        <v>10.9739</v>
      </c>
      <c r="I323" s="11">
        <f>10.9771 * CHOOSE(CONTROL!$C$32, $C$9, 100%, $E$9)</f>
        <v>10.9771</v>
      </c>
      <c r="J323" s="11">
        <f>10.9739 * CHOOSE(CONTROL!$C$32, $C$9, 100%, $E$9)</f>
        <v>10.9739</v>
      </c>
      <c r="K323" s="11">
        <f>10.9771 * CHOOSE(CONTROL!$C$32, $C$9, 100%, $E$9)</f>
        <v>10.9771</v>
      </c>
      <c r="L323" s="11">
        <f>6.5292 * CHOOSE(CONTROL!$C$32, $C$9, 100%, $E$9)</f>
        <v>6.5292000000000003</v>
      </c>
      <c r="M323" s="11">
        <f>6.5324 * CHOOSE(CONTROL!$C$32, $C$9, 100%, $E$9)</f>
        <v>6.5324</v>
      </c>
      <c r="N323" s="11">
        <f>6.5292 * CHOOSE(CONTROL!$C$32, $C$9, 100%, $E$9)</f>
        <v>6.5292000000000003</v>
      </c>
      <c r="O323" s="11">
        <f>6.5324 * CHOOSE(CONTROL!$C$32, $C$9, 100%, $E$9)</f>
        <v>6.5324</v>
      </c>
    </row>
    <row r="324" spans="1:15" ht="15" x14ac:dyDescent="0.2">
      <c r="A324" s="13">
        <v>50710</v>
      </c>
      <c r="B324" s="9">
        <f>5.119 * CHOOSE(CONTROL!$C$32, $C$9, 100%, $E$9)</f>
        <v>5.1189999999999998</v>
      </c>
      <c r="C324" s="9">
        <f>5.119 * CHOOSE(CONTROL!$C$32, $C$9, 100%, $E$9)</f>
        <v>5.1189999999999998</v>
      </c>
      <c r="D324" s="9">
        <f>5.1199 * CHOOSE(CONTROL!$C$32, $C$9, 100%, $E$9)</f>
        <v>5.1199000000000003</v>
      </c>
      <c r="E324" s="11">
        <f>6.5541 * CHOOSE(CONTROL!$C$32, $C$9, 100%, $E$9)</f>
        <v>6.5541</v>
      </c>
      <c r="F324" s="11">
        <f>6.5541 * CHOOSE(CONTROL!$C$32, $C$9, 100%, $E$9)</f>
        <v>6.5541</v>
      </c>
      <c r="G324" s="11">
        <f>6.5574 * CHOOSE(CONTROL!$C$32, $C$9, 100%, $E$9)</f>
        <v>6.5574000000000003</v>
      </c>
      <c r="H324" s="11">
        <f>10.9968 * CHOOSE(CONTROL!$C$32, $C$9, 100%, $E$9)</f>
        <v>10.9968</v>
      </c>
      <c r="I324" s="11">
        <f>11 * CHOOSE(CONTROL!$C$32, $C$9, 100%, $E$9)</f>
        <v>11</v>
      </c>
      <c r="J324" s="11">
        <f>10.9968 * CHOOSE(CONTROL!$C$32, $C$9, 100%, $E$9)</f>
        <v>10.9968</v>
      </c>
      <c r="K324" s="11">
        <f>11 * CHOOSE(CONTROL!$C$32, $C$9, 100%, $E$9)</f>
        <v>11</v>
      </c>
      <c r="L324" s="11">
        <f>6.5541 * CHOOSE(CONTROL!$C$32, $C$9, 100%, $E$9)</f>
        <v>6.5541</v>
      </c>
      <c r="M324" s="11">
        <f>6.5574 * CHOOSE(CONTROL!$C$32, $C$9, 100%, $E$9)</f>
        <v>6.5574000000000003</v>
      </c>
      <c r="N324" s="11">
        <f>6.5541 * CHOOSE(CONTROL!$C$32, $C$9, 100%, $E$9)</f>
        <v>6.5541</v>
      </c>
      <c r="O324" s="11">
        <f>6.5574 * CHOOSE(CONTROL!$C$32, $C$9, 100%, $E$9)</f>
        <v>6.5574000000000003</v>
      </c>
    </row>
    <row r="325" spans="1:15" ht="15" x14ac:dyDescent="0.2">
      <c r="A325" s="13">
        <v>50740</v>
      </c>
      <c r="B325" s="9">
        <f>5.119 * CHOOSE(CONTROL!$C$32, $C$9, 100%, $E$9)</f>
        <v>5.1189999999999998</v>
      </c>
      <c r="C325" s="9">
        <f>5.119 * CHOOSE(CONTROL!$C$32, $C$9, 100%, $E$9)</f>
        <v>5.1189999999999998</v>
      </c>
      <c r="D325" s="9">
        <f>5.1199 * CHOOSE(CONTROL!$C$32, $C$9, 100%, $E$9)</f>
        <v>5.1199000000000003</v>
      </c>
      <c r="E325" s="11">
        <f>6.533 * CHOOSE(CONTROL!$C$32, $C$9, 100%, $E$9)</f>
        <v>6.5330000000000004</v>
      </c>
      <c r="F325" s="11">
        <f>6.533 * CHOOSE(CONTROL!$C$32, $C$9, 100%, $E$9)</f>
        <v>6.5330000000000004</v>
      </c>
      <c r="G325" s="11">
        <f>6.5363 * CHOOSE(CONTROL!$C$32, $C$9, 100%, $E$9)</f>
        <v>6.5362999999999998</v>
      </c>
      <c r="H325" s="11">
        <f>11.0197 * CHOOSE(CONTROL!$C$32, $C$9, 100%, $E$9)</f>
        <v>11.0197</v>
      </c>
      <c r="I325" s="11">
        <f>11.0229 * CHOOSE(CONTROL!$C$32, $C$9, 100%, $E$9)</f>
        <v>11.0229</v>
      </c>
      <c r="J325" s="11">
        <f>11.0197 * CHOOSE(CONTROL!$C$32, $C$9, 100%, $E$9)</f>
        <v>11.0197</v>
      </c>
      <c r="K325" s="11">
        <f>11.0229 * CHOOSE(CONTROL!$C$32, $C$9, 100%, $E$9)</f>
        <v>11.0229</v>
      </c>
      <c r="L325" s="11">
        <f>6.533 * CHOOSE(CONTROL!$C$32, $C$9, 100%, $E$9)</f>
        <v>6.5330000000000004</v>
      </c>
      <c r="M325" s="11">
        <f>6.5363 * CHOOSE(CONTROL!$C$32, $C$9, 100%, $E$9)</f>
        <v>6.5362999999999998</v>
      </c>
      <c r="N325" s="11">
        <f>6.533 * CHOOSE(CONTROL!$C$32, $C$9, 100%, $E$9)</f>
        <v>6.5330000000000004</v>
      </c>
      <c r="O325" s="11">
        <f>6.5363 * CHOOSE(CONTROL!$C$32, $C$9, 100%, $E$9)</f>
        <v>6.5362999999999998</v>
      </c>
    </row>
    <row r="326" spans="1:15" ht="15" x14ac:dyDescent="0.2">
      <c r="A326" s="13">
        <v>50771</v>
      </c>
      <c r="B326" s="9">
        <f>5.1575 * CHOOSE(CONTROL!$C$32, $C$9, 100%, $E$9)</f>
        <v>5.1574999999999998</v>
      </c>
      <c r="C326" s="9">
        <f>5.1575 * CHOOSE(CONTROL!$C$32, $C$9, 100%, $E$9)</f>
        <v>5.1574999999999998</v>
      </c>
      <c r="D326" s="9">
        <f>5.1584 * CHOOSE(CONTROL!$C$32, $C$9, 100%, $E$9)</f>
        <v>5.1584000000000003</v>
      </c>
      <c r="E326" s="11">
        <f>6.5634 * CHOOSE(CONTROL!$C$32, $C$9, 100%, $E$9)</f>
        <v>6.5633999999999997</v>
      </c>
      <c r="F326" s="11">
        <f>6.5634 * CHOOSE(CONTROL!$C$32, $C$9, 100%, $E$9)</f>
        <v>6.5633999999999997</v>
      </c>
      <c r="G326" s="11">
        <f>6.5666 * CHOOSE(CONTROL!$C$32, $C$9, 100%, $E$9)</f>
        <v>6.5666000000000002</v>
      </c>
      <c r="H326" s="11">
        <f>11.0426 * CHOOSE(CONTROL!$C$32, $C$9, 100%, $E$9)</f>
        <v>11.0426</v>
      </c>
      <c r="I326" s="11">
        <f>11.0459 * CHOOSE(CONTROL!$C$32, $C$9, 100%, $E$9)</f>
        <v>11.0459</v>
      </c>
      <c r="J326" s="11">
        <f>11.0426 * CHOOSE(CONTROL!$C$32, $C$9, 100%, $E$9)</f>
        <v>11.0426</v>
      </c>
      <c r="K326" s="11">
        <f>11.0459 * CHOOSE(CONTROL!$C$32, $C$9, 100%, $E$9)</f>
        <v>11.0459</v>
      </c>
      <c r="L326" s="11">
        <f>6.5634 * CHOOSE(CONTROL!$C$32, $C$9, 100%, $E$9)</f>
        <v>6.5633999999999997</v>
      </c>
      <c r="M326" s="11">
        <f>6.5666 * CHOOSE(CONTROL!$C$32, $C$9, 100%, $E$9)</f>
        <v>6.5666000000000002</v>
      </c>
      <c r="N326" s="11">
        <f>6.5634 * CHOOSE(CONTROL!$C$32, $C$9, 100%, $E$9)</f>
        <v>6.5633999999999997</v>
      </c>
      <c r="O326" s="11">
        <f>6.5666 * CHOOSE(CONTROL!$C$32, $C$9, 100%, $E$9)</f>
        <v>6.5666000000000002</v>
      </c>
    </row>
    <row r="327" spans="1:15" ht="15" x14ac:dyDescent="0.2">
      <c r="A327" s="13">
        <v>50802</v>
      </c>
      <c r="B327" s="9">
        <f>5.1544 * CHOOSE(CONTROL!$C$32, $C$9, 100%, $E$9)</f>
        <v>5.1543999999999999</v>
      </c>
      <c r="C327" s="9">
        <f>5.1544 * CHOOSE(CONTROL!$C$32, $C$9, 100%, $E$9)</f>
        <v>5.1543999999999999</v>
      </c>
      <c r="D327" s="9">
        <f>5.1554 * CHOOSE(CONTROL!$C$32, $C$9, 100%, $E$9)</f>
        <v>5.1554000000000002</v>
      </c>
      <c r="E327" s="11">
        <f>6.4498 * CHOOSE(CONTROL!$C$32, $C$9, 100%, $E$9)</f>
        <v>6.4497999999999998</v>
      </c>
      <c r="F327" s="11">
        <f>6.4498 * CHOOSE(CONTROL!$C$32, $C$9, 100%, $E$9)</f>
        <v>6.4497999999999998</v>
      </c>
      <c r="G327" s="11">
        <f>6.4531 * CHOOSE(CONTROL!$C$32, $C$9, 100%, $E$9)</f>
        <v>6.4531000000000001</v>
      </c>
      <c r="H327" s="11">
        <f>11.0656 * CHOOSE(CONTROL!$C$32, $C$9, 100%, $E$9)</f>
        <v>11.0656</v>
      </c>
      <c r="I327" s="11">
        <f>11.0689 * CHOOSE(CONTROL!$C$32, $C$9, 100%, $E$9)</f>
        <v>11.068899999999999</v>
      </c>
      <c r="J327" s="11">
        <f>11.0656 * CHOOSE(CONTROL!$C$32, $C$9, 100%, $E$9)</f>
        <v>11.0656</v>
      </c>
      <c r="K327" s="11">
        <f>11.0689 * CHOOSE(CONTROL!$C$32, $C$9, 100%, $E$9)</f>
        <v>11.068899999999999</v>
      </c>
      <c r="L327" s="11">
        <f>6.4498 * CHOOSE(CONTROL!$C$32, $C$9, 100%, $E$9)</f>
        <v>6.4497999999999998</v>
      </c>
      <c r="M327" s="11">
        <f>6.4531 * CHOOSE(CONTROL!$C$32, $C$9, 100%, $E$9)</f>
        <v>6.4531000000000001</v>
      </c>
      <c r="N327" s="11">
        <f>6.4498 * CHOOSE(CONTROL!$C$32, $C$9, 100%, $E$9)</f>
        <v>6.4497999999999998</v>
      </c>
      <c r="O327" s="11">
        <f>6.4531 * CHOOSE(CONTROL!$C$32, $C$9, 100%, $E$9)</f>
        <v>6.4531000000000001</v>
      </c>
    </row>
    <row r="328" spans="1:15" ht="15" x14ac:dyDescent="0.2">
      <c r="A328" s="13">
        <v>50830</v>
      </c>
      <c r="B328" s="9">
        <f>5.1514 * CHOOSE(CONTROL!$C$32, $C$9, 100%, $E$9)</f>
        <v>5.1513999999999998</v>
      </c>
      <c r="C328" s="9">
        <f>5.1514 * CHOOSE(CONTROL!$C$32, $C$9, 100%, $E$9)</f>
        <v>5.1513999999999998</v>
      </c>
      <c r="D328" s="9">
        <f>5.1524 * CHOOSE(CONTROL!$C$32, $C$9, 100%, $E$9)</f>
        <v>5.1524000000000001</v>
      </c>
      <c r="E328" s="11">
        <f>6.5356 * CHOOSE(CONTROL!$C$32, $C$9, 100%, $E$9)</f>
        <v>6.5355999999999996</v>
      </c>
      <c r="F328" s="11">
        <f>6.5356 * CHOOSE(CONTROL!$C$32, $C$9, 100%, $E$9)</f>
        <v>6.5355999999999996</v>
      </c>
      <c r="G328" s="11">
        <f>6.5388 * CHOOSE(CONTROL!$C$32, $C$9, 100%, $E$9)</f>
        <v>6.5388000000000002</v>
      </c>
      <c r="H328" s="11">
        <f>11.0887 * CHOOSE(CONTROL!$C$32, $C$9, 100%, $E$9)</f>
        <v>11.088699999999999</v>
      </c>
      <c r="I328" s="11">
        <f>11.0919 * CHOOSE(CONTROL!$C$32, $C$9, 100%, $E$9)</f>
        <v>11.091900000000001</v>
      </c>
      <c r="J328" s="11">
        <f>11.0887 * CHOOSE(CONTROL!$C$32, $C$9, 100%, $E$9)</f>
        <v>11.088699999999999</v>
      </c>
      <c r="K328" s="11">
        <f>11.0919 * CHOOSE(CONTROL!$C$32, $C$9, 100%, $E$9)</f>
        <v>11.091900000000001</v>
      </c>
      <c r="L328" s="11">
        <f>6.5356 * CHOOSE(CONTROL!$C$32, $C$9, 100%, $E$9)</f>
        <v>6.5355999999999996</v>
      </c>
      <c r="M328" s="11">
        <f>6.5388 * CHOOSE(CONTROL!$C$32, $C$9, 100%, $E$9)</f>
        <v>6.5388000000000002</v>
      </c>
      <c r="N328" s="11">
        <f>6.5356 * CHOOSE(CONTROL!$C$32, $C$9, 100%, $E$9)</f>
        <v>6.5355999999999996</v>
      </c>
      <c r="O328" s="11">
        <f>6.5388 * CHOOSE(CONTROL!$C$32, $C$9, 100%, $E$9)</f>
        <v>6.5388000000000002</v>
      </c>
    </row>
    <row r="329" spans="1:15" ht="15" x14ac:dyDescent="0.2">
      <c r="A329" s="13">
        <v>50861</v>
      </c>
      <c r="B329" s="9">
        <f>5.1502 * CHOOSE(CONTROL!$C$32, $C$9, 100%, $E$9)</f>
        <v>5.1501999999999999</v>
      </c>
      <c r="C329" s="9">
        <f>5.1502 * CHOOSE(CONTROL!$C$32, $C$9, 100%, $E$9)</f>
        <v>5.1501999999999999</v>
      </c>
      <c r="D329" s="9">
        <f>5.1511 * CHOOSE(CONTROL!$C$32, $C$9, 100%, $E$9)</f>
        <v>5.1510999999999996</v>
      </c>
      <c r="E329" s="11">
        <f>6.6256 * CHOOSE(CONTROL!$C$32, $C$9, 100%, $E$9)</f>
        <v>6.6256000000000004</v>
      </c>
      <c r="F329" s="11">
        <f>6.6256 * CHOOSE(CONTROL!$C$32, $C$9, 100%, $E$9)</f>
        <v>6.6256000000000004</v>
      </c>
      <c r="G329" s="11">
        <f>6.6289 * CHOOSE(CONTROL!$C$32, $C$9, 100%, $E$9)</f>
        <v>6.6288999999999998</v>
      </c>
      <c r="H329" s="11">
        <f>11.1118 * CHOOSE(CONTROL!$C$32, $C$9, 100%, $E$9)</f>
        <v>11.111800000000001</v>
      </c>
      <c r="I329" s="11">
        <f>11.115 * CHOOSE(CONTROL!$C$32, $C$9, 100%, $E$9)</f>
        <v>11.115</v>
      </c>
      <c r="J329" s="11">
        <f>11.1118 * CHOOSE(CONTROL!$C$32, $C$9, 100%, $E$9)</f>
        <v>11.111800000000001</v>
      </c>
      <c r="K329" s="11">
        <f>11.115 * CHOOSE(CONTROL!$C$32, $C$9, 100%, $E$9)</f>
        <v>11.115</v>
      </c>
      <c r="L329" s="11">
        <f>6.6256 * CHOOSE(CONTROL!$C$32, $C$9, 100%, $E$9)</f>
        <v>6.6256000000000004</v>
      </c>
      <c r="M329" s="11">
        <f>6.6289 * CHOOSE(CONTROL!$C$32, $C$9, 100%, $E$9)</f>
        <v>6.6288999999999998</v>
      </c>
      <c r="N329" s="11">
        <f>6.6256 * CHOOSE(CONTROL!$C$32, $C$9, 100%, $E$9)</f>
        <v>6.6256000000000004</v>
      </c>
      <c r="O329" s="11">
        <f>6.6289 * CHOOSE(CONTROL!$C$32, $C$9, 100%, $E$9)</f>
        <v>6.6288999999999998</v>
      </c>
    </row>
    <row r="330" spans="1:15" ht="15" x14ac:dyDescent="0.2">
      <c r="A330" s="13">
        <v>50891</v>
      </c>
      <c r="B330" s="9">
        <f>5.1502 * CHOOSE(CONTROL!$C$32, $C$9, 100%, $E$9)</f>
        <v>5.1501999999999999</v>
      </c>
      <c r="C330" s="9">
        <f>5.1502 * CHOOSE(CONTROL!$C$32, $C$9, 100%, $E$9)</f>
        <v>5.1501999999999999</v>
      </c>
      <c r="D330" s="9">
        <f>5.1514 * CHOOSE(CONTROL!$C$32, $C$9, 100%, $E$9)</f>
        <v>5.1513999999999998</v>
      </c>
      <c r="E330" s="11">
        <f>6.661 * CHOOSE(CONTROL!$C$32, $C$9, 100%, $E$9)</f>
        <v>6.6609999999999996</v>
      </c>
      <c r="F330" s="11">
        <f>6.661 * CHOOSE(CONTROL!$C$32, $C$9, 100%, $E$9)</f>
        <v>6.6609999999999996</v>
      </c>
      <c r="G330" s="11">
        <f>6.6652 * CHOOSE(CONTROL!$C$32, $C$9, 100%, $E$9)</f>
        <v>6.6651999999999996</v>
      </c>
      <c r="H330" s="11">
        <f>11.1349 * CHOOSE(CONTROL!$C$32, $C$9, 100%, $E$9)</f>
        <v>11.1349</v>
      </c>
      <c r="I330" s="11">
        <f>11.1391 * CHOOSE(CONTROL!$C$32, $C$9, 100%, $E$9)</f>
        <v>11.139099999999999</v>
      </c>
      <c r="J330" s="11">
        <f>11.1349 * CHOOSE(CONTROL!$C$32, $C$9, 100%, $E$9)</f>
        <v>11.1349</v>
      </c>
      <c r="K330" s="11">
        <f>11.1391 * CHOOSE(CONTROL!$C$32, $C$9, 100%, $E$9)</f>
        <v>11.139099999999999</v>
      </c>
      <c r="L330" s="11">
        <f>6.661 * CHOOSE(CONTROL!$C$32, $C$9, 100%, $E$9)</f>
        <v>6.6609999999999996</v>
      </c>
      <c r="M330" s="11">
        <f>6.6652 * CHOOSE(CONTROL!$C$32, $C$9, 100%, $E$9)</f>
        <v>6.6651999999999996</v>
      </c>
      <c r="N330" s="11">
        <f>6.661 * CHOOSE(CONTROL!$C$32, $C$9, 100%, $E$9)</f>
        <v>6.6609999999999996</v>
      </c>
      <c r="O330" s="11">
        <f>6.6652 * CHOOSE(CONTROL!$C$32, $C$9, 100%, $E$9)</f>
        <v>6.6651999999999996</v>
      </c>
    </row>
    <row r="331" spans="1:15" ht="15" x14ac:dyDescent="0.2">
      <c r="A331" s="13">
        <v>50922</v>
      </c>
      <c r="B331" s="9">
        <f>5.1562 * CHOOSE(CONTROL!$C$32, $C$9, 100%, $E$9)</f>
        <v>5.1562000000000001</v>
      </c>
      <c r="C331" s="9">
        <f>5.1562 * CHOOSE(CONTROL!$C$32, $C$9, 100%, $E$9)</f>
        <v>5.1562000000000001</v>
      </c>
      <c r="D331" s="9">
        <f>5.1575 * CHOOSE(CONTROL!$C$32, $C$9, 100%, $E$9)</f>
        <v>5.1574999999999998</v>
      </c>
      <c r="E331" s="11">
        <f>6.6299 * CHOOSE(CONTROL!$C$32, $C$9, 100%, $E$9)</f>
        <v>6.6299000000000001</v>
      </c>
      <c r="F331" s="11">
        <f>6.6299 * CHOOSE(CONTROL!$C$32, $C$9, 100%, $E$9)</f>
        <v>6.6299000000000001</v>
      </c>
      <c r="G331" s="11">
        <f>6.6341 * CHOOSE(CONTROL!$C$32, $C$9, 100%, $E$9)</f>
        <v>6.6341000000000001</v>
      </c>
      <c r="H331" s="11">
        <f>11.1581 * CHOOSE(CONTROL!$C$32, $C$9, 100%, $E$9)</f>
        <v>11.158099999999999</v>
      </c>
      <c r="I331" s="11">
        <f>11.1623 * CHOOSE(CONTROL!$C$32, $C$9, 100%, $E$9)</f>
        <v>11.1623</v>
      </c>
      <c r="J331" s="11">
        <f>11.1581 * CHOOSE(CONTROL!$C$32, $C$9, 100%, $E$9)</f>
        <v>11.158099999999999</v>
      </c>
      <c r="K331" s="11">
        <f>11.1623 * CHOOSE(CONTROL!$C$32, $C$9, 100%, $E$9)</f>
        <v>11.1623</v>
      </c>
      <c r="L331" s="11">
        <f>6.6299 * CHOOSE(CONTROL!$C$32, $C$9, 100%, $E$9)</f>
        <v>6.6299000000000001</v>
      </c>
      <c r="M331" s="11">
        <f>6.6341 * CHOOSE(CONTROL!$C$32, $C$9, 100%, $E$9)</f>
        <v>6.6341000000000001</v>
      </c>
      <c r="N331" s="11">
        <f>6.6299 * CHOOSE(CONTROL!$C$32, $C$9, 100%, $E$9)</f>
        <v>6.6299000000000001</v>
      </c>
      <c r="O331" s="11">
        <f>6.6341 * CHOOSE(CONTROL!$C$32, $C$9, 100%, $E$9)</f>
        <v>6.6341000000000001</v>
      </c>
    </row>
    <row r="332" spans="1:15" ht="15" x14ac:dyDescent="0.2">
      <c r="A332" s="13">
        <v>50952</v>
      </c>
      <c r="B332" s="9">
        <f>5.2245 * CHOOSE(CONTROL!$C$32, $C$9, 100%, $E$9)</f>
        <v>5.2244999999999999</v>
      </c>
      <c r="C332" s="9">
        <f>5.2245 * CHOOSE(CONTROL!$C$32, $C$9, 100%, $E$9)</f>
        <v>5.2244999999999999</v>
      </c>
      <c r="D332" s="9">
        <f>5.2257 * CHOOSE(CONTROL!$C$32, $C$9, 100%, $E$9)</f>
        <v>5.2256999999999998</v>
      </c>
      <c r="E332" s="11">
        <f>6.6597 * CHOOSE(CONTROL!$C$32, $C$9, 100%, $E$9)</f>
        <v>6.6597</v>
      </c>
      <c r="F332" s="11">
        <f>6.6597 * CHOOSE(CONTROL!$C$32, $C$9, 100%, $E$9)</f>
        <v>6.6597</v>
      </c>
      <c r="G332" s="11">
        <f>6.6639 * CHOOSE(CONTROL!$C$32, $C$9, 100%, $E$9)</f>
        <v>6.6638999999999999</v>
      </c>
      <c r="H332" s="11">
        <f>11.1814 * CHOOSE(CONTROL!$C$32, $C$9, 100%, $E$9)</f>
        <v>11.1814</v>
      </c>
      <c r="I332" s="11">
        <f>11.1856 * CHOOSE(CONTROL!$C$32, $C$9, 100%, $E$9)</f>
        <v>11.185600000000001</v>
      </c>
      <c r="J332" s="11">
        <f>11.1814 * CHOOSE(CONTROL!$C$32, $C$9, 100%, $E$9)</f>
        <v>11.1814</v>
      </c>
      <c r="K332" s="11">
        <f>11.1856 * CHOOSE(CONTROL!$C$32, $C$9, 100%, $E$9)</f>
        <v>11.185600000000001</v>
      </c>
      <c r="L332" s="11">
        <f>6.6597 * CHOOSE(CONTROL!$C$32, $C$9, 100%, $E$9)</f>
        <v>6.6597</v>
      </c>
      <c r="M332" s="11">
        <f>6.6639 * CHOOSE(CONTROL!$C$32, $C$9, 100%, $E$9)</f>
        <v>6.6638999999999999</v>
      </c>
      <c r="N332" s="11">
        <f>6.6597 * CHOOSE(CONTROL!$C$32, $C$9, 100%, $E$9)</f>
        <v>6.6597</v>
      </c>
      <c r="O332" s="11">
        <f>6.6639 * CHOOSE(CONTROL!$C$32, $C$9, 100%, $E$9)</f>
        <v>6.6638999999999999</v>
      </c>
    </row>
    <row r="333" spans="1:15" ht="15" x14ac:dyDescent="0.2">
      <c r="A333" s="13">
        <v>50983</v>
      </c>
      <c r="B333" s="9">
        <f>5.2312 * CHOOSE(CONTROL!$C$32, $C$9, 100%, $E$9)</f>
        <v>5.2312000000000003</v>
      </c>
      <c r="C333" s="9">
        <f>5.2312 * CHOOSE(CONTROL!$C$32, $C$9, 100%, $E$9)</f>
        <v>5.2312000000000003</v>
      </c>
      <c r="D333" s="9">
        <f>5.2324 * CHOOSE(CONTROL!$C$32, $C$9, 100%, $E$9)</f>
        <v>5.2324000000000002</v>
      </c>
      <c r="E333" s="11">
        <f>6.5583 * CHOOSE(CONTROL!$C$32, $C$9, 100%, $E$9)</f>
        <v>6.5583</v>
      </c>
      <c r="F333" s="11">
        <f>6.5583 * CHOOSE(CONTROL!$C$32, $C$9, 100%, $E$9)</f>
        <v>6.5583</v>
      </c>
      <c r="G333" s="11">
        <f>6.5625 * CHOOSE(CONTROL!$C$32, $C$9, 100%, $E$9)</f>
        <v>6.5625</v>
      </c>
      <c r="H333" s="11">
        <f>11.2047 * CHOOSE(CONTROL!$C$32, $C$9, 100%, $E$9)</f>
        <v>11.204700000000001</v>
      </c>
      <c r="I333" s="11">
        <f>11.2089 * CHOOSE(CONTROL!$C$32, $C$9, 100%, $E$9)</f>
        <v>11.2089</v>
      </c>
      <c r="J333" s="11">
        <f>11.2047 * CHOOSE(CONTROL!$C$32, $C$9, 100%, $E$9)</f>
        <v>11.204700000000001</v>
      </c>
      <c r="K333" s="11">
        <f>11.2089 * CHOOSE(CONTROL!$C$32, $C$9, 100%, $E$9)</f>
        <v>11.2089</v>
      </c>
      <c r="L333" s="11">
        <f>6.5583 * CHOOSE(CONTROL!$C$32, $C$9, 100%, $E$9)</f>
        <v>6.5583</v>
      </c>
      <c r="M333" s="11">
        <f>6.5625 * CHOOSE(CONTROL!$C$32, $C$9, 100%, $E$9)</f>
        <v>6.5625</v>
      </c>
      <c r="N333" s="11">
        <f>6.5583 * CHOOSE(CONTROL!$C$32, $C$9, 100%, $E$9)</f>
        <v>6.5583</v>
      </c>
      <c r="O333" s="11">
        <f>6.5625 * CHOOSE(CONTROL!$C$32, $C$9, 100%, $E$9)</f>
        <v>6.5625</v>
      </c>
    </row>
    <row r="334" spans="1:15" ht="15" x14ac:dyDescent="0.2">
      <c r="A334" s="13">
        <v>51014</v>
      </c>
      <c r="B334" s="9">
        <f>5.2281 * CHOOSE(CONTROL!$C$32, $C$9, 100%, $E$9)</f>
        <v>5.2281000000000004</v>
      </c>
      <c r="C334" s="9">
        <f>5.2281 * CHOOSE(CONTROL!$C$32, $C$9, 100%, $E$9)</f>
        <v>5.2281000000000004</v>
      </c>
      <c r="D334" s="9">
        <f>5.2294 * CHOOSE(CONTROL!$C$32, $C$9, 100%, $E$9)</f>
        <v>5.2294</v>
      </c>
      <c r="E334" s="11">
        <f>6.5443 * CHOOSE(CONTROL!$C$32, $C$9, 100%, $E$9)</f>
        <v>6.5442999999999998</v>
      </c>
      <c r="F334" s="11">
        <f>6.5443 * CHOOSE(CONTROL!$C$32, $C$9, 100%, $E$9)</f>
        <v>6.5442999999999998</v>
      </c>
      <c r="G334" s="11">
        <f>6.5485 * CHOOSE(CONTROL!$C$32, $C$9, 100%, $E$9)</f>
        <v>6.5484999999999998</v>
      </c>
      <c r="H334" s="11">
        <f>11.228 * CHOOSE(CONTROL!$C$32, $C$9, 100%, $E$9)</f>
        <v>11.228</v>
      </c>
      <c r="I334" s="11">
        <f>11.2322 * CHOOSE(CONTROL!$C$32, $C$9, 100%, $E$9)</f>
        <v>11.232200000000001</v>
      </c>
      <c r="J334" s="11">
        <f>11.228 * CHOOSE(CONTROL!$C$32, $C$9, 100%, $E$9)</f>
        <v>11.228</v>
      </c>
      <c r="K334" s="11">
        <f>11.2322 * CHOOSE(CONTROL!$C$32, $C$9, 100%, $E$9)</f>
        <v>11.232200000000001</v>
      </c>
      <c r="L334" s="11">
        <f>6.5443 * CHOOSE(CONTROL!$C$32, $C$9, 100%, $E$9)</f>
        <v>6.5442999999999998</v>
      </c>
      <c r="M334" s="11">
        <f>6.5485 * CHOOSE(CONTROL!$C$32, $C$9, 100%, $E$9)</f>
        <v>6.5484999999999998</v>
      </c>
      <c r="N334" s="11">
        <f>6.5443 * CHOOSE(CONTROL!$C$32, $C$9, 100%, $E$9)</f>
        <v>6.5442999999999998</v>
      </c>
      <c r="O334" s="11">
        <f>6.5485 * CHOOSE(CONTROL!$C$32, $C$9, 100%, $E$9)</f>
        <v>6.5484999999999998</v>
      </c>
    </row>
    <row r="335" spans="1:15" ht="15" x14ac:dyDescent="0.2">
      <c r="A335" s="13">
        <v>51044</v>
      </c>
      <c r="B335" s="9">
        <f>5.2277 * CHOOSE(CONTROL!$C$32, $C$9, 100%, $E$9)</f>
        <v>5.2276999999999996</v>
      </c>
      <c r="C335" s="9">
        <f>5.2277 * CHOOSE(CONTROL!$C$32, $C$9, 100%, $E$9)</f>
        <v>5.2276999999999996</v>
      </c>
      <c r="D335" s="9">
        <f>5.2287 * CHOOSE(CONTROL!$C$32, $C$9, 100%, $E$9)</f>
        <v>5.2286999999999999</v>
      </c>
      <c r="E335" s="11">
        <f>6.5781 * CHOOSE(CONTROL!$C$32, $C$9, 100%, $E$9)</f>
        <v>6.5781000000000001</v>
      </c>
      <c r="F335" s="11">
        <f>6.5781 * CHOOSE(CONTROL!$C$32, $C$9, 100%, $E$9)</f>
        <v>6.5781000000000001</v>
      </c>
      <c r="G335" s="11">
        <f>6.5813 * CHOOSE(CONTROL!$C$32, $C$9, 100%, $E$9)</f>
        <v>6.5812999999999997</v>
      </c>
      <c r="H335" s="11">
        <f>11.2514 * CHOOSE(CONTROL!$C$32, $C$9, 100%, $E$9)</f>
        <v>11.2514</v>
      </c>
      <c r="I335" s="11">
        <f>11.2546 * CHOOSE(CONTROL!$C$32, $C$9, 100%, $E$9)</f>
        <v>11.2546</v>
      </c>
      <c r="J335" s="11">
        <f>11.2514 * CHOOSE(CONTROL!$C$32, $C$9, 100%, $E$9)</f>
        <v>11.2514</v>
      </c>
      <c r="K335" s="11">
        <f>11.2546 * CHOOSE(CONTROL!$C$32, $C$9, 100%, $E$9)</f>
        <v>11.2546</v>
      </c>
      <c r="L335" s="11">
        <f>6.5781 * CHOOSE(CONTROL!$C$32, $C$9, 100%, $E$9)</f>
        <v>6.5781000000000001</v>
      </c>
      <c r="M335" s="11">
        <f>6.5813 * CHOOSE(CONTROL!$C$32, $C$9, 100%, $E$9)</f>
        <v>6.5812999999999997</v>
      </c>
      <c r="N335" s="11">
        <f>6.5781 * CHOOSE(CONTROL!$C$32, $C$9, 100%, $E$9)</f>
        <v>6.5781000000000001</v>
      </c>
      <c r="O335" s="11">
        <f>6.5813 * CHOOSE(CONTROL!$C$32, $C$9, 100%, $E$9)</f>
        <v>6.5812999999999997</v>
      </c>
    </row>
    <row r="336" spans="1:15" ht="15" x14ac:dyDescent="0.2">
      <c r="A336" s="13">
        <v>51075</v>
      </c>
      <c r="B336" s="9">
        <f>5.2308 * CHOOSE(CONTROL!$C$32, $C$9, 100%, $E$9)</f>
        <v>5.2308000000000003</v>
      </c>
      <c r="C336" s="9">
        <f>5.2308 * CHOOSE(CONTROL!$C$32, $C$9, 100%, $E$9)</f>
        <v>5.2308000000000003</v>
      </c>
      <c r="D336" s="9">
        <f>5.2317 * CHOOSE(CONTROL!$C$32, $C$9, 100%, $E$9)</f>
        <v>5.2317</v>
      </c>
      <c r="E336" s="11">
        <f>6.6038 * CHOOSE(CONTROL!$C$32, $C$9, 100%, $E$9)</f>
        <v>6.6037999999999997</v>
      </c>
      <c r="F336" s="11">
        <f>6.6038 * CHOOSE(CONTROL!$C$32, $C$9, 100%, $E$9)</f>
        <v>6.6037999999999997</v>
      </c>
      <c r="G336" s="11">
        <f>6.607 * CHOOSE(CONTROL!$C$32, $C$9, 100%, $E$9)</f>
        <v>6.6070000000000002</v>
      </c>
      <c r="H336" s="11">
        <f>11.2749 * CHOOSE(CONTROL!$C$32, $C$9, 100%, $E$9)</f>
        <v>11.274900000000001</v>
      </c>
      <c r="I336" s="11">
        <f>11.2781 * CHOOSE(CONTROL!$C$32, $C$9, 100%, $E$9)</f>
        <v>11.2781</v>
      </c>
      <c r="J336" s="11">
        <f>11.2749 * CHOOSE(CONTROL!$C$32, $C$9, 100%, $E$9)</f>
        <v>11.274900000000001</v>
      </c>
      <c r="K336" s="11">
        <f>11.2781 * CHOOSE(CONTROL!$C$32, $C$9, 100%, $E$9)</f>
        <v>11.2781</v>
      </c>
      <c r="L336" s="11">
        <f>6.6038 * CHOOSE(CONTROL!$C$32, $C$9, 100%, $E$9)</f>
        <v>6.6037999999999997</v>
      </c>
      <c r="M336" s="11">
        <f>6.607 * CHOOSE(CONTROL!$C$32, $C$9, 100%, $E$9)</f>
        <v>6.6070000000000002</v>
      </c>
      <c r="N336" s="11">
        <f>6.6038 * CHOOSE(CONTROL!$C$32, $C$9, 100%, $E$9)</f>
        <v>6.6037999999999997</v>
      </c>
      <c r="O336" s="11">
        <f>6.607 * CHOOSE(CONTROL!$C$32, $C$9, 100%, $E$9)</f>
        <v>6.6070000000000002</v>
      </c>
    </row>
    <row r="337" spans="1:15" ht="15" x14ac:dyDescent="0.2">
      <c r="A337" s="13">
        <v>51105</v>
      </c>
      <c r="B337" s="9">
        <f>5.2308 * CHOOSE(CONTROL!$C$32, $C$9, 100%, $E$9)</f>
        <v>5.2308000000000003</v>
      </c>
      <c r="C337" s="9">
        <f>5.2308 * CHOOSE(CONTROL!$C$32, $C$9, 100%, $E$9)</f>
        <v>5.2308000000000003</v>
      </c>
      <c r="D337" s="9">
        <f>5.2317 * CHOOSE(CONTROL!$C$32, $C$9, 100%, $E$9)</f>
        <v>5.2317</v>
      </c>
      <c r="E337" s="11">
        <f>6.5448 * CHOOSE(CONTROL!$C$32, $C$9, 100%, $E$9)</f>
        <v>6.5448000000000004</v>
      </c>
      <c r="F337" s="11">
        <f>6.5448 * CHOOSE(CONTROL!$C$32, $C$9, 100%, $E$9)</f>
        <v>6.5448000000000004</v>
      </c>
      <c r="G337" s="11">
        <f>6.5481 * CHOOSE(CONTROL!$C$32, $C$9, 100%, $E$9)</f>
        <v>6.5480999999999998</v>
      </c>
      <c r="H337" s="11">
        <f>11.2983 * CHOOSE(CONTROL!$C$32, $C$9, 100%, $E$9)</f>
        <v>11.298299999999999</v>
      </c>
      <c r="I337" s="11">
        <f>11.3016 * CHOOSE(CONTROL!$C$32, $C$9, 100%, $E$9)</f>
        <v>11.301600000000001</v>
      </c>
      <c r="J337" s="11">
        <f>11.2983 * CHOOSE(CONTROL!$C$32, $C$9, 100%, $E$9)</f>
        <v>11.298299999999999</v>
      </c>
      <c r="K337" s="11">
        <f>11.3016 * CHOOSE(CONTROL!$C$32, $C$9, 100%, $E$9)</f>
        <v>11.301600000000001</v>
      </c>
      <c r="L337" s="11">
        <f>6.5448 * CHOOSE(CONTROL!$C$32, $C$9, 100%, $E$9)</f>
        <v>6.5448000000000004</v>
      </c>
      <c r="M337" s="11">
        <f>6.5481 * CHOOSE(CONTROL!$C$32, $C$9, 100%, $E$9)</f>
        <v>6.5480999999999998</v>
      </c>
      <c r="N337" s="11">
        <f>6.5448 * CHOOSE(CONTROL!$C$32, $C$9, 100%, $E$9)</f>
        <v>6.5448000000000004</v>
      </c>
      <c r="O337" s="11">
        <f>6.5481 * CHOOSE(CONTROL!$C$32, $C$9, 100%, $E$9)</f>
        <v>6.5480999999999998</v>
      </c>
    </row>
    <row r="338" spans="1:15" ht="15" x14ac:dyDescent="0.2">
      <c r="A338" s="13">
        <v>51136</v>
      </c>
      <c r="B338" s="9">
        <f>5.2721 * CHOOSE(CONTROL!$C$32, $C$9, 100%, $E$9)</f>
        <v>5.2721</v>
      </c>
      <c r="C338" s="9">
        <f>5.2721 * CHOOSE(CONTROL!$C$32, $C$9, 100%, $E$9)</f>
        <v>5.2721</v>
      </c>
      <c r="D338" s="9">
        <f>5.2731 * CHOOSE(CONTROL!$C$32, $C$9, 100%, $E$9)</f>
        <v>5.2731000000000003</v>
      </c>
      <c r="E338" s="11">
        <f>6.6042 * CHOOSE(CONTROL!$C$32, $C$9, 100%, $E$9)</f>
        <v>6.6041999999999996</v>
      </c>
      <c r="F338" s="11">
        <f>6.6042 * CHOOSE(CONTROL!$C$32, $C$9, 100%, $E$9)</f>
        <v>6.6041999999999996</v>
      </c>
      <c r="G338" s="11">
        <f>6.6074 * CHOOSE(CONTROL!$C$32, $C$9, 100%, $E$9)</f>
        <v>6.6074000000000002</v>
      </c>
      <c r="H338" s="11">
        <f>11.3219 * CHOOSE(CONTROL!$C$32, $C$9, 100%, $E$9)</f>
        <v>11.321899999999999</v>
      </c>
      <c r="I338" s="11">
        <f>11.3251 * CHOOSE(CONTROL!$C$32, $C$9, 100%, $E$9)</f>
        <v>11.325100000000001</v>
      </c>
      <c r="J338" s="11">
        <f>11.3219 * CHOOSE(CONTROL!$C$32, $C$9, 100%, $E$9)</f>
        <v>11.321899999999999</v>
      </c>
      <c r="K338" s="11">
        <f>11.3251 * CHOOSE(CONTROL!$C$32, $C$9, 100%, $E$9)</f>
        <v>11.325100000000001</v>
      </c>
      <c r="L338" s="11">
        <f>6.6042 * CHOOSE(CONTROL!$C$32, $C$9, 100%, $E$9)</f>
        <v>6.6041999999999996</v>
      </c>
      <c r="M338" s="11">
        <f>6.6074 * CHOOSE(CONTROL!$C$32, $C$9, 100%, $E$9)</f>
        <v>6.6074000000000002</v>
      </c>
      <c r="N338" s="11">
        <f>6.6042 * CHOOSE(CONTROL!$C$32, $C$9, 100%, $E$9)</f>
        <v>6.6041999999999996</v>
      </c>
      <c r="O338" s="11">
        <f>6.6074 * CHOOSE(CONTROL!$C$32, $C$9, 100%, $E$9)</f>
        <v>6.6074000000000002</v>
      </c>
    </row>
    <row r="339" spans="1:15" ht="15" x14ac:dyDescent="0.2">
      <c r="A339" s="13">
        <v>51167</v>
      </c>
      <c r="B339" s="9">
        <f>5.2691 * CHOOSE(CONTROL!$C$32, $C$9, 100%, $E$9)</f>
        <v>5.2690999999999999</v>
      </c>
      <c r="C339" s="9">
        <f>5.2691 * CHOOSE(CONTROL!$C$32, $C$9, 100%, $E$9)</f>
        <v>5.2690999999999999</v>
      </c>
      <c r="D339" s="9">
        <f>5.27 * CHOOSE(CONTROL!$C$32, $C$9, 100%, $E$9)</f>
        <v>5.27</v>
      </c>
      <c r="E339" s="11">
        <f>6.487 * CHOOSE(CONTROL!$C$32, $C$9, 100%, $E$9)</f>
        <v>6.4870000000000001</v>
      </c>
      <c r="F339" s="11">
        <f>6.487 * CHOOSE(CONTROL!$C$32, $C$9, 100%, $E$9)</f>
        <v>6.4870000000000001</v>
      </c>
      <c r="G339" s="11">
        <f>6.4902 * CHOOSE(CONTROL!$C$32, $C$9, 100%, $E$9)</f>
        <v>6.4901999999999997</v>
      </c>
      <c r="H339" s="11">
        <f>11.3455 * CHOOSE(CONTROL!$C$32, $C$9, 100%, $E$9)</f>
        <v>11.345499999999999</v>
      </c>
      <c r="I339" s="11">
        <f>11.3487 * CHOOSE(CONTROL!$C$32, $C$9, 100%, $E$9)</f>
        <v>11.348699999999999</v>
      </c>
      <c r="J339" s="11">
        <f>11.3455 * CHOOSE(CONTROL!$C$32, $C$9, 100%, $E$9)</f>
        <v>11.345499999999999</v>
      </c>
      <c r="K339" s="11">
        <f>11.3487 * CHOOSE(CONTROL!$C$32, $C$9, 100%, $E$9)</f>
        <v>11.348699999999999</v>
      </c>
      <c r="L339" s="11">
        <f>6.487 * CHOOSE(CONTROL!$C$32, $C$9, 100%, $E$9)</f>
        <v>6.4870000000000001</v>
      </c>
      <c r="M339" s="11">
        <f>6.4902 * CHOOSE(CONTROL!$C$32, $C$9, 100%, $E$9)</f>
        <v>6.4901999999999997</v>
      </c>
      <c r="N339" s="11">
        <f>6.487 * CHOOSE(CONTROL!$C$32, $C$9, 100%, $E$9)</f>
        <v>6.4870000000000001</v>
      </c>
      <c r="O339" s="11">
        <f>6.4902 * CHOOSE(CONTROL!$C$32, $C$9, 100%, $E$9)</f>
        <v>6.4901999999999997</v>
      </c>
    </row>
    <row r="340" spans="1:15" ht="15" x14ac:dyDescent="0.2">
      <c r="A340" s="13">
        <v>51196</v>
      </c>
      <c r="B340" s="9">
        <f>5.266 * CHOOSE(CONTROL!$C$32, $C$9, 100%, $E$9)</f>
        <v>5.266</v>
      </c>
      <c r="C340" s="9">
        <f>5.266 * CHOOSE(CONTROL!$C$32, $C$9, 100%, $E$9)</f>
        <v>5.266</v>
      </c>
      <c r="D340" s="9">
        <f>5.267 * CHOOSE(CONTROL!$C$32, $C$9, 100%, $E$9)</f>
        <v>5.2670000000000003</v>
      </c>
      <c r="E340" s="11">
        <f>6.5756 * CHOOSE(CONTROL!$C$32, $C$9, 100%, $E$9)</f>
        <v>6.5755999999999997</v>
      </c>
      <c r="F340" s="11">
        <f>6.5756 * CHOOSE(CONTROL!$C$32, $C$9, 100%, $E$9)</f>
        <v>6.5755999999999997</v>
      </c>
      <c r="G340" s="11">
        <f>6.5788 * CHOOSE(CONTROL!$C$32, $C$9, 100%, $E$9)</f>
        <v>6.5788000000000002</v>
      </c>
      <c r="H340" s="11">
        <f>11.3691 * CHOOSE(CONTROL!$C$32, $C$9, 100%, $E$9)</f>
        <v>11.3691</v>
      </c>
      <c r="I340" s="11">
        <f>11.3723 * CHOOSE(CONTROL!$C$32, $C$9, 100%, $E$9)</f>
        <v>11.372299999999999</v>
      </c>
      <c r="J340" s="11">
        <f>11.3691 * CHOOSE(CONTROL!$C$32, $C$9, 100%, $E$9)</f>
        <v>11.3691</v>
      </c>
      <c r="K340" s="11">
        <f>11.3723 * CHOOSE(CONTROL!$C$32, $C$9, 100%, $E$9)</f>
        <v>11.372299999999999</v>
      </c>
      <c r="L340" s="11">
        <f>6.5756 * CHOOSE(CONTROL!$C$32, $C$9, 100%, $E$9)</f>
        <v>6.5755999999999997</v>
      </c>
      <c r="M340" s="11">
        <f>6.5788 * CHOOSE(CONTROL!$C$32, $C$9, 100%, $E$9)</f>
        <v>6.5788000000000002</v>
      </c>
      <c r="N340" s="11">
        <f>6.5756 * CHOOSE(CONTROL!$C$32, $C$9, 100%, $E$9)</f>
        <v>6.5755999999999997</v>
      </c>
      <c r="O340" s="11">
        <f>6.5788 * CHOOSE(CONTROL!$C$32, $C$9, 100%, $E$9)</f>
        <v>6.5788000000000002</v>
      </c>
    </row>
    <row r="341" spans="1:15" ht="15" x14ac:dyDescent="0.2">
      <c r="A341" s="13">
        <v>51227</v>
      </c>
      <c r="B341" s="9">
        <f>5.2649 * CHOOSE(CONTROL!$C$32, $C$9, 100%, $E$9)</f>
        <v>5.2648999999999999</v>
      </c>
      <c r="C341" s="9">
        <f>5.2649 * CHOOSE(CONTROL!$C$32, $C$9, 100%, $E$9)</f>
        <v>5.2648999999999999</v>
      </c>
      <c r="D341" s="9">
        <f>5.2659 * CHOOSE(CONTROL!$C$32, $C$9, 100%, $E$9)</f>
        <v>5.2659000000000002</v>
      </c>
      <c r="E341" s="11">
        <f>6.6687 * CHOOSE(CONTROL!$C$32, $C$9, 100%, $E$9)</f>
        <v>6.6687000000000003</v>
      </c>
      <c r="F341" s="11">
        <f>6.6687 * CHOOSE(CONTROL!$C$32, $C$9, 100%, $E$9)</f>
        <v>6.6687000000000003</v>
      </c>
      <c r="G341" s="11">
        <f>6.6719 * CHOOSE(CONTROL!$C$32, $C$9, 100%, $E$9)</f>
        <v>6.6718999999999999</v>
      </c>
      <c r="H341" s="11">
        <f>11.3928 * CHOOSE(CONTROL!$C$32, $C$9, 100%, $E$9)</f>
        <v>11.392799999999999</v>
      </c>
      <c r="I341" s="11">
        <f>11.396 * CHOOSE(CONTROL!$C$32, $C$9, 100%, $E$9)</f>
        <v>11.396000000000001</v>
      </c>
      <c r="J341" s="11">
        <f>11.3928 * CHOOSE(CONTROL!$C$32, $C$9, 100%, $E$9)</f>
        <v>11.392799999999999</v>
      </c>
      <c r="K341" s="11">
        <f>11.396 * CHOOSE(CONTROL!$C$32, $C$9, 100%, $E$9)</f>
        <v>11.396000000000001</v>
      </c>
      <c r="L341" s="11">
        <f>6.6687 * CHOOSE(CONTROL!$C$32, $C$9, 100%, $E$9)</f>
        <v>6.6687000000000003</v>
      </c>
      <c r="M341" s="11">
        <f>6.6719 * CHOOSE(CONTROL!$C$32, $C$9, 100%, $E$9)</f>
        <v>6.6718999999999999</v>
      </c>
      <c r="N341" s="11">
        <f>6.6687 * CHOOSE(CONTROL!$C$32, $C$9, 100%, $E$9)</f>
        <v>6.6687000000000003</v>
      </c>
      <c r="O341" s="11">
        <f>6.6719 * CHOOSE(CONTROL!$C$32, $C$9, 100%, $E$9)</f>
        <v>6.6718999999999999</v>
      </c>
    </row>
    <row r="342" spans="1:15" ht="15" x14ac:dyDescent="0.2">
      <c r="A342" s="13">
        <v>51257</v>
      </c>
      <c r="B342" s="9">
        <f>5.2649 * CHOOSE(CONTROL!$C$32, $C$9, 100%, $E$9)</f>
        <v>5.2648999999999999</v>
      </c>
      <c r="C342" s="9">
        <f>5.2649 * CHOOSE(CONTROL!$C$32, $C$9, 100%, $E$9)</f>
        <v>5.2648999999999999</v>
      </c>
      <c r="D342" s="9">
        <f>5.2662 * CHOOSE(CONTROL!$C$32, $C$9, 100%, $E$9)</f>
        <v>5.2662000000000004</v>
      </c>
      <c r="E342" s="11">
        <f>6.7052 * CHOOSE(CONTROL!$C$32, $C$9, 100%, $E$9)</f>
        <v>6.7051999999999996</v>
      </c>
      <c r="F342" s="11">
        <f>6.7052 * CHOOSE(CONTROL!$C$32, $C$9, 100%, $E$9)</f>
        <v>6.7051999999999996</v>
      </c>
      <c r="G342" s="11">
        <f>6.7094 * CHOOSE(CONTROL!$C$32, $C$9, 100%, $E$9)</f>
        <v>6.7093999999999996</v>
      </c>
      <c r="H342" s="11">
        <f>11.4165 * CHOOSE(CONTROL!$C$32, $C$9, 100%, $E$9)</f>
        <v>11.416499999999999</v>
      </c>
      <c r="I342" s="11">
        <f>11.4207 * CHOOSE(CONTROL!$C$32, $C$9, 100%, $E$9)</f>
        <v>11.4207</v>
      </c>
      <c r="J342" s="11">
        <f>11.4165 * CHOOSE(CONTROL!$C$32, $C$9, 100%, $E$9)</f>
        <v>11.416499999999999</v>
      </c>
      <c r="K342" s="11">
        <f>11.4207 * CHOOSE(CONTROL!$C$32, $C$9, 100%, $E$9)</f>
        <v>11.4207</v>
      </c>
      <c r="L342" s="11">
        <f>6.7052 * CHOOSE(CONTROL!$C$32, $C$9, 100%, $E$9)</f>
        <v>6.7051999999999996</v>
      </c>
      <c r="M342" s="11">
        <f>6.7094 * CHOOSE(CONTROL!$C$32, $C$9, 100%, $E$9)</f>
        <v>6.7093999999999996</v>
      </c>
      <c r="N342" s="11">
        <f>6.7052 * CHOOSE(CONTROL!$C$32, $C$9, 100%, $E$9)</f>
        <v>6.7051999999999996</v>
      </c>
      <c r="O342" s="11">
        <f>6.7094 * CHOOSE(CONTROL!$C$32, $C$9, 100%, $E$9)</f>
        <v>6.7093999999999996</v>
      </c>
    </row>
    <row r="343" spans="1:15" ht="15" x14ac:dyDescent="0.2">
      <c r="A343" s="13">
        <v>51288</v>
      </c>
      <c r="B343" s="9">
        <f>5.271 * CHOOSE(CONTROL!$C$32, $C$9, 100%, $E$9)</f>
        <v>5.2709999999999999</v>
      </c>
      <c r="C343" s="9">
        <f>5.271 * CHOOSE(CONTROL!$C$32, $C$9, 100%, $E$9)</f>
        <v>5.2709999999999999</v>
      </c>
      <c r="D343" s="9">
        <f>5.2722 * CHOOSE(CONTROL!$C$32, $C$9, 100%, $E$9)</f>
        <v>5.2721999999999998</v>
      </c>
      <c r="E343" s="11">
        <f>6.673 * CHOOSE(CONTROL!$C$32, $C$9, 100%, $E$9)</f>
        <v>6.673</v>
      </c>
      <c r="F343" s="11">
        <f>6.673 * CHOOSE(CONTROL!$C$32, $C$9, 100%, $E$9)</f>
        <v>6.673</v>
      </c>
      <c r="G343" s="11">
        <f>6.6772 * CHOOSE(CONTROL!$C$32, $C$9, 100%, $E$9)</f>
        <v>6.6772</v>
      </c>
      <c r="H343" s="11">
        <f>11.4403 * CHOOSE(CONTROL!$C$32, $C$9, 100%, $E$9)</f>
        <v>11.440300000000001</v>
      </c>
      <c r="I343" s="11">
        <f>11.4445 * CHOOSE(CONTROL!$C$32, $C$9, 100%, $E$9)</f>
        <v>11.4445</v>
      </c>
      <c r="J343" s="11">
        <f>11.4403 * CHOOSE(CONTROL!$C$32, $C$9, 100%, $E$9)</f>
        <v>11.440300000000001</v>
      </c>
      <c r="K343" s="11">
        <f>11.4445 * CHOOSE(CONTROL!$C$32, $C$9, 100%, $E$9)</f>
        <v>11.4445</v>
      </c>
      <c r="L343" s="11">
        <f>6.673 * CHOOSE(CONTROL!$C$32, $C$9, 100%, $E$9)</f>
        <v>6.673</v>
      </c>
      <c r="M343" s="11">
        <f>6.6772 * CHOOSE(CONTROL!$C$32, $C$9, 100%, $E$9)</f>
        <v>6.6772</v>
      </c>
      <c r="N343" s="11">
        <f>6.673 * CHOOSE(CONTROL!$C$32, $C$9, 100%, $E$9)</f>
        <v>6.673</v>
      </c>
      <c r="O343" s="11">
        <f>6.6772 * CHOOSE(CONTROL!$C$32, $C$9, 100%, $E$9)</f>
        <v>6.6772</v>
      </c>
    </row>
    <row r="344" spans="1:15" ht="15" x14ac:dyDescent="0.2">
      <c r="A344" s="13">
        <v>51318</v>
      </c>
      <c r="B344" s="9">
        <f>5.345 * CHOOSE(CONTROL!$C$32, $C$9, 100%, $E$9)</f>
        <v>5.3449999999999998</v>
      </c>
      <c r="C344" s="9">
        <f>5.345 * CHOOSE(CONTROL!$C$32, $C$9, 100%, $E$9)</f>
        <v>5.3449999999999998</v>
      </c>
      <c r="D344" s="9">
        <f>5.3463 * CHOOSE(CONTROL!$C$32, $C$9, 100%, $E$9)</f>
        <v>5.3463000000000003</v>
      </c>
      <c r="E344" s="11">
        <f>6.6813 * CHOOSE(CONTROL!$C$32, $C$9, 100%, $E$9)</f>
        <v>6.6813000000000002</v>
      </c>
      <c r="F344" s="11">
        <f>6.6813 * CHOOSE(CONTROL!$C$32, $C$9, 100%, $E$9)</f>
        <v>6.6813000000000002</v>
      </c>
      <c r="G344" s="11">
        <f>6.6855 * CHOOSE(CONTROL!$C$32, $C$9, 100%, $E$9)</f>
        <v>6.6855000000000002</v>
      </c>
      <c r="H344" s="11">
        <f>11.4641 * CHOOSE(CONTROL!$C$32, $C$9, 100%, $E$9)</f>
        <v>11.4641</v>
      </c>
      <c r="I344" s="11">
        <f>11.4683 * CHOOSE(CONTROL!$C$32, $C$9, 100%, $E$9)</f>
        <v>11.468299999999999</v>
      </c>
      <c r="J344" s="11">
        <f>11.4641 * CHOOSE(CONTROL!$C$32, $C$9, 100%, $E$9)</f>
        <v>11.4641</v>
      </c>
      <c r="K344" s="11">
        <f>11.4683 * CHOOSE(CONTROL!$C$32, $C$9, 100%, $E$9)</f>
        <v>11.468299999999999</v>
      </c>
      <c r="L344" s="11">
        <f>6.6813 * CHOOSE(CONTROL!$C$32, $C$9, 100%, $E$9)</f>
        <v>6.6813000000000002</v>
      </c>
      <c r="M344" s="11">
        <f>6.6855 * CHOOSE(CONTROL!$C$32, $C$9, 100%, $E$9)</f>
        <v>6.6855000000000002</v>
      </c>
      <c r="N344" s="11">
        <f>6.6813 * CHOOSE(CONTROL!$C$32, $C$9, 100%, $E$9)</f>
        <v>6.6813000000000002</v>
      </c>
      <c r="O344" s="11">
        <f>6.6855 * CHOOSE(CONTROL!$C$32, $C$9, 100%, $E$9)</f>
        <v>6.6855000000000002</v>
      </c>
    </row>
    <row r="345" spans="1:15" ht="15" x14ac:dyDescent="0.2">
      <c r="A345" s="13">
        <v>51349</v>
      </c>
      <c r="B345" s="9">
        <f>5.3517 * CHOOSE(CONTROL!$C$32, $C$9, 100%, $E$9)</f>
        <v>5.3517000000000001</v>
      </c>
      <c r="C345" s="9">
        <f>5.3517 * CHOOSE(CONTROL!$C$32, $C$9, 100%, $E$9)</f>
        <v>5.3517000000000001</v>
      </c>
      <c r="D345" s="9">
        <f>5.3529 * CHOOSE(CONTROL!$C$32, $C$9, 100%, $E$9)</f>
        <v>5.3529</v>
      </c>
      <c r="E345" s="11">
        <f>6.5764 * CHOOSE(CONTROL!$C$32, $C$9, 100%, $E$9)</f>
        <v>6.5763999999999996</v>
      </c>
      <c r="F345" s="11">
        <f>6.5764 * CHOOSE(CONTROL!$C$32, $C$9, 100%, $E$9)</f>
        <v>6.5763999999999996</v>
      </c>
      <c r="G345" s="11">
        <f>6.5806 * CHOOSE(CONTROL!$C$32, $C$9, 100%, $E$9)</f>
        <v>6.5805999999999996</v>
      </c>
      <c r="H345" s="11">
        <f>11.488 * CHOOSE(CONTROL!$C$32, $C$9, 100%, $E$9)</f>
        <v>11.488</v>
      </c>
      <c r="I345" s="11">
        <f>11.4922 * CHOOSE(CONTROL!$C$32, $C$9, 100%, $E$9)</f>
        <v>11.4922</v>
      </c>
      <c r="J345" s="11">
        <f>11.488 * CHOOSE(CONTROL!$C$32, $C$9, 100%, $E$9)</f>
        <v>11.488</v>
      </c>
      <c r="K345" s="11">
        <f>11.4922 * CHOOSE(CONTROL!$C$32, $C$9, 100%, $E$9)</f>
        <v>11.4922</v>
      </c>
      <c r="L345" s="11">
        <f>6.5764 * CHOOSE(CONTROL!$C$32, $C$9, 100%, $E$9)</f>
        <v>6.5763999999999996</v>
      </c>
      <c r="M345" s="11">
        <f>6.5806 * CHOOSE(CONTROL!$C$32, $C$9, 100%, $E$9)</f>
        <v>6.5805999999999996</v>
      </c>
      <c r="N345" s="11">
        <f>6.5764 * CHOOSE(CONTROL!$C$32, $C$9, 100%, $E$9)</f>
        <v>6.5763999999999996</v>
      </c>
      <c r="O345" s="11">
        <f>6.5806 * CHOOSE(CONTROL!$C$32, $C$9, 100%, $E$9)</f>
        <v>6.5805999999999996</v>
      </c>
    </row>
    <row r="346" spans="1:15" ht="15" x14ac:dyDescent="0.2">
      <c r="A346" s="13">
        <v>51380</v>
      </c>
      <c r="B346" s="9">
        <f>5.3487 * CHOOSE(CONTROL!$C$32, $C$9, 100%, $E$9)</f>
        <v>5.3487</v>
      </c>
      <c r="C346" s="9">
        <f>5.3487 * CHOOSE(CONTROL!$C$32, $C$9, 100%, $E$9)</f>
        <v>5.3487</v>
      </c>
      <c r="D346" s="9">
        <f>5.3499 * CHOOSE(CONTROL!$C$32, $C$9, 100%, $E$9)</f>
        <v>5.3498999999999999</v>
      </c>
      <c r="E346" s="11">
        <f>6.5621 * CHOOSE(CONTROL!$C$32, $C$9, 100%, $E$9)</f>
        <v>6.5621</v>
      </c>
      <c r="F346" s="11">
        <f>6.5621 * CHOOSE(CONTROL!$C$32, $C$9, 100%, $E$9)</f>
        <v>6.5621</v>
      </c>
      <c r="G346" s="11">
        <f>6.5663 * CHOOSE(CONTROL!$C$32, $C$9, 100%, $E$9)</f>
        <v>6.5663</v>
      </c>
      <c r="H346" s="11">
        <f>11.512 * CHOOSE(CONTROL!$C$32, $C$9, 100%, $E$9)</f>
        <v>11.512</v>
      </c>
      <c r="I346" s="11">
        <f>11.5162 * CHOOSE(CONTROL!$C$32, $C$9, 100%, $E$9)</f>
        <v>11.5162</v>
      </c>
      <c r="J346" s="11">
        <f>11.512 * CHOOSE(CONTROL!$C$32, $C$9, 100%, $E$9)</f>
        <v>11.512</v>
      </c>
      <c r="K346" s="11">
        <f>11.5162 * CHOOSE(CONTROL!$C$32, $C$9, 100%, $E$9)</f>
        <v>11.5162</v>
      </c>
      <c r="L346" s="11">
        <f>6.5621 * CHOOSE(CONTROL!$C$32, $C$9, 100%, $E$9)</f>
        <v>6.5621</v>
      </c>
      <c r="M346" s="11">
        <f>6.5663 * CHOOSE(CONTROL!$C$32, $C$9, 100%, $E$9)</f>
        <v>6.5663</v>
      </c>
      <c r="N346" s="11">
        <f>6.5621 * CHOOSE(CONTROL!$C$32, $C$9, 100%, $E$9)</f>
        <v>6.5621</v>
      </c>
      <c r="O346" s="11">
        <f>6.5663 * CHOOSE(CONTROL!$C$32, $C$9, 100%, $E$9)</f>
        <v>6.5663</v>
      </c>
    </row>
    <row r="347" spans="1:15" ht="15" x14ac:dyDescent="0.2">
      <c r="A347" s="13">
        <v>51410</v>
      </c>
      <c r="B347" s="9">
        <f>5.3487 * CHOOSE(CONTROL!$C$32, $C$9, 100%, $E$9)</f>
        <v>5.3487</v>
      </c>
      <c r="C347" s="9">
        <f>5.3487 * CHOOSE(CONTROL!$C$32, $C$9, 100%, $E$9)</f>
        <v>5.3487</v>
      </c>
      <c r="D347" s="9">
        <f>5.3497 * CHOOSE(CONTROL!$C$32, $C$9, 100%, $E$9)</f>
        <v>5.3497000000000003</v>
      </c>
      <c r="E347" s="11">
        <f>6.5974 * CHOOSE(CONTROL!$C$32, $C$9, 100%, $E$9)</f>
        <v>6.5974000000000004</v>
      </c>
      <c r="F347" s="11">
        <f>6.5974 * CHOOSE(CONTROL!$C$32, $C$9, 100%, $E$9)</f>
        <v>6.5974000000000004</v>
      </c>
      <c r="G347" s="11">
        <f>6.6006 * CHOOSE(CONTROL!$C$32, $C$9, 100%, $E$9)</f>
        <v>6.6006</v>
      </c>
      <c r="H347" s="11">
        <f>11.5359 * CHOOSE(CONTROL!$C$32, $C$9, 100%, $E$9)</f>
        <v>11.5359</v>
      </c>
      <c r="I347" s="11">
        <f>11.5392 * CHOOSE(CONTROL!$C$32, $C$9, 100%, $E$9)</f>
        <v>11.539199999999999</v>
      </c>
      <c r="J347" s="11">
        <f>11.5359 * CHOOSE(CONTROL!$C$32, $C$9, 100%, $E$9)</f>
        <v>11.5359</v>
      </c>
      <c r="K347" s="11">
        <f>11.5392 * CHOOSE(CONTROL!$C$32, $C$9, 100%, $E$9)</f>
        <v>11.539199999999999</v>
      </c>
      <c r="L347" s="11">
        <f>6.5974 * CHOOSE(CONTROL!$C$32, $C$9, 100%, $E$9)</f>
        <v>6.5974000000000004</v>
      </c>
      <c r="M347" s="11">
        <f>6.6006 * CHOOSE(CONTROL!$C$32, $C$9, 100%, $E$9)</f>
        <v>6.6006</v>
      </c>
      <c r="N347" s="11">
        <f>6.5974 * CHOOSE(CONTROL!$C$32, $C$9, 100%, $E$9)</f>
        <v>6.5974000000000004</v>
      </c>
      <c r="O347" s="11">
        <f>6.6006 * CHOOSE(CONTROL!$C$32, $C$9, 100%, $E$9)</f>
        <v>6.6006</v>
      </c>
    </row>
    <row r="348" spans="1:15" ht="15" x14ac:dyDescent="0.2">
      <c r="A348" s="13">
        <v>51441</v>
      </c>
      <c r="B348" s="9">
        <f>5.3518 * CHOOSE(CONTROL!$C$32, $C$9, 100%, $E$9)</f>
        <v>5.3517999999999999</v>
      </c>
      <c r="C348" s="9">
        <f>5.3518 * CHOOSE(CONTROL!$C$32, $C$9, 100%, $E$9)</f>
        <v>5.3517999999999999</v>
      </c>
      <c r="D348" s="9">
        <f>5.3527 * CHOOSE(CONTROL!$C$32, $C$9, 100%, $E$9)</f>
        <v>5.3526999999999996</v>
      </c>
      <c r="E348" s="11">
        <f>6.6239 * CHOOSE(CONTROL!$C$32, $C$9, 100%, $E$9)</f>
        <v>6.6238999999999999</v>
      </c>
      <c r="F348" s="11">
        <f>6.6239 * CHOOSE(CONTROL!$C$32, $C$9, 100%, $E$9)</f>
        <v>6.6238999999999999</v>
      </c>
      <c r="G348" s="11">
        <f>6.6271 * CHOOSE(CONTROL!$C$32, $C$9, 100%, $E$9)</f>
        <v>6.6271000000000004</v>
      </c>
      <c r="H348" s="11">
        <f>11.56 * CHOOSE(CONTROL!$C$32, $C$9, 100%, $E$9)</f>
        <v>11.56</v>
      </c>
      <c r="I348" s="11">
        <f>11.5632 * CHOOSE(CONTROL!$C$32, $C$9, 100%, $E$9)</f>
        <v>11.5632</v>
      </c>
      <c r="J348" s="11">
        <f>11.56 * CHOOSE(CONTROL!$C$32, $C$9, 100%, $E$9)</f>
        <v>11.56</v>
      </c>
      <c r="K348" s="11">
        <f>11.5632 * CHOOSE(CONTROL!$C$32, $C$9, 100%, $E$9)</f>
        <v>11.5632</v>
      </c>
      <c r="L348" s="11">
        <f>6.6239 * CHOOSE(CONTROL!$C$32, $C$9, 100%, $E$9)</f>
        <v>6.6238999999999999</v>
      </c>
      <c r="M348" s="11">
        <f>6.6271 * CHOOSE(CONTROL!$C$32, $C$9, 100%, $E$9)</f>
        <v>6.6271000000000004</v>
      </c>
      <c r="N348" s="11">
        <f>6.6239 * CHOOSE(CONTROL!$C$32, $C$9, 100%, $E$9)</f>
        <v>6.6238999999999999</v>
      </c>
      <c r="O348" s="11">
        <f>6.6271 * CHOOSE(CONTROL!$C$32, $C$9, 100%, $E$9)</f>
        <v>6.6271000000000004</v>
      </c>
    </row>
    <row r="349" spans="1:15" ht="15" x14ac:dyDescent="0.2">
      <c r="A349" s="13">
        <v>51471</v>
      </c>
      <c r="B349" s="9">
        <f>5.3518 * CHOOSE(CONTROL!$C$32, $C$9, 100%, $E$9)</f>
        <v>5.3517999999999999</v>
      </c>
      <c r="C349" s="9">
        <f>5.3518 * CHOOSE(CONTROL!$C$32, $C$9, 100%, $E$9)</f>
        <v>5.3517999999999999</v>
      </c>
      <c r="D349" s="9">
        <f>5.3527 * CHOOSE(CONTROL!$C$32, $C$9, 100%, $E$9)</f>
        <v>5.3526999999999996</v>
      </c>
      <c r="E349" s="11">
        <f>6.563 * CHOOSE(CONTROL!$C$32, $C$9, 100%, $E$9)</f>
        <v>6.5629999999999997</v>
      </c>
      <c r="F349" s="11">
        <f>6.563 * CHOOSE(CONTROL!$C$32, $C$9, 100%, $E$9)</f>
        <v>6.5629999999999997</v>
      </c>
      <c r="G349" s="11">
        <f>6.5662 * CHOOSE(CONTROL!$C$32, $C$9, 100%, $E$9)</f>
        <v>6.5662000000000003</v>
      </c>
      <c r="H349" s="11">
        <f>11.5841 * CHOOSE(CONTROL!$C$32, $C$9, 100%, $E$9)</f>
        <v>11.584099999999999</v>
      </c>
      <c r="I349" s="11">
        <f>11.5873 * CHOOSE(CONTROL!$C$32, $C$9, 100%, $E$9)</f>
        <v>11.587300000000001</v>
      </c>
      <c r="J349" s="11">
        <f>11.5841 * CHOOSE(CONTROL!$C$32, $C$9, 100%, $E$9)</f>
        <v>11.584099999999999</v>
      </c>
      <c r="K349" s="11">
        <f>11.5873 * CHOOSE(CONTROL!$C$32, $C$9, 100%, $E$9)</f>
        <v>11.587300000000001</v>
      </c>
      <c r="L349" s="11">
        <f>6.563 * CHOOSE(CONTROL!$C$32, $C$9, 100%, $E$9)</f>
        <v>6.5629999999999997</v>
      </c>
      <c r="M349" s="11">
        <f>6.5662 * CHOOSE(CONTROL!$C$32, $C$9, 100%, $E$9)</f>
        <v>6.5662000000000003</v>
      </c>
      <c r="N349" s="11">
        <f>6.563 * CHOOSE(CONTROL!$C$32, $C$9, 100%, $E$9)</f>
        <v>6.5629999999999997</v>
      </c>
      <c r="O349" s="11">
        <f>6.5662 * CHOOSE(CONTROL!$C$32, $C$9, 100%, $E$9)</f>
        <v>6.5662000000000003</v>
      </c>
    </row>
    <row r="350" spans="1:15" ht="15" x14ac:dyDescent="0.2">
      <c r="A350" s="13">
        <v>51502</v>
      </c>
      <c r="B350" s="9">
        <f>5.3929 * CHOOSE(CONTROL!$C$32, $C$9, 100%, $E$9)</f>
        <v>5.3929</v>
      </c>
      <c r="C350" s="9">
        <f>5.3929 * CHOOSE(CONTROL!$C$32, $C$9, 100%, $E$9)</f>
        <v>5.3929</v>
      </c>
      <c r="D350" s="9">
        <f>5.3938 * CHOOSE(CONTROL!$C$32, $C$9, 100%, $E$9)</f>
        <v>5.3937999999999997</v>
      </c>
      <c r="E350" s="11">
        <f>6.6304 * CHOOSE(CONTROL!$C$32, $C$9, 100%, $E$9)</f>
        <v>6.6303999999999998</v>
      </c>
      <c r="F350" s="11">
        <f>6.6304 * CHOOSE(CONTROL!$C$32, $C$9, 100%, $E$9)</f>
        <v>6.6303999999999998</v>
      </c>
      <c r="G350" s="11">
        <f>6.6337 * CHOOSE(CONTROL!$C$32, $C$9, 100%, $E$9)</f>
        <v>6.6337000000000002</v>
      </c>
      <c r="H350" s="11">
        <f>11.6082 * CHOOSE(CONTROL!$C$32, $C$9, 100%, $E$9)</f>
        <v>11.6082</v>
      </c>
      <c r="I350" s="11">
        <f>11.6114 * CHOOSE(CONTROL!$C$32, $C$9, 100%, $E$9)</f>
        <v>11.6114</v>
      </c>
      <c r="J350" s="11">
        <f>11.6082 * CHOOSE(CONTROL!$C$32, $C$9, 100%, $E$9)</f>
        <v>11.6082</v>
      </c>
      <c r="K350" s="11">
        <f>11.6114 * CHOOSE(CONTROL!$C$32, $C$9, 100%, $E$9)</f>
        <v>11.6114</v>
      </c>
      <c r="L350" s="11">
        <f>6.6304 * CHOOSE(CONTROL!$C$32, $C$9, 100%, $E$9)</f>
        <v>6.6303999999999998</v>
      </c>
      <c r="M350" s="11">
        <f>6.6337 * CHOOSE(CONTROL!$C$32, $C$9, 100%, $E$9)</f>
        <v>6.6337000000000002</v>
      </c>
      <c r="N350" s="11">
        <f>6.6304 * CHOOSE(CONTROL!$C$32, $C$9, 100%, $E$9)</f>
        <v>6.6303999999999998</v>
      </c>
      <c r="O350" s="11">
        <f>6.6337 * CHOOSE(CONTROL!$C$32, $C$9, 100%, $E$9)</f>
        <v>6.6337000000000002</v>
      </c>
    </row>
    <row r="351" spans="1:15" ht="15" x14ac:dyDescent="0.2">
      <c r="A351" s="13">
        <v>51533</v>
      </c>
      <c r="B351" s="9">
        <f>5.3898 * CHOOSE(CONTROL!$C$32, $C$9, 100%, $E$9)</f>
        <v>5.3898000000000001</v>
      </c>
      <c r="C351" s="9">
        <f>5.3898 * CHOOSE(CONTROL!$C$32, $C$9, 100%, $E$9)</f>
        <v>5.3898000000000001</v>
      </c>
      <c r="D351" s="9">
        <f>5.3908 * CHOOSE(CONTROL!$C$32, $C$9, 100%, $E$9)</f>
        <v>5.3907999999999996</v>
      </c>
      <c r="E351" s="11">
        <f>6.5096 * CHOOSE(CONTROL!$C$32, $C$9, 100%, $E$9)</f>
        <v>6.5095999999999998</v>
      </c>
      <c r="F351" s="11">
        <f>6.5096 * CHOOSE(CONTROL!$C$32, $C$9, 100%, $E$9)</f>
        <v>6.5095999999999998</v>
      </c>
      <c r="G351" s="11">
        <f>6.5128 * CHOOSE(CONTROL!$C$32, $C$9, 100%, $E$9)</f>
        <v>6.5128000000000004</v>
      </c>
      <c r="H351" s="11">
        <f>11.6324 * CHOOSE(CONTROL!$C$32, $C$9, 100%, $E$9)</f>
        <v>11.632400000000001</v>
      </c>
      <c r="I351" s="11">
        <f>11.6356 * CHOOSE(CONTROL!$C$32, $C$9, 100%, $E$9)</f>
        <v>11.6356</v>
      </c>
      <c r="J351" s="11">
        <f>11.6324 * CHOOSE(CONTROL!$C$32, $C$9, 100%, $E$9)</f>
        <v>11.632400000000001</v>
      </c>
      <c r="K351" s="11">
        <f>11.6356 * CHOOSE(CONTROL!$C$32, $C$9, 100%, $E$9)</f>
        <v>11.6356</v>
      </c>
      <c r="L351" s="11">
        <f>6.5096 * CHOOSE(CONTROL!$C$32, $C$9, 100%, $E$9)</f>
        <v>6.5095999999999998</v>
      </c>
      <c r="M351" s="11">
        <f>6.5128 * CHOOSE(CONTROL!$C$32, $C$9, 100%, $E$9)</f>
        <v>6.5128000000000004</v>
      </c>
      <c r="N351" s="11">
        <f>6.5096 * CHOOSE(CONTROL!$C$32, $C$9, 100%, $E$9)</f>
        <v>6.5095999999999998</v>
      </c>
      <c r="O351" s="11">
        <f>6.5128 * CHOOSE(CONTROL!$C$32, $C$9, 100%, $E$9)</f>
        <v>6.5128000000000004</v>
      </c>
    </row>
    <row r="352" spans="1:15" ht="15" x14ac:dyDescent="0.2">
      <c r="A352" s="13">
        <v>51561</v>
      </c>
      <c r="B352" s="9">
        <f>5.3868 * CHOOSE(CONTROL!$C$32, $C$9, 100%, $E$9)</f>
        <v>5.3868</v>
      </c>
      <c r="C352" s="9">
        <f>5.3868 * CHOOSE(CONTROL!$C$32, $C$9, 100%, $E$9)</f>
        <v>5.3868</v>
      </c>
      <c r="D352" s="9">
        <f>5.3877 * CHOOSE(CONTROL!$C$32, $C$9, 100%, $E$9)</f>
        <v>5.3876999999999997</v>
      </c>
      <c r="E352" s="11">
        <f>6.6011 * CHOOSE(CONTROL!$C$32, $C$9, 100%, $E$9)</f>
        <v>6.6010999999999997</v>
      </c>
      <c r="F352" s="11">
        <f>6.6011 * CHOOSE(CONTROL!$C$32, $C$9, 100%, $E$9)</f>
        <v>6.6010999999999997</v>
      </c>
      <c r="G352" s="11">
        <f>6.6043 * CHOOSE(CONTROL!$C$32, $C$9, 100%, $E$9)</f>
        <v>6.6043000000000003</v>
      </c>
      <c r="H352" s="11">
        <f>11.6566 * CHOOSE(CONTROL!$C$32, $C$9, 100%, $E$9)</f>
        <v>11.656599999999999</v>
      </c>
      <c r="I352" s="11">
        <f>11.6598 * CHOOSE(CONTROL!$C$32, $C$9, 100%, $E$9)</f>
        <v>11.659800000000001</v>
      </c>
      <c r="J352" s="11">
        <f>11.6566 * CHOOSE(CONTROL!$C$32, $C$9, 100%, $E$9)</f>
        <v>11.656599999999999</v>
      </c>
      <c r="K352" s="11">
        <f>11.6598 * CHOOSE(CONTROL!$C$32, $C$9, 100%, $E$9)</f>
        <v>11.659800000000001</v>
      </c>
      <c r="L352" s="11">
        <f>6.6011 * CHOOSE(CONTROL!$C$32, $C$9, 100%, $E$9)</f>
        <v>6.6010999999999997</v>
      </c>
      <c r="M352" s="11">
        <f>6.6043 * CHOOSE(CONTROL!$C$32, $C$9, 100%, $E$9)</f>
        <v>6.6043000000000003</v>
      </c>
      <c r="N352" s="11">
        <f>6.6011 * CHOOSE(CONTROL!$C$32, $C$9, 100%, $E$9)</f>
        <v>6.6010999999999997</v>
      </c>
      <c r="O352" s="11">
        <f>6.6043 * CHOOSE(CONTROL!$C$32, $C$9, 100%, $E$9)</f>
        <v>6.6043000000000003</v>
      </c>
    </row>
    <row r="353" spans="1:15" ht="15" x14ac:dyDescent="0.2">
      <c r="A353" s="13">
        <v>51592</v>
      </c>
      <c r="B353" s="9">
        <f>5.3858 * CHOOSE(CONTROL!$C$32, $C$9, 100%, $E$9)</f>
        <v>5.3857999999999997</v>
      </c>
      <c r="C353" s="9">
        <f>5.3858 * CHOOSE(CONTROL!$C$32, $C$9, 100%, $E$9)</f>
        <v>5.3857999999999997</v>
      </c>
      <c r="D353" s="9">
        <f>5.3867 * CHOOSE(CONTROL!$C$32, $C$9, 100%, $E$9)</f>
        <v>5.3867000000000003</v>
      </c>
      <c r="E353" s="11">
        <f>6.6974 * CHOOSE(CONTROL!$C$32, $C$9, 100%, $E$9)</f>
        <v>6.6974</v>
      </c>
      <c r="F353" s="11">
        <f>6.6974 * CHOOSE(CONTROL!$C$32, $C$9, 100%, $E$9)</f>
        <v>6.6974</v>
      </c>
      <c r="G353" s="11">
        <f>6.7006 * CHOOSE(CONTROL!$C$32, $C$9, 100%, $E$9)</f>
        <v>6.7005999999999997</v>
      </c>
      <c r="H353" s="11">
        <f>11.6809 * CHOOSE(CONTROL!$C$32, $C$9, 100%, $E$9)</f>
        <v>11.680899999999999</v>
      </c>
      <c r="I353" s="11">
        <f>11.6841 * CHOOSE(CONTROL!$C$32, $C$9, 100%, $E$9)</f>
        <v>11.684100000000001</v>
      </c>
      <c r="J353" s="11">
        <f>11.6809 * CHOOSE(CONTROL!$C$32, $C$9, 100%, $E$9)</f>
        <v>11.680899999999999</v>
      </c>
      <c r="K353" s="11">
        <f>11.6841 * CHOOSE(CONTROL!$C$32, $C$9, 100%, $E$9)</f>
        <v>11.684100000000001</v>
      </c>
      <c r="L353" s="11">
        <f>6.6974 * CHOOSE(CONTROL!$C$32, $C$9, 100%, $E$9)</f>
        <v>6.6974</v>
      </c>
      <c r="M353" s="11">
        <f>6.7006 * CHOOSE(CONTROL!$C$32, $C$9, 100%, $E$9)</f>
        <v>6.7005999999999997</v>
      </c>
      <c r="N353" s="11">
        <f>6.6974 * CHOOSE(CONTROL!$C$32, $C$9, 100%, $E$9)</f>
        <v>6.6974</v>
      </c>
      <c r="O353" s="11">
        <f>6.7006 * CHOOSE(CONTROL!$C$32, $C$9, 100%, $E$9)</f>
        <v>6.7005999999999997</v>
      </c>
    </row>
    <row r="354" spans="1:15" ht="15" x14ac:dyDescent="0.2">
      <c r="A354" s="13">
        <v>51622</v>
      </c>
      <c r="B354" s="9">
        <f>5.3858 * CHOOSE(CONTROL!$C$32, $C$9, 100%, $E$9)</f>
        <v>5.3857999999999997</v>
      </c>
      <c r="C354" s="9">
        <f>5.3858 * CHOOSE(CONTROL!$C$32, $C$9, 100%, $E$9)</f>
        <v>5.3857999999999997</v>
      </c>
      <c r="D354" s="9">
        <f>5.387 * CHOOSE(CONTROL!$C$32, $C$9, 100%, $E$9)</f>
        <v>5.3869999999999996</v>
      </c>
      <c r="E354" s="11">
        <f>6.7351 * CHOOSE(CONTROL!$C$32, $C$9, 100%, $E$9)</f>
        <v>6.7351000000000001</v>
      </c>
      <c r="F354" s="11">
        <f>6.7351 * CHOOSE(CONTROL!$C$32, $C$9, 100%, $E$9)</f>
        <v>6.7351000000000001</v>
      </c>
      <c r="G354" s="11">
        <f>6.7393 * CHOOSE(CONTROL!$C$32, $C$9, 100%, $E$9)</f>
        <v>6.7393000000000001</v>
      </c>
      <c r="H354" s="11">
        <f>11.7052 * CHOOSE(CONTROL!$C$32, $C$9, 100%, $E$9)</f>
        <v>11.7052</v>
      </c>
      <c r="I354" s="11">
        <f>11.7094 * CHOOSE(CONTROL!$C$32, $C$9, 100%, $E$9)</f>
        <v>11.7094</v>
      </c>
      <c r="J354" s="11">
        <f>11.7052 * CHOOSE(CONTROL!$C$32, $C$9, 100%, $E$9)</f>
        <v>11.7052</v>
      </c>
      <c r="K354" s="11">
        <f>11.7094 * CHOOSE(CONTROL!$C$32, $C$9, 100%, $E$9)</f>
        <v>11.7094</v>
      </c>
      <c r="L354" s="11">
        <f>6.7351 * CHOOSE(CONTROL!$C$32, $C$9, 100%, $E$9)</f>
        <v>6.7351000000000001</v>
      </c>
      <c r="M354" s="11">
        <f>6.7393 * CHOOSE(CONTROL!$C$32, $C$9, 100%, $E$9)</f>
        <v>6.7393000000000001</v>
      </c>
      <c r="N354" s="11">
        <f>6.7351 * CHOOSE(CONTROL!$C$32, $C$9, 100%, $E$9)</f>
        <v>6.7351000000000001</v>
      </c>
      <c r="O354" s="11">
        <f>6.7393 * CHOOSE(CONTROL!$C$32, $C$9, 100%, $E$9)</f>
        <v>6.7393000000000001</v>
      </c>
    </row>
    <row r="355" spans="1:15" ht="15" x14ac:dyDescent="0.2">
      <c r="A355" s="13">
        <v>51653</v>
      </c>
      <c r="B355" s="9">
        <f>5.3918 * CHOOSE(CONTROL!$C$32, $C$9, 100%, $E$9)</f>
        <v>5.3917999999999999</v>
      </c>
      <c r="C355" s="9">
        <f>5.3918 * CHOOSE(CONTROL!$C$32, $C$9, 100%, $E$9)</f>
        <v>5.3917999999999999</v>
      </c>
      <c r="D355" s="9">
        <f>5.3931 * CHOOSE(CONTROL!$C$32, $C$9, 100%, $E$9)</f>
        <v>5.3930999999999996</v>
      </c>
      <c r="E355" s="11">
        <f>6.7016 * CHOOSE(CONTROL!$C$32, $C$9, 100%, $E$9)</f>
        <v>6.7016</v>
      </c>
      <c r="F355" s="11">
        <f>6.7016 * CHOOSE(CONTROL!$C$32, $C$9, 100%, $E$9)</f>
        <v>6.7016</v>
      </c>
      <c r="G355" s="11">
        <f>6.7058 * CHOOSE(CONTROL!$C$32, $C$9, 100%, $E$9)</f>
        <v>6.7058</v>
      </c>
      <c r="H355" s="11">
        <f>11.7296 * CHOOSE(CONTROL!$C$32, $C$9, 100%, $E$9)</f>
        <v>11.7296</v>
      </c>
      <c r="I355" s="11">
        <f>11.7338 * CHOOSE(CONTROL!$C$32, $C$9, 100%, $E$9)</f>
        <v>11.7338</v>
      </c>
      <c r="J355" s="11">
        <f>11.7296 * CHOOSE(CONTROL!$C$32, $C$9, 100%, $E$9)</f>
        <v>11.7296</v>
      </c>
      <c r="K355" s="11">
        <f>11.7338 * CHOOSE(CONTROL!$C$32, $C$9, 100%, $E$9)</f>
        <v>11.7338</v>
      </c>
      <c r="L355" s="11">
        <f>6.7016 * CHOOSE(CONTROL!$C$32, $C$9, 100%, $E$9)</f>
        <v>6.7016</v>
      </c>
      <c r="M355" s="11">
        <f>6.7058 * CHOOSE(CONTROL!$C$32, $C$9, 100%, $E$9)</f>
        <v>6.7058</v>
      </c>
      <c r="N355" s="11">
        <f>6.7016 * CHOOSE(CONTROL!$C$32, $C$9, 100%, $E$9)</f>
        <v>6.7016</v>
      </c>
      <c r="O355" s="11">
        <f>6.7058 * CHOOSE(CONTROL!$C$32, $C$9, 100%, $E$9)</f>
        <v>6.7058</v>
      </c>
    </row>
    <row r="356" spans="1:15" ht="15" x14ac:dyDescent="0.2">
      <c r="A356" s="13">
        <v>51683</v>
      </c>
      <c r="B356" s="9">
        <f>5.4648 * CHOOSE(CONTROL!$C$32, $C$9, 100%, $E$9)</f>
        <v>5.4648000000000003</v>
      </c>
      <c r="C356" s="9">
        <f>5.4648 * CHOOSE(CONTROL!$C$32, $C$9, 100%, $E$9)</f>
        <v>5.4648000000000003</v>
      </c>
      <c r="D356" s="9">
        <f>5.4661 * CHOOSE(CONTROL!$C$32, $C$9, 100%, $E$9)</f>
        <v>5.4661</v>
      </c>
      <c r="E356" s="11">
        <f>6.7253 * CHOOSE(CONTROL!$C$32, $C$9, 100%, $E$9)</f>
        <v>6.7252999999999998</v>
      </c>
      <c r="F356" s="11">
        <f>6.7253 * CHOOSE(CONTROL!$C$32, $C$9, 100%, $E$9)</f>
        <v>6.7252999999999998</v>
      </c>
      <c r="G356" s="11">
        <f>6.7295 * CHOOSE(CONTROL!$C$32, $C$9, 100%, $E$9)</f>
        <v>6.7294999999999998</v>
      </c>
      <c r="H356" s="11">
        <f>11.7541 * CHOOSE(CONTROL!$C$32, $C$9, 100%, $E$9)</f>
        <v>11.754099999999999</v>
      </c>
      <c r="I356" s="11">
        <f>11.7583 * CHOOSE(CONTROL!$C$32, $C$9, 100%, $E$9)</f>
        <v>11.7583</v>
      </c>
      <c r="J356" s="11">
        <f>11.7541 * CHOOSE(CONTROL!$C$32, $C$9, 100%, $E$9)</f>
        <v>11.754099999999999</v>
      </c>
      <c r="K356" s="11">
        <f>11.7583 * CHOOSE(CONTROL!$C$32, $C$9, 100%, $E$9)</f>
        <v>11.7583</v>
      </c>
      <c r="L356" s="11">
        <f>6.7253 * CHOOSE(CONTROL!$C$32, $C$9, 100%, $E$9)</f>
        <v>6.7252999999999998</v>
      </c>
      <c r="M356" s="11">
        <f>6.7295 * CHOOSE(CONTROL!$C$32, $C$9, 100%, $E$9)</f>
        <v>6.7294999999999998</v>
      </c>
      <c r="N356" s="11">
        <f>6.7253 * CHOOSE(CONTROL!$C$32, $C$9, 100%, $E$9)</f>
        <v>6.7252999999999998</v>
      </c>
      <c r="O356" s="11">
        <f>6.7295 * CHOOSE(CONTROL!$C$32, $C$9, 100%, $E$9)</f>
        <v>6.7294999999999998</v>
      </c>
    </row>
    <row r="357" spans="1:15" ht="15" x14ac:dyDescent="0.2">
      <c r="A357" s="13">
        <v>51714</v>
      </c>
      <c r="B357" s="9">
        <f>5.4715 * CHOOSE(CONTROL!$C$32, $C$9, 100%, $E$9)</f>
        <v>5.4714999999999998</v>
      </c>
      <c r="C357" s="9">
        <f>5.4715 * CHOOSE(CONTROL!$C$32, $C$9, 100%, $E$9)</f>
        <v>5.4714999999999998</v>
      </c>
      <c r="D357" s="9">
        <f>5.4727 * CHOOSE(CONTROL!$C$32, $C$9, 100%, $E$9)</f>
        <v>5.4726999999999997</v>
      </c>
      <c r="E357" s="11">
        <f>6.6169 * CHOOSE(CONTROL!$C$32, $C$9, 100%, $E$9)</f>
        <v>6.6169000000000002</v>
      </c>
      <c r="F357" s="11">
        <f>6.6169 * CHOOSE(CONTROL!$C$32, $C$9, 100%, $E$9)</f>
        <v>6.6169000000000002</v>
      </c>
      <c r="G357" s="11">
        <f>6.6211 * CHOOSE(CONTROL!$C$32, $C$9, 100%, $E$9)</f>
        <v>6.6211000000000002</v>
      </c>
      <c r="H357" s="11">
        <f>11.7785 * CHOOSE(CONTROL!$C$32, $C$9, 100%, $E$9)</f>
        <v>11.778499999999999</v>
      </c>
      <c r="I357" s="11">
        <f>11.7827 * CHOOSE(CONTROL!$C$32, $C$9, 100%, $E$9)</f>
        <v>11.7827</v>
      </c>
      <c r="J357" s="11">
        <f>11.7785 * CHOOSE(CONTROL!$C$32, $C$9, 100%, $E$9)</f>
        <v>11.778499999999999</v>
      </c>
      <c r="K357" s="11">
        <f>11.7827 * CHOOSE(CONTROL!$C$32, $C$9, 100%, $E$9)</f>
        <v>11.7827</v>
      </c>
      <c r="L357" s="11">
        <f>6.6169 * CHOOSE(CONTROL!$C$32, $C$9, 100%, $E$9)</f>
        <v>6.6169000000000002</v>
      </c>
      <c r="M357" s="11">
        <f>6.6211 * CHOOSE(CONTROL!$C$32, $C$9, 100%, $E$9)</f>
        <v>6.6211000000000002</v>
      </c>
      <c r="N357" s="11">
        <f>6.6169 * CHOOSE(CONTROL!$C$32, $C$9, 100%, $E$9)</f>
        <v>6.6169000000000002</v>
      </c>
      <c r="O357" s="11">
        <f>6.6211 * CHOOSE(CONTROL!$C$32, $C$9, 100%, $E$9)</f>
        <v>6.6211000000000002</v>
      </c>
    </row>
    <row r="358" spans="1:15" ht="15" x14ac:dyDescent="0.2">
      <c r="A358" s="13">
        <v>51745</v>
      </c>
      <c r="B358" s="9">
        <f>5.4685 * CHOOSE(CONTROL!$C$32, $C$9, 100%, $E$9)</f>
        <v>5.4684999999999997</v>
      </c>
      <c r="C358" s="9">
        <f>5.4685 * CHOOSE(CONTROL!$C$32, $C$9, 100%, $E$9)</f>
        <v>5.4684999999999997</v>
      </c>
      <c r="D358" s="9">
        <f>5.4697 * CHOOSE(CONTROL!$C$32, $C$9, 100%, $E$9)</f>
        <v>5.4696999999999996</v>
      </c>
      <c r="E358" s="11">
        <f>6.6022 * CHOOSE(CONTROL!$C$32, $C$9, 100%, $E$9)</f>
        <v>6.6021999999999998</v>
      </c>
      <c r="F358" s="11">
        <f>6.6022 * CHOOSE(CONTROL!$C$32, $C$9, 100%, $E$9)</f>
        <v>6.6021999999999998</v>
      </c>
      <c r="G358" s="11">
        <f>6.6064 * CHOOSE(CONTROL!$C$32, $C$9, 100%, $E$9)</f>
        <v>6.6063999999999998</v>
      </c>
      <c r="H358" s="11">
        <f>11.8031 * CHOOSE(CONTROL!$C$32, $C$9, 100%, $E$9)</f>
        <v>11.803100000000001</v>
      </c>
      <c r="I358" s="11">
        <f>11.8073 * CHOOSE(CONTROL!$C$32, $C$9, 100%, $E$9)</f>
        <v>11.8073</v>
      </c>
      <c r="J358" s="11">
        <f>11.8031 * CHOOSE(CONTROL!$C$32, $C$9, 100%, $E$9)</f>
        <v>11.803100000000001</v>
      </c>
      <c r="K358" s="11">
        <f>11.8073 * CHOOSE(CONTROL!$C$32, $C$9, 100%, $E$9)</f>
        <v>11.8073</v>
      </c>
      <c r="L358" s="11">
        <f>6.6022 * CHOOSE(CONTROL!$C$32, $C$9, 100%, $E$9)</f>
        <v>6.6021999999999998</v>
      </c>
      <c r="M358" s="11">
        <f>6.6064 * CHOOSE(CONTROL!$C$32, $C$9, 100%, $E$9)</f>
        <v>6.6063999999999998</v>
      </c>
      <c r="N358" s="11">
        <f>6.6022 * CHOOSE(CONTROL!$C$32, $C$9, 100%, $E$9)</f>
        <v>6.6021999999999998</v>
      </c>
      <c r="O358" s="11">
        <f>6.6064 * CHOOSE(CONTROL!$C$32, $C$9, 100%, $E$9)</f>
        <v>6.6063999999999998</v>
      </c>
    </row>
    <row r="359" spans="1:15" ht="15" x14ac:dyDescent="0.2">
      <c r="A359" s="13">
        <v>51775</v>
      </c>
      <c r="B359" s="9">
        <f>5.469 * CHOOSE(CONTROL!$C$32, $C$9, 100%, $E$9)</f>
        <v>5.4690000000000003</v>
      </c>
      <c r="C359" s="9">
        <f>5.469 * CHOOSE(CONTROL!$C$32, $C$9, 100%, $E$9)</f>
        <v>5.4690000000000003</v>
      </c>
      <c r="D359" s="9">
        <f>5.4699 * CHOOSE(CONTROL!$C$32, $C$9, 100%, $E$9)</f>
        <v>5.4699</v>
      </c>
      <c r="E359" s="11">
        <f>6.639 * CHOOSE(CONTROL!$C$32, $C$9, 100%, $E$9)</f>
        <v>6.6390000000000002</v>
      </c>
      <c r="F359" s="11">
        <f>6.639 * CHOOSE(CONTROL!$C$32, $C$9, 100%, $E$9)</f>
        <v>6.6390000000000002</v>
      </c>
      <c r="G359" s="11">
        <f>6.6423 * CHOOSE(CONTROL!$C$32, $C$9, 100%, $E$9)</f>
        <v>6.6422999999999996</v>
      </c>
      <c r="H359" s="11">
        <f>11.8277 * CHOOSE(CONTROL!$C$32, $C$9, 100%, $E$9)</f>
        <v>11.8277</v>
      </c>
      <c r="I359" s="11">
        <f>11.8309 * CHOOSE(CONTROL!$C$32, $C$9, 100%, $E$9)</f>
        <v>11.8309</v>
      </c>
      <c r="J359" s="11">
        <f>11.8277 * CHOOSE(CONTROL!$C$32, $C$9, 100%, $E$9)</f>
        <v>11.8277</v>
      </c>
      <c r="K359" s="11">
        <f>11.8309 * CHOOSE(CONTROL!$C$32, $C$9, 100%, $E$9)</f>
        <v>11.8309</v>
      </c>
      <c r="L359" s="11">
        <f>6.639 * CHOOSE(CONTROL!$C$32, $C$9, 100%, $E$9)</f>
        <v>6.6390000000000002</v>
      </c>
      <c r="M359" s="11">
        <f>6.6423 * CHOOSE(CONTROL!$C$32, $C$9, 100%, $E$9)</f>
        <v>6.6422999999999996</v>
      </c>
      <c r="N359" s="11">
        <f>6.639 * CHOOSE(CONTROL!$C$32, $C$9, 100%, $E$9)</f>
        <v>6.6390000000000002</v>
      </c>
      <c r="O359" s="11">
        <f>6.6423 * CHOOSE(CONTROL!$C$32, $C$9, 100%, $E$9)</f>
        <v>6.6422999999999996</v>
      </c>
    </row>
    <row r="360" spans="1:15" ht="15" x14ac:dyDescent="0.2">
      <c r="A360" s="13">
        <v>51806</v>
      </c>
      <c r="B360" s="9">
        <f>5.472 * CHOOSE(CONTROL!$C$32, $C$9, 100%, $E$9)</f>
        <v>5.4720000000000004</v>
      </c>
      <c r="C360" s="9">
        <f>5.472 * CHOOSE(CONTROL!$C$32, $C$9, 100%, $E$9)</f>
        <v>5.4720000000000004</v>
      </c>
      <c r="D360" s="9">
        <f>5.473 * CHOOSE(CONTROL!$C$32, $C$9, 100%, $E$9)</f>
        <v>5.4729999999999999</v>
      </c>
      <c r="E360" s="11">
        <f>6.6663 * CHOOSE(CONTROL!$C$32, $C$9, 100%, $E$9)</f>
        <v>6.6662999999999997</v>
      </c>
      <c r="F360" s="11">
        <f>6.6663 * CHOOSE(CONTROL!$C$32, $C$9, 100%, $E$9)</f>
        <v>6.6662999999999997</v>
      </c>
      <c r="G360" s="11">
        <f>6.6695 * CHOOSE(CONTROL!$C$32, $C$9, 100%, $E$9)</f>
        <v>6.6695000000000002</v>
      </c>
      <c r="H360" s="11">
        <f>11.8523 * CHOOSE(CONTROL!$C$32, $C$9, 100%, $E$9)</f>
        <v>11.8523</v>
      </c>
      <c r="I360" s="11">
        <f>11.8555 * CHOOSE(CONTROL!$C$32, $C$9, 100%, $E$9)</f>
        <v>11.855499999999999</v>
      </c>
      <c r="J360" s="11">
        <f>11.8523 * CHOOSE(CONTROL!$C$32, $C$9, 100%, $E$9)</f>
        <v>11.8523</v>
      </c>
      <c r="K360" s="11">
        <f>11.8555 * CHOOSE(CONTROL!$C$32, $C$9, 100%, $E$9)</f>
        <v>11.855499999999999</v>
      </c>
      <c r="L360" s="11">
        <f>6.6663 * CHOOSE(CONTROL!$C$32, $C$9, 100%, $E$9)</f>
        <v>6.6662999999999997</v>
      </c>
      <c r="M360" s="11">
        <f>6.6695 * CHOOSE(CONTROL!$C$32, $C$9, 100%, $E$9)</f>
        <v>6.6695000000000002</v>
      </c>
      <c r="N360" s="11">
        <f>6.6663 * CHOOSE(CONTROL!$C$32, $C$9, 100%, $E$9)</f>
        <v>6.6662999999999997</v>
      </c>
      <c r="O360" s="11">
        <f>6.6695 * CHOOSE(CONTROL!$C$32, $C$9, 100%, $E$9)</f>
        <v>6.6695000000000002</v>
      </c>
    </row>
    <row r="361" spans="1:15" ht="15" x14ac:dyDescent="0.2">
      <c r="A361" s="13">
        <v>51836</v>
      </c>
      <c r="B361" s="9">
        <f>5.472 * CHOOSE(CONTROL!$C$32, $C$9, 100%, $E$9)</f>
        <v>5.4720000000000004</v>
      </c>
      <c r="C361" s="9">
        <f>5.472 * CHOOSE(CONTROL!$C$32, $C$9, 100%, $E$9)</f>
        <v>5.4720000000000004</v>
      </c>
      <c r="D361" s="9">
        <f>5.473 * CHOOSE(CONTROL!$C$32, $C$9, 100%, $E$9)</f>
        <v>5.4729999999999999</v>
      </c>
      <c r="E361" s="11">
        <f>6.6035 * CHOOSE(CONTROL!$C$32, $C$9, 100%, $E$9)</f>
        <v>6.6035000000000004</v>
      </c>
      <c r="F361" s="11">
        <f>6.6035 * CHOOSE(CONTROL!$C$32, $C$9, 100%, $E$9)</f>
        <v>6.6035000000000004</v>
      </c>
      <c r="G361" s="11">
        <f>6.6067 * CHOOSE(CONTROL!$C$32, $C$9, 100%, $E$9)</f>
        <v>6.6067</v>
      </c>
      <c r="H361" s="11">
        <f>11.877 * CHOOSE(CONTROL!$C$32, $C$9, 100%, $E$9)</f>
        <v>11.877000000000001</v>
      </c>
      <c r="I361" s="11">
        <f>11.8802 * CHOOSE(CONTROL!$C$32, $C$9, 100%, $E$9)</f>
        <v>11.8802</v>
      </c>
      <c r="J361" s="11">
        <f>11.877 * CHOOSE(CONTROL!$C$32, $C$9, 100%, $E$9)</f>
        <v>11.877000000000001</v>
      </c>
      <c r="K361" s="11">
        <f>11.8802 * CHOOSE(CONTROL!$C$32, $C$9, 100%, $E$9)</f>
        <v>11.8802</v>
      </c>
      <c r="L361" s="11">
        <f>6.6035 * CHOOSE(CONTROL!$C$32, $C$9, 100%, $E$9)</f>
        <v>6.6035000000000004</v>
      </c>
      <c r="M361" s="11">
        <f>6.6067 * CHOOSE(CONTROL!$C$32, $C$9, 100%, $E$9)</f>
        <v>6.6067</v>
      </c>
      <c r="N361" s="11">
        <f>6.6035 * CHOOSE(CONTROL!$C$32, $C$9, 100%, $E$9)</f>
        <v>6.6035000000000004</v>
      </c>
      <c r="O361" s="11">
        <f>6.6067 * CHOOSE(CONTROL!$C$32, $C$9, 100%, $E$9)</f>
        <v>6.6067</v>
      </c>
    </row>
    <row r="362" spans="1:15" ht="15" x14ac:dyDescent="0.2">
      <c r="A362" s="13">
        <v>51867</v>
      </c>
      <c r="B362" s="9">
        <f>5.5145 * CHOOSE(CONTROL!$C$32, $C$9, 100%, $E$9)</f>
        <v>5.5145</v>
      </c>
      <c r="C362" s="9">
        <f>5.5145 * CHOOSE(CONTROL!$C$32, $C$9, 100%, $E$9)</f>
        <v>5.5145</v>
      </c>
      <c r="D362" s="9">
        <f>5.5154 * CHOOSE(CONTROL!$C$32, $C$9, 100%, $E$9)</f>
        <v>5.5153999999999996</v>
      </c>
      <c r="E362" s="11">
        <f>6.6708 * CHOOSE(CONTROL!$C$32, $C$9, 100%, $E$9)</f>
        <v>6.6707999999999998</v>
      </c>
      <c r="F362" s="11">
        <f>6.6708 * CHOOSE(CONTROL!$C$32, $C$9, 100%, $E$9)</f>
        <v>6.6707999999999998</v>
      </c>
      <c r="G362" s="11">
        <f>6.674 * CHOOSE(CONTROL!$C$32, $C$9, 100%, $E$9)</f>
        <v>6.6740000000000004</v>
      </c>
      <c r="H362" s="11">
        <f>11.9018 * CHOOSE(CONTROL!$C$32, $C$9, 100%, $E$9)</f>
        <v>11.9018</v>
      </c>
      <c r="I362" s="11">
        <f>11.905 * CHOOSE(CONTROL!$C$32, $C$9, 100%, $E$9)</f>
        <v>11.904999999999999</v>
      </c>
      <c r="J362" s="11">
        <f>11.9018 * CHOOSE(CONTROL!$C$32, $C$9, 100%, $E$9)</f>
        <v>11.9018</v>
      </c>
      <c r="K362" s="11">
        <f>11.905 * CHOOSE(CONTROL!$C$32, $C$9, 100%, $E$9)</f>
        <v>11.904999999999999</v>
      </c>
      <c r="L362" s="11">
        <f>6.6708 * CHOOSE(CONTROL!$C$32, $C$9, 100%, $E$9)</f>
        <v>6.6707999999999998</v>
      </c>
      <c r="M362" s="11">
        <f>6.674 * CHOOSE(CONTROL!$C$32, $C$9, 100%, $E$9)</f>
        <v>6.6740000000000004</v>
      </c>
      <c r="N362" s="11">
        <f>6.6708 * CHOOSE(CONTROL!$C$32, $C$9, 100%, $E$9)</f>
        <v>6.6707999999999998</v>
      </c>
      <c r="O362" s="11">
        <f>6.674 * CHOOSE(CONTROL!$C$32, $C$9, 100%, $E$9)</f>
        <v>6.6740000000000004</v>
      </c>
    </row>
    <row r="363" spans="1:15" ht="15" x14ac:dyDescent="0.2">
      <c r="A363" s="13">
        <v>51898</v>
      </c>
      <c r="B363" s="9">
        <f>5.5115 * CHOOSE(CONTROL!$C$32, $C$9, 100%, $E$9)</f>
        <v>5.5114999999999998</v>
      </c>
      <c r="C363" s="9">
        <f>5.5115 * CHOOSE(CONTROL!$C$32, $C$9, 100%, $E$9)</f>
        <v>5.5114999999999998</v>
      </c>
      <c r="D363" s="9">
        <f>5.5124 * CHOOSE(CONTROL!$C$32, $C$9, 100%, $E$9)</f>
        <v>5.5124000000000004</v>
      </c>
      <c r="E363" s="11">
        <f>6.5461 * CHOOSE(CONTROL!$C$32, $C$9, 100%, $E$9)</f>
        <v>6.5461</v>
      </c>
      <c r="F363" s="11">
        <f>6.5461 * CHOOSE(CONTROL!$C$32, $C$9, 100%, $E$9)</f>
        <v>6.5461</v>
      </c>
      <c r="G363" s="11">
        <f>6.5493 * CHOOSE(CONTROL!$C$32, $C$9, 100%, $E$9)</f>
        <v>6.5492999999999997</v>
      </c>
      <c r="H363" s="11">
        <f>11.9265 * CHOOSE(CONTROL!$C$32, $C$9, 100%, $E$9)</f>
        <v>11.926500000000001</v>
      </c>
      <c r="I363" s="11">
        <f>11.9298 * CHOOSE(CONTROL!$C$32, $C$9, 100%, $E$9)</f>
        <v>11.9298</v>
      </c>
      <c r="J363" s="11">
        <f>11.9265 * CHOOSE(CONTROL!$C$32, $C$9, 100%, $E$9)</f>
        <v>11.926500000000001</v>
      </c>
      <c r="K363" s="11">
        <f>11.9298 * CHOOSE(CONTROL!$C$32, $C$9, 100%, $E$9)</f>
        <v>11.9298</v>
      </c>
      <c r="L363" s="11">
        <f>6.5461 * CHOOSE(CONTROL!$C$32, $C$9, 100%, $E$9)</f>
        <v>6.5461</v>
      </c>
      <c r="M363" s="11">
        <f>6.5493 * CHOOSE(CONTROL!$C$32, $C$9, 100%, $E$9)</f>
        <v>6.5492999999999997</v>
      </c>
      <c r="N363" s="11">
        <f>6.5461 * CHOOSE(CONTROL!$C$32, $C$9, 100%, $E$9)</f>
        <v>6.5461</v>
      </c>
      <c r="O363" s="11">
        <f>6.5493 * CHOOSE(CONTROL!$C$32, $C$9, 100%, $E$9)</f>
        <v>6.5492999999999997</v>
      </c>
    </row>
    <row r="364" spans="1:15" ht="15" x14ac:dyDescent="0.2">
      <c r="A364" s="13">
        <v>51926</v>
      </c>
      <c r="B364" s="9">
        <f>5.5084 * CHOOSE(CONTROL!$C$32, $C$9, 100%, $E$9)</f>
        <v>5.5084</v>
      </c>
      <c r="C364" s="9">
        <f>5.5084 * CHOOSE(CONTROL!$C$32, $C$9, 100%, $E$9)</f>
        <v>5.5084</v>
      </c>
      <c r="D364" s="9">
        <f>5.5094 * CHOOSE(CONTROL!$C$32, $C$9, 100%, $E$9)</f>
        <v>5.5094000000000003</v>
      </c>
      <c r="E364" s="11">
        <f>6.6406 * CHOOSE(CONTROL!$C$32, $C$9, 100%, $E$9)</f>
        <v>6.6406000000000001</v>
      </c>
      <c r="F364" s="11">
        <f>6.6406 * CHOOSE(CONTROL!$C$32, $C$9, 100%, $E$9)</f>
        <v>6.6406000000000001</v>
      </c>
      <c r="G364" s="11">
        <f>6.6438 * CHOOSE(CONTROL!$C$32, $C$9, 100%, $E$9)</f>
        <v>6.6437999999999997</v>
      </c>
      <c r="H364" s="11">
        <f>11.9514 * CHOOSE(CONTROL!$C$32, $C$9, 100%, $E$9)</f>
        <v>11.9514</v>
      </c>
      <c r="I364" s="11">
        <f>11.9546 * CHOOSE(CONTROL!$C$32, $C$9, 100%, $E$9)</f>
        <v>11.954599999999999</v>
      </c>
      <c r="J364" s="11">
        <f>11.9514 * CHOOSE(CONTROL!$C$32, $C$9, 100%, $E$9)</f>
        <v>11.9514</v>
      </c>
      <c r="K364" s="11">
        <f>11.9546 * CHOOSE(CONTROL!$C$32, $C$9, 100%, $E$9)</f>
        <v>11.954599999999999</v>
      </c>
      <c r="L364" s="11">
        <f>6.6406 * CHOOSE(CONTROL!$C$32, $C$9, 100%, $E$9)</f>
        <v>6.6406000000000001</v>
      </c>
      <c r="M364" s="11">
        <f>6.6438 * CHOOSE(CONTROL!$C$32, $C$9, 100%, $E$9)</f>
        <v>6.6437999999999997</v>
      </c>
      <c r="N364" s="11">
        <f>6.6406 * CHOOSE(CONTROL!$C$32, $C$9, 100%, $E$9)</f>
        <v>6.6406000000000001</v>
      </c>
      <c r="O364" s="11">
        <f>6.6438 * CHOOSE(CONTROL!$C$32, $C$9, 100%, $E$9)</f>
        <v>6.6437999999999997</v>
      </c>
    </row>
    <row r="365" spans="1:15" ht="15" x14ac:dyDescent="0.2">
      <c r="A365" s="13">
        <v>51957</v>
      </c>
      <c r="B365" s="9">
        <f>5.5075 * CHOOSE(CONTROL!$C$32, $C$9, 100%, $E$9)</f>
        <v>5.5075000000000003</v>
      </c>
      <c r="C365" s="9">
        <f>5.5075 * CHOOSE(CONTROL!$C$32, $C$9, 100%, $E$9)</f>
        <v>5.5075000000000003</v>
      </c>
      <c r="D365" s="9">
        <f>5.5085 * CHOOSE(CONTROL!$C$32, $C$9, 100%, $E$9)</f>
        <v>5.5084999999999997</v>
      </c>
      <c r="E365" s="11">
        <f>6.7402 * CHOOSE(CONTROL!$C$32, $C$9, 100%, $E$9)</f>
        <v>6.7401999999999997</v>
      </c>
      <c r="F365" s="11">
        <f>6.7402 * CHOOSE(CONTROL!$C$32, $C$9, 100%, $E$9)</f>
        <v>6.7401999999999997</v>
      </c>
      <c r="G365" s="11">
        <f>6.7434 * CHOOSE(CONTROL!$C$32, $C$9, 100%, $E$9)</f>
        <v>6.7434000000000003</v>
      </c>
      <c r="H365" s="11">
        <f>11.9763 * CHOOSE(CONTROL!$C$32, $C$9, 100%, $E$9)</f>
        <v>11.9763</v>
      </c>
      <c r="I365" s="11">
        <f>11.9795 * CHOOSE(CONTROL!$C$32, $C$9, 100%, $E$9)</f>
        <v>11.9795</v>
      </c>
      <c r="J365" s="11">
        <f>11.9763 * CHOOSE(CONTROL!$C$32, $C$9, 100%, $E$9)</f>
        <v>11.9763</v>
      </c>
      <c r="K365" s="11">
        <f>11.9795 * CHOOSE(CONTROL!$C$32, $C$9, 100%, $E$9)</f>
        <v>11.9795</v>
      </c>
      <c r="L365" s="11">
        <f>6.7402 * CHOOSE(CONTROL!$C$32, $C$9, 100%, $E$9)</f>
        <v>6.7401999999999997</v>
      </c>
      <c r="M365" s="11">
        <f>6.7434 * CHOOSE(CONTROL!$C$32, $C$9, 100%, $E$9)</f>
        <v>6.7434000000000003</v>
      </c>
      <c r="N365" s="11">
        <f>6.7402 * CHOOSE(CONTROL!$C$32, $C$9, 100%, $E$9)</f>
        <v>6.7401999999999997</v>
      </c>
      <c r="O365" s="11">
        <f>6.7434 * CHOOSE(CONTROL!$C$32, $C$9, 100%, $E$9)</f>
        <v>6.7434000000000003</v>
      </c>
    </row>
    <row r="366" spans="1:15" ht="15" x14ac:dyDescent="0.2">
      <c r="A366" s="13">
        <v>51987</v>
      </c>
      <c r="B366" s="9">
        <f>5.5075 * CHOOSE(CONTROL!$C$32, $C$9, 100%, $E$9)</f>
        <v>5.5075000000000003</v>
      </c>
      <c r="C366" s="9">
        <f>5.5075 * CHOOSE(CONTROL!$C$32, $C$9, 100%, $E$9)</f>
        <v>5.5075000000000003</v>
      </c>
      <c r="D366" s="9">
        <f>5.5088 * CHOOSE(CONTROL!$C$32, $C$9, 100%, $E$9)</f>
        <v>5.5087999999999999</v>
      </c>
      <c r="E366" s="11">
        <f>6.7791 * CHOOSE(CONTROL!$C$32, $C$9, 100%, $E$9)</f>
        <v>6.7790999999999997</v>
      </c>
      <c r="F366" s="11">
        <f>6.7791 * CHOOSE(CONTROL!$C$32, $C$9, 100%, $E$9)</f>
        <v>6.7790999999999997</v>
      </c>
      <c r="G366" s="11">
        <f>6.7833 * CHOOSE(CONTROL!$C$32, $C$9, 100%, $E$9)</f>
        <v>6.7832999999999997</v>
      </c>
      <c r="H366" s="11">
        <f>12.0012 * CHOOSE(CONTROL!$C$32, $C$9, 100%, $E$9)</f>
        <v>12.001200000000001</v>
      </c>
      <c r="I366" s="11">
        <f>12.0054 * CHOOSE(CONTROL!$C$32, $C$9, 100%, $E$9)</f>
        <v>12.0054</v>
      </c>
      <c r="J366" s="11">
        <f>12.0012 * CHOOSE(CONTROL!$C$32, $C$9, 100%, $E$9)</f>
        <v>12.001200000000001</v>
      </c>
      <c r="K366" s="11">
        <f>12.0054 * CHOOSE(CONTROL!$C$32, $C$9, 100%, $E$9)</f>
        <v>12.0054</v>
      </c>
      <c r="L366" s="11">
        <f>6.7791 * CHOOSE(CONTROL!$C$32, $C$9, 100%, $E$9)</f>
        <v>6.7790999999999997</v>
      </c>
      <c r="M366" s="11">
        <f>6.7833 * CHOOSE(CONTROL!$C$32, $C$9, 100%, $E$9)</f>
        <v>6.7832999999999997</v>
      </c>
      <c r="N366" s="11">
        <f>6.7791 * CHOOSE(CONTROL!$C$32, $C$9, 100%, $E$9)</f>
        <v>6.7790999999999997</v>
      </c>
      <c r="O366" s="11">
        <f>6.7833 * CHOOSE(CONTROL!$C$32, $C$9, 100%, $E$9)</f>
        <v>6.7832999999999997</v>
      </c>
    </row>
    <row r="367" spans="1:15" ht="15" x14ac:dyDescent="0.2">
      <c r="A367" s="13">
        <v>52018</v>
      </c>
      <c r="B367" s="9">
        <f>5.5136 * CHOOSE(CONTROL!$C$32, $C$9, 100%, $E$9)</f>
        <v>5.5136000000000003</v>
      </c>
      <c r="C367" s="9">
        <f>5.5136 * CHOOSE(CONTROL!$C$32, $C$9, 100%, $E$9)</f>
        <v>5.5136000000000003</v>
      </c>
      <c r="D367" s="9">
        <f>5.5149 * CHOOSE(CONTROL!$C$32, $C$9, 100%, $E$9)</f>
        <v>5.5148999999999999</v>
      </c>
      <c r="E367" s="11">
        <f>6.7444 * CHOOSE(CONTROL!$C$32, $C$9, 100%, $E$9)</f>
        <v>6.7443999999999997</v>
      </c>
      <c r="F367" s="11">
        <f>6.7444 * CHOOSE(CONTROL!$C$32, $C$9, 100%, $E$9)</f>
        <v>6.7443999999999997</v>
      </c>
      <c r="G367" s="11">
        <f>6.7486 * CHOOSE(CONTROL!$C$32, $C$9, 100%, $E$9)</f>
        <v>6.7485999999999997</v>
      </c>
      <c r="H367" s="11">
        <f>12.0262 * CHOOSE(CONTROL!$C$32, $C$9, 100%, $E$9)</f>
        <v>12.026199999999999</v>
      </c>
      <c r="I367" s="11">
        <f>12.0304 * CHOOSE(CONTROL!$C$32, $C$9, 100%, $E$9)</f>
        <v>12.0304</v>
      </c>
      <c r="J367" s="11">
        <f>12.0262 * CHOOSE(CONTROL!$C$32, $C$9, 100%, $E$9)</f>
        <v>12.026199999999999</v>
      </c>
      <c r="K367" s="11">
        <f>12.0304 * CHOOSE(CONTROL!$C$32, $C$9, 100%, $E$9)</f>
        <v>12.0304</v>
      </c>
      <c r="L367" s="11">
        <f>6.7444 * CHOOSE(CONTROL!$C$32, $C$9, 100%, $E$9)</f>
        <v>6.7443999999999997</v>
      </c>
      <c r="M367" s="11">
        <f>6.7486 * CHOOSE(CONTROL!$C$32, $C$9, 100%, $E$9)</f>
        <v>6.7485999999999997</v>
      </c>
      <c r="N367" s="11">
        <f>6.7444 * CHOOSE(CONTROL!$C$32, $C$9, 100%, $E$9)</f>
        <v>6.7443999999999997</v>
      </c>
      <c r="O367" s="11">
        <f>6.7486 * CHOOSE(CONTROL!$C$32, $C$9, 100%, $E$9)</f>
        <v>6.7485999999999997</v>
      </c>
    </row>
    <row r="368" spans="1:15" ht="15" x14ac:dyDescent="0.2">
      <c r="A368" s="13">
        <v>52048</v>
      </c>
      <c r="B368" s="9">
        <f>5.5892 * CHOOSE(CONTROL!$C$32, $C$9, 100%, $E$9)</f>
        <v>5.5891999999999999</v>
      </c>
      <c r="C368" s="9">
        <f>5.5892 * CHOOSE(CONTROL!$C$32, $C$9, 100%, $E$9)</f>
        <v>5.5891999999999999</v>
      </c>
      <c r="D368" s="9">
        <f>5.5904 * CHOOSE(CONTROL!$C$32, $C$9, 100%, $E$9)</f>
        <v>5.5903999999999998</v>
      </c>
      <c r="E368" s="11">
        <f>6.7633 * CHOOSE(CONTROL!$C$32, $C$9, 100%, $E$9)</f>
        <v>6.7633000000000001</v>
      </c>
      <c r="F368" s="11">
        <f>6.7633 * CHOOSE(CONTROL!$C$32, $C$9, 100%, $E$9)</f>
        <v>6.7633000000000001</v>
      </c>
      <c r="G368" s="11">
        <f>6.7675 * CHOOSE(CONTROL!$C$32, $C$9, 100%, $E$9)</f>
        <v>6.7675000000000001</v>
      </c>
      <c r="H368" s="11">
        <f>12.0513 * CHOOSE(CONTROL!$C$32, $C$9, 100%, $E$9)</f>
        <v>12.051299999999999</v>
      </c>
      <c r="I368" s="11">
        <f>12.0555 * CHOOSE(CONTROL!$C$32, $C$9, 100%, $E$9)</f>
        <v>12.0555</v>
      </c>
      <c r="J368" s="11">
        <f>12.0513 * CHOOSE(CONTROL!$C$32, $C$9, 100%, $E$9)</f>
        <v>12.051299999999999</v>
      </c>
      <c r="K368" s="11">
        <f>12.0555 * CHOOSE(CONTROL!$C$32, $C$9, 100%, $E$9)</f>
        <v>12.0555</v>
      </c>
      <c r="L368" s="11">
        <f>6.7633 * CHOOSE(CONTROL!$C$32, $C$9, 100%, $E$9)</f>
        <v>6.7633000000000001</v>
      </c>
      <c r="M368" s="11">
        <f>6.7675 * CHOOSE(CONTROL!$C$32, $C$9, 100%, $E$9)</f>
        <v>6.7675000000000001</v>
      </c>
      <c r="N368" s="11">
        <f>6.7633 * CHOOSE(CONTROL!$C$32, $C$9, 100%, $E$9)</f>
        <v>6.7633000000000001</v>
      </c>
      <c r="O368" s="11">
        <f>6.7675 * CHOOSE(CONTROL!$C$32, $C$9, 100%, $E$9)</f>
        <v>6.7675000000000001</v>
      </c>
    </row>
    <row r="369" spans="1:15" ht="15" x14ac:dyDescent="0.2">
      <c r="A369" s="13">
        <v>52079</v>
      </c>
      <c r="B369" s="9">
        <f>5.5958 * CHOOSE(CONTROL!$C$32, $C$9, 100%, $E$9)</f>
        <v>5.5957999999999997</v>
      </c>
      <c r="C369" s="9">
        <f>5.5958 * CHOOSE(CONTROL!$C$32, $C$9, 100%, $E$9)</f>
        <v>5.5957999999999997</v>
      </c>
      <c r="D369" s="9">
        <f>5.5971 * CHOOSE(CONTROL!$C$32, $C$9, 100%, $E$9)</f>
        <v>5.5971000000000002</v>
      </c>
      <c r="E369" s="11">
        <f>6.6512 * CHOOSE(CONTROL!$C$32, $C$9, 100%, $E$9)</f>
        <v>6.6512000000000002</v>
      </c>
      <c r="F369" s="11">
        <f>6.6512 * CHOOSE(CONTROL!$C$32, $C$9, 100%, $E$9)</f>
        <v>6.6512000000000002</v>
      </c>
      <c r="G369" s="11">
        <f>6.6554 * CHOOSE(CONTROL!$C$32, $C$9, 100%, $E$9)</f>
        <v>6.6554000000000002</v>
      </c>
      <c r="H369" s="11">
        <f>12.0764 * CHOOSE(CONTROL!$C$32, $C$9, 100%, $E$9)</f>
        <v>12.0764</v>
      </c>
      <c r="I369" s="11">
        <f>12.0806 * CHOOSE(CONTROL!$C$32, $C$9, 100%, $E$9)</f>
        <v>12.0806</v>
      </c>
      <c r="J369" s="11">
        <f>12.0764 * CHOOSE(CONTROL!$C$32, $C$9, 100%, $E$9)</f>
        <v>12.0764</v>
      </c>
      <c r="K369" s="11">
        <f>12.0806 * CHOOSE(CONTROL!$C$32, $C$9, 100%, $E$9)</f>
        <v>12.0806</v>
      </c>
      <c r="L369" s="11">
        <f>6.6512 * CHOOSE(CONTROL!$C$32, $C$9, 100%, $E$9)</f>
        <v>6.6512000000000002</v>
      </c>
      <c r="M369" s="11">
        <f>6.6554 * CHOOSE(CONTROL!$C$32, $C$9, 100%, $E$9)</f>
        <v>6.6554000000000002</v>
      </c>
      <c r="N369" s="11">
        <f>6.6512 * CHOOSE(CONTROL!$C$32, $C$9, 100%, $E$9)</f>
        <v>6.6512000000000002</v>
      </c>
      <c r="O369" s="11">
        <f>6.6554 * CHOOSE(CONTROL!$C$32, $C$9, 100%, $E$9)</f>
        <v>6.6554000000000002</v>
      </c>
    </row>
    <row r="370" spans="1:15" ht="15" x14ac:dyDescent="0.2">
      <c r="A370" s="13">
        <v>52110</v>
      </c>
      <c r="B370" s="9">
        <f>5.5928 * CHOOSE(CONTROL!$C$32, $C$9, 100%, $E$9)</f>
        <v>5.5928000000000004</v>
      </c>
      <c r="C370" s="9">
        <f>5.5928 * CHOOSE(CONTROL!$C$32, $C$9, 100%, $E$9)</f>
        <v>5.5928000000000004</v>
      </c>
      <c r="D370" s="9">
        <f>5.5941 * CHOOSE(CONTROL!$C$32, $C$9, 100%, $E$9)</f>
        <v>5.5941000000000001</v>
      </c>
      <c r="E370" s="11">
        <f>6.6361 * CHOOSE(CONTROL!$C$32, $C$9, 100%, $E$9)</f>
        <v>6.6360999999999999</v>
      </c>
      <c r="F370" s="11">
        <f>6.6361 * CHOOSE(CONTROL!$C$32, $C$9, 100%, $E$9)</f>
        <v>6.6360999999999999</v>
      </c>
      <c r="G370" s="11">
        <f>6.6403 * CHOOSE(CONTROL!$C$32, $C$9, 100%, $E$9)</f>
        <v>6.6402999999999999</v>
      </c>
      <c r="H370" s="11">
        <f>12.1016 * CHOOSE(CONTROL!$C$32, $C$9, 100%, $E$9)</f>
        <v>12.101599999999999</v>
      </c>
      <c r="I370" s="11">
        <f>12.1058 * CHOOSE(CONTROL!$C$32, $C$9, 100%, $E$9)</f>
        <v>12.1058</v>
      </c>
      <c r="J370" s="11">
        <f>12.1016 * CHOOSE(CONTROL!$C$32, $C$9, 100%, $E$9)</f>
        <v>12.101599999999999</v>
      </c>
      <c r="K370" s="11">
        <f>12.1058 * CHOOSE(CONTROL!$C$32, $C$9, 100%, $E$9)</f>
        <v>12.1058</v>
      </c>
      <c r="L370" s="11">
        <f>6.6361 * CHOOSE(CONTROL!$C$32, $C$9, 100%, $E$9)</f>
        <v>6.6360999999999999</v>
      </c>
      <c r="M370" s="11">
        <f>6.6403 * CHOOSE(CONTROL!$C$32, $C$9, 100%, $E$9)</f>
        <v>6.6402999999999999</v>
      </c>
      <c r="N370" s="11">
        <f>6.6361 * CHOOSE(CONTROL!$C$32, $C$9, 100%, $E$9)</f>
        <v>6.6360999999999999</v>
      </c>
      <c r="O370" s="11">
        <f>6.6403 * CHOOSE(CONTROL!$C$32, $C$9, 100%, $E$9)</f>
        <v>6.6402999999999999</v>
      </c>
    </row>
    <row r="371" spans="1:15" ht="15" x14ac:dyDescent="0.2">
      <c r="A371" s="13">
        <v>52140</v>
      </c>
      <c r="B371" s="9">
        <f>5.5938 * CHOOSE(CONTROL!$C$32, $C$9, 100%, $E$9)</f>
        <v>5.5937999999999999</v>
      </c>
      <c r="C371" s="9">
        <f>5.5938 * CHOOSE(CONTROL!$C$32, $C$9, 100%, $E$9)</f>
        <v>5.5937999999999999</v>
      </c>
      <c r="D371" s="9">
        <f>5.5947 * CHOOSE(CONTROL!$C$32, $C$9, 100%, $E$9)</f>
        <v>5.5946999999999996</v>
      </c>
      <c r="E371" s="11">
        <f>6.6746 * CHOOSE(CONTROL!$C$32, $C$9, 100%, $E$9)</f>
        <v>6.6745999999999999</v>
      </c>
      <c r="F371" s="11">
        <f>6.6746 * CHOOSE(CONTROL!$C$32, $C$9, 100%, $E$9)</f>
        <v>6.6745999999999999</v>
      </c>
      <c r="G371" s="11">
        <f>6.6778 * CHOOSE(CONTROL!$C$32, $C$9, 100%, $E$9)</f>
        <v>6.6778000000000004</v>
      </c>
      <c r="H371" s="11">
        <f>12.1268 * CHOOSE(CONTROL!$C$32, $C$9, 100%, $E$9)</f>
        <v>12.126799999999999</v>
      </c>
      <c r="I371" s="11">
        <f>12.13 * CHOOSE(CONTROL!$C$32, $C$9, 100%, $E$9)</f>
        <v>12.13</v>
      </c>
      <c r="J371" s="11">
        <f>12.1268 * CHOOSE(CONTROL!$C$32, $C$9, 100%, $E$9)</f>
        <v>12.126799999999999</v>
      </c>
      <c r="K371" s="11">
        <f>12.13 * CHOOSE(CONTROL!$C$32, $C$9, 100%, $E$9)</f>
        <v>12.13</v>
      </c>
      <c r="L371" s="11">
        <f>6.6746 * CHOOSE(CONTROL!$C$32, $C$9, 100%, $E$9)</f>
        <v>6.6745999999999999</v>
      </c>
      <c r="M371" s="11">
        <f>6.6778 * CHOOSE(CONTROL!$C$32, $C$9, 100%, $E$9)</f>
        <v>6.6778000000000004</v>
      </c>
      <c r="N371" s="11">
        <f>6.6746 * CHOOSE(CONTROL!$C$32, $C$9, 100%, $E$9)</f>
        <v>6.6745999999999999</v>
      </c>
      <c r="O371" s="11">
        <f>6.6778 * CHOOSE(CONTROL!$C$32, $C$9, 100%, $E$9)</f>
        <v>6.6778000000000004</v>
      </c>
    </row>
    <row r="372" spans="1:15" ht="15" x14ac:dyDescent="0.2">
      <c r="A372" s="13">
        <v>52171</v>
      </c>
      <c r="B372" s="9">
        <f>5.5968 * CHOOSE(CONTROL!$C$32, $C$9, 100%, $E$9)</f>
        <v>5.5968</v>
      </c>
      <c r="C372" s="9">
        <f>5.5968 * CHOOSE(CONTROL!$C$32, $C$9, 100%, $E$9)</f>
        <v>5.5968</v>
      </c>
      <c r="D372" s="9">
        <f>5.5978 * CHOOSE(CONTROL!$C$32, $C$9, 100%, $E$9)</f>
        <v>5.5978000000000003</v>
      </c>
      <c r="E372" s="11">
        <f>6.7026 * CHOOSE(CONTROL!$C$32, $C$9, 100%, $E$9)</f>
        <v>6.7026000000000003</v>
      </c>
      <c r="F372" s="11">
        <f>6.7026 * CHOOSE(CONTROL!$C$32, $C$9, 100%, $E$9)</f>
        <v>6.7026000000000003</v>
      </c>
      <c r="G372" s="11">
        <f>6.7059 * CHOOSE(CONTROL!$C$32, $C$9, 100%, $E$9)</f>
        <v>6.7058999999999997</v>
      </c>
      <c r="H372" s="11">
        <f>12.152 * CHOOSE(CONTROL!$C$32, $C$9, 100%, $E$9)</f>
        <v>12.151999999999999</v>
      </c>
      <c r="I372" s="11">
        <f>12.1553 * CHOOSE(CONTROL!$C$32, $C$9, 100%, $E$9)</f>
        <v>12.1553</v>
      </c>
      <c r="J372" s="11">
        <f>12.152 * CHOOSE(CONTROL!$C$32, $C$9, 100%, $E$9)</f>
        <v>12.151999999999999</v>
      </c>
      <c r="K372" s="11">
        <f>12.1553 * CHOOSE(CONTROL!$C$32, $C$9, 100%, $E$9)</f>
        <v>12.1553</v>
      </c>
      <c r="L372" s="11">
        <f>6.7026 * CHOOSE(CONTROL!$C$32, $C$9, 100%, $E$9)</f>
        <v>6.7026000000000003</v>
      </c>
      <c r="M372" s="11">
        <f>6.7059 * CHOOSE(CONTROL!$C$32, $C$9, 100%, $E$9)</f>
        <v>6.7058999999999997</v>
      </c>
      <c r="N372" s="11">
        <f>6.7026 * CHOOSE(CONTROL!$C$32, $C$9, 100%, $E$9)</f>
        <v>6.7026000000000003</v>
      </c>
      <c r="O372" s="11">
        <f>6.7059 * CHOOSE(CONTROL!$C$32, $C$9, 100%, $E$9)</f>
        <v>6.7058999999999997</v>
      </c>
    </row>
    <row r="373" spans="1:15" ht="15" x14ac:dyDescent="0.2">
      <c r="A373" s="13">
        <v>52201</v>
      </c>
      <c r="B373" s="9">
        <f>5.5968 * CHOOSE(CONTROL!$C$32, $C$9, 100%, $E$9)</f>
        <v>5.5968</v>
      </c>
      <c r="C373" s="9">
        <f>5.5968 * CHOOSE(CONTROL!$C$32, $C$9, 100%, $E$9)</f>
        <v>5.5968</v>
      </c>
      <c r="D373" s="9">
        <f>5.5978 * CHOOSE(CONTROL!$C$32, $C$9, 100%, $E$9)</f>
        <v>5.5978000000000003</v>
      </c>
      <c r="E373" s="11">
        <f>6.6378 * CHOOSE(CONTROL!$C$32, $C$9, 100%, $E$9)</f>
        <v>6.6378000000000004</v>
      </c>
      <c r="F373" s="11">
        <f>6.6378 * CHOOSE(CONTROL!$C$32, $C$9, 100%, $E$9)</f>
        <v>6.6378000000000004</v>
      </c>
      <c r="G373" s="11">
        <f>6.641 * CHOOSE(CONTROL!$C$32, $C$9, 100%, $E$9)</f>
        <v>6.641</v>
      </c>
      <c r="H373" s="11">
        <f>12.1774 * CHOOSE(CONTROL!$C$32, $C$9, 100%, $E$9)</f>
        <v>12.1774</v>
      </c>
      <c r="I373" s="11">
        <f>12.1806 * CHOOSE(CONTROL!$C$32, $C$9, 100%, $E$9)</f>
        <v>12.1806</v>
      </c>
      <c r="J373" s="11">
        <f>12.1774 * CHOOSE(CONTROL!$C$32, $C$9, 100%, $E$9)</f>
        <v>12.1774</v>
      </c>
      <c r="K373" s="11">
        <f>12.1806 * CHOOSE(CONTROL!$C$32, $C$9, 100%, $E$9)</f>
        <v>12.1806</v>
      </c>
      <c r="L373" s="11">
        <f>6.6378 * CHOOSE(CONTROL!$C$32, $C$9, 100%, $E$9)</f>
        <v>6.6378000000000004</v>
      </c>
      <c r="M373" s="11">
        <f>6.641 * CHOOSE(CONTROL!$C$32, $C$9, 100%, $E$9)</f>
        <v>6.641</v>
      </c>
      <c r="N373" s="11">
        <f>6.6378 * CHOOSE(CONTROL!$C$32, $C$9, 100%, $E$9)</f>
        <v>6.6378000000000004</v>
      </c>
      <c r="O373" s="11">
        <f>6.641 * CHOOSE(CONTROL!$C$32, $C$9, 100%, $E$9)</f>
        <v>6.641</v>
      </c>
    </row>
    <row r="374" spans="1:15" ht="15" x14ac:dyDescent="0.2">
      <c r="A374" s="13">
        <v>52232</v>
      </c>
      <c r="B374" s="9">
        <f>5.6399 * CHOOSE(CONTROL!$C$32, $C$9, 100%, $E$9)</f>
        <v>5.6398999999999999</v>
      </c>
      <c r="C374" s="9">
        <f>5.6399 * CHOOSE(CONTROL!$C$32, $C$9, 100%, $E$9)</f>
        <v>5.6398999999999999</v>
      </c>
      <c r="D374" s="9">
        <f>5.6408 * CHOOSE(CONTROL!$C$32, $C$9, 100%, $E$9)</f>
        <v>5.6407999999999996</v>
      </c>
      <c r="E374" s="11">
        <f>6.7096 * CHOOSE(CONTROL!$C$32, $C$9, 100%, $E$9)</f>
        <v>6.7096</v>
      </c>
      <c r="F374" s="11">
        <f>6.7096 * CHOOSE(CONTROL!$C$32, $C$9, 100%, $E$9)</f>
        <v>6.7096</v>
      </c>
      <c r="G374" s="11">
        <f>6.7129 * CHOOSE(CONTROL!$C$32, $C$9, 100%, $E$9)</f>
        <v>6.7129000000000003</v>
      </c>
      <c r="H374" s="11">
        <f>12.2027 * CHOOSE(CONTROL!$C$32, $C$9, 100%, $E$9)</f>
        <v>12.2027</v>
      </c>
      <c r="I374" s="11">
        <f>12.206 * CHOOSE(CONTROL!$C$32, $C$9, 100%, $E$9)</f>
        <v>12.206</v>
      </c>
      <c r="J374" s="11">
        <f>12.2027 * CHOOSE(CONTROL!$C$32, $C$9, 100%, $E$9)</f>
        <v>12.2027</v>
      </c>
      <c r="K374" s="11">
        <f>12.206 * CHOOSE(CONTROL!$C$32, $C$9, 100%, $E$9)</f>
        <v>12.206</v>
      </c>
      <c r="L374" s="11">
        <f>6.7096 * CHOOSE(CONTROL!$C$32, $C$9, 100%, $E$9)</f>
        <v>6.7096</v>
      </c>
      <c r="M374" s="11">
        <f>6.7129 * CHOOSE(CONTROL!$C$32, $C$9, 100%, $E$9)</f>
        <v>6.7129000000000003</v>
      </c>
      <c r="N374" s="11">
        <f>6.7096 * CHOOSE(CONTROL!$C$32, $C$9, 100%, $E$9)</f>
        <v>6.7096</v>
      </c>
      <c r="O374" s="11">
        <f>6.7129 * CHOOSE(CONTROL!$C$32, $C$9, 100%, $E$9)</f>
        <v>6.7129000000000003</v>
      </c>
    </row>
    <row r="375" spans="1:15" ht="15" x14ac:dyDescent="0.2">
      <c r="A375" s="13">
        <v>52263</v>
      </c>
      <c r="B375" s="9">
        <f>5.6368 * CHOOSE(CONTROL!$C$32, $C$9, 100%, $E$9)</f>
        <v>5.6368</v>
      </c>
      <c r="C375" s="9">
        <f>5.6368 * CHOOSE(CONTROL!$C$32, $C$9, 100%, $E$9)</f>
        <v>5.6368</v>
      </c>
      <c r="D375" s="9">
        <f>5.6378 * CHOOSE(CONTROL!$C$32, $C$9, 100%, $E$9)</f>
        <v>5.6378000000000004</v>
      </c>
      <c r="E375" s="11">
        <f>6.5809 * CHOOSE(CONTROL!$C$32, $C$9, 100%, $E$9)</f>
        <v>6.5808999999999997</v>
      </c>
      <c r="F375" s="11">
        <f>6.5809 * CHOOSE(CONTROL!$C$32, $C$9, 100%, $E$9)</f>
        <v>6.5808999999999997</v>
      </c>
      <c r="G375" s="11">
        <f>6.5841 * CHOOSE(CONTROL!$C$32, $C$9, 100%, $E$9)</f>
        <v>6.5841000000000003</v>
      </c>
      <c r="H375" s="11">
        <f>12.2281 * CHOOSE(CONTROL!$C$32, $C$9, 100%, $E$9)</f>
        <v>12.2281</v>
      </c>
      <c r="I375" s="11">
        <f>12.2314 * CHOOSE(CONTROL!$C$32, $C$9, 100%, $E$9)</f>
        <v>12.231400000000001</v>
      </c>
      <c r="J375" s="11">
        <f>12.2281 * CHOOSE(CONTROL!$C$32, $C$9, 100%, $E$9)</f>
        <v>12.2281</v>
      </c>
      <c r="K375" s="11">
        <f>12.2314 * CHOOSE(CONTROL!$C$32, $C$9, 100%, $E$9)</f>
        <v>12.231400000000001</v>
      </c>
      <c r="L375" s="11">
        <f>6.5809 * CHOOSE(CONTROL!$C$32, $C$9, 100%, $E$9)</f>
        <v>6.5808999999999997</v>
      </c>
      <c r="M375" s="11">
        <f>6.5841 * CHOOSE(CONTROL!$C$32, $C$9, 100%, $E$9)</f>
        <v>6.5841000000000003</v>
      </c>
      <c r="N375" s="11">
        <f>6.5809 * CHOOSE(CONTROL!$C$32, $C$9, 100%, $E$9)</f>
        <v>6.5808999999999997</v>
      </c>
      <c r="O375" s="11">
        <f>6.5841 * CHOOSE(CONTROL!$C$32, $C$9, 100%, $E$9)</f>
        <v>6.5841000000000003</v>
      </c>
    </row>
    <row r="376" spans="1:15" ht="15" x14ac:dyDescent="0.2">
      <c r="A376" s="13">
        <v>52291</v>
      </c>
      <c r="B376" s="9">
        <f>5.6338 * CHOOSE(CONTROL!$C$32, $C$9, 100%, $E$9)</f>
        <v>5.6337999999999999</v>
      </c>
      <c r="C376" s="9">
        <f>5.6338 * CHOOSE(CONTROL!$C$32, $C$9, 100%, $E$9)</f>
        <v>5.6337999999999999</v>
      </c>
      <c r="D376" s="9">
        <f>5.6347 * CHOOSE(CONTROL!$C$32, $C$9, 100%, $E$9)</f>
        <v>5.6346999999999996</v>
      </c>
      <c r="E376" s="11">
        <f>6.6786 * CHOOSE(CONTROL!$C$32, $C$9, 100%, $E$9)</f>
        <v>6.6786000000000003</v>
      </c>
      <c r="F376" s="11">
        <f>6.6786 * CHOOSE(CONTROL!$C$32, $C$9, 100%, $E$9)</f>
        <v>6.6786000000000003</v>
      </c>
      <c r="G376" s="11">
        <f>6.6818 * CHOOSE(CONTROL!$C$32, $C$9, 100%, $E$9)</f>
        <v>6.6818</v>
      </c>
      <c r="H376" s="11">
        <f>12.2536 * CHOOSE(CONTROL!$C$32, $C$9, 100%, $E$9)</f>
        <v>12.2536</v>
      </c>
      <c r="I376" s="11">
        <f>12.2569 * CHOOSE(CONTROL!$C$32, $C$9, 100%, $E$9)</f>
        <v>12.2569</v>
      </c>
      <c r="J376" s="11">
        <f>12.2536 * CHOOSE(CONTROL!$C$32, $C$9, 100%, $E$9)</f>
        <v>12.2536</v>
      </c>
      <c r="K376" s="11">
        <f>12.2569 * CHOOSE(CONTROL!$C$32, $C$9, 100%, $E$9)</f>
        <v>12.2569</v>
      </c>
      <c r="L376" s="11">
        <f>6.6786 * CHOOSE(CONTROL!$C$32, $C$9, 100%, $E$9)</f>
        <v>6.6786000000000003</v>
      </c>
      <c r="M376" s="11">
        <f>6.6818 * CHOOSE(CONTROL!$C$32, $C$9, 100%, $E$9)</f>
        <v>6.6818</v>
      </c>
      <c r="N376" s="11">
        <f>6.6786 * CHOOSE(CONTROL!$C$32, $C$9, 100%, $E$9)</f>
        <v>6.6786000000000003</v>
      </c>
      <c r="O376" s="11">
        <f>6.6818 * CHOOSE(CONTROL!$C$32, $C$9, 100%, $E$9)</f>
        <v>6.6818</v>
      </c>
    </row>
    <row r="377" spans="1:15" ht="15" x14ac:dyDescent="0.2">
      <c r="A377" s="13">
        <v>52322</v>
      </c>
      <c r="B377" s="9">
        <f>5.633 * CHOOSE(CONTROL!$C$32, $C$9, 100%, $E$9)</f>
        <v>5.633</v>
      </c>
      <c r="C377" s="9">
        <f>5.633 * CHOOSE(CONTROL!$C$32, $C$9, 100%, $E$9)</f>
        <v>5.633</v>
      </c>
      <c r="D377" s="9">
        <f>5.634 * CHOOSE(CONTROL!$C$32, $C$9, 100%, $E$9)</f>
        <v>5.6340000000000003</v>
      </c>
      <c r="E377" s="11">
        <f>6.7815 * CHOOSE(CONTROL!$C$32, $C$9, 100%, $E$9)</f>
        <v>6.7815000000000003</v>
      </c>
      <c r="F377" s="11">
        <f>6.7815 * CHOOSE(CONTROL!$C$32, $C$9, 100%, $E$9)</f>
        <v>6.7815000000000003</v>
      </c>
      <c r="G377" s="11">
        <f>6.7848 * CHOOSE(CONTROL!$C$32, $C$9, 100%, $E$9)</f>
        <v>6.7847999999999997</v>
      </c>
      <c r="H377" s="11">
        <f>12.2792 * CHOOSE(CONTROL!$C$32, $C$9, 100%, $E$9)</f>
        <v>12.279199999999999</v>
      </c>
      <c r="I377" s="11">
        <f>12.2824 * CHOOSE(CONTROL!$C$32, $C$9, 100%, $E$9)</f>
        <v>12.282400000000001</v>
      </c>
      <c r="J377" s="11">
        <f>12.2792 * CHOOSE(CONTROL!$C$32, $C$9, 100%, $E$9)</f>
        <v>12.279199999999999</v>
      </c>
      <c r="K377" s="11">
        <f>12.2824 * CHOOSE(CONTROL!$C$32, $C$9, 100%, $E$9)</f>
        <v>12.282400000000001</v>
      </c>
      <c r="L377" s="11">
        <f>6.7815 * CHOOSE(CONTROL!$C$32, $C$9, 100%, $E$9)</f>
        <v>6.7815000000000003</v>
      </c>
      <c r="M377" s="11">
        <f>6.7848 * CHOOSE(CONTROL!$C$32, $C$9, 100%, $E$9)</f>
        <v>6.7847999999999997</v>
      </c>
      <c r="N377" s="11">
        <f>6.7815 * CHOOSE(CONTROL!$C$32, $C$9, 100%, $E$9)</f>
        <v>6.7815000000000003</v>
      </c>
      <c r="O377" s="11">
        <f>6.7848 * CHOOSE(CONTROL!$C$32, $C$9, 100%, $E$9)</f>
        <v>6.7847999999999997</v>
      </c>
    </row>
    <row r="378" spans="1:15" ht="15" x14ac:dyDescent="0.2">
      <c r="A378" s="13">
        <v>52352</v>
      </c>
      <c r="B378" s="9">
        <f>5.633 * CHOOSE(CONTROL!$C$32, $C$9, 100%, $E$9)</f>
        <v>5.633</v>
      </c>
      <c r="C378" s="9">
        <f>5.633 * CHOOSE(CONTROL!$C$32, $C$9, 100%, $E$9)</f>
        <v>5.633</v>
      </c>
      <c r="D378" s="9">
        <f>5.6343 * CHOOSE(CONTROL!$C$32, $C$9, 100%, $E$9)</f>
        <v>5.6342999999999996</v>
      </c>
      <c r="E378" s="11">
        <f>6.8217 * CHOOSE(CONTROL!$C$32, $C$9, 100%, $E$9)</f>
        <v>6.8216999999999999</v>
      </c>
      <c r="F378" s="11">
        <f>6.8217 * CHOOSE(CONTROL!$C$32, $C$9, 100%, $E$9)</f>
        <v>6.8216999999999999</v>
      </c>
      <c r="G378" s="11">
        <f>6.8259 * CHOOSE(CONTROL!$C$32, $C$9, 100%, $E$9)</f>
        <v>6.8258999999999999</v>
      </c>
      <c r="H378" s="11">
        <f>12.3047 * CHOOSE(CONTROL!$C$32, $C$9, 100%, $E$9)</f>
        <v>12.3047</v>
      </c>
      <c r="I378" s="11">
        <f>12.3089 * CHOOSE(CONTROL!$C$32, $C$9, 100%, $E$9)</f>
        <v>12.3089</v>
      </c>
      <c r="J378" s="11">
        <f>12.3047 * CHOOSE(CONTROL!$C$32, $C$9, 100%, $E$9)</f>
        <v>12.3047</v>
      </c>
      <c r="K378" s="11">
        <f>12.3089 * CHOOSE(CONTROL!$C$32, $C$9, 100%, $E$9)</f>
        <v>12.3089</v>
      </c>
      <c r="L378" s="11">
        <f>6.8217 * CHOOSE(CONTROL!$C$32, $C$9, 100%, $E$9)</f>
        <v>6.8216999999999999</v>
      </c>
      <c r="M378" s="11">
        <f>6.8259 * CHOOSE(CONTROL!$C$32, $C$9, 100%, $E$9)</f>
        <v>6.8258999999999999</v>
      </c>
      <c r="N378" s="11">
        <f>6.8217 * CHOOSE(CONTROL!$C$32, $C$9, 100%, $E$9)</f>
        <v>6.8216999999999999</v>
      </c>
      <c r="O378" s="11">
        <f>6.8259 * CHOOSE(CONTROL!$C$32, $C$9, 100%, $E$9)</f>
        <v>6.8258999999999999</v>
      </c>
    </row>
    <row r="379" spans="1:15" ht="15" x14ac:dyDescent="0.2">
      <c r="A379" s="13">
        <v>52383</v>
      </c>
      <c r="B379" s="9">
        <f>5.6391 * CHOOSE(CONTROL!$C$32, $C$9, 100%, $E$9)</f>
        <v>5.6391</v>
      </c>
      <c r="C379" s="9">
        <f>5.6391 * CHOOSE(CONTROL!$C$32, $C$9, 100%, $E$9)</f>
        <v>5.6391</v>
      </c>
      <c r="D379" s="9">
        <f>5.6403 * CHOOSE(CONTROL!$C$32, $C$9, 100%, $E$9)</f>
        <v>5.6402999999999999</v>
      </c>
      <c r="E379" s="11">
        <f>6.7858 * CHOOSE(CONTROL!$C$32, $C$9, 100%, $E$9)</f>
        <v>6.7858000000000001</v>
      </c>
      <c r="F379" s="11">
        <f>6.7858 * CHOOSE(CONTROL!$C$32, $C$9, 100%, $E$9)</f>
        <v>6.7858000000000001</v>
      </c>
      <c r="G379" s="11">
        <f>6.79 * CHOOSE(CONTROL!$C$32, $C$9, 100%, $E$9)</f>
        <v>6.79</v>
      </c>
      <c r="H379" s="11">
        <f>12.3304 * CHOOSE(CONTROL!$C$32, $C$9, 100%, $E$9)</f>
        <v>12.330399999999999</v>
      </c>
      <c r="I379" s="11">
        <f>12.3346 * CHOOSE(CONTROL!$C$32, $C$9, 100%, $E$9)</f>
        <v>12.3346</v>
      </c>
      <c r="J379" s="11">
        <f>12.3304 * CHOOSE(CONTROL!$C$32, $C$9, 100%, $E$9)</f>
        <v>12.330399999999999</v>
      </c>
      <c r="K379" s="11">
        <f>12.3346 * CHOOSE(CONTROL!$C$32, $C$9, 100%, $E$9)</f>
        <v>12.3346</v>
      </c>
      <c r="L379" s="11">
        <f>6.7858 * CHOOSE(CONTROL!$C$32, $C$9, 100%, $E$9)</f>
        <v>6.7858000000000001</v>
      </c>
      <c r="M379" s="11">
        <f>6.79 * CHOOSE(CONTROL!$C$32, $C$9, 100%, $E$9)</f>
        <v>6.79</v>
      </c>
      <c r="N379" s="11">
        <f>6.7858 * CHOOSE(CONTROL!$C$32, $C$9, 100%, $E$9)</f>
        <v>6.7858000000000001</v>
      </c>
      <c r="O379" s="11">
        <f>6.79 * CHOOSE(CONTROL!$C$32, $C$9, 100%, $E$9)</f>
        <v>6.79</v>
      </c>
    </row>
    <row r="380" spans="1:15" ht="15" x14ac:dyDescent="0.2">
      <c r="A380" s="13">
        <v>52413</v>
      </c>
      <c r="B380" s="9">
        <f>5.7154 * CHOOSE(CONTROL!$C$32, $C$9, 100%, $E$9)</f>
        <v>5.7153999999999998</v>
      </c>
      <c r="C380" s="9">
        <f>5.7154 * CHOOSE(CONTROL!$C$32, $C$9, 100%, $E$9)</f>
        <v>5.7153999999999998</v>
      </c>
      <c r="D380" s="9">
        <f>5.7166 * CHOOSE(CONTROL!$C$32, $C$9, 100%, $E$9)</f>
        <v>5.7165999999999997</v>
      </c>
      <c r="E380" s="11">
        <f>6.8109 * CHOOSE(CONTROL!$C$32, $C$9, 100%, $E$9)</f>
        <v>6.8109000000000002</v>
      </c>
      <c r="F380" s="11">
        <f>6.8109 * CHOOSE(CONTROL!$C$32, $C$9, 100%, $E$9)</f>
        <v>6.8109000000000002</v>
      </c>
      <c r="G380" s="11">
        <f>6.8151 * CHOOSE(CONTROL!$C$32, $C$9, 100%, $E$9)</f>
        <v>6.8151000000000002</v>
      </c>
      <c r="H380" s="11">
        <f>12.3561 * CHOOSE(CONTROL!$C$32, $C$9, 100%, $E$9)</f>
        <v>12.3561</v>
      </c>
      <c r="I380" s="11">
        <f>12.3603 * CHOOSE(CONTROL!$C$32, $C$9, 100%, $E$9)</f>
        <v>12.360300000000001</v>
      </c>
      <c r="J380" s="11">
        <f>12.3561 * CHOOSE(CONTROL!$C$32, $C$9, 100%, $E$9)</f>
        <v>12.3561</v>
      </c>
      <c r="K380" s="11">
        <f>12.3603 * CHOOSE(CONTROL!$C$32, $C$9, 100%, $E$9)</f>
        <v>12.360300000000001</v>
      </c>
      <c r="L380" s="11">
        <f>6.8109 * CHOOSE(CONTROL!$C$32, $C$9, 100%, $E$9)</f>
        <v>6.8109000000000002</v>
      </c>
      <c r="M380" s="11">
        <f>6.8151 * CHOOSE(CONTROL!$C$32, $C$9, 100%, $E$9)</f>
        <v>6.8151000000000002</v>
      </c>
      <c r="N380" s="11">
        <f>6.8109 * CHOOSE(CONTROL!$C$32, $C$9, 100%, $E$9)</f>
        <v>6.8109000000000002</v>
      </c>
      <c r="O380" s="11">
        <f>6.8151 * CHOOSE(CONTROL!$C$32, $C$9, 100%, $E$9)</f>
        <v>6.8151000000000002</v>
      </c>
    </row>
    <row r="381" spans="1:15" ht="15" x14ac:dyDescent="0.2">
      <c r="A381" s="13">
        <v>52444</v>
      </c>
      <c r="B381" s="9">
        <f>5.7221 * CHOOSE(CONTROL!$C$32, $C$9, 100%, $E$9)</f>
        <v>5.7221000000000002</v>
      </c>
      <c r="C381" s="9">
        <f>5.7221 * CHOOSE(CONTROL!$C$32, $C$9, 100%, $E$9)</f>
        <v>5.7221000000000002</v>
      </c>
      <c r="D381" s="9">
        <f>5.7233 * CHOOSE(CONTROL!$C$32, $C$9, 100%, $E$9)</f>
        <v>5.7233000000000001</v>
      </c>
      <c r="E381" s="11">
        <f>6.695 * CHOOSE(CONTROL!$C$32, $C$9, 100%, $E$9)</f>
        <v>6.6950000000000003</v>
      </c>
      <c r="F381" s="11">
        <f>6.695 * CHOOSE(CONTROL!$C$32, $C$9, 100%, $E$9)</f>
        <v>6.6950000000000003</v>
      </c>
      <c r="G381" s="11">
        <f>6.6992 * CHOOSE(CONTROL!$C$32, $C$9, 100%, $E$9)</f>
        <v>6.6992000000000003</v>
      </c>
      <c r="H381" s="11">
        <f>12.3818 * CHOOSE(CONTROL!$C$32, $C$9, 100%, $E$9)</f>
        <v>12.3818</v>
      </c>
      <c r="I381" s="11">
        <f>12.386 * CHOOSE(CONTROL!$C$32, $C$9, 100%, $E$9)</f>
        <v>12.385999999999999</v>
      </c>
      <c r="J381" s="11">
        <f>12.3818 * CHOOSE(CONTROL!$C$32, $C$9, 100%, $E$9)</f>
        <v>12.3818</v>
      </c>
      <c r="K381" s="11">
        <f>12.386 * CHOOSE(CONTROL!$C$32, $C$9, 100%, $E$9)</f>
        <v>12.385999999999999</v>
      </c>
      <c r="L381" s="11">
        <f>6.695 * CHOOSE(CONTROL!$C$32, $C$9, 100%, $E$9)</f>
        <v>6.6950000000000003</v>
      </c>
      <c r="M381" s="11">
        <f>6.6992 * CHOOSE(CONTROL!$C$32, $C$9, 100%, $E$9)</f>
        <v>6.6992000000000003</v>
      </c>
      <c r="N381" s="11">
        <f>6.695 * CHOOSE(CONTROL!$C$32, $C$9, 100%, $E$9)</f>
        <v>6.6950000000000003</v>
      </c>
      <c r="O381" s="11">
        <f>6.6992 * CHOOSE(CONTROL!$C$32, $C$9, 100%, $E$9)</f>
        <v>6.6992000000000003</v>
      </c>
    </row>
    <row r="382" spans="1:15" ht="15" x14ac:dyDescent="0.2">
      <c r="A382" s="13">
        <v>52475</v>
      </c>
      <c r="B382" s="9">
        <f>5.719 * CHOOSE(CONTROL!$C$32, $C$9, 100%, $E$9)</f>
        <v>5.7190000000000003</v>
      </c>
      <c r="C382" s="9">
        <f>5.719 * CHOOSE(CONTROL!$C$32, $C$9, 100%, $E$9)</f>
        <v>5.7190000000000003</v>
      </c>
      <c r="D382" s="9">
        <f>5.7203 * CHOOSE(CONTROL!$C$32, $C$9, 100%, $E$9)</f>
        <v>5.7202999999999999</v>
      </c>
      <c r="E382" s="11">
        <f>6.6795 * CHOOSE(CONTROL!$C$32, $C$9, 100%, $E$9)</f>
        <v>6.6795</v>
      </c>
      <c r="F382" s="11">
        <f>6.6795 * CHOOSE(CONTROL!$C$32, $C$9, 100%, $E$9)</f>
        <v>6.6795</v>
      </c>
      <c r="G382" s="11">
        <f>6.6837 * CHOOSE(CONTROL!$C$32, $C$9, 100%, $E$9)</f>
        <v>6.6837</v>
      </c>
      <c r="H382" s="11">
        <f>12.4076 * CHOOSE(CONTROL!$C$32, $C$9, 100%, $E$9)</f>
        <v>12.4076</v>
      </c>
      <c r="I382" s="11">
        <f>12.4118 * CHOOSE(CONTROL!$C$32, $C$9, 100%, $E$9)</f>
        <v>12.411799999999999</v>
      </c>
      <c r="J382" s="11">
        <f>12.4076 * CHOOSE(CONTROL!$C$32, $C$9, 100%, $E$9)</f>
        <v>12.4076</v>
      </c>
      <c r="K382" s="11">
        <f>12.4118 * CHOOSE(CONTROL!$C$32, $C$9, 100%, $E$9)</f>
        <v>12.411799999999999</v>
      </c>
      <c r="L382" s="11">
        <f>6.6795 * CHOOSE(CONTROL!$C$32, $C$9, 100%, $E$9)</f>
        <v>6.6795</v>
      </c>
      <c r="M382" s="11">
        <f>6.6837 * CHOOSE(CONTROL!$C$32, $C$9, 100%, $E$9)</f>
        <v>6.6837</v>
      </c>
      <c r="N382" s="11">
        <f>6.6795 * CHOOSE(CONTROL!$C$32, $C$9, 100%, $E$9)</f>
        <v>6.6795</v>
      </c>
      <c r="O382" s="11">
        <f>6.6837 * CHOOSE(CONTROL!$C$32, $C$9, 100%, $E$9)</f>
        <v>6.6837</v>
      </c>
    </row>
    <row r="383" spans="1:15" ht="15" x14ac:dyDescent="0.2">
      <c r="A383" s="13">
        <v>52505</v>
      </c>
      <c r="B383" s="9">
        <f>5.7205 * CHOOSE(CONTROL!$C$32, $C$9, 100%, $E$9)</f>
        <v>5.7205000000000004</v>
      </c>
      <c r="C383" s="9">
        <f>5.7205 * CHOOSE(CONTROL!$C$32, $C$9, 100%, $E$9)</f>
        <v>5.7205000000000004</v>
      </c>
      <c r="D383" s="9">
        <f>5.7214 * CHOOSE(CONTROL!$C$32, $C$9, 100%, $E$9)</f>
        <v>5.7214</v>
      </c>
      <c r="E383" s="11">
        <f>6.7197 * CHOOSE(CONTROL!$C$32, $C$9, 100%, $E$9)</f>
        <v>6.7196999999999996</v>
      </c>
      <c r="F383" s="11">
        <f>6.7197 * CHOOSE(CONTROL!$C$32, $C$9, 100%, $E$9)</f>
        <v>6.7196999999999996</v>
      </c>
      <c r="G383" s="11">
        <f>6.7229 * CHOOSE(CONTROL!$C$32, $C$9, 100%, $E$9)</f>
        <v>6.7229000000000001</v>
      </c>
      <c r="H383" s="11">
        <f>12.4334 * CHOOSE(CONTROL!$C$32, $C$9, 100%, $E$9)</f>
        <v>12.433400000000001</v>
      </c>
      <c r="I383" s="11">
        <f>12.4367 * CHOOSE(CONTROL!$C$32, $C$9, 100%, $E$9)</f>
        <v>12.4367</v>
      </c>
      <c r="J383" s="11">
        <f>12.4334 * CHOOSE(CONTROL!$C$32, $C$9, 100%, $E$9)</f>
        <v>12.433400000000001</v>
      </c>
      <c r="K383" s="11">
        <f>12.4367 * CHOOSE(CONTROL!$C$32, $C$9, 100%, $E$9)</f>
        <v>12.4367</v>
      </c>
      <c r="L383" s="11">
        <f>6.7197 * CHOOSE(CONTROL!$C$32, $C$9, 100%, $E$9)</f>
        <v>6.7196999999999996</v>
      </c>
      <c r="M383" s="11">
        <f>6.7229 * CHOOSE(CONTROL!$C$32, $C$9, 100%, $E$9)</f>
        <v>6.7229000000000001</v>
      </c>
      <c r="N383" s="11">
        <f>6.7197 * CHOOSE(CONTROL!$C$32, $C$9, 100%, $E$9)</f>
        <v>6.7196999999999996</v>
      </c>
      <c r="O383" s="11">
        <f>6.7229 * CHOOSE(CONTROL!$C$32, $C$9, 100%, $E$9)</f>
        <v>6.7229000000000001</v>
      </c>
    </row>
    <row r="384" spans="1:15" ht="15" x14ac:dyDescent="0.2">
      <c r="A384" s="13">
        <v>52536</v>
      </c>
      <c r="B384" s="9">
        <f>5.7235 * CHOOSE(CONTROL!$C$32, $C$9, 100%, $E$9)</f>
        <v>5.7234999999999996</v>
      </c>
      <c r="C384" s="9">
        <f>5.7235 * CHOOSE(CONTROL!$C$32, $C$9, 100%, $E$9)</f>
        <v>5.7234999999999996</v>
      </c>
      <c r="D384" s="9">
        <f>5.7245 * CHOOSE(CONTROL!$C$32, $C$9, 100%, $E$9)</f>
        <v>5.7244999999999999</v>
      </c>
      <c r="E384" s="11">
        <f>6.7486 * CHOOSE(CONTROL!$C$32, $C$9, 100%, $E$9)</f>
        <v>6.7485999999999997</v>
      </c>
      <c r="F384" s="11">
        <f>6.7486 * CHOOSE(CONTROL!$C$32, $C$9, 100%, $E$9)</f>
        <v>6.7485999999999997</v>
      </c>
      <c r="G384" s="11">
        <f>6.7518 * CHOOSE(CONTROL!$C$32, $C$9, 100%, $E$9)</f>
        <v>6.7518000000000002</v>
      </c>
      <c r="H384" s="11">
        <f>12.4593 * CHOOSE(CONTROL!$C$32, $C$9, 100%, $E$9)</f>
        <v>12.459300000000001</v>
      </c>
      <c r="I384" s="11">
        <f>12.4626 * CHOOSE(CONTROL!$C$32, $C$9, 100%, $E$9)</f>
        <v>12.4626</v>
      </c>
      <c r="J384" s="11">
        <f>12.4593 * CHOOSE(CONTROL!$C$32, $C$9, 100%, $E$9)</f>
        <v>12.459300000000001</v>
      </c>
      <c r="K384" s="11">
        <f>12.4626 * CHOOSE(CONTROL!$C$32, $C$9, 100%, $E$9)</f>
        <v>12.4626</v>
      </c>
      <c r="L384" s="11">
        <f>6.7486 * CHOOSE(CONTROL!$C$32, $C$9, 100%, $E$9)</f>
        <v>6.7485999999999997</v>
      </c>
      <c r="M384" s="11">
        <f>6.7518 * CHOOSE(CONTROL!$C$32, $C$9, 100%, $E$9)</f>
        <v>6.7518000000000002</v>
      </c>
      <c r="N384" s="11">
        <f>6.7486 * CHOOSE(CONTROL!$C$32, $C$9, 100%, $E$9)</f>
        <v>6.7485999999999997</v>
      </c>
      <c r="O384" s="11">
        <f>6.7518 * CHOOSE(CONTROL!$C$32, $C$9, 100%, $E$9)</f>
        <v>6.7518000000000002</v>
      </c>
    </row>
    <row r="385" spans="1:15" ht="15" x14ac:dyDescent="0.2">
      <c r="A385" s="13">
        <v>52566</v>
      </c>
      <c r="B385" s="9">
        <f>5.7235 * CHOOSE(CONTROL!$C$32, $C$9, 100%, $E$9)</f>
        <v>5.7234999999999996</v>
      </c>
      <c r="C385" s="9">
        <f>5.7235 * CHOOSE(CONTROL!$C$32, $C$9, 100%, $E$9)</f>
        <v>5.7234999999999996</v>
      </c>
      <c r="D385" s="9">
        <f>5.7245 * CHOOSE(CONTROL!$C$32, $C$9, 100%, $E$9)</f>
        <v>5.7244999999999999</v>
      </c>
      <c r="E385" s="11">
        <f>6.6816 * CHOOSE(CONTROL!$C$32, $C$9, 100%, $E$9)</f>
        <v>6.6816000000000004</v>
      </c>
      <c r="F385" s="11">
        <f>6.6816 * CHOOSE(CONTROL!$C$32, $C$9, 100%, $E$9)</f>
        <v>6.6816000000000004</v>
      </c>
      <c r="G385" s="11">
        <f>6.6848 * CHOOSE(CONTROL!$C$32, $C$9, 100%, $E$9)</f>
        <v>6.6848000000000001</v>
      </c>
      <c r="H385" s="11">
        <f>12.4853 * CHOOSE(CONTROL!$C$32, $C$9, 100%, $E$9)</f>
        <v>12.485300000000001</v>
      </c>
      <c r="I385" s="11">
        <f>12.4885 * CHOOSE(CONTROL!$C$32, $C$9, 100%, $E$9)</f>
        <v>12.4885</v>
      </c>
      <c r="J385" s="11">
        <f>12.4853 * CHOOSE(CONTROL!$C$32, $C$9, 100%, $E$9)</f>
        <v>12.485300000000001</v>
      </c>
      <c r="K385" s="11">
        <f>12.4885 * CHOOSE(CONTROL!$C$32, $C$9, 100%, $E$9)</f>
        <v>12.4885</v>
      </c>
      <c r="L385" s="11">
        <f>6.6816 * CHOOSE(CONTROL!$C$32, $C$9, 100%, $E$9)</f>
        <v>6.6816000000000004</v>
      </c>
      <c r="M385" s="11">
        <f>6.6848 * CHOOSE(CONTROL!$C$32, $C$9, 100%, $E$9)</f>
        <v>6.6848000000000001</v>
      </c>
      <c r="N385" s="11">
        <f>6.6816 * CHOOSE(CONTROL!$C$32, $C$9, 100%, $E$9)</f>
        <v>6.6816000000000004</v>
      </c>
      <c r="O385" s="11">
        <f>6.6848 * CHOOSE(CONTROL!$C$32, $C$9, 100%, $E$9)</f>
        <v>6.6848000000000001</v>
      </c>
    </row>
    <row r="386" spans="1:15" ht="15" x14ac:dyDescent="0.2">
      <c r="A386" s="13">
        <v>52597</v>
      </c>
      <c r="B386" s="9">
        <f>5.7676 * CHOOSE(CONTROL!$C$32, $C$9, 100%, $E$9)</f>
        <v>5.7675999999999998</v>
      </c>
      <c r="C386" s="9">
        <f>5.7676 * CHOOSE(CONTROL!$C$32, $C$9, 100%, $E$9)</f>
        <v>5.7675999999999998</v>
      </c>
      <c r="D386" s="9">
        <f>5.7685 * CHOOSE(CONTROL!$C$32, $C$9, 100%, $E$9)</f>
        <v>5.7685000000000004</v>
      </c>
      <c r="E386" s="11">
        <f>6.7573 * CHOOSE(CONTROL!$C$32, $C$9, 100%, $E$9)</f>
        <v>6.7572999999999999</v>
      </c>
      <c r="F386" s="11">
        <f>6.7573 * CHOOSE(CONTROL!$C$32, $C$9, 100%, $E$9)</f>
        <v>6.7572999999999999</v>
      </c>
      <c r="G386" s="11">
        <f>6.7605 * CHOOSE(CONTROL!$C$32, $C$9, 100%, $E$9)</f>
        <v>6.7605000000000004</v>
      </c>
      <c r="H386" s="11">
        <f>12.5113 * CHOOSE(CONTROL!$C$32, $C$9, 100%, $E$9)</f>
        <v>12.5113</v>
      </c>
      <c r="I386" s="11">
        <f>12.5145 * CHOOSE(CONTROL!$C$32, $C$9, 100%, $E$9)</f>
        <v>12.5145</v>
      </c>
      <c r="J386" s="11">
        <f>12.5113 * CHOOSE(CONTROL!$C$32, $C$9, 100%, $E$9)</f>
        <v>12.5113</v>
      </c>
      <c r="K386" s="11">
        <f>12.5145 * CHOOSE(CONTROL!$C$32, $C$9, 100%, $E$9)</f>
        <v>12.5145</v>
      </c>
      <c r="L386" s="11">
        <f>6.7573 * CHOOSE(CONTROL!$C$32, $C$9, 100%, $E$9)</f>
        <v>6.7572999999999999</v>
      </c>
      <c r="M386" s="11">
        <f>6.7605 * CHOOSE(CONTROL!$C$32, $C$9, 100%, $E$9)</f>
        <v>6.7605000000000004</v>
      </c>
      <c r="N386" s="11">
        <f>6.7573 * CHOOSE(CONTROL!$C$32, $C$9, 100%, $E$9)</f>
        <v>6.7572999999999999</v>
      </c>
      <c r="O386" s="11">
        <f>6.7605 * CHOOSE(CONTROL!$C$32, $C$9, 100%, $E$9)</f>
        <v>6.7605000000000004</v>
      </c>
    </row>
    <row r="387" spans="1:15" ht="15" x14ac:dyDescent="0.2">
      <c r="A387" s="13">
        <v>52628</v>
      </c>
      <c r="B387" s="9">
        <f>5.7645 * CHOOSE(CONTROL!$C$32, $C$9, 100%, $E$9)</f>
        <v>5.7645</v>
      </c>
      <c r="C387" s="9">
        <f>5.7645 * CHOOSE(CONTROL!$C$32, $C$9, 100%, $E$9)</f>
        <v>5.7645</v>
      </c>
      <c r="D387" s="9">
        <f>5.7655 * CHOOSE(CONTROL!$C$32, $C$9, 100%, $E$9)</f>
        <v>5.7655000000000003</v>
      </c>
      <c r="E387" s="11">
        <f>6.6244 * CHOOSE(CONTROL!$C$32, $C$9, 100%, $E$9)</f>
        <v>6.6243999999999996</v>
      </c>
      <c r="F387" s="11">
        <f>6.6244 * CHOOSE(CONTROL!$C$32, $C$9, 100%, $E$9)</f>
        <v>6.6243999999999996</v>
      </c>
      <c r="G387" s="11">
        <f>6.6276 * CHOOSE(CONTROL!$C$32, $C$9, 100%, $E$9)</f>
        <v>6.6276000000000002</v>
      </c>
      <c r="H387" s="11">
        <f>12.5374 * CHOOSE(CONTROL!$C$32, $C$9, 100%, $E$9)</f>
        <v>12.5374</v>
      </c>
      <c r="I387" s="11">
        <f>12.5406 * CHOOSE(CONTROL!$C$32, $C$9, 100%, $E$9)</f>
        <v>12.5406</v>
      </c>
      <c r="J387" s="11">
        <f>12.5374 * CHOOSE(CONTROL!$C$32, $C$9, 100%, $E$9)</f>
        <v>12.5374</v>
      </c>
      <c r="K387" s="11">
        <f>12.5406 * CHOOSE(CONTROL!$C$32, $C$9, 100%, $E$9)</f>
        <v>12.5406</v>
      </c>
      <c r="L387" s="11">
        <f>6.6244 * CHOOSE(CONTROL!$C$32, $C$9, 100%, $E$9)</f>
        <v>6.6243999999999996</v>
      </c>
      <c r="M387" s="11">
        <f>6.6276 * CHOOSE(CONTROL!$C$32, $C$9, 100%, $E$9)</f>
        <v>6.6276000000000002</v>
      </c>
      <c r="N387" s="11">
        <f>6.6244 * CHOOSE(CONTROL!$C$32, $C$9, 100%, $E$9)</f>
        <v>6.6243999999999996</v>
      </c>
      <c r="O387" s="11">
        <f>6.6276 * CHOOSE(CONTROL!$C$32, $C$9, 100%, $E$9)</f>
        <v>6.6276000000000002</v>
      </c>
    </row>
    <row r="388" spans="1:15" ht="15" x14ac:dyDescent="0.2">
      <c r="A388" s="13">
        <v>52657</v>
      </c>
      <c r="B388" s="9">
        <f>5.7615 * CHOOSE(CONTROL!$C$32, $C$9, 100%, $E$9)</f>
        <v>5.7614999999999998</v>
      </c>
      <c r="C388" s="9">
        <f>5.7615 * CHOOSE(CONTROL!$C$32, $C$9, 100%, $E$9)</f>
        <v>5.7614999999999998</v>
      </c>
      <c r="D388" s="9">
        <f>5.7624 * CHOOSE(CONTROL!$C$32, $C$9, 100%, $E$9)</f>
        <v>5.7624000000000004</v>
      </c>
      <c r="E388" s="11">
        <f>6.7254 * CHOOSE(CONTROL!$C$32, $C$9, 100%, $E$9)</f>
        <v>6.7253999999999996</v>
      </c>
      <c r="F388" s="11">
        <f>6.7254 * CHOOSE(CONTROL!$C$32, $C$9, 100%, $E$9)</f>
        <v>6.7253999999999996</v>
      </c>
      <c r="G388" s="11">
        <f>6.7286 * CHOOSE(CONTROL!$C$32, $C$9, 100%, $E$9)</f>
        <v>6.7286000000000001</v>
      </c>
      <c r="H388" s="11">
        <f>12.5635 * CHOOSE(CONTROL!$C$32, $C$9, 100%, $E$9)</f>
        <v>12.563499999999999</v>
      </c>
      <c r="I388" s="11">
        <f>12.5667 * CHOOSE(CONTROL!$C$32, $C$9, 100%, $E$9)</f>
        <v>12.566700000000001</v>
      </c>
      <c r="J388" s="11">
        <f>12.5635 * CHOOSE(CONTROL!$C$32, $C$9, 100%, $E$9)</f>
        <v>12.563499999999999</v>
      </c>
      <c r="K388" s="11">
        <f>12.5667 * CHOOSE(CONTROL!$C$32, $C$9, 100%, $E$9)</f>
        <v>12.566700000000001</v>
      </c>
      <c r="L388" s="11">
        <f>6.7254 * CHOOSE(CONTROL!$C$32, $C$9, 100%, $E$9)</f>
        <v>6.7253999999999996</v>
      </c>
      <c r="M388" s="11">
        <f>6.7286 * CHOOSE(CONTROL!$C$32, $C$9, 100%, $E$9)</f>
        <v>6.7286000000000001</v>
      </c>
      <c r="N388" s="11">
        <f>6.7254 * CHOOSE(CONTROL!$C$32, $C$9, 100%, $E$9)</f>
        <v>6.7253999999999996</v>
      </c>
      <c r="O388" s="11">
        <f>6.7286 * CHOOSE(CONTROL!$C$32, $C$9, 100%, $E$9)</f>
        <v>6.7286000000000001</v>
      </c>
    </row>
    <row r="389" spans="1:15" ht="15" x14ac:dyDescent="0.2">
      <c r="A389" s="13">
        <v>52688</v>
      </c>
      <c r="B389" s="9">
        <f>5.7608 * CHOOSE(CONTROL!$C$32, $C$9, 100%, $E$9)</f>
        <v>5.7607999999999997</v>
      </c>
      <c r="C389" s="9">
        <f>5.7608 * CHOOSE(CONTROL!$C$32, $C$9, 100%, $E$9)</f>
        <v>5.7607999999999997</v>
      </c>
      <c r="D389" s="9">
        <f>5.7618 * CHOOSE(CONTROL!$C$32, $C$9, 100%, $E$9)</f>
        <v>5.7618</v>
      </c>
      <c r="E389" s="11">
        <f>6.8318 * CHOOSE(CONTROL!$C$32, $C$9, 100%, $E$9)</f>
        <v>6.8318000000000003</v>
      </c>
      <c r="F389" s="11">
        <f>6.8318 * CHOOSE(CONTROL!$C$32, $C$9, 100%, $E$9)</f>
        <v>6.8318000000000003</v>
      </c>
      <c r="G389" s="11">
        <f>6.835 * CHOOSE(CONTROL!$C$32, $C$9, 100%, $E$9)</f>
        <v>6.835</v>
      </c>
      <c r="H389" s="11">
        <f>12.5897 * CHOOSE(CONTROL!$C$32, $C$9, 100%, $E$9)</f>
        <v>12.589700000000001</v>
      </c>
      <c r="I389" s="11">
        <f>12.5929 * CHOOSE(CONTROL!$C$32, $C$9, 100%, $E$9)</f>
        <v>12.5929</v>
      </c>
      <c r="J389" s="11">
        <f>12.5897 * CHOOSE(CONTROL!$C$32, $C$9, 100%, $E$9)</f>
        <v>12.589700000000001</v>
      </c>
      <c r="K389" s="11">
        <f>12.5929 * CHOOSE(CONTROL!$C$32, $C$9, 100%, $E$9)</f>
        <v>12.5929</v>
      </c>
      <c r="L389" s="11">
        <f>6.8318 * CHOOSE(CONTROL!$C$32, $C$9, 100%, $E$9)</f>
        <v>6.8318000000000003</v>
      </c>
      <c r="M389" s="11">
        <f>6.835 * CHOOSE(CONTROL!$C$32, $C$9, 100%, $E$9)</f>
        <v>6.835</v>
      </c>
      <c r="N389" s="11">
        <f>6.8318 * CHOOSE(CONTROL!$C$32, $C$9, 100%, $E$9)</f>
        <v>6.8318000000000003</v>
      </c>
      <c r="O389" s="11">
        <f>6.835 * CHOOSE(CONTROL!$C$32, $C$9, 100%, $E$9)</f>
        <v>6.835</v>
      </c>
    </row>
    <row r="390" spans="1:15" ht="15" x14ac:dyDescent="0.2">
      <c r="A390" s="13">
        <v>52718</v>
      </c>
      <c r="B390" s="9">
        <f>5.7608 * CHOOSE(CONTROL!$C$32, $C$9, 100%, $E$9)</f>
        <v>5.7607999999999997</v>
      </c>
      <c r="C390" s="9">
        <f>5.7608 * CHOOSE(CONTROL!$C$32, $C$9, 100%, $E$9)</f>
        <v>5.7607999999999997</v>
      </c>
      <c r="D390" s="9">
        <f>5.7621 * CHOOSE(CONTROL!$C$32, $C$9, 100%, $E$9)</f>
        <v>5.7621000000000002</v>
      </c>
      <c r="E390" s="11">
        <f>6.8733 * CHOOSE(CONTROL!$C$32, $C$9, 100%, $E$9)</f>
        <v>6.8733000000000004</v>
      </c>
      <c r="F390" s="11">
        <f>6.8733 * CHOOSE(CONTROL!$C$32, $C$9, 100%, $E$9)</f>
        <v>6.8733000000000004</v>
      </c>
      <c r="G390" s="11">
        <f>6.8775 * CHOOSE(CONTROL!$C$32, $C$9, 100%, $E$9)</f>
        <v>6.8775000000000004</v>
      </c>
      <c r="H390" s="11">
        <f>12.6159 * CHOOSE(CONTROL!$C$32, $C$9, 100%, $E$9)</f>
        <v>12.6159</v>
      </c>
      <c r="I390" s="11">
        <f>12.6201 * CHOOSE(CONTROL!$C$32, $C$9, 100%, $E$9)</f>
        <v>12.620100000000001</v>
      </c>
      <c r="J390" s="11">
        <f>12.6159 * CHOOSE(CONTROL!$C$32, $C$9, 100%, $E$9)</f>
        <v>12.6159</v>
      </c>
      <c r="K390" s="11">
        <f>12.6201 * CHOOSE(CONTROL!$C$32, $C$9, 100%, $E$9)</f>
        <v>12.620100000000001</v>
      </c>
      <c r="L390" s="11">
        <f>6.8733 * CHOOSE(CONTROL!$C$32, $C$9, 100%, $E$9)</f>
        <v>6.8733000000000004</v>
      </c>
      <c r="M390" s="11">
        <f>6.8775 * CHOOSE(CONTROL!$C$32, $C$9, 100%, $E$9)</f>
        <v>6.8775000000000004</v>
      </c>
      <c r="N390" s="11">
        <f>6.8733 * CHOOSE(CONTROL!$C$32, $C$9, 100%, $E$9)</f>
        <v>6.8733000000000004</v>
      </c>
      <c r="O390" s="11">
        <f>6.8775 * CHOOSE(CONTROL!$C$32, $C$9, 100%, $E$9)</f>
        <v>6.8775000000000004</v>
      </c>
    </row>
    <row r="391" spans="1:15" ht="15" x14ac:dyDescent="0.2">
      <c r="A391" s="13">
        <v>52749</v>
      </c>
      <c r="B391" s="9">
        <f>5.7669 * CHOOSE(CONTROL!$C$32, $C$9, 100%, $E$9)</f>
        <v>5.7668999999999997</v>
      </c>
      <c r="C391" s="9">
        <f>5.7669 * CHOOSE(CONTROL!$C$32, $C$9, 100%, $E$9)</f>
        <v>5.7668999999999997</v>
      </c>
      <c r="D391" s="9">
        <f>5.7682 * CHOOSE(CONTROL!$C$32, $C$9, 100%, $E$9)</f>
        <v>5.7682000000000002</v>
      </c>
      <c r="E391" s="11">
        <f>6.836 * CHOOSE(CONTROL!$C$32, $C$9, 100%, $E$9)</f>
        <v>6.8360000000000003</v>
      </c>
      <c r="F391" s="11">
        <f>6.836 * CHOOSE(CONTROL!$C$32, $C$9, 100%, $E$9)</f>
        <v>6.8360000000000003</v>
      </c>
      <c r="G391" s="11">
        <f>6.8402 * CHOOSE(CONTROL!$C$32, $C$9, 100%, $E$9)</f>
        <v>6.8402000000000003</v>
      </c>
      <c r="H391" s="11">
        <f>12.6422 * CHOOSE(CONTROL!$C$32, $C$9, 100%, $E$9)</f>
        <v>12.642200000000001</v>
      </c>
      <c r="I391" s="11">
        <f>12.6464 * CHOOSE(CONTROL!$C$32, $C$9, 100%, $E$9)</f>
        <v>12.6464</v>
      </c>
      <c r="J391" s="11">
        <f>12.6422 * CHOOSE(CONTROL!$C$32, $C$9, 100%, $E$9)</f>
        <v>12.642200000000001</v>
      </c>
      <c r="K391" s="11">
        <f>12.6464 * CHOOSE(CONTROL!$C$32, $C$9, 100%, $E$9)</f>
        <v>12.6464</v>
      </c>
      <c r="L391" s="11">
        <f>6.836 * CHOOSE(CONTROL!$C$32, $C$9, 100%, $E$9)</f>
        <v>6.8360000000000003</v>
      </c>
      <c r="M391" s="11">
        <f>6.8402 * CHOOSE(CONTROL!$C$32, $C$9, 100%, $E$9)</f>
        <v>6.8402000000000003</v>
      </c>
      <c r="N391" s="11">
        <f>6.836 * CHOOSE(CONTROL!$C$32, $C$9, 100%, $E$9)</f>
        <v>6.8360000000000003</v>
      </c>
      <c r="O391" s="11">
        <f>6.8402 * CHOOSE(CONTROL!$C$32, $C$9, 100%, $E$9)</f>
        <v>6.8402000000000003</v>
      </c>
    </row>
    <row r="392" spans="1:15" ht="15" x14ac:dyDescent="0.2">
      <c r="A392" s="13">
        <v>52779</v>
      </c>
      <c r="B392" s="9">
        <f>5.845 * CHOOSE(CONTROL!$C$32, $C$9, 100%, $E$9)</f>
        <v>5.8449999999999998</v>
      </c>
      <c r="C392" s="9">
        <f>5.845 * CHOOSE(CONTROL!$C$32, $C$9, 100%, $E$9)</f>
        <v>5.8449999999999998</v>
      </c>
      <c r="D392" s="9">
        <f>5.8462 * CHOOSE(CONTROL!$C$32, $C$9, 100%, $E$9)</f>
        <v>5.8461999999999996</v>
      </c>
      <c r="E392" s="11">
        <f>6.8655 * CHOOSE(CONTROL!$C$32, $C$9, 100%, $E$9)</f>
        <v>6.8654999999999999</v>
      </c>
      <c r="F392" s="11">
        <f>6.8655 * CHOOSE(CONTROL!$C$32, $C$9, 100%, $E$9)</f>
        <v>6.8654999999999999</v>
      </c>
      <c r="G392" s="11">
        <f>6.8697 * CHOOSE(CONTROL!$C$32, $C$9, 100%, $E$9)</f>
        <v>6.8696999999999999</v>
      </c>
      <c r="H392" s="11">
        <f>12.6685 * CHOOSE(CONTROL!$C$32, $C$9, 100%, $E$9)</f>
        <v>12.6685</v>
      </c>
      <c r="I392" s="11">
        <f>12.6727 * CHOOSE(CONTROL!$C$32, $C$9, 100%, $E$9)</f>
        <v>12.672700000000001</v>
      </c>
      <c r="J392" s="11">
        <f>12.6685 * CHOOSE(CONTROL!$C$32, $C$9, 100%, $E$9)</f>
        <v>12.6685</v>
      </c>
      <c r="K392" s="11">
        <f>12.6727 * CHOOSE(CONTROL!$C$32, $C$9, 100%, $E$9)</f>
        <v>12.672700000000001</v>
      </c>
      <c r="L392" s="11">
        <f>6.8655 * CHOOSE(CONTROL!$C$32, $C$9, 100%, $E$9)</f>
        <v>6.8654999999999999</v>
      </c>
      <c r="M392" s="11">
        <f>6.8697 * CHOOSE(CONTROL!$C$32, $C$9, 100%, $E$9)</f>
        <v>6.8696999999999999</v>
      </c>
      <c r="N392" s="11">
        <f>6.8655 * CHOOSE(CONTROL!$C$32, $C$9, 100%, $E$9)</f>
        <v>6.8654999999999999</v>
      </c>
      <c r="O392" s="11">
        <f>6.8697 * CHOOSE(CONTROL!$C$32, $C$9, 100%, $E$9)</f>
        <v>6.8696999999999999</v>
      </c>
    </row>
    <row r="393" spans="1:15" ht="15" x14ac:dyDescent="0.2">
      <c r="A393" s="13">
        <v>52810</v>
      </c>
      <c r="B393" s="9">
        <f>5.8516 * CHOOSE(CONTROL!$C$32, $C$9, 100%, $E$9)</f>
        <v>5.8516000000000004</v>
      </c>
      <c r="C393" s="9">
        <f>5.8516 * CHOOSE(CONTROL!$C$32, $C$9, 100%, $E$9)</f>
        <v>5.8516000000000004</v>
      </c>
      <c r="D393" s="9">
        <f>5.8529 * CHOOSE(CONTROL!$C$32, $C$9, 100%, $E$9)</f>
        <v>5.8529</v>
      </c>
      <c r="E393" s="11">
        <f>6.7456 * CHOOSE(CONTROL!$C$32, $C$9, 100%, $E$9)</f>
        <v>6.7455999999999996</v>
      </c>
      <c r="F393" s="11">
        <f>6.7456 * CHOOSE(CONTROL!$C$32, $C$9, 100%, $E$9)</f>
        <v>6.7455999999999996</v>
      </c>
      <c r="G393" s="11">
        <f>6.7498 * CHOOSE(CONTROL!$C$32, $C$9, 100%, $E$9)</f>
        <v>6.7497999999999996</v>
      </c>
      <c r="H393" s="11">
        <f>12.6949 * CHOOSE(CONTROL!$C$32, $C$9, 100%, $E$9)</f>
        <v>12.694900000000001</v>
      </c>
      <c r="I393" s="11">
        <f>12.6991 * CHOOSE(CONTROL!$C$32, $C$9, 100%, $E$9)</f>
        <v>12.6991</v>
      </c>
      <c r="J393" s="11">
        <f>12.6949 * CHOOSE(CONTROL!$C$32, $C$9, 100%, $E$9)</f>
        <v>12.694900000000001</v>
      </c>
      <c r="K393" s="11">
        <f>12.6991 * CHOOSE(CONTROL!$C$32, $C$9, 100%, $E$9)</f>
        <v>12.6991</v>
      </c>
      <c r="L393" s="11">
        <f>6.7456 * CHOOSE(CONTROL!$C$32, $C$9, 100%, $E$9)</f>
        <v>6.7455999999999996</v>
      </c>
      <c r="M393" s="11">
        <f>6.7498 * CHOOSE(CONTROL!$C$32, $C$9, 100%, $E$9)</f>
        <v>6.7497999999999996</v>
      </c>
      <c r="N393" s="11">
        <f>6.7456 * CHOOSE(CONTROL!$C$32, $C$9, 100%, $E$9)</f>
        <v>6.7455999999999996</v>
      </c>
      <c r="O393" s="11">
        <f>6.7498 * CHOOSE(CONTROL!$C$32, $C$9, 100%, $E$9)</f>
        <v>6.7497999999999996</v>
      </c>
    </row>
    <row r="394" spans="1:15" ht="15" x14ac:dyDescent="0.2">
      <c r="A394" s="13">
        <v>52841</v>
      </c>
      <c r="B394" s="9">
        <f>5.8486 * CHOOSE(CONTROL!$C$32, $C$9, 100%, $E$9)</f>
        <v>5.8486000000000002</v>
      </c>
      <c r="C394" s="9">
        <f>5.8486 * CHOOSE(CONTROL!$C$32, $C$9, 100%, $E$9)</f>
        <v>5.8486000000000002</v>
      </c>
      <c r="D394" s="9">
        <f>5.8498 * CHOOSE(CONTROL!$C$32, $C$9, 100%, $E$9)</f>
        <v>5.8498000000000001</v>
      </c>
      <c r="E394" s="11">
        <f>6.7297 * CHOOSE(CONTROL!$C$32, $C$9, 100%, $E$9)</f>
        <v>6.7297000000000002</v>
      </c>
      <c r="F394" s="11">
        <f>6.7297 * CHOOSE(CONTROL!$C$32, $C$9, 100%, $E$9)</f>
        <v>6.7297000000000002</v>
      </c>
      <c r="G394" s="11">
        <f>6.7339 * CHOOSE(CONTROL!$C$32, $C$9, 100%, $E$9)</f>
        <v>6.7339000000000002</v>
      </c>
      <c r="H394" s="11">
        <f>12.7214 * CHOOSE(CONTROL!$C$32, $C$9, 100%, $E$9)</f>
        <v>12.721399999999999</v>
      </c>
      <c r="I394" s="11">
        <f>12.7256 * CHOOSE(CONTROL!$C$32, $C$9, 100%, $E$9)</f>
        <v>12.7256</v>
      </c>
      <c r="J394" s="11">
        <f>12.7214 * CHOOSE(CONTROL!$C$32, $C$9, 100%, $E$9)</f>
        <v>12.721399999999999</v>
      </c>
      <c r="K394" s="11">
        <f>12.7256 * CHOOSE(CONTROL!$C$32, $C$9, 100%, $E$9)</f>
        <v>12.7256</v>
      </c>
      <c r="L394" s="11">
        <f>6.7297 * CHOOSE(CONTROL!$C$32, $C$9, 100%, $E$9)</f>
        <v>6.7297000000000002</v>
      </c>
      <c r="M394" s="11">
        <f>6.7339 * CHOOSE(CONTROL!$C$32, $C$9, 100%, $E$9)</f>
        <v>6.7339000000000002</v>
      </c>
      <c r="N394" s="11">
        <f>6.7297 * CHOOSE(CONTROL!$C$32, $C$9, 100%, $E$9)</f>
        <v>6.7297000000000002</v>
      </c>
      <c r="O394" s="11">
        <f>6.7339 * CHOOSE(CONTROL!$C$32, $C$9, 100%, $E$9)</f>
        <v>6.7339000000000002</v>
      </c>
    </row>
    <row r="395" spans="1:15" ht="15" x14ac:dyDescent="0.2">
      <c r="A395" s="13">
        <v>52871</v>
      </c>
      <c r="B395" s="9">
        <f>5.8505 * CHOOSE(CONTROL!$C$32, $C$9, 100%, $E$9)</f>
        <v>5.8505000000000003</v>
      </c>
      <c r="C395" s="9">
        <f>5.8505 * CHOOSE(CONTROL!$C$32, $C$9, 100%, $E$9)</f>
        <v>5.8505000000000003</v>
      </c>
      <c r="D395" s="9">
        <f>5.8515 * CHOOSE(CONTROL!$C$32, $C$9, 100%, $E$9)</f>
        <v>5.8514999999999997</v>
      </c>
      <c r="E395" s="11">
        <f>6.7716 * CHOOSE(CONTROL!$C$32, $C$9, 100%, $E$9)</f>
        <v>6.7716000000000003</v>
      </c>
      <c r="F395" s="11">
        <f>6.7716 * CHOOSE(CONTROL!$C$32, $C$9, 100%, $E$9)</f>
        <v>6.7716000000000003</v>
      </c>
      <c r="G395" s="11">
        <f>6.7748 * CHOOSE(CONTROL!$C$32, $C$9, 100%, $E$9)</f>
        <v>6.7747999999999999</v>
      </c>
      <c r="H395" s="11">
        <f>12.7479 * CHOOSE(CONTROL!$C$32, $C$9, 100%, $E$9)</f>
        <v>12.7479</v>
      </c>
      <c r="I395" s="11">
        <f>12.7511 * CHOOSE(CONTROL!$C$32, $C$9, 100%, $E$9)</f>
        <v>12.751099999999999</v>
      </c>
      <c r="J395" s="11">
        <f>12.7479 * CHOOSE(CONTROL!$C$32, $C$9, 100%, $E$9)</f>
        <v>12.7479</v>
      </c>
      <c r="K395" s="11">
        <f>12.7511 * CHOOSE(CONTROL!$C$32, $C$9, 100%, $E$9)</f>
        <v>12.751099999999999</v>
      </c>
      <c r="L395" s="11">
        <f>6.7716 * CHOOSE(CONTROL!$C$32, $C$9, 100%, $E$9)</f>
        <v>6.7716000000000003</v>
      </c>
      <c r="M395" s="11">
        <f>6.7748 * CHOOSE(CONTROL!$C$32, $C$9, 100%, $E$9)</f>
        <v>6.7747999999999999</v>
      </c>
      <c r="N395" s="11">
        <f>6.7716 * CHOOSE(CONTROL!$C$32, $C$9, 100%, $E$9)</f>
        <v>6.7716000000000003</v>
      </c>
      <c r="O395" s="11">
        <f>6.7748 * CHOOSE(CONTROL!$C$32, $C$9, 100%, $E$9)</f>
        <v>6.7747999999999999</v>
      </c>
    </row>
    <row r="396" spans="1:15" ht="15" x14ac:dyDescent="0.2">
      <c r="A396" s="13">
        <v>52902</v>
      </c>
      <c r="B396" s="9">
        <f>5.8536 * CHOOSE(CONTROL!$C$32, $C$9, 100%, $E$9)</f>
        <v>5.8536000000000001</v>
      </c>
      <c r="C396" s="9">
        <f>5.8536 * CHOOSE(CONTROL!$C$32, $C$9, 100%, $E$9)</f>
        <v>5.8536000000000001</v>
      </c>
      <c r="D396" s="9">
        <f>5.8545 * CHOOSE(CONTROL!$C$32, $C$9, 100%, $E$9)</f>
        <v>5.8544999999999998</v>
      </c>
      <c r="E396" s="11">
        <f>6.8014 * CHOOSE(CONTROL!$C$32, $C$9, 100%, $E$9)</f>
        <v>6.8014000000000001</v>
      </c>
      <c r="F396" s="11">
        <f>6.8014 * CHOOSE(CONTROL!$C$32, $C$9, 100%, $E$9)</f>
        <v>6.8014000000000001</v>
      </c>
      <c r="G396" s="11">
        <f>6.8046 * CHOOSE(CONTROL!$C$32, $C$9, 100%, $E$9)</f>
        <v>6.8045999999999998</v>
      </c>
      <c r="H396" s="11">
        <f>12.7744 * CHOOSE(CONTROL!$C$32, $C$9, 100%, $E$9)</f>
        <v>12.7744</v>
      </c>
      <c r="I396" s="11">
        <f>12.7777 * CHOOSE(CONTROL!$C$32, $C$9, 100%, $E$9)</f>
        <v>12.777699999999999</v>
      </c>
      <c r="J396" s="11">
        <f>12.7744 * CHOOSE(CONTROL!$C$32, $C$9, 100%, $E$9)</f>
        <v>12.7744</v>
      </c>
      <c r="K396" s="11">
        <f>12.7777 * CHOOSE(CONTROL!$C$32, $C$9, 100%, $E$9)</f>
        <v>12.777699999999999</v>
      </c>
      <c r="L396" s="11">
        <f>6.8014 * CHOOSE(CONTROL!$C$32, $C$9, 100%, $E$9)</f>
        <v>6.8014000000000001</v>
      </c>
      <c r="M396" s="11">
        <f>6.8046 * CHOOSE(CONTROL!$C$32, $C$9, 100%, $E$9)</f>
        <v>6.8045999999999998</v>
      </c>
      <c r="N396" s="11">
        <f>6.8014 * CHOOSE(CONTROL!$C$32, $C$9, 100%, $E$9)</f>
        <v>6.8014000000000001</v>
      </c>
      <c r="O396" s="11">
        <f>6.8046 * CHOOSE(CONTROL!$C$32, $C$9, 100%, $E$9)</f>
        <v>6.8045999999999998</v>
      </c>
    </row>
    <row r="397" spans="1:15" ht="15" x14ac:dyDescent="0.2">
      <c r="A397" s="13">
        <v>52932</v>
      </c>
      <c r="B397" s="9">
        <f>5.8536 * CHOOSE(CONTROL!$C$32, $C$9, 100%, $E$9)</f>
        <v>5.8536000000000001</v>
      </c>
      <c r="C397" s="9">
        <f>5.8536 * CHOOSE(CONTROL!$C$32, $C$9, 100%, $E$9)</f>
        <v>5.8536000000000001</v>
      </c>
      <c r="D397" s="9">
        <f>5.8545 * CHOOSE(CONTROL!$C$32, $C$9, 100%, $E$9)</f>
        <v>5.8544999999999998</v>
      </c>
      <c r="E397" s="11">
        <f>6.7322 * CHOOSE(CONTROL!$C$32, $C$9, 100%, $E$9)</f>
        <v>6.7321999999999997</v>
      </c>
      <c r="F397" s="11">
        <f>6.7322 * CHOOSE(CONTROL!$C$32, $C$9, 100%, $E$9)</f>
        <v>6.7321999999999997</v>
      </c>
      <c r="G397" s="11">
        <f>6.7354 * CHOOSE(CONTROL!$C$32, $C$9, 100%, $E$9)</f>
        <v>6.7354000000000003</v>
      </c>
      <c r="H397" s="11">
        <f>12.801 * CHOOSE(CONTROL!$C$32, $C$9, 100%, $E$9)</f>
        <v>12.801</v>
      </c>
      <c r="I397" s="11">
        <f>12.8043 * CHOOSE(CONTROL!$C$32, $C$9, 100%, $E$9)</f>
        <v>12.8043</v>
      </c>
      <c r="J397" s="11">
        <f>12.801 * CHOOSE(CONTROL!$C$32, $C$9, 100%, $E$9)</f>
        <v>12.801</v>
      </c>
      <c r="K397" s="11">
        <f>12.8043 * CHOOSE(CONTROL!$C$32, $C$9, 100%, $E$9)</f>
        <v>12.8043</v>
      </c>
      <c r="L397" s="11">
        <f>6.7322 * CHOOSE(CONTROL!$C$32, $C$9, 100%, $E$9)</f>
        <v>6.7321999999999997</v>
      </c>
      <c r="M397" s="11">
        <f>6.7354 * CHOOSE(CONTROL!$C$32, $C$9, 100%, $E$9)</f>
        <v>6.7354000000000003</v>
      </c>
      <c r="N397" s="11">
        <f>6.7322 * CHOOSE(CONTROL!$C$32, $C$9, 100%, $E$9)</f>
        <v>6.7321999999999997</v>
      </c>
      <c r="O397" s="11">
        <f>6.7354 * CHOOSE(CONTROL!$C$32, $C$9, 100%, $E$9)</f>
        <v>6.7354000000000003</v>
      </c>
    </row>
    <row r="398" spans="1:15" ht="15" x14ac:dyDescent="0.2">
      <c r="A398" s="13">
        <v>52963</v>
      </c>
      <c r="B398" s="9">
        <f>5.8984 * CHOOSE(CONTROL!$C$32, $C$9, 100%, $E$9)</f>
        <v>5.8983999999999996</v>
      </c>
      <c r="C398" s="9">
        <f>5.8984 * CHOOSE(CONTROL!$C$32, $C$9, 100%, $E$9)</f>
        <v>5.8983999999999996</v>
      </c>
      <c r="D398" s="9">
        <f>5.8994 * CHOOSE(CONTROL!$C$32, $C$9, 100%, $E$9)</f>
        <v>5.8994</v>
      </c>
      <c r="E398" s="11">
        <f>6.8151 * CHOOSE(CONTROL!$C$32, $C$9, 100%, $E$9)</f>
        <v>6.8151000000000002</v>
      </c>
      <c r="F398" s="11">
        <f>6.8151 * CHOOSE(CONTROL!$C$32, $C$9, 100%, $E$9)</f>
        <v>6.8151000000000002</v>
      </c>
      <c r="G398" s="11">
        <f>6.8183 * CHOOSE(CONTROL!$C$32, $C$9, 100%, $E$9)</f>
        <v>6.8182999999999998</v>
      </c>
      <c r="H398" s="11">
        <f>12.8277 * CHOOSE(CONTROL!$C$32, $C$9, 100%, $E$9)</f>
        <v>12.8277</v>
      </c>
      <c r="I398" s="11">
        <f>12.8309 * CHOOSE(CONTROL!$C$32, $C$9, 100%, $E$9)</f>
        <v>12.8309</v>
      </c>
      <c r="J398" s="11">
        <f>12.8277 * CHOOSE(CONTROL!$C$32, $C$9, 100%, $E$9)</f>
        <v>12.8277</v>
      </c>
      <c r="K398" s="11">
        <f>12.8309 * CHOOSE(CONTROL!$C$32, $C$9, 100%, $E$9)</f>
        <v>12.8309</v>
      </c>
      <c r="L398" s="11">
        <f>6.8151 * CHOOSE(CONTROL!$C$32, $C$9, 100%, $E$9)</f>
        <v>6.8151000000000002</v>
      </c>
      <c r="M398" s="11">
        <f>6.8183 * CHOOSE(CONTROL!$C$32, $C$9, 100%, $E$9)</f>
        <v>6.8182999999999998</v>
      </c>
      <c r="N398" s="11">
        <f>6.8151 * CHOOSE(CONTROL!$C$32, $C$9, 100%, $E$9)</f>
        <v>6.8151000000000002</v>
      </c>
      <c r="O398" s="11">
        <f>6.8183 * CHOOSE(CONTROL!$C$32, $C$9, 100%, $E$9)</f>
        <v>6.8182999999999998</v>
      </c>
    </row>
    <row r="399" spans="1:15" ht="15" x14ac:dyDescent="0.2">
      <c r="A399" s="13">
        <v>52994</v>
      </c>
      <c r="B399" s="9">
        <f>5.8954 * CHOOSE(CONTROL!$C$32, $C$9, 100%, $E$9)</f>
        <v>5.8954000000000004</v>
      </c>
      <c r="C399" s="9">
        <f>5.8954 * CHOOSE(CONTROL!$C$32, $C$9, 100%, $E$9)</f>
        <v>5.8954000000000004</v>
      </c>
      <c r="D399" s="9">
        <f>5.8964 * CHOOSE(CONTROL!$C$32, $C$9, 100%, $E$9)</f>
        <v>5.8963999999999999</v>
      </c>
      <c r="E399" s="11">
        <f>6.678 * CHOOSE(CONTROL!$C$32, $C$9, 100%, $E$9)</f>
        <v>6.6779999999999999</v>
      </c>
      <c r="F399" s="11">
        <f>6.678 * CHOOSE(CONTROL!$C$32, $C$9, 100%, $E$9)</f>
        <v>6.6779999999999999</v>
      </c>
      <c r="G399" s="11">
        <f>6.6813 * CHOOSE(CONTROL!$C$32, $C$9, 100%, $E$9)</f>
        <v>6.6813000000000002</v>
      </c>
      <c r="H399" s="11">
        <f>12.8544 * CHOOSE(CONTROL!$C$32, $C$9, 100%, $E$9)</f>
        <v>12.8544</v>
      </c>
      <c r="I399" s="11">
        <f>12.8577 * CHOOSE(CONTROL!$C$32, $C$9, 100%, $E$9)</f>
        <v>12.857699999999999</v>
      </c>
      <c r="J399" s="11">
        <f>12.8544 * CHOOSE(CONTROL!$C$32, $C$9, 100%, $E$9)</f>
        <v>12.8544</v>
      </c>
      <c r="K399" s="11">
        <f>12.8577 * CHOOSE(CONTROL!$C$32, $C$9, 100%, $E$9)</f>
        <v>12.857699999999999</v>
      </c>
      <c r="L399" s="11">
        <f>6.678 * CHOOSE(CONTROL!$C$32, $C$9, 100%, $E$9)</f>
        <v>6.6779999999999999</v>
      </c>
      <c r="M399" s="11">
        <f>6.6813 * CHOOSE(CONTROL!$C$32, $C$9, 100%, $E$9)</f>
        <v>6.6813000000000002</v>
      </c>
      <c r="N399" s="11">
        <f>6.678 * CHOOSE(CONTROL!$C$32, $C$9, 100%, $E$9)</f>
        <v>6.6779999999999999</v>
      </c>
      <c r="O399" s="11">
        <f>6.6813 * CHOOSE(CONTROL!$C$32, $C$9, 100%, $E$9)</f>
        <v>6.6813000000000002</v>
      </c>
    </row>
    <row r="400" spans="1:15" ht="15" x14ac:dyDescent="0.2">
      <c r="A400" s="13">
        <v>53022</v>
      </c>
      <c r="B400" s="9">
        <f>5.8924 * CHOOSE(CONTROL!$C$32, $C$9, 100%, $E$9)</f>
        <v>5.8924000000000003</v>
      </c>
      <c r="C400" s="9">
        <f>5.8924 * CHOOSE(CONTROL!$C$32, $C$9, 100%, $E$9)</f>
        <v>5.8924000000000003</v>
      </c>
      <c r="D400" s="9">
        <f>5.8933 * CHOOSE(CONTROL!$C$32, $C$9, 100%, $E$9)</f>
        <v>5.8933</v>
      </c>
      <c r="E400" s="11">
        <f>6.7823 * CHOOSE(CONTROL!$C$32, $C$9, 100%, $E$9)</f>
        <v>6.7823000000000002</v>
      </c>
      <c r="F400" s="11">
        <f>6.7823 * CHOOSE(CONTROL!$C$32, $C$9, 100%, $E$9)</f>
        <v>6.7823000000000002</v>
      </c>
      <c r="G400" s="11">
        <f>6.7855 * CHOOSE(CONTROL!$C$32, $C$9, 100%, $E$9)</f>
        <v>6.7854999999999999</v>
      </c>
      <c r="H400" s="11">
        <f>12.8812 * CHOOSE(CONTROL!$C$32, $C$9, 100%, $E$9)</f>
        <v>12.8812</v>
      </c>
      <c r="I400" s="11">
        <f>12.8844 * CHOOSE(CONTROL!$C$32, $C$9, 100%, $E$9)</f>
        <v>12.884399999999999</v>
      </c>
      <c r="J400" s="11">
        <f>12.8812 * CHOOSE(CONTROL!$C$32, $C$9, 100%, $E$9)</f>
        <v>12.8812</v>
      </c>
      <c r="K400" s="11">
        <f>12.8844 * CHOOSE(CONTROL!$C$32, $C$9, 100%, $E$9)</f>
        <v>12.884399999999999</v>
      </c>
      <c r="L400" s="11">
        <f>6.7823 * CHOOSE(CONTROL!$C$32, $C$9, 100%, $E$9)</f>
        <v>6.7823000000000002</v>
      </c>
      <c r="M400" s="11">
        <f>6.7855 * CHOOSE(CONTROL!$C$32, $C$9, 100%, $E$9)</f>
        <v>6.7854999999999999</v>
      </c>
      <c r="N400" s="11">
        <f>6.7823 * CHOOSE(CONTROL!$C$32, $C$9, 100%, $E$9)</f>
        <v>6.7823000000000002</v>
      </c>
      <c r="O400" s="11">
        <f>6.7855 * CHOOSE(CONTROL!$C$32, $C$9, 100%, $E$9)</f>
        <v>6.7854999999999999</v>
      </c>
    </row>
    <row r="401" spans="1:15" ht="15" x14ac:dyDescent="0.2">
      <c r="A401" s="13">
        <v>53053</v>
      </c>
      <c r="B401" s="9">
        <f>5.8918 * CHOOSE(CONTROL!$C$32, $C$9, 100%, $E$9)</f>
        <v>5.8917999999999999</v>
      </c>
      <c r="C401" s="9">
        <f>5.8918 * CHOOSE(CONTROL!$C$32, $C$9, 100%, $E$9)</f>
        <v>5.8917999999999999</v>
      </c>
      <c r="D401" s="9">
        <f>5.8928 * CHOOSE(CONTROL!$C$32, $C$9, 100%, $E$9)</f>
        <v>5.8928000000000003</v>
      </c>
      <c r="E401" s="11">
        <f>6.8923 * CHOOSE(CONTROL!$C$32, $C$9, 100%, $E$9)</f>
        <v>6.8922999999999996</v>
      </c>
      <c r="F401" s="11">
        <f>6.8923 * CHOOSE(CONTROL!$C$32, $C$9, 100%, $E$9)</f>
        <v>6.8922999999999996</v>
      </c>
      <c r="G401" s="11">
        <f>6.8956 * CHOOSE(CONTROL!$C$32, $C$9, 100%, $E$9)</f>
        <v>6.8956</v>
      </c>
      <c r="H401" s="11">
        <f>12.908 * CHOOSE(CONTROL!$C$32, $C$9, 100%, $E$9)</f>
        <v>12.907999999999999</v>
      </c>
      <c r="I401" s="11">
        <f>12.9113 * CHOOSE(CONTROL!$C$32, $C$9, 100%, $E$9)</f>
        <v>12.911300000000001</v>
      </c>
      <c r="J401" s="11">
        <f>12.908 * CHOOSE(CONTROL!$C$32, $C$9, 100%, $E$9)</f>
        <v>12.907999999999999</v>
      </c>
      <c r="K401" s="11">
        <f>12.9113 * CHOOSE(CONTROL!$C$32, $C$9, 100%, $E$9)</f>
        <v>12.911300000000001</v>
      </c>
      <c r="L401" s="11">
        <f>6.8923 * CHOOSE(CONTROL!$C$32, $C$9, 100%, $E$9)</f>
        <v>6.8922999999999996</v>
      </c>
      <c r="M401" s="11">
        <f>6.8956 * CHOOSE(CONTROL!$C$32, $C$9, 100%, $E$9)</f>
        <v>6.8956</v>
      </c>
      <c r="N401" s="11">
        <f>6.8923 * CHOOSE(CONTROL!$C$32, $C$9, 100%, $E$9)</f>
        <v>6.8922999999999996</v>
      </c>
      <c r="O401" s="11">
        <f>6.8956 * CHOOSE(CONTROL!$C$32, $C$9, 100%, $E$9)</f>
        <v>6.8956</v>
      </c>
    </row>
    <row r="402" spans="1:15" ht="15" x14ac:dyDescent="0.2">
      <c r="A402" s="13">
        <v>53083</v>
      </c>
      <c r="B402" s="9">
        <f>5.8918 * CHOOSE(CONTROL!$C$32, $C$9, 100%, $E$9)</f>
        <v>5.8917999999999999</v>
      </c>
      <c r="C402" s="9">
        <f>5.8918 * CHOOSE(CONTROL!$C$32, $C$9, 100%, $E$9)</f>
        <v>5.8917999999999999</v>
      </c>
      <c r="D402" s="9">
        <f>5.8931 * CHOOSE(CONTROL!$C$32, $C$9, 100%, $E$9)</f>
        <v>5.8930999999999996</v>
      </c>
      <c r="E402" s="11">
        <f>6.9352 * CHOOSE(CONTROL!$C$32, $C$9, 100%, $E$9)</f>
        <v>6.9352</v>
      </c>
      <c r="F402" s="11">
        <f>6.9352 * CHOOSE(CONTROL!$C$32, $C$9, 100%, $E$9)</f>
        <v>6.9352</v>
      </c>
      <c r="G402" s="11">
        <f>6.9394 * CHOOSE(CONTROL!$C$32, $C$9, 100%, $E$9)</f>
        <v>6.9394</v>
      </c>
      <c r="H402" s="11">
        <f>12.9349 * CHOOSE(CONTROL!$C$32, $C$9, 100%, $E$9)</f>
        <v>12.934900000000001</v>
      </c>
      <c r="I402" s="11">
        <f>12.9391 * CHOOSE(CONTROL!$C$32, $C$9, 100%, $E$9)</f>
        <v>12.9391</v>
      </c>
      <c r="J402" s="11">
        <f>12.9349 * CHOOSE(CONTROL!$C$32, $C$9, 100%, $E$9)</f>
        <v>12.934900000000001</v>
      </c>
      <c r="K402" s="11">
        <f>12.9391 * CHOOSE(CONTROL!$C$32, $C$9, 100%, $E$9)</f>
        <v>12.9391</v>
      </c>
      <c r="L402" s="11">
        <f>6.9352 * CHOOSE(CONTROL!$C$32, $C$9, 100%, $E$9)</f>
        <v>6.9352</v>
      </c>
      <c r="M402" s="11">
        <f>6.9394 * CHOOSE(CONTROL!$C$32, $C$9, 100%, $E$9)</f>
        <v>6.9394</v>
      </c>
      <c r="N402" s="11">
        <f>6.9352 * CHOOSE(CONTROL!$C$32, $C$9, 100%, $E$9)</f>
        <v>6.9352</v>
      </c>
      <c r="O402" s="11">
        <f>6.9394 * CHOOSE(CONTROL!$C$32, $C$9, 100%, $E$9)</f>
        <v>6.9394</v>
      </c>
    </row>
    <row r="403" spans="1:15" ht="15" x14ac:dyDescent="0.2">
      <c r="A403" s="13">
        <v>53114</v>
      </c>
      <c r="B403" s="9">
        <f>5.8979 * CHOOSE(CONTROL!$C$32, $C$9, 100%, $E$9)</f>
        <v>5.8978999999999999</v>
      </c>
      <c r="C403" s="9">
        <f>5.8979 * CHOOSE(CONTROL!$C$32, $C$9, 100%, $E$9)</f>
        <v>5.8978999999999999</v>
      </c>
      <c r="D403" s="9">
        <f>5.8992 * CHOOSE(CONTROL!$C$32, $C$9, 100%, $E$9)</f>
        <v>5.8992000000000004</v>
      </c>
      <c r="E403" s="11">
        <f>6.8966 * CHOOSE(CONTROL!$C$32, $C$9, 100%, $E$9)</f>
        <v>6.8966000000000003</v>
      </c>
      <c r="F403" s="11">
        <f>6.8966 * CHOOSE(CONTROL!$C$32, $C$9, 100%, $E$9)</f>
        <v>6.8966000000000003</v>
      </c>
      <c r="G403" s="11">
        <f>6.9008 * CHOOSE(CONTROL!$C$32, $C$9, 100%, $E$9)</f>
        <v>6.9008000000000003</v>
      </c>
      <c r="H403" s="11">
        <f>12.9619 * CHOOSE(CONTROL!$C$32, $C$9, 100%, $E$9)</f>
        <v>12.9619</v>
      </c>
      <c r="I403" s="11">
        <f>12.9661 * CHOOSE(CONTROL!$C$32, $C$9, 100%, $E$9)</f>
        <v>12.966100000000001</v>
      </c>
      <c r="J403" s="11">
        <f>12.9619 * CHOOSE(CONTROL!$C$32, $C$9, 100%, $E$9)</f>
        <v>12.9619</v>
      </c>
      <c r="K403" s="11">
        <f>12.9661 * CHOOSE(CONTROL!$C$32, $C$9, 100%, $E$9)</f>
        <v>12.966100000000001</v>
      </c>
      <c r="L403" s="11">
        <f>6.8966 * CHOOSE(CONTROL!$C$32, $C$9, 100%, $E$9)</f>
        <v>6.8966000000000003</v>
      </c>
      <c r="M403" s="11">
        <f>6.9008 * CHOOSE(CONTROL!$C$32, $C$9, 100%, $E$9)</f>
        <v>6.9008000000000003</v>
      </c>
      <c r="N403" s="11">
        <f>6.8966 * CHOOSE(CONTROL!$C$32, $C$9, 100%, $E$9)</f>
        <v>6.8966000000000003</v>
      </c>
      <c r="O403" s="11">
        <f>6.9008 * CHOOSE(CONTROL!$C$32, $C$9, 100%, $E$9)</f>
        <v>6.9008000000000003</v>
      </c>
    </row>
    <row r="404" spans="1:15" ht="15" x14ac:dyDescent="0.2">
      <c r="A404" s="13">
        <v>53144</v>
      </c>
      <c r="B404" s="9">
        <f>5.9772 * CHOOSE(CONTROL!$C$32, $C$9, 100%, $E$9)</f>
        <v>5.9771999999999998</v>
      </c>
      <c r="C404" s="9">
        <f>5.9772 * CHOOSE(CONTROL!$C$32, $C$9, 100%, $E$9)</f>
        <v>5.9771999999999998</v>
      </c>
      <c r="D404" s="9">
        <f>5.9785 * CHOOSE(CONTROL!$C$32, $C$9, 100%, $E$9)</f>
        <v>5.9785000000000004</v>
      </c>
      <c r="E404" s="11">
        <f>6.9386 * CHOOSE(CONTROL!$C$32, $C$9, 100%, $E$9)</f>
        <v>6.9386000000000001</v>
      </c>
      <c r="F404" s="11">
        <f>6.9386 * CHOOSE(CONTROL!$C$32, $C$9, 100%, $E$9)</f>
        <v>6.9386000000000001</v>
      </c>
      <c r="G404" s="11">
        <f>6.9428 * CHOOSE(CONTROL!$C$32, $C$9, 100%, $E$9)</f>
        <v>6.9428000000000001</v>
      </c>
      <c r="H404" s="11">
        <f>12.9889 * CHOOSE(CONTROL!$C$32, $C$9, 100%, $E$9)</f>
        <v>12.988899999999999</v>
      </c>
      <c r="I404" s="11">
        <f>12.9931 * CHOOSE(CONTROL!$C$32, $C$9, 100%, $E$9)</f>
        <v>12.9931</v>
      </c>
      <c r="J404" s="11">
        <f>12.9889 * CHOOSE(CONTROL!$C$32, $C$9, 100%, $E$9)</f>
        <v>12.988899999999999</v>
      </c>
      <c r="K404" s="11">
        <f>12.9931 * CHOOSE(CONTROL!$C$32, $C$9, 100%, $E$9)</f>
        <v>12.9931</v>
      </c>
      <c r="L404" s="11">
        <f>6.9386 * CHOOSE(CONTROL!$C$32, $C$9, 100%, $E$9)</f>
        <v>6.9386000000000001</v>
      </c>
      <c r="M404" s="11">
        <f>6.9428 * CHOOSE(CONTROL!$C$32, $C$9, 100%, $E$9)</f>
        <v>6.9428000000000001</v>
      </c>
      <c r="N404" s="11">
        <f>6.9386 * CHOOSE(CONTROL!$C$32, $C$9, 100%, $E$9)</f>
        <v>6.9386000000000001</v>
      </c>
      <c r="O404" s="11">
        <f>6.9428 * CHOOSE(CONTROL!$C$32, $C$9, 100%, $E$9)</f>
        <v>6.9428000000000001</v>
      </c>
    </row>
    <row r="405" spans="1:15" ht="15" x14ac:dyDescent="0.2">
      <c r="A405" s="13">
        <v>53175</v>
      </c>
      <c r="B405" s="9">
        <f>5.9839 * CHOOSE(CONTROL!$C$32, $C$9, 100%, $E$9)</f>
        <v>5.9839000000000002</v>
      </c>
      <c r="C405" s="9">
        <f>5.9839 * CHOOSE(CONTROL!$C$32, $C$9, 100%, $E$9)</f>
        <v>5.9839000000000002</v>
      </c>
      <c r="D405" s="9">
        <f>5.9851 * CHOOSE(CONTROL!$C$32, $C$9, 100%, $E$9)</f>
        <v>5.9851000000000001</v>
      </c>
      <c r="E405" s="11">
        <f>6.8147 * CHOOSE(CONTROL!$C$32, $C$9, 100%, $E$9)</f>
        <v>6.8147000000000002</v>
      </c>
      <c r="F405" s="11">
        <f>6.8147 * CHOOSE(CONTROL!$C$32, $C$9, 100%, $E$9)</f>
        <v>6.8147000000000002</v>
      </c>
      <c r="G405" s="11">
        <f>6.8189 * CHOOSE(CONTROL!$C$32, $C$9, 100%, $E$9)</f>
        <v>6.8189000000000002</v>
      </c>
      <c r="H405" s="11">
        <f>13.016 * CHOOSE(CONTROL!$C$32, $C$9, 100%, $E$9)</f>
        <v>13.016</v>
      </c>
      <c r="I405" s="11">
        <f>13.0202 * CHOOSE(CONTROL!$C$32, $C$9, 100%, $E$9)</f>
        <v>13.020200000000001</v>
      </c>
      <c r="J405" s="11">
        <f>13.016 * CHOOSE(CONTROL!$C$32, $C$9, 100%, $E$9)</f>
        <v>13.016</v>
      </c>
      <c r="K405" s="11">
        <f>13.0202 * CHOOSE(CONTROL!$C$32, $C$9, 100%, $E$9)</f>
        <v>13.020200000000001</v>
      </c>
      <c r="L405" s="11">
        <f>6.8147 * CHOOSE(CONTROL!$C$32, $C$9, 100%, $E$9)</f>
        <v>6.8147000000000002</v>
      </c>
      <c r="M405" s="11">
        <f>6.8189 * CHOOSE(CONTROL!$C$32, $C$9, 100%, $E$9)</f>
        <v>6.8189000000000002</v>
      </c>
      <c r="N405" s="11">
        <f>6.8147 * CHOOSE(CONTROL!$C$32, $C$9, 100%, $E$9)</f>
        <v>6.8147000000000002</v>
      </c>
      <c r="O405" s="11">
        <f>6.8189 * CHOOSE(CONTROL!$C$32, $C$9, 100%, $E$9)</f>
        <v>6.8189000000000002</v>
      </c>
    </row>
    <row r="406" spans="1:15" ht="15" x14ac:dyDescent="0.2">
      <c r="A406" s="13">
        <v>53206</v>
      </c>
      <c r="B406" s="9">
        <f>5.9809 * CHOOSE(CONTROL!$C$32, $C$9, 100%, $E$9)</f>
        <v>5.9809000000000001</v>
      </c>
      <c r="C406" s="9">
        <f>5.9809 * CHOOSE(CONTROL!$C$32, $C$9, 100%, $E$9)</f>
        <v>5.9809000000000001</v>
      </c>
      <c r="D406" s="9">
        <f>5.9821 * CHOOSE(CONTROL!$C$32, $C$9, 100%, $E$9)</f>
        <v>5.9821</v>
      </c>
      <c r="E406" s="11">
        <f>6.7983 * CHOOSE(CONTROL!$C$32, $C$9, 100%, $E$9)</f>
        <v>6.7983000000000002</v>
      </c>
      <c r="F406" s="11">
        <f>6.7983 * CHOOSE(CONTROL!$C$32, $C$9, 100%, $E$9)</f>
        <v>6.7983000000000002</v>
      </c>
      <c r="G406" s="11">
        <f>6.8025 * CHOOSE(CONTROL!$C$32, $C$9, 100%, $E$9)</f>
        <v>6.8025000000000002</v>
      </c>
      <c r="H406" s="11">
        <f>13.0431 * CHOOSE(CONTROL!$C$32, $C$9, 100%, $E$9)</f>
        <v>13.043100000000001</v>
      </c>
      <c r="I406" s="11">
        <f>13.0473 * CHOOSE(CONTROL!$C$32, $C$9, 100%, $E$9)</f>
        <v>13.0473</v>
      </c>
      <c r="J406" s="11">
        <f>13.0431 * CHOOSE(CONTROL!$C$32, $C$9, 100%, $E$9)</f>
        <v>13.043100000000001</v>
      </c>
      <c r="K406" s="11">
        <f>13.0473 * CHOOSE(CONTROL!$C$32, $C$9, 100%, $E$9)</f>
        <v>13.0473</v>
      </c>
      <c r="L406" s="11">
        <f>6.7983 * CHOOSE(CONTROL!$C$32, $C$9, 100%, $E$9)</f>
        <v>6.7983000000000002</v>
      </c>
      <c r="M406" s="11">
        <f>6.8025 * CHOOSE(CONTROL!$C$32, $C$9, 100%, $E$9)</f>
        <v>6.8025000000000002</v>
      </c>
      <c r="N406" s="11">
        <f>6.7983 * CHOOSE(CONTROL!$C$32, $C$9, 100%, $E$9)</f>
        <v>6.7983000000000002</v>
      </c>
      <c r="O406" s="11">
        <f>6.8025 * CHOOSE(CONTROL!$C$32, $C$9, 100%, $E$9)</f>
        <v>6.8025000000000002</v>
      </c>
    </row>
    <row r="407" spans="1:15" ht="15" x14ac:dyDescent="0.2">
      <c r="A407" s="13">
        <v>53236</v>
      </c>
      <c r="B407" s="9">
        <f>5.9833 * CHOOSE(CONTROL!$C$32, $C$9, 100%, $E$9)</f>
        <v>5.9832999999999998</v>
      </c>
      <c r="C407" s="9">
        <f>5.9833 * CHOOSE(CONTROL!$C$32, $C$9, 100%, $E$9)</f>
        <v>5.9832999999999998</v>
      </c>
      <c r="D407" s="9">
        <f>5.9842 * CHOOSE(CONTROL!$C$32, $C$9, 100%, $E$9)</f>
        <v>5.9842000000000004</v>
      </c>
      <c r="E407" s="11">
        <f>6.842 * CHOOSE(CONTROL!$C$32, $C$9, 100%, $E$9)</f>
        <v>6.8419999999999996</v>
      </c>
      <c r="F407" s="11">
        <f>6.842 * CHOOSE(CONTROL!$C$32, $C$9, 100%, $E$9)</f>
        <v>6.8419999999999996</v>
      </c>
      <c r="G407" s="11">
        <f>6.8452 * CHOOSE(CONTROL!$C$32, $C$9, 100%, $E$9)</f>
        <v>6.8452000000000002</v>
      </c>
      <c r="H407" s="11">
        <f>13.0702 * CHOOSE(CONTROL!$C$32, $C$9, 100%, $E$9)</f>
        <v>13.0702</v>
      </c>
      <c r="I407" s="11">
        <f>13.0735 * CHOOSE(CONTROL!$C$32, $C$9, 100%, $E$9)</f>
        <v>13.073499999999999</v>
      </c>
      <c r="J407" s="11">
        <f>13.0702 * CHOOSE(CONTROL!$C$32, $C$9, 100%, $E$9)</f>
        <v>13.0702</v>
      </c>
      <c r="K407" s="11">
        <f>13.0735 * CHOOSE(CONTROL!$C$32, $C$9, 100%, $E$9)</f>
        <v>13.073499999999999</v>
      </c>
      <c r="L407" s="11">
        <f>6.842 * CHOOSE(CONTROL!$C$32, $C$9, 100%, $E$9)</f>
        <v>6.8419999999999996</v>
      </c>
      <c r="M407" s="11">
        <f>6.8452 * CHOOSE(CONTROL!$C$32, $C$9, 100%, $E$9)</f>
        <v>6.8452000000000002</v>
      </c>
      <c r="N407" s="11">
        <f>6.842 * CHOOSE(CONTROL!$C$32, $C$9, 100%, $E$9)</f>
        <v>6.8419999999999996</v>
      </c>
      <c r="O407" s="11">
        <f>6.8452 * CHOOSE(CONTROL!$C$32, $C$9, 100%, $E$9)</f>
        <v>6.8452000000000002</v>
      </c>
    </row>
    <row r="408" spans="1:15" ht="15" x14ac:dyDescent="0.2">
      <c r="A408" s="13">
        <v>53267</v>
      </c>
      <c r="B408" s="9">
        <f>5.9863 * CHOOSE(CONTROL!$C$32, $C$9, 100%, $E$9)</f>
        <v>5.9863</v>
      </c>
      <c r="C408" s="9">
        <f>5.9863 * CHOOSE(CONTROL!$C$32, $C$9, 100%, $E$9)</f>
        <v>5.9863</v>
      </c>
      <c r="D408" s="9">
        <f>5.9873 * CHOOSE(CONTROL!$C$32, $C$9, 100%, $E$9)</f>
        <v>5.9873000000000003</v>
      </c>
      <c r="E408" s="11">
        <f>6.8727 * CHOOSE(CONTROL!$C$32, $C$9, 100%, $E$9)</f>
        <v>6.8727</v>
      </c>
      <c r="F408" s="11">
        <f>6.8727 * CHOOSE(CONTROL!$C$32, $C$9, 100%, $E$9)</f>
        <v>6.8727</v>
      </c>
      <c r="G408" s="11">
        <f>6.8759 * CHOOSE(CONTROL!$C$32, $C$9, 100%, $E$9)</f>
        <v>6.8758999999999997</v>
      </c>
      <c r="H408" s="11">
        <f>13.0975 * CHOOSE(CONTROL!$C$32, $C$9, 100%, $E$9)</f>
        <v>13.0975</v>
      </c>
      <c r="I408" s="11">
        <f>13.1007 * CHOOSE(CONTROL!$C$32, $C$9, 100%, $E$9)</f>
        <v>13.1007</v>
      </c>
      <c r="J408" s="11">
        <f>13.0975 * CHOOSE(CONTROL!$C$32, $C$9, 100%, $E$9)</f>
        <v>13.0975</v>
      </c>
      <c r="K408" s="11">
        <f>13.1007 * CHOOSE(CONTROL!$C$32, $C$9, 100%, $E$9)</f>
        <v>13.1007</v>
      </c>
      <c r="L408" s="11">
        <f>6.8727 * CHOOSE(CONTROL!$C$32, $C$9, 100%, $E$9)</f>
        <v>6.8727</v>
      </c>
      <c r="M408" s="11">
        <f>6.8759 * CHOOSE(CONTROL!$C$32, $C$9, 100%, $E$9)</f>
        <v>6.8758999999999997</v>
      </c>
      <c r="N408" s="11">
        <f>6.8727 * CHOOSE(CONTROL!$C$32, $C$9, 100%, $E$9)</f>
        <v>6.8727</v>
      </c>
      <c r="O408" s="11">
        <f>6.8759 * CHOOSE(CONTROL!$C$32, $C$9, 100%, $E$9)</f>
        <v>6.8758999999999997</v>
      </c>
    </row>
    <row r="409" spans="1:15" ht="15" x14ac:dyDescent="0.2">
      <c r="A409" s="13">
        <v>53297</v>
      </c>
      <c r="B409" s="9">
        <f>5.9863 * CHOOSE(CONTROL!$C$32, $C$9, 100%, $E$9)</f>
        <v>5.9863</v>
      </c>
      <c r="C409" s="9">
        <f>5.9863 * CHOOSE(CONTROL!$C$32, $C$9, 100%, $E$9)</f>
        <v>5.9863</v>
      </c>
      <c r="D409" s="9">
        <f>5.9873 * CHOOSE(CONTROL!$C$32, $C$9, 100%, $E$9)</f>
        <v>5.9873000000000003</v>
      </c>
      <c r="E409" s="11">
        <f>6.8013 * CHOOSE(CONTROL!$C$32, $C$9, 100%, $E$9)</f>
        <v>6.8013000000000003</v>
      </c>
      <c r="F409" s="11">
        <f>6.8013 * CHOOSE(CONTROL!$C$32, $C$9, 100%, $E$9)</f>
        <v>6.8013000000000003</v>
      </c>
      <c r="G409" s="11">
        <f>6.8045 * CHOOSE(CONTROL!$C$32, $C$9, 100%, $E$9)</f>
        <v>6.8045</v>
      </c>
      <c r="H409" s="11">
        <f>13.1248 * CHOOSE(CONTROL!$C$32, $C$9, 100%, $E$9)</f>
        <v>13.1248</v>
      </c>
      <c r="I409" s="11">
        <f>13.128 * CHOOSE(CONTROL!$C$32, $C$9, 100%, $E$9)</f>
        <v>13.128</v>
      </c>
      <c r="J409" s="11">
        <f>13.1248 * CHOOSE(CONTROL!$C$32, $C$9, 100%, $E$9)</f>
        <v>13.1248</v>
      </c>
      <c r="K409" s="11">
        <f>13.128 * CHOOSE(CONTROL!$C$32, $C$9, 100%, $E$9)</f>
        <v>13.128</v>
      </c>
      <c r="L409" s="11">
        <f>6.8013 * CHOOSE(CONTROL!$C$32, $C$9, 100%, $E$9)</f>
        <v>6.8013000000000003</v>
      </c>
      <c r="M409" s="11">
        <f>6.8045 * CHOOSE(CONTROL!$C$32, $C$9, 100%, $E$9)</f>
        <v>6.8045</v>
      </c>
      <c r="N409" s="11">
        <f>6.8013 * CHOOSE(CONTROL!$C$32, $C$9, 100%, $E$9)</f>
        <v>6.8013000000000003</v>
      </c>
      <c r="O409" s="11">
        <f>6.8045 * CHOOSE(CONTROL!$C$32, $C$9, 100%, $E$9)</f>
        <v>6.8045</v>
      </c>
    </row>
    <row r="410" spans="1:15" ht="15" x14ac:dyDescent="0.2">
      <c r="A410" s="13">
        <v>53328</v>
      </c>
      <c r="B410" s="9">
        <f>6.0321 * CHOOSE(CONTROL!$C$32, $C$9, 100%, $E$9)</f>
        <v>6.0320999999999998</v>
      </c>
      <c r="C410" s="9">
        <f>6.0321 * CHOOSE(CONTROL!$C$32, $C$9, 100%, $E$9)</f>
        <v>6.0320999999999998</v>
      </c>
      <c r="D410" s="9">
        <f>6.0331 * CHOOSE(CONTROL!$C$32, $C$9, 100%, $E$9)</f>
        <v>6.0331000000000001</v>
      </c>
      <c r="E410" s="11">
        <f>6.8926 * CHOOSE(CONTROL!$C$32, $C$9, 100%, $E$9)</f>
        <v>6.8925999999999998</v>
      </c>
      <c r="F410" s="11">
        <f>6.8926 * CHOOSE(CONTROL!$C$32, $C$9, 100%, $E$9)</f>
        <v>6.8925999999999998</v>
      </c>
      <c r="G410" s="11">
        <f>6.8958 * CHOOSE(CONTROL!$C$32, $C$9, 100%, $E$9)</f>
        <v>6.8958000000000004</v>
      </c>
      <c r="H410" s="11">
        <f>13.1521 * CHOOSE(CONTROL!$C$32, $C$9, 100%, $E$9)</f>
        <v>13.152100000000001</v>
      </c>
      <c r="I410" s="11">
        <f>13.1553 * CHOOSE(CONTROL!$C$32, $C$9, 100%, $E$9)</f>
        <v>13.1553</v>
      </c>
      <c r="J410" s="11">
        <f>13.1521 * CHOOSE(CONTROL!$C$32, $C$9, 100%, $E$9)</f>
        <v>13.152100000000001</v>
      </c>
      <c r="K410" s="11">
        <f>13.1553 * CHOOSE(CONTROL!$C$32, $C$9, 100%, $E$9)</f>
        <v>13.1553</v>
      </c>
      <c r="L410" s="11">
        <f>6.8926 * CHOOSE(CONTROL!$C$32, $C$9, 100%, $E$9)</f>
        <v>6.8925999999999998</v>
      </c>
      <c r="M410" s="11">
        <f>6.8958 * CHOOSE(CONTROL!$C$32, $C$9, 100%, $E$9)</f>
        <v>6.8958000000000004</v>
      </c>
      <c r="N410" s="11">
        <f>6.8926 * CHOOSE(CONTROL!$C$32, $C$9, 100%, $E$9)</f>
        <v>6.8925999999999998</v>
      </c>
      <c r="O410" s="11">
        <f>6.8958 * CHOOSE(CONTROL!$C$32, $C$9, 100%, $E$9)</f>
        <v>6.8958000000000004</v>
      </c>
    </row>
    <row r="411" spans="1:15" ht="15" x14ac:dyDescent="0.2">
      <c r="A411" s="13">
        <v>53359</v>
      </c>
      <c r="B411" s="9">
        <f>6.0291 * CHOOSE(CONTROL!$C$32, $C$9, 100%, $E$9)</f>
        <v>6.0290999999999997</v>
      </c>
      <c r="C411" s="9">
        <f>6.0291 * CHOOSE(CONTROL!$C$32, $C$9, 100%, $E$9)</f>
        <v>6.0290999999999997</v>
      </c>
      <c r="D411" s="9">
        <f>6.0301 * CHOOSE(CONTROL!$C$32, $C$9, 100%, $E$9)</f>
        <v>6.0301</v>
      </c>
      <c r="E411" s="11">
        <f>6.7511 * CHOOSE(CONTROL!$C$32, $C$9, 100%, $E$9)</f>
        <v>6.7511000000000001</v>
      </c>
      <c r="F411" s="11">
        <f>6.7511 * CHOOSE(CONTROL!$C$32, $C$9, 100%, $E$9)</f>
        <v>6.7511000000000001</v>
      </c>
      <c r="G411" s="11">
        <f>6.7543 * CHOOSE(CONTROL!$C$32, $C$9, 100%, $E$9)</f>
        <v>6.7542999999999997</v>
      </c>
      <c r="H411" s="11">
        <f>13.1795 * CHOOSE(CONTROL!$C$32, $C$9, 100%, $E$9)</f>
        <v>13.179500000000001</v>
      </c>
      <c r="I411" s="11">
        <f>13.1827 * CHOOSE(CONTROL!$C$32, $C$9, 100%, $E$9)</f>
        <v>13.182700000000001</v>
      </c>
      <c r="J411" s="11">
        <f>13.1795 * CHOOSE(CONTROL!$C$32, $C$9, 100%, $E$9)</f>
        <v>13.179500000000001</v>
      </c>
      <c r="K411" s="11">
        <f>13.1827 * CHOOSE(CONTROL!$C$32, $C$9, 100%, $E$9)</f>
        <v>13.182700000000001</v>
      </c>
      <c r="L411" s="11">
        <f>6.7511 * CHOOSE(CONTROL!$C$32, $C$9, 100%, $E$9)</f>
        <v>6.7511000000000001</v>
      </c>
      <c r="M411" s="11">
        <f>6.7543 * CHOOSE(CONTROL!$C$32, $C$9, 100%, $E$9)</f>
        <v>6.7542999999999997</v>
      </c>
      <c r="N411" s="11">
        <f>6.7511 * CHOOSE(CONTROL!$C$32, $C$9, 100%, $E$9)</f>
        <v>6.7511000000000001</v>
      </c>
      <c r="O411" s="11">
        <f>6.7543 * CHOOSE(CONTROL!$C$32, $C$9, 100%, $E$9)</f>
        <v>6.7542999999999997</v>
      </c>
    </row>
    <row r="412" spans="1:15" ht="15" x14ac:dyDescent="0.2">
      <c r="A412" s="13">
        <v>53387</v>
      </c>
      <c r="B412" s="9">
        <f>6.0261 * CHOOSE(CONTROL!$C$32, $C$9, 100%, $E$9)</f>
        <v>6.0260999999999996</v>
      </c>
      <c r="C412" s="9">
        <f>6.0261 * CHOOSE(CONTROL!$C$32, $C$9, 100%, $E$9)</f>
        <v>6.0260999999999996</v>
      </c>
      <c r="D412" s="9">
        <f>6.027 * CHOOSE(CONTROL!$C$32, $C$9, 100%, $E$9)</f>
        <v>6.0270000000000001</v>
      </c>
      <c r="E412" s="11">
        <f>6.8589 * CHOOSE(CONTROL!$C$32, $C$9, 100%, $E$9)</f>
        <v>6.8589000000000002</v>
      </c>
      <c r="F412" s="11">
        <f>6.8589 * CHOOSE(CONTROL!$C$32, $C$9, 100%, $E$9)</f>
        <v>6.8589000000000002</v>
      </c>
      <c r="G412" s="11">
        <f>6.8621 * CHOOSE(CONTROL!$C$32, $C$9, 100%, $E$9)</f>
        <v>6.8620999999999999</v>
      </c>
      <c r="H412" s="11">
        <f>13.207 * CHOOSE(CONTROL!$C$32, $C$9, 100%, $E$9)</f>
        <v>13.207000000000001</v>
      </c>
      <c r="I412" s="11">
        <f>13.2102 * CHOOSE(CONTROL!$C$32, $C$9, 100%, $E$9)</f>
        <v>13.2102</v>
      </c>
      <c r="J412" s="11">
        <f>13.207 * CHOOSE(CONTROL!$C$32, $C$9, 100%, $E$9)</f>
        <v>13.207000000000001</v>
      </c>
      <c r="K412" s="11">
        <f>13.2102 * CHOOSE(CONTROL!$C$32, $C$9, 100%, $E$9)</f>
        <v>13.2102</v>
      </c>
      <c r="L412" s="11">
        <f>6.8589 * CHOOSE(CONTROL!$C$32, $C$9, 100%, $E$9)</f>
        <v>6.8589000000000002</v>
      </c>
      <c r="M412" s="11">
        <f>6.8621 * CHOOSE(CONTROL!$C$32, $C$9, 100%, $E$9)</f>
        <v>6.8620999999999999</v>
      </c>
      <c r="N412" s="11">
        <f>6.8589 * CHOOSE(CONTROL!$C$32, $C$9, 100%, $E$9)</f>
        <v>6.8589000000000002</v>
      </c>
      <c r="O412" s="11">
        <f>6.8621 * CHOOSE(CONTROL!$C$32, $C$9, 100%, $E$9)</f>
        <v>6.8620999999999999</v>
      </c>
    </row>
    <row r="413" spans="1:15" ht="15" x14ac:dyDescent="0.2">
      <c r="A413" s="13">
        <v>53418</v>
      </c>
      <c r="B413" s="9">
        <f>6.0257 * CHOOSE(CONTROL!$C$32, $C$9, 100%, $E$9)</f>
        <v>6.0256999999999996</v>
      </c>
      <c r="C413" s="9">
        <f>6.0257 * CHOOSE(CONTROL!$C$32, $C$9, 100%, $E$9)</f>
        <v>6.0256999999999996</v>
      </c>
      <c r="D413" s="9">
        <f>6.0266 * CHOOSE(CONTROL!$C$32, $C$9, 100%, $E$9)</f>
        <v>6.0266000000000002</v>
      </c>
      <c r="E413" s="11">
        <f>6.9726 * CHOOSE(CONTROL!$C$32, $C$9, 100%, $E$9)</f>
        <v>6.9725999999999999</v>
      </c>
      <c r="F413" s="11">
        <f>6.9726 * CHOOSE(CONTROL!$C$32, $C$9, 100%, $E$9)</f>
        <v>6.9725999999999999</v>
      </c>
      <c r="G413" s="11">
        <f>6.9758 * CHOOSE(CONTROL!$C$32, $C$9, 100%, $E$9)</f>
        <v>6.9757999999999996</v>
      </c>
      <c r="H413" s="11">
        <f>13.2345 * CHOOSE(CONTROL!$C$32, $C$9, 100%, $E$9)</f>
        <v>13.234500000000001</v>
      </c>
      <c r="I413" s="11">
        <f>13.2377 * CHOOSE(CONTROL!$C$32, $C$9, 100%, $E$9)</f>
        <v>13.2377</v>
      </c>
      <c r="J413" s="11">
        <f>13.2345 * CHOOSE(CONTROL!$C$32, $C$9, 100%, $E$9)</f>
        <v>13.234500000000001</v>
      </c>
      <c r="K413" s="11">
        <f>13.2377 * CHOOSE(CONTROL!$C$32, $C$9, 100%, $E$9)</f>
        <v>13.2377</v>
      </c>
      <c r="L413" s="11">
        <f>6.9726 * CHOOSE(CONTROL!$C$32, $C$9, 100%, $E$9)</f>
        <v>6.9725999999999999</v>
      </c>
      <c r="M413" s="11">
        <f>6.9758 * CHOOSE(CONTROL!$C$32, $C$9, 100%, $E$9)</f>
        <v>6.9757999999999996</v>
      </c>
      <c r="N413" s="11">
        <f>6.9726 * CHOOSE(CONTROL!$C$32, $C$9, 100%, $E$9)</f>
        <v>6.9725999999999999</v>
      </c>
      <c r="O413" s="11">
        <f>6.9758 * CHOOSE(CONTROL!$C$32, $C$9, 100%, $E$9)</f>
        <v>6.9757999999999996</v>
      </c>
    </row>
    <row r="414" spans="1:15" ht="15" x14ac:dyDescent="0.2">
      <c r="A414" s="13">
        <v>53448</v>
      </c>
      <c r="B414" s="9">
        <f>6.0257 * CHOOSE(CONTROL!$C$32, $C$9, 100%, $E$9)</f>
        <v>6.0256999999999996</v>
      </c>
      <c r="C414" s="9">
        <f>6.0257 * CHOOSE(CONTROL!$C$32, $C$9, 100%, $E$9)</f>
        <v>6.0256999999999996</v>
      </c>
      <c r="D414" s="9">
        <f>6.0269 * CHOOSE(CONTROL!$C$32, $C$9, 100%, $E$9)</f>
        <v>6.0269000000000004</v>
      </c>
      <c r="E414" s="11">
        <f>7.0168 * CHOOSE(CONTROL!$C$32, $C$9, 100%, $E$9)</f>
        <v>7.0167999999999999</v>
      </c>
      <c r="F414" s="11">
        <f>7.0168 * CHOOSE(CONTROL!$C$32, $C$9, 100%, $E$9)</f>
        <v>7.0167999999999999</v>
      </c>
      <c r="G414" s="11">
        <f>7.0211 * CHOOSE(CONTROL!$C$32, $C$9, 100%, $E$9)</f>
        <v>7.0210999999999997</v>
      </c>
      <c r="H414" s="11">
        <f>13.262 * CHOOSE(CONTROL!$C$32, $C$9, 100%, $E$9)</f>
        <v>13.262</v>
      </c>
      <c r="I414" s="11">
        <f>13.2662 * CHOOSE(CONTROL!$C$32, $C$9, 100%, $E$9)</f>
        <v>13.2662</v>
      </c>
      <c r="J414" s="11">
        <f>13.262 * CHOOSE(CONTROL!$C$32, $C$9, 100%, $E$9)</f>
        <v>13.262</v>
      </c>
      <c r="K414" s="11">
        <f>13.2662 * CHOOSE(CONTROL!$C$32, $C$9, 100%, $E$9)</f>
        <v>13.2662</v>
      </c>
      <c r="L414" s="11">
        <f>7.0168 * CHOOSE(CONTROL!$C$32, $C$9, 100%, $E$9)</f>
        <v>7.0167999999999999</v>
      </c>
      <c r="M414" s="11">
        <f>7.0211 * CHOOSE(CONTROL!$C$32, $C$9, 100%, $E$9)</f>
        <v>7.0210999999999997</v>
      </c>
      <c r="N414" s="11">
        <f>7.0168 * CHOOSE(CONTROL!$C$32, $C$9, 100%, $E$9)</f>
        <v>7.0167999999999999</v>
      </c>
      <c r="O414" s="11">
        <f>7.0211 * CHOOSE(CONTROL!$C$32, $C$9, 100%, $E$9)</f>
        <v>7.0210999999999997</v>
      </c>
    </row>
    <row r="415" spans="1:15" ht="15" x14ac:dyDescent="0.2">
      <c r="A415" s="13">
        <v>53479</v>
      </c>
      <c r="B415" s="9">
        <f>6.0318 * CHOOSE(CONTROL!$C$32, $C$9, 100%, $E$9)</f>
        <v>6.0317999999999996</v>
      </c>
      <c r="C415" s="9">
        <f>6.0318 * CHOOSE(CONTROL!$C$32, $C$9, 100%, $E$9)</f>
        <v>6.0317999999999996</v>
      </c>
      <c r="D415" s="9">
        <f>6.033 * CHOOSE(CONTROL!$C$32, $C$9, 100%, $E$9)</f>
        <v>6.0330000000000004</v>
      </c>
      <c r="E415" s="11">
        <f>6.9768 * CHOOSE(CONTROL!$C$32, $C$9, 100%, $E$9)</f>
        <v>6.9767999999999999</v>
      </c>
      <c r="F415" s="11">
        <f>6.9768 * CHOOSE(CONTROL!$C$32, $C$9, 100%, $E$9)</f>
        <v>6.9767999999999999</v>
      </c>
      <c r="G415" s="11">
        <f>6.981 * CHOOSE(CONTROL!$C$32, $C$9, 100%, $E$9)</f>
        <v>6.9809999999999999</v>
      </c>
      <c r="H415" s="11">
        <f>13.2897 * CHOOSE(CONTROL!$C$32, $C$9, 100%, $E$9)</f>
        <v>13.2897</v>
      </c>
      <c r="I415" s="11">
        <f>13.2939 * CHOOSE(CONTROL!$C$32, $C$9, 100%, $E$9)</f>
        <v>13.293900000000001</v>
      </c>
      <c r="J415" s="11">
        <f>13.2897 * CHOOSE(CONTROL!$C$32, $C$9, 100%, $E$9)</f>
        <v>13.2897</v>
      </c>
      <c r="K415" s="11">
        <f>13.2939 * CHOOSE(CONTROL!$C$32, $C$9, 100%, $E$9)</f>
        <v>13.293900000000001</v>
      </c>
      <c r="L415" s="11">
        <f>6.9768 * CHOOSE(CONTROL!$C$32, $C$9, 100%, $E$9)</f>
        <v>6.9767999999999999</v>
      </c>
      <c r="M415" s="11">
        <f>6.981 * CHOOSE(CONTROL!$C$32, $C$9, 100%, $E$9)</f>
        <v>6.9809999999999999</v>
      </c>
      <c r="N415" s="11">
        <f>6.9768 * CHOOSE(CONTROL!$C$32, $C$9, 100%, $E$9)</f>
        <v>6.9767999999999999</v>
      </c>
      <c r="O415" s="11">
        <f>6.981 * CHOOSE(CONTROL!$C$32, $C$9, 100%, $E$9)</f>
        <v>6.9809999999999999</v>
      </c>
    </row>
    <row r="416" spans="1:15" ht="15" x14ac:dyDescent="0.2">
      <c r="A416" s="13">
        <v>53509</v>
      </c>
      <c r="B416" s="9">
        <f>6.1126 * CHOOSE(CONTROL!$C$32, $C$9, 100%, $E$9)</f>
        <v>6.1125999999999996</v>
      </c>
      <c r="C416" s="9">
        <f>6.1126 * CHOOSE(CONTROL!$C$32, $C$9, 100%, $E$9)</f>
        <v>6.1125999999999996</v>
      </c>
      <c r="D416" s="9">
        <f>6.1139 * CHOOSE(CONTROL!$C$32, $C$9, 100%, $E$9)</f>
        <v>6.1139000000000001</v>
      </c>
      <c r="E416" s="11">
        <f>7.0342 * CHOOSE(CONTROL!$C$32, $C$9, 100%, $E$9)</f>
        <v>7.0342000000000002</v>
      </c>
      <c r="F416" s="11">
        <f>7.0342 * CHOOSE(CONTROL!$C$32, $C$9, 100%, $E$9)</f>
        <v>7.0342000000000002</v>
      </c>
      <c r="G416" s="11">
        <f>7.0384 * CHOOSE(CONTROL!$C$32, $C$9, 100%, $E$9)</f>
        <v>7.0384000000000002</v>
      </c>
      <c r="H416" s="11">
        <f>13.3174 * CHOOSE(CONTROL!$C$32, $C$9, 100%, $E$9)</f>
        <v>13.317399999999999</v>
      </c>
      <c r="I416" s="11">
        <f>13.3216 * CHOOSE(CONTROL!$C$32, $C$9, 100%, $E$9)</f>
        <v>13.3216</v>
      </c>
      <c r="J416" s="11">
        <f>13.3174 * CHOOSE(CONTROL!$C$32, $C$9, 100%, $E$9)</f>
        <v>13.317399999999999</v>
      </c>
      <c r="K416" s="11">
        <f>13.3216 * CHOOSE(CONTROL!$C$32, $C$9, 100%, $E$9)</f>
        <v>13.3216</v>
      </c>
      <c r="L416" s="11">
        <f>7.0342 * CHOOSE(CONTROL!$C$32, $C$9, 100%, $E$9)</f>
        <v>7.0342000000000002</v>
      </c>
      <c r="M416" s="11">
        <f>7.0384 * CHOOSE(CONTROL!$C$32, $C$9, 100%, $E$9)</f>
        <v>7.0384000000000002</v>
      </c>
      <c r="N416" s="11">
        <f>7.0342 * CHOOSE(CONTROL!$C$32, $C$9, 100%, $E$9)</f>
        <v>7.0342000000000002</v>
      </c>
      <c r="O416" s="11">
        <f>7.0384 * CHOOSE(CONTROL!$C$32, $C$9, 100%, $E$9)</f>
        <v>7.0384000000000002</v>
      </c>
    </row>
    <row r="417" spans="1:15" ht="15" x14ac:dyDescent="0.2">
      <c r="A417" s="13">
        <v>53540</v>
      </c>
      <c r="B417" s="9">
        <f>6.1193 * CHOOSE(CONTROL!$C$32, $C$9, 100%, $E$9)</f>
        <v>6.1193</v>
      </c>
      <c r="C417" s="9">
        <f>6.1193 * CHOOSE(CONTROL!$C$32, $C$9, 100%, $E$9)</f>
        <v>6.1193</v>
      </c>
      <c r="D417" s="9">
        <f>6.1206 * CHOOSE(CONTROL!$C$32, $C$9, 100%, $E$9)</f>
        <v>6.1205999999999996</v>
      </c>
      <c r="E417" s="11">
        <f>6.9061 * CHOOSE(CONTROL!$C$32, $C$9, 100%, $E$9)</f>
        <v>6.9061000000000003</v>
      </c>
      <c r="F417" s="11">
        <f>6.9061 * CHOOSE(CONTROL!$C$32, $C$9, 100%, $E$9)</f>
        <v>6.9061000000000003</v>
      </c>
      <c r="G417" s="11">
        <f>6.9103 * CHOOSE(CONTROL!$C$32, $C$9, 100%, $E$9)</f>
        <v>6.9103000000000003</v>
      </c>
      <c r="H417" s="11">
        <f>13.3451 * CHOOSE(CONTROL!$C$32, $C$9, 100%, $E$9)</f>
        <v>13.3451</v>
      </c>
      <c r="I417" s="11">
        <f>13.3493 * CHOOSE(CONTROL!$C$32, $C$9, 100%, $E$9)</f>
        <v>13.349299999999999</v>
      </c>
      <c r="J417" s="11">
        <f>13.3451 * CHOOSE(CONTROL!$C$32, $C$9, 100%, $E$9)</f>
        <v>13.3451</v>
      </c>
      <c r="K417" s="11">
        <f>13.3493 * CHOOSE(CONTROL!$C$32, $C$9, 100%, $E$9)</f>
        <v>13.349299999999999</v>
      </c>
      <c r="L417" s="11">
        <f>6.9061 * CHOOSE(CONTROL!$C$32, $C$9, 100%, $E$9)</f>
        <v>6.9061000000000003</v>
      </c>
      <c r="M417" s="11">
        <f>6.9103 * CHOOSE(CONTROL!$C$32, $C$9, 100%, $E$9)</f>
        <v>6.9103000000000003</v>
      </c>
      <c r="N417" s="11">
        <f>6.9061 * CHOOSE(CONTROL!$C$32, $C$9, 100%, $E$9)</f>
        <v>6.9061000000000003</v>
      </c>
      <c r="O417" s="11">
        <f>6.9103 * CHOOSE(CONTROL!$C$32, $C$9, 100%, $E$9)</f>
        <v>6.9103000000000003</v>
      </c>
    </row>
    <row r="418" spans="1:15" ht="15" x14ac:dyDescent="0.2">
      <c r="A418" s="13">
        <v>53571</v>
      </c>
      <c r="B418" s="9">
        <f>6.1163 * CHOOSE(CONTROL!$C$32, $C$9, 100%, $E$9)</f>
        <v>6.1162999999999998</v>
      </c>
      <c r="C418" s="9">
        <f>6.1163 * CHOOSE(CONTROL!$C$32, $C$9, 100%, $E$9)</f>
        <v>6.1162999999999998</v>
      </c>
      <c r="D418" s="9">
        <f>6.1175 * CHOOSE(CONTROL!$C$32, $C$9, 100%, $E$9)</f>
        <v>6.1174999999999997</v>
      </c>
      <c r="E418" s="11">
        <f>6.8892 * CHOOSE(CONTROL!$C$32, $C$9, 100%, $E$9)</f>
        <v>6.8891999999999998</v>
      </c>
      <c r="F418" s="11">
        <f>6.8892 * CHOOSE(CONTROL!$C$32, $C$9, 100%, $E$9)</f>
        <v>6.8891999999999998</v>
      </c>
      <c r="G418" s="11">
        <f>6.8934 * CHOOSE(CONTROL!$C$32, $C$9, 100%, $E$9)</f>
        <v>6.8933999999999997</v>
      </c>
      <c r="H418" s="11">
        <f>13.3729 * CHOOSE(CONTROL!$C$32, $C$9, 100%, $E$9)</f>
        <v>13.3729</v>
      </c>
      <c r="I418" s="11">
        <f>13.3771 * CHOOSE(CONTROL!$C$32, $C$9, 100%, $E$9)</f>
        <v>13.3771</v>
      </c>
      <c r="J418" s="11">
        <f>13.3729 * CHOOSE(CONTROL!$C$32, $C$9, 100%, $E$9)</f>
        <v>13.3729</v>
      </c>
      <c r="K418" s="11">
        <f>13.3771 * CHOOSE(CONTROL!$C$32, $C$9, 100%, $E$9)</f>
        <v>13.3771</v>
      </c>
      <c r="L418" s="11">
        <f>6.8892 * CHOOSE(CONTROL!$C$32, $C$9, 100%, $E$9)</f>
        <v>6.8891999999999998</v>
      </c>
      <c r="M418" s="11">
        <f>6.8934 * CHOOSE(CONTROL!$C$32, $C$9, 100%, $E$9)</f>
        <v>6.8933999999999997</v>
      </c>
      <c r="N418" s="11">
        <f>6.8892 * CHOOSE(CONTROL!$C$32, $C$9, 100%, $E$9)</f>
        <v>6.8891999999999998</v>
      </c>
      <c r="O418" s="11">
        <f>6.8934 * CHOOSE(CONTROL!$C$32, $C$9, 100%, $E$9)</f>
        <v>6.8933999999999997</v>
      </c>
    </row>
    <row r="419" spans="1:15" ht="15" x14ac:dyDescent="0.2">
      <c r="A419" s="13">
        <v>53601</v>
      </c>
      <c r="B419" s="9">
        <f>6.1192 * CHOOSE(CONTROL!$C$32, $C$9, 100%, $E$9)</f>
        <v>6.1192000000000002</v>
      </c>
      <c r="C419" s="9">
        <f>6.1192 * CHOOSE(CONTROL!$C$32, $C$9, 100%, $E$9)</f>
        <v>6.1192000000000002</v>
      </c>
      <c r="D419" s="9">
        <f>6.1201 * CHOOSE(CONTROL!$C$32, $C$9, 100%, $E$9)</f>
        <v>6.1200999999999999</v>
      </c>
      <c r="E419" s="11">
        <f>6.9348 * CHOOSE(CONTROL!$C$32, $C$9, 100%, $E$9)</f>
        <v>6.9348000000000001</v>
      </c>
      <c r="F419" s="11">
        <f>6.9348 * CHOOSE(CONTROL!$C$32, $C$9, 100%, $E$9)</f>
        <v>6.9348000000000001</v>
      </c>
      <c r="G419" s="11">
        <f>6.938 * CHOOSE(CONTROL!$C$32, $C$9, 100%, $E$9)</f>
        <v>6.9379999999999997</v>
      </c>
      <c r="H419" s="11">
        <f>13.4008 * CHOOSE(CONTROL!$C$32, $C$9, 100%, $E$9)</f>
        <v>13.4008</v>
      </c>
      <c r="I419" s="11">
        <f>13.404 * CHOOSE(CONTROL!$C$32, $C$9, 100%, $E$9)</f>
        <v>13.404</v>
      </c>
      <c r="J419" s="11">
        <f>13.4008 * CHOOSE(CONTROL!$C$32, $C$9, 100%, $E$9)</f>
        <v>13.4008</v>
      </c>
      <c r="K419" s="11">
        <f>13.404 * CHOOSE(CONTROL!$C$32, $C$9, 100%, $E$9)</f>
        <v>13.404</v>
      </c>
      <c r="L419" s="11">
        <f>6.9348 * CHOOSE(CONTROL!$C$32, $C$9, 100%, $E$9)</f>
        <v>6.9348000000000001</v>
      </c>
      <c r="M419" s="11">
        <f>6.938 * CHOOSE(CONTROL!$C$32, $C$9, 100%, $E$9)</f>
        <v>6.9379999999999997</v>
      </c>
      <c r="N419" s="11">
        <f>6.9348 * CHOOSE(CONTROL!$C$32, $C$9, 100%, $E$9)</f>
        <v>6.9348000000000001</v>
      </c>
      <c r="O419" s="11">
        <f>6.938 * CHOOSE(CONTROL!$C$32, $C$9, 100%, $E$9)</f>
        <v>6.9379999999999997</v>
      </c>
    </row>
    <row r="420" spans="1:15" ht="15" x14ac:dyDescent="0.2">
      <c r="A420" s="13">
        <v>53632</v>
      </c>
      <c r="B420" s="9">
        <f>6.1222 * CHOOSE(CONTROL!$C$32, $C$9, 100%, $E$9)</f>
        <v>6.1222000000000003</v>
      </c>
      <c r="C420" s="9">
        <f>6.1222 * CHOOSE(CONTROL!$C$32, $C$9, 100%, $E$9)</f>
        <v>6.1222000000000003</v>
      </c>
      <c r="D420" s="9">
        <f>6.1232 * CHOOSE(CONTROL!$C$32, $C$9, 100%, $E$9)</f>
        <v>6.1231999999999998</v>
      </c>
      <c r="E420" s="11">
        <f>6.9664 * CHOOSE(CONTROL!$C$32, $C$9, 100%, $E$9)</f>
        <v>6.9664000000000001</v>
      </c>
      <c r="F420" s="11">
        <f>6.9664 * CHOOSE(CONTROL!$C$32, $C$9, 100%, $E$9)</f>
        <v>6.9664000000000001</v>
      </c>
      <c r="G420" s="11">
        <f>6.9696 * CHOOSE(CONTROL!$C$32, $C$9, 100%, $E$9)</f>
        <v>6.9695999999999998</v>
      </c>
      <c r="H420" s="11">
        <f>13.4287 * CHOOSE(CONTROL!$C$32, $C$9, 100%, $E$9)</f>
        <v>13.428699999999999</v>
      </c>
      <c r="I420" s="11">
        <f>13.4319 * CHOOSE(CONTROL!$C$32, $C$9, 100%, $E$9)</f>
        <v>13.431900000000001</v>
      </c>
      <c r="J420" s="11">
        <f>13.4287 * CHOOSE(CONTROL!$C$32, $C$9, 100%, $E$9)</f>
        <v>13.428699999999999</v>
      </c>
      <c r="K420" s="11">
        <f>13.4319 * CHOOSE(CONTROL!$C$32, $C$9, 100%, $E$9)</f>
        <v>13.431900000000001</v>
      </c>
      <c r="L420" s="11">
        <f>6.9664 * CHOOSE(CONTROL!$C$32, $C$9, 100%, $E$9)</f>
        <v>6.9664000000000001</v>
      </c>
      <c r="M420" s="11">
        <f>6.9696 * CHOOSE(CONTROL!$C$32, $C$9, 100%, $E$9)</f>
        <v>6.9695999999999998</v>
      </c>
      <c r="N420" s="11">
        <f>6.9664 * CHOOSE(CONTROL!$C$32, $C$9, 100%, $E$9)</f>
        <v>6.9664000000000001</v>
      </c>
      <c r="O420" s="11">
        <f>6.9696 * CHOOSE(CONTROL!$C$32, $C$9, 100%, $E$9)</f>
        <v>6.9695999999999998</v>
      </c>
    </row>
    <row r="421" spans="1:15" ht="15" x14ac:dyDescent="0.2">
      <c r="A421" s="13">
        <v>53662</v>
      </c>
      <c r="B421" s="9">
        <f>6.1222 * CHOOSE(CONTROL!$C$32, $C$9, 100%, $E$9)</f>
        <v>6.1222000000000003</v>
      </c>
      <c r="C421" s="9">
        <f>6.1222 * CHOOSE(CONTROL!$C$32, $C$9, 100%, $E$9)</f>
        <v>6.1222000000000003</v>
      </c>
      <c r="D421" s="9">
        <f>6.1232 * CHOOSE(CONTROL!$C$32, $C$9, 100%, $E$9)</f>
        <v>6.1231999999999998</v>
      </c>
      <c r="E421" s="11">
        <f>6.8927 * CHOOSE(CONTROL!$C$32, $C$9, 100%, $E$9)</f>
        <v>6.8926999999999996</v>
      </c>
      <c r="F421" s="11">
        <f>6.8927 * CHOOSE(CONTROL!$C$32, $C$9, 100%, $E$9)</f>
        <v>6.8926999999999996</v>
      </c>
      <c r="G421" s="11">
        <f>6.8959 * CHOOSE(CONTROL!$C$32, $C$9, 100%, $E$9)</f>
        <v>6.8959000000000001</v>
      </c>
      <c r="H421" s="11">
        <f>13.4567 * CHOOSE(CONTROL!$C$32, $C$9, 100%, $E$9)</f>
        <v>13.4567</v>
      </c>
      <c r="I421" s="11">
        <f>13.4599 * CHOOSE(CONTROL!$C$32, $C$9, 100%, $E$9)</f>
        <v>13.459899999999999</v>
      </c>
      <c r="J421" s="11">
        <f>13.4567 * CHOOSE(CONTROL!$C$32, $C$9, 100%, $E$9)</f>
        <v>13.4567</v>
      </c>
      <c r="K421" s="11">
        <f>13.4599 * CHOOSE(CONTROL!$C$32, $C$9, 100%, $E$9)</f>
        <v>13.459899999999999</v>
      </c>
      <c r="L421" s="11">
        <f>6.8927 * CHOOSE(CONTROL!$C$32, $C$9, 100%, $E$9)</f>
        <v>6.8926999999999996</v>
      </c>
      <c r="M421" s="11">
        <f>6.8959 * CHOOSE(CONTROL!$C$32, $C$9, 100%, $E$9)</f>
        <v>6.8959000000000001</v>
      </c>
      <c r="N421" s="11">
        <f>6.8927 * CHOOSE(CONTROL!$C$32, $C$9, 100%, $E$9)</f>
        <v>6.8926999999999996</v>
      </c>
      <c r="O421" s="11">
        <f>6.8959 * CHOOSE(CONTROL!$C$32, $C$9, 100%, $E$9)</f>
        <v>6.8959000000000001</v>
      </c>
    </row>
    <row r="422" spans="1:15" ht="15" x14ac:dyDescent="0.2">
      <c r="A422" s="13">
        <v>53693</v>
      </c>
      <c r="B422" s="9">
        <f>6.169 * CHOOSE(CONTROL!$C$32, $C$9, 100%, $E$9)</f>
        <v>6.1689999999999996</v>
      </c>
      <c r="C422" s="9">
        <f>6.169 * CHOOSE(CONTROL!$C$32, $C$9, 100%, $E$9)</f>
        <v>6.1689999999999996</v>
      </c>
      <c r="D422" s="9">
        <f>6.1699 * CHOOSE(CONTROL!$C$32, $C$9, 100%, $E$9)</f>
        <v>6.1699000000000002</v>
      </c>
      <c r="E422" s="11">
        <f>6.9915 * CHOOSE(CONTROL!$C$32, $C$9, 100%, $E$9)</f>
        <v>6.9915000000000003</v>
      </c>
      <c r="F422" s="11">
        <f>6.9915 * CHOOSE(CONTROL!$C$32, $C$9, 100%, $E$9)</f>
        <v>6.9915000000000003</v>
      </c>
      <c r="G422" s="11">
        <f>6.9948 * CHOOSE(CONTROL!$C$32, $C$9, 100%, $E$9)</f>
        <v>6.9947999999999997</v>
      </c>
      <c r="H422" s="11">
        <f>13.4847 * CHOOSE(CONTROL!$C$32, $C$9, 100%, $E$9)</f>
        <v>13.4847</v>
      </c>
      <c r="I422" s="11">
        <f>13.4879 * CHOOSE(CONTROL!$C$32, $C$9, 100%, $E$9)</f>
        <v>13.4879</v>
      </c>
      <c r="J422" s="11">
        <f>13.4847 * CHOOSE(CONTROL!$C$32, $C$9, 100%, $E$9)</f>
        <v>13.4847</v>
      </c>
      <c r="K422" s="11">
        <f>13.4879 * CHOOSE(CONTROL!$C$32, $C$9, 100%, $E$9)</f>
        <v>13.4879</v>
      </c>
      <c r="L422" s="11">
        <f>6.9915 * CHOOSE(CONTROL!$C$32, $C$9, 100%, $E$9)</f>
        <v>6.9915000000000003</v>
      </c>
      <c r="M422" s="11">
        <f>6.9948 * CHOOSE(CONTROL!$C$32, $C$9, 100%, $E$9)</f>
        <v>6.9947999999999997</v>
      </c>
      <c r="N422" s="11">
        <f>6.9915 * CHOOSE(CONTROL!$C$32, $C$9, 100%, $E$9)</f>
        <v>6.9915000000000003</v>
      </c>
      <c r="O422" s="11">
        <f>6.9948 * CHOOSE(CONTROL!$C$32, $C$9, 100%, $E$9)</f>
        <v>6.9947999999999997</v>
      </c>
    </row>
    <row r="423" spans="1:15" ht="15" x14ac:dyDescent="0.2">
      <c r="A423" s="13">
        <v>53724</v>
      </c>
      <c r="B423" s="9">
        <f>6.1659 * CHOOSE(CONTROL!$C$32, $C$9, 100%, $E$9)</f>
        <v>6.1658999999999997</v>
      </c>
      <c r="C423" s="9">
        <f>6.1659 * CHOOSE(CONTROL!$C$32, $C$9, 100%, $E$9)</f>
        <v>6.1658999999999997</v>
      </c>
      <c r="D423" s="9">
        <f>6.1669 * CHOOSE(CONTROL!$C$32, $C$9, 100%, $E$9)</f>
        <v>6.1669</v>
      </c>
      <c r="E423" s="11">
        <f>6.8455 * CHOOSE(CONTROL!$C$32, $C$9, 100%, $E$9)</f>
        <v>6.8455000000000004</v>
      </c>
      <c r="F423" s="11">
        <f>6.8455 * CHOOSE(CONTROL!$C$32, $C$9, 100%, $E$9)</f>
        <v>6.8455000000000004</v>
      </c>
      <c r="G423" s="11">
        <f>6.8488 * CHOOSE(CONTROL!$C$32, $C$9, 100%, $E$9)</f>
        <v>6.8487999999999998</v>
      </c>
      <c r="H423" s="11">
        <f>13.5128 * CHOOSE(CONTROL!$C$32, $C$9, 100%, $E$9)</f>
        <v>13.5128</v>
      </c>
      <c r="I423" s="11">
        <f>13.516 * CHOOSE(CONTROL!$C$32, $C$9, 100%, $E$9)</f>
        <v>13.516</v>
      </c>
      <c r="J423" s="11">
        <f>13.5128 * CHOOSE(CONTROL!$C$32, $C$9, 100%, $E$9)</f>
        <v>13.5128</v>
      </c>
      <c r="K423" s="11">
        <f>13.516 * CHOOSE(CONTROL!$C$32, $C$9, 100%, $E$9)</f>
        <v>13.516</v>
      </c>
      <c r="L423" s="11">
        <f>6.8455 * CHOOSE(CONTROL!$C$32, $C$9, 100%, $E$9)</f>
        <v>6.8455000000000004</v>
      </c>
      <c r="M423" s="11">
        <f>6.8488 * CHOOSE(CONTROL!$C$32, $C$9, 100%, $E$9)</f>
        <v>6.8487999999999998</v>
      </c>
      <c r="N423" s="11">
        <f>6.8455 * CHOOSE(CONTROL!$C$32, $C$9, 100%, $E$9)</f>
        <v>6.8455000000000004</v>
      </c>
      <c r="O423" s="11">
        <f>6.8488 * CHOOSE(CONTROL!$C$32, $C$9, 100%, $E$9)</f>
        <v>6.8487999999999998</v>
      </c>
    </row>
    <row r="424" spans="1:15" ht="15" x14ac:dyDescent="0.2">
      <c r="A424" s="13">
        <v>53752</v>
      </c>
      <c r="B424" s="9">
        <f>6.1629 * CHOOSE(CONTROL!$C$32, $C$9, 100%, $E$9)</f>
        <v>6.1628999999999996</v>
      </c>
      <c r="C424" s="9">
        <f>6.1629 * CHOOSE(CONTROL!$C$32, $C$9, 100%, $E$9)</f>
        <v>6.1628999999999996</v>
      </c>
      <c r="D424" s="9">
        <f>6.1638 * CHOOSE(CONTROL!$C$32, $C$9, 100%, $E$9)</f>
        <v>6.1638000000000002</v>
      </c>
      <c r="E424" s="11">
        <f>6.9568 * CHOOSE(CONTROL!$C$32, $C$9, 100%, $E$9)</f>
        <v>6.9568000000000003</v>
      </c>
      <c r="F424" s="11">
        <f>6.9568 * CHOOSE(CONTROL!$C$32, $C$9, 100%, $E$9)</f>
        <v>6.9568000000000003</v>
      </c>
      <c r="G424" s="11">
        <f>6.9601 * CHOOSE(CONTROL!$C$32, $C$9, 100%, $E$9)</f>
        <v>6.9600999999999997</v>
      </c>
      <c r="H424" s="11">
        <f>13.5409 * CHOOSE(CONTROL!$C$32, $C$9, 100%, $E$9)</f>
        <v>13.540900000000001</v>
      </c>
      <c r="I424" s="11">
        <f>13.5442 * CHOOSE(CONTROL!$C$32, $C$9, 100%, $E$9)</f>
        <v>13.5442</v>
      </c>
      <c r="J424" s="11">
        <f>13.5409 * CHOOSE(CONTROL!$C$32, $C$9, 100%, $E$9)</f>
        <v>13.540900000000001</v>
      </c>
      <c r="K424" s="11">
        <f>13.5442 * CHOOSE(CONTROL!$C$32, $C$9, 100%, $E$9)</f>
        <v>13.5442</v>
      </c>
      <c r="L424" s="11">
        <f>6.9568 * CHOOSE(CONTROL!$C$32, $C$9, 100%, $E$9)</f>
        <v>6.9568000000000003</v>
      </c>
      <c r="M424" s="11">
        <f>6.9601 * CHOOSE(CONTROL!$C$32, $C$9, 100%, $E$9)</f>
        <v>6.9600999999999997</v>
      </c>
      <c r="N424" s="11">
        <f>6.9568 * CHOOSE(CONTROL!$C$32, $C$9, 100%, $E$9)</f>
        <v>6.9568000000000003</v>
      </c>
      <c r="O424" s="11">
        <f>6.9601 * CHOOSE(CONTROL!$C$32, $C$9, 100%, $E$9)</f>
        <v>6.9600999999999997</v>
      </c>
    </row>
    <row r="425" spans="1:15" ht="15" x14ac:dyDescent="0.2">
      <c r="A425" s="13">
        <v>53783</v>
      </c>
      <c r="B425" s="9">
        <f>6.1626 * CHOOSE(CONTROL!$C$32, $C$9, 100%, $E$9)</f>
        <v>6.1626000000000003</v>
      </c>
      <c r="C425" s="9">
        <f>6.1626 * CHOOSE(CONTROL!$C$32, $C$9, 100%, $E$9)</f>
        <v>6.1626000000000003</v>
      </c>
      <c r="D425" s="9">
        <f>6.1636 * CHOOSE(CONTROL!$C$32, $C$9, 100%, $E$9)</f>
        <v>6.1635999999999997</v>
      </c>
      <c r="E425" s="11">
        <f>7.0744 * CHOOSE(CONTROL!$C$32, $C$9, 100%, $E$9)</f>
        <v>7.0743999999999998</v>
      </c>
      <c r="F425" s="11">
        <f>7.0744 * CHOOSE(CONTROL!$C$32, $C$9, 100%, $E$9)</f>
        <v>7.0743999999999998</v>
      </c>
      <c r="G425" s="11">
        <f>7.0776 * CHOOSE(CONTROL!$C$32, $C$9, 100%, $E$9)</f>
        <v>7.0776000000000003</v>
      </c>
      <c r="H425" s="11">
        <f>13.5692 * CHOOSE(CONTROL!$C$32, $C$9, 100%, $E$9)</f>
        <v>13.5692</v>
      </c>
      <c r="I425" s="11">
        <f>13.5724 * CHOOSE(CONTROL!$C$32, $C$9, 100%, $E$9)</f>
        <v>13.5724</v>
      </c>
      <c r="J425" s="11">
        <f>13.5692 * CHOOSE(CONTROL!$C$32, $C$9, 100%, $E$9)</f>
        <v>13.5692</v>
      </c>
      <c r="K425" s="11">
        <f>13.5724 * CHOOSE(CONTROL!$C$32, $C$9, 100%, $E$9)</f>
        <v>13.5724</v>
      </c>
      <c r="L425" s="11">
        <f>7.0744 * CHOOSE(CONTROL!$C$32, $C$9, 100%, $E$9)</f>
        <v>7.0743999999999998</v>
      </c>
      <c r="M425" s="11">
        <f>7.0776 * CHOOSE(CONTROL!$C$32, $C$9, 100%, $E$9)</f>
        <v>7.0776000000000003</v>
      </c>
      <c r="N425" s="11">
        <f>7.0744 * CHOOSE(CONTROL!$C$32, $C$9, 100%, $E$9)</f>
        <v>7.0743999999999998</v>
      </c>
      <c r="O425" s="11">
        <f>7.0776 * CHOOSE(CONTROL!$C$32, $C$9, 100%, $E$9)</f>
        <v>7.0776000000000003</v>
      </c>
    </row>
    <row r="426" spans="1:15" ht="15" x14ac:dyDescent="0.2">
      <c r="A426" s="13">
        <v>53813</v>
      </c>
      <c r="B426" s="9">
        <f>6.1626 * CHOOSE(CONTROL!$C$32, $C$9, 100%, $E$9)</f>
        <v>6.1626000000000003</v>
      </c>
      <c r="C426" s="9">
        <f>6.1626 * CHOOSE(CONTROL!$C$32, $C$9, 100%, $E$9)</f>
        <v>6.1626000000000003</v>
      </c>
      <c r="D426" s="9">
        <f>6.1639 * CHOOSE(CONTROL!$C$32, $C$9, 100%, $E$9)</f>
        <v>6.1638999999999999</v>
      </c>
      <c r="E426" s="11">
        <f>7.1201 * CHOOSE(CONTROL!$C$32, $C$9, 100%, $E$9)</f>
        <v>7.1200999999999999</v>
      </c>
      <c r="F426" s="11">
        <f>7.1201 * CHOOSE(CONTROL!$C$32, $C$9, 100%, $E$9)</f>
        <v>7.1200999999999999</v>
      </c>
      <c r="G426" s="11">
        <f>7.1243 * CHOOSE(CONTROL!$C$32, $C$9, 100%, $E$9)</f>
        <v>7.1242999999999999</v>
      </c>
      <c r="H426" s="11">
        <f>13.5974 * CHOOSE(CONTROL!$C$32, $C$9, 100%, $E$9)</f>
        <v>13.5974</v>
      </c>
      <c r="I426" s="11">
        <f>13.6016 * CHOOSE(CONTROL!$C$32, $C$9, 100%, $E$9)</f>
        <v>13.601599999999999</v>
      </c>
      <c r="J426" s="11">
        <f>13.5974 * CHOOSE(CONTROL!$C$32, $C$9, 100%, $E$9)</f>
        <v>13.5974</v>
      </c>
      <c r="K426" s="11">
        <f>13.6016 * CHOOSE(CONTROL!$C$32, $C$9, 100%, $E$9)</f>
        <v>13.601599999999999</v>
      </c>
      <c r="L426" s="11">
        <f>7.1201 * CHOOSE(CONTROL!$C$32, $C$9, 100%, $E$9)</f>
        <v>7.1200999999999999</v>
      </c>
      <c r="M426" s="11">
        <f>7.1243 * CHOOSE(CONTROL!$C$32, $C$9, 100%, $E$9)</f>
        <v>7.1242999999999999</v>
      </c>
      <c r="N426" s="11">
        <f>7.1201 * CHOOSE(CONTROL!$C$32, $C$9, 100%, $E$9)</f>
        <v>7.1200999999999999</v>
      </c>
      <c r="O426" s="11">
        <f>7.1243 * CHOOSE(CONTROL!$C$32, $C$9, 100%, $E$9)</f>
        <v>7.1242999999999999</v>
      </c>
    </row>
    <row r="427" spans="1:15" ht="15" x14ac:dyDescent="0.2">
      <c r="A427" s="13">
        <v>53844</v>
      </c>
      <c r="B427" s="9">
        <f>6.1687 * CHOOSE(CONTROL!$C$32, $C$9, 100%, $E$9)</f>
        <v>6.1687000000000003</v>
      </c>
      <c r="C427" s="9">
        <f>6.1687 * CHOOSE(CONTROL!$C$32, $C$9, 100%, $E$9)</f>
        <v>6.1687000000000003</v>
      </c>
      <c r="D427" s="9">
        <f>6.17 * CHOOSE(CONTROL!$C$32, $C$9, 100%, $E$9)</f>
        <v>6.17</v>
      </c>
      <c r="E427" s="11">
        <f>7.0787 * CHOOSE(CONTROL!$C$32, $C$9, 100%, $E$9)</f>
        <v>7.0787000000000004</v>
      </c>
      <c r="F427" s="11">
        <f>7.0787 * CHOOSE(CONTROL!$C$32, $C$9, 100%, $E$9)</f>
        <v>7.0787000000000004</v>
      </c>
      <c r="G427" s="11">
        <f>7.0829 * CHOOSE(CONTROL!$C$32, $C$9, 100%, $E$9)</f>
        <v>7.0829000000000004</v>
      </c>
      <c r="H427" s="11">
        <f>13.6257 * CHOOSE(CONTROL!$C$32, $C$9, 100%, $E$9)</f>
        <v>13.6257</v>
      </c>
      <c r="I427" s="11">
        <f>13.63 * CHOOSE(CONTROL!$C$32, $C$9, 100%, $E$9)</f>
        <v>13.63</v>
      </c>
      <c r="J427" s="11">
        <f>13.6257 * CHOOSE(CONTROL!$C$32, $C$9, 100%, $E$9)</f>
        <v>13.6257</v>
      </c>
      <c r="K427" s="11">
        <f>13.63 * CHOOSE(CONTROL!$C$32, $C$9, 100%, $E$9)</f>
        <v>13.63</v>
      </c>
      <c r="L427" s="11">
        <f>7.0787 * CHOOSE(CONTROL!$C$32, $C$9, 100%, $E$9)</f>
        <v>7.0787000000000004</v>
      </c>
      <c r="M427" s="11">
        <f>7.0829 * CHOOSE(CONTROL!$C$32, $C$9, 100%, $E$9)</f>
        <v>7.0829000000000004</v>
      </c>
      <c r="N427" s="11">
        <f>7.0787 * CHOOSE(CONTROL!$C$32, $C$9, 100%, $E$9)</f>
        <v>7.0787000000000004</v>
      </c>
      <c r="O427" s="11">
        <f>7.0829 * CHOOSE(CONTROL!$C$32, $C$9, 100%, $E$9)</f>
        <v>7.0829000000000004</v>
      </c>
    </row>
    <row r="428" spans="1:15" ht="15" x14ac:dyDescent="0.2">
      <c r="A428" s="13">
        <v>53874</v>
      </c>
      <c r="B428" s="9">
        <f>6.251 * CHOOSE(CONTROL!$C$32, $C$9, 100%, $E$9)</f>
        <v>6.2510000000000003</v>
      </c>
      <c r="C428" s="9">
        <f>6.251 * CHOOSE(CONTROL!$C$32, $C$9, 100%, $E$9)</f>
        <v>6.2510000000000003</v>
      </c>
      <c r="D428" s="9">
        <f>6.2523 * CHOOSE(CONTROL!$C$32, $C$9, 100%, $E$9)</f>
        <v>6.2523</v>
      </c>
      <c r="E428" s="11">
        <f>7.149 * CHOOSE(CONTROL!$C$32, $C$9, 100%, $E$9)</f>
        <v>7.149</v>
      </c>
      <c r="F428" s="11">
        <f>7.149 * CHOOSE(CONTROL!$C$32, $C$9, 100%, $E$9)</f>
        <v>7.149</v>
      </c>
      <c r="G428" s="11">
        <f>7.1532 * CHOOSE(CONTROL!$C$32, $C$9, 100%, $E$9)</f>
        <v>7.1532</v>
      </c>
      <c r="H428" s="11">
        <f>13.6541 * CHOOSE(CONTROL!$C$32, $C$9, 100%, $E$9)</f>
        <v>13.6541</v>
      </c>
      <c r="I428" s="11">
        <f>13.6583 * CHOOSE(CONTROL!$C$32, $C$9, 100%, $E$9)</f>
        <v>13.658300000000001</v>
      </c>
      <c r="J428" s="11">
        <f>13.6541 * CHOOSE(CONTROL!$C$32, $C$9, 100%, $E$9)</f>
        <v>13.6541</v>
      </c>
      <c r="K428" s="11">
        <f>13.6583 * CHOOSE(CONTROL!$C$32, $C$9, 100%, $E$9)</f>
        <v>13.658300000000001</v>
      </c>
      <c r="L428" s="11">
        <f>7.149 * CHOOSE(CONTROL!$C$32, $C$9, 100%, $E$9)</f>
        <v>7.149</v>
      </c>
      <c r="M428" s="11">
        <f>7.1532 * CHOOSE(CONTROL!$C$32, $C$9, 100%, $E$9)</f>
        <v>7.1532</v>
      </c>
      <c r="N428" s="11">
        <f>7.149 * CHOOSE(CONTROL!$C$32, $C$9, 100%, $E$9)</f>
        <v>7.149</v>
      </c>
      <c r="O428" s="11">
        <f>7.1532 * CHOOSE(CONTROL!$C$32, $C$9, 100%, $E$9)</f>
        <v>7.1532</v>
      </c>
    </row>
    <row r="429" spans="1:15" ht="15" x14ac:dyDescent="0.2">
      <c r="A429" s="13">
        <v>53905</v>
      </c>
      <c r="B429" s="9">
        <f>6.2577 * CHOOSE(CONTROL!$C$32, $C$9, 100%, $E$9)</f>
        <v>6.2576999999999998</v>
      </c>
      <c r="C429" s="9">
        <f>6.2577 * CHOOSE(CONTROL!$C$32, $C$9, 100%, $E$9)</f>
        <v>6.2576999999999998</v>
      </c>
      <c r="D429" s="9">
        <f>6.259 * CHOOSE(CONTROL!$C$32, $C$9, 100%, $E$9)</f>
        <v>6.2590000000000003</v>
      </c>
      <c r="E429" s="11">
        <f>7.0166 * CHOOSE(CONTROL!$C$32, $C$9, 100%, $E$9)</f>
        <v>7.0166000000000004</v>
      </c>
      <c r="F429" s="11">
        <f>7.0166 * CHOOSE(CONTROL!$C$32, $C$9, 100%, $E$9)</f>
        <v>7.0166000000000004</v>
      </c>
      <c r="G429" s="11">
        <f>7.0208 * CHOOSE(CONTROL!$C$32, $C$9, 100%, $E$9)</f>
        <v>7.0208000000000004</v>
      </c>
      <c r="H429" s="11">
        <f>13.6826 * CHOOSE(CONTROL!$C$32, $C$9, 100%, $E$9)</f>
        <v>13.682600000000001</v>
      </c>
      <c r="I429" s="11">
        <f>13.6868 * CHOOSE(CONTROL!$C$32, $C$9, 100%, $E$9)</f>
        <v>13.6868</v>
      </c>
      <c r="J429" s="11">
        <f>13.6826 * CHOOSE(CONTROL!$C$32, $C$9, 100%, $E$9)</f>
        <v>13.682600000000001</v>
      </c>
      <c r="K429" s="11">
        <f>13.6868 * CHOOSE(CONTROL!$C$32, $C$9, 100%, $E$9)</f>
        <v>13.6868</v>
      </c>
      <c r="L429" s="11">
        <f>7.0166 * CHOOSE(CONTROL!$C$32, $C$9, 100%, $E$9)</f>
        <v>7.0166000000000004</v>
      </c>
      <c r="M429" s="11">
        <f>7.0208 * CHOOSE(CONTROL!$C$32, $C$9, 100%, $E$9)</f>
        <v>7.0208000000000004</v>
      </c>
      <c r="N429" s="11">
        <f>7.0166 * CHOOSE(CONTROL!$C$32, $C$9, 100%, $E$9)</f>
        <v>7.0166000000000004</v>
      </c>
      <c r="O429" s="11">
        <f>7.0208 * CHOOSE(CONTROL!$C$32, $C$9, 100%, $E$9)</f>
        <v>7.0208000000000004</v>
      </c>
    </row>
    <row r="430" spans="1:15" ht="15" x14ac:dyDescent="0.2">
      <c r="A430" s="13">
        <v>53936</v>
      </c>
      <c r="B430" s="9">
        <f>6.2547 * CHOOSE(CONTROL!$C$32, $C$9, 100%, $E$9)</f>
        <v>6.2546999999999997</v>
      </c>
      <c r="C430" s="9">
        <f>6.2547 * CHOOSE(CONTROL!$C$32, $C$9, 100%, $E$9)</f>
        <v>6.2546999999999997</v>
      </c>
      <c r="D430" s="9">
        <f>6.2559 * CHOOSE(CONTROL!$C$32, $C$9, 100%, $E$9)</f>
        <v>6.2558999999999996</v>
      </c>
      <c r="E430" s="11">
        <f>6.9993 * CHOOSE(CONTROL!$C$32, $C$9, 100%, $E$9)</f>
        <v>6.9992999999999999</v>
      </c>
      <c r="F430" s="11">
        <f>6.9993 * CHOOSE(CONTROL!$C$32, $C$9, 100%, $E$9)</f>
        <v>6.9992999999999999</v>
      </c>
      <c r="G430" s="11">
        <f>7.0035 * CHOOSE(CONTROL!$C$32, $C$9, 100%, $E$9)</f>
        <v>7.0034999999999998</v>
      </c>
      <c r="H430" s="11">
        <f>13.7111 * CHOOSE(CONTROL!$C$32, $C$9, 100%, $E$9)</f>
        <v>13.7111</v>
      </c>
      <c r="I430" s="11">
        <f>13.7153 * CHOOSE(CONTROL!$C$32, $C$9, 100%, $E$9)</f>
        <v>13.715299999999999</v>
      </c>
      <c r="J430" s="11">
        <f>13.7111 * CHOOSE(CONTROL!$C$32, $C$9, 100%, $E$9)</f>
        <v>13.7111</v>
      </c>
      <c r="K430" s="11">
        <f>13.7153 * CHOOSE(CONTROL!$C$32, $C$9, 100%, $E$9)</f>
        <v>13.715299999999999</v>
      </c>
      <c r="L430" s="11">
        <f>6.9993 * CHOOSE(CONTROL!$C$32, $C$9, 100%, $E$9)</f>
        <v>6.9992999999999999</v>
      </c>
      <c r="M430" s="11">
        <f>7.0035 * CHOOSE(CONTROL!$C$32, $C$9, 100%, $E$9)</f>
        <v>7.0034999999999998</v>
      </c>
      <c r="N430" s="11">
        <f>6.9993 * CHOOSE(CONTROL!$C$32, $C$9, 100%, $E$9)</f>
        <v>6.9992999999999999</v>
      </c>
      <c r="O430" s="11">
        <f>7.0035 * CHOOSE(CONTROL!$C$32, $C$9, 100%, $E$9)</f>
        <v>7.0034999999999998</v>
      </c>
    </row>
    <row r="431" spans="1:15" ht="15" x14ac:dyDescent="0.2">
      <c r="A431" s="13">
        <v>53966</v>
      </c>
      <c r="B431" s="9">
        <f>6.2581 * CHOOSE(CONTROL!$C$32, $C$9, 100%, $E$9)</f>
        <v>6.2580999999999998</v>
      </c>
      <c r="C431" s="9">
        <f>6.2581 * CHOOSE(CONTROL!$C$32, $C$9, 100%, $E$9)</f>
        <v>6.2580999999999998</v>
      </c>
      <c r="D431" s="9">
        <f>6.2591 * CHOOSE(CONTROL!$C$32, $C$9, 100%, $E$9)</f>
        <v>6.2591000000000001</v>
      </c>
      <c r="E431" s="11">
        <f>7.0467 * CHOOSE(CONTROL!$C$32, $C$9, 100%, $E$9)</f>
        <v>7.0467000000000004</v>
      </c>
      <c r="F431" s="11">
        <f>7.0467 * CHOOSE(CONTROL!$C$32, $C$9, 100%, $E$9)</f>
        <v>7.0467000000000004</v>
      </c>
      <c r="G431" s="11">
        <f>7.05 * CHOOSE(CONTROL!$C$32, $C$9, 100%, $E$9)</f>
        <v>7.05</v>
      </c>
      <c r="H431" s="11">
        <f>13.7397 * CHOOSE(CONTROL!$C$32, $C$9, 100%, $E$9)</f>
        <v>13.739699999999999</v>
      </c>
      <c r="I431" s="11">
        <f>13.7429 * CHOOSE(CONTROL!$C$32, $C$9, 100%, $E$9)</f>
        <v>13.742900000000001</v>
      </c>
      <c r="J431" s="11">
        <f>13.7397 * CHOOSE(CONTROL!$C$32, $C$9, 100%, $E$9)</f>
        <v>13.739699999999999</v>
      </c>
      <c r="K431" s="11">
        <f>13.7429 * CHOOSE(CONTROL!$C$32, $C$9, 100%, $E$9)</f>
        <v>13.742900000000001</v>
      </c>
      <c r="L431" s="11">
        <f>7.0467 * CHOOSE(CONTROL!$C$32, $C$9, 100%, $E$9)</f>
        <v>7.0467000000000004</v>
      </c>
      <c r="M431" s="11">
        <f>7.05 * CHOOSE(CONTROL!$C$32, $C$9, 100%, $E$9)</f>
        <v>7.05</v>
      </c>
      <c r="N431" s="11">
        <f>7.0467 * CHOOSE(CONTROL!$C$32, $C$9, 100%, $E$9)</f>
        <v>7.0467000000000004</v>
      </c>
      <c r="O431" s="11">
        <f>7.05 * CHOOSE(CONTROL!$C$32, $C$9, 100%, $E$9)</f>
        <v>7.05</v>
      </c>
    </row>
    <row r="432" spans="1:15" ht="15" x14ac:dyDescent="0.2">
      <c r="A432" s="13">
        <v>53997</v>
      </c>
      <c r="B432" s="9">
        <f>6.2611 * CHOOSE(CONTROL!$C$32, $C$9, 100%, $E$9)</f>
        <v>6.2610999999999999</v>
      </c>
      <c r="C432" s="9">
        <f>6.2611 * CHOOSE(CONTROL!$C$32, $C$9, 100%, $E$9)</f>
        <v>6.2610999999999999</v>
      </c>
      <c r="D432" s="9">
        <f>6.2621 * CHOOSE(CONTROL!$C$32, $C$9, 100%, $E$9)</f>
        <v>6.2621000000000002</v>
      </c>
      <c r="E432" s="11">
        <f>7.0793 * CHOOSE(CONTROL!$C$32, $C$9, 100%, $E$9)</f>
        <v>7.0792999999999999</v>
      </c>
      <c r="F432" s="11">
        <f>7.0793 * CHOOSE(CONTROL!$C$32, $C$9, 100%, $E$9)</f>
        <v>7.0792999999999999</v>
      </c>
      <c r="G432" s="11">
        <f>7.0825 * CHOOSE(CONTROL!$C$32, $C$9, 100%, $E$9)</f>
        <v>7.0824999999999996</v>
      </c>
      <c r="H432" s="11">
        <f>13.7683 * CHOOSE(CONTROL!$C$32, $C$9, 100%, $E$9)</f>
        <v>13.7683</v>
      </c>
      <c r="I432" s="11">
        <f>13.7715 * CHOOSE(CONTROL!$C$32, $C$9, 100%, $E$9)</f>
        <v>13.7715</v>
      </c>
      <c r="J432" s="11">
        <f>13.7683 * CHOOSE(CONTROL!$C$32, $C$9, 100%, $E$9)</f>
        <v>13.7683</v>
      </c>
      <c r="K432" s="11">
        <f>13.7715 * CHOOSE(CONTROL!$C$32, $C$9, 100%, $E$9)</f>
        <v>13.7715</v>
      </c>
      <c r="L432" s="11">
        <f>7.0793 * CHOOSE(CONTROL!$C$32, $C$9, 100%, $E$9)</f>
        <v>7.0792999999999999</v>
      </c>
      <c r="M432" s="11">
        <f>7.0825 * CHOOSE(CONTROL!$C$32, $C$9, 100%, $E$9)</f>
        <v>7.0824999999999996</v>
      </c>
      <c r="N432" s="11">
        <f>7.0793 * CHOOSE(CONTROL!$C$32, $C$9, 100%, $E$9)</f>
        <v>7.0792999999999999</v>
      </c>
      <c r="O432" s="11">
        <f>7.0825 * CHOOSE(CONTROL!$C$32, $C$9, 100%, $E$9)</f>
        <v>7.0824999999999996</v>
      </c>
    </row>
    <row r="433" spans="1:15" ht="15" x14ac:dyDescent="0.2">
      <c r="A433" s="13">
        <v>54027</v>
      </c>
      <c r="B433" s="9">
        <f>6.2611 * CHOOSE(CONTROL!$C$32, $C$9, 100%, $E$9)</f>
        <v>6.2610999999999999</v>
      </c>
      <c r="C433" s="9">
        <f>6.2611 * CHOOSE(CONTROL!$C$32, $C$9, 100%, $E$9)</f>
        <v>6.2610999999999999</v>
      </c>
      <c r="D433" s="9">
        <f>6.2621 * CHOOSE(CONTROL!$C$32, $C$9, 100%, $E$9)</f>
        <v>6.2621000000000002</v>
      </c>
      <c r="E433" s="11">
        <f>7.0032 * CHOOSE(CONTROL!$C$32, $C$9, 100%, $E$9)</f>
        <v>7.0031999999999996</v>
      </c>
      <c r="F433" s="11">
        <f>7.0032 * CHOOSE(CONTROL!$C$32, $C$9, 100%, $E$9)</f>
        <v>7.0031999999999996</v>
      </c>
      <c r="G433" s="11">
        <f>7.0064 * CHOOSE(CONTROL!$C$32, $C$9, 100%, $E$9)</f>
        <v>7.0064000000000002</v>
      </c>
      <c r="H433" s="11">
        <f>13.797 * CHOOSE(CONTROL!$C$32, $C$9, 100%, $E$9)</f>
        <v>13.797000000000001</v>
      </c>
      <c r="I433" s="11">
        <f>13.8002 * CHOOSE(CONTROL!$C$32, $C$9, 100%, $E$9)</f>
        <v>13.8002</v>
      </c>
      <c r="J433" s="11">
        <f>13.797 * CHOOSE(CONTROL!$C$32, $C$9, 100%, $E$9)</f>
        <v>13.797000000000001</v>
      </c>
      <c r="K433" s="11">
        <f>13.8002 * CHOOSE(CONTROL!$C$32, $C$9, 100%, $E$9)</f>
        <v>13.8002</v>
      </c>
      <c r="L433" s="11">
        <f>7.0032 * CHOOSE(CONTROL!$C$32, $C$9, 100%, $E$9)</f>
        <v>7.0031999999999996</v>
      </c>
      <c r="M433" s="11">
        <f>7.0064 * CHOOSE(CONTROL!$C$32, $C$9, 100%, $E$9)</f>
        <v>7.0064000000000002</v>
      </c>
      <c r="N433" s="11">
        <f>7.0032 * CHOOSE(CONTROL!$C$32, $C$9, 100%, $E$9)</f>
        <v>7.0031999999999996</v>
      </c>
      <c r="O433" s="11">
        <f>7.0064 * CHOOSE(CONTROL!$C$32, $C$9, 100%, $E$9)</f>
        <v>7.0064000000000002</v>
      </c>
    </row>
    <row r="434" spans="1:15" ht="15" x14ac:dyDescent="0.2">
      <c r="A434" s="13">
        <v>54058</v>
      </c>
      <c r="B434" s="9">
        <f>6.3089 * CHOOSE(CONTROL!$C$32, $C$9, 100%, $E$9)</f>
        <v>6.3089000000000004</v>
      </c>
      <c r="C434" s="9">
        <f>6.3089 * CHOOSE(CONTROL!$C$32, $C$9, 100%, $E$9)</f>
        <v>6.3089000000000004</v>
      </c>
      <c r="D434" s="9">
        <f>6.3098 * CHOOSE(CONTROL!$C$32, $C$9, 100%, $E$9)</f>
        <v>6.3098000000000001</v>
      </c>
      <c r="E434" s="11">
        <f>7.1107 * CHOOSE(CONTROL!$C$32, $C$9, 100%, $E$9)</f>
        <v>7.1106999999999996</v>
      </c>
      <c r="F434" s="11">
        <f>7.1107 * CHOOSE(CONTROL!$C$32, $C$9, 100%, $E$9)</f>
        <v>7.1106999999999996</v>
      </c>
      <c r="G434" s="11">
        <f>7.1139 * CHOOSE(CONTROL!$C$32, $C$9, 100%, $E$9)</f>
        <v>7.1139000000000001</v>
      </c>
      <c r="H434" s="11">
        <f>13.8257 * CHOOSE(CONTROL!$C$32, $C$9, 100%, $E$9)</f>
        <v>13.825699999999999</v>
      </c>
      <c r="I434" s="11">
        <f>13.8289 * CHOOSE(CONTROL!$C$32, $C$9, 100%, $E$9)</f>
        <v>13.828900000000001</v>
      </c>
      <c r="J434" s="11">
        <f>13.8257 * CHOOSE(CONTROL!$C$32, $C$9, 100%, $E$9)</f>
        <v>13.825699999999999</v>
      </c>
      <c r="K434" s="11">
        <f>13.8289 * CHOOSE(CONTROL!$C$32, $C$9, 100%, $E$9)</f>
        <v>13.828900000000001</v>
      </c>
      <c r="L434" s="11">
        <f>7.1107 * CHOOSE(CONTROL!$C$32, $C$9, 100%, $E$9)</f>
        <v>7.1106999999999996</v>
      </c>
      <c r="M434" s="11">
        <f>7.1139 * CHOOSE(CONTROL!$C$32, $C$9, 100%, $E$9)</f>
        <v>7.1139000000000001</v>
      </c>
      <c r="N434" s="11">
        <f>7.1107 * CHOOSE(CONTROL!$C$32, $C$9, 100%, $E$9)</f>
        <v>7.1106999999999996</v>
      </c>
      <c r="O434" s="11">
        <f>7.1139 * CHOOSE(CONTROL!$C$32, $C$9, 100%, $E$9)</f>
        <v>7.1139000000000001</v>
      </c>
    </row>
    <row r="435" spans="1:15" ht="15" x14ac:dyDescent="0.2">
      <c r="A435" s="13">
        <v>54089</v>
      </c>
      <c r="B435" s="9">
        <f>6.3058 * CHOOSE(CONTROL!$C$32, $C$9, 100%, $E$9)</f>
        <v>6.3057999999999996</v>
      </c>
      <c r="C435" s="9">
        <f>6.3058 * CHOOSE(CONTROL!$C$32, $C$9, 100%, $E$9)</f>
        <v>6.3057999999999996</v>
      </c>
      <c r="D435" s="9">
        <f>6.3068 * CHOOSE(CONTROL!$C$32, $C$9, 100%, $E$9)</f>
        <v>6.3068</v>
      </c>
      <c r="E435" s="11">
        <f>6.96 * CHOOSE(CONTROL!$C$32, $C$9, 100%, $E$9)</f>
        <v>6.96</v>
      </c>
      <c r="F435" s="11">
        <f>6.96 * CHOOSE(CONTROL!$C$32, $C$9, 100%, $E$9)</f>
        <v>6.96</v>
      </c>
      <c r="G435" s="11">
        <f>6.9632 * CHOOSE(CONTROL!$C$32, $C$9, 100%, $E$9)</f>
        <v>6.9631999999999996</v>
      </c>
      <c r="H435" s="11">
        <f>13.8545 * CHOOSE(CONTROL!$C$32, $C$9, 100%, $E$9)</f>
        <v>13.8545</v>
      </c>
      <c r="I435" s="11">
        <f>13.8577 * CHOOSE(CONTROL!$C$32, $C$9, 100%, $E$9)</f>
        <v>13.857699999999999</v>
      </c>
      <c r="J435" s="11">
        <f>13.8545 * CHOOSE(CONTROL!$C$32, $C$9, 100%, $E$9)</f>
        <v>13.8545</v>
      </c>
      <c r="K435" s="11">
        <f>13.8577 * CHOOSE(CONTROL!$C$32, $C$9, 100%, $E$9)</f>
        <v>13.857699999999999</v>
      </c>
      <c r="L435" s="11">
        <f>6.96 * CHOOSE(CONTROL!$C$32, $C$9, 100%, $E$9)</f>
        <v>6.96</v>
      </c>
      <c r="M435" s="11">
        <f>6.9632 * CHOOSE(CONTROL!$C$32, $C$9, 100%, $E$9)</f>
        <v>6.9631999999999996</v>
      </c>
      <c r="N435" s="11">
        <f>6.96 * CHOOSE(CONTROL!$C$32, $C$9, 100%, $E$9)</f>
        <v>6.96</v>
      </c>
      <c r="O435" s="11">
        <f>6.9632 * CHOOSE(CONTROL!$C$32, $C$9, 100%, $E$9)</f>
        <v>6.9631999999999996</v>
      </c>
    </row>
    <row r="436" spans="1:15" ht="15" x14ac:dyDescent="0.2">
      <c r="A436" s="13">
        <v>54118</v>
      </c>
      <c r="B436" s="9">
        <f>6.3028 * CHOOSE(CONTROL!$C$32, $C$9, 100%, $E$9)</f>
        <v>6.3028000000000004</v>
      </c>
      <c r="C436" s="9">
        <f>6.3028 * CHOOSE(CONTROL!$C$32, $C$9, 100%, $E$9)</f>
        <v>6.3028000000000004</v>
      </c>
      <c r="D436" s="9">
        <f>6.3037 * CHOOSE(CONTROL!$C$32, $C$9, 100%, $E$9)</f>
        <v>6.3037000000000001</v>
      </c>
      <c r="E436" s="11">
        <f>7.075 * CHOOSE(CONTROL!$C$32, $C$9, 100%, $E$9)</f>
        <v>7.0750000000000002</v>
      </c>
      <c r="F436" s="11">
        <f>7.075 * CHOOSE(CONTROL!$C$32, $C$9, 100%, $E$9)</f>
        <v>7.0750000000000002</v>
      </c>
      <c r="G436" s="11">
        <f>7.0782 * CHOOSE(CONTROL!$C$32, $C$9, 100%, $E$9)</f>
        <v>7.0781999999999998</v>
      </c>
      <c r="H436" s="11">
        <f>13.8834 * CHOOSE(CONTROL!$C$32, $C$9, 100%, $E$9)</f>
        <v>13.8834</v>
      </c>
      <c r="I436" s="11">
        <f>13.8866 * CHOOSE(CONTROL!$C$32, $C$9, 100%, $E$9)</f>
        <v>13.8866</v>
      </c>
      <c r="J436" s="11">
        <f>13.8834 * CHOOSE(CONTROL!$C$32, $C$9, 100%, $E$9)</f>
        <v>13.8834</v>
      </c>
      <c r="K436" s="11">
        <f>13.8866 * CHOOSE(CONTROL!$C$32, $C$9, 100%, $E$9)</f>
        <v>13.8866</v>
      </c>
      <c r="L436" s="11">
        <f>7.075 * CHOOSE(CONTROL!$C$32, $C$9, 100%, $E$9)</f>
        <v>7.0750000000000002</v>
      </c>
      <c r="M436" s="11">
        <f>7.0782 * CHOOSE(CONTROL!$C$32, $C$9, 100%, $E$9)</f>
        <v>7.0781999999999998</v>
      </c>
      <c r="N436" s="11">
        <f>7.075 * CHOOSE(CONTROL!$C$32, $C$9, 100%, $E$9)</f>
        <v>7.0750000000000002</v>
      </c>
      <c r="O436" s="11">
        <f>7.0782 * CHOOSE(CONTROL!$C$32, $C$9, 100%, $E$9)</f>
        <v>7.0781999999999998</v>
      </c>
    </row>
    <row r="437" spans="1:15" ht="15" x14ac:dyDescent="0.2">
      <c r="A437" s="13">
        <v>54149</v>
      </c>
      <c r="B437" s="9">
        <f>6.3027 * CHOOSE(CONTROL!$C$32, $C$9, 100%, $E$9)</f>
        <v>6.3026999999999997</v>
      </c>
      <c r="C437" s="9">
        <f>6.3027 * CHOOSE(CONTROL!$C$32, $C$9, 100%, $E$9)</f>
        <v>6.3026999999999997</v>
      </c>
      <c r="D437" s="9">
        <f>6.3036 * CHOOSE(CONTROL!$C$32, $C$9, 100%, $E$9)</f>
        <v>6.3036000000000003</v>
      </c>
      <c r="E437" s="11">
        <f>7.1965 * CHOOSE(CONTROL!$C$32, $C$9, 100%, $E$9)</f>
        <v>7.1965000000000003</v>
      </c>
      <c r="F437" s="11">
        <f>7.1965 * CHOOSE(CONTROL!$C$32, $C$9, 100%, $E$9)</f>
        <v>7.1965000000000003</v>
      </c>
      <c r="G437" s="11">
        <f>7.1997 * CHOOSE(CONTROL!$C$32, $C$9, 100%, $E$9)</f>
        <v>7.1997</v>
      </c>
      <c r="H437" s="11">
        <f>13.9123 * CHOOSE(CONTROL!$C$32, $C$9, 100%, $E$9)</f>
        <v>13.9123</v>
      </c>
      <c r="I437" s="11">
        <f>13.9155 * CHOOSE(CONTROL!$C$32, $C$9, 100%, $E$9)</f>
        <v>13.9155</v>
      </c>
      <c r="J437" s="11">
        <f>13.9123 * CHOOSE(CONTROL!$C$32, $C$9, 100%, $E$9)</f>
        <v>13.9123</v>
      </c>
      <c r="K437" s="11">
        <f>13.9155 * CHOOSE(CONTROL!$C$32, $C$9, 100%, $E$9)</f>
        <v>13.9155</v>
      </c>
      <c r="L437" s="11">
        <f>7.1965 * CHOOSE(CONTROL!$C$32, $C$9, 100%, $E$9)</f>
        <v>7.1965000000000003</v>
      </c>
      <c r="M437" s="11">
        <f>7.1997 * CHOOSE(CONTROL!$C$32, $C$9, 100%, $E$9)</f>
        <v>7.1997</v>
      </c>
      <c r="N437" s="11">
        <f>7.1965 * CHOOSE(CONTROL!$C$32, $C$9, 100%, $E$9)</f>
        <v>7.1965000000000003</v>
      </c>
      <c r="O437" s="11">
        <f>7.1997 * CHOOSE(CONTROL!$C$32, $C$9, 100%, $E$9)</f>
        <v>7.1997</v>
      </c>
    </row>
    <row r="438" spans="1:15" ht="15" x14ac:dyDescent="0.2">
      <c r="A438" s="13">
        <v>54179</v>
      </c>
      <c r="B438" s="9">
        <f>6.3027 * CHOOSE(CONTROL!$C$32, $C$9, 100%, $E$9)</f>
        <v>6.3026999999999997</v>
      </c>
      <c r="C438" s="9">
        <f>6.3027 * CHOOSE(CONTROL!$C$32, $C$9, 100%, $E$9)</f>
        <v>6.3026999999999997</v>
      </c>
      <c r="D438" s="9">
        <f>6.3039 * CHOOSE(CONTROL!$C$32, $C$9, 100%, $E$9)</f>
        <v>6.3038999999999996</v>
      </c>
      <c r="E438" s="11">
        <f>7.2437 * CHOOSE(CONTROL!$C$32, $C$9, 100%, $E$9)</f>
        <v>7.2436999999999996</v>
      </c>
      <c r="F438" s="11">
        <f>7.2437 * CHOOSE(CONTROL!$C$32, $C$9, 100%, $E$9)</f>
        <v>7.2436999999999996</v>
      </c>
      <c r="G438" s="11">
        <f>7.2479 * CHOOSE(CONTROL!$C$32, $C$9, 100%, $E$9)</f>
        <v>7.2478999999999996</v>
      </c>
      <c r="H438" s="11">
        <f>13.9413 * CHOOSE(CONTROL!$C$32, $C$9, 100%, $E$9)</f>
        <v>13.9413</v>
      </c>
      <c r="I438" s="11">
        <f>13.9455 * CHOOSE(CONTROL!$C$32, $C$9, 100%, $E$9)</f>
        <v>13.945499999999999</v>
      </c>
      <c r="J438" s="11">
        <f>13.9413 * CHOOSE(CONTROL!$C$32, $C$9, 100%, $E$9)</f>
        <v>13.9413</v>
      </c>
      <c r="K438" s="11">
        <f>13.9455 * CHOOSE(CONTROL!$C$32, $C$9, 100%, $E$9)</f>
        <v>13.945499999999999</v>
      </c>
      <c r="L438" s="11">
        <f>7.2437 * CHOOSE(CONTROL!$C$32, $C$9, 100%, $E$9)</f>
        <v>7.2436999999999996</v>
      </c>
      <c r="M438" s="11">
        <f>7.2479 * CHOOSE(CONTROL!$C$32, $C$9, 100%, $E$9)</f>
        <v>7.2478999999999996</v>
      </c>
      <c r="N438" s="11">
        <f>7.2437 * CHOOSE(CONTROL!$C$32, $C$9, 100%, $E$9)</f>
        <v>7.2436999999999996</v>
      </c>
      <c r="O438" s="11">
        <f>7.2479 * CHOOSE(CONTROL!$C$32, $C$9, 100%, $E$9)</f>
        <v>7.2478999999999996</v>
      </c>
    </row>
    <row r="439" spans="1:15" ht="15" x14ac:dyDescent="0.2">
      <c r="A439" s="13">
        <v>54210</v>
      </c>
      <c r="B439" s="9">
        <f>6.3087 * CHOOSE(CONTROL!$C$32, $C$9, 100%, $E$9)</f>
        <v>6.3087</v>
      </c>
      <c r="C439" s="9">
        <f>6.3087 * CHOOSE(CONTROL!$C$32, $C$9, 100%, $E$9)</f>
        <v>6.3087</v>
      </c>
      <c r="D439" s="9">
        <f>6.31 * CHOOSE(CONTROL!$C$32, $C$9, 100%, $E$9)</f>
        <v>6.31</v>
      </c>
      <c r="E439" s="11">
        <f>7.2008 * CHOOSE(CONTROL!$C$32, $C$9, 100%, $E$9)</f>
        <v>7.2008000000000001</v>
      </c>
      <c r="F439" s="11">
        <f>7.2008 * CHOOSE(CONTROL!$C$32, $C$9, 100%, $E$9)</f>
        <v>7.2008000000000001</v>
      </c>
      <c r="G439" s="11">
        <f>7.205 * CHOOSE(CONTROL!$C$32, $C$9, 100%, $E$9)</f>
        <v>7.2050000000000001</v>
      </c>
      <c r="H439" s="11">
        <f>13.9703 * CHOOSE(CONTROL!$C$32, $C$9, 100%, $E$9)</f>
        <v>13.9703</v>
      </c>
      <c r="I439" s="11">
        <f>13.9745 * CHOOSE(CONTROL!$C$32, $C$9, 100%, $E$9)</f>
        <v>13.974500000000001</v>
      </c>
      <c r="J439" s="11">
        <f>13.9703 * CHOOSE(CONTROL!$C$32, $C$9, 100%, $E$9)</f>
        <v>13.9703</v>
      </c>
      <c r="K439" s="11">
        <f>13.9745 * CHOOSE(CONTROL!$C$32, $C$9, 100%, $E$9)</f>
        <v>13.974500000000001</v>
      </c>
      <c r="L439" s="11">
        <f>7.2008 * CHOOSE(CONTROL!$C$32, $C$9, 100%, $E$9)</f>
        <v>7.2008000000000001</v>
      </c>
      <c r="M439" s="11">
        <f>7.205 * CHOOSE(CONTROL!$C$32, $C$9, 100%, $E$9)</f>
        <v>7.2050000000000001</v>
      </c>
      <c r="N439" s="11">
        <f>7.2008 * CHOOSE(CONTROL!$C$32, $C$9, 100%, $E$9)</f>
        <v>7.2008000000000001</v>
      </c>
      <c r="O439" s="11">
        <f>7.205 * CHOOSE(CONTROL!$C$32, $C$9, 100%, $E$9)</f>
        <v>7.2050000000000001</v>
      </c>
    </row>
    <row r="440" spans="1:15" ht="15" x14ac:dyDescent="0.2">
      <c r="A440" s="13">
        <v>54240</v>
      </c>
      <c r="B440" s="9">
        <f>6.3926 * CHOOSE(CONTROL!$C$32, $C$9, 100%, $E$9)</f>
        <v>6.3925999999999998</v>
      </c>
      <c r="C440" s="9">
        <f>6.3926 * CHOOSE(CONTROL!$C$32, $C$9, 100%, $E$9)</f>
        <v>6.3925999999999998</v>
      </c>
      <c r="D440" s="9">
        <f>6.3939 * CHOOSE(CONTROL!$C$32, $C$9, 100%, $E$9)</f>
        <v>6.3939000000000004</v>
      </c>
      <c r="E440" s="11">
        <f>7.2866 * CHOOSE(CONTROL!$C$32, $C$9, 100%, $E$9)</f>
        <v>7.2866</v>
      </c>
      <c r="F440" s="11">
        <f>7.2866 * CHOOSE(CONTROL!$C$32, $C$9, 100%, $E$9)</f>
        <v>7.2866</v>
      </c>
      <c r="G440" s="11">
        <f>7.2908 * CHOOSE(CONTROL!$C$32, $C$9, 100%, $E$9)</f>
        <v>7.2907999999999999</v>
      </c>
      <c r="H440" s="11">
        <f>13.9994 * CHOOSE(CONTROL!$C$32, $C$9, 100%, $E$9)</f>
        <v>13.9994</v>
      </c>
      <c r="I440" s="11">
        <f>14.0036 * CHOOSE(CONTROL!$C$32, $C$9, 100%, $E$9)</f>
        <v>14.0036</v>
      </c>
      <c r="J440" s="11">
        <f>13.9994 * CHOOSE(CONTROL!$C$32, $C$9, 100%, $E$9)</f>
        <v>13.9994</v>
      </c>
      <c r="K440" s="11">
        <f>14.0036 * CHOOSE(CONTROL!$C$32, $C$9, 100%, $E$9)</f>
        <v>14.0036</v>
      </c>
      <c r="L440" s="11">
        <f>7.2866 * CHOOSE(CONTROL!$C$32, $C$9, 100%, $E$9)</f>
        <v>7.2866</v>
      </c>
      <c r="M440" s="11">
        <f>7.2908 * CHOOSE(CONTROL!$C$32, $C$9, 100%, $E$9)</f>
        <v>7.2907999999999999</v>
      </c>
      <c r="N440" s="11">
        <f>7.2866 * CHOOSE(CONTROL!$C$32, $C$9, 100%, $E$9)</f>
        <v>7.2866</v>
      </c>
      <c r="O440" s="11">
        <f>7.2908 * CHOOSE(CONTROL!$C$32, $C$9, 100%, $E$9)</f>
        <v>7.2907999999999999</v>
      </c>
    </row>
    <row r="441" spans="1:15" ht="15" x14ac:dyDescent="0.2">
      <c r="A441" s="13">
        <v>54271</v>
      </c>
      <c r="B441" s="9">
        <f>6.3993 * CHOOSE(CONTROL!$C$32, $C$9, 100%, $E$9)</f>
        <v>6.3993000000000002</v>
      </c>
      <c r="C441" s="9">
        <f>6.3993 * CHOOSE(CONTROL!$C$32, $C$9, 100%, $E$9)</f>
        <v>6.3993000000000002</v>
      </c>
      <c r="D441" s="9">
        <f>6.4005 * CHOOSE(CONTROL!$C$32, $C$9, 100%, $E$9)</f>
        <v>6.4005000000000001</v>
      </c>
      <c r="E441" s="11">
        <f>7.1497 * CHOOSE(CONTROL!$C$32, $C$9, 100%, $E$9)</f>
        <v>7.1497000000000002</v>
      </c>
      <c r="F441" s="11">
        <f>7.1497 * CHOOSE(CONTROL!$C$32, $C$9, 100%, $E$9)</f>
        <v>7.1497000000000002</v>
      </c>
      <c r="G441" s="11">
        <f>7.1539 * CHOOSE(CONTROL!$C$32, $C$9, 100%, $E$9)</f>
        <v>7.1539000000000001</v>
      </c>
      <c r="H441" s="11">
        <f>14.0286 * CHOOSE(CONTROL!$C$32, $C$9, 100%, $E$9)</f>
        <v>14.028600000000001</v>
      </c>
      <c r="I441" s="11">
        <f>14.0328 * CHOOSE(CONTROL!$C$32, $C$9, 100%, $E$9)</f>
        <v>14.0328</v>
      </c>
      <c r="J441" s="11">
        <f>14.0286 * CHOOSE(CONTROL!$C$32, $C$9, 100%, $E$9)</f>
        <v>14.028600000000001</v>
      </c>
      <c r="K441" s="11">
        <f>14.0328 * CHOOSE(CONTROL!$C$32, $C$9, 100%, $E$9)</f>
        <v>14.0328</v>
      </c>
      <c r="L441" s="11">
        <f>7.1497 * CHOOSE(CONTROL!$C$32, $C$9, 100%, $E$9)</f>
        <v>7.1497000000000002</v>
      </c>
      <c r="M441" s="11">
        <f>7.1539 * CHOOSE(CONTROL!$C$32, $C$9, 100%, $E$9)</f>
        <v>7.1539000000000001</v>
      </c>
      <c r="N441" s="11">
        <f>7.1497 * CHOOSE(CONTROL!$C$32, $C$9, 100%, $E$9)</f>
        <v>7.1497000000000002</v>
      </c>
      <c r="O441" s="11">
        <f>7.1539 * CHOOSE(CONTROL!$C$32, $C$9, 100%, $E$9)</f>
        <v>7.1539000000000001</v>
      </c>
    </row>
    <row r="442" spans="1:15" ht="15" x14ac:dyDescent="0.2">
      <c r="A442" s="13">
        <v>54302</v>
      </c>
      <c r="B442" s="9">
        <f>6.3963 * CHOOSE(CONTROL!$C$32, $C$9, 100%, $E$9)</f>
        <v>6.3963000000000001</v>
      </c>
      <c r="C442" s="9">
        <f>6.3963 * CHOOSE(CONTROL!$C$32, $C$9, 100%, $E$9)</f>
        <v>6.3963000000000001</v>
      </c>
      <c r="D442" s="9">
        <f>6.3975 * CHOOSE(CONTROL!$C$32, $C$9, 100%, $E$9)</f>
        <v>6.3975</v>
      </c>
      <c r="E442" s="11">
        <f>7.1319 * CHOOSE(CONTROL!$C$32, $C$9, 100%, $E$9)</f>
        <v>7.1318999999999999</v>
      </c>
      <c r="F442" s="11">
        <f>7.1319 * CHOOSE(CONTROL!$C$32, $C$9, 100%, $E$9)</f>
        <v>7.1318999999999999</v>
      </c>
      <c r="G442" s="11">
        <f>7.1361 * CHOOSE(CONTROL!$C$32, $C$9, 100%, $E$9)</f>
        <v>7.1360999999999999</v>
      </c>
      <c r="H442" s="11">
        <f>14.0578 * CHOOSE(CONTROL!$C$32, $C$9, 100%, $E$9)</f>
        <v>14.0578</v>
      </c>
      <c r="I442" s="11">
        <f>14.062 * CHOOSE(CONTROL!$C$32, $C$9, 100%, $E$9)</f>
        <v>14.061999999999999</v>
      </c>
      <c r="J442" s="11">
        <f>14.0578 * CHOOSE(CONTROL!$C$32, $C$9, 100%, $E$9)</f>
        <v>14.0578</v>
      </c>
      <c r="K442" s="11">
        <f>14.062 * CHOOSE(CONTROL!$C$32, $C$9, 100%, $E$9)</f>
        <v>14.061999999999999</v>
      </c>
      <c r="L442" s="11">
        <f>7.1319 * CHOOSE(CONTROL!$C$32, $C$9, 100%, $E$9)</f>
        <v>7.1318999999999999</v>
      </c>
      <c r="M442" s="11">
        <f>7.1361 * CHOOSE(CONTROL!$C$32, $C$9, 100%, $E$9)</f>
        <v>7.1360999999999999</v>
      </c>
      <c r="N442" s="11">
        <f>7.1319 * CHOOSE(CONTROL!$C$32, $C$9, 100%, $E$9)</f>
        <v>7.1318999999999999</v>
      </c>
      <c r="O442" s="11">
        <f>7.1361 * CHOOSE(CONTROL!$C$32, $C$9, 100%, $E$9)</f>
        <v>7.1360999999999999</v>
      </c>
    </row>
    <row r="443" spans="1:15" ht="15" x14ac:dyDescent="0.2">
      <c r="A443" s="13">
        <v>54332</v>
      </c>
      <c r="B443" s="9">
        <f>6.4002 * CHOOSE(CONTROL!$C$32, $C$9, 100%, $E$9)</f>
        <v>6.4001999999999999</v>
      </c>
      <c r="C443" s="9">
        <f>6.4002 * CHOOSE(CONTROL!$C$32, $C$9, 100%, $E$9)</f>
        <v>6.4001999999999999</v>
      </c>
      <c r="D443" s="9">
        <f>6.4012 * CHOOSE(CONTROL!$C$32, $C$9, 100%, $E$9)</f>
        <v>6.4012000000000002</v>
      </c>
      <c r="E443" s="11">
        <f>7.1814 * CHOOSE(CONTROL!$C$32, $C$9, 100%, $E$9)</f>
        <v>7.1814</v>
      </c>
      <c r="F443" s="11">
        <f>7.1814 * CHOOSE(CONTROL!$C$32, $C$9, 100%, $E$9)</f>
        <v>7.1814</v>
      </c>
      <c r="G443" s="11">
        <f>7.1846 * CHOOSE(CONTROL!$C$32, $C$9, 100%, $E$9)</f>
        <v>7.1845999999999997</v>
      </c>
      <c r="H443" s="11">
        <f>14.0871 * CHOOSE(CONTROL!$C$32, $C$9, 100%, $E$9)</f>
        <v>14.0871</v>
      </c>
      <c r="I443" s="11">
        <f>14.0903 * CHOOSE(CONTROL!$C$32, $C$9, 100%, $E$9)</f>
        <v>14.090299999999999</v>
      </c>
      <c r="J443" s="11">
        <f>14.0871 * CHOOSE(CONTROL!$C$32, $C$9, 100%, $E$9)</f>
        <v>14.0871</v>
      </c>
      <c r="K443" s="11">
        <f>14.0903 * CHOOSE(CONTROL!$C$32, $C$9, 100%, $E$9)</f>
        <v>14.090299999999999</v>
      </c>
      <c r="L443" s="11">
        <f>7.1814 * CHOOSE(CONTROL!$C$32, $C$9, 100%, $E$9)</f>
        <v>7.1814</v>
      </c>
      <c r="M443" s="11">
        <f>7.1846 * CHOOSE(CONTROL!$C$32, $C$9, 100%, $E$9)</f>
        <v>7.1845999999999997</v>
      </c>
      <c r="N443" s="11">
        <f>7.1814 * CHOOSE(CONTROL!$C$32, $C$9, 100%, $E$9)</f>
        <v>7.1814</v>
      </c>
      <c r="O443" s="11">
        <f>7.1846 * CHOOSE(CONTROL!$C$32, $C$9, 100%, $E$9)</f>
        <v>7.1845999999999997</v>
      </c>
    </row>
    <row r="444" spans="1:15" ht="15" x14ac:dyDescent="0.2">
      <c r="A444" s="13">
        <v>54363</v>
      </c>
      <c r="B444" s="9">
        <f>6.4033 * CHOOSE(CONTROL!$C$32, $C$9, 100%, $E$9)</f>
        <v>6.4032999999999998</v>
      </c>
      <c r="C444" s="9">
        <f>6.4033 * CHOOSE(CONTROL!$C$32, $C$9, 100%, $E$9)</f>
        <v>6.4032999999999998</v>
      </c>
      <c r="D444" s="9">
        <f>6.4042 * CHOOSE(CONTROL!$C$32, $C$9, 100%, $E$9)</f>
        <v>6.4042000000000003</v>
      </c>
      <c r="E444" s="11">
        <f>7.2149 * CHOOSE(CONTROL!$C$32, $C$9, 100%, $E$9)</f>
        <v>7.2149000000000001</v>
      </c>
      <c r="F444" s="11">
        <f>7.2149 * CHOOSE(CONTROL!$C$32, $C$9, 100%, $E$9)</f>
        <v>7.2149000000000001</v>
      </c>
      <c r="G444" s="11">
        <f>7.2181 * CHOOSE(CONTROL!$C$32, $C$9, 100%, $E$9)</f>
        <v>7.2180999999999997</v>
      </c>
      <c r="H444" s="11">
        <f>14.1165 * CHOOSE(CONTROL!$C$32, $C$9, 100%, $E$9)</f>
        <v>14.1165</v>
      </c>
      <c r="I444" s="11">
        <f>14.1197 * CHOOSE(CONTROL!$C$32, $C$9, 100%, $E$9)</f>
        <v>14.1197</v>
      </c>
      <c r="J444" s="11">
        <f>14.1165 * CHOOSE(CONTROL!$C$32, $C$9, 100%, $E$9)</f>
        <v>14.1165</v>
      </c>
      <c r="K444" s="11">
        <f>14.1197 * CHOOSE(CONTROL!$C$32, $C$9, 100%, $E$9)</f>
        <v>14.1197</v>
      </c>
      <c r="L444" s="11">
        <f>7.2149 * CHOOSE(CONTROL!$C$32, $C$9, 100%, $E$9)</f>
        <v>7.2149000000000001</v>
      </c>
      <c r="M444" s="11">
        <f>7.2181 * CHOOSE(CONTROL!$C$32, $C$9, 100%, $E$9)</f>
        <v>7.2180999999999997</v>
      </c>
      <c r="N444" s="11">
        <f>7.2149 * CHOOSE(CONTROL!$C$32, $C$9, 100%, $E$9)</f>
        <v>7.2149000000000001</v>
      </c>
      <c r="O444" s="11">
        <f>7.2181 * CHOOSE(CONTROL!$C$32, $C$9, 100%, $E$9)</f>
        <v>7.2180999999999997</v>
      </c>
    </row>
    <row r="445" spans="1:15" ht="15" x14ac:dyDescent="0.2">
      <c r="A445" s="13">
        <v>54393</v>
      </c>
      <c r="B445" s="9">
        <f>6.4033 * CHOOSE(CONTROL!$C$32, $C$9, 100%, $E$9)</f>
        <v>6.4032999999999998</v>
      </c>
      <c r="C445" s="9">
        <f>6.4033 * CHOOSE(CONTROL!$C$32, $C$9, 100%, $E$9)</f>
        <v>6.4032999999999998</v>
      </c>
      <c r="D445" s="9">
        <f>6.4042 * CHOOSE(CONTROL!$C$32, $C$9, 100%, $E$9)</f>
        <v>6.4042000000000003</v>
      </c>
      <c r="E445" s="11">
        <f>7.1363 * CHOOSE(CONTROL!$C$32, $C$9, 100%, $E$9)</f>
        <v>7.1363000000000003</v>
      </c>
      <c r="F445" s="11">
        <f>7.1363 * CHOOSE(CONTROL!$C$32, $C$9, 100%, $E$9)</f>
        <v>7.1363000000000003</v>
      </c>
      <c r="G445" s="11">
        <f>7.1395 * CHOOSE(CONTROL!$C$32, $C$9, 100%, $E$9)</f>
        <v>7.1395</v>
      </c>
      <c r="H445" s="11">
        <f>14.1459 * CHOOSE(CONTROL!$C$32, $C$9, 100%, $E$9)</f>
        <v>14.145899999999999</v>
      </c>
      <c r="I445" s="11">
        <f>14.1491 * CHOOSE(CONTROL!$C$32, $C$9, 100%, $E$9)</f>
        <v>14.149100000000001</v>
      </c>
      <c r="J445" s="11">
        <f>14.1459 * CHOOSE(CONTROL!$C$32, $C$9, 100%, $E$9)</f>
        <v>14.145899999999999</v>
      </c>
      <c r="K445" s="11">
        <f>14.1491 * CHOOSE(CONTROL!$C$32, $C$9, 100%, $E$9)</f>
        <v>14.149100000000001</v>
      </c>
      <c r="L445" s="11">
        <f>7.1363 * CHOOSE(CONTROL!$C$32, $C$9, 100%, $E$9)</f>
        <v>7.1363000000000003</v>
      </c>
      <c r="M445" s="11">
        <f>7.1395 * CHOOSE(CONTROL!$C$32, $C$9, 100%, $E$9)</f>
        <v>7.1395</v>
      </c>
      <c r="N445" s="11">
        <f>7.1363 * CHOOSE(CONTROL!$C$32, $C$9, 100%, $E$9)</f>
        <v>7.1363000000000003</v>
      </c>
      <c r="O445" s="11">
        <f>7.1395 * CHOOSE(CONTROL!$C$32, $C$9, 100%, $E$9)</f>
        <v>7.1395</v>
      </c>
    </row>
    <row r="446" spans="1:15" ht="15" x14ac:dyDescent="0.2">
      <c r="A446" s="13">
        <v>54424</v>
      </c>
      <c r="B446" s="9">
        <f>6.4519 * CHOOSE(CONTROL!$C$32, $C$9, 100%, $E$9)</f>
        <v>6.4519000000000002</v>
      </c>
      <c r="C446" s="9">
        <f>6.4519 * CHOOSE(CONTROL!$C$32, $C$9, 100%, $E$9)</f>
        <v>6.4519000000000002</v>
      </c>
      <c r="D446" s="9">
        <f>6.4529 * CHOOSE(CONTROL!$C$32, $C$9, 100%, $E$9)</f>
        <v>6.4528999999999996</v>
      </c>
      <c r="E446" s="11">
        <f>7.2513 * CHOOSE(CONTROL!$C$32, $C$9, 100%, $E$9)</f>
        <v>7.2512999999999996</v>
      </c>
      <c r="F446" s="11">
        <f>7.2513 * CHOOSE(CONTROL!$C$32, $C$9, 100%, $E$9)</f>
        <v>7.2512999999999996</v>
      </c>
      <c r="G446" s="11">
        <f>7.2545 * CHOOSE(CONTROL!$C$32, $C$9, 100%, $E$9)</f>
        <v>7.2545000000000002</v>
      </c>
      <c r="H446" s="11">
        <f>14.1753 * CHOOSE(CONTROL!$C$32, $C$9, 100%, $E$9)</f>
        <v>14.1753</v>
      </c>
      <c r="I446" s="11">
        <f>14.1786 * CHOOSE(CONTROL!$C$32, $C$9, 100%, $E$9)</f>
        <v>14.178599999999999</v>
      </c>
      <c r="J446" s="11">
        <f>14.1753 * CHOOSE(CONTROL!$C$32, $C$9, 100%, $E$9)</f>
        <v>14.1753</v>
      </c>
      <c r="K446" s="11">
        <f>14.1786 * CHOOSE(CONTROL!$C$32, $C$9, 100%, $E$9)</f>
        <v>14.178599999999999</v>
      </c>
      <c r="L446" s="11">
        <f>7.2513 * CHOOSE(CONTROL!$C$32, $C$9, 100%, $E$9)</f>
        <v>7.2512999999999996</v>
      </c>
      <c r="M446" s="11">
        <f>7.2545 * CHOOSE(CONTROL!$C$32, $C$9, 100%, $E$9)</f>
        <v>7.2545000000000002</v>
      </c>
      <c r="N446" s="11">
        <f>7.2513 * CHOOSE(CONTROL!$C$32, $C$9, 100%, $E$9)</f>
        <v>7.2512999999999996</v>
      </c>
      <c r="O446" s="11">
        <f>7.2545 * CHOOSE(CONTROL!$C$32, $C$9, 100%, $E$9)</f>
        <v>7.2545000000000002</v>
      </c>
    </row>
    <row r="447" spans="1:15" ht="15" x14ac:dyDescent="0.2">
      <c r="A447" s="13">
        <v>54455</v>
      </c>
      <c r="B447" s="9">
        <f>6.4489 * CHOOSE(CONTROL!$C$32, $C$9, 100%, $E$9)</f>
        <v>6.4489000000000001</v>
      </c>
      <c r="C447" s="9">
        <f>6.4489 * CHOOSE(CONTROL!$C$32, $C$9, 100%, $E$9)</f>
        <v>6.4489000000000001</v>
      </c>
      <c r="D447" s="9">
        <f>6.4499 * CHOOSE(CONTROL!$C$32, $C$9, 100%, $E$9)</f>
        <v>6.4499000000000004</v>
      </c>
      <c r="E447" s="11">
        <f>7.0958 * CHOOSE(CONTROL!$C$32, $C$9, 100%, $E$9)</f>
        <v>7.0957999999999997</v>
      </c>
      <c r="F447" s="11">
        <f>7.0958 * CHOOSE(CONTROL!$C$32, $C$9, 100%, $E$9)</f>
        <v>7.0957999999999997</v>
      </c>
      <c r="G447" s="11">
        <f>7.099 * CHOOSE(CONTROL!$C$32, $C$9, 100%, $E$9)</f>
        <v>7.0990000000000002</v>
      </c>
      <c r="H447" s="11">
        <f>14.2049 * CHOOSE(CONTROL!$C$32, $C$9, 100%, $E$9)</f>
        <v>14.2049</v>
      </c>
      <c r="I447" s="11">
        <f>14.2081 * CHOOSE(CONTROL!$C$32, $C$9, 100%, $E$9)</f>
        <v>14.2081</v>
      </c>
      <c r="J447" s="11">
        <f>14.2049 * CHOOSE(CONTROL!$C$32, $C$9, 100%, $E$9)</f>
        <v>14.2049</v>
      </c>
      <c r="K447" s="11">
        <f>14.2081 * CHOOSE(CONTROL!$C$32, $C$9, 100%, $E$9)</f>
        <v>14.2081</v>
      </c>
      <c r="L447" s="11">
        <f>7.0958 * CHOOSE(CONTROL!$C$32, $C$9, 100%, $E$9)</f>
        <v>7.0957999999999997</v>
      </c>
      <c r="M447" s="11">
        <f>7.099 * CHOOSE(CONTROL!$C$32, $C$9, 100%, $E$9)</f>
        <v>7.0990000000000002</v>
      </c>
      <c r="N447" s="11">
        <f>7.0958 * CHOOSE(CONTROL!$C$32, $C$9, 100%, $E$9)</f>
        <v>7.0957999999999997</v>
      </c>
      <c r="O447" s="11">
        <f>7.099 * CHOOSE(CONTROL!$C$32, $C$9, 100%, $E$9)</f>
        <v>7.0990000000000002</v>
      </c>
    </row>
    <row r="448" spans="1:15" ht="15" x14ac:dyDescent="0.2">
      <c r="A448" s="13">
        <v>54483</v>
      </c>
      <c r="B448" s="9">
        <f>6.4459 * CHOOSE(CONTROL!$C$32, $C$9, 100%, $E$9)</f>
        <v>6.4459</v>
      </c>
      <c r="C448" s="9">
        <f>6.4459 * CHOOSE(CONTROL!$C$32, $C$9, 100%, $E$9)</f>
        <v>6.4459</v>
      </c>
      <c r="D448" s="9">
        <f>6.4468 * CHOOSE(CONTROL!$C$32, $C$9, 100%, $E$9)</f>
        <v>6.4467999999999996</v>
      </c>
      <c r="E448" s="11">
        <f>7.2146 * CHOOSE(CONTROL!$C$32, $C$9, 100%, $E$9)</f>
        <v>7.2145999999999999</v>
      </c>
      <c r="F448" s="11">
        <f>7.2146 * CHOOSE(CONTROL!$C$32, $C$9, 100%, $E$9)</f>
        <v>7.2145999999999999</v>
      </c>
      <c r="G448" s="11">
        <f>7.2178 * CHOOSE(CONTROL!$C$32, $C$9, 100%, $E$9)</f>
        <v>7.2178000000000004</v>
      </c>
      <c r="H448" s="11">
        <f>14.2345 * CHOOSE(CONTROL!$C$32, $C$9, 100%, $E$9)</f>
        <v>14.234500000000001</v>
      </c>
      <c r="I448" s="11">
        <f>14.2377 * CHOOSE(CONTROL!$C$32, $C$9, 100%, $E$9)</f>
        <v>14.2377</v>
      </c>
      <c r="J448" s="11">
        <f>14.2345 * CHOOSE(CONTROL!$C$32, $C$9, 100%, $E$9)</f>
        <v>14.234500000000001</v>
      </c>
      <c r="K448" s="11">
        <f>14.2377 * CHOOSE(CONTROL!$C$32, $C$9, 100%, $E$9)</f>
        <v>14.2377</v>
      </c>
      <c r="L448" s="11">
        <f>7.2146 * CHOOSE(CONTROL!$C$32, $C$9, 100%, $E$9)</f>
        <v>7.2145999999999999</v>
      </c>
      <c r="M448" s="11">
        <f>7.2178 * CHOOSE(CONTROL!$C$32, $C$9, 100%, $E$9)</f>
        <v>7.2178000000000004</v>
      </c>
      <c r="N448" s="11">
        <f>7.2146 * CHOOSE(CONTROL!$C$32, $C$9, 100%, $E$9)</f>
        <v>7.2145999999999999</v>
      </c>
      <c r="O448" s="11">
        <f>7.2178 * CHOOSE(CONTROL!$C$32, $C$9, 100%, $E$9)</f>
        <v>7.2178000000000004</v>
      </c>
    </row>
    <row r="449" spans="1:15" ht="15" x14ac:dyDescent="0.2">
      <c r="A449" s="13">
        <v>54514</v>
      </c>
      <c r="B449" s="9">
        <f>6.4459 * CHOOSE(CONTROL!$C$32, $C$9, 100%, $E$9)</f>
        <v>6.4459</v>
      </c>
      <c r="C449" s="9">
        <f>6.4459 * CHOOSE(CONTROL!$C$32, $C$9, 100%, $E$9)</f>
        <v>6.4459</v>
      </c>
      <c r="D449" s="9">
        <f>6.4468 * CHOOSE(CONTROL!$C$32, $C$9, 100%, $E$9)</f>
        <v>6.4467999999999996</v>
      </c>
      <c r="E449" s="11">
        <f>7.3402 * CHOOSE(CONTROL!$C$32, $C$9, 100%, $E$9)</f>
        <v>7.3402000000000003</v>
      </c>
      <c r="F449" s="11">
        <f>7.3402 * CHOOSE(CONTROL!$C$32, $C$9, 100%, $E$9)</f>
        <v>7.3402000000000003</v>
      </c>
      <c r="G449" s="11">
        <f>7.3434 * CHOOSE(CONTROL!$C$32, $C$9, 100%, $E$9)</f>
        <v>7.3433999999999999</v>
      </c>
      <c r="H449" s="11">
        <f>14.2641 * CHOOSE(CONTROL!$C$32, $C$9, 100%, $E$9)</f>
        <v>14.264099999999999</v>
      </c>
      <c r="I449" s="11">
        <f>14.2673 * CHOOSE(CONTROL!$C$32, $C$9, 100%, $E$9)</f>
        <v>14.267300000000001</v>
      </c>
      <c r="J449" s="11">
        <f>14.2641 * CHOOSE(CONTROL!$C$32, $C$9, 100%, $E$9)</f>
        <v>14.264099999999999</v>
      </c>
      <c r="K449" s="11">
        <f>14.2673 * CHOOSE(CONTROL!$C$32, $C$9, 100%, $E$9)</f>
        <v>14.267300000000001</v>
      </c>
      <c r="L449" s="11">
        <f>7.3402 * CHOOSE(CONTROL!$C$32, $C$9, 100%, $E$9)</f>
        <v>7.3402000000000003</v>
      </c>
      <c r="M449" s="11">
        <f>7.3434 * CHOOSE(CONTROL!$C$32, $C$9, 100%, $E$9)</f>
        <v>7.3433999999999999</v>
      </c>
      <c r="N449" s="11">
        <f>7.3402 * CHOOSE(CONTROL!$C$32, $C$9, 100%, $E$9)</f>
        <v>7.3402000000000003</v>
      </c>
      <c r="O449" s="11">
        <f>7.3434 * CHOOSE(CONTROL!$C$32, $C$9, 100%, $E$9)</f>
        <v>7.3433999999999999</v>
      </c>
    </row>
    <row r="450" spans="1:15" ht="15" x14ac:dyDescent="0.2">
      <c r="A450" s="13">
        <v>54544</v>
      </c>
      <c r="B450" s="9">
        <f>6.4459 * CHOOSE(CONTROL!$C$32, $C$9, 100%, $E$9)</f>
        <v>6.4459</v>
      </c>
      <c r="C450" s="9">
        <f>6.4459 * CHOOSE(CONTROL!$C$32, $C$9, 100%, $E$9)</f>
        <v>6.4459</v>
      </c>
      <c r="D450" s="9">
        <f>6.4471 * CHOOSE(CONTROL!$C$32, $C$9, 100%, $E$9)</f>
        <v>6.4470999999999998</v>
      </c>
      <c r="E450" s="11">
        <f>7.3889 * CHOOSE(CONTROL!$C$32, $C$9, 100%, $E$9)</f>
        <v>7.3888999999999996</v>
      </c>
      <c r="F450" s="11">
        <f>7.3889 * CHOOSE(CONTROL!$C$32, $C$9, 100%, $E$9)</f>
        <v>7.3888999999999996</v>
      </c>
      <c r="G450" s="11">
        <f>7.3931 * CHOOSE(CONTROL!$C$32, $C$9, 100%, $E$9)</f>
        <v>7.3930999999999996</v>
      </c>
      <c r="H450" s="11">
        <f>14.2938 * CHOOSE(CONTROL!$C$32, $C$9, 100%, $E$9)</f>
        <v>14.293799999999999</v>
      </c>
      <c r="I450" s="11">
        <f>14.298 * CHOOSE(CONTROL!$C$32, $C$9, 100%, $E$9)</f>
        <v>14.298</v>
      </c>
      <c r="J450" s="11">
        <f>14.2938 * CHOOSE(CONTROL!$C$32, $C$9, 100%, $E$9)</f>
        <v>14.293799999999999</v>
      </c>
      <c r="K450" s="11">
        <f>14.298 * CHOOSE(CONTROL!$C$32, $C$9, 100%, $E$9)</f>
        <v>14.298</v>
      </c>
      <c r="L450" s="11">
        <f>7.3889 * CHOOSE(CONTROL!$C$32, $C$9, 100%, $E$9)</f>
        <v>7.3888999999999996</v>
      </c>
      <c r="M450" s="11">
        <f>7.3931 * CHOOSE(CONTROL!$C$32, $C$9, 100%, $E$9)</f>
        <v>7.3930999999999996</v>
      </c>
      <c r="N450" s="11">
        <f>7.3889 * CHOOSE(CONTROL!$C$32, $C$9, 100%, $E$9)</f>
        <v>7.3888999999999996</v>
      </c>
      <c r="O450" s="11">
        <f>7.3931 * CHOOSE(CONTROL!$C$32, $C$9, 100%, $E$9)</f>
        <v>7.3930999999999996</v>
      </c>
    </row>
    <row r="451" spans="1:15" ht="15" x14ac:dyDescent="0.2">
      <c r="A451" s="13">
        <v>54575</v>
      </c>
      <c r="B451" s="9">
        <f>6.452 * CHOOSE(CONTROL!$C$32, $C$9, 100%, $E$9)</f>
        <v>6.452</v>
      </c>
      <c r="C451" s="9">
        <f>6.452 * CHOOSE(CONTROL!$C$32, $C$9, 100%, $E$9)</f>
        <v>6.452</v>
      </c>
      <c r="D451" s="9">
        <f>6.4532 * CHOOSE(CONTROL!$C$32, $C$9, 100%, $E$9)</f>
        <v>6.4531999999999998</v>
      </c>
      <c r="E451" s="11">
        <f>7.3444 * CHOOSE(CONTROL!$C$32, $C$9, 100%, $E$9)</f>
        <v>7.3444000000000003</v>
      </c>
      <c r="F451" s="11">
        <f>7.3444 * CHOOSE(CONTROL!$C$32, $C$9, 100%, $E$9)</f>
        <v>7.3444000000000003</v>
      </c>
      <c r="G451" s="11">
        <f>7.3486 * CHOOSE(CONTROL!$C$32, $C$9, 100%, $E$9)</f>
        <v>7.3486000000000002</v>
      </c>
      <c r="H451" s="11">
        <f>14.3236 * CHOOSE(CONTROL!$C$32, $C$9, 100%, $E$9)</f>
        <v>14.323600000000001</v>
      </c>
      <c r="I451" s="11">
        <f>14.3278 * CHOOSE(CONTROL!$C$32, $C$9, 100%, $E$9)</f>
        <v>14.3278</v>
      </c>
      <c r="J451" s="11">
        <f>14.3236 * CHOOSE(CONTROL!$C$32, $C$9, 100%, $E$9)</f>
        <v>14.323600000000001</v>
      </c>
      <c r="K451" s="11">
        <f>14.3278 * CHOOSE(CONTROL!$C$32, $C$9, 100%, $E$9)</f>
        <v>14.3278</v>
      </c>
      <c r="L451" s="11">
        <f>7.3444 * CHOOSE(CONTROL!$C$32, $C$9, 100%, $E$9)</f>
        <v>7.3444000000000003</v>
      </c>
      <c r="M451" s="11">
        <f>7.3486 * CHOOSE(CONTROL!$C$32, $C$9, 100%, $E$9)</f>
        <v>7.3486000000000002</v>
      </c>
      <c r="N451" s="11">
        <f>7.3444 * CHOOSE(CONTROL!$C$32, $C$9, 100%, $E$9)</f>
        <v>7.3444000000000003</v>
      </c>
      <c r="O451" s="11">
        <f>7.3486 * CHOOSE(CONTROL!$C$32, $C$9, 100%, $E$9)</f>
        <v>7.3486000000000002</v>
      </c>
    </row>
    <row r="452" spans="1:15" ht="15" x14ac:dyDescent="0.2">
      <c r="A452" s="13">
        <v>54605</v>
      </c>
      <c r="B452" s="9">
        <f>6.5374 * CHOOSE(CONTROL!$C$32, $C$9, 100%, $E$9)</f>
        <v>6.5373999999999999</v>
      </c>
      <c r="C452" s="9">
        <f>6.5374 * CHOOSE(CONTROL!$C$32, $C$9, 100%, $E$9)</f>
        <v>6.5373999999999999</v>
      </c>
      <c r="D452" s="9">
        <f>6.5386 * CHOOSE(CONTROL!$C$32, $C$9, 100%, $E$9)</f>
        <v>6.5385999999999997</v>
      </c>
      <c r="E452" s="11">
        <f>7.4428 * CHOOSE(CONTROL!$C$32, $C$9, 100%, $E$9)</f>
        <v>7.4428000000000001</v>
      </c>
      <c r="F452" s="11">
        <f>7.4428 * CHOOSE(CONTROL!$C$32, $C$9, 100%, $E$9)</f>
        <v>7.4428000000000001</v>
      </c>
      <c r="G452" s="11">
        <f>7.447 * CHOOSE(CONTROL!$C$32, $C$9, 100%, $E$9)</f>
        <v>7.4470000000000001</v>
      </c>
      <c r="H452" s="11">
        <f>14.3535 * CHOOSE(CONTROL!$C$32, $C$9, 100%, $E$9)</f>
        <v>14.3535</v>
      </c>
      <c r="I452" s="11">
        <f>14.3577 * CHOOSE(CONTROL!$C$32, $C$9, 100%, $E$9)</f>
        <v>14.357699999999999</v>
      </c>
      <c r="J452" s="11">
        <f>14.3535 * CHOOSE(CONTROL!$C$32, $C$9, 100%, $E$9)</f>
        <v>14.3535</v>
      </c>
      <c r="K452" s="11">
        <f>14.3577 * CHOOSE(CONTROL!$C$32, $C$9, 100%, $E$9)</f>
        <v>14.357699999999999</v>
      </c>
      <c r="L452" s="11">
        <f>7.4428 * CHOOSE(CONTROL!$C$32, $C$9, 100%, $E$9)</f>
        <v>7.4428000000000001</v>
      </c>
      <c r="M452" s="11">
        <f>7.447 * CHOOSE(CONTROL!$C$32, $C$9, 100%, $E$9)</f>
        <v>7.4470000000000001</v>
      </c>
      <c r="N452" s="11">
        <f>7.4428 * CHOOSE(CONTROL!$C$32, $C$9, 100%, $E$9)</f>
        <v>7.4428000000000001</v>
      </c>
      <c r="O452" s="11">
        <f>7.447 * CHOOSE(CONTROL!$C$32, $C$9, 100%, $E$9)</f>
        <v>7.4470000000000001</v>
      </c>
    </row>
    <row r="453" spans="1:15" ht="15" x14ac:dyDescent="0.2">
      <c r="A453" s="13">
        <v>54636</v>
      </c>
      <c r="B453" s="9">
        <f>6.5441 * CHOOSE(CONTROL!$C$32, $C$9, 100%, $E$9)</f>
        <v>6.5441000000000003</v>
      </c>
      <c r="C453" s="9">
        <f>6.5441 * CHOOSE(CONTROL!$C$32, $C$9, 100%, $E$9)</f>
        <v>6.5441000000000003</v>
      </c>
      <c r="D453" s="9">
        <f>6.5453 * CHOOSE(CONTROL!$C$32, $C$9, 100%, $E$9)</f>
        <v>6.5453000000000001</v>
      </c>
      <c r="E453" s="11">
        <f>7.3013 * CHOOSE(CONTROL!$C$32, $C$9, 100%, $E$9)</f>
        <v>7.3013000000000003</v>
      </c>
      <c r="F453" s="11">
        <f>7.3013 * CHOOSE(CONTROL!$C$32, $C$9, 100%, $E$9)</f>
        <v>7.3013000000000003</v>
      </c>
      <c r="G453" s="11">
        <f>7.3055 * CHOOSE(CONTROL!$C$32, $C$9, 100%, $E$9)</f>
        <v>7.3055000000000003</v>
      </c>
      <c r="H453" s="11">
        <f>14.3834 * CHOOSE(CONTROL!$C$32, $C$9, 100%, $E$9)</f>
        <v>14.3834</v>
      </c>
      <c r="I453" s="11">
        <f>14.3876 * CHOOSE(CONTROL!$C$32, $C$9, 100%, $E$9)</f>
        <v>14.387600000000001</v>
      </c>
      <c r="J453" s="11">
        <f>14.3834 * CHOOSE(CONTROL!$C$32, $C$9, 100%, $E$9)</f>
        <v>14.3834</v>
      </c>
      <c r="K453" s="11">
        <f>14.3876 * CHOOSE(CONTROL!$C$32, $C$9, 100%, $E$9)</f>
        <v>14.387600000000001</v>
      </c>
      <c r="L453" s="11">
        <f>7.3013 * CHOOSE(CONTROL!$C$32, $C$9, 100%, $E$9)</f>
        <v>7.3013000000000003</v>
      </c>
      <c r="M453" s="11">
        <f>7.3055 * CHOOSE(CONTROL!$C$32, $C$9, 100%, $E$9)</f>
        <v>7.3055000000000003</v>
      </c>
      <c r="N453" s="11">
        <f>7.3013 * CHOOSE(CONTROL!$C$32, $C$9, 100%, $E$9)</f>
        <v>7.3013000000000003</v>
      </c>
      <c r="O453" s="11">
        <f>7.3055 * CHOOSE(CONTROL!$C$32, $C$9, 100%, $E$9)</f>
        <v>7.3055000000000003</v>
      </c>
    </row>
    <row r="454" spans="1:15" ht="15" x14ac:dyDescent="0.2">
      <c r="A454" s="13">
        <v>54667</v>
      </c>
      <c r="B454" s="9">
        <f>6.541 * CHOOSE(CONTROL!$C$32, $C$9, 100%, $E$9)</f>
        <v>6.5410000000000004</v>
      </c>
      <c r="C454" s="9">
        <f>6.541 * CHOOSE(CONTROL!$C$32, $C$9, 100%, $E$9)</f>
        <v>6.5410000000000004</v>
      </c>
      <c r="D454" s="9">
        <f>6.5423 * CHOOSE(CONTROL!$C$32, $C$9, 100%, $E$9)</f>
        <v>6.5423</v>
      </c>
      <c r="E454" s="11">
        <f>7.283 * CHOOSE(CONTROL!$C$32, $C$9, 100%, $E$9)</f>
        <v>7.2830000000000004</v>
      </c>
      <c r="F454" s="11">
        <f>7.283 * CHOOSE(CONTROL!$C$32, $C$9, 100%, $E$9)</f>
        <v>7.2830000000000004</v>
      </c>
      <c r="G454" s="11">
        <f>7.2872 * CHOOSE(CONTROL!$C$32, $C$9, 100%, $E$9)</f>
        <v>7.2872000000000003</v>
      </c>
      <c r="H454" s="11">
        <f>14.4133 * CHOOSE(CONTROL!$C$32, $C$9, 100%, $E$9)</f>
        <v>14.4133</v>
      </c>
      <c r="I454" s="11">
        <f>14.4175 * CHOOSE(CONTROL!$C$32, $C$9, 100%, $E$9)</f>
        <v>14.4175</v>
      </c>
      <c r="J454" s="11">
        <f>14.4133 * CHOOSE(CONTROL!$C$32, $C$9, 100%, $E$9)</f>
        <v>14.4133</v>
      </c>
      <c r="K454" s="11">
        <f>14.4175 * CHOOSE(CONTROL!$C$32, $C$9, 100%, $E$9)</f>
        <v>14.4175</v>
      </c>
      <c r="L454" s="11">
        <f>7.283 * CHOOSE(CONTROL!$C$32, $C$9, 100%, $E$9)</f>
        <v>7.2830000000000004</v>
      </c>
      <c r="M454" s="11">
        <f>7.2872 * CHOOSE(CONTROL!$C$32, $C$9, 100%, $E$9)</f>
        <v>7.2872000000000003</v>
      </c>
      <c r="N454" s="11">
        <f>7.283 * CHOOSE(CONTROL!$C$32, $C$9, 100%, $E$9)</f>
        <v>7.2830000000000004</v>
      </c>
      <c r="O454" s="11">
        <f>7.2872 * CHOOSE(CONTROL!$C$32, $C$9, 100%, $E$9)</f>
        <v>7.2872000000000003</v>
      </c>
    </row>
    <row r="455" spans="1:15" ht="15" x14ac:dyDescent="0.2">
      <c r="A455" s="13">
        <v>54697</v>
      </c>
      <c r="B455" s="9">
        <f>6.5456 * CHOOSE(CONTROL!$C$32, $C$9, 100%, $E$9)</f>
        <v>6.5456000000000003</v>
      </c>
      <c r="C455" s="9">
        <f>6.5456 * CHOOSE(CONTROL!$C$32, $C$9, 100%, $E$9)</f>
        <v>6.5456000000000003</v>
      </c>
      <c r="D455" s="9">
        <f>6.5465 * CHOOSE(CONTROL!$C$32, $C$9, 100%, $E$9)</f>
        <v>6.5465</v>
      </c>
      <c r="E455" s="11">
        <f>7.3345 * CHOOSE(CONTROL!$C$32, $C$9, 100%, $E$9)</f>
        <v>7.3345000000000002</v>
      </c>
      <c r="F455" s="11">
        <f>7.3345 * CHOOSE(CONTROL!$C$32, $C$9, 100%, $E$9)</f>
        <v>7.3345000000000002</v>
      </c>
      <c r="G455" s="11">
        <f>7.3377 * CHOOSE(CONTROL!$C$32, $C$9, 100%, $E$9)</f>
        <v>7.3376999999999999</v>
      </c>
      <c r="H455" s="11">
        <f>14.4433 * CHOOSE(CONTROL!$C$32, $C$9, 100%, $E$9)</f>
        <v>14.443300000000001</v>
      </c>
      <c r="I455" s="11">
        <f>14.4466 * CHOOSE(CONTROL!$C$32, $C$9, 100%, $E$9)</f>
        <v>14.4466</v>
      </c>
      <c r="J455" s="11">
        <f>14.4433 * CHOOSE(CONTROL!$C$32, $C$9, 100%, $E$9)</f>
        <v>14.443300000000001</v>
      </c>
      <c r="K455" s="11">
        <f>14.4466 * CHOOSE(CONTROL!$C$32, $C$9, 100%, $E$9)</f>
        <v>14.4466</v>
      </c>
      <c r="L455" s="11">
        <f>7.3345 * CHOOSE(CONTROL!$C$32, $C$9, 100%, $E$9)</f>
        <v>7.3345000000000002</v>
      </c>
      <c r="M455" s="11">
        <f>7.3377 * CHOOSE(CONTROL!$C$32, $C$9, 100%, $E$9)</f>
        <v>7.3376999999999999</v>
      </c>
      <c r="N455" s="11">
        <f>7.3345 * CHOOSE(CONTROL!$C$32, $C$9, 100%, $E$9)</f>
        <v>7.3345000000000002</v>
      </c>
      <c r="O455" s="11">
        <f>7.3377 * CHOOSE(CONTROL!$C$32, $C$9, 100%, $E$9)</f>
        <v>7.3376999999999999</v>
      </c>
    </row>
    <row r="456" spans="1:15" ht="15" x14ac:dyDescent="0.2">
      <c r="A456" s="13">
        <v>54728</v>
      </c>
      <c r="B456" s="9">
        <f>6.5486 * CHOOSE(CONTROL!$C$32, $C$9, 100%, $E$9)</f>
        <v>6.5486000000000004</v>
      </c>
      <c r="C456" s="9">
        <f>6.5486 * CHOOSE(CONTROL!$C$32, $C$9, 100%, $E$9)</f>
        <v>6.5486000000000004</v>
      </c>
      <c r="D456" s="9">
        <f>6.5495 * CHOOSE(CONTROL!$C$32, $C$9, 100%, $E$9)</f>
        <v>6.5495000000000001</v>
      </c>
      <c r="E456" s="11">
        <f>7.3691 * CHOOSE(CONTROL!$C$32, $C$9, 100%, $E$9)</f>
        <v>7.3691000000000004</v>
      </c>
      <c r="F456" s="11">
        <f>7.3691 * CHOOSE(CONTROL!$C$32, $C$9, 100%, $E$9)</f>
        <v>7.3691000000000004</v>
      </c>
      <c r="G456" s="11">
        <f>7.3723 * CHOOSE(CONTROL!$C$32, $C$9, 100%, $E$9)</f>
        <v>7.3723000000000001</v>
      </c>
      <c r="H456" s="11">
        <f>14.4734 * CHOOSE(CONTROL!$C$32, $C$9, 100%, $E$9)</f>
        <v>14.4734</v>
      </c>
      <c r="I456" s="11">
        <f>14.4767 * CHOOSE(CONTROL!$C$32, $C$9, 100%, $E$9)</f>
        <v>14.476699999999999</v>
      </c>
      <c r="J456" s="11">
        <f>14.4734 * CHOOSE(CONTROL!$C$32, $C$9, 100%, $E$9)</f>
        <v>14.4734</v>
      </c>
      <c r="K456" s="11">
        <f>14.4767 * CHOOSE(CONTROL!$C$32, $C$9, 100%, $E$9)</f>
        <v>14.476699999999999</v>
      </c>
      <c r="L456" s="11">
        <f>7.3691 * CHOOSE(CONTROL!$C$32, $C$9, 100%, $E$9)</f>
        <v>7.3691000000000004</v>
      </c>
      <c r="M456" s="11">
        <f>7.3723 * CHOOSE(CONTROL!$C$32, $C$9, 100%, $E$9)</f>
        <v>7.3723000000000001</v>
      </c>
      <c r="N456" s="11">
        <f>7.3691 * CHOOSE(CONTROL!$C$32, $C$9, 100%, $E$9)</f>
        <v>7.3691000000000004</v>
      </c>
      <c r="O456" s="11">
        <f>7.3723 * CHOOSE(CONTROL!$C$32, $C$9, 100%, $E$9)</f>
        <v>7.3723000000000001</v>
      </c>
    </row>
    <row r="457" spans="1:15" ht="15" x14ac:dyDescent="0.2">
      <c r="A457" s="13">
        <v>54758</v>
      </c>
      <c r="B457" s="9">
        <f>6.5486 * CHOOSE(CONTROL!$C$32, $C$9, 100%, $E$9)</f>
        <v>6.5486000000000004</v>
      </c>
      <c r="C457" s="9">
        <f>6.5486 * CHOOSE(CONTROL!$C$32, $C$9, 100%, $E$9)</f>
        <v>6.5486000000000004</v>
      </c>
      <c r="D457" s="9">
        <f>6.5495 * CHOOSE(CONTROL!$C$32, $C$9, 100%, $E$9)</f>
        <v>6.5495000000000001</v>
      </c>
      <c r="E457" s="11">
        <f>7.2879 * CHOOSE(CONTROL!$C$32, $C$9, 100%, $E$9)</f>
        <v>7.2878999999999996</v>
      </c>
      <c r="F457" s="11">
        <f>7.2879 * CHOOSE(CONTROL!$C$32, $C$9, 100%, $E$9)</f>
        <v>7.2878999999999996</v>
      </c>
      <c r="G457" s="11">
        <f>7.2911 * CHOOSE(CONTROL!$C$32, $C$9, 100%, $E$9)</f>
        <v>7.2911000000000001</v>
      </c>
      <c r="H457" s="11">
        <f>14.5036 * CHOOSE(CONTROL!$C$32, $C$9, 100%, $E$9)</f>
        <v>14.5036</v>
      </c>
      <c r="I457" s="11">
        <f>14.5068 * CHOOSE(CONTROL!$C$32, $C$9, 100%, $E$9)</f>
        <v>14.5068</v>
      </c>
      <c r="J457" s="11">
        <f>14.5036 * CHOOSE(CONTROL!$C$32, $C$9, 100%, $E$9)</f>
        <v>14.5036</v>
      </c>
      <c r="K457" s="11">
        <f>14.5068 * CHOOSE(CONTROL!$C$32, $C$9, 100%, $E$9)</f>
        <v>14.5068</v>
      </c>
      <c r="L457" s="11">
        <f>7.2879 * CHOOSE(CONTROL!$C$32, $C$9, 100%, $E$9)</f>
        <v>7.2878999999999996</v>
      </c>
      <c r="M457" s="11">
        <f>7.2911 * CHOOSE(CONTROL!$C$32, $C$9, 100%, $E$9)</f>
        <v>7.2911000000000001</v>
      </c>
      <c r="N457" s="11">
        <f>7.2879 * CHOOSE(CONTROL!$C$32, $C$9, 100%, $E$9)</f>
        <v>7.2878999999999996</v>
      </c>
      <c r="O457" s="11">
        <f>7.2911 * CHOOSE(CONTROL!$C$32, $C$9, 100%, $E$9)</f>
        <v>7.2911000000000001</v>
      </c>
    </row>
    <row r="458" spans="1:15" ht="15" x14ac:dyDescent="0.2">
      <c r="A458" s="13">
        <v>54789</v>
      </c>
      <c r="B458" s="9">
        <f>6.5983 * CHOOSE(CONTROL!$C$32, $C$9, 100%, $E$9)</f>
        <v>6.5983000000000001</v>
      </c>
      <c r="C458" s="9">
        <f>6.5983 * CHOOSE(CONTROL!$C$32, $C$9, 100%, $E$9)</f>
        <v>6.5983000000000001</v>
      </c>
      <c r="D458" s="9">
        <f>6.5992 * CHOOSE(CONTROL!$C$32, $C$9, 100%, $E$9)</f>
        <v>6.5991999999999997</v>
      </c>
      <c r="E458" s="11">
        <f>7.4077 * CHOOSE(CONTROL!$C$32, $C$9, 100%, $E$9)</f>
        <v>7.4077000000000002</v>
      </c>
      <c r="F458" s="11">
        <f>7.4077 * CHOOSE(CONTROL!$C$32, $C$9, 100%, $E$9)</f>
        <v>7.4077000000000002</v>
      </c>
      <c r="G458" s="11">
        <f>7.4109 * CHOOSE(CONTROL!$C$32, $C$9, 100%, $E$9)</f>
        <v>7.4108999999999998</v>
      </c>
      <c r="H458" s="11">
        <f>14.5338 * CHOOSE(CONTROL!$C$32, $C$9, 100%, $E$9)</f>
        <v>14.533799999999999</v>
      </c>
      <c r="I458" s="11">
        <f>14.537 * CHOOSE(CONTROL!$C$32, $C$9, 100%, $E$9)</f>
        <v>14.537000000000001</v>
      </c>
      <c r="J458" s="11">
        <f>14.5338 * CHOOSE(CONTROL!$C$32, $C$9, 100%, $E$9)</f>
        <v>14.533799999999999</v>
      </c>
      <c r="K458" s="11">
        <f>14.537 * CHOOSE(CONTROL!$C$32, $C$9, 100%, $E$9)</f>
        <v>14.537000000000001</v>
      </c>
      <c r="L458" s="11">
        <f>7.4077 * CHOOSE(CONTROL!$C$32, $C$9, 100%, $E$9)</f>
        <v>7.4077000000000002</v>
      </c>
      <c r="M458" s="11">
        <f>7.4109 * CHOOSE(CONTROL!$C$32, $C$9, 100%, $E$9)</f>
        <v>7.4108999999999998</v>
      </c>
      <c r="N458" s="11">
        <f>7.4077 * CHOOSE(CONTROL!$C$32, $C$9, 100%, $E$9)</f>
        <v>7.4077000000000002</v>
      </c>
      <c r="O458" s="11">
        <f>7.4109 * CHOOSE(CONTROL!$C$32, $C$9, 100%, $E$9)</f>
        <v>7.4108999999999998</v>
      </c>
    </row>
    <row r="459" spans="1:15" ht="15" x14ac:dyDescent="0.2">
      <c r="A459" s="13">
        <v>54820</v>
      </c>
      <c r="B459" s="9">
        <f>6.5952 * CHOOSE(CONTROL!$C$32, $C$9, 100%, $E$9)</f>
        <v>6.5952000000000002</v>
      </c>
      <c r="C459" s="9">
        <f>6.5952 * CHOOSE(CONTROL!$C$32, $C$9, 100%, $E$9)</f>
        <v>6.5952000000000002</v>
      </c>
      <c r="D459" s="9">
        <f>6.5962 * CHOOSE(CONTROL!$C$32, $C$9, 100%, $E$9)</f>
        <v>6.5961999999999996</v>
      </c>
      <c r="E459" s="11">
        <f>7.2472 * CHOOSE(CONTROL!$C$32, $C$9, 100%, $E$9)</f>
        <v>7.2472000000000003</v>
      </c>
      <c r="F459" s="11">
        <f>7.2472 * CHOOSE(CONTROL!$C$32, $C$9, 100%, $E$9)</f>
        <v>7.2472000000000003</v>
      </c>
      <c r="G459" s="11">
        <f>7.2504 * CHOOSE(CONTROL!$C$32, $C$9, 100%, $E$9)</f>
        <v>7.2504</v>
      </c>
      <c r="H459" s="11">
        <f>14.5641 * CHOOSE(CONTROL!$C$32, $C$9, 100%, $E$9)</f>
        <v>14.5641</v>
      </c>
      <c r="I459" s="11">
        <f>14.5673 * CHOOSE(CONTROL!$C$32, $C$9, 100%, $E$9)</f>
        <v>14.567299999999999</v>
      </c>
      <c r="J459" s="11">
        <f>14.5641 * CHOOSE(CONTROL!$C$32, $C$9, 100%, $E$9)</f>
        <v>14.5641</v>
      </c>
      <c r="K459" s="11">
        <f>14.5673 * CHOOSE(CONTROL!$C$32, $C$9, 100%, $E$9)</f>
        <v>14.567299999999999</v>
      </c>
      <c r="L459" s="11">
        <f>7.2472 * CHOOSE(CONTROL!$C$32, $C$9, 100%, $E$9)</f>
        <v>7.2472000000000003</v>
      </c>
      <c r="M459" s="11">
        <f>7.2504 * CHOOSE(CONTROL!$C$32, $C$9, 100%, $E$9)</f>
        <v>7.2504</v>
      </c>
      <c r="N459" s="11">
        <f>7.2472 * CHOOSE(CONTROL!$C$32, $C$9, 100%, $E$9)</f>
        <v>7.2472000000000003</v>
      </c>
      <c r="O459" s="11">
        <f>7.2504 * CHOOSE(CONTROL!$C$32, $C$9, 100%, $E$9)</f>
        <v>7.2504</v>
      </c>
    </row>
    <row r="460" spans="1:15" ht="15" x14ac:dyDescent="0.2">
      <c r="A460" s="13">
        <v>54848</v>
      </c>
      <c r="B460" s="9">
        <f>6.5922 * CHOOSE(CONTROL!$C$32, $C$9, 100%, $E$9)</f>
        <v>6.5922000000000001</v>
      </c>
      <c r="C460" s="9">
        <f>6.5922 * CHOOSE(CONTROL!$C$32, $C$9, 100%, $E$9)</f>
        <v>6.5922000000000001</v>
      </c>
      <c r="D460" s="9">
        <f>6.5931 * CHOOSE(CONTROL!$C$32, $C$9, 100%, $E$9)</f>
        <v>6.5930999999999997</v>
      </c>
      <c r="E460" s="11">
        <f>7.3699 * CHOOSE(CONTROL!$C$32, $C$9, 100%, $E$9)</f>
        <v>7.3699000000000003</v>
      </c>
      <c r="F460" s="11">
        <f>7.3699 * CHOOSE(CONTROL!$C$32, $C$9, 100%, $E$9)</f>
        <v>7.3699000000000003</v>
      </c>
      <c r="G460" s="11">
        <f>7.3731 * CHOOSE(CONTROL!$C$32, $C$9, 100%, $E$9)</f>
        <v>7.3731</v>
      </c>
      <c r="H460" s="11">
        <f>14.5944 * CHOOSE(CONTROL!$C$32, $C$9, 100%, $E$9)</f>
        <v>14.5944</v>
      </c>
      <c r="I460" s="11">
        <f>14.5977 * CHOOSE(CONTROL!$C$32, $C$9, 100%, $E$9)</f>
        <v>14.5977</v>
      </c>
      <c r="J460" s="11">
        <f>14.5944 * CHOOSE(CONTROL!$C$32, $C$9, 100%, $E$9)</f>
        <v>14.5944</v>
      </c>
      <c r="K460" s="11">
        <f>14.5977 * CHOOSE(CONTROL!$C$32, $C$9, 100%, $E$9)</f>
        <v>14.5977</v>
      </c>
      <c r="L460" s="11">
        <f>7.3699 * CHOOSE(CONTROL!$C$32, $C$9, 100%, $E$9)</f>
        <v>7.3699000000000003</v>
      </c>
      <c r="M460" s="11">
        <f>7.3731 * CHOOSE(CONTROL!$C$32, $C$9, 100%, $E$9)</f>
        <v>7.3731</v>
      </c>
      <c r="N460" s="11">
        <f>7.3699 * CHOOSE(CONTROL!$C$32, $C$9, 100%, $E$9)</f>
        <v>7.3699000000000003</v>
      </c>
      <c r="O460" s="11">
        <f>7.3731 * CHOOSE(CONTROL!$C$32, $C$9, 100%, $E$9)</f>
        <v>7.3731</v>
      </c>
    </row>
    <row r="461" spans="1:15" ht="15" x14ac:dyDescent="0.2">
      <c r="A461" s="13">
        <v>54879</v>
      </c>
      <c r="B461" s="9">
        <f>6.5923 * CHOOSE(CONTROL!$C$32, $C$9, 100%, $E$9)</f>
        <v>6.5922999999999998</v>
      </c>
      <c r="C461" s="9">
        <f>6.5923 * CHOOSE(CONTROL!$C$32, $C$9, 100%, $E$9)</f>
        <v>6.5922999999999998</v>
      </c>
      <c r="D461" s="9">
        <f>6.5933 * CHOOSE(CONTROL!$C$32, $C$9, 100%, $E$9)</f>
        <v>6.5933000000000002</v>
      </c>
      <c r="E461" s="11">
        <f>7.4998 * CHOOSE(CONTROL!$C$32, $C$9, 100%, $E$9)</f>
        <v>7.4997999999999996</v>
      </c>
      <c r="F461" s="11">
        <f>7.4998 * CHOOSE(CONTROL!$C$32, $C$9, 100%, $E$9)</f>
        <v>7.4997999999999996</v>
      </c>
      <c r="G461" s="11">
        <f>7.503 * CHOOSE(CONTROL!$C$32, $C$9, 100%, $E$9)</f>
        <v>7.5030000000000001</v>
      </c>
      <c r="H461" s="11">
        <f>14.6248 * CHOOSE(CONTROL!$C$32, $C$9, 100%, $E$9)</f>
        <v>14.6248</v>
      </c>
      <c r="I461" s="11">
        <f>14.6281 * CHOOSE(CONTROL!$C$32, $C$9, 100%, $E$9)</f>
        <v>14.6281</v>
      </c>
      <c r="J461" s="11">
        <f>14.6248 * CHOOSE(CONTROL!$C$32, $C$9, 100%, $E$9)</f>
        <v>14.6248</v>
      </c>
      <c r="K461" s="11">
        <f>14.6281 * CHOOSE(CONTROL!$C$32, $C$9, 100%, $E$9)</f>
        <v>14.6281</v>
      </c>
      <c r="L461" s="11">
        <f>7.4998 * CHOOSE(CONTROL!$C$32, $C$9, 100%, $E$9)</f>
        <v>7.4997999999999996</v>
      </c>
      <c r="M461" s="11">
        <f>7.503 * CHOOSE(CONTROL!$C$32, $C$9, 100%, $E$9)</f>
        <v>7.5030000000000001</v>
      </c>
      <c r="N461" s="11">
        <f>7.4998 * CHOOSE(CONTROL!$C$32, $C$9, 100%, $E$9)</f>
        <v>7.4997999999999996</v>
      </c>
      <c r="O461" s="11">
        <f>7.503 * CHOOSE(CONTROL!$C$32, $C$9, 100%, $E$9)</f>
        <v>7.5030000000000001</v>
      </c>
    </row>
    <row r="462" spans="1:15" ht="15" x14ac:dyDescent="0.2">
      <c r="A462" s="13">
        <v>54909</v>
      </c>
      <c r="B462" s="9">
        <f>6.5923 * CHOOSE(CONTROL!$C$32, $C$9, 100%, $E$9)</f>
        <v>6.5922999999999998</v>
      </c>
      <c r="C462" s="9">
        <f>6.5923 * CHOOSE(CONTROL!$C$32, $C$9, 100%, $E$9)</f>
        <v>6.5922999999999998</v>
      </c>
      <c r="D462" s="9">
        <f>6.5936 * CHOOSE(CONTROL!$C$32, $C$9, 100%, $E$9)</f>
        <v>6.5936000000000003</v>
      </c>
      <c r="E462" s="11">
        <f>7.55 * CHOOSE(CONTROL!$C$32, $C$9, 100%, $E$9)</f>
        <v>7.55</v>
      </c>
      <c r="F462" s="11">
        <f>7.55 * CHOOSE(CONTROL!$C$32, $C$9, 100%, $E$9)</f>
        <v>7.55</v>
      </c>
      <c r="G462" s="11">
        <f>7.5542 * CHOOSE(CONTROL!$C$32, $C$9, 100%, $E$9)</f>
        <v>7.5541999999999998</v>
      </c>
      <c r="H462" s="11">
        <f>14.6553 * CHOOSE(CONTROL!$C$32, $C$9, 100%, $E$9)</f>
        <v>14.6553</v>
      </c>
      <c r="I462" s="11">
        <f>14.6595 * CHOOSE(CONTROL!$C$32, $C$9, 100%, $E$9)</f>
        <v>14.6595</v>
      </c>
      <c r="J462" s="11">
        <f>14.6553 * CHOOSE(CONTROL!$C$32, $C$9, 100%, $E$9)</f>
        <v>14.6553</v>
      </c>
      <c r="K462" s="11">
        <f>14.6595 * CHOOSE(CONTROL!$C$32, $C$9, 100%, $E$9)</f>
        <v>14.6595</v>
      </c>
      <c r="L462" s="11">
        <f>7.55 * CHOOSE(CONTROL!$C$32, $C$9, 100%, $E$9)</f>
        <v>7.55</v>
      </c>
      <c r="M462" s="11">
        <f>7.5542 * CHOOSE(CONTROL!$C$32, $C$9, 100%, $E$9)</f>
        <v>7.5541999999999998</v>
      </c>
      <c r="N462" s="11">
        <f>7.55 * CHOOSE(CONTROL!$C$32, $C$9, 100%, $E$9)</f>
        <v>7.55</v>
      </c>
      <c r="O462" s="11">
        <f>7.5542 * CHOOSE(CONTROL!$C$32, $C$9, 100%, $E$9)</f>
        <v>7.5541999999999998</v>
      </c>
    </row>
    <row r="463" spans="1:15" ht="15" x14ac:dyDescent="0.2">
      <c r="A463" s="13">
        <v>54940</v>
      </c>
      <c r="B463" s="9">
        <f>6.5984 * CHOOSE(CONTROL!$C$32, $C$9, 100%, $E$9)</f>
        <v>6.5983999999999998</v>
      </c>
      <c r="C463" s="9">
        <f>6.5984 * CHOOSE(CONTROL!$C$32, $C$9, 100%, $E$9)</f>
        <v>6.5983999999999998</v>
      </c>
      <c r="D463" s="9">
        <f>6.5997 * CHOOSE(CONTROL!$C$32, $C$9, 100%, $E$9)</f>
        <v>6.5997000000000003</v>
      </c>
      <c r="E463" s="11">
        <f>7.504 * CHOOSE(CONTROL!$C$32, $C$9, 100%, $E$9)</f>
        <v>7.5039999999999996</v>
      </c>
      <c r="F463" s="11">
        <f>7.504 * CHOOSE(CONTROL!$C$32, $C$9, 100%, $E$9)</f>
        <v>7.5039999999999996</v>
      </c>
      <c r="G463" s="11">
        <f>7.5082 * CHOOSE(CONTROL!$C$32, $C$9, 100%, $E$9)</f>
        <v>7.5082000000000004</v>
      </c>
      <c r="H463" s="11">
        <f>14.6858 * CHOOSE(CONTROL!$C$32, $C$9, 100%, $E$9)</f>
        <v>14.6858</v>
      </c>
      <c r="I463" s="11">
        <f>14.69 * CHOOSE(CONTROL!$C$32, $C$9, 100%, $E$9)</f>
        <v>14.69</v>
      </c>
      <c r="J463" s="11">
        <f>14.6858 * CHOOSE(CONTROL!$C$32, $C$9, 100%, $E$9)</f>
        <v>14.6858</v>
      </c>
      <c r="K463" s="11">
        <f>14.69 * CHOOSE(CONTROL!$C$32, $C$9, 100%, $E$9)</f>
        <v>14.69</v>
      </c>
      <c r="L463" s="11">
        <f>7.504 * CHOOSE(CONTROL!$C$32, $C$9, 100%, $E$9)</f>
        <v>7.5039999999999996</v>
      </c>
      <c r="M463" s="11">
        <f>7.5082 * CHOOSE(CONTROL!$C$32, $C$9, 100%, $E$9)</f>
        <v>7.5082000000000004</v>
      </c>
      <c r="N463" s="11">
        <f>7.504 * CHOOSE(CONTROL!$C$32, $C$9, 100%, $E$9)</f>
        <v>7.5039999999999996</v>
      </c>
      <c r="O463" s="11">
        <f>7.5082 * CHOOSE(CONTROL!$C$32, $C$9, 100%, $E$9)</f>
        <v>7.5082000000000004</v>
      </c>
    </row>
    <row r="464" spans="1:15" ht="15" x14ac:dyDescent="0.2">
      <c r="A464" s="13">
        <v>54970</v>
      </c>
      <c r="B464" s="9">
        <f>6.6855 * CHOOSE(CONTROL!$C$32, $C$9, 100%, $E$9)</f>
        <v>6.6855000000000002</v>
      </c>
      <c r="C464" s="9">
        <f>6.6855 * CHOOSE(CONTROL!$C$32, $C$9, 100%, $E$9)</f>
        <v>6.6855000000000002</v>
      </c>
      <c r="D464" s="9">
        <f>6.6867 * CHOOSE(CONTROL!$C$32, $C$9, 100%, $E$9)</f>
        <v>6.6867000000000001</v>
      </c>
      <c r="E464" s="11">
        <f>7.6081 * CHOOSE(CONTROL!$C$32, $C$9, 100%, $E$9)</f>
        <v>7.6081000000000003</v>
      </c>
      <c r="F464" s="11">
        <f>7.6081 * CHOOSE(CONTROL!$C$32, $C$9, 100%, $E$9)</f>
        <v>7.6081000000000003</v>
      </c>
      <c r="G464" s="11">
        <f>7.6123 * CHOOSE(CONTROL!$C$32, $C$9, 100%, $E$9)</f>
        <v>7.6123000000000003</v>
      </c>
      <c r="H464" s="11">
        <f>14.7164 * CHOOSE(CONTROL!$C$32, $C$9, 100%, $E$9)</f>
        <v>14.7164</v>
      </c>
      <c r="I464" s="11">
        <f>14.7206 * CHOOSE(CONTROL!$C$32, $C$9, 100%, $E$9)</f>
        <v>14.720599999999999</v>
      </c>
      <c r="J464" s="11">
        <f>14.7164 * CHOOSE(CONTROL!$C$32, $C$9, 100%, $E$9)</f>
        <v>14.7164</v>
      </c>
      <c r="K464" s="11">
        <f>14.7206 * CHOOSE(CONTROL!$C$32, $C$9, 100%, $E$9)</f>
        <v>14.720599999999999</v>
      </c>
      <c r="L464" s="11">
        <f>7.6081 * CHOOSE(CONTROL!$C$32, $C$9, 100%, $E$9)</f>
        <v>7.6081000000000003</v>
      </c>
      <c r="M464" s="11">
        <f>7.6123 * CHOOSE(CONTROL!$C$32, $C$9, 100%, $E$9)</f>
        <v>7.6123000000000003</v>
      </c>
      <c r="N464" s="11">
        <f>7.6081 * CHOOSE(CONTROL!$C$32, $C$9, 100%, $E$9)</f>
        <v>7.6081000000000003</v>
      </c>
      <c r="O464" s="11">
        <f>7.6123 * CHOOSE(CONTROL!$C$32, $C$9, 100%, $E$9)</f>
        <v>7.6123000000000003</v>
      </c>
    </row>
    <row r="465" spans="1:15" ht="15" x14ac:dyDescent="0.2">
      <c r="A465" s="13">
        <v>55001</v>
      </c>
      <c r="B465" s="9">
        <f>6.6922 * CHOOSE(CONTROL!$C$32, $C$9, 100%, $E$9)</f>
        <v>6.6921999999999997</v>
      </c>
      <c r="C465" s="9">
        <f>6.6922 * CHOOSE(CONTROL!$C$32, $C$9, 100%, $E$9)</f>
        <v>6.6921999999999997</v>
      </c>
      <c r="D465" s="9">
        <f>6.6934 * CHOOSE(CONTROL!$C$32, $C$9, 100%, $E$9)</f>
        <v>6.6933999999999996</v>
      </c>
      <c r="E465" s="11">
        <f>7.4619 * CHOOSE(CONTROL!$C$32, $C$9, 100%, $E$9)</f>
        <v>7.4619</v>
      </c>
      <c r="F465" s="11">
        <f>7.4619 * CHOOSE(CONTROL!$C$32, $C$9, 100%, $E$9)</f>
        <v>7.4619</v>
      </c>
      <c r="G465" s="11">
        <f>7.4661 * CHOOSE(CONTROL!$C$32, $C$9, 100%, $E$9)</f>
        <v>7.4661</v>
      </c>
      <c r="H465" s="11">
        <f>14.7471 * CHOOSE(CONTROL!$C$32, $C$9, 100%, $E$9)</f>
        <v>14.7471</v>
      </c>
      <c r="I465" s="11">
        <f>14.7513 * CHOOSE(CONTROL!$C$32, $C$9, 100%, $E$9)</f>
        <v>14.751300000000001</v>
      </c>
      <c r="J465" s="11">
        <f>14.7471 * CHOOSE(CONTROL!$C$32, $C$9, 100%, $E$9)</f>
        <v>14.7471</v>
      </c>
      <c r="K465" s="11">
        <f>14.7513 * CHOOSE(CONTROL!$C$32, $C$9, 100%, $E$9)</f>
        <v>14.751300000000001</v>
      </c>
      <c r="L465" s="11">
        <f>7.4619 * CHOOSE(CONTROL!$C$32, $C$9, 100%, $E$9)</f>
        <v>7.4619</v>
      </c>
      <c r="M465" s="11">
        <f>7.4661 * CHOOSE(CONTROL!$C$32, $C$9, 100%, $E$9)</f>
        <v>7.4661</v>
      </c>
      <c r="N465" s="11">
        <f>7.4619 * CHOOSE(CONTROL!$C$32, $C$9, 100%, $E$9)</f>
        <v>7.4619</v>
      </c>
      <c r="O465" s="11">
        <f>7.4661 * CHOOSE(CONTROL!$C$32, $C$9, 100%, $E$9)</f>
        <v>7.4661</v>
      </c>
    </row>
    <row r="466" spans="1:15" ht="15" x14ac:dyDescent="0.2">
      <c r="A466" s="13">
        <v>55032</v>
      </c>
      <c r="B466" s="9">
        <f>6.6891 * CHOOSE(CONTROL!$C$32, $C$9, 100%, $E$9)</f>
        <v>6.6890999999999998</v>
      </c>
      <c r="C466" s="9">
        <f>6.6891 * CHOOSE(CONTROL!$C$32, $C$9, 100%, $E$9)</f>
        <v>6.6890999999999998</v>
      </c>
      <c r="D466" s="9">
        <f>6.6904 * CHOOSE(CONTROL!$C$32, $C$9, 100%, $E$9)</f>
        <v>6.6904000000000003</v>
      </c>
      <c r="E466" s="11">
        <f>7.443 * CHOOSE(CONTROL!$C$32, $C$9, 100%, $E$9)</f>
        <v>7.4429999999999996</v>
      </c>
      <c r="F466" s="11">
        <f>7.443 * CHOOSE(CONTROL!$C$32, $C$9, 100%, $E$9)</f>
        <v>7.4429999999999996</v>
      </c>
      <c r="G466" s="11">
        <f>7.4472 * CHOOSE(CONTROL!$C$32, $C$9, 100%, $E$9)</f>
        <v>7.4471999999999996</v>
      </c>
      <c r="H466" s="11">
        <f>14.7778 * CHOOSE(CONTROL!$C$32, $C$9, 100%, $E$9)</f>
        <v>14.777799999999999</v>
      </c>
      <c r="I466" s="11">
        <f>14.782 * CHOOSE(CONTROL!$C$32, $C$9, 100%, $E$9)</f>
        <v>14.782</v>
      </c>
      <c r="J466" s="11">
        <f>14.7778 * CHOOSE(CONTROL!$C$32, $C$9, 100%, $E$9)</f>
        <v>14.777799999999999</v>
      </c>
      <c r="K466" s="11">
        <f>14.782 * CHOOSE(CONTROL!$C$32, $C$9, 100%, $E$9)</f>
        <v>14.782</v>
      </c>
      <c r="L466" s="11">
        <f>7.443 * CHOOSE(CONTROL!$C$32, $C$9, 100%, $E$9)</f>
        <v>7.4429999999999996</v>
      </c>
      <c r="M466" s="11">
        <f>7.4472 * CHOOSE(CONTROL!$C$32, $C$9, 100%, $E$9)</f>
        <v>7.4471999999999996</v>
      </c>
      <c r="N466" s="11">
        <f>7.443 * CHOOSE(CONTROL!$C$32, $C$9, 100%, $E$9)</f>
        <v>7.4429999999999996</v>
      </c>
      <c r="O466" s="11">
        <f>7.4472 * CHOOSE(CONTROL!$C$32, $C$9, 100%, $E$9)</f>
        <v>7.4471999999999996</v>
      </c>
    </row>
    <row r="467" spans="1:15" ht="15" x14ac:dyDescent="0.2">
      <c r="A467" s="13">
        <v>55062</v>
      </c>
      <c r="B467" s="9">
        <f>6.6942 * CHOOSE(CONTROL!$C$32, $C$9, 100%, $E$9)</f>
        <v>6.6942000000000004</v>
      </c>
      <c r="C467" s="9">
        <f>6.6942 * CHOOSE(CONTROL!$C$32, $C$9, 100%, $E$9)</f>
        <v>6.6942000000000004</v>
      </c>
      <c r="D467" s="9">
        <f>6.6951 * CHOOSE(CONTROL!$C$32, $C$9, 100%, $E$9)</f>
        <v>6.6951000000000001</v>
      </c>
      <c r="E467" s="11">
        <f>7.4966 * CHOOSE(CONTROL!$C$32, $C$9, 100%, $E$9)</f>
        <v>7.4965999999999999</v>
      </c>
      <c r="F467" s="11">
        <f>7.4966 * CHOOSE(CONTROL!$C$32, $C$9, 100%, $E$9)</f>
        <v>7.4965999999999999</v>
      </c>
      <c r="G467" s="11">
        <f>7.4998 * CHOOSE(CONTROL!$C$32, $C$9, 100%, $E$9)</f>
        <v>7.4997999999999996</v>
      </c>
      <c r="H467" s="11">
        <f>14.8086 * CHOOSE(CONTROL!$C$32, $C$9, 100%, $E$9)</f>
        <v>14.8086</v>
      </c>
      <c r="I467" s="11">
        <f>14.8118 * CHOOSE(CONTROL!$C$32, $C$9, 100%, $E$9)</f>
        <v>14.8118</v>
      </c>
      <c r="J467" s="11">
        <f>14.8086 * CHOOSE(CONTROL!$C$32, $C$9, 100%, $E$9)</f>
        <v>14.8086</v>
      </c>
      <c r="K467" s="11">
        <f>14.8118 * CHOOSE(CONTROL!$C$32, $C$9, 100%, $E$9)</f>
        <v>14.8118</v>
      </c>
      <c r="L467" s="11">
        <f>7.4966 * CHOOSE(CONTROL!$C$32, $C$9, 100%, $E$9)</f>
        <v>7.4965999999999999</v>
      </c>
      <c r="M467" s="11">
        <f>7.4998 * CHOOSE(CONTROL!$C$32, $C$9, 100%, $E$9)</f>
        <v>7.4997999999999996</v>
      </c>
      <c r="N467" s="11">
        <f>7.4966 * CHOOSE(CONTROL!$C$32, $C$9, 100%, $E$9)</f>
        <v>7.4965999999999999</v>
      </c>
      <c r="O467" s="11">
        <f>7.4998 * CHOOSE(CONTROL!$C$32, $C$9, 100%, $E$9)</f>
        <v>7.4997999999999996</v>
      </c>
    </row>
    <row r="468" spans="1:15" ht="15" x14ac:dyDescent="0.2">
      <c r="A468" s="13">
        <v>55093</v>
      </c>
      <c r="B468" s="9">
        <f>6.6972 * CHOOSE(CONTROL!$C$32, $C$9, 100%, $E$9)</f>
        <v>6.6971999999999996</v>
      </c>
      <c r="C468" s="9">
        <f>6.6972 * CHOOSE(CONTROL!$C$32, $C$9, 100%, $E$9)</f>
        <v>6.6971999999999996</v>
      </c>
      <c r="D468" s="9">
        <f>6.6982 * CHOOSE(CONTROL!$C$32, $C$9, 100%, $E$9)</f>
        <v>6.6981999999999999</v>
      </c>
      <c r="E468" s="11">
        <f>7.5323 * CHOOSE(CONTROL!$C$32, $C$9, 100%, $E$9)</f>
        <v>7.5323000000000002</v>
      </c>
      <c r="F468" s="11">
        <f>7.5323 * CHOOSE(CONTROL!$C$32, $C$9, 100%, $E$9)</f>
        <v>7.5323000000000002</v>
      </c>
      <c r="G468" s="11">
        <f>7.5355 * CHOOSE(CONTROL!$C$32, $C$9, 100%, $E$9)</f>
        <v>7.5354999999999999</v>
      </c>
      <c r="H468" s="11">
        <f>14.8394 * CHOOSE(CONTROL!$C$32, $C$9, 100%, $E$9)</f>
        <v>14.839399999999999</v>
      </c>
      <c r="I468" s="11">
        <f>14.8427 * CHOOSE(CONTROL!$C$32, $C$9, 100%, $E$9)</f>
        <v>14.842700000000001</v>
      </c>
      <c r="J468" s="11">
        <f>14.8394 * CHOOSE(CONTROL!$C$32, $C$9, 100%, $E$9)</f>
        <v>14.839399999999999</v>
      </c>
      <c r="K468" s="11">
        <f>14.8427 * CHOOSE(CONTROL!$C$32, $C$9, 100%, $E$9)</f>
        <v>14.842700000000001</v>
      </c>
      <c r="L468" s="11">
        <f>7.5323 * CHOOSE(CONTROL!$C$32, $C$9, 100%, $E$9)</f>
        <v>7.5323000000000002</v>
      </c>
      <c r="M468" s="11">
        <f>7.5355 * CHOOSE(CONTROL!$C$32, $C$9, 100%, $E$9)</f>
        <v>7.5354999999999999</v>
      </c>
      <c r="N468" s="11">
        <f>7.5323 * CHOOSE(CONTROL!$C$32, $C$9, 100%, $E$9)</f>
        <v>7.5323000000000002</v>
      </c>
      <c r="O468" s="11">
        <f>7.5355 * CHOOSE(CONTROL!$C$32, $C$9, 100%, $E$9)</f>
        <v>7.5354999999999999</v>
      </c>
    </row>
    <row r="469" spans="1:15" ht="15" x14ac:dyDescent="0.2">
      <c r="A469" s="13">
        <v>55123</v>
      </c>
      <c r="B469" s="9">
        <f>6.6972 * CHOOSE(CONTROL!$C$32, $C$9, 100%, $E$9)</f>
        <v>6.6971999999999996</v>
      </c>
      <c r="C469" s="9">
        <f>6.6972 * CHOOSE(CONTROL!$C$32, $C$9, 100%, $E$9)</f>
        <v>6.6971999999999996</v>
      </c>
      <c r="D469" s="9">
        <f>6.6982 * CHOOSE(CONTROL!$C$32, $C$9, 100%, $E$9)</f>
        <v>6.6981999999999999</v>
      </c>
      <c r="E469" s="11">
        <f>7.4485 * CHOOSE(CONTROL!$C$32, $C$9, 100%, $E$9)</f>
        <v>7.4485000000000001</v>
      </c>
      <c r="F469" s="11">
        <f>7.4485 * CHOOSE(CONTROL!$C$32, $C$9, 100%, $E$9)</f>
        <v>7.4485000000000001</v>
      </c>
      <c r="G469" s="11">
        <f>7.4517 * CHOOSE(CONTROL!$C$32, $C$9, 100%, $E$9)</f>
        <v>7.4516999999999998</v>
      </c>
      <c r="H469" s="11">
        <f>14.8704 * CHOOSE(CONTROL!$C$32, $C$9, 100%, $E$9)</f>
        <v>14.8704</v>
      </c>
      <c r="I469" s="11">
        <f>14.8736 * CHOOSE(CONTROL!$C$32, $C$9, 100%, $E$9)</f>
        <v>14.8736</v>
      </c>
      <c r="J469" s="11">
        <f>14.8704 * CHOOSE(CONTROL!$C$32, $C$9, 100%, $E$9)</f>
        <v>14.8704</v>
      </c>
      <c r="K469" s="11">
        <f>14.8736 * CHOOSE(CONTROL!$C$32, $C$9, 100%, $E$9)</f>
        <v>14.8736</v>
      </c>
      <c r="L469" s="11">
        <f>7.4485 * CHOOSE(CONTROL!$C$32, $C$9, 100%, $E$9)</f>
        <v>7.4485000000000001</v>
      </c>
      <c r="M469" s="11">
        <f>7.4517 * CHOOSE(CONTROL!$C$32, $C$9, 100%, $E$9)</f>
        <v>7.4516999999999998</v>
      </c>
      <c r="N469" s="11">
        <f>7.4485 * CHOOSE(CONTROL!$C$32, $C$9, 100%, $E$9)</f>
        <v>7.4485000000000001</v>
      </c>
      <c r="O469" s="11">
        <f>7.4517 * CHOOSE(CONTROL!$C$32, $C$9, 100%, $E$9)</f>
        <v>7.4516999999999998</v>
      </c>
    </row>
    <row r="470" spans="1:15" ht="15" x14ac:dyDescent="0.2">
      <c r="A470" s="13">
        <v>55154</v>
      </c>
      <c r="B470" s="9">
        <f>6.7479 * CHOOSE(CONTROL!$C$32, $C$9, 100%, $E$9)</f>
        <v>6.7478999999999996</v>
      </c>
      <c r="C470" s="9">
        <f>6.7479 * CHOOSE(CONTROL!$C$32, $C$9, 100%, $E$9)</f>
        <v>6.7478999999999996</v>
      </c>
      <c r="D470" s="9">
        <f>6.7489 * CHOOSE(CONTROL!$C$32, $C$9, 100%, $E$9)</f>
        <v>6.7488999999999999</v>
      </c>
      <c r="E470" s="11">
        <f>7.571 * CHOOSE(CONTROL!$C$32, $C$9, 100%, $E$9)</f>
        <v>7.5709999999999997</v>
      </c>
      <c r="F470" s="11">
        <f>7.571 * CHOOSE(CONTROL!$C$32, $C$9, 100%, $E$9)</f>
        <v>7.5709999999999997</v>
      </c>
      <c r="G470" s="11">
        <f>7.5742 * CHOOSE(CONTROL!$C$32, $C$9, 100%, $E$9)</f>
        <v>7.5742000000000003</v>
      </c>
      <c r="H470" s="11">
        <f>14.9013 * CHOOSE(CONTROL!$C$32, $C$9, 100%, $E$9)</f>
        <v>14.901300000000001</v>
      </c>
      <c r="I470" s="11">
        <f>14.9046 * CHOOSE(CONTROL!$C$32, $C$9, 100%, $E$9)</f>
        <v>14.9046</v>
      </c>
      <c r="J470" s="11">
        <f>14.9013 * CHOOSE(CONTROL!$C$32, $C$9, 100%, $E$9)</f>
        <v>14.901300000000001</v>
      </c>
      <c r="K470" s="11">
        <f>14.9046 * CHOOSE(CONTROL!$C$32, $C$9, 100%, $E$9)</f>
        <v>14.9046</v>
      </c>
      <c r="L470" s="11">
        <f>7.571 * CHOOSE(CONTROL!$C$32, $C$9, 100%, $E$9)</f>
        <v>7.5709999999999997</v>
      </c>
      <c r="M470" s="11">
        <f>7.5742 * CHOOSE(CONTROL!$C$32, $C$9, 100%, $E$9)</f>
        <v>7.5742000000000003</v>
      </c>
      <c r="N470" s="11">
        <f>7.571 * CHOOSE(CONTROL!$C$32, $C$9, 100%, $E$9)</f>
        <v>7.5709999999999997</v>
      </c>
      <c r="O470" s="11">
        <f>7.5742 * CHOOSE(CONTROL!$C$32, $C$9, 100%, $E$9)</f>
        <v>7.5742000000000003</v>
      </c>
    </row>
    <row r="471" spans="1:15" ht="15" x14ac:dyDescent="0.2">
      <c r="A471" s="13">
        <v>55185</v>
      </c>
      <c r="B471" s="9">
        <f>6.7449 * CHOOSE(CONTROL!$C$32, $C$9, 100%, $E$9)</f>
        <v>6.7449000000000003</v>
      </c>
      <c r="C471" s="9">
        <f>6.7449 * CHOOSE(CONTROL!$C$32, $C$9, 100%, $E$9)</f>
        <v>6.7449000000000003</v>
      </c>
      <c r="D471" s="9">
        <f>6.7458 * CHOOSE(CONTROL!$C$32, $C$9, 100%, $E$9)</f>
        <v>6.7458</v>
      </c>
      <c r="E471" s="11">
        <f>7.4053 * CHOOSE(CONTROL!$C$32, $C$9, 100%, $E$9)</f>
        <v>7.4053000000000004</v>
      </c>
      <c r="F471" s="11">
        <f>7.4053 * CHOOSE(CONTROL!$C$32, $C$9, 100%, $E$9)</f>
        <v>7.4053000000000004</v>
      </c>
      <c r="G471" s="11">
        <f>7.4086 * CHOOSE(CONTROL!$C$32, $C$9, 100%, $E$9)</f>
        <v>7.4085999999999999</v>
      </c>
      <c r="H471" s="11">
        <f>14.9324 * CHOOSE(CONTROL!$C$32, $C$9, 100%, $E$9)</f>
        <v>14.932399999999999</v>
      </c>
      <c r="I471" s="11">
        <f>14.9356 * CHOOSE(CONTROL!$C$32, $C$9, 100%, $E$9)</f>
        <v>14.935600000000001</v>
      </c>
      <c r="J471" s="11">
        <f>14.9324 * CHOOSE(CONTROL!$C$32, $C$9, 100%, $E$9)</f>
        <v>14.932399999999999</v>
      </c>
      <c r="K471" s="11">
        <f>14.9356 * CHOOSE(CONTROL!$C$32, $C$9, 100%, $E$9)</f>
        <v>14.935600000000001</v>
      </c>
      <c r="L471" s="11">
        <f>7.4053 * CHOOSE(CONTROL!$C$32, $C$9, 100%, $E$9)</f>
        <v>7.4053000000000004</v>
      </c>
      <c r="M471" s="11">
        <f>7.4086 * CHOOSE(CONTROL!$C$32, $C$9, 100%, $E$9)</f>
        <v>7.4085999999999999</v>
      </c>
      <c r="N471" s="11">
        <f>7.4053 * CHOOSE(CONTROL!$C$32, $C$9, 100%, $E$9)</f>
        <v>7.4053000000000004</v>
      </c>
      <c r="O471" s="11">
        <f>7.4086 * CHOOSE(CONTROL!$C$32, $C$9, 100%, $E$9)</f>
        <v>7.4085999999999999</v>
      </c>
    </row>
    <row r="472" spans="1:15" ht="15" x14ac:dyDescent="0.2">
      <c r="A472" s="13">
        <v>55213</v>
      </c>
      <c r="B472" s="9">
        <f>6.7418 * CHOOSE(CONTROL!$C$32, $C$9, 100%, $E$9)</f>
        <v>6.7417999999999996</v>
      </c>
      <c r="C472" s="9">
        <f>6.7418 * CHOOSE(CONTROL!$C$32, $C$9, 100%, $E$9)</f>
        <v>6.7417999999999996</v>
      </c>
      <c r="D472" s="9">
        <f>6.7428 * CHOOSE(CONTROL!$C$32, $C$9, 100%, $E$9)</f>
        <v>6.7427999999999999</v>
      </c>
      <c r="E472" s="11">
        <f>7.5321 * CHOOSE(CONTROL!$C$32, $C$9, 100%, $E$9)</f>
        <v>7.5320999999999998</v>
      </c>
      <c r="F472" s="11">
        <f>7.5321 * CHOOSE(CONTROL!$C$32, $C$9, 100%, $E$9)</f>
        <v>7.5320999999999998</v>
      </c>
      <c r="G472" s="11">
        <f>7.5354 * CHOOSE(CONTROL!$C$32, $C$9, 100%, $E$9)</f>
        <v>7.5354000000000001</v>
      </c>
      <c r="H472" s="11">
        <f>14.9635 * CHOOSE(CONTROL!$C$32, $C$9, 100%, $E$9)</f>
        <v>14.9635</v>
      </c>
      <c r="I472" s="11">
        <f>14.9667 * CHOOSE(CONTROL!$C$32, $C$9, 100%, $E$9)</f>
        <v>14.966699999999999</v>
      </c>
      <c r="J472" s="11">
        <f>14.9635 * CHOOSE(CONTROL!$C$32, $C$9, 100%, $E$9)</f>
        <v>14.9635</v>
      </c>
      <c r="K472" s="11">
        <f>14.9667 * CHOOSE(CONTROL!$C$32, $C$9, 100%, $E$9)</f>
        <v>14.966699999999999</v>
      </c>
      <c r="L472" s="11">
        <f>7.5321 * CHOOSE(CONTROL!$C$32, $C$9, 100%, $E$9)</f>
        <v>7.5320999999999998</v>
      </c>
      <c r="M472" s="11">
        <f>7.5354 * CHOOSE(CONTROL!$C$32, $C$9, 100%, $E$9)</f>
        <v>7.5354000000000001</v>
      </c>
      <c r="N472" s="11">
        <f>7.5321 * CHOOSE(CONTROL!$C$32, $C$9, 100%, $E$9)</f>
        <v>7.5320999999999998</v>
      </c>
      <c r="O472" s="11">
        <f>7.5354 * CHOOSE(CONTROL!$C$32, $C$9, 100%, $E$9)</f>
        <v>7.5354000000000001</v>
      </c>
    </row>
    <row r="473" spans="1:15" ht="15" x14ac:dyDescent="0.2">
      <c r="A473" s="13">
        <v>55244</v>
      </c>
      <c r="B473" s="9">
        <f>6.7421 * CHOOSE(CONTROL!$C$32, $C$9, 100%, $E$9)</f>
        <v>6.7420999999999998</v>
      </c>
      <c r="C473" s="9">
        <f>6.7421 * CHOOSE(CONTROL!$C$32, $C$9, 100%, $E$9)</f>
        <v>6.7420999999999998</v>
      </c>
      <c r="D473" s="9">
        <f>6.7431 * CHOOSE(CONTROL!$C$32, $C$9, 100%, $E$9)</f>
        <v>6.7431000000000001</v>
      </c>
      <c r="E473" s="11">
        <f>7.6663 * CHOOSE(CONTROL!$C$32, $C$9, 100%, $E$9)</f>
        <v>7.6662999999999997</v>
      </c>
      <c r="F473" s="11">
        <f>7.6663 * CHOOSE(CONTROL!$C$32, $C$9, 100%, $E$9)</f>
        <v>7.6662999999999997</v>
      </c>
      <c r="G473" s="11">
        <f>7.6696 * CHOOSE(CONTROL!$C$32, $C$9, 100%, $E$9)</f>
        <v>7.6696</v>
      </c>
      <c r="H473" s="11">
        <f>14.9947 * CHOOSE(CONTROL!$C$32, $C$9, 100%, $E$9)</f>
        <v>14.9947</v>
      </c>
      <c r="I473" s="11">
        <f>14.9979 * CHOOSE(CONTROL!$C$32, $C$9, 100%, $E$9)</f>
        <v>14.9979</v>
      </c>
      <c r="J473" s="11">
        <f>14.9947 * CHOOSE(CONTROL!$C$32, $C$9, 100%, $E$9)</f>
        <v>14.9947</v>
      </c>
      <c r="K473" s="11">
        <f>14.9979 * CHOOSE(CONTROL!$C$32, $C$9, 100%, $E$9)</f>
        <v>14.9979</v>
      </c>
      <c r="L473" s="11">
        <f>7.6663 * CHOOSE(CONTROL!$C$32, $C$9, 100%, $E$9)</f>
        <v>7.6662999999999997</v>
      </c>
      <c r="M473" s="11">
        <f>7.6696 * CHOOSE(CONTROL!$C$32, $C$9, 100%, $E$9)</f>
        <v>7.6696</v>
      </c>
      <c r="N473" s="11">
        <f>7.6663 * CHOOSE(CONTROL!$C$32, $C$9, 100%, $E$9)</f>
        <v>7.6662999999999997</v>
      </c>
      <c r="O473" s="11">
        <f>7.6696 * CHOOSE(CONTROL!$C$32, $C$9, 100%, $E$9)</f>
        <v>7.6696</v>
      </c>
    </row>
    <row r="474" spans="1:15" ht="15" x14ac:dyDescent="0.2">
      <c r="A474" s="13">
        <v>55274</v>
      </c>
      <c r="B474" s="9">
        <f>6.7421 * CHOOSE(CONTROL!$C$32, $C$9, 100%, $E$9)</f>
        <v>6.7420999999999998</v>
      </c>
      <c r="C474" s="9">
        <f>6.7421 * CHOOSE(CONTROL!$C$32, $C$9, 100%, $E$9)</f>
        <v>6.7420999999999998</v>
      </c>
      <c r="D474" s="9">
        <f>6.7434 * CHOOSE(CONTROL!$C$32, $C$9, 100%, $E$9)</f>
        <v>6.7434000000000003</v>
      </c>
      <c r="E474" s="11">
        <f>7.7182 * CHOOSE(CONTROL!$C$32, $C$9, 100%, $E$9)</f>
        <v>7.7182000000000004</v>
      </c>
      <c r="F474" s="11">
        <f>7.7182 * CHOOSE(CONTROL!$C$32, $C$9, 100%, $E$9)</f>
        <v>7.7182000000000004</v>
      </c>
      <c r="G474" s="11">
        <f>7.7224 * CHOOSE(CONTROL!$C$32, $C$9, 100%, $E$9)</f>
        <v>7.7224000000000004</v>
      </c>
      <c r="H474" s="11">
        <f>15.0259 * CHOOSE(CONTROL!$C$32, $C$9, 100%, $E$9)</f>
        <v>15.0259</v>
      </c>
      <c r="I474" s="11">
        <f>15.0301 * CHOOSE(CONTROL!$C$32, $C$9, 100%, $E$9)</f>
        <v>15.030099999999999</v>
      </c>
      <c r="J474" s="11">
        <f>15.0259 * CHOOSE(CONTROL!$C$32, $C$9, 100%, $E$9)</f>
        <v>15.0259</v>
      </c>
      <c r="K474" s="11">
        <f>15.0301 * CHOOSE(CONTROL!$C$32, $C$9, 100%, $E$9)</f>
        <v>15.030099999999999</v>
      </c>
      <c r="L474" s="11">
        <f>7.7182 * CHOOSE(CONTROL!$C$32, $C$9, 100%, $E$9)</f>
        <v>7.7182000000000004</v>
      </c>
      <c r="M474" s="11">
        <f>7.7224 * CHOOSE(CONTROL!$C$32, $C$9, 100%, $E$9)</f>
        <v>7.7224000000000004</v>
      </c>
      <c r="N474" s="11">
        <f>7.7182 * CHOOSE(CONTROL!$C$32, $C$9, 100%, $E$9)</f>
        <v>7.7182000000000004</v>
      </c>
      <c r="O474" s="11">
        <f>7.7224 * CHOOSE(CONTROL!$C$32, $C$9, 100%, $E$9)</f>
        <v>7.7224000000000004</v>
      </c>
    </row>
    <row r="475" spans="1:15" ht="15" x14ac:dyDescent="0.2">
      <c r="A475" s="13">
        <v>55305</v>
      </c>
      <c r="B475" s="9">
        <f>6.7482 * CHOOSE(CONTROL!$C$32, $C$9, 100%, $E$9)</f>
        <v>6.7481999999999998</v>
      </c>
      <c r="C475" s="9">
        <f>6.7482 * CHOOSE(CONTROL!$C$32, $C$9, 100%, $E$9)</f>
        <v>6.7481999999999998</v>
      </c>
      <c r="D475" s="9">
        <f>6.7495 * CHOOSE(CONTROL!$C$32, $C$9, 100%, $E$9)</f>
        <v>6.7495000000000003</v>
      </c>
      <c r="E475" s="11">
        <f>7.6706 * CHOOSE(CONTROL!$C$32, $C$9, 100%, $E$9)</f>
        <v>7.6706000000000003</v>
      </c>
      <c r="F475" s="11">
        <f>7.6706 * CHOOSE(CONTROL!$C$32, $C$9, 100%, $E$9)</f>
        <v>7.6706000000000003</v>
      </c>
      <c r="G475" s="11">
        <f>7.6748 * CHOOSE(CONTROL!$C$32, $C$9, 100%, $E$9)</f>
        <v>7.6748000000000003</v>
      </c>
      <c r="H475" s="11">
        <f>15.0572 * CHOOSE(CONTROL!$C$32, $C$9, 100%, $E$9)</f>
        <v>15.0572</v>
      </c>
      <c r="I475" s="11">
        <f>15.0614 * CHOOSE(CONTROL!$C$32, $C$9, 100%, $E$9)</f>
        <v>15.061400000000001</v>
      </c>
      <c r="J475" s="11">
        <f>15.0572 * CHOOSE(CONTROL!$C$32, $C$9, 100%, $E$9)</f>
        <v>15.0572</v>
      </c>
      <c r="K475" s="11">
        <f>15.0614 * CHOOSE(CONTROL!$C$32, $C$9, 100%, $E$9)</f>
        <v>15.061400000000001</v>
      </c>
      <c r="L475" s="11">
        <f>7.6706 * CHOOSE(CONTROL!$C$32, $C$9, 100%, $E$9)</f>
        <v>7.6706000000000003</v>
      </c>
      <c r="M475" s="11">
        <f>7.6748 * CHOOSE(CONTROL!$C$32, $C$9, 100%, $E$9)</f>
        <v>7.6748000000000003</v>
      </c>
      <c r="N475" s="11">
        <f>7.6706 * CHOOSE(CONTROL!$C$32, $C$9, 100%, $E$9)</f>
        <v>7.6706000000000003</v>
      </c>
      <c r="O475" s="11">
        <f>7.6748 * CHOOSE(CONTROL!$C$32, $C$9, 100%, $E$9)</f>
        <v>7.6748000000000003</v>
      </c>
    </row>
    <row r="476" spans="1:15" ht="15" x14ac:dyDescent="0.2">
      <c r="A476" s="13">
        <v>55335</v>
      </c>
      <c r="B476" s="9">
        <f>6.8369 * CHOOSE(CONTROL!$C$32, $C$9, 100%, $E$9)</f>
        <v>6.8369</v>
      </c>
      <c r="C476" s="9">
        <f>6.8369 * CHOOSE(CONTROL!$C$32, $C$9, 100%, $E$9)</f>
        <v>6.8369</v>
      </c>
      <c r="D476" s="9">
        <f>6.8382 * CHOOSE(CONTROL!$C$32, $C$9, 100%, $E$9)</f>
        <v>6.8381999999999996</v>
      </c>
      <c r="E476" s="11">
        <f>7.7751 * CHOOSE(CONTROL!$C$32, $C$9, 100%, $E$9)</f>
        <v>7.7751000000000001</v>
      </c>
      <c r="F476" s="11">
        <f>7.7751 * CHOOSE(CONTROL!$C$32, $C$9, 100%, $E$9)</f>
        <v>7.7751000000000001</v>
      </c>
      <c r="G476" s="11">
        <f>7.7793 * CHOOSE(CONTROL!$C$32, $C$9, 100%, $E$9)</f>
        <v>7.7793000000000001</v>
      </c>
      <c r="H476" s="11">
        <f>15.0886 * CHOOSE(CONTROL!$C$32, $C$9, 100%, $E$9)</f>
        <v>15.0886</v>
      </c>
      <c r="I476" s="11">
        <f>15.0928 * CHOOSE(CONTROL!$C$32, $C$9, 100%, $E$9)</f>
        <v>15.0928</v>
      </c>
      <c r="J476" s="11">
        <f>15.0886 * CHOOSE(CONTROL!$C$32, $C$9, 100%, $E$9)</f>
        <v>15.0886</v>
      </c>
      <c r="K476" s="11">
        <f>15.0928 * CHOOSE(CONTROL!$C$32, $C$9, 100%, $E$9)</f>
        <v>15.0928</v>
      </c>
      <c r="L476" s="11">
        <f>7.7751 * CHOOSE(CONTROL!$C$32, $C$9, 100%, $E$9)</f>
        <v>7.7751000000000001</v>
      </c>
      <c r="M476" s="11">
        <f>7.7793 * CHOOSE(CONTROL!$C$32, $C$9, 100%, $E$9)</f>
        <v>7.7793000000000001</v>
      </c>
      <c r="N476" s="11">
        <f>7.7751 * CHOOSE(CONTROL!$C$32, $C$9, 100%, $E$9)</f>
        <v>7.7751000000000001</v>
      </c>
      <c r="O476" s="11">
        <f>7.7793 * CHOOSE(CONTROL!$C$32, $C$9, 100%, $E$9)</f>
        <v>7.7793000000000001</v>
      </c>
    </row>
    <row r="477" spans="1:15" ht="15" x14ac:dyDescent="0.2">
      <c r="A477" s="13">
        <v>55366</v>
      </c>
      <c r="B477" s="9">
        <f>6.8436 * CHOOSE(CONTROL!$C$32, $C$9, 100%, $E$9)</f>
        <v>6.8436000000000003</v>
      </c>
      <c r="C477" s="9">
        <f>6.8436 * CHOOSE(CONTROL!$C$32, $C$9, 100%, $E$9)</f>
        <v>6.8436000000000003</v>
      </c>
      <c r="D477" s="9">
        <f>6.8449 * CHOOSE(CONTROL!$C$32, $C$9, 100%, $E$9)</f>
        <v>6.8449</v>
      </c>
      <c r="E477" s="11">
        <f>7.6241 * CHOOSE(CONTROL!$C$32, $C$9, 100%, $E$9)</f>
        <v>7.6241000000000003</v>
      </c>
      <c r="F477" s="11">
        <f>7.6241 * CHOOSE(CONTROL!$C$32, $C$9, 100%, $E$9)</f>
        <v>7.6241000000000003</v>
      </c>
      <c r="G477" s="11">
        <f>7.6283 * CHOOSE(CONTROL!$C$32, $C$9, 100%, $E$9)</f>
        <v>7.6283000000000003</v>
      </c>
      <c r="H477" s="11">
        <f>15.12 * CHOOSE(CONTROL!$C$32, $C$9, 100%, $E$9)</f>
        <v>15.12</v>
      </c>
      <c r="I477" s="11">
        <f>15.1242 * CHOOSE(CONTROL!$C$32, $C$9, 100%, $E$9)</f>
        <v>15.1242</v>
      </c>
      <c r="J477" s="11">
        <f>15.12 * CHOOSE(CONTROL!$C$32, $C$9, 100%, $E$9)</f>
        <v>15.12</v>
      </c>
      <c r="K477" s="11">
        <f>15.1242 * CHOOSE(CONTROL!$C$32, $C$9, 100%, $E$9)</f>
        <v>15.1242</v>
      </c>
      <c r="L477" s="11">
        <f>7.6241 * CHOOSE(CONTROL!$C$32, $C$9, 100%, $E$9)</f>
        <v>7.6241000000000003</v>
      </c>
      <c r="M477" s="11">
        <f>7.6283 * CHOOSE(CONTROL!$C$32, $C$9, 100%, $E$9)</f>
        <v>7.6283000000000003</v>
      </c>
      <c r="N477" s="11">
        <f>7.6241 * CHOOSE(CONTROL!$C$32, $C$9, 100%, $E$9)</f>
        <v>7.6241000000000003</v>
      </c>
      <c r="O477" s="11">
        <f>7.6283 * CHOOSE(CONTROL!$C$32, $C$9, 100%, $E$9)</f>
        <v>7.6283000000000003</v>
      </c>
    </row>
    <row r="478" spans="1:15" ht="15" x14ac:dyDescent="0.2">
      <c r="A478" s="13">
        <v>55397</v>
      </c>
      <c r="B478" s="9">
        <f>6.8406 * CHOOSE(CONTROL!$C$32, $C$9, 100%, $E$9)</f>
        <v>6.8406000000000002</v>
      </c>
      <c r="C478" s="9">
        <f>6.8406 * CHOOSE(CONTROL!$C$32, $C$9, 100%, $E$9)</f>
        <v>6.8406000000000002</v>
      </c>
      <c r="D478" s="9">
        <f>6.8418 * CHOOSE(CONTROL!$C$32, $C$9, 100%, $E$9)</f>
        <v>6.8418000000000001</v>
      </c>
      <c r="E478" s="11">
        <f>7.6046 * CHOOSE(CONTROL!$C$32, $C$9, 100%, $E$9)</f>
        <v>7.6045999999999996</v>
      </c>
      <c r="F478" s="11">
        <f>7.6046 * CHOOSE(CONTROL!$C$32, $C$9, 100%, $E$9)</f>
        <v>7.6045999999999996</v>
      </c>
      <c r="G478" s="11">
        <f>7.6088 * CHOOSE(CONTROL!$C$32, $C$9, 100%, $E$9)</f>
        <v>7.6087999999999996</v>
      </c>
      <c r="H478" s="11">
        <f>15.1515 * CHOOSE(CONTROL!$C$32, $C$9, 100%, $E$9)</f>
        <v>15.1515</v>
      </c>
      <c r="I478" s="11">
        <f>15.1557 * CHOOSE(CONTROL!$C$32, $C$9, 100%, $E$9)</f>
        <v>15.1557</v>
      </c>
      <c r="J478" s="11">
        <f>15.1515 * CHOOSE(CONTROL!$C$32, $C$9, 100%, $E$9)</f>
        <v>15.1515</v>
      </c>
      <c r="K478" s="11">
        <f>15.1557 * CHOOSE(CONTROL!$C$32, $C$9, 100%, $E$9)</f>
        <v>15.1557</v>
      </c>
      <c r="L478" s="11">
        <f>7.6046 * CHOOSE(CONTROL!$C$32, $C$9, 100%, $E$9)</f>
        <v>7.6045999999999996</v>
      </c>
      <c r="M478" s="11">
        <f>7.6088 * CHOOSE(CONTROL!$C$32, $C$9, 100%, $E$9)</f>
        <v>7.6087999999999996</v>
      </c>
      <c r="N478" s="11">
        <f>7.6046 * CHOOSE(CONTROL!$C$32, $C$9, 100%, $E$9)</f>
        <v>7.6045999999999996</v>
      </c>
      <c r="O478" s="11">
        <f>7.6088 * CHOOSE(CONTROL!$C$32, $C$9, 100%, $E$9)</f>
        <v>7.6087999999999996</v>
      </c>
    </row>
    <row r="479" spans="1:15" ht="15" x14ac:dyDescent="0.2">
      <c r="A479" s="13">
        <v>55427</v>
      </c>
      <c r="B479" s="9">
        <f>6.8462 * CHOOSE(CONTROL!$C$32, $C$9, 100%, $E$9)</f>
        <v>6.8461999999999996</v>
      </c>
      <c r="C479" s="9">
        <f>6.8462 * CHOOSE(CONTROL!$C$32, $C$9, 100%, $E$9)</f>
        <v>6.8461999999999996</v>
      </c>
      <c r="D479" s="9">
        <f>6.8472 * CHOOSE(CONTROL!$C$32, $C$9, 100%, $E$9)</f>
        <v>6.8472</v>
      </c>
      <c r="E479" s="11">
        <f>7.6604 * CHOOSE(CONTROL!$C$32, $C$9, 100%, $E$9)</f>
        <v>7.6604000000000001</v>
      </c>
      <c r="F479" s="11">
        <f>7.6604 * CHOOSE(CONTROL!$C$32, $C$9, 100%, $E$9)</f>
        <v>7.6604000000000001</v>
      </c>
      <c r="G479" s="11">
        <f>7.6637 * CHOOSE(CONTROL!$C$32, $C$9, 100%, $E$9)</f>
        <v>7.6637000000000004</v>
      </c>
      <c r="H479" s="11">
        <f>15.1831 * CHOOSE(CONTROL!$C$32, $C$9, 100%, $E$9)</f>
        <v>15.1831</v>
      </c>
      <c r="I479" s="11">
        <f>15.1863 * CHOOSE(CONTROL!$C$32, $C$9, 100%, $E$9)</f>
        <v>15.186299999999999</v>
      </c>
      <c r="J479" s="11">
        <f>15.1831 * CHOOSE(CONTROL!$C$32, $C$9, 100%, $E$9)</f>
        <v>15.1831</v>
      </c>
      <c r="K479" s="11">
        <f>15.1863 * CHOOSE(CONTROL!$C$32, $C$9, 100%, $E$9)</f>
        <v>15.186299999999999</v>
      </c>
      <c r="L479" s="11">
        <f>7.6604 * CHOOSE(CONTROL!$C$32, $C$9, 100%, $E$9)</f>
        <v>7.6604000000000001</v>
      </c>
      <c r="M479" s="11">
        <f>7.6637 * CHOOSE(CONTROL!$C$32, $C$9, 100%, $E$9)</f>
        <v>7.6637000000000004</v>
      </c>
      <c r="N479" s="11">
        <f>7.6604 * CHOOSE(CONTROL!$C$32, $C$9, 100%, $E$9)</f>
        <v>7.6604000000000001</v>
      </c>
      <c r="O479" s="11">
        <f>7.6637 * CHOOSE(CONTROL!$C$32, $C$9, 100%, $E$9)</f>
        <v>7.6637000000000004</v>
      </c>
    </row>
    <row r="480" spans="1:15" ht="15" x14ac:dyDescent="0.2">
      <c r="A480" s="13">
        <v>55458</v>
      </c>
      <c r="B480" s="9">
        <f>6.8492 * CHOOSE(CONTROL!$C$32, $C$9, 100%, $E$9)</f>
        <v>6.8491999999999997</v>
      </c>
      <c r="C480" s="9">
        <f>6.8492 * CHOOSE(CONTROL!$C$32, $C$9, 100%, $E$9)</f>
        <v>6.8491999999999997</v>
      </c>
      <c r="D480" s="9">
        <f>6.8502 * CHOOSE(CONTROL!$C$32, $C$9, 100%, $E$9)</f>
        <v>6.8502000000000001</v>
      </c>
      <c r="E480" s="11">
        <f>7.6972 * CHOOSE(CONTROL!$C$32, $C$9, 100%, $E$9)</f>
        <v>7.6971999999999996</v>
      </c>
      <c r="F480" s="11">
        <f>7.6972 * CHOOSE(CONTROL!$C$32, $C$9, 100%, $E$9)</f>
        <v>7.6971999999999996</v>
      </c>
      <c r="G480" s="11">
        <f>7.7004 * CHOOSE(CONTROL!$C$32, $C$9, 100%, $E$9)</f>
        <v>7.7004000000000001</v>
      </c>
      <c r="H480" s="11">
        <f>15.2147 * CHOOSE(CONTROL!$C$32, $C$9, 100%, $E$9)</f>
        <v>15.214700000000001</v>
      </c>
      <c r="I480" s="11">
        <f>15.2179 * CHOOSE(CONTROL!$C$32, $C$9, 100%, $E$9)</f>
        <v>15.2179</v>
      </c>
      <c r="J480" s="11">
        <f>15.2147 * CHOOSE(CONTROL!$C$32, $C$9, 100%, $E$9)</f>
        <v>15.214700000000001</v>
      </c>
      <c r="K480" s="11">
        <f>15.2179 * CHOOSE(CONTROL!$C$32, $C$9, 100%, $E$9)</f>
        <v>15.2179</v>
      </c>
      <c r="L480" s="11">
        <f>7.6972 * CHOOSE(CONTROL!$C$32, $C$9, 100%, $E$9)</f>
        <v>7.6971999999999996</v>
      </c>
      <c r="M480" s="11">
        <f>7.7004 * CHOOSE(CONTROL!$C$32, $C$9, 100%, $E$9)</f>
        <v>7.7004000000000001</v>
      </c>
      <c r="N480" s="11">
        <f>7.6972 * CHOOSE(CONTROL!$C$32, $C$9, 100%, $E$9)</f>
        <v>7.6971999999999996</v>
      </c>
      <c r="O480" s="11">
        <f>7.7004 * CHOOSE(CONTROL!$C$32, $C$9, 100%, $E$9)</f>
        <v>7.7004000000000001</v>
      </c>
    </row>
    <row r="481" spans="1:15" ht="15" x14ac:dyDescent="0.2">
      <c r="A481" s="13">
        <v>55488</v>
      </c>
      <c r="B481" s="9">
        <f>6.8492 * CHOOSE(CONTROL!$C$32, $C$9, 100%, $E$9)</f>
        <v>6.8491999999999997</v>
      </c>
      <c r="C481" s="9">
        <f>6.8492 * CHOOSE(CONTROL!$C$32, $C$9, 100%, $E$9)</f>
        <v>6.8491999999999997</v>
      </c>
      <c r="D481" s="9">
        <f>6.8502 * CHOOSE(CONTROL!$C$32, $C$9, 100%, $E$9)</f>
        <v>6.8502000000000001</v>
      </c>
      <c r="E481" s="11">
        <f>7.6106 * CHOOSE(CONTROL!$C$32, $C$9, 100%, $E$9)</f>
        <v>7.6105999999999998</v>
      </c>
      <c r="F481" s="11">
        <f>7.6106 * CHOOSE(CONTROL!$C$32, $C$9, 100%, $E$9)</f>
        <v>7.6105999999999998</v>
      </c>
      <c r="G481" s="11">
        <f>7.6139 * CHOOSE(CONTROL!$C$32, $C$9, 100%, $E$9)</f>
        <v>7.6139000000000001</v>
      </c>
      <c r="H481" s="11">
        <f>15.2464 * CHOOSE(CONTROL!$C$32, $C$9, 100%, $E$9)</f>
        <v>15.2464</v>
      </c>
      <c r="I481" s="11">
        <f>15.2496 * CHOOSE(CONTROL!$C$32, $C$9, 100%, $E$9)</f>
        <v>15.249599999999999</v>
      </c>
      <c r="J481" s="11">
        <f>15.2464 * CHOOSE(CONTROL!$C$32, $C$9, 100%, $E$9)</f>
        <v>15.2464</v>
      </c>
      <c r="K481" s="11">
        <f>15.2496 * CHOOSE(CONTROL!$C$32, $C$9, 100%, $E$9)</f>
        <v>15.249599999999999</v>
      </c>
      <c r="L481" s="11">
        <f>7.6106 * CHOOSE(CONTROL!$C$32, $C$9, 100%, $E$9)</f>
        <v>7.6105999999999998</v>
      </c>
      <c r="M481" s="11">
        <f>7.6139 * CHOOSE(CONTROL!$C$32, $C$9, 100%, $E$9)</f>
        <v>7.6139000000000001</v>
      </c>
      <c r="N481" s="11">
        <f>7.6106 * CHOOSE(CONTROL!$C$32, $C$9, 100%, $E$9)</f>
        <v>7.6105999999999998</v>
      </c>
      <c r="O481" s="11">
        <f>7.6139 * CHOOSE(CONTROL!$C$32, $C$9, 100%, $E$9)</f>
        <v>7.6139000000000001</v>
      </c>
    </row>
    <row r="482" spans="1:15" ht="15" x14ac:dyDescent="0.2">
      <c r="A482" s="13">
        <v>55519</v>
      </c>
      <c r="B482" s="9">
        <f>6.901 * CHOOSE(CONTROL!$C$32, $C$9, 100%, $E$9)</f>
        <v>6.9009999999999998</v>
      </c>
      <c r="C482" s="9">
        <f>6.901 * CHOOSE(CONTROL!$C$32, $C$9, 100%, $E$9)</f>
        <v>6.9009999999999998</v>
      </c>
      <c r="D482" s="9">
        <f>6.9019 * CHOOSE(CONTROL!$C$32, $C$9, 100%, $E$9)</f>
        <v>6.9019000000000004</v>
      </c>
      <c r="E482" s="11">
        <f>7.7372 * CHOOSE(CONTROL!$C$32, $C$9, 100%, $E$9)</f>
        <v>7.7371999999999996</v>
      </c>
      <c r="F482" s="11">
        <f>7.7372 * CHOOSE(CONTROL!$C$32, $C$9, 100%, $E$9)</f>
        <v>7.7371999999999996</v>
      </c>
      <c r="G482" s="11">
        <f>7.7404 * CHOOSE(CONTROL!$C$32, $C$9, 100%, $E$9)</f>
        <v>7.7404000000000002</v>
      </c>
      <c r="H482" s="11">
        <f>15.2782 * CHOOSE(CONTROL!$C$32, $C$9, 100%, $E$9)</f>
        <v>15.2782</v>
      </c>
      <c r="I482" s="11">
        <f>15.2814 * CHOOSE(CONTROL!$C$32, $C$9, 100%, $E$9)</f>
        <v>15.2814</v>
      </c>
      <c r="J482" s="11">
        <f>15.2782 * CHOOSE(CONTROL!$C$32, $C$9, 100%, $E$9)</f>
        <v>15.2782</v>
      </c>
      <c r="K482" s="11">
        <f>15.2814 * CHOOSE(CONTROL!$C$32, $C$9, 100%, $E$9)</f>
        <v>15.2814</v>
      </c>
      <c r="L482" s="11">
        <f>7.7372 * CHOOSE(CONTROL!$C$32, $C$9, 100%, $E$9)</f>
        <v>7.7371999999999996</v>
      </c>
      <c r="M482" s="11">
        <f>7.7404 * CHOOSE(CONTROL!$C$32, $C$9, 100%, $E$9)</f>
        <v>7.7404000000000002</v>
      </c>
      <c r="N482" s="11">
        <f>7.7372 * CHOOSE(CONTROL!$C$32, $C$9, 100%, $E$9)</f>
        <v>7.7371999999999996</v>
      </c>
      <c r="O482" s="11">
        <f>7.7404 * CHOOSE(CONTROL!$C$32, $C$9, 100%, $E$9)</f>
        <v>7.7404000000000002</v>
      </c>
    </row>
    <row r="483" spans="1:15" ht="15" x14ac:dyDescent="0.2">
      <c r="A483" s="13">
        <v>55550</v>
      </c>
      <c r="B483" s="9">
        <f>6.8979 * CHOOSE(CONTROL!$C$32, $C$9, 100%, $E$9)</f>
        <v>6.8978999999999999</v>
      </c>
      <c r="C483" s="9">
        <f>6.8979 * CHOOSE(CONTROL!$C$32, $C$9, 100%, $E$9)</f>
        <v>6.8978999999999999</v>
      </c>
      <c r="D483" s="9">
        <f>6.8989 * CHOOSE(CONTROL!$C$32, $C$9, 100%, $E$9)</f>
        <v>6.8989000000000003</v>
      </c>
      <c r="E483" s="11">
        <f>7.5663 * CHOOSE(CONTROL!$C$32, $C$9, 100%, $E$9)</f>
        <v>7.5663</v>
      </c>
      <c r="F483" s="11">
        <f>7.5663 * CHOOSE(CONTROL!$C$32, $C$9, 100%, $E$9)</f>
        <v>7.5663</v>
      </c>
      <c r="G483" s="11">
        <f>7.5695 * CHOOSE(CONTROL!$C$32, $C$9, 100%, $E$9)</f>
        <v>7.5694999999999997</v>
      </c>
      <c r="H483" s="11">
        <f>15.31 * CHOOSE(CONTROL!$C$32, $C$9, 100%, $E$9)</f>
        <v>15.31</v>
      </c>
      <c r="I483" s="11">
        <f>15.3132 * CHOOSE(CONTROL!$C$32, $C$9, 100%, $E$9)</f>
        <v>15.3132</v>
      </c>
      <c r="J483" s="11">
        <f>15.31 * CHOOSE(CONTROL!$C$32, $C$9, 100%, $E$9)</f>
        <v>15.31</v>
      </c>
      <c r="K483" s="11">
        <f>15.3132 * CHOOSE(CONTROL!$C$32, $C$9, 100%, $E$9)</f>
        <v>15.3132</v>
      </c>
      <c r="L483" s="11">
        <f>7.5663 * CHOOSE(CONTROL!$C$32, $C$9, 100%, $E$9)</f>
        <v>7.5663</v>
      </c>
      <c r="M483" s="11">
        <f>7.5695 * CHOOSE(CONTROL!$C$32, $C$9, 100%, $E$9)</f>
        <v>7.5694999999999997</v>
      </c>
      <c r="N483" s="11">
        <f>7.5663 * CHOOSE(CONTROL!$C$32, $C$9, 100%, $E$9)</f>
        <v>7.5663</v>
      </c>
      <c r="O483" s="11">
        <f>7.5695 * CHOOSE(CONTROL!$C$32, $C$9, 100%, $E$9)</f>
        <v>7.5694999999999997</v>
      </c>
    </row>
    <row r="484" spans="1:15" ht="15" x14ac:dyDescent="0.2">
      <c r="A484" s="13">
        <v>55579</v>
      </c>
      <c r="B484" s="9">
        <f>6.8949 * CHOOSE(CONTROL!$C$32, $C$9, 100%, $E$9)</f>
        <v>6.8948999999999998</v>
      </c>
      <c r="C484" s="9">
        <f>6.8949 * CHOOSE(CONTROL!$C$32, $C$9, 100%, $E$9)</f>
        <v>6.8948999999999998</v>
      </c>
      <c r="D484" s="9">
        <f>6.8959 * CHOOSE(CONTROL!$C$32, $C$9, 100%, $E$9)</f>
        <v>6.8959000000000001</v>
      </c>
      <c r="E484" s="11">
        <f>7.6972 * CHOOSE(CONTROL!$C$32, $C$9, 100%, $E$9)</f>
        <v>7.6971999999999996</v>
      </c>
      <c r="F484" s="11">
        <f>7.6972 * CHOOSE(CONTROL!$C$32, $C$9, 100%, $E$9)</f>
        <v>7.6971999999999996</v>
      </c>
      <c r="G484" s="11">
        <f>7.7005 * CHOOSE(CONTROL!$C$32, $C$9, 100%, $E$9)</f>
        <v>7.7004999999999999</v>
      </c>
      <c r="H484" s="11">
        <f>15.3419 * CHOOSE(CONTROL!$C$32, $C$9, 100%, $E$9)</f>
        <v>15.341900000000001</v>
      </c>
      <c r="I484" s="11">
        <f>15.3451 * CHOOSE(CONTROL!$C$32, $C$9, 100%, $E$9)</f>
        <v>15.3451</v>
      </c>
      <c r="J484" s="11">
        <f>15.3419 * CHOOSE(CONTROL!$C$32, $C$9, 100%, $E$9)</f>
        <v>15.341900000000001</v>
      </c>
      <c r="K484" s="11">
        <f>15.3451 * CHOOSE(CONTROL!$C$32, $C$9, 100%, $E$9)</f>
        <v>15.3451</v>
      </c>
      <c r="L484" s="11">
        <f>7.6972 * CHOOSE(CONTROL!$C$32, $C$9, 100%, $E$9)</f>
        <v>7.6971999999999996</v>
      </c>
      <c r="M484" s="11">
        <f>7.7005 * CHOOSE(CONTROL!$C$32, $C$9, 100%, $E$9)</f>
        <v>7.7004999999999999</v>
      </c>
      <c r="N484" s="11">
        <f>7.6972 * CHOOSE(CONTROL!$C$32, $C$9, 100%, $E$9)</f>
        <v>7.6971999999999996</v>
      </c>
      <c r="O484" s="11">
        <f>7.7005 * CHOOSE(CONTROL!$C$32, $C$9, 100%, $E$9)</f>
        <v>7.7004999999999999</v>
      </c>
    </row>
    <row r="485" spans="1:15" ht="15" x14ac:dyDescent="0.2">
      <c r="A485" s="13">
        <v>55610</v>
      </c>
      <c r="B485" s="9">
        <f>6.8953 * CHOOSE(CONTROL!$C$32, $C$9, 100%, $E$9)</f>
        <v>6.8952999999999998</v>
      </c>
      <c r="C485" s="9">
        <f>6.8953 * CHOOSE(CONTROL!$C$32, $C$9, 100%, $E$9)</f>
        <v>6.8952999999999998</v>
      </c>
      <c r="D485" s="9">
        <f>6.8963 * CHOOSE(CONTROL!$C$32, $C$9, 100%, $E$9)</f>
        <v>6.8963000000000001</v>
      </c>
      <c r="E485" s="11">
        <f>7.8359 * CHOOSE(CONTROL!$C$32, $C$9, 100%, $E$9)</f>
        <v>7.8358999999999996</v>
      </c>
      <c r="F485" s="11">
        <f>7.8359 * CHOOSE(CONTROL!$C$32, $C$9, 100%, $E$9)</f>
        <v>7.8358999999999996</v>
      </c>
      <c r="G485" s="11">
        <f>7.8392 * CHOOSE(CONTROL!$C$32, $C$9, 100%, $E$9)</f>
        <v>7.8391999999999999</v>
      </c>
      <c r="H485" s="11">
        <f>15.3739 * CHOOSE(CONTROL!$C$32, $C$9, 100%, $E$9)</f>
        <v>15.373900000000001</v>
      </c>
      <c r="I485" s="11">
        <f>15.3771 * CHOOSE(CONTROL!$C$32, $C$9, 100%, $E$9)</f>
        <v>15.3771</v>
      </c>
      <c r="J485" s="11">
        <f>15.3739 * CHOOSE(CONTROL!$C$32, $C$9, 100%, $E$9)</f>
        <v>15.373900000000001</v>
      </c>
      <c r="K485" s="11">
        <f>15.3771 * CHOOSE(CONTROL!$C$32, $C$9, 100%, $E$9)</f>
        <v>15.3771</v>
      </c>
      <c r="L485" s="11">
        <f>7.8359 * CHOOSE(CONTROL!$C$32, $C$9, 100%, $E$9)</f>
        <v>7.8358999999999996</v>
      </c>
      <c r="M485" s="11">
        <f>7.8392 * CHOOSE(CONTROL!$C$32, $C$9, 100%, $E$9)</f>
        <v>7.8391999999999999</v>
      </c>
      <c r="N485" s="11">
        <f>7.8359 * CHOOSE(CONTROL!$C$32, $C$9, 100%, $E$9)</f>
        <v>7.8358999999999996</v>
      </c>
      <c r="O485" s="11">
        <f>7.8392 * CHOOSE(CONTROL!$C$32, $C$9, 100%, $E$9)</f>
        <v>7.8391999999999999</v>
      </c>
    </row>
    <row r="486" spans="1:15" ht="15" x14ac:dyDescent="0.2">
      <c r="A486" s="13">
        <v>55640</v>
      </c>
      <c r="B486" s="9">
        <f>6.8953 * CHOOSE(CONTROL!$C$32, $C$9, 100%, $E$9)</f>
        <v>6.8952999999999998</v>
      </c>
      <c r="C486" s="9">
        <f>6.8953 * CHOOSE(CONTROL!$C$32, $C$9, 100%, $E$9)</f>
        <v>6.8952999999999998</v>
      </c>
      <c r="D486" s="9">
        <f>6.8966 * CHOOSE(CONTROL!$C$32, $C$9, 100%, $E$9)</f>
        <v>6.8966000000000003</v>
      </c>
      <c r="E486" s="11">
        <f>7.8895 * CHOOSE(CONTROL!$C$32, $C$9, 100%, $E$9)</f>
        <v>7.8895</v>
      </c>
      <c r="F486" s="11">
        <f>7.8895 * CHOOSE(CONTROL!$C$32, $C$9, 100%, $E$9)</f>
        <v>7.8895</v>
      </c>
      <c r="G486" s="11">
        <f>7.8937 * CHOOSE(CONTROL!$C$32, $C$9, 100%, $E$9)</f>
        <v>7.8936999999999999</v>
      </c>
      <c r="H486" s="11">
        <f>15.4059 * CHOOSE(CONTROL!$C$32, $C$9, 100%, $E$9)</f>
        <v>15.405900000000001</v>
      </c>
      <c r="I486" s="11">
        <f>15.4101 * CHOOSE(CONTROL!$C$32, $C$9, 100%, $E$9)</f>
        <v>15.4101</v>
      </c>
      <c r="J486" s="11">
        <f>15.4059 * CHOOSE(CONTROL!$C$32, $C$9, 100%, $E$9)</f>
        <v>15.405900000000001</v>
      </c>
      <c r="K486" s="11">
        <f>15.4101 * CHOOSE(CONTROL!$C$32, $C$9, 100%, $E$9)</f>
        <v>15.4101</v>
      </c>
      <c r="L486" s="11">
        <f>7.8895 * CHOOSE(CONTROL!$C$32, $C$9, 100%, $E$9)</f>
        <v>7.8895</v>
      </c>
      <c r="M486" s="11">
        <f>7.8937 * CHOOSE(CONTROL!$C$32, $C$9, 100%, $E$9)</f>
        <v>7.8936999999999999</v>
      </c>
      <c r="N486" s="11">
        <f>7.8895 * CHOOSE(CONTROL!$C$32, $C$9, 100%, $E$9)</f>
        <v>7.8895</v>
      </c>
      <c r="O486" s="11">
        <f>7.8937 * CHOOSE(CONTROL!$C$32, $C$9, 100%, $E$9)</f>
        <v>7.8936999999999999</v>
      </c>
    </row>
    <row r="487" spans="1:15" ht="15" x14ac:dyDescent="0.2">
      <c r="A487" s="13">
        <v>55671</v>
      </c>
      <c r="B487" s="9">
        <f>6.9014 * CHOOSE(CONTROL!$C$32, $C$9, 100%, $E$9)</f>
        <v>6.9013999999999998</v>
      </c>
      <c r="C487" s="9">
        <f>6.9014 * CHOOSE(CONTROL!$C$32, $C$9, 100%, $E$9)</f>
        <v>6.9013999999999998</v>
      </c>
      <c r="D487" s="9">
        <f>6.9027 * CHOOSE(CONTROL!$C$32, $C$9, 100%, $E$9)</f>
        <v>6.9027000000000003</v>
      </c>
      <c r="E487" s="11">
        <f>7.8402 * CHOOSE(CONTROL!$C$32, $C$9, 100%, $E$9)</f>
        <v>7.8402000000000003</v>
      </c>
      <c r="F487" s="11">
        <f>7.8402 * CHOOSE(CONTROL!$C$32, $C$9, 100%, $E$9)</f>
        <v>7.8402000000000003</v>
      </c>
      <c r="G487" s="11">
        <f>7.8444 * CHOOSE(CONTROL!$C$32, $C$9, 100%, $E$9)</f>
        <v>7.8444000000000003</v>
      </c>
      <c r="H487" s="11">
        <f>15.438 * CHOOSE(CONTROL!$C$32, $C$9, 100%, $E$9)</f>
        <v>15.438000000000001</v>
      </c>
      <c r="I487" s="11">
        <f>15.4422 * CHOOSE(CONTROL!$C$32, $C$9, 100%, $E$9)</f>
        <v>15.4422</v>
      </c>
      <c r="J487" s="11">
        <f>15.438 * CHOOSE(CONTROL!$C$32, $C$9, 100%, $E$9)</f>
        <v>15.438000000000001</v>
      </c>
      <c r="K487" s="11">
        <f>15.4422 * CHOOSE(CONTROL!$C$32, $C$9, 100%, $E$9)</f>
        <v>15.4422</v>
      </c>
      <c r="L487" s="11">
        <f>7.8402 * CHOOSE(CONTROL!$C$32, $C$9, 100%, $E$9)</f>
        <v>7.8402000000000003</v>
      </c>
      <c r="M487" s="11">
        <f>7.8444 * CHOOSE(CONTROL!$C$32, $C$9, 100%, $E$9)</f>
        <v>7.8444000000000003</v>
      </c>
      <c r="N487" s="11">
        <f>7.8402 * CHOOSE(CONTROL!$C$32, $C$9, 100%, $E$9)</f>
        <v>7.8402000000000003</v>
      </c>
      <c r="O487" s="11">
        <f>7.8444 * CHOOSE(CONTROL!$C$32, $C$9, 100%, $E$9)</f>
        <v>7.8444000000000003</v>
      </c>
    </row>
    <row r="488" spans="1:15" ht="15" x14ac:dyDescent="0.2">
      <c r="A488" s="13">
        <v>55701</v>
      </c>
      <c r="B488" s="9">
        <f>6.9918 * CHOOSE(CONTROL!$C$32, $C$9, 100%, $E$9)</f>
        <v>6.9917999999999996</v>
      </c>
      <c r="C488" s="9">
        <f>6.9918 * CHOOSE(CONTROL!$C$32, $C$9, 100%, $E$9)</f>
        <v>6.9917999999999996</v>
      </c>
      <c r="D488" s="9">
        <f>6.9931 * CHOOSE(CONTROL!$C$32, $C$9, 100%, $E$9)</f>
        <v>6.9931000000000001</v>
      </c>
      <c r="E488" s="11">
        <f>7.9482 * CHOOSE(CONTROL!$C$32, $C$9, 100%, $E$9)</f>
        <v>7.9481999999999999</v>
      </c>
      <c r="F488" s="11">
        <f>7.9482 * CHOOSE(CONTROL!$C$32, $C$9, 100%, $E$9)</f>
        <v>7.9481999999999999</v>
      </c>
      <c r="G488" s="11">
        <f>7.9524 * CHOOSE(CONTROL!$C$32, $C$9, 100%, $E$9)</f>
        <v>7.9523999999999999</v>
      </c>
      <c r="H488" s="11">
        <f>15.4702 * CHOOSE(CONTROL!$C$32, $C$9, 100%, $E$9)</f>
        <v>15.4702</v>
      </c>
      <c r="I488" s="11">
        <f>15.4744 * CHOOSE(CONTROL!$C$32, $C$9, 100%, $E$9)</f>
        <v>15.474399999999999</v>
      </c>
      <c r="J488" s="11">
        <f>15.4702 * CHOOSE(CONTROL!$C$32, $C$9, 100%, $E$9)</f>
        <v>15.4702</v>
      </c>
      <c r="K488" s="11">
        <f>15.4744 * CHOOSE(CONTROL!$C$32, $C$9, 100%, $E$9)</f>
        <v>15.474399999999999</v>
      </c>
      <c r="L488" s="11">
        <f>7.9482 * CHOOSE(CONTROL!$C$32, $C$9, 100%, $E$9)</f>
        <v>7.9481999999999999</v>
      </c>
      <c r="M488" s="11">
        <f>7.9524 * CHOOSE(CONTROL!$C$32, $C$9, 100%, $E$9)</f>
        <v>7.9523999999999999</v>
      </c>
      <c r="N488" s="11">
        <f>7.9482 * CHOOSE(CONTROL!$C$32, $C$9, 100%, $E$9)</f>
        <v>7.9481999999999999</v>
      </c>
      <c r="O488" s="11">
        <f>7.9524 * CHOOSE(CONTROL!$C$32, $C$9, 100%, $E$9)</f>
        <v>7.9523999999999999</v>
      </c>
    </row>
    <row r="489" spans="1:15" ht="15" x14ac:dyDescent="0.2">
      <c r="A489" s="13">
        <v>55732</v>
      </c>
      <c r="B489" s="9">
        <f>6.9985 * CHOOSE(CONTROL!$C$32, $C$9, 100%, $E$9)</f>
        <v>6.9984999999999999</v>
      </c>
      <c r="C489" s="9">
        <f>6.9985 * CHOOSE(CONTROL!$C$32, $C$9, 100%, $E$9)</f>
        <v>6.9984999999999999</v>
      </c>
      <c r="D489" s="9">
        <f>6.9997 * CHOOSE(CONTROL!$C$32, $C$9, 100%, $E$9)</f>
        <v>6.9996999999999998</v>
      </c>
      <c r="E489" s="11">
        <f>7.7921 * CHOOSE(CONTROL!$C$32, $C$9, 100%, $E$9)</f>
        <v>7.7920999999999996</v>
      </c>
      <c r="F489" s="11">
        <f>7.7921 * CHOOSE(CONTROL!$C$32, $C$9, 100%, $E$9)</f>
        <v>7.7920999999999996</v>
      </c>
      <c r="G489" s="11">
        <f>7.7963 * CHOOSE(CONTROL!$C$32, $C$9, 100%, $E$9)</f>
        <v>7.7962999999999996</v>
      </c>
      <c r="H489" s="11">
        <f>15.5024 * CHOOSE(CONTROL!$C$32, $C$9, 100%, $E$9)</f>
        <v>15.5024</v>
      </c>
      <c r="I489" s="11">
        <f>15.5066 * CHOOSE(CONTROL!$C$32, $C$9, 100%, $E$9)</f>
        <v>15.506600000000001</v>
      </c>
      <c r="J489" s="11">
        <f>15.5024 * CHOOSE(CONTROL!$C$32, $C$9, 100%, $E$9)</f>
        <v>15.5024</v>
      </c>
      <c r="K489" s="11">
        <f>15.5066 * CHOOSE(CONTROL!$C$32, $C$9, 100%, $E$9)</f>
        <v>15.506600000000001</v>
      </c>
      <c r="L489" s="11">
        <f>7.7921 * CHOOSE(CONTROL!$C$32, $C$9, 100%, $E$9)</f>
        <v>7.7920999999999996</v>
      </c>
      <c r="M489" s="11">
        <f>7.7963 * CHOOSE(CONTROL!$C$32, $C$9, 100%, $E$9)</f>
        <v>7.7962999999999996</v>
      </c>
      <c r="N489" s="11">
        <f>7.7921 * CHOOSE(CONTROL!$C$32, $C$9, 100%, $E$9)</f>
        <v>7.7920999999999996</v>
      </c>
      <c r="O489" s="11">
        <f>7.7963 * CHOOSE(CONTROL!$C$32, $C$9, 100%, $E$9)</f>
        <v>7.7962999999999996</v>
      </c>
    </row>
    <row r="490" spans="1:15" ht="15" x14ac:dyDescent="0.2">
      <c r="A490" s="13">
        <v>55763</v>
      </c>
      <c r="B490" s="9">
        <f>6.9955 * CHOOSE(CONTROL!$C$32, $C$9, 100%, $E$9)</f>
        <v>6.9954999999999998</v>
      </c>
      <c r="C490" s="9">
        <f>6.9955 * CHOOSE(CONTROL!$C$32, $C$9, 100%, $E$9)</f>
        <v>6.9954999999999998</v>
      </c>
      <c r="D490" s="9">
        <f>6.9967 * CHOOSE(CONTROL!$C$32, $C$9, 100%, $E$9)</f>
        <v>6.9966999999999997</v>
      </c>
      <c r="E490" s="11">
        <f>7.7721 * CHOOSE(CONTROL!$C$32, $C$9, 100%, $E$9)</f>
        <v>7.7721</v>
      </c>
      <c r="F490" s="11">
        <f>7.7721 * CHOOSE(CONTROL!$C$32, $C$9, 100%, $E$9)</f>
        <v>7.7721</v>
      </c>
      <c r="G490" s="11">
        <f>7.7763 * CHOOSE(CONTROL!$C$32, $C$9, 100%, $E$9)</f>
        <v>7.7763</v>
      </c>
      <c r="H490" s="11">
        <f>15.5347 * CHOOSE(CONTROL!$C$32, $C$9, 100%, $E$9)</f>
        <v>15.534700000000001</v>
      </c>
      <c r="I490" s="11">
        <f>15.5389 * CHOOSE(CONTROL!$C$32, $C$9, 100%, $E$9)</f>
        <v>15.5389</v>
      </c>
      <c r="J490" s="11">
        <f>15.5347 * CHOOSE(CONTROL!$C$32, $C$9, 100%, $E$9)</f>
        <v>15.534700000000001</v>
      </c>
      <c r="K490" s="11">
        <f>15.5389 * CHOOSE(CONTROL!$C$32, $C$9, 100%, $E$9)</f>
        <v>15.5389</v>
      </c>
      <c r="L490" s="11">
        <f>7.7721 * CHOOSE(CONTROL!$C$32, $C$9, 100%, $E$9)</f>
        <v>7.7721</v>
      </c>
      <c r="M490" s="11">
        <f>7.7763 * CHOOSE(CONTROL!$C$32, $C$9, 100%, $E$9)</f>
        <v>7.7763</v>
      </c>
      <c r="N490" s="11">
        <f>7.7721 * CHOOSE(CONTROL!$C$32, $C$9, 100%, $E$9)</f>
        <v>7.7721</v>
      </c>
      <c r="O490" s="11">
        <f>7.7763 * CHOOSE(CONTROL!$C$32, $C$9, 100%, $E$9)</f>
        <v>7.7763</v>
      </c>
    </row>
    <row r="491" spans="1:15" ht="15" x14ac:dyDescent="0.2">
      <c r="A491" s="13">
        <v>55793</v>
      </c>
      <c r="B491" s="9">
        <f>7.0017 * CHOOSE(CONTROL!$C$32, $C$9, 100%, $E$9)</f>
        <v>7.0016999999999996</v>
      </c>
      <c r="C491" s="9">
        <f>7.0017 * CHOOSE(CONTROL!$C$32, $C$9, 100%, $E$9)</f>
        <v>7.0016999999999996</v>
      </c>
      <c r="D491" s="9">
        <f>7.0026 * CHOOSE(CONTROL!$C$32, $C$9, 100%, $E$9)</f>
        <v>7.0026000000000002</v>
      </c>
      <c r="E491" s="11">
        <f>7.8302 * CHOOSE(CONTROL!$C$32, $C$9, 100%, $E$9)</f>
        <v>7.8301999999999996</v>
      </c>
      <c r="F491" s="11">
        <f>7.8302 * CHOOSE(CONTROL!$C$32, $C$9, 100%, $E$9)</f>
        <v>7.8301999999999996</v>
      </c>
      <c r="G491" s="11">
        <f>7.8334 * CHOOSE(CONTROL!$C$32, $C$9, 100%, $E$9)</f>
        <v>7.8334000000000001</v>
      </c>
      <c r="H491" s="11">
        <f>15.567 * CHOOSE(CONTROL!$C$32, $C$9, 100%, $E$9)</f>
        <v>15.567</v>
      </c>
      <c r="I491" s="11">
        <f>15.5703 * CHOOSE(CONTROL!$C$32, $C$9, 100%, $E$9)</f>
        <v>15.5703</v>
      </c>
      <c r="J491" s="11">
        <f>15.567 * CHOOSE(CONTROL!$C$32, $C$9, 100%, $E$9)</f>
        <v>15.567</v>
      </c>
      <c r="K491" s="11">
        <f>15.5703 * CHOOSE(CONTROL!$C$32, $C$9, 100%, $E$9)</f>
        <v>15.5703</v>
      </c>
      <c r="L491" s="11">
        <f>7.8302 * CHOOSE(CONTROL!$C$32, $C$9, 100%, $E$9)</f>
        <v>7.8301999999999996</v>
      </c>
      <c r="M491" s="11">
        <f>7.8334 * CHOOSE(CONTROL!$C$32, $C$9, 100%, $E$9)</f>
        <v>7.8334000000000001</v>
      </c>
      <c r="N491" s="11">
        <f>7.8302 * CHOOSE(CONTROL!$C$32, $C$9, 100%, $E$9)</f>
        <v>7.8301999999999996</v>
      </c>
      <c r="O491" s="11">
        <f>7.8334 * CHOOSE(CONTROL!$C$32, $C$9, 100%, $E$9)</f>
        <v>7.8334000000000001</v>
      </c>
    </row>
    <row r="492" spans="1:15" ht="15" x14ac:dyDescent="0.2">
      <c r="A492" s="13">
        <v>55824</v>
      </c>
      <c r="B492" s="9">
        <f>7.0047 * CHOOSE(CONTROL!$C$32, $C$9, 100%, $E$9)</f>
        <v>7.0046999999999997</v>
      </c>
      <c r="C492" s="9">
        <f>7.0047 * CHOOSE(CONTROL!$C$32, $C$9, 100%, $E$9)</f>
        <v>7.0046999999999997</v>
      </c>
      <c r="D492" s="9">
        <f>7.0057 * CHOOSE(CONTROL!$C$32, $C$9, 100%, $E$9)</f>
        <v>7.0057</v>
      </c>
      <c r="E492" s="11">
        <f>7.868 * CHOOSE(CONTROL!$C$32, $C$9, 100%, $E$9)</f>
        <v>7.8680000000000003</v>
      </c>
      <c r="F492" s="11">
        <f>7.868 * CHOOSE(CONTROL!$C$32, $C$9, 100%, $E$9)</f>
        <v>7.8680000000000003</v>
      </c>
      <c r="G492" s="11">
        <f>7.8712 * CHOOSE(CONTROL!$C$32, $C$9, 100%, $E$9)</f>
        <v>7.8712</v>
      </c>
      <c r="H492" s="11">
        <f>15.5995 * CHOOSE(CONTROL!$C$32, $C$9, 100%, $E$9)</f>
        <v>15.599500000000001</v>
      </c>
      <c r="I492" s="11">
        <f>15.6027 * CHOOSE(CONTROL!$C$32, $C$9, 100%, $E$9)</f>
        <v>15.6027</v>
      </c>
      <c r="J492" s="11">
        <f>15.5995 * CHOOSE(CONTROL!$C$32, $C$9, 100%, $E$9)</f>
        <v>15.599500000000001</v>
      </c>
      <c r="K492" s="11">
        <f>15.6027 * CHOOSE(CONTROL!$C$32, $C$9, 100%, $E$9)</f>
        <v>15.6027</v>
      </c>
      <c r="L492" s="11">
        <f>7.868 * CHOOSE(CONTROL!$C$32, $C$9, 100%, $E$9)</f>
        <v>7.8680000000000003</v>
      </c>
      <c r="M492" s="11">
        <f>7.8712 * CHOOSE(CONTROL!$C$32, $C$9, 100%, $E$9)</f>
        <v>7.8712</v>
      </c>
      <c r="N492" s="11">
        <f>7.868 * CHOOSE(CONTROL!$C$32, $C$9, 100%, $E$9)</f>
        <v>7.8680000000000003</v>
      </c>
      <c r="O492" s="11">
        <f>7.8712 * CHOOSE(CONTROL!$C$32, $C$9, 100%, $E$9)</f>
        <v>7.8712</v>
      </c>
    </row>
    <row r="493" spans="1:15" ht="15" x14ac:dyDescent="0.2">
      <c r="A493" s="13">
        <v>55854</v>
      </c>
      <c r="B493" s="9">
        <f>7.0047 * CHOOSE(CONTROL!$C$32, $C$9, 100%, $E$9)</f>
        <v>7.0046999999999997</v>
      </c>
      <c r="C493" s="9">
        <f>7.0047 * CHOOSE(CONTROL!$C$32, $C$9, 100%, $E$9)</f>
        <v>7.0046999999999997</v>
      </c>
      <c r="D493" s="9">
        <f>7.0057 * CHOOSE(CONTROL!$C$32, $C$9, 100%, $E$9)</f>
        <v>7.0057</v>
      </c>
      <c r="E493" s="11">
        <f>7.7787 * CHOOSE(CONTROL!$C$32, $C$9, 100%, $E$9)</f>
        <v>7.7786999999999997</v>
      </c>
      <c r="F493" s="11">
        <f>7.7787 * CHOOSE(CONTROL!$C$32, $C$9, 100%, $E$9)</f>
        <v>7.7786999999999997</v>
      </c>
      <c r="G493" s="11">
        <f>7.7819 * CHOOSE(CONTROL!$C$32, $C$9, 100%, $E$9)</f>
        <v>7.7819000000000003</v>
      </c>
      <c r="H493" s="11">
        <f>15.632 * CHOOSE(CONTROL!$C$32, $C$9, 100%, $E$9)</f>
        <v>15.632</v>
      </c>
      <c r="I493" s="11">
        <f>15.6352 * CHOOSE(CONTROL!$C$32, $C$9, 100%, $E$9)</f>
        <v>15.635199999999999</v>
      </c>
      <c r="J493" s="11">
        <f>15.632 * CHOOSE(CONTROL!$C$32, $C$9, 100%, $E$9)</f>
        <v>15.632</v>
      </c>
      <c r="K493" s="11">
        <f>15.6352 * CHOOSE(CONTROL!$C$32, $C$9, 100%, $E$9)</f>
        <v>15.635199999999999</v>
      </c>
      <c r="L493" s="11">
        <f>7.7787 * CHOOSE(CONTROL!$C$32, $C$9, 100%, $E$9)</f>
        <v>7.7786999999999997</v>
      </c>
      <c r="M493" s="11">
        <f>7.7819 * CHOOSE(CONTROL!$C$32, $C$9, 100%, $E$9)</f>
        <v>7.7819000000000003</v>
      </c>
      <c r="N493" s="11">
        <f>7.7787 * CHOOSE(CONTROL!$C$32, $C$9, 100%, $E$9)</f>
        <v>7.7786999999999997</v>
      </c>
      <c r="O493" s="11">
        <f>7.7819 * CHOOSE(CONTROL!$C$32, $C$9, 100%, $E$9)</f>
        <v>7.7819000000000003</v>
      </c>
    </row>
    <row r="494" spans="1:15" ht="15" x14ac:dyDescent="0.2">
      <c r="A494" s="13">
        <v>55885</v>
      </c>
      <c r="B494" s="9">
        <f>7.0575 * CHOOSE(CONTROL!$C$32, $C$9, 100%, $E$9)</f>
        <v>7.0575000000000001</v>
      </c>
      <c r="C494" s="9">
        <f>7.0575 * CHOOSE(CONTROL!$C$32, $C$9, 100%, $E$9)</f>
        <v>7.0575000000000001</v>
      </c>
      <c r="D494" s="9">
        <f>7.0585 * CHOOSE(CONTROL!$C$32, $C$9, 100%, $E$9)</f>
        <v>7.0585000000000004</v>
      </c>
      <c r="E494" s="11">
        <f>7.9087 * CHOOSE(CONTROL!$C$32, $C$9, 100%, $E$9)</f>
        <v>7.9086999999999996</v>
      </c>
      <c r="F494" s="11">
        <f>7.9087 * CHOOSE(CONTROL!$C$32, $C$9, 100%, $E$9)</f>
        <v>7.9086999999999996</v>
      </c>
      <c r="G494" s="11">
        <f>7.912 * CHOOSE(CONTROL!$C$32, $C$9, 100%, $E$9)</f>
        <v>7.9119999999999999</v>
      </c>
      <c r="H494" s="11">
        <f>15.6645 * CHOOSE(CONTROL!$C$32, $C$9, 100%, $E$9)</f>
        <v>15.6645</v>
      </c>
      <c r="I494" s="11">
        <f>15.6678 * CHOOSE(CONTROL!$C$32, $C$9, 100%, $E$9)</f>
        <v>15.6678</v>
      </c>
      <c r="J494" s="11">
        <f>15.6645 * CHOOSE(CONTROL!$C$32, $C$9, 100%, $E$9)</f>
        <v>15.6645</v>
      </c>
      <c r="K494" s="11">
        <f>15.6678 * CHOOSE(CONTROL!$C$32, $C$9, 100%, $E$9)</f>
        <v>15.6678</v>
      </c>
      <c r="L494" s="11">
        <f>7.9087 * CHOOSE(CONTROL!$C$32, $C$9, 100%, $E$9)</f>
        <v>7.9086999999999996</v>
      </c>
      <c r="M494" s="11">
        <f>7.912 * CHOOSE(CONTROL!$C$32, $C$9, 100%, $E$9)</f>
        <v>7.9119999999999999</v>
      </c>
      <c r="N494" s="11">
        <f>7.9087 * CHOOSE(CONTROL!$C$32, $C$9, 100%, $E$9)</f>
        <v>7.9086999999999996</v>
      </c>
      <c r="O494" s="11">
        <f>7.912 * CHOOSE(CONTROL!$C$32, $C$9, 100%, $E$9)</f>
        <v>7.9119999999999999</v>
      </c>
    </row>
    <row r="495" spans="1:15" ht="15" x14ac:dyDescent="0.2">
      <c r="A495" s="13">
        <v>55916</v>
      </c>
      <c r="B495" s="9">
        <f>7.0545 * CHOOSE(CONTROL!$C$32, $C$9, 100%, $E$9)</f>
        <v>7.0545</v>
      </c>
      <c r="C495" s="9">
        <f>7.0545 * CHOOSE(CONTROL!$C$32, $C$9, 100%, $E$9)</f>
        <v>7.0545</v>
      </c>
      <c r="D495" s="9">
        <f>7.0554 * CHOOSE(CONTROL!$C$32, $C$9, 100%, $E$9)</f>
        <v>7.0553999999999997</v>
      </c>
      <c r="E495" s="11">
        <f>7.7323 * CHOOSE(CONTROL!$C$32, $C$9, 100%, $E$9)</f>
        <v>7.7323000000000004</v>
      </c>
      <c r="F495" s="11">
        <f>7.7323 * CHOOSE(CONTROL!$C$32, $C$9, 100%, $E$9)</f>
        <v>7.7323000000000004</v>
      </c>
      <c r="G495" s="11">
        <f>7.7355 * CHOOSE(CONTROL!$C$32, $C$9, 100%, $E$9)</f>
        <v>7.7355</v>
      </c>
      <c r="H495" s="11">
        <f>15.6972 * CHOOSE(CONTROL!$C$32, $C$9, 100%, $E$9)</f>
        <v>15.6972</v>
      </c>
      <c r="I495" s="11">
        <f>15.7004 * CHOOSE(CONTROL!$C$32, $C$9, 100%, $E$9)</f>
        <v>15.7004</v>
      </c>
      <c r="J495" s="11">
        <f>15.6972 * CHOOSE(CONTROL!$C$32, $C$9, 100%, $E$9)</f>
        <v>15.6972</v>
      </c>
      <c r="K495" s="11">
        <f>15.7004 * CHOOSE(CONTROL!$C$32, $C$9, 100%, $E$9)</f>
        <v>15.7004</v>
      </c>
      <c r="L495" s="11">
        <f>7.7323 * CHOOSE(CONTROL!$C$32, $C$9, 100%, $E$9)</f>
        <v>7.7323000000000004</v>
      </c>
      <c r="M495" s="11">
        <f>7.7355 * CHOOSE(CONTROL!$C$32, $C$9, 100%, $E$9)</f>
        <v>7.7355</v>
      </c>
      <c r="N495" s="11">
        <f>7.7323 * CHOOSE(CONTROL!$C$32, $C$9, 100%, $E$9)</f>
        <v>7.7323000000000004</v>
      </c>
      <c r="O495" s="11">
        <f>7.7355 * CHOOSE(CONTROL!$C$32, $C$9, 100%, $E$9)</f>
        <v>7.7355</v>
      </c>
    </row>
    <row r="496" spans="1:15" ht="15" x14ac:dyDescent="0.2">
      <c r="A496" s="13">
        <v>55944</v>
      </c>
      <c r="B496" s="9">
        <f>7.0514 * CHOOSE(CONTROL!$C$32, $C$9, 100%, $E$9)</f>
        <v>7.0514000000000001</v>
      </c>
      <c r="C496" s="9">
        <f>7.0514 * CHOOSE(CONTROL!$C$32, $C$9, 100%, $E$9)</f>
        <v>7.0514000000000001</v>
      </c>
      <c r="D496" s="9">
        <f>7.0524 * CHOOSE(CONTROL!$C$32, $C$9, 100%, $E$9)</f>
        <v>7.0523999999999996</v>
      </c>
      <c r="E496" s="11">
        <f>7.8676 * CHOOSE(CONTROL!$C$32, $C$9, 100%, $E$9)</f>
        <v>7.8676000000000004</v>
      </c>
      <c r="F496" s="11">
        <f>7.8676 * CHOOSE(CONTROL!$C$32, $C$9, 100%, $E$9)</f>
        <v>7.8676000000000004</v>
      </c>
      <c r="G496" s="11">
        <f>7.8708 * CHOOSE(CONTROL!$C$32, $C$9, 100%, $E$9)</f>
        <v>7.8708</v>
      </c>
      <c r="H496" s="11">
        <f>15.7299 * CHOOSE(CONTROL!$C$32, $C$9, 100%, $E$9)</f>
        <v>15.729900000000001</v>
      </c>
      <c r="I496" s="11">
        <f>15.7331 * CHOOSE(CONTROL!$C$32, $C$9, 100%, $E$9)</f>
        <v>15.7331</v>
      </c>
      <c r="J496" s="11">
        <f>15.7299 * CHOOSE(CONTROL!$C$32, $C$9, 100%, $E$9)</f>
        <v>15.729900000000001</v>
      </c>
      <c r="K496" s="11">
        <f>15.7331 * CHOOSE(CONTROL!$C$32, $C$9, 100%, $E$9)</f>
        <v>15.7331</v>
      </c>
      <c r="L496" s="11">
        <f>7.8676 * CHOOSE(CONTROL!$C$32, $C$9, 100%, $E$9)</f>
        <v>7.8676000000000004</v>
      </c>
      <c r="M496" s="11">
        <f>7.8708 * CHOOSE(CONTROL!$C$32, $C$9, 100%, $E$9)</f>
        <v>7.8708</v>
      </c>
      <c r="N496" s="11">
        <f>7.8676 * CHOOSE(CONTROL!$C$32, $C$9, 100%, $E$9)</f>
        <v>7.8676000000000004</v>
      </c>
      <c r="O496" s="11">
        <f>7.8708 * CHOOSE(CONTROL!$C$32, $C$9, 100%, $E$9)</f>
        <v>7.8708</v>
      </c>
    </row>
    <row r="497" spans="1:15" ht="15" x14ac:dyDescent="0.2">
      <c r="A497" s="13">
        <v>55975</v>
      </c>
      <c r="B497" s="9">
        <f>7.052 * CHOOSE(CONTROL!$C$32, $C$9, 100%, $E$9)</f>
        <v>7.0519999999999996</v>
      </c>
      <c r="C497" s="9">
        <f>7.052 * CHOOSE(CONTROL!$C$32, $C$9, 100%, $E$9)</f>
        <v>7.0519999999999996</v>
      </c>
      <c r="D497" s="9">
        <f>7.053 * CHOOSE(CONTROL!$C$32, $C$9, 100%, $E$9)</f>
        <v>7.0529999999999999</v>
      </c>
      <c r="E497" s="11">
        <f>8.011 * CHOOSE(CONTROL!$C$32, $C$9, 100%, $E$9)</f>
        <v>8.0109999999999992</v>
      </c>
      <c r="F497" s="11">
        <f>8.011 * CHOOSE(CONTROL!$C$32, $C$9, 100%, $E$9)</f>
        <v>8.0109999999999992</v>
      </c>
      <c r="G497" s="11">
        <f>8.0142 * CHOOSE(CONTROL!$C$32, $C$9, 100%, $E$9)</f>
        <v>8.0142000000000007</v>
      </c>
      <c r="H497" s="11">
        <f>15.7626 * CHOOSE(CONTROL!$C$32, $C$9, 100%, $E$9)</f>
        <v>15.762600000000001</v>
      </c>
      <c r="I497" s="11">
        <f>15.7659 * CHOOSE(CONTROL!$C$32, $C$9, 100%, $E$9)</f>
        <v>15.7659</v>
      </c>
      <c r="J497" s="11">
        <f>15.7626 * CHOOSE(CONTROL!$C$32, $C$9, 100%, $E$9)</f>
        <v>15.762600000000001</v>
      </c>
      <c r="K497" s="11">
        <f>15.7659 * CHOOSE(CONTROL!$C$32, $C$9, 100%, $E$9)</f>
        <v>15.7659</v>
      </c>
      <c r="L497" s="11">
        <f>8.011 * CHOOSE(CONTROL!$C$32, $C$9, 100%, $E$9)</f>
        <v>8.0109999999999992</v>
      </c>
      <c r="M497" s="11">
        <f>8.0142 * CHOOSE(CONTROL!$C$32, $C$9, 100%, $E$9)</f>
        <v>8.0142000000000007</v>
      </c>
      <c r="N497" s="11">
        <f>8.011 * CHOOSE(CONTROL!$C$32, $C$9, 100%, $E$9)</f>
        <v>8.0109999999999992</v>
      </c>
      <c r="O497" s="11">
        <f>8.0142 * CHOOSE(CONTROL!$C$32, $C$9, 100%, $E$9)</f>
        <v>8.0142000000000007</v>
      </c>
    </row>
    <row r="498" spans="1:15" ht="15" x14ac:dyDescent="0.2">
      <c r="A498" s="13">
        <v>56005</v>
      </c>
      <c r="B498" s="9">
        <f>7.052 * CHOOSE(CONTROL!$C$32, $C$9, 100%, $E$9)</f>
        <v>7.0519999999999996</v>
      </c>
      <c r="C498" s="9">
        <f>7.052 * CHOOSE(CONTROL!$C$32, $C$9, 100%, $E$9)</f>
        <v>7.0519999999999996</v>
      </c>
      <c r="D498" s="9">
        <f>7.0533 * CHOOSE(CONTROL!$C$32, $C$9, 100%, $E$9)</f>
        <v>7.0533000000000001</v>
      </c>
      <c r="E498" s="11">
        <f>8.0663 * CHOOSE(CONTROL!$C$32, $C$9, 100%, $E$9)</f>
        <v>8.0663</v>
      </c>
      <c r="F498" s="11">
        <f>8.0663 * CHOOSE(CONTROL!$C$32, $C$9, 100%, $E$9)</f>
        <v>8.0663</v>
      </c>
      <c r="G498" s="11">
        <f>8.0705 * CHOOSE(CONTROL!$C$32, $C$9, 100%, $E$9)</f>
        <v>8.0704999999999991</v>
      </c>
      <c r="H498" s="11">
        <f>15.7955 * CHOOSE(CONTROL!$C$32, $C$9, 100%, $E$9)</f>
        <v>15.795500000000001</v>
      </c>
      <c r="I498" s="11">
        <f>15.7997 * CHOOSE(CONTROL!$C$32, $C$9, 100%, $E$9)</f>
        <v>15.7997</v>
      </c>
      <c r="J498" s="11">
        <f>15.7955 * CHOOSE(CONTROL!$C$32, $C$9, 100%, $E$9)</f>
        <v>15.795500000000001</v>
      </c>
      <c r="K498" s="11">
        <f>15.7997 * CHOOSE(CONTROL!$C$32, $C$9, 100%, $E$9)</f>
        <v>15.7997</v>
      </c>
      <c r="L498" s="11">
        <f>8.0663 * CHOOSE(CONTROL!$C$32, $C$9, 100%, $E$9)</f>
        <v>8.0663</v>
      </c>
      <c r="M498" s="11">
        <f>8.0705 * CHOOSE(CONTROL!$C$32, $C$9, 100%, $E$9)</f>
        <v>8.0704999999999991</v>
      </c>
      <c r="N498" s="11">
        <f>8.0663 * CHOOSE(CONTROL!$C$32, $C$9, 100%, $E$9)</f>
        <v>8.0663</v>
      </c>
      <c r="O498" s="11">
        <f>8.0705 * CHOOSE(CONTROL!$C$32, $C$9, 100%, $E$9)</f>
        <v>8.0704999999999991</v>
      </c>
    </row>
    <row r="499" spans="1:15" ht="15" x14ac:dyDescent="0.2">
      <c r="A499" s="13">
        <v>56036</v>
      </c>
      <c r="B499" s="9">
        <f>7.0581 * CHOOSE(CONTROL!$C$32, $C$9, 100%, $E$9)</f>
        <v>7.0580999999999996</v>
      </c>
      <c r="C499" s="9">
        <f>7.0581 * CHOOSE(CONTROL!$C$32, $C$9, 100%, $E$9)</f>
        <v>7.0580999999999996</v>
      </c>
      <c r="D499" s="9">
        <f>7.0594 * CHOOSE(CONTROL!$C$32, $C$9, 100%, $E$9)</f>
        <v>7.0594000000000001</v>
      </c>
      <c r="E499" s="11">
        <f>8.0152 * CHOOSE(CONTROL!$C$32, $C$9, 100%, $E$9)</f>
        <v>8.0152000000000001</v>
      </c>
      <c r="F499" s="11">
        <f>8.0152 * CHOOSE(CONTROL!$C$32, $C$9, 100%, $E$9)</f>
        <v>8.0152000000000001</v>
      </c>
      <c r="G499" s="11">
        <f>8.0194 * CHOOSE(CONTROL!$C$32, $C$9, 100%, $E$9)</f>
        <v>8.0193999999999992</v>
      </c>
      <c r="H499" s="11">
        <f>15.8284 * CHOOSE(CONTROL!$C$32, $C$9, 100%, $E$9)</f>
        <v>15.8284</v>
      </c>
      <c r="I499" s="11">
        <f>15.8326 * CHOOSE(CONTROL!$C$32, $C$9, 100%, $E$9)</f>
        <v>15.832599999999999</v>
      </c>
      <c r="J499" s="11">
        <f>15.8284 * CHOOSE(CONTROL!$C$32, $C$9, 100%, $E$9)</f>
        <v>15.8284</v>
      </c>
      <c r="K499" s="11">
        <f>15.8326 * CHOOSE(CONTROL!$C$32, $C$9, 100%, $E$9)</f>
        <v>15.832599999999999</v>
      </c>
      <c r="L499" s="11">
        <f>8.0152 * CHOOSE(CONTROL!$C$32, $C$9, 100%, $E$9)</f>
        <v>8.0152000000000001</v>
      </c>
      <c r="M499" s="11">
        <f>8.0194 * CHOOSE(CONTROL!$C$32, $C$9, 100%, $E$9)</f>
        <v>8.0193999999999992</v>
      </c>
      <c r="N499" s="11">
        <f>8.0152 * CHOOSE(CONTROL!$C$32, $C$9, 100%, $E$9)</f>
        <v>8.0152000000000001</v>
      </c>
      <c r="O499" s="11">
        <f>8.0194 * CHOOSE(CONTROL!$C$32, $C$9, 100%, $E$9)</f>
        <v>8.0193999999999992</v>
      </c>
    </row>
    <row r="500" spans="1:15" ht="15" x14ac:dyDescent="0.2">
      <c r="A500" s="13">
        <v>56066</v>
      </c>
      <c r="B500" s="9">
        <f>7.1502 * CHOOSE(CONTROL!$C$32, $C$9, 100%, $E$9)</f>
        <v>7.1501999999999999</v>
      </c>
      <c r="C500" s="9">
        <f>7.1502 * CHOOSE(CONTROL!$C$32, $C$9, 100%, $E$9)</f>
        <v>7.1501999999999999</v>
      </c>
      <c r="D500" s="9">
        <f>7.1515 * CHOOSE(CONTROL!$C$32, $C$9, 100%, $E$9)</f>
        <v>7.1515000000000004</v>
      </c>
      <c r="E500" s="11">
        <f>8.1252 * CHOOSE(CONTROL!$C$32, $C$9, 100%, $E$9)</f>
        <v>8.1251999999999995</v>
      </c>
      <c r="F500" s="11">
        <f>8.1252 * CHOOSE(CONTROL!$C$32, $C$9, 100%, $E$9)</f>
        <v>8.1251999999999995</v>
      </c>
      <c r="G500" s="11">
        <f>8.1294 * CHOOSE(CONTROL!$C$32, $C$9, 100%, $E$9)</f>
        <v>8.1294000000000004</v>
      </c>
      <c r="H500" s="11">
        <f>15.8614 * CHOOSE(CONTROL!$C$32, $C$9, 100%, $E$9)</f>
        <v>15.8614</v>
      </c>
      <c r="I500" s="11">
        <f>15.8656 * CHOOSE(CONTROL!$C$32, $C$9, 100%, $E$9)</f>
        <v>15.865600000000001</v>
      </c>
      <c r="J500" s="11">
        <f>15.8614 * CHOOSE(CONTROL!$C$32, $C$9, 100%, $E$9)</f>
        <v>15.8614</v>
      </c>
      <c r="K500" s="11">
        <f>15.8656 * CHOOSE(CONTROL!$C$32, $C$9, 100%, $E$9)</f>
        <v>15.865600000000001</v>
      </c>
      <c r="L500" s="11">
        <f>8.1252 * CHOOSE(CONTROL!$C$32, $C$9, 100%, $E$9)</f>
        <v>8.1251999999999995</v>
      </c>
      <c r="M500" s="11">
        <f>8.1294 * CHOOSE(CONTROL!$C$32, $C$9, 100%, $E$9)</f>
        <v>8.1294000000000004</v>
      </c>
      <c r="N500" s="11">
        <f>8.1252 * CHOOSE(CONTROL!$C$32, $C$9, 100%, $E$9)</f>
        <v>8.1251999999999995</v>
      </c>
      <c r="O500" s="11">
        <f>8.1294 * CHOOSE(CONTROL!$C$32, $C$9, 100%, $E$9)</f>
        <v>8.1294000000000004</v>
      </c>
    </row>
    <row r="501" spans="1:15" ht="15" x14ac:dyDescent="0.2">
      <c r="A501" s="13">
        <v>56097</v>
      </c>
      <c r="B501" s="9">
        <f>7.1569 * CHOOSE(CONTROL!$C$32, $C$9, 100%, $E$9)</f>
        <v>7.1569000000000003</v>
      </c>
      <c r="C501" s="9">
        <f>7.1569 * CHOOSE(CONTROL!$C$32, $C$9, 100%, $E$9)</f>
        <v>7.1569000000000003</v>
      </c>
      <c r="D501" s="9">
        <f>7.1582 * CHOOSE(CONTROL!$C$32, $C$9, 100%, $E$9)</f>
        <v>7.1581999999999999</v>
      </c>
      <c r="E501" s="11">
        <f>7.9639 * CHOOSE(CONTROL!$C$32, $C$9, 100%, $E$9)</f>
        <v>7.9638999999999998</v>
      </c>
      <c r="F501" s="11">
        <f>7.9639 * CHOOSE(CONTROL!$C$32, $C$9, 100%, $E$9)</f>
        <v>7.9638999999999998</v>
      </c>
      <c r="G501" s="11">
        <f>7.9681 * CHOOSE(CONTROL!$C$32, $C$9, 100%, $E$9)</f>
        <v>7.9680999999999997</v>
      </c>
      <c r="H501" s="11">
        <f>15.8944 * CHOOSE(CONTROL!$C$32, $C$9, 100%, $E$9)</f>
        <v>15.894399999999999</v>
      </c>
      <c r="I501" s="11">
        <f>15.8986 * CHOOSE(CONTROL!$C$32, $C$9, 100%, $E$9)</f>
        <v>15.8986</v>
      </c>
      <c r="J501" s="11">
        <f>15.8944 * CHOOSE(CONTROL!$C$32, $C$9, 100%, $E$9)</f>
        <v>15.894399999999999</v>
      </c>
      <c r="K501" s="11">
        <f>15.8986 * CHOOSE(CONTROL!$C$32, $C$9, 100%, $E$9)</f>
        <v>15.8986</v>
      </c>
      <c r="L501" s="11">
        <f>7.9639 * CHOOSE(CONTROL!$C$32, $C$9, 100%, $E$9)</f>
        <v>7.9638999999999998</v>
      </c>
      <c r="M501" s="11">
        <f>7.9681 * CHOOSE(CONTROL!$C$32, $C$9, 100%, $E$9)</f>
        <v>7.9680999999999997</v>
      </c>
      <c r="N501" s="11">
        <f>7.9639 * CHOOSE(CONTROL!$C$32, $C$9, 100%, $E$9)</f>
        <v>7.9638999999999998</v>
      </c>
      <c r="O501" s="11">
        <f>7.9681 * CHOOSE(CONTROL!$C$32, $C$9, 100%, $E$9)</f>
        <v>7.9680999999999997</v>
      </c>
    </row>
    <row r="502" spans="1:15" ht="15" x14ac:dyDescent="0.2">
      <c r="A502" s="13">
        <v>56128</v>
      </c>
      <c r="B502" s="9">
        <f>7.1539 * CHOOSE(CONTROL!$C$32, $C$9, 100%, $E$9)</f>
        <v>7.1539000000000001</v>
      </c>
      <c r="C502" s="9">
        <f>7.1539 * CHOOSE(CONTROL!$C$32, $C$9, 100%, $E$9)</f>
        <v>7.1539000000000001</v>
      </c>
      <c r="D502" s="9">
        <f>7.1551 * CHOOSE(CONTROL!$C$32, $C$9, 100%, $E$9)</f>
        <v>7.1551</v>
      </c>
      <c r="E502" s="11">
        <f>7.9433 * CHOOSE(CONTROL!$C$32, $C$9, 100%, $E$9)</f>
        <v>7.9432999999999998</v>
      </c>
      <c r="F502" s="11">
        <f>7.9433 * CHOOSE(CONTROL!$C$32, $C$9, 100%, $E$9)</f>
        <v>7.9432999999999998</v>
      </c>
      <c r="G502" s="11">
        <f>7.9475 * CHOOSE(CONTROL!$C$32, $C$9, 100%, $E$9)</f>
        <v>7.9474999999999998</v>
      </c>
      <c r="H502" s="11">
        <f>15.9275 * CHOOSE(CONTROL!$C$32, $C$9, 100%, $E$9)</f>
        <v>15.9275</v>
      </c>
      <c r="I502" s="11">
        <f>15.9317 * CHOOSE(CONTROL!$C$32, $C$9, 100%, $E$9)</f>
        <v>15.931699999999999</v>
      </c>
      <c r="J502" s="11">
        <f>15.9275 * CHOOSE(CONTROL!$C$32, $C$9, 100%, $E$9)</f>
        <v>15.9275</v>
      </c>
      <c r="K502" s="11">
        <f>15.9317 * CHOOSE(CONTROL!$C$32, $C$9, 100%, $E$9)</f>
        <v>15.931699999999999</v>
      </c>
      <c r="L502" s="11">
        <f>7.9433 * CHOOSE(CONTROL!$C$32, $C$9, 100%, $E$9)</f>
        <v>7.9432999999999998</v>
      </c>
      <c r="M502" s="11">
        <f>7.9475 * CHOOSE(CONTROL!$C$32, $C$9, 100%, $E$9)</f>
        <v>7.9474999999999998</v>
      </c>
      <c r="N502" s="11">
        <f>7.9433 * CHOOSE(CONTROL!$C$32, $C$9, 100%, $E$9)</f>
        <v>7.9432999999999998</v>
      </c>
      <c r="O502" s="11">
        <f>7.9475 * CHOOSE(CONTROL!$C$32, $C$9, 100%, $E$9)</f>
        <v>7.9474999999999998</v>
      </c>
    </row>
    <row r="503" spans="1:15" ht="15" x14ac:dyDescent="0.2">
      <c r="A503" s="13">
        <v>56158</v>
      </c>
      <c r="B503" s="9">
        <f>7.1607 * CHOOSE(CONTROL!$C$32, $C$9, 100%, $E$9)</f>
        <v>7.1607000000000003</v>
      </c>
      <c r="C503" s="9">
        <f>7.1607 * CHOOSE(CONTROL!$C$32, $C$9, 100%, $E$9)</f>
        <v>7.1607000000000003</v>
      </c>
      <c r="D503" s="9">
        <f>7.1616 * CHOOSE(CONTROL!$C$32, $C$9, 100%, $E$9)</f>
        <v>7.1616</v>
      </c>
      <c r="E503" s="11">
        <f>8.0037 * CHOOSE(CONTROL!$C$32, $C$9, 100%, $E$9)</f>
        <v>8.0037000000000003</v>
      </c>
      <c r="F503" s="11">
        <f>8.0037 * CHOOSE(CONTROL!$C$32, $C$9, 100%, $E$9)</f>
        <v>8.0037000000000003</v>
      </c>
      <c r="G503" s="11">
        <f>8.0069 * CHOOSE(CONTROL!$C$32, $C$9, 100%, $E$9)</f>
        <v>8.0068999999999999</v>
      </c>
      <c r="H503" s="11">
        <f>15.9607 * CHOOSE(CONTROL!$C$32, $C$9, 100%, $E$9)</f>
        <v>15.960699999999999</v>
      </c>
      <c r="I503" s="11">
        <f>15.9639 * CHOOSE(CONTROL!$C$32, $C$9, 100%, $E$9)</f>
        <v>15.963900000000001</v>
      </c>
      <c r="J503" s="11">
        <f>15.9607 * CHOOSE(CONTROL!$C$32, $C$9, 100%, $E$9)</f>
        <v>15.960699999999999</v>
      </c>
      <c r="K503" s="11">
        <f>15.9639 * CHOOSE(CONTROL!$C$32, $C$9, 100%, $E$9)</f>
        <v>15.963900000000001</v>
      </c>
      <c r="L503" s="11">
        <f>8.0037 * CHOOSE(CONTROL!$C$32, $C$9, 100%, $E$9)</f>
        <v>8.0037000000000003</v>
      </c>
      <c r="M503" s="11">
        <f>8.0069 * CHOOSE(CONTROL!$C$32, $C$9, 100%, $E$9)</f>
        <v>8.0068999999999999</v>
      </c>
      <c r="N503" s="11">
        <f>8.0037 * CHOOSE(CONTROL!$C$32, $C$9, 100%, $E$9)</f>
        <v>8.0037000000000003</v>
      </c>
      <c r="O503" s="11">
        <f>8.0069 * CHOOSE(CONTROL!$C$32, $C$9, 100%, $E$9)</f>
        <v>8.0068999999999999</v>
      </c>
    </row>
    <row r="504" spans="1:15" ht="15" x14ac:dyDescent="0.2">
      <c r="A504" s="13">
        <v>56189</v>
      </c>
      <c r="B504" s="9">
        <f>7.1637 * CHOOSE(CONTROL!$C$32, $C$9, 100%, $E$9)</f>
        <v>7.1637000000000004</v>
      </c>
      <c r="C504" s="9">
        <f>7.1637 * CHOOSE(CONTROL!$C$32, $C$9, 100%, $E$9)</f>
        <v>7.1637000000000004</v>
      </c>
      <c r="D504" s="9">
        <f>7.1647 * CHOOSE(CONTROL!$C$32, $C$9, 100%, $E$9)</f>
        <v>7.1646999999999998</v>
      </c>
      <c r="E504" s="11">
        <f>8.0427 * CHOOSE(CONTROL!$C$32, $C$9, 100%, $E$9)</f>
        <v>8.0427</v>
      </c>
      <c r="F504" s="11">
        <f>8.0427 * CHOOSE(CONTROL!$C$32, $C$9, 100%, $E$9)</f>
        <v>8.0427</v>
      </c>
      <c r="G504" s="11">
        <f>8.0459 * CHOOSE(CONTROL!$C$32, $C$9, 100%, $E$9)</f>
        <v>8.0458999999999996</v>
      </c>
      <c r="H504" s="11">
        <f>15.994 * CHOOSE(CONTROL!$C$32, $C$9, 100%, $E$9)</f>
        <v>15.994</v>
      </c>
      <c r="I504" s="11">
        <f>15.9972 * CHOOSE(CONTROL!$C$32, $C$9, 100%, $E$9)</f>
        <v>15.997199999999999</v>
      </c>
      <c r="J504" s="11">
        <f>15.994 * CHOOSE(CONTROL!$C$32, $C$9, 100%, $E$9)</f>
        <v>15.994</v>
      </c>
      <c r="K504" s="11">
        <f>15.9972 * CHOOSE(CONTROL!$C$32, $C$9, 100%, $E$9)</f>
        <v>15.997199999999999</v>
      </c>
      <c r="L504" s="11">
        <f>8.0427 * CHOOSE(CONTROL!$C$32, $C$9, 100%, $E$9)</f>
        <v>8.0427</v>
      </c>
      <c r="M504" s="11">
        <f>8.0459 * CHOOSE(CONTROL!$C$32, $C$9, 100%, $E$9)</f>
        <v>8.0458999999999996</v>
      </c>
      <c r="N504" s="11">
        <f>8.0427 * CHOOSE(CONTROL!$C$32, $C$9, 100%, $E$9)</f>
        <v>8.0427</v>
      </c>
      <c r="O504" s="11">
        <f>8.0459 * CHOOSE(CONTROL!$C$32, $C$9, 100%, $E$9)</f>
        <v>8.0458999999999996</v>
      </c>
    </row>
    <row r="505" spans="1:15" ht="15" x14ac:dyDescent="0.2">
      <c r="A505" s="13">
        <v>56219</v>
      </c>
      <c r="B505" s="9">
        <f>7.1637 * CHOOSE(CONTROL!$C$32, $C$9, 100%, $E$9)</f>
        <v>7.1637000000000004</v>
      </c>
      <c r="C505" s="9">
        <f>7.1637 * CHOOSE(CONTROL!$C$32, $C$9, 100%, $E$9)</f>
        <v>7.1637000000000004</v>
      </c>
      <c r="D505" s="9">
        <f>7.1647 * CHOOSE(CONTROL!$C$32, $C$9, 100%, $E$9)</f>
        <v>7.1646999999999998</v>
      </c>
      <c r="E505" s="11">
        <f>7.9504 * CHOOSE(CONTROL!$C$32, $C$9, 100%, $E$9)</f>
        <v>7.9504000000000001</v>
      </c>
      <c r="F505" s="11">
        <f>7.9504 * CHOOSE(CONTROL!$C$32, $C$9, 100%, $E$9)</f>
        <v>7.9504000000000001</v>
      </c>
      <c r="G505" s="11">
        <f>7.9537 * CHOOSE(CONTROL!$C$32, $C$9, 100%, $E$9)</f>
        <v>7.9537000000000004</v>
      </c>
      <c r="H505" s="11">
        <f>16.0273 * CHOOSE(CONTROL!$C$32, $C$9, 100%, $E$9)</f>
        <v>16.0273</v>
      </c>
      <c r="I505" s="11">
        <f>16.0305 * CHOOSE(CONTROL!$C$32, $C$9, 100%, $E$9)</f>
        <v>16.0305</v>
      </c>
      <c r="J505" s="11">
        <f>16.0273 * CHOOSE(CONTROL!$C$32, $C$9, 100%, $E$9)</f>
        <v>16.0273</v>
      </c>
      <c r="K505" s="11">
        <f>16.0305 * CHOOSE(CONTROL!$C$32, $C$9, 100%, $E$9)</f>
        <v>16.0305</v>
      </c>
      <c r="L505" s="11">
        <f>7.9504 * CHOOSE(CONTROL!$C$32, $C$9, 100%, $E$9)</f>
        <v>7.9504000000000001</v>
      </c>
      <c r="M505" s="11">
        <f>7.9537 * CHOOSE(CONTROL!$C$32, $C$9, 100%, $E$9)</f>
        <v>7.9537000000000004</v>
      </c>
      <c r="N505" s="11">
        <f>7.9504 * CHOOSE(CONTROL!$C$32, $C$9, 100%, $E$9)</f>
        <v>7.9504000000000001</v>
      </c>
      <c r="O505" s="11">
        <f>7.9537 * CHOOSE(CONTROL!$C$32, $C$9, 100%, $E$9)</f>
        <v>7.9537000000000004</v>
      </c>
    </row>
    <row r="506" spans="1:15" ht="15" x14ac:dyDescent="0.2">
      <c r="A506" s="13">
        <v>56250</v>
      </c>
      <c r="B506" s="9">
        <f>7.2176 * CHOOSE(CONTROL!$C$32, $C$9, 100%, $E$9)</f>
        <v>7.2176</v>
      </c>
      <c r="C506" s="9">
        <f>7.2176 * CHOOSE(CONTROL!$C$32, $C$9, 100%, $E$9)</f>
        <v>7.2176</v>
      </c>
      <c r="D506" s="9">
        <f>7.2186 * CHOOSE(CONTROL!$C$32, $C$9, 100%, $E$9)</f>
        <v>7.2186000000000003</v>
      </c>
      <c r="E506" s="11">
        <f>8.0845 * CHOOSE(CONTROL!$C$32, $C$9, 100%, $E$9)</f>
        <v>8.0845000000000002</v>
      </c>
      <c r="F506" s="11">
        <f>8.0845 * CHOOSE(CONTROL!$C$32, $C$9, 100%, $E$9)</f>
        <v>8.0845000000000002</v>
      </c>
      <c r="G506" s="11">
        <f>8.0877 * CHOOSE(CONTROL!$C$32, $C$9, 100%, $E$9)</f>
        <v>8.0876999999999999</v>
      </c>
      <c r="H506" s="11">
        <f>16.0607 * CHOOSE(CONTROL!$C$32, $C$9, 100%, $E$9)</f>
        <v>16.060700000000001</v>
      </c>
      <c r="I506" s="11">
        <f>16.0639 * CHOOSE(CONTROL!$C$32, $C$9, 100%, $E$9)</f>
        <v>16.0639</v>
      </c>
      <c r="J506" s="11">
        <f>16.0607 * CHOOSE(CONTROL!$C$32, $C$9, 100%, $E$9)</f>
        <v>16.060700000000001</v>
      </c>
      <c r="K506" s="11">
        <f>16.0639 * CHOOSE(CONTROL!$C$32, $C$9, 100%, $E$9)</f>
        <v>16.0639</v>
      </c>
      <c r="L506" s="11">
        <f>8.0845 * CHOOSE(CONTROL!$C$32, $C$9, 100%, $E$9)</f>
        <v>8.0845000000000002</v>
      </c>
      <c r="M506" s="11">
        <f>8.0877 * CHOOSE(CONTROL!$C$32, $C$9, 100%, $E$9)</f>
        <v>8.0876999999999999</v>
      </c>
      <c r="N506" s="11">
        <f>8.0845 * CHOOSE(CONTROL!$C$32, $C$9, 100%, $E$9)</f>
        <v>8.0845000000000002</v>
      </c>
      <c r="O506" s="11">
        <f>8.0877 * CHOOSE(CONTROL!$C$32, $C$9, 100%, $E$9)</f>
        <v>8.0876999999999999</v>
      </c>
    </row>
    <row r="507" spans="1:15" ht="15" x14ac:dyDescent="0.2">
      <c r="A507" s="13">
        <v>56281</v>
      </c>
      <c r="B507" s="9">
        <f>7.2146 * CHOOSE(CONTROL!$C$32, $C$9, 100%, $E$9)</f>
        <v>7.2145999999999999</v>
      </c>
      <c r="C507" s="9">
        <f>7.2146 * CHOOSE(CONTROL!$C$32, $C$9, 100%, $E$9)</f>
        <v>7.2145999999999999</v>
      </c>
      <c r="D507" s="9">
        <f>7.2155 * CHOOSE(CONTROL!$C$32, $C$9, 100%, $E$9)</f>
        <v>7.2154999999999996</v>
      </c>
      <c r="E507" s="11">
        <f>7.9024 * CHOOSE(CONTROL!$C$32, $C$9, 100%, $E$9)</f>
        <v>7.9024000000000001</v>
      </c>
      <c r="F507" s="11">
        <f>7.9024 * CHOOSE(CONTROL!$C$32, $C$9, 100%, $E$9)</f>
        <v>7.9024000000000001</v>
      </c>
      <c r="G507" s="11">
        <f>7.9056 * CHOOSE(CONTROL!$C$32, $C$9, 100%, $E$9)</f>
        <v>7.9055999999999997</v>
      </c>
      <c r="H507" s="11">
        <f>16.0941 * CHOOSE(CONTROL!$C$32, $C$9, 100%, $E$9)</f>
        <v>16.094100000000001</v>
      </c>
      <c r="I507" s="11">
        <f>16.0974 * CHOOSE(CONTROL!$C$32, $C$9, 100%, $E$9)</f>
        <v>16.0974</v>
      </c>
      <c r="J507" s="11">
        <f>16.0941 * CHOOSE(CONTROL!$C$32, $C$9, 100%, $E$9)</f>
        <v>16.094100000000001</v>
      </c>
      <c r="K507" s="11">
        <f>16.0974 * CHOOSE(CONTROL!$C$32, $C$9, 100%, $E$9)</f>
        <v>16.0974</v>
      </c>
      <c r="L507" s="11">
        <f>7.9024 * CHOOSE(CONTROL!$C$32, $C$9, 100%, $E$9)</f>
        <v>7.9024000000000001</v>
      </c>
      <c r="M507" s="11">
        <f>7.9056 * CHOOSE(CONTROL!$C$32, $C$9, 100%, $E$9)</f>
        <v>7.9055999999999997</v>
      </c>
      <c r="N507" s="11">
        <f>7.9024 * CHOOSE(CONTROL!$C$32, $C$9, 100%, $E$9)</f>
        <v>7.9024000000000001</v>
      </c>
      <c r="O507" s="11">
        <f>7.9056 * CHOOSE(CONTROL!$C$32, $C$9, 100%, $E$9)</f>
        <v>7.9055999999999997</v>
      </c>
    </row>
    <row r="508" spans="1:15" ht="15" x14ac:dyDescent="0.2">
      <c r="A508" s="13">
        <v>56309</v>
      </c>
      <c r="B508" s="9">
        <f>7.2115 * CHOOSE(CONTROL!$C$32, $C$9, 100%, $E$9)</f>
        <v>7.2115</v>
      </c>
      <c r="C508" s="9">
        <f>7.2115 * CHOOSE(CONTROL!$C$32, $C$9, 100%, $E$9)</f>
        <v>7.2115</v>
      </c>
      <c r="D508" s="9">
        <f>7.2125 * CHOOSE(CONTROL!$C$32, $C$9, 100%, $E$9)</f>
        <v>7.2125000000000004</v>
      </c>
      <c r="E508" s="11">
        <f>8.0422 * CHOOSE(CONTROL!$C$32, $C$9, 100%, $E$9)</f>
        <v>8.0421999999999993</v>
      </c>
      <c r="F508" s="11">
        <f>8.0422 * CHOOSE(CONTROL!$C$32, $C$9, 100%, $E$9)</f>
        <v>8.0421999999999993</v>
      </c>
      <c r="G508" s="11">
        <f>8.0454 * CHOOSE(CONTROL!$C$32, $C$9, 100%, $E$9)</f>
        <v>8.0454000000000008</v>
      </c>
      <c r="H508" s="11">
        <f>16.1277 * CHOOSE(CONTROL!$C$32, $C$9, 100%, $E$9)</f>
        <v>16.127700000000001</v>
      </c>
      <c r="I508" s="11">
        <f>16.1309 * CHOOSE(CONTROL!$C$32, $C$9, 100%, $E$9)</f>
        <v>16.1309</v>
      </c>
      <c r="J508" s="11">
        <f>16.1277 * CHOOSE(CONTROL!$C$32, $C$9, 100%, $E$9)</f>
        <v>16.127700000000001</v>
      </c>
      <c r="K508" s="11">
        <f>16.1309 * CHOOSE(CONTROL!$C$32, $C$9, 100%, $E$9)</f>
        <v>16.1309</v>
      </c>
      <c r="L508" s="11">
        <f>8.0422 * CHOOSE(CONTROL!$C$32, $C$9, 100%, $E$9)</f>
        <v>8.0421999999999993</v>
      </c>
      <c r="M508" s="11">
        <f>8.0454 * CHOOSE(CONTROL!$C$32, $C$9, 100%, $E$9)</f>
        <v>8.0454000000000008</v>
      </c>
      <c r="N508" s="11">
        <f>8.0422 * CHOOSE(CONTROL!$C$32, $C$9, 100%, $E$9)</f>
        <v>8.0421999999999993</v>
      </c>
      <c r="O508" s="11">
        <f>8.0454 * CHOOSE(CONTROL!$C$32, $C$9, 100%, $E$9)</f>
        <v>8.0454000000000008</v>
      </c>
    </row>
    <row r="509" spans="1:15" ht="15" x14ac:dyDescent="0.2">
      <c r="A509" s="13">
        <v>56340</v>
      </c>
      <c r="B509" s="9">
        <f>7.2123 * CHOOSE(CONTROL!$C$32, $C$9, 100%, $E$9)</f>
        <v>7.2122999999999999</v>
      </c>
      <c r="C509" s="9">
        <f>7.2123 * CHOOSE(CONTROL!$C$32, $C$9, 100%, $E$9)</f>
        <v>7.2122999999999999</v>
      </c>
      <c r="D509" s="9">
        <f>7.2132 * CHOOSE(CONTROL!$C$32, $C$9, 100%, $E$9)</f>
        <v>7.2131999999999996</v>
      </c>
      <c r="E509" s="11">
        <f>8.1903 * CHOOSE(CONTROL!$C$32, $C$9, 100%, $E$9)</f>
        <v>8.1903000000000006</v>
      </c>
      <c r="F509" s="11">
        <f>8.1903 * CHOOSE(CONTROL!$C$32, $C$9, 100%, $E$9)</f>
        <v>8.1903000000000006</v>
      </c>
      <c r="G509" s="11">
        <f>8.1935 * CHOOSE(CONTROL!$C$32, $C$9, 100%, $E$9)</f>
        <v>8.1935000000000002</v>
      </c>
      <c r="H509" s="11">
        <f>16.1613 * CHOOSE(CONTROL!$C$32, $C$9, 100%, $E$9)</f>
        <v>16.161300000000001</v>
      </c>
      <c r="I509" s="11">
        <f>16.1645 * CHOOSE(CONTROL!$C$32, $C$9, 100%, $E$9)</f>
        <v>16.1645</v>
      </c>
      <c r="J509" s="11">
        <f>16.1613 * CHOOSE(CONTROL!$C$32, $C$9, 100%, $E$9)</f>
        <v>16.161300000000001</v>
      </c>
      <c r="K509" s="11">
        <f>16.1645 * CHOOSE(CONTROL!$C$32, $C$9, 100%, $E$9)</f>
        <v>16.1645</v>
      </c>
      <c r="L509" s="11">
        <f>8.1903 * CHOOSE(CONTROL!$C$32, $C$9, 100%, $E$9)</f>
        <v>8.1903000000000006</v>
      </c>
      <c r="M509" s="11">
        <f>8.1935 * CHOOSE(CONTROL!$C$32, $C$9, 100%, $E$9)</f>
        <v>8.1935000000000002</v>
      </c>
      <c r="N509" s="11">
        <f>8.1903 * CHOOSE(CONTROL!$C$32, $C$9, 100%, $E$9)</f>
        <v>8.1903000000000006</v>
      </c>
      <c r="O509" s="11">
        <f>8.1935 * CHOOSE(CONTROL!$C$32, $C$9, 100%, $E$9)</f>
        <v>8.1935000000000002</v>
      </c>
    </row>
    <row r="510" spans="1:15" ht="15" x14ac:dyDescent="0.2">
      <c r="A510" s="13">
        <v>56370</v>
      </c>
      <c r="B510" s="9">
        <f>7.2123 * CHOOSE(CONTROL!$C$32, $C$9, 100%, $E$9)</f>
        <v>7.2122999999999999</v>
      </c>
      <c r="C510" s="9">
        <f>7.2123 * CHOOSE(CONTROL!$C$32, $C$9, 100%, $E$9)</f>
        <v>7.2122999999999999</v>
      </c>
      <c r="D510" s="9">
        <f>7.2135 * CHOOSE(CONTROL!$C$32, $C$9, 100%, $E$9)</f>
        <v>7.2134999999999998</v>
      </c>
      <c r="E510" s="11">
        <f>8.2474 * CHOOSE(CONTROL!$C$32, $C$9, 100%, $E$9)</f>
        <v>8.2474000000000007</v>
      </c>
      <c r="F510" s="11">
        <f>8.2474 * CHOOSE(CONTROL!$C$32, $C$9, 100%, $E$9)</f>
        <v>8.2474000000000007</v>
      </c>
      <c r="G510" s="11">
        <f>8.2516 * CHOOSE(CONTROL!$C$32, $C$9, 100%, $E$9)</f>
        <v>8.2515999999999998</v>
      </c>
      <c r="H510" s="11">
        <f>16.1949 * CHOOSE(CONTROL!$C$32, $C$9, 100%, $E$9)</f>
        <v>16.194900000000001</v>
      </c>
      <c r="I510" s="11">
        <f>16.1991 * CHOOSE(CONTROL!$C$32, $C$9, 100%, $E$9)</f>
        <v>16.199100000000001</v>
      </c>
      <c r="J510" s="11">
        <f>16.1949 * CHOOSE(CONTROL!$C$32, $C$9, 100%, $E$9)</f>
        <v>16.194900000000001</v>
      </c>
      <c r="K510" s="11">
        <f>16.1991 * CHOOSE(CONTROL!$C$32, $C$9, 100%, $E$9)</f>
        <v>16.199100000000001</v>
      </c>
      <c r="L510" s="11">
        <f>8.2474 * CHOOSE(CONTROL!$C$32, $C$9, 100%, $E$9)</f>
        <v>8.2474000000000007</v>
      </c>
      <c r="M510" s="11">
        <f>8.2516 * CHOOSE(CONTROL!$C$32, $C$9, 100%, $E$9)</f>
        <v>8.2515999999999998</v>
      </c>
      <c r="N510" s="11">
        <f>8.2474 * CHOOSE(CONTROL!$C$32, $C$9, 100%, $E$9)</f>
        <v>8.2474000000000007</v>
      </c>
      <c r="O510" s="11">
        <f>8.2516 * CHOOSE(CONTROL!$C$32, $C$9, 100%, $E$9)</f>
        <v>8.2515999999999998</v>
      </c>
    </row>
    <row r="511" spans="1:15" ht="15" x14ac:dyDescent="0.2">
      <c r="A511" s="13">
        <v>56401</v>
      </c>
      <c r="B511" s="9">
        <f>7.2184 * CHOOSE(CONTROL!$C$32, $C$9, 100%, $E$9)</f>
        <v>7.2183999999999999</v>
      </c>
      <c r="C511" s="9">
        <f>7.2184 * CHOOSE(CONTROL!$C$32, $C$9, 100%, $E$9)</f>
        <v>7.2183999999999999</v>
      </c>
      <c r="D511" s="9">
        <f>7.2196 * CHOOSE(CONTROL!$C$32, $C$9, 100%, $E$9)</f>
        <v>7.2195999999999998</v>
      </c>
      <c r="E511" s="11">
        <f>8.1945 * CHOOSE(CONTROL!$C$32, $C$9, 100%, $E$9)</f>
        <v>8.1944999999999997</v>
      </c>
      <c r="F511" s="11">
        <f>8.1945 * CHOOSE(CONTROL!$C$32, $C$9, 100%, $E$9)</f>
        <v>8.1944999999999997</v>
      </c>
      <c r="G511" s="11">
        <f>8.1987 * CHOOSE(CONTROL!$C$32, $C$9, 100%, $E$9)</f>
        <v>8.1987000000000005</v>
      </c>
      <c r="H511" s="11">
        <f>16.2287 * CHOOSE(CONTROL!$C$32, $C$9, 100%, $E$9)</f>
        <v>16.2287</v>
      </c>
      <c r="I511" s="11">
        <f>16.2329 * CHOOSE(CONTROL!$C$32, $C$9, 100%, $E$9)</f>
        <v>16.232900000000001</v>
      </c>
      <c r="J511" s="11">
        <f>16.2287 * CHOOSE(CONTROL!$C$32, $C$9, 100%, $E$9)</f>
        <v>16.2287</v>
      </c>
      <c r="K511" s="11">
        <f>16.2329 * CHOOSE(CONTROL!$C$32, $C$9, 100%, $E$9)</f>
        <v>16.232900000000001</v>
      </c>
      <c r="L511" s="11">
        <f>8.1945 * CHOOSE(CONTROL!$C$32, $C$9, 100%, $E$9)</f>
        <v>8.1944999999999997</v>
      </c>
      <c r="M511" s="11">
        <f>8.1987 * CHOOSE(CONTROL!$C$32, $C$9, 100%, $E$9)</f>
        <v>8.1987000000000005</v>
      </c>
      <c r="N511" s="11">
        <f>8.1945 * CHOOSE(CONTROL!$C$32, $C$9, 100%, $E$9)</f>
        <v>8.1944999999999997</v>
      </c>
      <c r="O511" s="11">
        <f>8.1987 * CHOOSE(CONTROL!$C$32, $C$9, 100%, $E$9)</f>
        <v>8.1987000000000005</v>
      </c>
    </row>
    <row r="512" spans="1:15" ht="15" x14ac:dyDescent="0.2">
      <c r="A512" s="13">
        <v>56431</v>
      </c>
      <c r="B512" s="9">
        <f>7.3122 * CHOOSE(CONTROL!$C$32, $C$9, 100%, $E$9)</f>
        <v>7.3121999999999998</v>
      </c>
      <c r="C512" s="9">
        <f>7.3122 * CHOOSE(CONTROL!$C$32, $C$9, 100%, $E$9)</f>
        <v>7.3121999999999998</v>
      </c>
      <c r="D512" s="9">
        <f>7.3135 * CHOOSE(CONTROL!$C$32, $C$9, 100%, $E$9)</f>
        <v>7.3135000000000003</v>
      </c>
      <c r="E512" s="11">
        <f>8.3075 * CHOOSE(CONTROL!$C$32, $C$9, 100%, $E$9)</f>
        <v>8.3074999999999992</v>
      </c>
      <c r="F512" s="11">
        <f>8.3075 * CHOOSE(CONTROL!$C$32, $C$9, 100%, $E$9)</f>
        <v>8.3074999999999992</v>
      </c>
      <c r="G512" s="11">
        <f>8.3117 * CHOOSE(CONTROL!$C$32, $C$9, 100%, $E$9)</f>
        <v>8.3117000000000001</v>
      </c>
      <c r="H512" s="11">
        <f>16.2625 * CHOOSE(CONTROL!$C$32, $C$9, 100%, $E$9)</f>
        <v>16.262499999999999</v>
      </c>
      <c r="I512" s="11">
        <f>16.2667 * CHOOSE(CONTROL!$C$32, $C$9, 100%, $E$9)</f>
        <v>16.2667</v>
      </c>
      <c r="J512" s="11">
        <f>16.2625 * CHOOSE(CONTROL!$C$32, $C$9, 100%, $E$9)</f>
        <v>16.262499999999999</v>
      </c>
      <c r="K512" s="11">
        <f>16.2667 * CHOOSE(CONTROL!$C$32, $C$9, 100%, $E$9)</f>
        <v>16.2667</v>
      </c>
      <c r="L512" s="11">
        <f>8.3075 * CHOOSE(CONTROL!$C$32, $C$9, 100%, $E$9)</f>
        <v>8.3074999999999992</v>
      </c>
      <c r="M512" s="11">
        <f>8.3117 * CHOOSE(CONTROL!$C$32, $C$9, 100%, $E$9)</f>
        <v>8.3117000000000001</v>
      </c>
      <c r="N512" s="11">
        <f>8.3075 * CHOOSE(CONTROL!$C$32, $C$9, 100%, $E$9)</f>
        <v>8.3074999999999992</v>
      </c>
      <c r="O512" s="11">
        <f>8.3117 * CHOOSE(CONTROL!$C$32, $C$9, 100%, $E$9)</f>
        <v>8.3117000000000001</v>
      </c>
    </row>
    <row r="513" spans="1:15" ht="15" x14ac:dyDescent="0.2">
      <c r="A513" s="13">
        <v>56462</v>
      </c>
      <c r="B513" s="9">
        <f>7.3189 * CHOOSE(CONTROL!$C$32, $C$9, 100%, $E$9)</f>
        <v>7.3189000000000002</v>
      </c>
      <c r="C513" s="9">
        <f>7.3189 * CHOOSE(CONTROL!$C$32, $C$9, 100%, $E$9)</f>
        <v>7.3189000000000002</v>
      </c>
      <c r="D513" s="9">
        <f>7.3202 * CHOOSE(CONTROL!$C$32, $C$9, 100%, $E$9)</f>
        <v>7.3201999999999998</v>
      </c>
      <c r="E513" s="11">
        <f>8.1407 * CHOOSE(CONTROL!$C$32, $C$9, 100%, $E$9)</f>
        <v>8.1407000000000007</v>
      </c>
      <c r="F513" s="11">
        <f>8.1407 * CHOOSE(CONTROL!$C$32, $C$9, 100%, $E$9)</f>
        <v>8.1407000000000007</v>
      </c>
      <c r="G513" s="11">
        <f>8.1449 * CHOOSE(CONTROL!$C$32, $C$9, 100%, $E$9)</f>
        <v>8.1448999999999998</v>
      </c>
      <c r="H513" s="11">
        <f>16.2964 * CHOOSE(CONTROL!$C$32, $C$9, 100%, $E$9)</f>
        <v>16.296399999999998</v>
      </c>
      <c r="I513" s="11">
        <f>16.3006 * CHOOSE(CONTROL!$C$32, $C$9, 100%, $E$9)</f>
        <v>16.300599999999999</v>
      </c>
      <c r="J513" s="11">
        <f>16.2964 * CHOOSE(CONTROL!$C$32, $C$9, 100%, $E$9)</f>
        <v>16.296399999999998</v>
      </c>
      <c r="K513" s="11">
        <f>16.3006 * CHOOSE(CONTROL!$C$32, $C$9, 100%, $E$9)</f>
        <v>16.300599999999999</v>
      </c>
      <c r="L513" s="11">
        <f>8.1407 * CHOOSE(CONTROL!$C$32, $C$9, 100%, $E$9)</f>
        <v>8.1407000000000007</v>
      </c>
      <c r="M513" s="11">
        <f>8.1449 * CHOOSE(CONTROL!$C$32, $C$9, 100%, $E$9)</f>
        <v>8.1448999999999998</v>
      </c>
      <c r="N513" s="11">
        <f>8.1407 * CHOOSE(CONTROL!$C$32, $C$9, 100%, $E$9)</f>
        <v>8.1407000000000007</v>
      </c>
      <c r="O513" s="11">
        <f>8.1449 * CHOOSE(CONTROL!$C$32, $C$9, 100%, $E$9)</f>
        <v>8.1448999999999998</v>
      </c>
    </row>
    <row r="514" spans="1:15" ht="15" x14ac:dyDescent="0.2">
      <c r="A514" s="13">
        <v>56493</v>
      </c>
      <c r="B514" s="9">
        <f>7.3159 * CHOOSE(CONTROL!$C$32, $C$9, 100%, $E$9)</f>
        <v>7.3159000000000001</v>
      </c>
      <c r="C514" s="9">
        <f>7.3159 * CHOOSE(CONTROL!$C$32, $C$9, 100%, $E$9)</f>
        <v>7.3159000000000001</v>
      </c>
      <c r="D514" s="9">
        <f>7.3171 * CHOOSE(CONTROL!$C$32, $C$9, 100%, $E$9)</f>
        <v>7.3170999999999999</v>
      </c>
      <c r="E514" s="11">
        <f>8.1196 * CHOOSE(CONTROL!$C$32, $C$9, 100%, $E$9)</f>
        <v>8.1196000000000002</v>
      </c>
      <c r="F514" s="11">
        <f>8.1196 * CHOOSE(CONTROL!$C$32, $C$9, 100%, $E$9)</f>
        <v>8.1196000000000002</v>
      </c>
      <c r="G514" s="11">
        <f>8.1238 * CHOOSE(CONTROL!$C$32, $C$9, 100%, $E$9)</f>
        <v>8.1237999999999992</v>
      </c>
      <c r="H514" s="11">
        <f>16.3303 * CHOOSE(CONTROL!$C$32, $C$9, 100%, $E$9)</f>
        <v>16.330300000000001</v>
      </c>
      <c r="I514" s="11">
        <f>16.3345 * CHOOSE(CONTROL!$C$32, $C$9, 100%, $E$9)</f>
        <v>16.334499999999998</v>
      </c>
      <c r="J514" s="11">
        <f>16.3303 * CHOOSE(CONTROL!$C$32, $C$9, 100%, $E$9)</f>
        <v>16.330300000000001</v>
      </c>
      <c r="K514" s="11">
        <f>16.3345 * CHOOSE(CONTROL!$C$32, $C$9, 100%, $E$9)</f>
        <v>16.334499999999998</v>
      </c>
      <c r="L514" s="11">
        <f>8.1196 * CHOOSE(CONTROL!$C$32, $C$9, 100%, $E$9)</f>
        <v>8.1196000000000002</v>
      </c>
      <c r="M514" s="11">
        <f>8.1238 * CHOOSE(CONTROL!$C$32, $C$9, 100%, $E$9)</f>
        <v>8.1237999999999992</v>
      </c>
      <c r="N514" s="11">
        <f>8.1196 * CHOOSE(CONTROL!$C$32, $C$9, 100%, $E$9)</f>
        <v>8.1196000000000002</v>
      </c>
      <c r="O514" s="11">
        <f>8.1238 * CHOOSE(CONTROL!$C$32, $C$9, 100%, $E$9)</f>
        <v>8.1237999999999992</v>
      </c>
    </row>
    <row r="515" spans="1:15" ht="15" x14ac:dyDescent="0.2">
      <c r="A515" s="13">
        <v>56523</v>
      </c>
      <c r="B515" s="9">
        <f>7.3233 * CHOOSE(CONTROL!$C$32, $C$9, 100%, $E$9)</f>
        <v>7.3232999999999997</v>
      </c>
      <c r="C515" s="9">
        <f>7.3233 * CHOOSE(CONTROL!$C$32, $C$9, 100%, $E$9)</f>
        <v>7.3232999999999997</v>
      </c>
      <c r="D515" s="9">
        <f>7.3242 * CHOOSE(CONTROL!$C$32, $C$9, 100%, $E$9)</f>
        <v>7.3242000000000003</v>
      </c>
      <c r="E515" s="11">
        <f>8.1823 * CHOOSE(CONTROL!$C$32, $C$9, 100%, $E$9)</f>
        <v>8.1822999999999997</v>
      </c>
      <c r="F515" s="11">
        <f>8.1823 * CHOOSE(CONTROL!$C$32, $C$9, 100%, $E$9)</f>
        <v>8.1822999999999997</v>
      </c>
      <c r="G515" s="11">
        <f>8.1856 * CHOOSE(CONTROL!$C$32, $C$9, 100%, $E$9)</f>
        <v>8.1856000000000009</v>
      </c>
      <c r="H515" s="11">
        <f>16.3643 * CHOOSE(CONTROL!$C$32, $C$9, 100%, $E$9)</f>
        <v>16.3643</v>
      </c>
      <c r="I515" s="11">
        <f>16.3676 * CHOOSE(CONTROL!$C$32, $C$9, 100%, $E$9)</f>
        <v>16.367599999999999</v>
      </c>
      <c r="J515" s="11">
        <f>16.3643 * CHOOSE(CONTROL!$C$32, $C$9, 100%, $E$9)</f>
        <v>16.3643</v>
      </c>
      <c r="K515" s="11">
        <f>16.3676 * CHOOSE(CONTROL!$C$32, $C$9, 100%, $E$9)</f>
        <v>16.367599999999999</v>
      </c>
      <c r="L515" s="11">
        <f>8.1823 * CHOOSE(CONTROL!$C$32, $C$9, 100%, $E$9)</f>
        <v>8.1822999999999997</v>
      </c>
      <c r="M515" s="11">
        <f>8.1856 * CHOOSE(CONTROL!$C$32, $C$9, 100%, $E$9)</f>
        <v>8.1856000000000009</v>
      </c>
      <c r="N515" s="11">
        <f>8.1823 * CHOOSE(CONTROL!$C$32, $C$9, 100%, $E$9)</f>
        <v>8.1822999999999997</v>
      </c>
      <c r="O515" s="11">
        <f>8.1856 * CHOOSE(CONTROL!$C$32, $C$9, 100%, $E$9)</f>
        <v>8.1856000000000009</v>
      </c>
    </row>
    <row r="516" spans="1:15" ht="15" x14ac:dyDescent="0.2">
      <c r="A516" s="13">
        <v>56554</v>
      </c>
      <c r="B516" s="9">
        <f>7.3263 * CHOOSE(CONTROL!$C$32, $C$9, 100%, $E$9)</f>
        <v>7.3262999999999998</v>
      </c>
      <c r="C516" s="9">
        <f>7.3263 * CHOOSE(CONTROL!$C$32, $C$9, 100%, $E$9)</f>
        <v>7.3262999999999998</v>
      </c>
      <c r="D516" s="9">
        <f>7.3273 * CHOOSE(CONTROL!$C$32, $C$9, 100%, $E$9)</f>
        <v>7.3273000000000001</v>
      </c>
      <c r="E516" s="11">
        <f>8.2226 * CHOOSE(CONTROL!$C$32, $C$9, 100%, $E$9)</f>
        <v>8.2225999999999999</v>
      </c>
      <c r="F516" s="11">
        <f>8.2226 * CHOOSE(CONTROL!$C$32, $C$9, 100%, $E$9)</f>
        <v>8.2225999999999999</v>
      </c>
      <c r="G516" s="11">
        <f>8.2258 * CHOOSE(CONTROL!$C$32, $C$9, 100%, $E$9)</f>
        <v>8.2257999999999996</v>
      </c>
      <c r="H516" s="11">
        <f>16.3984 * CHOOSE(CONTROL!$C$32, $C$9, 100%, $E$9)</f>
        <v>16.398399999999999</v>
      </c>
      <c r="I516" s="11">
        <f>16.4016 * CHOOSE(CONTROL!$C$32, $C$9, 100%, $E$9)</f>
        <v>16.401599999999998</v>
      </c>
      <c r="J516" s="11">
        <f>16.3984 * CHOOSE(CONTROL!$C$32, $C$9, 100%, $E$9)</f>
        <v>16.398399999999999</v>
      </c>
      <c r="K516" s="11">
        <f>16.4016 * CHOOSE(CONTROL!$C$32, $C$9, 100%, $E$9)</f>
        <v>16.401599999999998</v>
      </c>
      <c r="L516" s="11">
        <f>8.2226 * CHOOSE(CONTROL!$C$32, $C$9, 100%, $E$9)</f>
        <v>8.2225999999999999</v>
      </c>
      <c r="M516" s="11">
        <f>8.2258 * CHOOSE(CONTROL!$C$32, $C$9, 100%, $E$9)</f>
        <v>8.2257999999999996</v>
      </c>
      <c r="N516" s="11">
        <f>8.2226 * CHOOSE(CONTROL!$C$32, $C$9, 100%, $E$9)</f>
        <v>8.2225999999999999</v>
      </c>
      <c r="O516" s="11">
        <f>8.2258 * CHOOSE(CONTROL!$C$32, $C$9, 100%, $E$9)</f>
        <v>8.2257999999999996</v>
      </c>
    </row>
    <row r="517" spans="1:15" ht="15" x14ac:dyDescent="0.2">
      <c r="A517" s="13">
        <v>56584</v>
      </c>
      <c r="B517" s="9">
        <f>7.3263 * CHOOSE(CONTROL!$C$32, $C$9, 100%, $E$9)</f>
        <v>7.3262999999999998</v>
      </c>
      <c r="C517" s="9">
        <f>7.3263 * CHOOSE(CONTROL!$C$32, $C$9, 100%, $E$9)</f>
        <v>7.3262999999999998</v>
      </c>
      <c r="D517" s="9">
        <f>7.3273 * CHOOSE(CONTROL!$C$32, $C$9, 100%, $E$9)</f>
        <v>7.3273000000000001</v>
      </c>
      <c r="E517" s="11">
        <f>8.1273 * CHOOSE(CONTROL!$C$32, $C$9, 100%, $E$9)</f>
        <v>8.1273</v>
      </c>
      <c r="F517" s="11">
        <f>8.1273 * CHOOSE(CONTROL!$C$32, $C$9, 100%, $E$9)</f>
        <v>8.1273</v>
      </c>
      <c r="G517" s="11">
        <f>8.1305 * CHOOSE(CONTROL!$C$32, $C$9, 100%, $E$9)</f>
        <v>8.1304999999999996</v>
      </c>
      <c r="H517" s="11">
        <f>16.4326 * CHOOSE(CONTROL!$C$32, $C$9, 100%, $E$9)</f>
        <v>16.432600000000001</v>
      </c>
      <c r="I517" s="11">
        <f>16.4358 * CHOOSE(CONTROL!$C$32, $C$9, 100%, $E$9)</f>
        <v>16.4358</v>
      </c>
      <c r="J517" s="11">
        <f>16.4326 * CHOOSE(CONTROL!$C$32, $C$9, 100%, $E$9)</f>
        <v>16.432600000000001</v>
      </c>
      <c r="K517" s="11">
        <f>16.4358 * CHOOSE(CONTROL!$C$32, $C$9, 100%, $E$9)</f>
        <v>16.4358</v>
      </c>
      <c r="L517" s="11">
        <f>8.1273 * CHOOSE(CONTROL!$C$32, $C$9, 100%, $E$9)</f>
        <v>8.1273</v>
      </c>
      <c r="M517" s="11">
        <f>8.1305 * CHOOSE(CONTROL!$C$32, $C$9, 100%, $E$9)</f>
        <v>8.1304999999999996</v>
      </c>
      <c r="N517" s="11">
        <f>8.1273 * CHOOSE(CONTROL!$C$32, $C$9, 100%, $E$9)</f>
        <v>8.1273</v>
      </c>
      <c r="O517" s="11">
        <f>8.1305 * CHOOSE(CONTROL!$C$32, $C$9, 100%, $E$9)</f>
        <v>8.1304999999999996</v>
      </c>
    </row>
    <row r="518" spans="1:15" ht="15" x14ac:dyDescent="0.2">
      <c r="A518" s="13">
        <v>56615</v>
      </c>
      <c r="B518" s="9">
        <f>7.3813 * CHOOSE(CONTROL!$C$32, $C$9, 100%, $E$9)</f>
        <v>7.3813000000000004</v>
      </c>
      <c r="C518" s="9">
        <f>7.3813 * CHOOSE(CONTROL!$C$32, $C$9, 100%, $E$9)</f>
        <v>7.3813000000000004</v>
      </c>
      <c r="D518" s="9">
        <f>7.3823 * CHOOSE(CONTROL!$C$32, $C$9, 100%, $E$9)</f>
        <v>7.3822999999999999</v>
      </c>
      <c r="E518" s="11">
        <f>8.2653 * CHOOSE(CONTROL!$C$32, $C$9, 100%, $E$9)</f>
        <v>8.2652999999999999</v>
      </c>
      <c r="F518" s="11">
        <f>8.2653 * CHOOSE(CONTROL!$C$32, $C$9, 100%, $E$9)</f>
        <v>8.2652999999999999</v>
      </c>
      <c r="G518" s="11">
        <f>8.2685 * CHOOSE(CONTROL!$C$32, $C$9, 100%, $E$9)</f>
        <v>8.2684999999999995</v>
      </c>
      <c r="H518" s="11">
        <f>16.4668 * CHOOSE(CONTROL!$C$32, $C$9, 100%, $E$9)</f>
        <v>16.466799999999999</v>
      </c>
      <c r="I518" s="11">
        <f>16.47 * CHOOSE(CONTROL!$C$32, $C$9, 100%, $E$9)</f>
        <v>16.47</v>
      </c>
      <c r="J518" s="11">
        <f>16.4668 * CHOOSE(CONTROL!$C$32, $C$9, 100%, $E$9)</f>
        <v>16.466799999999999</v>
      </c>
      <c r="K518" s="11">
        <f>16.47 * CHOOSE(CONTROL!$C$32, $C$9, 100%, $E$9)</f>
        <v>16.47</v>
      </c>
      <c r="L518" s="11">
        <f>8.2653 * CHOOSE(CONTROL!$C$32, $C$9, 100%, $E$9)</f>
        <v>8.2652999999999999</v>
      </c>
      <c r="M518" s="11">
        <f>8.2685 * CHOOSE(CONTROL!$C$32, $C$9, 100%, $E$9)</f>
        <v>8.2684999999999995</v>
      </c>
      <c r="N518" s="11">
        <f>8.2653 * CHOOSE(CONTROL!$C$32, $C$9, 100%, $E$9)</f>
        <v>8.2652999999999999</v>
      </c>
      <c r="O518" s="11">
        <f>8.2685 * CHOOSE(CONTROL!$C$32, $C$9, 100%, $E$9)</f>
        <v>8.2684999999999995</v>
      </c>
    </row>
    <row r="519" spans="1:15" ht="15" x14ac:dyDescent="0.2">
      <c r="A519" s="13">
        <v>56646</v>
      </c>
      <c r="B519" s="9">
        <f>7.3783 * CHOOSE(CONTROL!$C$32, $C$9, 100%, $E$9)</f>
        <v>7.3783000000000003</v>
      </c>
      <c r="C519" s="9">
        <f>7.3783 * CHOOSE(CONTROL!$C$32, $C$9, 100%, $E$9)</f>
        <v>7.3783000000000003</v>
      </c>
      <c r="D519" s="9">
        <f>7.3792 * CHOOSE(CONTROL!$C$32, $C$9, 100%, $E$9)</f>
        <v>7.3792</v>
      </c>
      <c r="E519" s="11">
        <f>8.0773 * CHOOSE(CONTROL!$C$32, $C$9, 100%, $E$9)</f>
        <v>8.0772999999999993</v>
      </c>
      <c r="F519" s="11">
        <f>8.0773 * CHOOSE(CONTROL!$C$32, $C$9, 100%, $E$9)</f>
        <v>8.0772999999999993</v>
      </c>
      <c r="G519" s="11">
        <f>8.0805 * CHOOSE(CONTROL!$C$32, $C$9, 100%, $E$9)</f>
        <v>8.0805000000000007</v>
      </c>
      <c r="H519" s="11">
        <f>16.5011 * CHOOSE(CONTROL!$C$32, $C$9, 100%, $E$9)</f>
        <v>16.501100000000001</v>
      </c>
      <c r="I519" s="11">
        <f>16.5044 * CHOOSE(CONTROL!$C$32, $C$9, 100%, $E$9)</f>
        <v>16.5044</v>
      </c>
      <c r="J519" s="11">
        <f>16.5011 * CHOOSE(CONTROL!$C$32, $C$9, 100%, $E$9)</f>
        <v>16.501100000000001</v>
      </c>
      <c r="K519" s="11">
        <f>16.5044 * CHOOSE(CONTROL!$C$32, $C$9, 100%, $E$9)</f>
        <v>16.5044</v>
      </c>
      <c r="L519" s="11">
        <f>8.0773 * CHOOSE(CONTROL!$C$32, $C$9, 100%, $E$9)</f>
        <v>8.0772999999999993</v>
      </c>
      <c r="M519" s="11">
        <f>8.0805 * CHOOSE(CONTROL!$C$32, $C$9, 100%, $E$9)</f>
        <v>8.0805000000000007</v>
      </c>
      <c r="N519" s="11">
        <f>8.0773 * CHOOSE(CONTROL!$C$32, $C$9, 100%, $E$9)</f>
        <v>8.0772999999999993</v>
      </c>
      <c r="O519" s="11">
        <f>8.0805 * CHOOSE(CONTROL!$C$32, $C$9, 100%, $E$9)</f>
        <v>8.0805000000000007</v>
      </c>
    </row>
    <row r="520" spans="1:15" ht="15" x14ac:dyDescent="0.2">
      <c r="A520" s="13">
        <v>56674</v>
      </c>
      <c r="B520" s="9">
        <f>7.3752 * CHOOSE(CONTROL!$C$32, $C$9, 100%, $E$9)</f>
        <v>7.3752000000000004</v>
      </c>
      <c r="C520" s="9">
        <f>7.3752 * CHOOSE(CONTROL!$C$32, $C$9, 100%, $E$9)</f>
        <v>7.3752000000000004</v>
      </c>
      <c r="D520" s="9">
        <f>7.3762 * CHOOSE(CONTROL!$C$32, $C$9, 100%, $E$9)</f>
        <v>7.3761999999999999</v>
      </c>
      <c r="E520" s="11">
        <f>8.2217 * CHOOSE(CONTROL!$C$32, $C$9, 100%, $E$9)</f>
        <v>8.2217000000000002</v>
      </c>
      <c r="F520" s="11">
        <f>8.2217 * CHOOSE(CONTROL!$C$32, $C$9, 100%, $E$9)</f>
        <v>8.2217000000000002</v>
      </c>
      <c r="G520" s="11">
        <f>8.2249 * CHOOSE(CONTROL!$C$32, $C$9, 100%, $E$9)</f>
        <v>8.2248999999999999</v>
      </c>
      <c r="H520" s="11">
        <f>16.5355 * CHOOSE(CONTROL!$C$32, $C$9, 100%, $E$9)</f>
        <v>16.535499999999999</v>
      </c>
      <c r="I520" s="11">
        <f>16.5387 * CHOOSE(CONTROL!$C$32, $C$9, 100%, $E$9)</f>
        <v>16.538699999999999</v>
      </c>
      <c r="J520" s="11">
        <f>16.5355 * CHOOSE(CONTROL!$C$32, $C$9, 100%, $E$9)</f>
        <v>16.535499999999999</v>
      </c>
      <c r="K520" s="11">
        <f>16.5387 * CHOOSE(CONTROL!$C$32, $C$9, 100%, $E$9)</f>
        <v>16.538699999999999</v>
      </c>
      <c r="L520" s="11">
        <f>8.2217 * CHOOSE(CONTROL!$C$32, $C$9, 100%, $E$9)</f>
        <v>8.2217000000000002</v>
      </c>
      <c r="M520" s="11">
        <f>8.2249 * CHOOSE(CONTROL!$C$32, $C$9, 100%, $E$9)</f>
        <v>8.2248999999999999</v>
      </c>
      <c r="N520" s="11">
        <f>8.2217 * CHOOSE(CONTROL!$C$32, $C$9, 100%, $E$9)</f>
        <v>8.2217000000000002</v>
      </c>
      <c r="O520" s="11">
        <f>8.2249 * CHOOSE(CONTROL!$C$32, $C$9, 100%, $E$9)</f>
        <v>8.2248999999999999</v>
      </c>
    </row>
    <row r="521" spans="1:15" ht="15" x14ac:dyDescent="0.2">
      <c r="A521" s="13">
        <v>56705</v>
      </c>
      <c r="B521" s="9">
        <f>7.3762 * CHOOSE(CONTROL!$C$32, $C$9, 100%, $E$9)</f>
        <v>7.3761999999999999</v>
      </c>
      <c r="C521" s="9">
        <f>7.3762 * CHOOSE(CONTROL!$C$32, $C$9, 100%, $E$9)</f>
        <v>7.3761999999999999</v>
      </c>
      <c r="D521" s="9">
        <f>7.3771 * CHOOSE(CONTROL!$C$32, $C$9, 100%, $E$9)</f>
        <v>7.3771000000000004</v>
      </c>
      <c r="E521" s="11">
        <f>8.3748 * CHOOSE(CONTROL!$C$32, $C$9, 100%, $E$9)</f>
        <v>8.3748000000000005</v>
      </c>
      <c r="F521" s="11">
        <f>8.3748 * CHOOSE(CONTROL!$C$32, $C$9, 100%, $E$9)</f>
        <v>8.3748000000000005</v>
      </c>
      <c r="G521" s="11">
        <f>8.378 * CHOOSE(CONTROL!$C$32, $C$9, 100%, $E$9)</f>
        <v>8.3780000000000001</v>
      </c>
      <c r="H521" s="11">
        <f>16.57 * CHOOSE(CONTROL!$C$32, $C$9, 100%, $E$9)</f>
        <v>16.57</v>
      </c>
      <c r="I521" s="11">
        <f>16.5732 * CHOOSE(CONTROL!$C$32, $C$9, 100%, $E$9)</f>
        <v>16.5732</v>
      </c>
      <c r="J521" s="11">
        <f>16.57 * CHOOSE(CONTROL!$C$32, $C$9, 100%, $E$9)</f>
        <v>16.57</v>
      </c>
      <c r="K521" s="11">
        <f>16.5732 * CHOOSE(CONTROL!$C$32, $C$9, 100%, $E$9)</f>
        <v>16.5732</v>
      </c>
      <c r="L521" s="11">
        <f>8.3748 * CHOOSE(CONTROL!$C$32, $C$9, 100%, $E$9)</f>
        <v>8.3748000000000005</v>
      </c>
      <c r="M521" s="11">
        <f>8.378 * CHOOSE(CONTROL!$C$32, $C$9, 100%, $E$9)</f>
        <v>8.3780000000000001</v>
      </c>
      <c r="N521" s="11">
        <f>8.3748 * CHOOSE(CONTROL!$C$32, $C$9, 100%, $E$9)</f>
        <v>8.3748000000000005</v>
      </c>
      <c r="O521" s="11">
        <f>8.378 * CHOOSE(CONTROL!$C$32, $C$9, 100%, $E$9)</f>
        <v>8.3780000000000001</v>
      </c>
    </row>
    <row r="522" spans="1:15" ht="15" x14ac:dyDescent="0.2">
      <c r="A522" s="13">
        <v>56735</v>
      </c>
      <c r="B522" s="9">
        <f>7.3762 * CHOOSE(CONTROL!$C$32, $C$9, 100%, $E$9)</f>
        <v>7.3761999999999999</v>
      </c>
      <c r="C522" s="9">
        <f>7.3762 * CHOOSE(CONTROL!$C$32, $C$9, 100%, $E$9)</f>
        <v>7.3761999999999999</v>
      </c>
      <c r="D522" s="9">
        <f>7.3774 * CHOOSE(CONTROL!$C$32, $C$9, 100%, $E$9)</f>
        <v>7.3773999999999997</v>
      </c>
      <c r="E522" s="11">
        <f>8.4338 * CHOOSE(CONTROL!$C$32, $C$9, 100%, $E$9)</f>
        <v>8.4337999999999997</v>
      </c>
      <c r="F522" s="11">
        <f>8.4338 * CHOOSE(CONTROL!$C$32, $C$9, 100%, $E$9)</f>
        <v>8.4337999999999997</v>
      </c>
      <c r="G522" s="11">
        <f>8.438 * CHOOSE(CONTROL!$C$32, $C$9, 100%, $E$9)</f>
        <v>8.4380000000000006</v>
      </c>
      <c r="H522" s="11">
        <f>16.6045 * CHOOSE(CONTROL!$C$32, $C$9, 100%, $E$9)</f>
        <v>16.604500000000002</v>
      </c>
      <c r="I522" s="11">
        <f>16.6087 * CHOOSE(CONTROL!$C$32, $C$9, 100%, $E$9)</f>
        <v>16.608699999999999</v>
      </c>
      <c r="J522" s="11">
        <f>16.6045 * CHOOSE(CONTROL!$C$32, $C$9, 100%, $E$9)</f>
        <v>16.604500000000002</v>
      </c>
      <c r="K522" s="11">
        <f>16.6087 * CHOOSE(CONTROL!$C$32, $C$9, 100%, $E$9)</f>
        <v>16.608699999999999</v>
      </c>
      <c r="L522" s="11">
        <f>8.4338 * CHOOSE(CONTROL!$C$32, $C$9, 100%, $E$9)</f>
        <v>8.4337999999999997</v>
      </c>
      <c r="M522" s="11">
        <f>8.438 * CHOOSE(CONTROL!$C$32, $C$9, 100%, $E$9)</f>
        <v>8.4380000000000006</v>
      </c>
      <c r="N522" s="11">
        <f>8.4338 * CHOOSE(CONTROL!$C$32, $C$9, 100%, $E$9)</f>
        <v>8.4337999999999997</v>
      </c>
      <c r="O522" s="11">
        <f>8.438 * CHOOSE(CONTROL!$C$32, $C$9, 100%, $E$9)</f>
        <v>8.4380000000000006</v>
      </c>
    </row>
    <row r="523" spans="1:15" ht="15" x14ac:dyDescent="0.2">
      <c r="A523" s="13">
        <v>56766</v>
      </c>
      <c r="B523" s="9">
        <f>7.3822 * CHOOSE(CONTROL!$C$32, $C$9, 100%, $E$9)</f>
        <v>7.3822000000000001</v>
      </c>
      <c r="C523" s="9">
        <f>7.3822 * CHOOSE(CONTROL!$C$32, $C$9, 100%, $E$9)</f>
        <v>7.3822000000000001</v>
      </c>
      <c r="D523" s="9">
        <f>7.3835 * CHOOSE(CONTROL!$C$32, $C$9, 100%, $E$9)</f>
        <v>7.3834999999999997</v>
      </c>
      <c r="E523" s="11">
        <f>8.379 * CHOOSE(CONTROL!$C$32, $C$9, 100%, $E$9)</f>
        <v>8.3789999999999996</v>
      </c>
      <c r="F523" s="11">
        <f>8.379 * CHOOSE(CONTROL!$C$32, $C$9, 100%, $E$9)</f>
        <v>8.3789999999999996</v>
      </c>
      <c r="G523" s="11">
        <f>8.3832 * CHOOSE(CONTROL!$C$32, $C$9, 100%, $E$9)</f>
        <v>8.3832000000000004</v>
      </c>
      <c r="H523" s="11">
        <f>16.6391 * CHOOSE(CONTROL!$C$32, $C$9, 100%, $E$9)</f>
        <v>16.639099999999999</v>
      </c>
      <c r="I523" s="11">
        <f>16.6433 * CHOOSE(CONTROL!$C$32, $C$9, 100%, $E$9)</f>
        <v>16.6433</v>
      </c>
      <c r="J523" s="11">
        <f>16.6391 * CHOOSE(CONTROL!$C$32, $C$9, 100%, $E$9)</f>
        <v>16.639099999999999</v>
      </c>
      <c r="K523" s="11">
        <f>16.6433 * CHOOSE(CONTROL!$C$32, $C$9, 100%, $E$9)</f>
        <v>16.6433</v>
      </c>
      <c r="L523" s="11">
        <f>8.379 * CHOOSE(CONTROL!$C$32, $C$9, 100%, $E$9)</f>
        <v>8.3789999999999996</v>
      </c>
      <c r="M523" s="11">
        <f>8.3832 * CHOOSE(CONTROL!$C$32, $C$9, 100%, $E$9)</f>
        <v>8.3832000000000004</v>
      </c>
      <c r="N523" s="11">
        <f>8.379 * CHOOSE(CONTROL!$C$32, $C$9, 100%, $E$9)</f>
        <v>8.3789999999999996</v>
      </c>
      <c r="O523" s="11">
        <f>8.3832 * CHOOSE(CONTROL!$C$32, $C$9, 100%, $E$9)</f>
        <v>8.3832000000000004</v>
      </c>
    </row>
    <row r="524" spans="1:15" ht="15" x14ac:dyDescent="0.2">
      <c r="A524" s="13">
        <v>56796</v>
      </c>
      <c r="B524" s="9">
        <f>7.4779 * CHOOSE(CONTROL!$C$32, $C$9, 100%, $E$9)</f>
        <v>7.4779</v>
      </c>
      <c r="C524" s="9">
        <f>7.4779 * CHOOSE(CONTROL!$C$32, $C$9, 100%, $E$9)</f>
        <v>7.4779</v>
      </c>
      <c r="D524" s="9">
        <f>7.4792 * CHOOSE(CONTROL!$C$32, $C$9, 100%, $E$9)</f>
        <v>7.4791999999999996</v>
      </c>
      <c r="E524" s="11">
        <f>8.4945 * CHOOSE(CONTROL!$C$32, $C$9, 100%, $E$9)</f>
        <v>8.4945000000000004</v>
      </c>
      <c r="F524" s="11">
        <f>8.4945 * CHOOSE(CONTROL!$C$32, $C$9, 100%, $E$9)</f>
        <v>8.4945000000000004</v>
      </c>
      <c r="G524" s="11">
        <f>8.4987 * CHOOSE(CONTROL!$C$32, $C$9, 100%, $E$9)</f>
        <v>8.4986999999999995</v>
      </c>
      <c r="H524" s="11">
        <f>16.6737 * CHOOSE(CONTROL!$C$32, $C$9, 100%, $E$9)</f>
        <v>16.6737</v>
      </c>
      <c r="I524" s="11">
        <f>16.6779 * CHOOSE(CONTROL!$C$32, $C$9, 100%, $E$9)</f>
        <v>16.677900000000001</v>
      </c>
      <c r="J524" s="11">
        <f>16.6737 * CHOOSE(CONTROL!$C$32, $C$9, 100%, $E$9)</f>
        <v>16.6737</v>
      </c>
      <c r="K524" s="11">
        <f>16.6779 * CHOOSE(CONTROL!$C$32, $C$9, 100%, $E$9)</f>
        <v>16.677900000000001</v>
      </c>
      <c r="L524" s="11">
        <f>8.4945 * CHOOSE(CONTROL!$C$32, $C$9, 100%, $E$9)</f>
        <v>8.4945000000000004</v>
      </c>
      <c r="M524" s="11">
        <f>8.4987 * CHOOSE(CONTROL!$C$32, $C$9, 100%, $E$9)</f>
        <v>8.4986999999999995</v>
      </c>
      <c r="N524" s="11">
        <f>8.4945 * CHOOSE(CONTROL!$C$32, $C$9, 100%, $E$9)</f>
        <v>8.4945000000000004</v>
      </c>
      <c r="O524" s="11">
        <f>8.4987 * CHOOSE(CONTROL!$C$32, $C$9, 100%, $E$9)</f>
        <v>8.4986999999999995</v>
      </c>
    </row>
    <row r="525" spans="1:15" ht="15" x14ac:dyDescent="0.2">
      <c r="A525" s="13">
        <v>56827</v>
      </c>
      <c r="B525" s="9">
        <f>7.4846 * CHOOSE(CONTROL!$C$32, $C$9, 100%, $E$9)</f>
        <v>7.4846000000000004</v>
      </c>
      <c r="C525" s="9">
        <f>7.4846 * CHOOSE(CONTROL!$C$32, $C$9, 100%, $E$9)</f>
        <v>7.4846000000000004</v>
      </c>
      <c r="D525" s="9">
        <f>7.4858 * CHOOSE(CONTROL!$C$32, $C$9, 100%, $E$9)</f>
        <v>7.4858000000000002</v>
      </c>
      <c r="E525" s="11">
        <f>8.3222 * CHOOSE(CONTROL!$C$32, $C$9, 100%, $E$9)</f>
        <v>8.3222000000000005</v>
      </c>
      <c r="F525" s="11">
        <f>8.3222 * CHOOSE(CONTROL!$C$32, $C$9, 100%, $E$9)</f>
        <v>8.3222000000000005</v>
      </c>
      <c r="G525" s="11">
        <f>8.3264 * CHOOSE(CONTROL!$C$32, $C$9, 100%, $E$9)</f>
        <v>8.3263999999999996</v>
      </c>
      <c r="H525" s="11">
        <f>16.7085 * CHOOSE(CONTROL!$C$32, $C$9, 100%, $E$9)</f>
        <v>16.708500000000001</v>
      </c>
      <c r="I525" s="11">
        <f>16.7127 * CHOOSE(CONTROL!$C$32, $C$9, 100%, $E$9)</f>
        <v>16.712700000000002</v>
      </c>
      <c r="J525" s="11">
        <f>16.7085 * CHOOSE(CONTROL!$C$32, $C$9, 100%, $E$9)</f>
        <v>16.708500000000001</v>
      </c>
      <c r="K525" s="11">
        <f>16.7127 * CHOOSE(CONTROL!$C$32, $C$9, 100%, $E$9)</f>
        <v>16.712700000000002</v>
      </c>
      <c r="L525" s="11">
        <f>8.3222 * CHOOSE(CONTROL!$C$32, $C$9, 100%, $E$9)</f>
        <v>8.3222000000000005</v>
      </c>
      <c r="M525" s="11">
        <f>8.3264 * CHOOSE(CONTROL!$C$32, $C$9, 100%, $E$9)</f>
        <v>8.3263999999999996</v>
      </c>
      <c r="N525" s="11">
        <f>8.3222 * CHOOSE(CONTROL!$C$32, $C$9, 100%, $E$9)</f>
        <v>8.3222000000000005</v>
      </c>
      <c r="O525" s="11">
        <f>8.3264 * CHOOSE(CONTROL!$C$32, $C$9, 100%, $E$9)</f>
        <v>8.3263999999999996</v>
      </c>
    </row>
    <row r="526" spans="1:15" ht="15" x14ac:dyDescent="0.2">
      <c r="A526" s="13">
        <v>56858</v>
      </c>
      <c r="B526" s="9">
        <f>7.4816 * CHOOSE(CONTROL!$C$32, $C$9, 100%, $E$9)</f>
        <v>7.4816000000000003</v>
      </c>
      <c r="C526" s="9">
        <f>7.4816 * CHOOSE(CONTROL!$C$32, $C$9, 100%, $E$9)</f>
        <v>7.4816000000000003</v>
      </c>
      <c r="D526" s="9">
        <f>7.4828 * CHOOSE(CONTROL!$C$32, $C$9, 100%, $E$9)</f>
        <v>7.4828000000000001</v>
      </c>
      <c r="E526" s="11">
        <f>8.3004 * CHOOSE(CONTROL!$C$32, $C$9, 100%, $E$9)</f>
        <v>8.3003999999999998</v>
      </c>
      <c r="F526" s="11">
        <f>8.3004 * CHOOSE(CONTROL!$C$32, $C$9, 100%, $E$9)</f>
        <v>8.3003999999999998</v>
      </c>
      <c r="G526" s="11">
        <f>8.3046 * CHOOSE(CONTROL!$C$32, $C$9, 100%, $E$9)</f>
        <v>8.3046000000000006</v>
      </c>
      <c r="H526" s="11">
        <f>16.7433 * CHOOSE(CONTROL!$C$32, $C$9, 100%, $E$9)</f>
        <v>16.743300000000001</v>
      </c>
      <c r="I526" s="11">
        <f>16.7475 * CHOOSE(CONTROL!$C$32, $C$9, 100%, $E$9)</f>
        <v>16.747499999999999</v>
      </c>
      <c r="J526" s="11">
        <f>16.7433 * CHOOSE(CONTROL!$C$32, $C$9, 100%, $E$9)</f>
        <v>16.743300000000001</v>
      </c>
      <c r="K526" s="11">
        <f>16.7475 * CHOOSE(CONTROL!$C$32, $C$9, 100%, $E$9)</f>
        <v>16.747499999999999</v>
      </c>
      <c r="L526" s="11">
        <f>8.3004 * CHOOSE(CONTROL!$C$32, $C$9, 100%, $E$9)</f>
        <v>8.3003999999999998</v>
      </c>
      <c r="M526" s="11">
        <f>8.3046 * CHOOSE(CONTROL!$C$32, $C$9, 100%, $E$9)</f>
        <v>8.3046000000000006</v>
      </c>
      <c r="N526" s="11">
        <f>8.3004 * CHOOSE(CONTROL!$C$32, $C$9, 100%, $E$9)</f>
        <v>8.3003999999999998</v>
      </c>
      <c r="O526" s="11">
        <f>8.3046 * CHOOSE(CONTROL!$C$32, $C$9, 100%, $E$9)</f>
        <v>8.3046000000000006</v>
      </c>
    </row>
    <row r="527" spans="1:15" ht="15" x14ac:dyDescent="0.2">
      <c r="A527" s="13">
        <v>56888</v>
      </c>
      <c r="B527" s="9">
        <f>7.4896 * CHOOSE(CONTROL!$C$32, $C$9, 100%, $E$9)</f>
        <v>7.4896000000000003</v>
      </c>
      <c r="C527" s="9">
        <f>7.4896 * CHOOSE(CONTROL!$C$32, $C$9, 100%, $E$9)</f>
        <v>7.4896000000000003</v>
      </c>
      <c r="D527" s="9">
        <f>7.4905 * CHOOSE(CONTROL!$C$32, $C$9, 100%, $E$9)</f>
        <v>7.4904999999999999</v>
      </c>
      <c r="E527" s="11">
        <f>8.3656 * CHOOSE(CONTROL!$C$32, $C$9, 100%, $E$9)</f>
        <v>8.3656000000000006</v>
      </c>
      <c r="F527" s="11">
        <f>8.3656 * CHOOSE(CONTROL!$C$32, $C$9, 100%, $E$9)</f>
        <v>8.3656000000000006</v>
      </c>
      <c r="G527" s="11">
        <f>8.3688 * CHOOSE(CONTROL!$C$32, $C$9, 100%, $E$9)</f>
        <v>8.3688000000000002</v>
      </c>
      <c r="H527" s="11">
        <f>16.7782 * CHOOSE(CONTROL!$C$32, $C$9, 100%, $E$9)</f>
        <v>16.778199999999998</v>
      </c>
      <c r="I527" s="11">
        <f>16.7814 * CHOOSE(CONTROL!$C$32, $C$9, 100%, $E$9)</f>
        <v>16.781400000000001</v>
      </c>
      <c r="J527" s="11">
        <f>16.7782 * CHOOSE(CONTROL!$C$32, $C$9, 100%, $E$9)</f>
        <v>16.778199999999998</v>
      </c>
      <c r="K527" s="11">
        <f>16.7814 * CHOOSE(CONTROL!$C$32, $C$9, 100%, $E$9)</f>
        <v>16.781400000000001</v>
      </c>
      <c r="L527" s="11">
        <f>8.3656 * CHOOSE(CONTROL!$C$32, $C$9, 100%, $E$9)</f>
        <v>8.3656000000000006</v>
      </c>
      <c r="M527" s="11">
        <f>8.3688 * CHOOSE(CONTROL!$C$32, $C$9, 100%, $E$9)</f>
        <v>8.3688000000000002</v>
      </c>
      <c r="N527" s="11">
        <f>8.3656 * CHOOSE(CONTROL!$C$32, $C$9, 100%, $E$9)</f>
        <v>8.3656000000000006</v>
      </c>
      <c r="O527" s="11">
        <f>8.3688 * CHOOSE(CONTROL!$C$32, $C$9, 100%, $E$9)</f>
        <v>8.3688000000000002</v>
      </c>
    </row>
    <row r="528" spans="1:15" ht="15" x14ac:dyDescent="0.2">
      <c r="A528" s="13">
        <v>56919</v>
      </c>
      <c r="B528" s="9">
        <f>7.4926 * CHOOSE(CONTROL!$C$32, $C$9, 100%, $E$9)</f>
        <v>7.4926000000000004</v>
      </c>
      <c r="C528" s="9">
        <f>7.4926 * CHOOSE(CONTROL!$C$32, $C$9, 100%, $E$9)</f>
        <v>7.4926000000000004</v>
      </c>
      <c r="D528" s="9">
        <f>7.4936 * CHOOSE(CONTROL!$C$32, $C$9, 100%, $E$9)</f>
        <v>7.4935999999999998</v>
      </c>
      <c r="E528" s="11">
        <f>8.4071 * CHOOSE(CONTROL!$C$32, $C$9, 100%, $E$9)</f>
        <v>8.4070999999999998</v>
      </c>
      <c r="F528" s="11">
        <f>8.4071 * CHOOSE(CONTROL!$C$32, $C$9, 100%, $E$9)</f>
        <v>8.4070999999999998</v>
      </c>
      <c r="G528" s="11">
        <f>8.4103 * CHOOSE(CONTROL!$C$32, $C$9, 100%, $E$9)</f>
        <v>8.4102999999999994</v>
      </c>
      <c r="H528" s="11">
        <f>16.8131 * CHOOSE(CONTROL!$C$32, $C$9, 100%, $E$9)</f>
        <v>16.813099999999999</v>
      </c>
      <c r="I528" s="11">
        <f>16.8163 * CHOOSE(CONTROL!$C$32, $C$9, 100%, $E$9)</f>
        <v>16.816299999999998</v>
      </c>
      <c r="J528" s="11">
        <f>16.8131 * CHOOSE(CONTROL!$C$32, $C$9, 100%, $E$9)</f>
        <v>16.813099999999999</v>
      </c>
      <c r="K528" s="11">
        <f>16.8163 * CHOOSE(CONTROL!$C$32, $C$9, 100%, $E$9)</f>
        <v>16.816299999999998</v>
      </c>
      <c r="L528" s="11">
        <f>8.4071 * CHOOSE(CONTROL!$C$32, $C$9, 100%, $E$9)</f>
        <v>8.4070999999999998</v>
      </c>
      <c r="M528" s="11">
        <f>8.4103 * CHOOSE(CONTROL!$C$32, $C$9, 100%, $E$9)</f>
        <v>8.4102999999999994</v>
      </c>
      <c r="N528" s="11">
        <f>8.4071 * CHOOSE(CONTROL!$C$32, $C$9, 100%, $E$9)</f>
        <v>8.4070999999999998</v>
      </c>
      <c r="O528" s="11">
        <f>8.4103 * CHOOSE(CONTROL!$C$32, $C$9, 100%, $E$9)</f>
        <v>8.4102999999999994</v>
      </c>
    </row>
    <row r="529" spans="1:15" ht="15" x14ac:dyDescent="0.2">
      <c r="A529" s="13">
        <v>56949</v>
      </c>
      <c r="B529" s="9">
        <f>7.4926 * CHOOSE(CONTROL!$C$32, $C$9, 100%, $E$9)</f>
        <v>7.4926000000000004</v>
      </c>
      <c r="C529" s="9">
        <f>7.4926 * CHOOSE(CONTROL!$C$32, $C$9, 100%, $E$9)</f>
        <v>7.4926000000000004</v>
      </c>
      <c r="D529" s="9">
        <f>7.4936 * CHOOSE(CONTROL!$C$32, $C$9, 100%, $E$9)</f>
        <v>7.4935999999999998</v>
      </c>
      <c r="E529" s="11">
        <f>8.3087 * CHOOSE(CONTROL!$C$32, $C$9, 100%, $E$9)</f>
        <v>8.3087</v>
      </c>
      <c r="F529" s="11">
        <f>8.3087 * CHOOSE(CONTROL!$C$32, $C$9, 100%, $E$9)</f>
        <v>8.3087</v>
      </c>
      <c r="G529" s="11">
        <f>8.312 * CHOOSE(CONTROL!$C$32, $C$9, 100%, $E$9)</f>
        <v>8.3119999999999994</v>
      </c>
      <c r="H529" s="11">
        <f>16.8481 * CHOOSE(CONTROL!$C$32, $C$9, 100%, $E$9)</f>
        <v>16.848099999999999</v>
      </c>
      <c r="I529" s="11">
        <f>16.8514 * CHOOSE(CONTROL!$C$32, $C$9, 100%, $E$9)</f>
        <v>16.851400000000002</v>
      </c>
      <c r="J529" s="11">
        <f>16.8481 * CHOOSE(CONTROL!$C$32, $C$9, 100%, $E$9)</f>
        <v>16.848099999999999</v>
      </c>
      <c r="K529" s="11">
        <f>16.8514 * CHOOSE(CONTROL!$C$32, $C$9, 100%, $E$9)</f>
        <v>16.851400000000002</v>
      </c>
      <c r="L529" s="11">
        <f>8.3087 * CHOOSE(CONTROL!$C$32, $C$9, 100%, $E$9)</f>
        <v>8.3087</v>
      </c>
      <c r="M529" s="11">
        <f>8.312 * CHOOSE(CONTROL!$C$32, $C$9, 100%, $E$9)</f>
        <v>8.3119999999999994</v>
      </c>
      <c r="N529" s="11">
        <f>8.3087 * CHOOSE(CONTROL!$C$32, $C$9, 100%, $E$9)</f>
        <v>8.3087</v>
      </c>
      <c r="O529" s="11">
        <f>8.312 * CHOOSE(CONTROL!$C$32, $C$9, 100%, $E$9)</f>
        <v>8.3119999999999994</v>
      </c>
    </row>
    <row r="530" spans="1:15" ht="15" x14ac:dyDescent="0.2">
      <c r="A530" s="13">
        <v>56980</v>
      </c>
      <c r="B530" s="9">
        <f>7.5488 * CHOOSE(CONTROL!$C$32, $C$9, 100%, $E$9)</f>
        <v>7.5488</v>
      </c>
      <c r="C530" s="9">
        <f>7.5488 * CHOOSE(CONTROL!$C$32, $C$9, 100%, $E$9)</f>
        <v>7.5488</v>
      </c>
      <c r="D530" s="9">
        <f>7.5497 * CHOOSE(CONTROL!$C$32, $C$9, 100%, $E$9)</f>
        <v>7.5496999999999996</v>
      </c>
      <c r="E530" s="11">
        <f>8.4508 * CHOOSE(CONTROL!$C$32, $C$9, 100%, $E$9)</f>
        <v>8.4507999999999992</v>
      </c>
      <c r="F530" s="11">
        <f>8.4508 * CHOOSE(CONTROL!$C$32, $C$9, 100%, $E$9)</f>
        <v>8.4507999999999992</v>
      </c>
      <c r="G530" s="11">
        <f>8.454 * CHOOSE(CONTROL!$C$32, $C$9, 100%, $E$9)</f>
        <v>8.4540000000000006</v>
      </c>
      <c r="H530" s="11">
        <f>16.8832 * CHOOSE(CONTROL!$C$32, $C$9, 100%, $E$9)</f>
        <v>16.883199999999999</v>
      </c>
      <c r="I530" s="11">
        <f>16.8865 * CHOOSE(CONTROL!$C$32, $C$9, 100%, $E$9)</f>
        <v>16.886500000000002</v>
      </c>
      <c r="J530" s="11">
        <f>16.8832 * CHOOSE(CONTROL!$C$32, $C$9, 100%, $E$9)</f>
        <v>16.883199999999999</v>
      </c>
      <c r="K530" s="11">
        <f>16.8865 * CHOOSE(CONTROL!$C$32, $C$9, 100%, $E$9)</f>
        <v>16.886500000000002</v>
      </c>
      <c r="L530" s="11">
        <f>8.4508 * CHOOSE(CONTROL!$C$32, $C$9, 100%, $E$9)</f>
        <v>8.4507999999999992</v>
      </c>
      <c r="M530" s="11">
        <f>8.454 * CHOOSE(CONTROL!$C$32, $C$9, 100%, $E$9)</f>
        <v>8.4540000000000006</v>
      </c>
      <c r="N530" s="11">
        <f>8.4508 * CHOOSE(CONTROL!$C$32, $C$9, 100%, $E$9)</f>
        <v>8.4507999999999992</v>
      </c>
      <c r="O530" s="11">
        <f>8.454 * CHOOSE(CONTROL!$C$32, $C$9, 100%, $E$9)</f>
        <v>8.4540000000000006</v>
      </c>
    </row>
    <row r="531" spans="1:15" ht="15" x14ac:dyDescent="0.2">
      <c r="A531" s="13">
        <v>57011</v>
      </c>
      <c r="B531" s="9">
        <f>7.5457 * CHOOSE(CONTROL!$C$32, $C$9, 100%, $E$9)</f>
        <v>7.5457000000000001</v>
      </c>
      <c r="C531" s="9">
        <f>7.5457 * CHOOSE(CONTROL!$C$32, $C$9, 100%, $E$9)</f>
        <v>7.5457000000000001</v>
      </c>
      <c r="D531" s="9">
        <f>7.5467 * CHOOSE(CONTROL!$C$32, $C$9, 100%, $E$9)</f>
        <v>7.5467000000000004</v>
      </c>
      <c r="E531" s="11">
        <f>8.2568 * CHOOSE(CONTROL!$C$32, $C$9, 100%, $E$9)</f>
        <v>8.2568000000000001</v>
      </c>
      <c r="F531" s="11">
        <f>8.2568 * CHOOSE(CONTROL!$C$32, $C$9, 100%, $E$9)</f>
        <v>8.2568000000000001</v>
      </c>
      <c r="G531" s="11">
        <f>8.2601 * CHOOSE(CONTROL!$C$32, $C$9, 100%, $E$9)</f>
        <v>8.2600999999999996</v>
      </c>
      <c r="H531" s="11">
        <f>16.9184 * CHOOSE(CONTROL!$C$32, $C$9, 100%, $E$9)</f>
        <v>16.918399999999998</v>
      </c>
      <c r="I531" s="11">
        <f>16.9216 * CHOOSE(CONTROL!$C$32, $C$9, 100%, $E$9)</f>
        <v>16.921600000000002</v>
      </c>
      <c r="J531" s="11">
        <f>16.9184 * CHOOSE(CONTROL!$C$32, $C$9, 100%, $E$9)</f>
        <v>16.918399999999998</v>
      </c>
      <c r="K531" s="11">
        <f>16.9216 * CHOOSE(CONTROL!$C$32, $C$9, 100%, $E$9)</f>
        <v>16.921600000000002</v>
      </c>
      <c r="L531" s="11">
        <f>8.2568 * CHOOSE(CONTROL!$C$32, $C$9, 100%, $E$9)</f>
        <v>8.2568000000000001</v>
      </c>
      <c r="M531" s="11">
        <f>8.2601 * CHOOSE(CONTROL!$C$32, $C$9, 100%, $E$9)</f>
        <v>8.2600999999999996</v>
      </c>
      <c r="N531" s="11">
        <f>8.2568 * CHOOSE(CONTROL!$C$32, $C$9, 100%, $E$9)</f>
        <v>8.2568000000000001</v>
      </c>
      <c r="O531" s="11">
        <f>8.2601 * CHOOSE(CONTROL!$C$32, $C$9, 100%, $E$9)</f>
        <v>8.2600999999999996</v>
      </c>
    </row>
    <row r="532" spans="1:15" ht="15" x14ac:dyDescent="0.2">
      <c r="A532" s="13">
        <v>57040</v>
      </c>
      <c r="B532" s="9">
        <f>7.5427 * CHOOSE(CONTROL!$C$32, $C$9, 100%, $E$9)</f>
        <v>7.5427</v>
      </c>
      <c r="C532" s="9">
        <f>7.5427 * CHOOSE(CONTROL!$C$32, $C$9, 100%, $E$9)</f>
        <v>7.5427</v>
      </c>
      <c r="D532" s="9">
        <f>7.5436 * CHOOSE(CONTROL!$C$32, $C$9, 100%, $E$9)</f>
        <v>7.5435999999999996</v>
      </c>
      <c r="E532" s="11">
        <f>8.406 * CHOOSE(CONTROL!$C$32, $C$9, 100%, $E$9)</f>
        <v>8.4060000000000006</v>
      </c>
      <c r="F532" s="11">
        <f>8.406 * CHOOSE(CONTROL!$C$32, $C$9, 100%, $E$9)</f>
        <v>8.4060000000000006</v>
      </c>
      <c r="G532" s="11">
        <f>8.4092 * CHOOSE(CONTROL!$C$32, $C$9, 100%, $E$9)</f>
        <v>8.4092000000000002</v>
      </c>
      <c r="H532" s="11">
        <f>16.9537 * CHOOSE(CONTROL!$C$32, $C$9, 100%, $E$9)</f>
        <v>16.953700000000001</v>
      </c>
      <c r="I532" s="11">
        <f>16.9569 * CHOOSE(CONTROL!$C$32, $C$9, 100%, $E$9)</f>
        <v>16.956900000000001</v>
      </c>
      <c r="J532" s="11">
        <f>16.9537 * CHOOSE(CONTROL!$C$32, $C$9, 100%, $E$9)</f>
        <v>16.953700000000001</v>
      </c>
      <c r="K532" s="11">
        <f>16.9569 * CHOOSE(CONTROL!$C$32, $C$9, 100%, $E$9)</f>
        <v>16.956900000000001</v>
      </c>
      <c r="L532" s="11">
        <f>8.406 * CHOOSE(CONTROL!$C$32, $C$9, 100%, $E$9)</f>
        <v>8.4060000000000006</v>
      </c>
      <c r="M532" s="11">
        <f>8.4092 * CHOOSE(CONTROL!$C$32, $C$9, 100%, $E$9)</f>
        <v>8.4092000000000002</v>
      </c>
      <c r="N532" s="11">
        <f>8.406 * CHOOSE(CONTROL!$C$32, $C$9, 100%, $E$9)</f>
        <v>8.4060000000000006</v>
      </c>
      <c r="O532" s="11">
        <f>8.4092 * CHOOSE(CONTROL!$C$32, $C$9, 100%, $E$9)</f>
        <v>8.4092000000000002</v>
      </c>
    </row>
    <row r="533" spans="1:15" ht="15" x14ac:dyDescent="0.2">
      <c r="A533" s="13">
        <v>57071</v>
      </c>
      <c r="B533" s="9">
        <f>7.5438 * CHOOSE(CONTROL!$C$32, $C$9, 100%, $E$9)</f>
        <v>7.5438000000000001</v>
      </c>
      <c r="C533" s="9">
        <f>7.5438 * CHOOSE(CONTROL!$C$32, $C$9, 100%, $E$9)</f>
        <v>7.5438000000000001</v>
      </c>
      <c r="D533" s="9">
        <f>7.5447 * CHOOSE(CONTROL!$C$32, $C$9, 100%, $E$9)</f>
        <v>7.5446999999999997</v>
      </c>
      <c r="E533" s="11">
        <f>8.5642 * CHOOSE(CONTROL!$C$32, $C$9, 100%, $E$9)</f>
        <v>8.5641999999999996</v>
      </c>
      <c r="F533" s="11">
        <f>8.5642 * CHOOSE(CONTROL!$C$32, $C$9, 100%, $E$9)</f>
        <v>8.5641999999999996</v>
      </c>
      <c r="G533" s="11">
        <f>8.5674 * CHOOSE(CONTROL!$C$32, $C$9, 100%, $E$9)</f>
        <v>8.5673999999999992</v>
      </c>
      <c r="H533" s="11">
        <f>16.989 * CHOOSE(CONTROL!$C$32, $C$9, 100%, $E$9)</f>
        <v>16.989000000000001</v>
      </c>
      <c r="I533" s="11">
        <f>16.9922 * CHOOSE(CONTROL!$C$32, $C$9, 100%, $E$9)</f>
        <v>16.9922</v>
      </c>
      <c r="J533" s="11">
        <f>16.989 * CHOOSE(CONTROL!$C$32, $C$9, 100%, $E$9)</f>
        <v>16.989000000000001</v>
      </c>
      <c r="K533" s="11">
        <f>16.9922 * CHOOSE(CONTROL!$C$32, $C$9, 100%, $E$9)</f>
        <v>16.9922</v>
      </c>
      <c r="L533" s="11">
        <f>8.5642 * CHOOSE(CONTROL!$C$32, $C$9, 100%, $E$9)</f>
        <v>8.5641999999999996</v>
      </c>
      <c r="M533" s="11">
        <f>8.5674 * CHOOSE(CONTROL!$C$32, $C$9, 100%, $E$9)</f>
        <v>8.5673999999999992</v>
      </c>
      <c r="N533" s="11">
        <f>8.5642 * CHOOSE(CONTROL!$C$32, $C$9, 100%, $E$9)</f>
        <v>8.5641999999999996</v>
      </c>
      <c r="O533" s="11">
        <f>8.5674 * CHOOSE(CONTROL!$C$32, $C$9, 100%, $E$9)</f>
        <v>8.5673999999999992</v>
      </c>
    </row>
    <row r="534" spans="1:15" ht="15" x14ac:dyDescent="0.2">
      <c r="A534" s="13">
        <v>57101</v>
      </c>
      <c r="B534" s="9">
        <f>7.5438 * CHOOSE(CONTROL!$C$32, $C$9, 100%, $E$9)</f>
        <v>7.5438000000000001</v>
      </c>
      <c r="C534" s="9">
        <f>7.5438 * CHOOSE(CONTROL!$C$32, $C$9, 100%, $E$9)</f>
        <v>7.5438000000000001</v>
      </c>
      <c r="D534" s="9">
        <f>7.545 * CHOOSE(CONTROL!$C$32, $C$9, 100%, $E$9)</f>
        <v>7.5449999999999999</v>
      </c>
      <c r="E534" s="11">
        <f>8.6251 * CHOOSE(CONTROL!$C$32, $C$9, 100%, $E$9)</f>
        <v>8.6250999999999998</v>
      </c>
      <c r="F534" s="11">
        <f>8.6251 * CHOOSE(CONTROL!$C$32, $C$9, 100%, $E$9)</f>
        <v>8.6250999999999998</v>
      </c>
      <c r="G534" s="11">
        <f>8.6293 * CHOOSE(CONTROL!$C$32, $C$9, 100%, $E$9)</f>
        <v>8.6293000000000006</v>
      </c>
      <c r="H534" s="11">
        <f>17.0244 * CHOOSE(CONTROL!$C$32, $C$9, 100%, $E$9)</f>
        <v>17.0244</v>
      </c>
      <c r="I534" s="11">
        <f>17.0286 * CHOOSE(CONTROL!$C$32, $C$9, 100%, $E$9)</f>
        <v>17.028600000000001</v>
      </c>
      <c r="J534" s="11">
        <f>17.0244 * CHOOSE(CONTROL!$C$32, $C$9, 100%, $E$9)</f>
        <v>17.0244</v>
      </c>
      <c r="K534" s="11">
        <f>17.0286 * CHOOSE(CONTROL!$C$32, $C$9, 100%, $E$9)</f>
        <v>17.028600000000001</v>
      </c>
      <c r="L534" s="11">
        <f>8.6251 * CHOOSE(CONTROL!$C$32, $C$9, 100%, $E$9)</f>
        <v>8.6250999999999998</v>
      </c>
      <c r="M534" s="11">
        <f>8.6293 * CHOOSE(CONTROL!$C$32, $C$9, 100%, $E$9)</f>
        <v>8.6293000000000006</v>
      </c>
      <c r="N534" s="11">
        <f>8.6251 * CHOOSE(CONTROL!$C$32, $C$9, 100%, $E$9)</f>
        <v>8.6250999999999998</v>
      </c>
      <c r="O534" s="11">
        <f>8.6293 * CHOOSE(CONTROL!$C$32, $C$9, 100%, $E$9)</f>
        <v>8.6293000000000006</v>
      </c>
    </row>
    <row r="535" spans="1:15" ht="15" x14ac:dyDescent="0.2">
      <c r="A535" s="13">
        <v>57132</v>
      </c>
      <c r="B535" s="9">
        <f>7.5499 * CHOOSE(CONTROL!$C$32, $C$9, 100%, $E$9)</f>
        <v>7.5499000000000001</v>
      </c>
      <c r="C535" s="9">
        <f>7.5499 * CHOOSE(CONTROL!$C$32, $C$9, 100%, $E$9)</f>
        <v>7.5499000000000001</v>
      </c>
      <c r="D535" s="9">
        <f>7.5511 * CHOOSE(CONTROL!$C$32, $C$9, 100%, $E$9)</f>
        <v>7.5510999999999999</v>
      </c>
      <c r="E535" s="11">
        <f>8.5684 * CHOOSE(CONTROL!$C$32, $C$9, 100%, $E$9)</f>
        <v>8.5684000000000005</v>
      </c>
      <c r="F535" s="11">
        <f>8.5684 * CHOOSE(CONTROL!$C$32, $C$9, 100%, $E$9)</f>
        <v>8.5684000000000005</v>
      </c>
      <c r="G535" s="11">
        <f>8.5726 * CHOOSE(CONTROL!$C$32, $C$9, 100%, $E$9)</f>
        <v>8.5725999999999996</v>
      </c>
      <c r="H535" s="11">
        <f>17.0598 * CHOOSE(CONTROL!$C$32, $C$9, 100%, $E$9)</f>
        <v>17.059799999999999</v>
      </c>
      <c r="I535" s="11">
        <f>17.064 * CHOOSE(CONTROL!$C$32, $C$9, 100%, $E$9)</f>
        <v>17.064</v>
      </c>
      <c r="J535" s="11">
        <f>17.0598 * CHOOSE(CONTROL!$C$32, $C$9, 100%, $E$9)</f>
        <v>17.059799999999999</v>
      </c>
      <c r="K535" s="11">
        <f>17.064 * CHOOSE(CONTROL!$C$32, $C$9, 100%, $E$9)</f>
        <v>17.064</v>
      </c>
      <c r="L535" s="11">
        <f>8.5684 * CHOOSE(CONTROL!$C$32, $C$9, 100%, $E$9)</f>
        <v>8.5684000000000005</v>
      </c>
      <c r="M535" s="11">
        <f>8.5726 * CHOOSE(CONTROL!$C$32, $C$9, 100%, $E$9)</f>
        <v>8.5725999999999996</v>
      </c>
      <c r="N535" s="11">
        <f>8.5684 * CHOOSE(CONTROL!$C$32, $C$9, 100%, $E$9)</f>
        <v>8.5684000000000005</v>
      </c>
      <c r="O535" s="11">
        <f>8.5726 * CHOOSE(CONTROL!$C$32, $C$9, 100%, $E$9)</f>
        <v>8.5725999999999996</v>
      </c>
    </row>
    <row r="536" spans="1:15" ht="15" x14ac:dyDescent="0.2">
      <c r="A536" s="13">
        <v>57162</v>
      </c>
      <c r="B536" s="9">
        <f>7.6474 * CHOOSE(CONTROL!$C$32, $C$9, 100%, $E$9)</f>
        <v>7.6474000000000002</v>
      </c>
      <c r="C536" s="9">
        <f>7.6474 * CHOOSE(CONTROL!$C$32, $C$9, 100%, $E$9)</f>
        <v>7.6474000000000002</v>
      </c>
      <c r="D536" s="9">
        <f>7.6486 * CHOOSE(CONTROL!$C$32, $C$9, 100%, $E$9)</f>
        <v>7.6486000000000001</v>
      </c>
      <c r="E536" s="11">
        <f>8.6867 * CHOOSE(CONTROL!$C$32, $C$9, 100%, $E$9)</f>
        <v>8.6867000000000001</v>
      </c>
      <c r="F536" s="11">
        <f>8.6867 * CHOOSE(CONTROL!$C$32, $C$9, 100%, $E$9)</f>
        <v>8.6867000000000001</v>
      </c>
      <c r="G536" s="11">
        <f>8.6909 * CHOOSE(CONTROL!$C$32, $C$9, 100%, $E$9)</f>
        <v>8.6908999999999992</v>
      </c>
      <c r="H536" s="11">
        <f>17.0954 * CHOOSE(CONTROL!$C$32, $C$9, 100%, $E$9)</f>
        <v>17.095400000000001</v>
      </c>
      <c r="I536" s="11">
        <f>17.0996 * CHOOSE(CONTROL!$C$32, $C$9, 100%, $E$9)</f>
        <v>17.099599999999999</v>
      </c>
      <c r="J536" s="11">
        <f>17.0954 * CHOOSE(CONTROL!$C$32, $C$9, 100%, $E$9)</f>
        <v>17.095400000000001</v>
      </c>
      <c r="K536" s="11">
        <f>17.0996 * CHOOSE(CONTROL!$C$32, $C$9, 100%, $E$9)</f>
        <v>17.099599999999999</v>
      </c>
      <c r="L536" s="11">
        <f>8.6867 * CHOOSE(CONTROL!$C$32, $C$9, 100%, $E$9)</f>
        <v>8.6867000000000001</v>
      </c>
      <c r="M536" s="11">
        <f>8.6909 * CHOOSE(CONTROL!$C$32, $C$9, 100%, $E$9)</f>
        <v>8.6908999999999992</v>
      </c>
      <c r="N536" s="11">
        <f>8.6867 * CHOOSE(CONTROL!$C$32, $C$9, 100%, $E$9)</f>
        <v>8.6867000000000001</v>
      </c>
      <c r="O536" s="11">
        <f>8.6909 * CHOOSE(CONTROL!$C$32, $C$9, 100%, $E$9)</f>
        <v>8.6908999999999992</v>
      </c>
    </row>
    <row r="537" spans="1:15" ht="15" x14ac:dyDescent="0.2">
      <c r="A537" s="13">
        <v>57193</v>
      </c>
      <c r="B537" s="9">
        <f>7.654 * CHOOSE(CONTROL!$C$32, $C$9, 100%, $E$9)</f>
        <v>7.6539999999999999</v>
      </c>
      <c r="C537" s="9">
        <f>7.654 * CHOOSE(CONTROL!$C$32, $C$9, 100%, $E$9)</f>
        <v>7.6539999999999999</v>
      </c>
      <c r="D537" s="9">
        <f>7.6553 * CHOOSE(CONTROL!$C$32, $C$9, 100%, $E$9)</f>
        <v>7.6553000000000004</v>
      </c>
      <c r="E537" s="11">
        <f>8.5087 * CHOOSE(CONTROL!$C$32, $C$9, 100%, $E$9)</f>
        <v>8.5086999999999993</v>
      </c>
      <c r="F537" s="11">
        <f>8.5087 * CHOOSE(CONTROL!$C$32, $C$9, 100%, $E$9)</f>
        <v>8.5086999999999993</v>
      </c>
      <c r="G537" s="11">
        <f>8.5129 * CHOOSE(CONTROL!$C$32, $C$9, 100%, $E$9)</f>
        <v>8.5129000000000001</v>
      </c>
      <c r="H537" s="11">
        <f>17.131 * CHOOSE(CONTROL!$C$32, $C$9, 100%, $E$9)</f>
        <v>17.131</v>
      </c>
      <c r="I537" s="11">
        <f>17.1352 * CHOOSE(CONTROL!$C$32, $C$9, 100%, $E$9)</f>
        <v>17.135200000000001</v>
      </c>
      <c r="J537" s="11">
        <f>17.131 * CHOOSE(CONTROL!$C$32, $C$9, 100%, $E$9)</f>
        <v>17.131</v>
      </c>
      <c r="K537" s="11">
        <f>17.1352 * CHOOSE(CONTROL!$C$32, $C$9, 100%, $E$9)</f>
        <v>17.135200000000001</v>
      </c>
      <c r="L537" s="11">
        <f>8.5087 * CHOOSE(CONTROL!$C$32, $C$9, 100%, $E$9)</f>
        <v>8.5086999999999993</v>
      </c>
      <c r="M537" s="11">
        <f>8.5129 * CHOOSE(CONTROL!$C$32, $C$9, 100%, $E$9)</f>
        <v>8.5129000000000001</v>
      </c>
      <c r="N537" s="11">
        <f>8.5087 * CHOOSE(CONTROL!$C$32, $C$9, 100%, $E$9)</f>
        <v>8.5086999999999993</v>
      </c>
      <c r="O537" s="11">
        <f>8.5129 * CHOOSE(CONTROL!$C$32, $C$9, 100%, $E$9)</f>
        <v>8.5129000000000001</v>
      </c>
    </row>
    <row r="538" spans="1:15" ht="15" x14ac:dyDescent="0.2">
      <c r="A538" s="13">
        <v>57224</v>
      </c>
      <c r="B538" s="9">
        <f>7.651 * CHOOSE(CONTROL!$C$32, $C$9, 100%, $E$9)</f>
        <v>7.6509999999999998</v>
      </c>
      <c r="C538" s="9">
        <f>7.651 * CHOOSE(CONTROL!$C$32, $C$9, 100%, $E$9)</f>
        <v>7.6509999999999998</v>
      </c>
      <c r="D538" s="9">
        <f>7.6523 * CHOOSE(CONTROL!$C$32, $C$9, 100%, $E$9)</f>
        <v>7.6523000000000003</v>
      </c>
      <c r="E538" s="11">
        <f>8.4862 * CHOOSE(CONTROL!$C$32, $C$9, 100%, $E$9)</f>
        <v>8.4862000000000002</v>
      </c>
      <c r="F538" s="11">
        <f>8.4862 * CHOOSE(CONTROL!$C$32, $C$9, 100%, $E$9)</f>
        <v>8.4862000000000002</v>
      </c>
      <c r="G538" s="11">
        <f>8.4904 * CHOOSE(CONTROL!$C$32, $C$9, 100%, $E$9)</f>
        <v>8.4903999999999993</v>
      </c>
      <c r="H538" s="11">
        <f>17.1667 * CHOOSE(CONTROL!$C$32, $C$9, 100%, $E$9)</f>
        <v>17.166699999999999</v>
      </c>
      <c r="I538" s="11">
        <f>17.1709 * CHOOSE(CONTROL!$C$32, $C$9, 100%, $E$9)</f>
        <v>17.1709</v>
      </c>
      <c r="J538" s="11">
        <f>17.1667 * CHOOSE(CONTROL!$C$32, $C$9, 100%, $E$9)</f>
        <v>17.166699999999999</v>
      </c>
      <c r="K538" s="11">
        <f>17.1709 * CHOOSE(CONTROL!$C$32, $C$9, 100%, $E$9)</f>
        <v>17.1709</v>
      </c>
      <c r="L538" s="11">
        <f>8.4862 * CHOOSE(CONTROL!$C$32, $C$9, 100%, $E$9)</f>
        <v>8.4862000000000002</v>
      </c>
      <c r="M538" s="11">
        <f>8.4904 * CHOOSE(CONTROL!$C$32, $C$9, 100%, $E$9)</f>
        <v>8.4903999999999993</v>
      </c>
      <c r="N538" s="11">
        <f>8.4862 * CHOOSE(CONTROL!$C$32, $C$9, 100%, $E$9)</f>
        <v>8.4862000000000002</v>
      </c>
      <c r="O538" s="11">
        <f>8.4904 * CHOOSE(CONTROL!$C$32, $C$9, 100%, $E$9)</f>
        <v>8.4903999999999993</v>
      </c>
    </row>
    <row r="539" spans="1:15" ht="15" x14ac:dyDescent="0.2">
      <c r="A539" s="13">
        <v>57254</v>
      </c>
      <c r="B539" s="9">
        <f>7.6597 * CHOOSE(CONTROL!$C$32, $C$9, 100%, $E$9)</f>
        <v>7.6597</v>
      </c>
      <c r="C539" s="9">
        <f>7.6597 * CHOOSE(CONTROL!$C$32, $C$9, 100%, $E$9)</f>
        <v>7.6597</v>
      </c>
      <c r="D539" s="9">
        <f>7.6606 * CHOOSE(CONTROL!$C$32, $C$9, 100%, $E$9)</f>
        <v>7.6605999999999996</v>
      </c>
      <c r="E539" s="11">
        <f>8.554 * CHOOSE(CONTROL!$C$32, $C$9, 100%, $E$9)</f>
        <v>8.5540000000000003</v>
      </c>
      <c r="F539" s="11">
        <f>8.554 * CHOOSE(CONTROL!$C$32, $C$9, 100%, $E$9)</f>
        <v>8.5540000000000003</v>
      </c>
      <c r="G539" s="11">
        <f>8.5573 * CHOOSE(CONTROL!$C$32, $C$9, 100%, $E$9)</f>
        <v>8.5572999999999997</v>
      </c>
      <c r="H539" s="11">
        <f>17.2025 * CHOOSE(CONTROL!$C$32, $C$9, 100%, $E$9)</f>
        <v>17.202500000000001</v>
      </c>
      <c r="I539" s="11">
        <f>17.2057 * CHOOSE(CONTROL!$C$32, $C$9, 100%, $E$9)</f>
        <v>17.2057</v>
      </c>
      <c r="J539" s="11">
        <f>17.2025 * CHOOSE(CONTROL!$C$32, $C$9, 100%, $E$9)</f>
        <v>17.202500000000001</v>
      </c>
      <c r="K539" s="11">
        <f>17.2057 * CHOOSE(CONTROL!$C$32, $C$9, 100%, $E$9)</f>
        <v>17.2057</v>
      </c>
      <c r="L539" s="11">
        <f>8.554 * CHOOSE(CONTROL!$C$32, $C$9, 100%, $E$9)</f>
        <v>8.5540000000000003</v>
      </c>
      <c r="M539" s="11">
        <f>8.5573 * CHOOSE(CONTROL!$C$32, $C$9, 100%, $E$9)</f>
        <v>8.5572999999999997</v>
      </c>
      <c r="N539" s="11">
        <f>8.554 * CHOOSE(CONTROL!$C$32, $C$9, 100%, $E$9)</f>
        <v>8.5540000000000003</v>
      </c>
      <c r="O539" s="11">
        <f>8.5573 * CHOOSE(CONTROL!$C$32, $C$9, 100%, $E$9)</f>
        <v>8.5572999999999997</v>
      </c>
    </row>
    <row r="540" spans="1:15" ht="15" x14ac:dyDescent="0.2">
      <c r="A540" s="13">
        <v>57285</v>
      </c>
      <c r="B540" s="9">
        <f>7.6627 * CHOOSE(CONTROL!$C$32, $C$9, 100%, $E$9)</f>
        <v>7.6627000000000001</v>
      </c>
      <c r="C540" s="9">
        <f>7.6627 * CHOOSE(CONTROL!$C$32, $C$9, 100%, $E$9)</f>
        <v>7.6627000000000001</v>
      </c>
      <c r="D540" s="9">
        <f>7.6636 * CHOOSE(CONTROL!$C$32, $C$9, 100%, $E$9)</f>
        <v>7.6635999999999997</v>
      </c>
      <c r="E540" s="11">
        <f>8.5968 * CHOOSE(CONTROL!$C$32, $C$9, 100%, $E$9)</f>
        <v>8.5968</v>
      </c>
      <c r="F540" s="11">
        <f>8.5968 * CHOOSE(CONTROL!$C$32, $C$9, 100%, $E$9)</f>
        <v>8.5968</v>
      </c>
      <c r="G540" s="11">
        <f>8.6 * CHOOSE(CONTROL!$C$32, $C$9, 100%, $E$9)</f>
        <v>8.6</v>
      </c>
      <c r="H540" s="11">
        <f>17.2383 * CHOOSE(CONTROL!$C$32, $C$9, 100%, $E$9)</f>
        <v>17.238299999999999</v>
      </c>
      <c r="I540" s="11">
        <f>17.2415 * CHOOSE(CONTROL!$C$32, $C$9, 100%, $E$9)</f>
        <v>17.241499999999998</v>
      </c>
      <c r="J540" s="11">
        <f>17.2383 * CHOOSE(CONTROL!$C$32, $C$9, 100%, $E$9)</f>
        <v>17.238299999999999</v>
      </c>
      <c r="K540" s="11">
        <f>17.2415 * CHOOSE(CONTROL!$C$32, $C$9, 100%, $E$9)</f>
        <v>17.241499999999998</v>
      </c>
      <c r="L540" s="11">
        <f>8.5968 * CHOOSE(CONTROL!$C$32, $C$9, 100%, $E$9)</f>
        <v>8.5968</v>
      </c>
      <c r="M540" s="11">
        <f>8.6 * CHOOSE(CONTROL!$C$32, $C$9, 100%, $E$9)</f>
        <v>8.6</v>
      </c>
      <c r="N540" s="11">
        <f>8.5968 * CHOOSE(CONTROL!$C$32, $C$9, 100%, $E$9)</f>
        <v>8.5968</v>
      </c>
      <c r="O540" s="11">
        <f>8.6 * CHOOSE(CONTROL!$C$32, $C$9, 100%, $E$9)</f>
        <v>8.6</v>
      </c>
    </row>
    <row r="541" spans="1:15" ht="15" x14ac:dyDescent="0.2">
      <c r="A541" s="13">
        <v>57315</v>
      </c>
      <c r="B541" s="9">
        <f>7.6627 * CHOOSE(CONTROL!$C$32, $C$9, 100%, $E$9)</f>
        <v>7.6627000000000001</v>
      </c>
      <c r="C541" s="9">
        <f>7.6627 * CHOOSE(CONTROL!$C$32, $C$9, 100%, $E$9)</f>
        <v>7.6627000000000001</v>
      </c>
      <c r="D541" s="9">
        <f>7.6636 * CHOOSE(CONTROL!$C$32, $C$9, 100%, $E$9)</f>
        <v>7.6635999999999997</v>
      </c>
      <c r="E541" s="11">
        <f>8.4952 * CHOOSE(CONTROL!$C$32, $C$9, 100%, $E$9)</f>
        <v>8.4952000000000005</v>
      </c>
      <c r="F541" s="11">
        <f>8.4952 * CHOOSE(CONTROL!$C$32, $C$9, 100%, $E$9)</f>
        <v>8.4952000000000005</v>
      </c>
      <c r="G541" s="11">
        <f>8.4985 * CHOOSE(CONTROL!$C$32, $C$9, 100%, $E$9)</f>
        <v>8.4984999999999999</v>
      </c>
      <c r="H541" s="11">
        <f>17.2742 * CHOOSE(CONTROL!$C$32, $C$9, 100%, $E$9)</f>
        <v>17.2742</v>
      </c>
      <c r="I541" s="11">
        <f>17.2774 * CHOOSE(CONTROL!$C$32, $C$9, 100%, $E$9)</f>
        <v>17.2774</v>
      </c>
      <c r="J541" s="11">
        <f>17.2742 * CHOOSE(CONTROL!$C$32, $C$9, 100%, $E$9)</f>
        <v>17.2742</v>
      </c>
      <c r="K541" s="11">
        <f>17.2774 * CHOOSE(CONTROL!$C$32, $C$9, 100%, $E$9)</f>
        <v>17.2774</v>
      </c>
      <c r="L541" s="11">
        <f>8.4952 * CHOOSE(CONTROL!$C$32, $C$9, 100%, $E$9)</f>
        <v>8.4952000000000005</v>
      </c>
      <c r="M541" s="11">
        <f>8.4985 * CHOOSE(CONTROL!$C$32, $C$9, 100%, $E$9)</f>
        <v>8.4984999999999999</v>
      </c>
      <c r="N541" s="11">
        <f>8.4952 * CHOOSE(CONTROL!$C$32, $C$9, 100%, $E$9)</f>
        <v>8.4952000000000005</v>
      </c>
      <c r="O541" s="11">
        <f>8.4985 * CHOOSE(CONTROL!$C$32, $C$9, 100%, $E$9)</f>
        <v>8.4984999999999999</v>
      </c>
    </row>
    <row r="542" spans="1:15" ht="15" x14ac:dyDescent="0.2">
      <c r="A542" s="13">
        <v>57346</v>
      </c>
      <c r="B542" s="9">
        <f>7.72 * CHOOSE(CONTROL!$C$32, $C$9, 100%, $E$9)</f>
        <v>7.72</v>
      </c>
      <c r="C542" s="9">
        <f>7.72 * CHOOSE(CONTROL!$C$32, $C$9, 100%, $E$9)</f>
        <v>7.72</v>
      </c>
      <c r="D542" s="9">
        <f>7.721 * CHOOSE(CONTROL!$C$32, $C$9, 100%, $E$9)</f>
        <v>7.7210000000000001</v>
      </c>
      <c r="E542" s="11">
        <f>8.6415 * CHOOSE(CONTROL!$C$32, $C$9, 100%, $E$9)</f>
        <v>8.6415000000000006</v>
      </c>
      <c r="F542" s="11">
        <f>8.6415 * CHOOSE(CONTROL!$C$32, $C$9, 100%, $E$9)</f>
        <v>8.6415000000000006</v>
      </c>
      <c r="G542" s="11">
        <f>8.6447 * CHOOSE(CONTROL!$C$32, $C$9, 100%, $E$9)</f>
        <v>8.6447000000000003</v>
      </c>
      <c r="H542" s="11">
        <f>17.3102 * CHOOSE(CONTROL!$C$32, $C$9, 100%, $E$9)</f>
        <v>17.310199999999998</v>
      </c>
      <c r="I542" s="11">
        <f>17.3134 * CHOOSE(CONTROL!$C$32, $C$9, 100%, $E$9)</f>
        <v>17.313400000000001</v>
      </c>
      <c r="J542" s="11">
        <f>17.3102 * CHOOSE(CONTROL!$C$32, $C$9, 100%, $E$9)</f>
        <v>17.310199999999998</v>
      </c>
      <c r="K542" s="11">
        <f>17.3134 * CHOOSE(CONTROL!$C$32, $C$9, 100%, $E$9)</f>
        <v>17.313400000000001</v>
      </c>
      <c r="L542" s="11">
        <f>8.6415 * CHOOSE(CONTROL!$C$32, $C$9, 100%, $E$9)</f>
        <v>8.6415000000000006</v>
      </c>
      <c r="M542" s="11">
        <f>8.6447 * CHOOSE(CONTROL!$C$32, $C$9, 100%, $E$9)</f>
        <v>8.6447000000000003</v>
      </c>
      <c r="N542" s="11">
        <f>8.6415 * CHOOSE(CONTROL!$C$32, $C$9, 100%, $E$9)</f>
        <v>8.6415000000000006</v>
      </c>
      <c r="O542" s="11">
        <f>8.6447 * CHOOSE(CONTROL!$C$32, $C$9, 100%, $E$9)</f>
        <v>8.6447000000000003</v>
      </c>
    </row>
    <row r="543" spans="1:15" ht="15" x14ac:dyDescent="0.2">
      <c r="A543" s="13">
        <v>57377</v>
      </c>
      <c r="B543" s="9">
        <f>7.717 * CHOOSE(CONTROL!$C$32, $C$9, 100%, $E$9)</f>
        <v>7.7169999999999996</v>
      </c>
      <c r="C543" s="9">
        <f>7.717 * CHOOSE(CONTROL!$C$32, $C$9, 100%, $E$9)</f>
        <v>7.7169999999999996</v>
      </c>
      <c r="D543" s="9">
        <f>7.7179 * CHOOSE(CONTROL!$C$32, $C$9, 100%, $E$9)</f>
        <v>7.7179000000000002</v>
      </c>
      <c r="E543" s="11">
        <f>8.4413 * CHOOSE(CONTROL!$C$32, $C$9, 100%, $E$9)</f>
        <v>8.4413</v>
      </c>
      <c r="F543" s="11">
        <f>8.4413 * CHOOSE(CONTROL!$C$32, $C$9, 100%, $E$9)</f>
        <v>8.4413</v>
      </c>
      <c r="G543" s="11">
        <f>8.4445 * CHOOSE(CONTROL!$C$32, $C$9, 100%, $E$9)</f>
        <v>8.4444999999999997</v>
      </c>
      <c r="H543" s="11">
        <f>17.3463 * CHOOSE(CONTROL!$C$32, $C$9, 100%, $E$9)</f>
        <v>17.346299999999999</v>
      </c>
      <c r="I543" s="11">
        <f>17.3495 * CHOOSE(CONTROL!$C$32, $C$9, 100%, $E$9)</f>
        <v>17.349499999999999</v>
      </c>
      <c r="J543" s="11">
        <f>17.3463 * CHOOSE(CONTROL!$C$32, $C$9, 100%, $E$9)</f>
        <v>17.346299999999999</v>
      </c>
      <c r="K543" s="11">
        <f>17.3495 * CHOOSE(CONTROL!$C$32, $C$9, 100%, $E$9)</f>
        <v>17.349499999999999</v>
      </c>
      <c r="L543" s="11">
        <f>8.4413 * CHOOSE(CONTROL!$C$32, $C$9, 100%, $E$9)</f>
        <v>8.4413</v>
      </c>
      <c r="M543" s="11">
        <f>8.4445 * CHOOSE(CONTROL!$C$32, $C$9, 100%, $E$9)</f>
        <v>8.4444999999999997</v>
      </c>
      <c r="N543" s="11">
        <f>8.4413 * CHOOSE(CONTROL!$C$32, $C$9, 100%, $E$9)</f>
        <v>8.4413</v>
      </c>
      <c r="O543" s="11">
        <f>8.4445 * CHOOSE(CONTROL!$C$32, $C$9, 100%, $E$9)</f>
        <v>8.4444999999999997</v>
      </c>
    </row>
    <row r="544" spans="1:15" ht="15" x14ac:dyDescent="0.2">
      <c r="A544" s="13">
        <v>57405</v>
      </c>
      <c r="B544" s="9">
        <f>7.7139 * CHOOSE(CONTROL!$C$32, $C$9, 100%, $E$9)</f>
        <v>7.7138999999999998</v>
      </c>
      <c r="C544" s="9">
        <f>7.7139 * CHOOSE(CONTROL!$C$32, $C$9, 100%, $E$9)</f>
        <v>7.7138999999999998</v>
      </c>
      <c r="D544" s="9">
        <f>7.7149 * CHOOSE(CONTROL!$C$32, $C$9, 100%, $E$9)</f>
        <v>7.7149000000000001</v>
      </c>
      <c r="E544" s="11">
        <f>8.5954 * CHOOSE(CONTROL!$C$32, $C$9, 100%, $E$9)</f>
        <v>8.5953999999999997</v>
      </c>
      <c r="F544" s="11">
        <f>8.5954 * CHOOSE(CONTROL!$C$32, $C$9, 100%, $E$9)</f>
        <v>8.5953999999999997</v>
      </c>
      <c r="G544" s="11">
        <f>8.5986 * CHOOSE(CONTROL!$C$32, $C$9, 100%, $E$9)</f>
        <v>8.5985999999999994</v>
      </c>
      <c r="H544" s="11">
        <f>17.3824 * CHOOSE(CONTROL!$C$32, $C$9, 100%, $E$9)</f>
        <v>17.382400000000001</v>
      </c>
      <c r="I544" s="11">
        <f>17.3856 * CHOOSE(CONTROL!$C$32, $C$9, 100%, $E$9)</f>
        <v>17.3856</v>
      </c>
      <c r="J544" s="11">
        <f>17.3824 * CHOOSE(CONTROL!$C$32, $C$9, 100%, $E$9)</f>
        <v>17.382400000000001</v>
      </c>
      <c r="K544" s="11">
        <f>17.3856 * CHOOSE(CONTROL!$C$32, $C$9, 100%, $E$9)</f>
        <v>17.3856</v>
      </c>
      <c r="L544" s="11">
        <f>8.5954 * CHOOSE(CONTROL!$C$32, $C$9, 100%, $E$9)</f>
        <v>8.5953999999999997</v>
      </c>
      <c r="M544" s="11">
        <f>8.5986 * CHOOSE(CONTROL!$C$32, $C$9, 100%, $E$9)</f>
        <v>8.5985999999999994</v>
      </c>
      <c r="N544" s="11">
        <f>8.5954 * CHOOSE(CONTROL!$C$32, $C$9, 100%, $E$9)</f>
        <v>8.5953999999999997</v>
      </c>
      <c r="O544" s="11">
        <f>8.5986 * CHOOSE(CONTROL!$C$32, $C$9, 100%, $E$9)</f>
        <v>8.5985999999999994</v>
      </c>
    </row>
    <row r="545" spans="1:15" ht="15" x14ac:dyDescent="0.2">
      <c r="A545" s="13">
        <v>57436</v>
      </c>
      <c r="B545" s="9">
        <f>7.7152 * CHOOSE(CONTROL!$C$32, $C$9, 100%, $E$9)</f>
        <v>7.7152000000000003</v>
      </c>
      <c r="C545" s="9">
        <f>7.7152 * CHOOSE(CONTROL!$C$32, $C$9, 100%, $E$9)</f>
        <v>7.7152000000000003</v>
      </c>
      <c r="D545" s="9">
        <f>7.7161 * CHOOSE(CONTROL!$C$32, $C$9, 100%, $E$9)</f>
        <v>7.7161</v>
      </c>
      <c r="E545" s="11">
        <f>8.7588 * CHOOSE(CONTROL!$C$32, $C$9, 100%, $E$9)</f>
        <v>8.7588000000000008</v>
      </c>
      <c r="F545" s="11">
        <f>8.7588 * CHOOSE(CONTROL!$C$32, $C$9, 100%, $E$9)</f>
        <v>8.7588000000000008</v>
      </c>
      <c r="G545" s="11">
        <f>8.7621 * CHOOSE(CONTROL!$C$32, $C$9, 100%, $E$9)</f>
        <v>8.7621000000000002</v>
      </c>
      <c r="H545" s="11">
        <f>17.4186 * CHOOSE(CONTROL!$C$32, $C$9, 100%, $E$9)</f>
        <v>17.418600000000001</v>
      </c>
      <c r="I545" s="11">
        <f>17.4218 * CHOOSE(CONTROL!$C$32, $C$9, 100%, $E$9)</f>
        <v>17.421800000000001</v>
      </c>
      <c r="J545" s="11">
        <f>17.4186 * CHOOSE(CONTROL!$C$32, $C$9, 100%, $E$9)</f>
        <v>17.418600000000001</v>
      </c>
      <c r="K545" s="11">
        <f>17.4218 * CHOOSE(CONTROL!$C$32, $C$9, 100%, $E$9)</f>
        <v>17.421800000000001</v>
      </c>
      <c r="L545" s="11">
        <f>8.7588 * CHOOSE(CONTROL!$C$32, $C$9, 100%, $E$9)</f>
        <v>8.7588000000000008</v>
      </c>
      <c r="M545" s="11">
        <f>8.7621 * CHOOSE(CONTROL!$C$32, $C$9, 100%, $E$9)</f>
        <v>8.7621000000000002</v>
      </c>
      <c r="N545" s="11">
        <f>8.7588 * CHOOSE(CONTROL!$C$32, $C$9, 100%, $E$9)</f>
        <v>8.7588000000000008</v>
      </c>
      <c r="O545" s="11">
        <f>8.7621 * CHOOSE(CONTROL!$C$32, $C$9, 100%, $E$9)</f>
        <v>8.7621000000000002</v>
      </c>
    </row>
    <row r="546" spans="1:15" ht="15" x14ac:dyDescent="0.2">
      <c r="A546" s="13">
        <v>57466</v>
      </c>
      <c r="B546" s="9">
        <f>7.7152 * CHOOSE(CONTROL!$C$32, $C$9, 100%, $E$9)</f>
        <v>7.7152000000000003</v>
      </c>
      <c r="C546" s="9">
        <f>7.7152 * CHOOSE(CONTROL!$C$32, $C$9, 100%, $E$9)</f>
        <v>7.7152000000000003</v>
      </c>
      <c r="D546" s="9">
        <f>7.7164 * CHOOSE(CONTROL!$C$32, $C$9, 100%, $E$9)</f>
        <v>7.7164000000000001</v>
      </c>
      <c r="E546" s="11">
        <f>8.8217 * CHOOSE(CONTROL!$C$32, $C$9, 100%, $E$9)</f>
        <v>8.8216999999999999</v>
      </c>
      <c r="F546" s="11">
        <f>8.8217 * CHOOSE(CONTROL!$C$32, $C$9, 100%, $E$9)</f>
        <v>8.8216999999999999</v>
      </c>
      <c r="G546" s="11">
        <f>8.8259 * CHOOSE(CONTROL!$C$32, $C$9, 100%, $E$9)</f>
        <v>8.8259000000000007</v>
      </c>
      <c r="H546" s="11">
        <f>17.4549 * CHOOSE(CONTROL!$C$32, $C$9, 100%, $E$9)</f>
        <v>17.454899999999999</v>
      </c>
      <c r="I546" s="11">
        <f>17.4591 * CHOOSE(CONTROL!$C$32, $C$9, 100%, $E$9)</f>
        <v>17.459099999999999</v>
      </c>
      <c r="J546" s="11">
        <f>17.4549 * CHOOSE(CONTROL!$C$32, $C$9, 100%, $E$9)</f>
        <v>17.454899999999999</v>
      </c>
      <c r="K546" s="11">
        <f>17.4591 * CHOOSE(CONTROL!$C$32, $C$9, 100%, $E$9)</f>
        <v>17.459099999999999</v>
      </c>
      <c r="L546" s="11">
        <f>8.8217 * CHOOSE(CONTROL!$C$32, $C$9, 100%, $E$9)</f>
        <v>8.8216999999999999</v>
      </c>
      <c r="M546" s="11">
        <f>8.8259 * CHOOSE(CONTROL!$C$32, $C$9, 100%, $E$9)</f>
        <v>8.8259000000000007</v>
      </c>
      <c r="N546" s="11">
        <f>8.8217 * CHOOSE(CONTROL!$C$32, $C$9, 100%, $E$9)</f>
        <v>8.8216999999999999</v>
      </c>
      <c r="O546" s="11">
        <f>8.8259 * CHOOSE(CONTROL!$C$32, $C$9, 100%, $E$9)</f>
        <v>8.8259000000000007</v>
      </c>
    </row>
    <row r="547" spans="1:15" ht="15" x14ac:dyDescent="0.2">
      <c r="A547" s="13">
        <v>57497</v>
      </c>
      <c r="B547" s="9">
        <f>7.7213 * CHOOSE(CONTROL!$C$32, $C$9, 100%, $E$9)</f>
        <v>7.7213000000000003</v>
      </c>
      <c r="C547" s="9">
        <f>7.7213 * CHOOSE(CONTROL!$C$32, $C$9, 100%, $E$9)</f>
        <v>7.7213000000000003</v>
      </c>
      <c r="D547" s="9">
        <f>7.7225 * CHOOSE(CONTROL!$C$32, $C$9, 100%, $E$9)</f>
        <v>7.7225000000000001</v>
      </c>
      <c r="E547" s="11">
        <f>8.7631 * CHOOSE(CONTROL!$C$32, $C$9, 100%, $E$9)</f>
        <v>8.7630999999999997</v>
      </c>
      <c r="F547" s="11">
        <f>8.7631 * CHOOSE(CONTROL!$C$32, $C$9, 100%, $E$9)</f>
        <v>8.7630999999999997</v>
      </c>
      <c r="G547" s="11">
        <f>8.7673 * CHOOSE(CONTROL!$C$32, $C$9, 100%, $E$9)</f>
        <v>8.7673000000000005</v>
      </c>
      <c r="H547" s="11">
        <f>17.4913 * CHOOSE(CONTROL!$C$32, $C$9, 100%, $E$9)</f>
        <v>17.491299999999999</v>
      </c>
      <c r="I547" s="11">
        <f>17.4955 * CHOOSE(CONTROL!$C$32, $C$9, 100%, $E$9)</f>
        <v>17.4955</v>
      </c>
      <c r="J547" s="11">
        <f>17.4913 * CHOOSE(CONTROL!$C$32, $C$9, 100%, $E$9)</f>
        <v>17.491299999999999</v>
      </c>
      <c r="K547" s="11">
        <f>17.4955 * CHOOSE(CONTROL!$C$32, $C$9, 100%, $E$9)</f>
        <v>17.4955</v>
      </c>
      <c r="L547" s="11">
        <f>8.7631 * CHOOSE(CONTROL!$C$32, $C$9, 100%, $E$9)</f>
        <v>8.7630999999999997</v>
      </c>
      <c r="M547" s="11">
        <f>8.7673 * CHOOSE(CONTROL!$C$32, $C$9, 100%, $E$9)</f>
        <v>8.7673000000000005</v>
      </c>
      <c r="N547" s="11">
        <f>8.7631 * CHOOSE(CONTROL!$C$32, $C$9, 100%, $E$9)</f>
        <v>8.7630999999999997</v>
      </c>
      <c r="O547" s="11">
        <f>8.7673 * CHOOSE(CONTROL!$C$32, $C$9, 100%, $E$9)</f>
        <v>8.7673000000000005</v>
      </c>
    </row>
    <row r="548" spans="1:15" ht="15" x14ac:dyDescent="0.2">
      <c r="A548" s="13">
        <v>57527</v>
      </c>
      <c r="B548" s="9">
        <f>7.8207 * CHOOSE(CONTROL!$C$32, $C$9, 100%, $E$9)</f>
        <v>7.8207000000000004</v>
      </c>
      <c r="C548" s="9">
        <f>7.8207 * CHOOSE(CONTROL!$C$32, $C$9, 100%, $E$9)</f>
        <v>7.8207000000000004</v>
      </c>
      <c r="D548" s="9">
        <f>7.8219 * CHOOSE(CONTROL!$C$32, $C$9, 100%, $E$9)</f>
        <v>7.8219000000000003</v>
      </c>
      <c r="E548" s="11">
        <f>8.8842 * CHOOSE(CONTROL!$C$32, $C$9, 100%, $E$9)</f>
        <v>8.8841999999999999</v>
      </c>
      <c r="F548" s="11">
        <f>8.8842 * CHOOSE(CONTROL!$C$32, $C$9, 100%, $E$9)</f>
        <v>8.8841999999999999</v>
      </c>
      <c r="G548" s="11">
        <f>8.8884 * CHOOSE(CONTROL!$C$32, $C$9, 100%, $E$9)</f>
        <v>8.8884000000000007</v>
      </c>
      <c r="H548" s="11">
        <f>17.5277 * CHOOSE(CONTROL!$C$32, $C$9, 100%, $E$9)</f>
        <v>17.527699999999999</v>
      </c>
      <c r="I548" s="11">
        <f>17.5319 * CHOOSE(CONTROL!$C$32, $C$9, 100%, $E$9)</f>
        <v>17.5319</v>
      </c>
      <c r="J548" s="11">
        <f>17.5277 * CHOOSE(CONTROL!$C$32, $C$9, 100%, $E$9)</f>
        <v>17.527699999999999</v>
      </c>
      <c r="K548" s="11">
        <f>17.5319 * CHOOSE(CONTROL!$C$32, $C$9, 100%, $E$9)</f>
        <v>17.5319</v>
      </c>
      <c r="L548" s="11">
        <f>8.8842 * CHOOSE(CONTROL!$C$32, $C$9, 100%, $E$9)</f>
        <v>8.8841999999999999</v>
      </c>
      <c r="M548" s="11">
        <f>8.8884 * CHOOSE(CONTROL!$C$32, $C$9, 100%, $E$9)</f>
        <v>8.8884000000000007</v>
      </c>
      <c r="N548" s="11">
        <f>8.8842 * CHOOSE(CONTROL!$C$32, $C$9, 100%, $E$9)</f>
        <v>8.8841999999999999</v>
      </c>
      <c r="O548" s="11">
        <f>8.8884 * CHOOSE(CONTROL!$C$32, $C$9, 100%, $E$9)</f>
        <v>8.8884000000000007</v>
      </c>
    </row>
    <row r="549" spans="1:15" ht="15" x14ac:dyDescent="0.2">
      <c r="A549" s="13">
        <v>57558</v>
      </c>
      <c r="B549" s="9">
        <f>7.8273 * CHOOSE(CONTROL!$C$32, $C$9, 100%, $E$9)</f>
        <v>7.8273000000000001</v>
      </c>
      <c r="C549" s="9">
        <f>7.8273 * CHOOSE(CONTROL!$C$32, $C$9, 100%, $E$9)</f>
        <v>7.8273000000000001</v>
      </c>
      <c r="D549" s="9">
        <f>7.8286 * CHOOSE(CONTROL!$C$32, $C$9, 100%, $E$9)</f>
        <v>7.8285999999999998</v>
      </c>
      <c r="E549" s="11">
        <f>8.7002 * CHOOSE(CONTROL!$C$32, $C$9, 100%, $E$9)</f>
        <v>8.7002000000000006</v>
      </c>
      <c r="F549" s="11">
        <f>8.7002 * CHOOSE(CONTROL!$C$32, $C$9, 100%, $E$9)</f>
        <v>8.7002000000000006</v>
      </c>
      <c r="G549" s="11">
        <f>8.7044 * CHOOSE(CONTROL!$C$32, $C$9, 100%, $E$9)</f>
        <v>8.7043999999999997</v>
      </c>
      <c r="H549" s="11">
        <f>17.5642 * CHOOSE(CONTROL!$C$32, $C$9, 100%, $E$9)</f>
        <v>17.5642</v>
      </c>
      <c r="I549" s="11">
        <f>17.5684 * CHOOSE(CONTROL!$C$32, $C$9, 100%, $E$9)</f>
        <v>17.5684</v>
      </c>
      <c r="J549" s="11">
        <f>17.5642 * CHOOSE(CONTROL!$C$32, $C$9, 100%, $E$9)</f>
        <v>17.5642</v>
      </c>
      <c r="K549" s="11">
        <f>17.5684 * CHOOSE(CONTROL!$C$32, $C$9, 100%, $E$9)</f>
        <v>17.5684</v>
      </c>
      <c r="L549" s="11">
        <f>8.7002 * CHOOSE(CONTROL!$C$32, $C$9, 100%, $E$9)</f>
        <v>8.7002000000000006</v>
      </c>
      <c r="M549" s="11">
        <f>8.7044 * CHOOSE(CONTROL!$C$32, $C$9, 100%, $E$9)</f>
        <v>8.7043999999999997</v>
      </c>
      <c r="N549" s="11">
        <f>8.7002 * CHOOSE(CONTROL!$C$32, $C$9, 100%, $E$9)</f>
        <v>8.7002000000000006</v>
      </c>
      <c r="O549" s="11">
        <f>8.7044 * CHOOSE(CONTROL!$C$32, $C$9, 100%, $E$9)</f>
        <v>8.7043999999999997</v>
      </c>
    </row>
    <row r="550" spans="1:15" ht="15" x14ac:dyDescent="0.2">
      <c r="A550" s="13">
        <v>57589</v>
      </c>
      <c r="B550" s="9">
        <f>7.8243 * CHOOSE(CONTROL!$C$32, $C$9, 100%, $E$9)</f>
        <v>7.8243</v>
      </c>
      <c r="C550" s="9">
        <f>7.8243 * CHOOSE(CONTROL!$C$32, $C$9, 100%, $E$9)</f>
        <v>7.8243</v>
      </c>
      <c r="D550" s="9">
        <f>7.8256 * CHOOSE(CONTROL!$C$32, $C$9, 100%, $E$9)</f>
        <v>7.8255999999999997</v>
      </c>
      <c r="E550" s="11">
        <f>8.6771 * CHOOSE(CONTROL!$C$32, $C$9, 100%, $E$9)</f>
        <v>8.6770999999999994</v>
      </c>
      <c r="F550" s="11">
        <f>8.6771 * CHOOSE(CONTROL!$C$32, $C$9, 100%, $E$9)</f>
        <v>8.6770999999999994</v>
      </c>
      <c r="G550" s="11">
        <f>8.6813 * CHOOSE(CONTROL!$C$32, $C$9, 100%, $E$9)</f>
        <v>8.6813000000000002</v>
      </c>
      <c r="H550" s="11">
        <f>17.6008 * CHOOSE(CONTROL!$C$32, $C$9, 100%, $E$9)</f>
        <v>17.6008</v>
      </c>
      <c r="I550" s="11">
        <f>17.605 * CHOOSE(CONTROL!$C$32, $C$9, 100%, $E$9)</f>
        <v>17.605</v>
      </c>
      <c r="J550" s="11">
        <f>17.6008 * CHOOSE(CONTROL!$C$32, $C$9, 100%, $E$9)</f>
        <v>17.6008</v>
      </c>
      <c r="K550" s="11">
        <f>17.605 * CHOOSE(CONTROL!$C$32, $C$9, 100%, $E$9)</f>
        <v>17.605</v>
      </c>
      <c r="L550" s="11">
        <f>8.6771 * CHOOSE(CONTROL!$C$32, $C$9, 100%, $E$9)</f>
        <v>8.6770999999999994</v>
      </c>
      <c r="M550" s="11">
        <f>8.6813 * CHOOSE(CONTROL!$C$32, $C$9, 100%, $E$9)</f>
        <v>8.6813000000000002</v>
      </c>
      <c r="N550" s="11">
        <f>8.6771 * CHOOSE(CONTROL!$C$32, $C$9, 100%, $E$9)</f>
        <v>8.6770999999999994</v>
      </c>
      <c r="O550" s="11">
        <f>8.6813 * CHOOSE(CONTROL!$C$32, $C$9, 100%, $E$9)</f>
        <v>8.6813000000000002</v>
      </c>
    </row>
    <row r="551" spans="1:15" ht="15" x14ac:dyDescent="0.2">
      <c r="A551" s="13">
        <v>57619</v>
      </c>
      <c r="B551" s="9">
        <f>7.8336 * CHOOSE(CONTROL!$C$32, $C$9, 100%, $E$9)</f>
        <v>7.8335999999999997</v>
      </c>
      <c r="C551" s="9">
        <f>7.8336 * CHOOSE(CONTROL!$C$32, $C$9, 100%, $E$9)</f>
        <v>7.8335999999999997</v>
      </c>
      <c r="D551" s="9">
        <f>7.8346 * CHOOSE(CONTROL!$C$32, $C$9, 100%, $E$9)</f>
        <v>7.8346</v>
      </c>
      <c r="E551" s="11">
        <f>8.7475 * CHOOSE(CONTROL!$C$32, $C$9, 100%, $E$9)</f>
        <v>8.7475000000000005</v>
      </c>
      <c r="F551" s="11">
        <f>8.7475 * CHOOSE(CONTROL!$C$32, $C$9, 100%, $E$9)</f>
        <v>8.7475000000000005</v>
      </c>
      <c r="G551" s="11">
        <f>8.7508 * CHOOSE(CONTROL!$C$32, $C$9, 100%, $E$9)</f>
        <v>8.7507999999999999</v>
      </c>
      <c r="H551" s="11">
        <f>17.6375 * CHOOSE(CONTROL!$C$32, $C$9, 100%, $E$9)</f>
        <v>17.637499999999999</v>
      </c>
      <c r="I551" s="11">
        <f>17.6407 * CHOOSE(CONTROL!$C$32, $C$9, 100%, $E$9)</f>
        <v>17.640699999999999</v>
      </c>
      <c r="J551" s="11">
        <f>17.6375 * CHOOSE(CONTROL!$C$32, $C$9, 100%, $E$9)</f>
        <v>17.637499999999999</v>
      </c>
      <c r="K551" s="11">
        <f>17.6407 * CHOOSE(CONTROL!$C$32, $C$9, 100%, $E$9)</f>
        <v>17.640699999999999</v>
      </c>
      <c r="L551" s="11">
        <f>8.7475 * CHOOSE(CONTROL!$C$32, $C$9, 100%, $E$9)</f>
        <v>8.7475000000000005</v>
      </c>
      <c r="M551" s="11">
        <f>8.7508 * CHOOSE(CONTROL!$C$32, $C$9, 100%, $E$9)</f>
        <v>8.7507999999999999</v>
      </c>
      <c r="N551" s="11">
        <f>8.7475 * CHOOSE(CONTROL!$C$32, $C$9, 100%, $E$9)</f>
        <v>8.7475000000000005</v>
      </c>
      <c r="O551" s="11">
        <f>8.7508 * CHOOSE(CONTROL!$C$32, $C$9, 100%, $E$9)</f>
        <v>8.7507999999999999</v>
      </c>
    </row>
    <row r="552" spans="1:15" ht="15" x14ac:dyDescent="0.2">
      <c r="A552" s="13">
        <v>57650</v>
      </c>
      <c r="B552" s="9">
        <f>7.8366 * CHOOSE(CONTROL!$C$32, $C$9, 100%, $E$9)</f>
        <v>7.8365999999999998</v>
      </c>
      <c r="C552" s="9">
        <f>7.8366 * CHOOSE(CONTROL!$C$32, $C$9, 100%, $E$9)</f>
        <v>7.8365999999999998</v>
      </c>
      <c r="D552" s="9">
        <f>7.8376 * CHOOSE(CONTROL!$C$32, $C$9, 100%, $E$9)</f>
        <v>7.8376000000000001</v>
      </c>
      <c r="E552" s="11">
        <f>8.7916 * CHOOSE(CONTROL!$C$32, $C$9, 100%, $E$9)</f>
        <v>8.7916000000000007</v>
      </c>
      <c r="F552" s="11">
        <f>8.7916 * CHOOSE(CONTROL!$C$32, $C$9, 100%, $E$9)</f>
        <v>8.7916000000000007</v>
      </c>
      <c r="G552" s="11">
        <f>8.7948 * CHOOSE(CONTROL!$C$32, $C$9, 100%, $E$9)</f>
        <v>8.7948000000000004</v>
      </c>
      <c r="H552" s="11">
        <f>17.6742 * CHOOSE(CONTROL!$C$32, $C$9, 100%, $E$9)</f>
        <v>17.674199999999999</v>
      </c>
      <c r="I552" s="11">
        <f>17.6774 * CHOOSE(CONTROL!$C$32, $C$9, 100%, $E$9)</f>
        <v>17.677399999999999</v>
      </c>
      <c r="J552" s="11">
        <f>17.6742 * CHOOSE(CONTROL!$C$32, $C$9, 100%, $E$9)</f>
        <v>17.674199999999999</v>
      </c>
      <c r="K552" s="11">
        <f>17.6774 * CHOOSE(CONTROL!$C$32, $C$9, 100%, $E$9)</f>
        <v>17.677399999999999</v>
      </c>
      <c r="L552" s="11">
        <f>8.7916 * CHOOSE(CONTROL!$C$32, $C$9, 100%, $E$9)</f>
        <v>8.7916000000000007</v>
      </c>
      <c r="M552" s="11">
        <f>8.7948 * CHOOSE(CONTROL!$C$32, $C$9, 100%, $E$9)</f>
        <v>8.7948000000000004</v>
      </c>
      <c r="N552" s="11">
        <f>8.7916 * CHOOSE(CONTROL!$C$32, $C$9, 100%, $E$9)</f>
        <v>8.7916000000000007</v>
      </c>
      <c r="O552" s="11">
        <f>8.7948 * CHOOSE(CONTROL!$C$32, $C$9, 100%, $E$9)</f>
        <v>8.7948000000000004</v>
      </c>
    </row>
    <row r="553" spans="1:15" ht="15" x14ac:dyDescent="0.2">
      <c r="A553" s="13">
        <v>57680</v>
      </c>
      <c r="B553" s="9">
        <f>7.8366 * CHOOSE(CONTROL!$C$32, $C$9, 100%, $E$9)</f>
        <v>7.8365999999999998</v>
      </c>
      <c r="C553" s="9">
        <f>7.8366 * CHOOSE(CONTROL!$C$32, $C$9, 100%, $E$9)</f>
        <v>7.8365999999999998</v>
      </c>
      <c r="D553" s="9">
        <f>7.8376 * CHOOSE(CONTROL!$C$32, $C$9, 100%, $E$9)</f>
        <v>7.8376000000000001</v>
      </c>
      <c r="E553" s="11">
        <f>8.6867 * CHOOSE(CONTROL!$C$32, $C$9, 100%, $E$9)</f>
        <v>8.6867000000000001</v>
      </c>
      <c r="F553" s="11">
        <f>8.6867 * CHOOSE(CONTROL!$C$32, $C$9, 100%, $E$9)</f>
        <v>8.6867000000000001</v>
      </c>
      <c r="G553" s="11">
        <f>8.69 * CHOOSE(CONTROL!$C$32, $C$9, 100%, $E$9)</f>
        <v>8.69</v>
      </c>
      <c r="H553" s="11">
        <f>17.711 * CHOOSE(CONTROL!$C$32, $C$9, 100%, $E$9)</f>
        <v>17.710999999999999</v>
      </c>
      <c r="I553" s="11">
        <f>17.7143 * CHOOSE(CONTROL!$C$32, $C$9, 100%, $E$9)</f>
        <v>17.714300000000001</v>
      </c>
      <c r="J553" s="11">
        <f>17.711 * CHOOSE(CONTROL!$C$32, $C$9, 100%, $E$9)</f>
        <v>17.710999999999999</v>
      </c>
      <c r="K553" s="11">
        <f>17.7143 * CHOOSE(CONTROL!$C$32, $C$9, 100%, $E$9)</f>
        <v>17.714300000000001</v>
      </c>
      <c r="L553" s="11">
        <f>8.6867 * CHOOSE(CONTROL!$C$32, $C$9, 100%, $E$9)</f>
        <v>8.6867000000000001</v>
      </c>
      <c r="M553" s="11">
        <f>8.69 * CHOOSE(CONTROL!$C$32, $C$9, 100%, $E$9)</f>
        <v>8.69</v>
      </c>
      <c r="N553" s="11">
        <f>8.6867 * CHOOSE(CONTROL!$C$32, $C$9, 100%, $E$9)</f>
        <v>8.6867000000000001</v>
      </c>
      <c r="O553" s="11">
        <f>8.69 * CHOOSE(CONTROL!$C$32, $C$9, 100%, $E$9)</f>
        <v>8.69</v>
      </c>
    </row>
    <row r="554" spans="1:15" ht="15" x14ac:dyDescent="0.2">
      <c r="A554" s="13">
        <v>57711</v>
      </c>
      <c r="B554" s="9">
        <f>7.8952 * CHOOSE(CONTROL!$C$32, $C$9, 100%, $E$9)</f>
        <v>7.8952</v>
      </c>
      <c r="C554" s="9">
        <f>7.8952 * CHOOSE(CONTROL!$C$32, $C$9, 100%, $E$9)</f>
        <v>7.8952</v>
      </c>
      <c r="D554" s="9">
        <f>7.8961 * CHOOSE(CONTROL!$C$32, $C$9, 100%, $E$9)</f>
        <v>7.8960999999999997</v>
      </c>
      <c r="E554" s="11">
        <f>8.8374 * CHOOSE(CONTROL!$C$32, $C$9, 100%, $E$9)</f>
        <v>8.8374000000000006</v>
      </c>
      <c r="F554" s="11">
        <f>8.8374 * CHOOSE(CONTROL!$C$32, $C$9, 100%, $E$9)</f>
        <v>8.8374000000000006</v>
      </c>
      <c r="G554" s="11">
        <f>8.8406 * CHOOSE(CONTROL!$C$32, $C$9, 100%, $E$9)</f>
        <v>8.8406000000000002</v>
      </c>
      <c r="H554" s="11">
        <f>17.7479 * CHOOSE(CONTROL!$C$32, $C$9, 100%, $E$9)</f>
        <v>17.747900000000001</v>
      </c>
      <c r="I554" s="11">
        <f>17.7512 * CHOOSE(CONTROL!$C$32, $C$9, 100%, $E$9)</f>
        <v>17.751200000000001</v>
      </c>
      <c r="J554" s="11">
        <f>17.7479 * CHOOSE(CONTROL!$C$32, $C$9, 100%, $E$9)</f>
        <v>17.747900000000001</v>
      </c>
      <c r="K554" s="11">
        <f>17.7512 * CHOOSE(CONTROL!$C$32, $C$9, 100%, $E$9)</f>
        <v>17.751200000000001</v>
      </c>
      <c r="L554" s="11">
        <f>8.8374 * CHOOSE(CONTROL!$C$32, $C$9, 100%, $E$9)</f>
        <v>8.8374000000000006</v>
      </c>
      <c r="M554" s="11">
        <f>8.8406 * CHOOSE(CONTROL!$C$32, $C$9, 100%, $E$9)</f>
        <v>8.8406000000000002</v>
      </c>
      <c r="N554" s="11">
        <f>8.8374 * CHOOSE(CONTROL!$C$32, $C$9, 100%, $E$9)</f>
        <v>8.8374000000000006</v>
      </c>
      <c r="O554" s="11">
        <f>8.8406 * CHOOSE(CONTROL!$C$32, $C$9, 100%, $E$9)</f>
        <v>8.8406000000000002</v>
      </c>
    </row>
    <row r="555" spans="1:15" ht="15" x14ac:dyDescent="0.2">
      <c r="A555" s="13">
        <v>57742</v>
      </c>
      <c r="B555" s="9">
        <f>7.8921 * CHOOSE(CONTROL!$C$32, $C$9, 100%, $E$9)</f>
        <v>7.8921000000000001</v>
      </c>
      <c r="C555" s="9">
        <f>7.8921 * CHOOSE(CONTROL!$C$32, $C$9, 100%, $E$9)</f>
        <v>7.8921000000000001</v>
      </c>
      <c r="D555" s="9">
        <f>7.8931 * CHOOSE(CONTROL!$C$32, $C$9, 100%, $E$9)</f>
        <v>7.8930999999999996</v>
      </c>
      <c r="E555" s="11">
        <f>8.6307 * CHOOSE(CONTROL!$C$32, $C$9, 100%, $E$9)</f>
        <v>8.6306999999999992</v>
      </c>
      <c r="F555" s="11">
        <f>8.6307 * CHOOSE(CONTROL!$C$32, $C$9, 100%, $E$9)</f>
        <v>8.6306999999999992</v>
      </c>
      <c r="G555" s="11">
        <f>8.634 * CHOOSE(CONTROL!$C$32, $C$9, 100%, $E$9)</f>
        <v>8.6340000000000003</v>
      </c>
      <c r="H555" s="11">
        <f>17.7849 * CHOOSE(CONTROL!$C$32, $C$9, 100%, $E$9)</f>
        <v>17.7849</v>
      </c>
      <c r="I555" s="11">
        <f>17.7881 * CHOOSE(CONTROL!$C$32, $C$9, 100%, $E$9)</f>
        <v>17.7881</v>
      </c>
      <c r="J555" s="11">
        <f>17.7849 * CHOOSE(CONTROL!$C$32, $C$9, 100%, $E$9)</f>
        <v>17.7849</v>
      </c>
      <c r="K555" s="11">
        <f>17.7881 * CHOOSE(CONTROL!$C$32, $C$9, 100%, $E$9)</f>
        <v>17.7881</v>
      </c>
      <c r="L555" s="11">
        <f>8.6307 * CHOOSE(CONTROL!$C$32, $C$9, 100%, $E$9)</f>
        <v>8.6306999999999992</v>
      </c>
      <c r="M555" s="11">
        <f>8.634 * CHOOSE(CONTROL!$C$32, $C$9, 100%, $E$9)</f>
        <v>8.6340000000000003</v>
      </c>
      <c r="N555" s="11">
        <f>8.6307 * CHOOSE(CONTROL!$C$32, $C$9, 100%, $E$9)</f>
        <v>8.6306999999999992</v>
      </c>
      <c r="O555" s="11">
        <f>8.634 * CHOOSE(CONTROL!$C$32, $C$9, 100%, $E$9)</f>
        <v>8.6340000000000003</v>
      </c>
    </row>
    <row r="556" spans="1:15" ht="15" x14ac:dyDescent="0.2">
      <c r="A556" s="13">
        <v>57770</v>
      </c>
      <c r="B556" s="9">
        <f>7.8891 * CHOOSE(CONTROL!$C$32, $C$9, 100%, $E$9)</f>
        <v>7.8891</v>
      </c>
      <c r="C556" s="9">
        <f>7.8891 * CHOOSE(CONTROL!$C$32, $C$9, 100%, $E$9)</f>
        <v>7.8891</v>
      </c>
      <c r="D556" s="9">
        <f>7.89 * CHOOSE(CONTROL!$C$32, $C$9, 100%, $E$9)</f>
        <v>7.89</v>
      </c>
      <c r="E556" s="11">
        <f>8.7899 * CHOOSE(CONTROL!$C$32, $C$9, 100%, $E$9)</f>
        <v>8.7898999999999994</v>
      </c>
      <c r="F556" s="11">
        <f>8.7899 * CHOOSE(CONTROL!$C$32, $C$9, 100%, $E$9)</f>
        <v>8.7898999999999994</v>
      </c>
      <c r="G556" s="11">
        <f>8.7931 * CHOOSE(CONTROL!$C$32, $C$9, 100%, $E$9)</f>
        <v>8.7931000000000008</v>
      </c>
      <c r="H556" s="11">
        <f>17.822 * CHOOSE(CONTROL!$C$32, $C$9, 100%, $E$9)</f>
        <v>17.821999999999999</v>
      </c>
      <c r="I556" s="11">
        <f>17.8252 * CHOOSE(CONTROL!$C$32, $C$9, 100%, $E$9)</f>
        <v>17.825199999999999</v>
      </c>
      <c r="J556" s="11">
        <f>17.822 * CHOOSE(CONTROL!$C$32, $C$9, 100%, $E$9)</f>
        <v>17.821999999999999</v>
      </c>
      <c r="K556" s="11">
        <f>17.8252 * CHOOSE(CONTROL!$C$32, $C$9, 100%, $E$9)</f>
        <v>17.825199999999999</v>
      </c>
      <c r="L556" s="11">
        <f>8.7899 * CHOOSE(CONTROL!$C$32, $C$9, 100%, $E$9)</f>
        <v>8.7898999999999994</v>
      </c>
      <c r="M556" s="11">
        <f>8.7931 * CHOOSE(CONTROL!$C$32, $C$9, 100%, $E$9)</f>
        <v>8.7931000000000008</v>
      </c>
      <c r="N556" s="11">
        <f>8.7899 * CHOOSE(CONTROL!$C$32, $C$9, 100%, $E$9)</f>
        <v>8.7898999999999994</v>
      </c>
      <c r="O556" s="11">
        <f>8.7931 * CHOOSE(CONTROL!$C$32, $C$9, 100%, $E$9)</f>
        <v>8.7931000000000008</v>
      </c>
    </row>
    <row r="557" spans="1:15" ht="15" x14ac:dyDescent="0.2">
      <c r="A557" s="13">
        <v>57801</v>
      </c>
      <c r="B557" s="9">
        <f>7.8905 * CHOOSE(CONTROL!$C$32, $C$9, 100%, $E$9)</f>
        <v>7.8905000000000003</v>
      </c>
      <c r="C557" s="9">
        <f>7.8905 * CHOOSE(CONTROL!$C$32, $C$9, 100%, $E$9)</f>
        <v>7.8905000000000003</v>
      </c>
      <c r="D557" s="9">
        <f>7.8915 * CHOOSE(CONTROL!$C$32, $C$9, 100%, $E$9)</f>
        <v>7.8914999999999997</v>
      </c>
      <c r="E557" s="11">
        <f>8.9588 * CHOOSE(CONTROL!$C$32, $C$9, 100%, $E$9)</f>
        <v>8.9588000000000001</v>
      </c>
      <c r="F557" s="11">
        <f>8.9588 * CHOOSE(CONTROL!$C$32, $C$9, 100%, $E$9)</f>
        <v>8.9588000000000001</v>
      </c>
      <c r="G557" s="11">
        <f>8.962 * CHOOSE(CONTROL!$C$32, $C$9, 100%, $E$9)</f>
        <v>8.9619999999999997</v>
      </c>
      <c r="H557" s="11">
        <f>17.8591 * CHOOSE(CONTROL!$C$32, $C$9, 100%, $E$9)</f>
        <v>17.859100000000002</v>
      </c>
      <c r="I557" s="11">
        <f>17.8623 * CHOOSE(CONTROL!$C$32, $C$9, 100%, $E$9)</f>
        <v>17.862300000000001</v>
      </c>
      <c r="J557" s="11">
        <f>17.8591 * CHOOSE(CONTROL!$C$32, $C$9, 100%, $E$9)</f>
        <v>17.859100000000002</v>
      </c>
      <c r="K557" s="11">
        <f>17.8623 * CHOOSE(CONTROL!$C$32, $C$9, 100%, $E$9)</f>
        <v>17.862300000000001</v>
      </c>
      <c r="L557" s="11">
        <f>8.9588 * CHOOSE(CONTROL!$C$32, $C$9, 100%, $E$9)</f>
        <v>8.9588000000000001</v>
      </c>
      <c r="M557" s="11">
        <f>8.962 * CHOOSE(CONTROL!$C$32, $C$9, 100%, $E$9)</f>
        <v>8.9619999999999997</v>
      </c>
      <c r="N557" s="11">
        <f>8.9588 * CHOOSE(CONTROL!$C$32, $C$9, 100%, $E$9)</f>
        <v>8.9588000000000001</v>
      </c>
      <c r="O557" s="11">
        <f>8.962 * CHOOSE(CONTROL!$C$32, $C$9, 100%, $E$9)</f>
        <v>8.9619999999999997</v>
      </c>
    </row>
    <row r="558" spans="1:15" ht="15" x14ac:dyDescent="0.2">
      <c r="A558" s="13">
        <v>57831</v>
      </c>
      <c r="B558" s="9">
        <f>7.8905 * CHOOSE(CONTROL!$C$32, $C$9, 100%, $E$9)</f>
        <v>7.8905000000000003</v>
      </c>
      <c r="C558" s="9">
        <f>7.8905 * CHOOSE(CONTROL!$C$32, $C$9, 100%, $E$9)</f>
        <v>7.8905000000000003</v>
      </c>
      <c r="D558" s="9">
        <f>7.8918 * CHOOSE(CONTROL!$C$32, $C$9, 100%, $E$9)</f>
        <v>7.8917999999999999</v>
      </c>
      <c r="E558" s="11">
        <f>9.0237 * CHOOSE(CONTROL!$C$32, $C$9, 100%, $E$9)</f>
        <v>9.0236999999999998</v>
      </c>
      <c r="F558" s="11">
        <f>9.0237 * CHOOSE(CONTROL!$C$32, $C$9, 100%, $E$9)</f>
        <v>9.0236999999999998</v>
      </c>
      <c r="G558" s="11">
        <f>9.0279 * CHOOSE(CONTROL!$C$32, $C$9, 100%, $E$9)</f>
        <v>9.0279000000000007</v>
      </c>
      <c r="H558" s="11">
        <f>17.8963 * CHOOSE(CONTROL!$C$32, $C$9, 100%, $E$9)</f>
        <v>17.8963</v>
      </c>
      <c r="I558" s="11">
        <f>17.9005 * CHOOSE(CONTROL!$C$32, $C$9, 100%, $E$9)</f>
        <v>17.900500000000001</v>
      </c>
      <c r="J558" s="11">
        <f>17.8963 * CHOOSE(CONTROL!$C$32, $C$9, 100%, $E$9)</f>
        <v>17.8963</v>
      </c>
      <c r="K558" s="11">
        <f>17.9005 * CHOOSE(CONTROL!$C$32, $C$9, 100%, $E$9)</f>
        <v>17.900500000000001</v>
      </c>
      <c r="L558" s="11">
        <f>9.0237 * CHOOSE(CONTROL!$C$32, $C$9, 100%, $E$9)</f>
        <v>9.0236999999999998</v>
      </c>
      <c r="M558" s="11">
        <f>9.0279 * CHOOSE(CONTROL!$C$32, $C$9, 100%, $E$9)</f>
        <v>9.0279000000000007</v>
      </c>
      <c r="N558" s="11">
        <f>9.0237 * CHOOSE(CONTROL!$C$32, $C$9, 100%, $E$9)</f>
        <v>9.0236999999999998</v>
      </c>
      <c r="O558" s="11">
        <f>9.0279 * CHOOSE(CONTROL!$C$32, $C$9, 100%, $E$9)</f>
        <v>9.0279000000000007</v>
      </c>
    </row>
    <row r="559" spans="1:15" ht="15" x14ac:dyDescent="0.2">
      <c r="A559" s="13">
        <v>57862</v>
      </c>
      <c r="B559" s="9">
        <f>7.8966 * CHOOSE(CONTROL!$C$32, $C$9, 100%, $E$9)</f>
        <v>7.8966000000000003</v>
      </c>
      <c r="C559" s="9">
        <f>7.8966 * CHOOSE(CONTROL!$C$32, $C$9, 100%, $E$9)</f>
        <v>7.8966000000000003</v>
      </c>
      <c r="D559" s="9">
        <f>7.8978 * CHOOSE(CONTROL!$C$32, $C$9, 100%, $E$9)</f>
        <v>7.8978000000000002</v>
      </c>
      <c r="E559" s="11">
        <f>8.963 * CHOOSE(CONTROL!$C$32, $C$9, 100%, $E$9)</f>
        <v>8.9629999999999992</v>
      </c>
      <c r="F559" s="11">
        <f>8.963 * CHOOSE(CONTROL!$C$32, $C$9, 100%, $E$9)</f>
        <v>8.9629999999999992</v>
      </c>
      <c r="G559" s="11">
        <f>8.9672 * CHOOSE(CONTROL!$C$32, $C$9, 100%, $E$9)</f>
        <v>8.9672000000000001</v>
      </c>
      <c r="H559" s="11">
        <f>17.9336 * CHOOSE(CONTROL!$C$32, $C$9, 100%, $E$9)</f>
        <v>17.933599999999998</v>
      </c>
      <c r="I559" s="11">
        <f>17.9378 * CHOOSE(CONTROL!$C$32, $C$9, 100%, $E$9)</f>
        <v>17.937799999999999</v>
      </c>
      <c r="J559" s="11">
        <f>17.9336 * CHOOSE(CONTROL!$C$32, $C$9, 100%, $E$9)</f>
        <v>17.933599999999998</v>
      </c>
      <c r="K559" s="11">
        <f>17.9378 * CHOOSE(CONTROL!$C$32, $C$9, 100%, $E$9)</f>
        <v>17.937799999999999</v>
      </c>
      <c r="L559" s="11">
        <f>8.963 * CHOOSE(CONTROL!$C$32, $C$9, 100%, $E$9)</f>
        <v>8.9629999999999992</v>
      </c>
      <c r="M559" s="11">
        <f>8.9672 * CHOOSE(CONTROL!$C$32, $C$9, 100%, $E$9)</f>
        <v>8.9672000000000001</v>
      </c>
      <c r="N559" s="11">
        <f>8.963 * CHOOSE(CONTROL!$C$32, $C$9, 100%, $E$9)</f>
        <v>8.9629999999999992</v>
      </c>
      <c r="O559" s="11">
        <f>8.9672 * CHOOSE(CONTROL!$C$32, $C$9, 100%, $E$9)</f>
        <v>8.9672000000000001</v>
      </c>
    </row>
    <row r="560" spans="1:15" ht="15" x14ac:dyDescent="0.2">
      <c r="A560" s="13">
        <v>57892</v>
      </c>
      <c r="B560" s="9">
        <f>7.9979 * CHOOSE(CONTROL!$C$32, $C$9, 100%, $E$9)</f>
        <v>7.9978999999999996</v>
      </c>
      <c r="C560" s="9">
        <f>7.9979 * CHOOSE(CONTROL!$C$32, $C$9, 100%, $E$9)</f>
        <v>7.9978999999999996</v>
      </c>
      <c r="D560" s="9">
        <f>7.9991 * CHOOSE(CONTROL!$C$32, $C$9, 100%, $E$9)</f>
        <v>7.9991000000000003</v>
      </c>
      <c r="E560" s="11">
        <f>9.0871 * CHOOSE(CONTROL!$C$32, $C$9, 100%, $E$9)</f>
        <v>9.0870999999999995</v>
      </c>
      <c r="F560" s="11">
        <f>9.0871 * CHOOSE(CONTROL!$C$32, $C$9, 100%, $E$9)</f>
        <v>9.0870999999999995</v>
      </c>
      <c r="G560" s="11">
        <f>9.0913 * CHOOSE(CONTROL!$C$32, $C$9, 100%, $E$9)</f>
        <v>9.0913000000000004</v>
      </c>
      <c r="H560" s="11">
        <f>17.9709 * CHOOSE(CONTROL!$C$32, $C$9, 100%, $E$9)</f>
        <v>17.9709</v>
      </c>
      <c r="I560" s="11">
        <f>17.9751 * CHOOSE(CONTROL!$C$32, $C$9, 100%, $E$9)</f>
        <v>17.975100000000001</v>
      </c>
      <c r="J560" s="11">
        <f>17.9709 * CHOOSE(CONTROL!$C$32, $C$9, 100%, $E$9)</f>
        <v>17.9709</v>
      </c>
      <c r="K560" s="11">
        <f>17.9751 * CHOOSE(CONTROL!$C$32, $C$9, 100%, $E$9)</f>
        <v>17.975100000000001</v>
      </c>
      <c r="L560" s="11">
        <f>9.0871 * CHOOSE(CONTROL!$C$32, $C$9, 100%, $E$9)</f>
        <v>9.0870999999999995</v>
      </c>
      <c r="M560" s="11">
        <f>9.0913 * CHOOSE(CONTROL!$C$32, $C$9, 100%, $E$9)</f>
        <v>9.0913000000000004</v>
      </c>
      <c r="N560" s="11">
        <f>9.0871 * CHOOSE(CONTROL!$C$32, $C$9, 100%, $E$9)</f>
        <v>9.0870999999999995</v>
      </c>
      <c r="O560" s="11">
        <f>9.0913 * CHOOSE(CONTROL!$C$32, $C$9, 100%, $E$9)</f>
        <v>9.0913000000000004</v>
      </c>
    </row>
    <row r="561" spans="1:15" ht="15" x14ac:dyDescent="0.2">
      <c r="A561" s="13">
        <v>57923</v>
      </c>
      <c r="B561" s="9">
        <f>8.0046 * CHOOSE(CONTROL!$C$32, $C$9, 100%, $E$9)</f>
        <v>8.0045999999999999</v>
      </c>
      <c r="C561" s="9">
        <f>8.0046 * CHOOSE(CONTROL!$C$32, $C$9, 100%, $E$9)</f>
        <v>8.0045999999999999</v>
      </c>
      <c r="D561" s="9">
        <f>8.0058 * CHOOSE(CONTROL!$C$32, $C$9, 100%, $E$9)</f>
        <v>8.0058000000000007</v>
      </c>
      <c r="E561" s="11">
        <f>8.897 * CHOOSE(CONTROL!$C$32, $C$9, 100%, $E$9)</f>
        <v>8.8970000000000002</v>
      </c>
      <c r="F561" s="11">
        <f>8.897 * CHOOSE(CONTROL!$C$32, $C$9, 100%, $E$9)</f>
        <v>8.8970000000000002</v>
      </c>
      <c r="G561" s="11">
        <f>8.9012 * CHOOSE(CONTROL!$C$32, $C$9, 100%, $E$9)</f>
        <v>8.9011999999999993</v>
      </c>
      <c r="H561" s="11">
        <f>18.0084 * CHOOSE(CONTROL!$C$32, $C$9, 100%, $E$9)</f>
        <v>18.008400000000002</v>
      </c>
      <c r="I561" s="11">
        <f>18.0126 * CHOOSE(CONTROL!$C$32, $C$9, 100%, $E$9)</f>
        <v>18.012599999999999</v>
      </c>
      <c r="J561" s="11">
        <f>18.0084 * CHOOSE(CONTROL!$C$32, $C$9, 100%, $E$9)</f>
        <v>18.008400000000002</v>
      </c>
      <c r="K561" s="11">
        <f>18.0126 * CHOOSE(CONTROL!$C$32, $C$9, 100%, $E$9)</f>
        <v>18.012599999999999</v>
      </c>
      <c r="L561" s="11">
        <f>8.897 * CHOOSE(CONTROL!$C$32, $C$9, 100%, $E$9)</f>
        <v>8.8970000000000002</v>
      </c>
      <c r="M561" s="11">
        <f>8.9012 * CHOOSE(CONTROL!$C$32, $C$9, 100%, $E$9)</f>
        <v>8.9011999999999993</v>
      </c>
      <c r="N561" s="11">
        <f>8.897 * CHOOSE(CONTROL!$C$32, $C$9, 100%, $E$9)</f>
        <v>8.8970000000000002</v>
      </c>
      <c r="O561" s="11">
        <f>8.9012 * CHOOSE(CONTROL!$C$32, $C$9, 100%, $E$9)</f>
        <v>8.9011999999999993</v>
      </c>
    </row>
    <row r="562" spans="1:15" ht="15" x14ac:dyDescent="0.2">
      <c r="A562" s="13">
        <v>57954</v>
      </c>
      <c r="B562" s="9">
        <f>8.0015 * CHOOSE(CONTROL!$C$32, $C$9, 100%, $E$9)</f>
        <v>8.0015000000000001</v>
      </c>
      <c r="C562" s="9">
        <f>8.0015 * CHOOSE(CONTROL!$C$32, $C$9, 100%, $E$9)</f>
        <v>8.0015000000000001</v>
      </c>
      <c r="D562" s="9">
        <f>8.0028 * CHOOSE(CONTROL!$C$32, $C$9, 100%, $E$9)</f>
        <v>8.0028000000000006</v>
      </c>
      <c r="E562" s="11">
        <f>8.8732 * CHOOSE(CONTROL!$C$32, $C$9, 100%, $E$9)</f>
        <v>8.8732000000000006</v>
      </c>
      <c r="F562" s="11">
        <f>8.8732 * CHOOSE(CONTROL!$C$32, $C$9, 100%, $E$9)</f>
        <v>8.8732000000000006</v>
      </c>
      <c r="G562" s="11">
        <f>8.8774 * CHOOSE(CONTROL!$C$32, $C$9, 100%, $E$9)</f>
        <v>8.8773999999999997</v>
      </c>
      <c r="H562" s="11">
        <f>18.0459 * CHOOSE(CONTROL!$C$32, $C$9, 100%, $E$9)</f>
        <v>18.0459</v>
      </c>
      <c r="I562" s="11">
        <f>18.0501 * CHOOSE(CONTROL!$C$32, $C$9, 100%, $E$9)</f>
        <v>18.0501</v>
      </c>
      <c r="J562" s="11">
        <f>18.0459 * CHOOSE(CONTROL!$C$32, $C$9, 100%, $E$9)</f>
        <v>18.0459</v>
      </c>
      <c r="K562" s="11">
        <f>18.0501 * CHOOSE(CONTROL!$C$32, $C$9, 100%, $E$9)</f>
        <v>18.0501</v>
      </c>
      <c r="L562" s="11">
        <f>8.8732 * CHOOSE(CONTROL!$C$32, $C$9, 100%, $E$9)</f>
        <v>8.8732000000000006</v>
      </c>
      <c r="M562" s="11">
        <f>8.8774 * CHOOSE(CONTROL!$C$32, $C$9, 100%, $E$9)</f>
        <v>8.8773999999999997</v>
      </c>
      <c r="N562" s="11">
        <f>8.8732 * CHOOSE(CONTROL!$C$32, $C$9, 100%, $E$9)</f>
        <v>8.8732000000000006</v>
      </c>
      <c r="O562" s="11">
        <f>8.8774 * CHOOSE(CONTROL!$C$32, $C$9, 100%, $E$9)</f>
        <v>8.8773999999999997</v>
      </c>
    </row>
    <row r="563" spans="1:15" ht="15" x14ac:dyDescent="0.2">
      <c r="A563" s="13">
        <v>57984</v>
      </c>
      <c r="B563" s="9">
        <f>8.0115 * CHOOSE(CONTROL!$C$32, $C$9, 100%, $E$9)</f>
        <v>8.0114999999999998</v>
      </c>
      <c r="C563" s="9">
        <f>8.0115 * CHOOSE(CONTROL!$C$32, $C$9, 100%, $E$9)</f>
        <v>8.0114999999999998</v>
      </c>
      <c r="D563" s="9">
        <f>8.0125 * CHOOSE(CONTROL!$C$32, $C$9, 100%, $E$9)</f>
        <v>8.0124999999999993</v>
      </c>
      <c r="E563" s="11">
        <f>8.9464 * CHOOSE(CONTROL!$C$32, $C$9, 100%, $E$9)</f>
        <v>8.9464000000000006</v>
      </c>
      <c r="F563" s="11">
        <f>8.9464 * CHOOSE(CONTROL!$C$32, $C$9, 100%, $E$9)</f>
        <v>8.9464000000000006</v>
      </c>
      <c r="G563" s="11">
        <f>8.9496 * CHOOSE(CONTROL!$C$32, $C$9, 100%, $E$9)</f>
        <v>8.9496000000000002</v>
      </c>
      <c r="H563" s="11">
        <f>18.0835 * CHOOSE(CONTROL!$C$32, $C$9, 100%, $E$9)</f>
        <v>18.083500000000001</v>
      </c>
      <c r="I563" s="11">
        <f>18.0867 * CHOOSE(CONTROL!$C$32, $C$9, 100%, $E$9)</f>
        <v>18.0867</v>
      </c>
      <c r="J563" s="11">
        <f>18.0835 * CHOOSE(CONTROL!$C$32, $C$9, 100%, $E$9)</f>
        <v>18.083500000000001</v>
      </c>
      <c r="K563" s="11">
        <f>18.0867 * CHOOSE(CONTROL!$C$32, $C$9, 100%, $E$9)</f>
        <v>18.0867</v>
      </c>
      <c r="L563" s="11">
        <f>8.9464 * CHOOSE(CONTROL!$C$32, $C$9, 100%, $E$9)</f>
        <v>8.9464000000000006</v>
      </c>
      <c r="M563" s="11">
        <f>8.9496 * CHOOSE(CONTROL!$C$32, $C$9, 100%, $E$9)</f>
        <v>8.9496000000000002</v>
      </c>
      <c r="N563" s="11">
        <f>8.9464 * CHOOSE(CONTROL!$C$32, $C$9, 100%, $E$9)</f>
        <v>8.9464000000000006</v>
      </c>
      <c r="O563" s="11">
        <f>8.9496 * CHOOSE(CONTROL!$C$32, $C$9, 100%, $E$9)</f>
        <v>8.9496000000000002</v>
      </c>
    </row>
    <row r="564" spans="1:15" ht="15" x14ac:dyDescent="0.2">
      <c r="A564" s="13">
        <v>58015</v>
      </c>
      <c r="B564" s="9">
        <f>8.0145 * CHOOSE(CONTROL!$C$32, $C$9, 100%, $E$9)</f>
        <v>8.0145</v>
      </c>
      <c r="C564" s="9">
        <f>8.0145 * CHOOSE(CONTROL!$C$32, $C$9, 100%, $E$9)</f>
        <v>8.0145</v>
      </c>
      <c r="D564" s="9">
        <f>8.0155 * CHOOSE(CONTROL!$C$32, $C$9, 100%, $E$9)</f>
        <v>8.0154999999999994</v>
      </c>
      <c r="E564" s="11">
        <f>8.9918 * CHOOSE(CONTROL!$C$32, $C$9, 100%, $E$9)</f>
        <v>8.9917999999999996</v>
      </c>
      <c r="F564" s="11">
        <f>8.9918 * CHOOSE(CONTROL!$C$32, $C$9, 100%, $E$9)</f>
        <v>8.9917999999999996</v>
      </c>
      <c r="G564" s="11">
        <f>8.995 * CHOOSE(CONTROL!$C$32, $C$9, 100%, $E$9)</f>
        <v>8.9949999999999992</v>
      </c>
      <c r="H564" s="11">
        <f>18.1212 * CHOOSE(CONTROL!$C$32, $C$9, 100%, $E$9)</f>
        <v>18.121200000000002</v>
      </c>
      <c r="I564" s="11">
        <f>18.1244 * CHOOSE(CONTROL!$C$32, $C$9, 100%, $E$9)</f>
        <v>18.124400000000001</v>
      </c>
      <c r="J564" s="11">
        <f>18.1212 * CHOOSE(CONTROL!$C$32, $C$9, 100%, $E$9)</f>
        <v>18.121200000000002</v>
      </c>
      <c r="K564" s="11">
        <f>18.1244 * CHOOSE(CONTROL!$C$32, $C$9, 100%, $E$9)</f>
        <v>18.124400000000001</v>
      </c>
      <c r="L564" s="11">
        <f>8.9918 * CHOOSE(CONTROL!$C$32, $C$9, 100%, $E$9)</f>
        <v>8.9917999999999996</v>
      </c>
      <c r="M564" s="11">
        <f>8.995 * CHOOSE(CONTROL!$C$32, $C$9, 100%, $E$9)</f>
        <v>8.9949999999999992</v>
      </c>
      <c r="N564" s="11">
        <f>8.9918 * CHOOSE(CONTROL!$C$32, $C$9, 100%, $E$9)</f>
        <v>8.9917999999999996</v>
      </c>
      <c r="O564" s="11">
        <f>8.995 * CHOOSE(CONTROL!$C$32, $C$9, 100%, $E$9)</f>
        <v>8.9949999999999992</v>
      </c>
    </row>
    <row r="565" spans="1:15" ht="15" x14ac:dyDescent="0.2">
      <c r="A565" s="13">
        <v>58045</v>
      </c>
      <c r="B565" s="9">
        <f>8.0145 * CHOOSE(CONTROL!$C$32, $C$9, 100%, $E$9)</f>
        <v>8.0145</v>
      </c>
      <c r="C565" s="9">
        <f>8.0145 * CHOOSE(CONTROL!$C$32, $C$9, 100%, $E$9)</f>
        <v>8.0145</v>
      </c>
      <c r="D565" s="9">
        <f>8.0155 * CHOOSE(CONTROL!$C$32, $C$9, 100%, $E$9)</f>
        <v>8.0154999999999994</v>
      </c>
      <c r="E565" s="11">
        <f>8.8835 * CHOOSE(CONTROL!$C$32, $C$9, 100%, $E$9)</f>
        <v>8.8834999999999997</v>
      </c>
      <c r="F565" s="11">
        <f>8.8835 * CHOOSE(CONTROL!$C$32, $C$9, 100%, $E$9)</f>
        <v>8.8834999999999997</v>
      </c>
      <c r="G565" s="11">
        <f>8.8868 * CHOOSE(CONTROL!$C$32, $C$9, 100%, $E$9)</f>
        <v>8.8867999999999991</v>
      </c>
      <c r="H565" s="11">
        <f>18.1589 * CHOOSE(CONTROL!$C$32, $C$9, 100%, $E$9)</f>
        <v>18.158899999999999</v>
      </c>
      <c r="I565" s="11">
        <f>18.1622 * CHOOSE(CONTROL!$C$32, $C$9, 100%, $E$9)</f>
        <v>18.162199999999999</v>
      </c>
      <c r="J565" s="11">
        <f>18.1589 * CHOOSE(CONTROL!$C$32, $C$9, 100%, $E$9)</f>
        <v>18.158899999999999</v>
      </c>
      <c r="K565" s="11">
        <f>18.1622 * CHOOSE(CONTROL!$C$32, $C$9, 100%, $E$9)</f>
        <v>18.162199999999999</v>
      </c>
      <c r="L565" s="11">
        <f>8.8835 * CHOOSE(CONTROL!$C$32, $C$9, 100%, $E$9)</f>
        <v>8.8834999999999997</v>
      </c>
      <c r="M565" s="11">
        <f>8.8868 * CHOOSE(CONTROL!$C$32, $C$9, 100%, $E$9)</f>
        <v>8.8867999999999991</v>
      </c>
      <c r="N565" s="11">
        <f>8.8835 * CHOOSE(CONTROL!$C$32, $C$9, 100%, $E$9)</f>
        <v>8.8834999999999997</v>
      </c>
      <c r="O565" s="11">
        <f>8.8868 * CHOOSE(CONTROL!$C$32, $C$9, 100%, $E$9)</f>
        <v>8.8867999999999991</v>
      </c>
    </row>
    <row r="566" spans="1:15" ht="15" x14ac:dyDescent="0.2">
      <c r="A566" s="13">
        <v>58076</v>
      </c>
      <c r="B566" s="9">
        <f>8.0743 * CHOOSE(CONTROL!$C$32, $C$9, 100%, $E$9)</f>
        <v>8.0742999999999991</v>
      </c>
      <c r="C566" s="9">
        <f>8.0743 * CHOOSE(CONTROL!$C$32, $C$9, 100%, $E$9)</f>
        <v>8.0742999999999991</v>
      </c>
      <c r="D566" s="9">
        <f>8.0752 * CHOOSE(CONTROL!$C$32, $C$9, 100%, $E$9)</f>
        <v>8.0752000000000006</v>
      </c>
      <c r="E566" s="11">
        <f>9.0387 * CHOOSE(CONTROL!$C$32, $C$9, 100%, $E$9)</f>
        <v>9.0387000000000004</v>
      </c>
      <c r="F566" s="11">
        <f>9.0387 * CHOOSE(CONTROL!$C$32, $C$9, 100%, $E$9)</f>
        <v>9.0387000000000004</v>
      </c>
      <c r="G566" s="11">
        <f>9.0419 * CHOOSE(CONTROL!$C$32, $C$9, 100%, $E$9)</f>
        <v>9.0419</v>
      </c>
      <c r="H566" s="11">
        <f>18.1968 * CHOOSE(CONTROL!$C$32, $C$9, 100%, $E$9)</f>
        <v>18.1968</v>
      </c>
      <c r="I566" s="11">
        <f>18.2 * CHOOSE(CONTROL!$C$32, $C$9, 100%, $E$9)</f>
        <v>18.2</v>
      </c>
      <c r="J566" s="11">
        <f>18.1968 * CHOOSE(CONTROL!$C$32, $C$9, 100%, $E$9)</f>
        <v>18.1968</v>
      </c>
      <c r="K566" s="11">
        <f>18.2 * CHOOSE(CONTROL!$C$32, $C$9, 100%, $E$9)</f>
        <v>18.2</v>
      </c>
      <c r="L566" s="11">
        <f>9.0387 * CHOOSE(CONTROL!$C$32, $C$9, 100%, $E$9)</f>
        <v>9.0387000000000004</v>
      </c>
      <c r="M566" s="11">
        <f>9.0419 * CHOOSE(CONTROL!$C$32, $C$9, 100%, $E$9)</f>
        <v>9.0419</v>
      </c>
      <c r="N566" s="11">
        <f>9.0387 * CHOOSE(CONTROL!$C$32, $C$9, 100%, $E$9)</f>
        <v>9.0387000000000004</v>
      </c>
      <c r="O566" s="11">
        <f>9.0419 * CHOOSE(CONTROL!$C$32, $C$9, 100%, $E$9)</f>
        <v>9.0419</v>
      </c>
    </row>
    <row r="567" spans="1:15" ht="15" x14ac:dyDescent="0.2">
      <c r="A567" s="13">
        <v>58107</v>
      </c>
      <c r="B567" s="9">
        <f>8.0713 * CHOOSE(CONTROL!$C$32, $C$9, 100%, $E$9)</f>
        <v>8.0713000000000008</v>
      </c>
      <c r="C567" s="9">
        <f>8.0713 * CHOOSE(CONTROL!$C$32, $C$9, 100%, $E$9)</f>
        <v>8.0713000000000008</v>
      </c>
      <c r="D567" s="9">
        <f>8.0722 * CHOOSE(CONTROL!$C$32, $C$9, 100%, $E$9)</f>
        <v>8.0722000000000005</v>
      </c>
      <c r="E567" s="11">
        <f>8.8254 * CHOOSE(CONTROL!$C$32, $C$9, 100%, $E$9)</f>
        <v>8.8254000000000001</v>
      </c>
      <c r="F567" s="11">
        <f>8.8254 * CHOOSE(CONTROL!$C$32, $C$9, 100%, $E$9)</f>
        <v>8.8254000000000001</v>
      </c>
      <c r="G567" s="11">
        <f>8.8286 * CHOOSE(CONTROL!$C$32, $C$9, 100%, $E$9)</f>
        <v>8.8285999999999998</v>
      </c>
      <c r="H567" s="11">
        <f>18.2347 * CHOOSE(CONTROL!$C$32, $C$9, 100%, $E$9)</f>
        <v>18.2347</v>
      </c>
      <c r="I567" s="11">
        <f>18.2379 * CHOOSE(CONTROL!$C$32, $C$9, 100%, $E$9)</f>
        <v>18.2379</v>
      </c>
      <c r="J567" s="11">
        <f>18.2347 * CHOOSE(CONTROL!$C$32, $C$9, 100%, $E$9)</f>
        <v>18.2347</v>
      </c>
      <c r="K567" s="11">
        <f>18.2379 * CHOOSE(CONTROL!$C$32, $C$9, 100%, $E$9)</f>
        <v>18.2379</v>
      </c>
      <c r="L567" s="11">
        <f>8.8254 * CHOOSE(CONTROL!$C$32, $C$9, 100%, $E$9)</f>
        <v>8.8254000000000001</v>
      </c>
      <c r="M567" s="11">
        <f>8.8286 * CHOOSE(CONTROL!$C$32, $C$9, 100%, $E$9)</f>
        <v>8.8285999999999998</v>
      </c>
      <c r="N567" s="11">
        <f>8.8254 * CHOOSE(CONTROL!$C$32, $C$9, 100%, $E$9)</f>
        <v>8.8254000000000001</v>
      </c>
      <c r="O567" s="11">
        <f>8.8286 * CHOOSE(CONTROL!$C$32, $C$9, 100%, $E$9)</f>
        <v>8.8285999999999998</v>
      </c>
    </row>
    <row r="568" spans="1:15" ht="15" x14ac:dyDescent="0.2">
      <c r="A568" s="13">
        <v>58135</v>
      </c>
      <c r="B568" s="9">
        <f>8.0682 * CHOOSE(CONTROL!$C$32, $C$9, 100%, $E$9)</f>
        <v>8.0681999999999992</v>
      </c>
      <c r="C568" s="9">
        <f>8.0682 * CHOOSE(CONTROL!$C$32, $C$9, 100%, $E$9)</f>
        <v>8.0681999999999992</v>
      </c>
      <c r="D568" s="9">
        <f>8.0692 * CHOOSE(CONTROL!$C$32, $C$9, 100%, $E$9)</f>
        <v>8.0692000000000004</v>
      </c>
      <c r="E568" s="11">
        <f>8.9897 * CHOOSE(CONTROL!$C$32, $C$9, 100%, $E$9)</f>
        <v>8.9896999999999991</v>
      </c>
      <c r="F568" s="11">
        <f>8.9897 * CHOOSE(CONTROL!$C$32, $C$9, 100%, $E$9)</f>
        <v>8.9896999999999991</v>
      </c>
      <c r="G568" s="11">
        <f>8.993 * CHOOSE(CONTROL!$C$32, $C$9, 100%, $E$9)</f>
        <v>8.9930000000000003</v>
      </c>
      <c r="H568" s="11">
        <f>18.2727 * CHOOSE(CONTROL!$C$32, $C$9, 100%, $E$9)</f>
        <v>18.2727</v>
      </c>
      <c r="I568" s="11">
        <f>18.2759 * CHOOSE(CONTROL!$C$32, $C$9, 100%, $E$9)</f>
        <v>18.2759</v>
      </c>
      <c r="J568" s="11">
        <f>18.2727 * CHOOSE(CONTROL!$C$32, $C$9, 100%, $E$9)</f>
        <v>18.2727</v>
      </c>
      <c r="K568" s="11">
        <f>18.2759 * CHOOSE(CONTROL!$C$32, $C$9, 100%, $E$9)</f>
        <v>18.2759</v>
      </c>
      <c r="L568" s="11">
        <f>8.9897 * CHOOSE(CONTROL!$C$32, $C$9, 100%, $E$9)</f>
        <v>8.9896999999999991</v>
      </c>
      <c r="M568" s="11">
        <f>8.993 * CHOOSE(CONTROL!$C$32, $C$9, 100%, $E$9)</f>
        <v>8.9930000000000003</v>
      </c>
      <c r="N568" s="11">
        <f>8.9897 * CHOOSE(CONTROL!$C$32, $C$9, 100%, $E$9)</f>
        <v>8.9896999999999991</v>
      </c>
      <c r="O568" s="11">
        <f>8.993 * CHOOSE(CONTROL!$C$32, $C$9, 100%, $E$9)</f>
        <v>8.9930000000000003</v>
      </c>
    </row>
    <row r="569" spans="1:15" ht="15" x14ac:dyDescent="0.2">
      <c r="A569" s="13">
        <v>58166</v>
      </c>
      <c r="B569" s="9">
        <f>8.0698 * CHOOSE(CONTROL!$C$32, $C$9, 100%, $E$9)</f>
        <v>8.0698000000000008</v>
      </c>
      <c r="C569" s="9">
        <f>8.0698 * CHOOSE(CONTROL!$C$32, $C$9, 100%, $E$9)</f>
        <v>8.0698000000000008</v>
      </c>
      <c r="D569" s="9">
        <f>8.0708 * CHOOSE(CONTROL!$C$32, $C$9, 100%, $E$9)</f>
        <v>8.0708000000000002</v>
      </c>
      <c r="E569" s="11">
        <f>9.1643 * CHOOSE(CONTROL!$C$32, $C$9, 100%, $E$9)</f>
        <v>9.1643000000000008</v>
      </c>
      <c r="F569" s="11">
        <f>9.1643 * CHOOSE(CONTROL!$C$32, $C$9, 100%, $E$9)</f>
        <v>9.1643000000000008</v>
      </c>
      <c r="G569" s="11">
        <f>9.1675 * CHOOSE(CONTROL!$C$32, $C$9, 100%, $E$9)</f>
        <v>9.1675000000000004</v>
      </c>
      <c r="H569" s="11">
        <f>18.3107 * CHOOSE(CONTROL!$C$32, $C$9, 100%, $E$9)</f>
        <v>18.310700000000001</v>
      </c>
      <c r="I569" s="11">
        <f>18.314 * CHOOSE(CONTROL!$C$32, $C$9, 100%, $E$9)</f>
        <v>18.314</v>
      </c>
      <c r="J569" s="11">
        <f>18.3107 * CHOOSE(CONTROL!$C$32, $C$9, 100%, $E$9)</f>
        <v>18.310700000000001</v>
      </c>
      <c r="K569" s="11">
        <f>18.314 * CHOOSE(CONTROL!$C$32, $C$9, 100%, $E$9)</f>
        <v>18.314</v>
      </c>
      <c r="L569" s="11">
        <f>9.1643 * CHOOSE(CONTROL!$C$32, $C$9, 100%, $E$9)</f>
        <v>9.1643000000000008</v>
      </c>
      <c r="M569" s="11">
        <f>9.1675 * CHOOSE(CONTROL!$C$32, $C$9, 100%, $E$9)</f>
        <v>9.1675000000000004</v>
      </c>
      <c r="N569" s="11">
        <f>9.1643 * CHOOSE(CONTROL!$C$32, $C$9, 100%, $E$9)</f>
        <v>9.1643000000000008</v>
      </c>
      <c r="O569" s="11">
        <f>9.1675 * CHOOSE(CONTROL!$C$32, $C$9, 100%, $E$9)</f>
        <v>9.1675000000000004</v>
      </c>
    </row>
    <row r="570" spans="1:15" ht="15" x14ac:dyDescent="0.2">
      <c r="A570" s="13">
        <v>58196</v>
      </c>
      <c r="B570" s="9">
        <f>8.0698 * CHOOSE(CONTROL!$C$32, $C$9, 100%, $E$9)</f>
        <v>8.0698000000000008</v>
      </c>
      <c r="C570" s="9">
        <f>8.0698 * CHOOSE(CONTROL!$C$32, $C$9, 100%, $E$9)</f>
        <v>8.0698000000000008</v>
      </c>
      <c r="D570" s="9">
        <f>8.0711 * CHOOSE(CONTROL!$C$32, $C$9, 100%, $E$9)</f>
        <v>8.0710999999999995</v>
      </c>
      <c r="E570" s="11">
        <f>9.2313 * CHOOSE(CONTROL!$C$32, $C$9, 100%, $E$9)</f>
        <v>9.2312999999999992</v>
      </c>
      <c r="F570" s="11">
        <f>9.2313 * CHOOSE(CONTROL!$C$32, $C$9, 100%, $E$9)</f>
        <v>9.2312999999999992</v>
      </c>
      <c r="G570" s="11">
        <f>9.2356 * CHOOSE(CONTROL!$C$32, $C$9, 100%, $E$9)</f>
        <v>9.2355999999999998</v>
      </c>
      <c r="H570" s="11">
        <f>18.3489 * CHOOSE(CONTROL!$C$32, $C$9, 100%, $E$9)</f>
        <v>18.3489</v>
      </c>
      <c r="I570" s="11">
        <f>18.3531 * CHOOSE(CONTROL!$C$32, $C$9, 100%, $E$9)</f>
        <v>18.353100000000001</v>
      </c>
      <c r="J570" s="11">
        <f>18.3489 * CHOOSE(CONTROL!$C$32, $C$9, 100%, $E$9)</f>
        <v>18.3489</v>
      </c>
      <c r="K570" s="11">
        <f>18.3531 * CHOOSE(CONTROL!$C$32, $C$9, 100%, $E$9)</f>
        <v>18.353100000000001</v>
      </c>
      <c r="L570" s="11">
        <f>9.2313 * CHOOSE(CONTROL!$C$32, $C$9, 100%, $E$9)</f>
        <v>9.2312999999999992</v>
      </c>
      <c r="M570" s="11">
        <f>9.2356 * CHOOSE(CONTROL!$C$32, $C$9, 100%, $E$9)</f>
        <v>9.2355999999999998</v>
      </c>
      <c r="N570" s="11">
        <f>9.2313 * CHOOSE(CONTROL!$C$32, $C$9, 100%, $E$9)</f>
        <v>9.2312999999999992</v>
      </c>
      <c r="O570" s="11">
        <f>9.2356 * CHOOSE(CONTROL!$C$32, $C$9, 100%, $E$9)</f>
        <v>9.2355999999999998</v>
      </c>
    </row>
    <row r="571" spans="1:15" ht="15" x14ac:dyDescent="0.2">
      <c r="A571" s="13">
        <v>58227</v>
      </c>
      <c r="B571" s="9">
        <f>8.0759 * CHOOSE(CONTROL!$C$32, $C$9, 100%, $E$9)</f>
        <v>8.0759000000000007</v>
      </c>
      <c r="C571" s="9">
        <f>8.0759 * CHOOSE(CONTROL!$C$32, $C$9, 100%, $E$9)</f>
        <v>8.0759000000000007</v>
      </c>
      <c r="D571" s="9">
        <f>8.0771 * CHOOSE(CONTROL!$C$32, $C$9, 100%, $E$9)</f>
        <v>8.0770999999999997</v>
      </c>
      <c r="E571" s="11">
        <f>9.1685 * CHOOSE(CONTROL!$C$32, $C$9, 100%, $E$9)</f>
        <v>9.1684999999999999</v>
      </c>
      <c r="F571" s="11">
        <f>9.1685 * CHOOSE(CONTROL!$C$32, $C$9, 100%, $E$9)</f>
        <v>9.1684999999999999</v>
      </c>
      <c r="G571" s="11">
        <f>9.1727 * CHOOSE(CONTROL!$C$32, $C$9, 100%, $E$9)</f>
        <v>9.1727000000000007</v>
      </c>
      <c r="H571" s="11">
        <f>18.3871 * CHOOSE(CONTROL!$C$32, $C$9, 100%, $E$9)</f>
        <v>18.3871</v>
      </c>
      <c r="I571" s="11">
        <f>18.3913 * CHOOSE(CONTROL!$C$32, $C$9, 100%, $E$9)</f>
        <v>18.391300000000001</v>
      </c>
      <c r="J571" s="11">
        <f>18.3871 * CHOOSE(CONTROL!$C$32, $C$9, 100%, $E$9)</f>
        <v>18.3871</v>
      </c>
      <c r="K571" s="11">
        <f>18.3913 * CHOOSE(CONTROL!$C$32, $C$9, 100%, $E$9)</f>
        <v>18.391300000000001</v>
      </c>
      <c r="L571" s="11">
        <f>9.1685 * CHOOSE(CONTROL!$C$32, $C$9, 100%, $E$9)</f>
        <v>9.1684999999999999</v>
      </c>
      <c r="M571" s="11">
        <f>9.1727 * CHOOSE(CONTROL!$C$32, $C$9, 100%, $E$9)</f>
        <v>9.1727000000000007</v>
      </c>
      <c r="N571" s="11">
        <f>9.1685 * CHOOSE(CONTROL!$C$32, $C$9, 100%, $E$9)</f>
        <v>9.1684999999999999</v>
      </c>
      <c r="O571" s="11">
        <f>9.1727 * CHOOSE(CONTROL!$C$32, $C$9, 100%, $E$9)</f>
        <v>9.1727000000000007</v>
      </c>
    </row>
    <row r="572" spans="1:15" ht="15" x14ac:dyDescent="0.2">
      <c r="A572" s="13">
        <v>58257</v>
      </c>
      <c r="B572" s="9">
        <f>8.1792 * CHOOSE(CONTROL!$C$32, $C$9, 100%, $E$9)</f>
        <v>8.1791999999999998</v>
      </c>
      <c r="C572" s="9">
        <f>8.1792 * CHOOSE(CONTROL!$C$32, $C$9, 100%, $E$9)</f>
        <v>8.1791999999999998</v>
      </c>
      <c r="D572" s="9">
        <f>8.1804 * CHOOSE(CONTROL!$C$32, $C$9, 100%, $E$9)</f>
        <v>8.1804000000000006</v>
      </c>
      <c r="E572" s="11">
        <f>9.2956 * CHOOSE(CONTROL!$C$32, $C$9, 100%, $E$9)</f>
        <v>9.2956000000000003</v>
      </c>
      <c r="F572" s="11">
        <f>9.2956 * CHOOSE(CONTROL!$C$32, $C$9, 100%, $E$9)</f>
        <v>9.2956000000000003</v>
      </c>
      <c r="G572" s="11">
        <f>9.2998 * CHOOSE(CONTROL!$C$32, $C$9, 100%, $E$9)</f>
        <v>9.2997999999999994</v>
      </c>
      <c r="H572" s="11">
        <f>18.4254 * CHOOSE(CONTROL!$C$32, $C$9, 100%, $E$9)</f>
        <v>18.4254</v>
      </c>
      <c r="I572" s="11">
        <f>18.4296 * CHOOSE(CONTROL!$C$32, $C$9, 100%, $E$9)</f>
        <v>18.429600000000001</v>
      </c>
      <c r="J572" s="11">
        <f>18.4254 * CHOOSE(CONTROL!$C$32, $C$9, 100%, $E$9)</f>
        <v>18.4254</v>
      </c>
      <c r="K572" s="11">
        <f>18.4296 * CHOOSE(CONTROL!$C$32, $C$9, 100%, $E$9)</f>
        <v>18.429600000000001</v>
      </c>
      <c r="L572" s="11">
        <f>9.2956 * CHOOSE(CONTROL!$C$32, $C$9, 100%, $E$9)</f>
        <v>9.2956000000000003</v>
      </c>
      <c r="M572" s="11">
        <f>9.2998 * CHOOSE(CONTROL!$C$32, $C$9, 100%, $E$9)</f>
        <v>9.2997999999999994</v>
      </c>
      <c r="N572" s="11">
        <f>9.2956 * CHOOSE(CONTROL!$C$32, $C$9, 100%, $E$9)</f>
        <v>9.2956000000000003</v>
      </c>
      <c r="O572" s="11">
        <f>9.2998 * CHOOSE(CONTROL!$C$32, $C$9, 100%, $E$9)</f>
        <v>9.2997999999999994</v>
      </c>
    </row>
    <row r="573" spans="1:15" ht="15" x14ac:dyDescent="0.2">
      <c r="A573" s="13">
        <v>58288</v>
      </c>
      <c r="B573" s="9">
        <f>8.1858 * CHOOSE(CONTROL!$C$32, $C$9, 100%, $E$9)</f>
        <v>8.1858000000000004</v>
      </c>
      <c r="C573" s="9">
        <f>8.1858 * CHOOSE(CONTROL!$C$32, $C$9, 100%, $E$9)</f>
        <v>8.1858000000000004</v>
      </c>
      <c r="D573" s="9">
        <f>8.1871 * CHOOSE(CONTROL!$C$32, $C$9, 100%, $E$9)</f>
        <v>8.1870999999999992</v>
      </c>
      <c r="E573" s="11">
        <f>9.0991 * CHOOSE(CONTROL!$C$32, $C$9, 100%, $E$9)</f>
        <v>9.0991</v>
      </c>
      <c r="F573" s="11">
        <f>9.0991 * CHOOSE(CONTROL!$C$32, $C$9, 100%, $E$9)</f>
        <v>9.0991</v>
      </c>
      <c r="G573" s="11">
        <f>9.1033 * CHOOSE(CONTROL!$C$32, $C$9, 100%, $E$9)</f>
        <v>9.1033000000000008</v>
      </c>
      <c r="H573" s="11">
        <f>18.4638 * CHOOSE(CONTROL!$C$32, $C$9, 100%, $E$9)</f>
        <v>18.463799999999999</v>
      </c>
      <c r="I573" s="11">
        <f>18.468 * CHOOSE(CONTROL!$C$32, $C$9, 100%, $E$9)</f>
        <v>18.468</v>
      </c>
      <c r="J573" s="11">
        <f>18.4638 * CHOOSE(CONTROL!$C$32, $C$9, 100%, $E$9)</f>
        <v>18.463799999999999</v>
      </c>
      <c r="K573" s="11">
        <f>18.468 * CHOOSE(CONTROL!$C$32, $C$9, 100%, $E$9)</f>
        <v>18.468</v>
      </c>
      <c r="L573" s="11">
        <f>9.0991 * CHOOSE(CONTROL!$C$32, $C$9, 100%, $E$9)</f>
        <v>9.0991</v>
      </c>
      <c r="M573" s="11">
        <f>9.1033 * CHOOSE(CONTROL!$C$32, $C$9, 100%, $E$9)</f>
        <v>9.1033000000000008</v>
      </c>
      <c r="N573" s="11">
        <f>9.0991 * CHOOSE(CONTROL!$C$32, $C$9, 100%, $E$9)</f>
        <v>9.0991</v>
      </c>
      <c r="O573" s="11">
        <f>9.1033 * CHOOSE(CONTROL!$C$32, $C$9, 100%, $E$9)</f>
        <v>9.1033000000000008</v>
      </c>
    </row>
    <row r="574" spans="1:15" ht="15" x14ac:dyDescent="0.2">
      <c r="A574" s="13">
        <v>58319</v>
      </c>
      <c r="B574" s="9">
        <f>8.1828 * CHOOSE(CONTROL!$C$32, $C$9, 100%, $E$9)</f>
        <v>8.1828000000000003</v>
      </c>
      <c r="C574" s="9">
        <f>8.1828 * CHOOSE(CONTROL!$C$32, $C$9, 100%, $E$9)</f>
        <v>8.1828000000000003</v>
      </c>
      <c r="D574" s="9">
        <f>8.1841 * CHOOSE(CONTROL!$C$32, $C$9, 100%, $E$9)</f>
        <v>8.1841000000000008</v>
      </c>
      <c r="E574" s="11">
        <f>9.0746 * CHOOSE(CONTROL!$C$32, $C$9, 100%, $E$9)</f>
        <v>9.0746000000000002</v>
      </c>
      <c r="F574" s="11">
        <f>9.0746 * CHOOSE(CONTROL!$C$32, $C$9, 100%, $E$9)</f>
        <v>9.0746000000000002</v>
      </c>
      <c r="G574" s="11">
        <f>9.0788 * CHOOSE(CONTROL!$C$32, $C$9, 100%, $E$9)</f>
        <v>9.0787999999999993</v>
      </c>
      <c r="H574" s="11">
        <f>18.5023 * CHOOSE(CONTROL!$C$32, $C$9, 100%, $E$9)</f>
        <v>18.502300000000002</v>
      </c>
      <c r="I574" s="11">
        <f>18.5065 * CHOOSE(CONTROL!$C$32, $C$9, 100%, $E$9)</f>
        <v>18.506499999999999</v>
      </c>
      <c r="J574" s="11">
        <f>18.5023 * CHOOSE(CONTROL!$C$32, $C$9, 100%, $E$9)</f>
        <v>18.502300000000002</v>
      </c>
      <c r="K574" s="11">
        <f>18.5065 * CHOOSE(CONTROL!$C$32, $C$9, 100%, $E$9)</f>
        <v>18.506499999999999</v>
      </c>
      <c r="L574" s="11">
        <f>9.0746 * CHOOSE(CONTROL!$C$32, $C$9, 100%, $E$9)</f>
        <v>9.0746000000000002</v>
      </c>
      <c r="M574" s="11">
        <f>9.0788 * CHOOSE(CONTROL!$C$32, $C$9, 100%, $E$9)</f>
        <v>9.0787999999999993</v>
      </c>
      <c r="N574" s="11">
        <f>9.0746 * CHOOSE(CONTROL!$C$32, $C$9, 100%, $E$9)</f>
        <v>9.0746000000000002</v>
      </c>
      <c r="O574" s="11">
        <f>9.0788 * CHOOSE(CONTROL!$C$32, $C$9, 100%, $E$9)</f>
        <v>9.0787999999999993</v>
      </c>
    </row>
    <row r="575" spans="1:15" ht="15" x14ac:dyDescent="0.2">
      <c r="A575" s="13">
        <v>58349</v>
      </c>
      <c r="B575" s="9">
        <f>8.1934 * CHOOSE(CONTROL!$C$32, $C$9, 100%, $E$9)</f>
        <v>8.1934000000000005</v>
      </c>
      <c r="C575" s="9">
        <f>8.1934 * CHOOSE(CONTROL!$C$32, $C$9, 100%, $E$9)</f>
        <v>8.1934000000000005</v>
      </c>
      <c r="D575" s="9">
        <f>8.1944 * CHOOSE(CONTROL!$C$32, $C$9, 100%, $E$9)</f>
        <v>8.1943999999999999</v>
      </c>
      <c r="E575" s="11">
        <f>9.1506 * CHOOSE(CONTROL!$C$32, $C$9, 100%, $E$9)</f>
        <v>9.1506000000000007</v>
      </c>
      <c r="F575" s="11">
        <f>9.1506 * CHOOSE(CONTROL!$C$32, $C$9, 100%, $E$9)</f>
        <v>9.1506000000000007</v>
      </c>
      <c r="G575" s="11">
        <f>9.1538 * CHOOSE(CONTROL!$C$32, $C$9, 100%, $E$9)</f>
        <v>9.1538000000000004</v>
      </c>
      <c r="H575" s="11">
        <f>18.5408 * CHOOSE(CONTROL!$C$32, $C$9, 100%, $E$9)</f>
        <v>18.540800000000001</v>
      </c>
      <c r="I575" s="11">
        <f>18.544 * CHOOSE(CONTROL!$C$32, $C$9, 100%, $E$9)</f>
        <v>18.544</v>
      </c>
      <c r="J575" s="11">
        <f>18.5408 * CHOOSE(CONTROL!$C$32, $C$9, 100%, $E$9)</f>
        <v>18.540800000000001</v>
      </c>
      <c r="K575" s="11">
        <f>18.544 * CHOOSE(CONTROL!$C$32, $C$9, 100%, $E$9)</f>
        <v>18.544</v>
      </c>
      <c r="L575" s="11">
        <f>9.1506 * CHOOSE(CONTROL!$C$32, $C$9, 100%, $E$9)</f>
        <v>9.1506000000000007</v>
      </c>
      <c r="M575" s="11">
        <f>9.1538 * CHOOSE(CONTROL!$C$32, $C$9, 100%, $E$9)</f>
        <v>9.1538000000000004</v>
      </c>
      <c r="N575" s="11">
        <f>9.1506 * CHOOSE(CONTROL!$C$32, $C$9, 100%, $E$9)</f>
        <v>9.1506000000000007</v>
      </c>
      <c r="O575" s="11">
        <f>9.1538 * CHOOSE(CONTROL!$C$32, $C$9, 100%, $E$9)</f>
        <v>9.1538000000000004</v>
      </c>
    </row>
    <row r="576" spans="1:15" ht="15" x14ac:dyDescent="0.2">
      <c r="A576" s="13">
        <v>58380</v>
      </c>
      <c r="B576" s="9">
        <f>8.1965 * CHOOSE(CONTROL!$C$32, $C$9, 100%, $E$9)</f>
        <v>8.1965000000000003</v>
      </c>
      <c r="C576" s="9">
        <f>8.1965 * CHOOSE(CONTROL!$C$32, $C$9, 100%, $E$9)</f>
        <v>8.1965000000000003</v>
      </c>
      <c r="D576" s="9">
        <f>8.1974 * CHOOSE(CONTROL!$C$32, $C$9, 100%, $E$9)</f>
        <v>8.1974</v>
      </c>
      <c r="E576" s="11">
        <f>9.1974 * CHOOSE(CONTROL!$C$32, $C$9, 100%, $E$9)</f>
        <v>9.1974</v>
      </c>
      <c r="F576" s="11">
        <f>9.1974 * CHOOSE(CONTROL!$C$32, $C$9, 100%, $E$9)</f>
        <v>9.1974</v>
      </c>
      <c r="G576" s="11">
        <f>9.2007 * CHOOSE(CONTROL!$C$32, $C$9, 100%, $E$9)</f>
        <v>9.2006999999999994</v>
      </c>
      <c r="H576" s="11">
        <f>18.5794 * CHOOSE(CONTROL!$C$32, $C$9, 100%, $E$9)</f>
        <v>18.5794</v>
      </c>
      <c r="I576" s="11">
        <f>18.5827 * CHOOSE(CONTROL!$C$32, $C$9, 100%, $E$9)</f>
        <v>18.582699999999999</v>
      </c>
      <c r="J576" s="11">
        <f>18.5794 * CHOOSE(CONTROL!$C$32, $C$9, 100%, $E$9)</f>
        <v>18.5794</v>
      </c>
      <c r="K576" s="11">
        <f>18.5827 * CHOOSE(CONTROL!$C$32, $C$9, 100%, $E$9)</f>
        <v>18.582699999999999</v>
      </c>
      <c r="L576" s="11">
        <f>9.1974 * CHOOSE(CONTROL!$C$32, $C$9, 100%, $E$9)</f>
        <v>9.1974</v>
      </c>
      <c r="M576" s="11">
        <f>9.2007 * CHOOSE(CONTROL!$C$32, $C$9, 100%, $E$9)</f>
        <v>9.2006999999999994</v>
      </c>
      <c r="N576" s="11">
        <f>9.1974 * CHOOSE(CONTROL!$C$32, $C$9, 100%, $E$9)</f>
        <v>9.1974</v>
      </c>
      <c r="O576" s="11">
        <f>9.2007 * CHOOSE(CONTROL!$C$32, $C$9, 100%, $E$9)</f>
        <v>9.2006999999999994</v>
      </c>
    </row>
    <row r="577" spans="1:15" ht="15" x14ac:dyDescent="0.2">
      <c r="A577" s="13">
        <v>58410</v>
      </c>
      <c r="B577" s="9">
        <f>8.1965 * CHOOSE(CONTROL!$C$32, $C$9, 100%, $E$9)</f>
        <v>8.1965000000000003</v>
      </c>
      <c r="C577" s="9">
        <f>8.1965 * CHOOSE(CONTROL!$C$32, $C$9, 100%, $E$9)</f>
        <v>8.1965000000000003</v>
      </c>
      <c r="D577" s="9">
        <f>8.1974 * CHOOSE(CONTROL!$C$32, $C$9, 100%, $E$9)</f>
        <v>8.1974</v>
      </c>
      <c r="E577" s="11">
        <f>9.0857 * CHOOSE(CONTROL!$C$32, $C$9, 100%, $E$9)</f>
        <v>9.0856999999999992</v>
      </c>
      <c r="F577" s="11">
        <f>9.0857 * CHOOSE(CONTROL!$C$32, $C$9, 100%, $E$9)</f>
        <v>9.0856999999999992</v>
      </c>
      <c r="G577" s="11">
        <f>9.0889 * CHOOSE(CONTROL!$C$32, $C$9, 100%, $E$9)</f>
        <v>9.0889000000000006</v>
      </c>
      <c r="H577" s="11">
        <f>18.6181 * CHOOSE(CONTROL!$C$32, $C$9, 100%, $E$9)</f>
        <v>18.618099999999998</v>
      </c>
      <c r="I577" s="11">
        <f>18.6214 * CHOOSE(CONTROL!$C$32, $C$9, 100%, $E$9)</f>
        <v>18.621400000000001</v>
      </c>
      <c r="J577" s="11">
        <f>18.6181 * CHOOSE(CONTROL!$C$32, $C$9, 100%, $E$9)</f>
        <v>18.618099999999998</v>
      </c>
      <c r="K577" s="11">
        <f>18.6214 * CHOOSE(CONTROL!$C$32, $C$9, 100%, $E$9)</f>
        <v>18.621400000000001</v>
      </c>
      <c r="L577" s="11">
        <f>9.0857 * CHOOSE(CONTROL!$C$32, $C$9, 100%, $E$9)</f>
        <v>9.0856999999999992</v>
      </c>
      <c r="M577" s="11">
        <f>9.0889 * CHOOSE(CONTROL!$C$32, $C$9, 100%, $E$9)</f>
        <v>9.0889000000000006</v>
      </c>
      <c r="N577" s="11">
        <f>9.0857 * CHOOSE(CONTROL!$C$32, $C$9, 100%, $E$9)</f>
        <v>9.0856999999999992</v>
      </c>
      <c r="O577" s="11">
        <f>9.0889 * CHOOSE(CONTROL!$C$32, $C$9, 100%, $E$9)</f>
        <v>9.0889000000000006</v>
      </c>
    </row>
    <row r="578" spans="1:15" ht="15" x14ac:dyDescent="0.2">
      <c r="A578" s="13">
        <v>58441</v>
      </c>
      <c r="B578" s="9">
        <f>8.2575 * CHOOSE(CONTROL!$C$32, $C$9, 100%, $E$9)</f>
        <v>8.2575000000000003</v>
      </c>
      <c r="C578" s="9">
        <f>8.2575 * CHOOSE(CONTROL!$C$32, $C$9, 100%, $E$9)</f>
        <v>8.2575000000000003</v>
      </c>
      <c r="D578" s="9">
        <f>8.2584 * CHOOSE(CONTROL!$C$32, $C$9, 100%, $E$9)</f>
        <v>8.2584</v>
      </c>
      <c r="E578" s="11">
        <f>9.2455 * CHOOSE(CONTROL!$C$32, $C$9, 100%, $E$9)</f>
        <v>9.2454999999999998</v>
      </c>
      <c r="F578" s="11">
        <f>9.2455 * CHOOSE(CONTROL!$C$32, $C$9, 100%, $E$9)</f>
        <v>9.2454999999999998</v>
      </c>
      <c r="G578" s="11">
        <f>9.2487 * CHOOSE(CONTROL!$C$32, $C$9, 100%, $E$9)</f>
        <v>9.2486999999999995</v>
      </c>
      <c r="H578" s="11">
        <f>18.6569 * CHOOSE(CONTROL!$C$32, $C$9, 100%, $E$9)</f>
        <v>18.6569</v>
      </c>
      <c r="I578" s="11">
        <f>18.6602 * CHOOSE(CONTROL!$C$32, $C$9, 100%, $E$9)</f>
        <v>18.6602</v>
      </c>
      <c r="J578" s="11">
        <f>18.6569 * CHOOSE(CONTROL!$C$32, $C$9, 100%, $E$9)</f>
        <v>18.6569</v>
      </c>
      <c r="K578" s="11">
        <f>18.6602 * CHOOSE(CONTROL!$C$32, $C$9, 100%, $E$9)</f>
        <v>18.6602</v>
      </c>
      <c r="L578" s="11">
        <f>9.2455 * CHOOSE(CONTROL!$C$32, $C$9, 100%, $E$9)</f>
        <v>9.2454999999999998</v>
      </c>
      <c r="M578" s="11">
        <f>9.2487 * CHOOSE(CONTROL!$C$32, $C$9, 100%, $E$9)</f>
        <v>9.2486999999999995</v>
      </c>
      <c r="N578" s="11">
        <f>9.2455 * CHOOSE(CONTROL!$C$32, $C$9, 100%, $E$9)</f>
        <v>9.2454999999999998</v>
      </c>
      <c r="O578" s="11">
        <f>9.2487 * CHOOSE(CONTROL!$C$32, $C$9, 100%, $E$9)</f>
        <v>9.2486999999999995</v>
      </c>
    </row>
    <row r="579" spans="1:15" ht="15" x14ac:dyDescent="0.2">
      <c r="A579" s="13">
        <v>58472</v>
      </c>
      <c r="B579" s="9">
        <f>8.2544 * CHOOSE(CONTROL!$C$32, $C$9, 100%, $E$9)</f>
        <v>8.2544000000000004</v>
      </c>
      <c r="C579" s="9">
        <f>8.2544 * CHOOSE(CONTROL!$C$32, $C$9, 100%, $E$9)</f>
        <v>8.2544000000000004</v>
      </c>
      <c r="D579" s="9">
        <f>8.2554 * CHOOSE(CONTROL!$C$32, $C$9, 100%, $E$9)</f>
        <v>8.2553999999999998</v>
      </c>
      <c r="E579" s="11">
        <f>9.0253 * CHOOSE(CONTROL!$C$32, $C$9, 100%, $E$9)</f>
        <v>9.0252999999999997</v>
      </c>
      <c r="F579" s="11">
        <f>9.0253 * CHOOSE(CONTROL!$C$32, $C$9, 100%, $E$9)</f>
        <v>9.0252999999999997</v>
      </c>
      <c r="G579" s="11">
        <f>9.0285 * CHOOSE(CONTROL!$C$32, $C$9, 100%, $E$9)</f>
        <v>9.0284999999999993</v>
      </c>
      <c r="H579" s="11">
        <f>18.6958 * CHOOSE(CONTROL!$C$32, $C$9, 100%, $E$9)</f>
        <v>18.695799999999998</v>
      </c>
      <c r="I579" s="11">
        <f>18.699 * CHOOSE(CONTROL!$C$32, $C$9, 100%, $E$9)</f>
        <v>18.699000000000002</v>
      </c>
      <c r="J579" s="11">
        <f>18.6958 * CHOOSE(CONTROL!$C$32, $C$9, 100%, $E$9)</f>
        <v>18.695799999999998</v>
      </c>
      <c r="K579" s="11">
        <f>18.699 * CHOOSE(CONTROL!$C$32, $C$9, 100%, $E$9)</f>
        <v>18.699000000000002</v>
      </c>
      <c r="L579" s="11">
        <f>9.0253 * CHOOSE(CONTROL!$C$32, $C$9, 100%, $E$9)</f>
        <v>9.0252999999999997</v>
      </c>
      <c r="M579" s="11">
        <f>9.0285 * CHOOSE(CONTROL!$C$32, $C$9, 100%, $E$9)</f>
        <v>9.0284999999999993</v>
      </c>
      <c r="N579" s="11">
        <f>9.0253 * CHOOSE(CONTROL!$C$32, $C$9, 100%, $E$9)</f>
        <v>9.0252999999999997</v>
      </c>
      <c r="O579" s="11">
        <f>9.0285 * CHOOSE(CONTROL!$C$32, $C$9, 100%, $E$9)</f>
        <v>9.0284999999999993</v>
      </c>
    </row>
    <row r="580" spans="1:15" ht="15" x14ac:dyDescent="0.2">
      <c r="A580" s="13">
        <v>58501</v>
      </c>
      <c r="B580" s="9">
        <f>8.2514 * CHOOSE(CONTROL!$C$32, $C$9, 100%, $E$9)</f>
        <v>8.2514000000000003</v>
      </c>
      <c r="C580" s="9">
        <f>8.2514 * CHOOSE(CONTROL!$C$32, $C$9, 100%, $E$9)</f>
        <v>8.2514000000000003</v>
      </c>
      <c r="D580" s="9">
        <f>8.2524 * CHOOSE(CONTROL!$C$32, $C$9, 100%, $E$9)</f>
        <v>8.2523999999999997</v>
      </c>
      <c r="E580" s="11">
        <f>9.1951 * CHOOSE(CONTROL!$C$32, $C$9, 100%, $E$9)</f>
        <v>9.1951000000000001</v>
      </c>
      <c r="F580" s="11">
        <f>9.1951 * CHOOSE(CONTROL!$C$32, $C$9, 100%, $E$9)</f>
        <v>9.1951000000000001</v>
      </c>
      <c r="G580" s="11">
        <f>9.1983 * CHOOSE(CONTROL!$C$32, $C$9, 100%, $E$9)</f>
        <v>9.1982999999999997</v>
      </c>
      <c r="H580" s="11">
        <f>18.7347 * CHOOSE(CONTROL!$C$32, $C$9, 100%, $E$9)</f>
        <v>18.7347</v>
      </c>
      <c r="I580" s="11">
        <f>18.738 * CHOOSE(CONTROL!$C$32, $C$9, 100%, $E$9)</f>
        <v>18.738</v>
      </c>
      <c r="J580" s="11">
        <f>18.7347 * CHOOSE(CONTROL!$C$32, $C$9, 100%, $E$9)</f>
        <v>18.7347</v>
      </c>
      <c r="K580" s="11">
        <f>18.738 * CHOOSE(CONTROL!$C$32, $C$9, 100%, $E$9)</f>
        <v>18.738</v>
      </c>
      <c r="L580" s="11">
        <f>9.1951 * CHOOSE(CONTROL!$C$32, $C$9, 100%, $E$9)</f>
        <v>9.1951000000000001</v>
      </c>
      <c r="M580" s="11">
        <f>9.1983 * CHOOSE(CONTROL!$C$32, $C$9, 100%, $E$9)</f>
        <v>9.1982999999999997</v>
      </c>
      <c r="N580" s="11">
        <f>9.1951 * CHOOSE(CONTROL!$C$32, $C$9, 100%, $E$9)</f>
        <v>9.1951000000000001</v>
      </c>
      <c r="O580" s="11">
        <f>9.1983 * CHOOSE(CONTROL!$C$32, $C$9, 100%, $E$9)</f>
        <v>9.1982999999999997</v>
      </c>
    </row>
    <row r="581" spans="1:15" ht="15" x14ac:dyDescent="0.2">
      <c r="A581" s="13">
        <v>58532</v>
      </c>
      <c r="B581" s="9">
        <f>8.2532 * CHOOSE(CONTROL!$C$32, $C$9, 100%, $E$9)</f>
        <v>8.2531999999999996</v>
      </c>
      <c r="C581" s="9">
        <f>8.2532 * CHOOSE(CONTROL!$C$32, $C$9, 100%, $E$9)</f>
        <v>8.2531999999999996</v>
      </c>
      <c r="D581" s="9">
        <f>8.2541 * CHOOSE(CONTROL!$C$32, $C$9, 100%, $E$9)</f>
        <v>8.2540999999999993</v>
      </c>
      <c r="E581" s="11">
        <f>9.3755 * CHOOSE(CONTROL!$C$32, $C$9, 100%, $E$9)</f>
        <v>9.3755000000000006</v>
      </c>
      <c r="F581" s="11">
        <f>9.3755 * CHOOSE(CONTROL!$C$32, $C$9, 100%, $E$9)</f>
        <v>9.3755000000000006</v>
      </c>
      <c r="G581" s="11">
        <f>9.3787 * CHOOSE(CONTROL!$C$32, $C$9, 100%, $E$9)</f>
        <v>9.3787000000000003</v>
      </c>
      <c r="H581" s="11">
        <f>18.7738 * CHOOSE(CONTROL!$C$32, $C$9, 100%, $E$9)</f>
        <v>18.773800000000001</v>
      </c>
      <c r="I581" s="11">
        <f>18.777 * CHOOSE(CONTROL!$C$32, $C$9, 100%, $E$9)</f>
        <v>18.777000000000001</v>
      </c>
      <c r="J581" s="11">
        <f>18.7738 * CHOOSE(CONTROL!$C$32, $C$9, 100%, $E$9)</f>
        <v>18.773800000000001</v>
      </c>
      <c r="K581" s="11">
        <f>18.777 * CHOOSE(CONTROL!$C$32, $C$9, 100%, $E$9)</f>
        <v>18.777000000000001</v>
      </c>
      <c r="L581" s="11">
        <f>9.3755 * CHOOSE(CONTROL!$C$32, $C$9, 100%, $E$9)</f>
        <v>9.3755000000000006</v>
      </c>
      <c r="M581" s="11">
        <f>9.3787 * CHOOSE(CONTROL!$C$32, $C$9, 100%, $E$9)</f>
        <v>9.3787000000000003</v>
      </c>
      <c r="N581" s="11">
        <f>9.3755 * CHOOSE(CONTROL!$C$32, $C$9, 100%, $E$9)</f>
        <v>9.3755000000000006</v>
      </c>
      <c r="O581" s="11">
        <f>9.3787 * CHOOSE(CONTROL!$C$32, $C$9, 100%, $E$9)</f>
        <v>9.3787000000000003</v>
      </c>
    </row>
    <row r="582" spans="1:15" ht="15" x14ac:dyDescent="0.2">
      <c r="A582" s="13">
        <v>58562</v>
      </c>
      <c r="B582" s="9">
        <f>8.2532 * CHOOSE(CONTROL!$C$32, $C$9, 100%, $E$9)</f>
        <v>8.2531999999999996</v>
      </c>
      <c r="C582" s="9">
        <f>8.2532 * CHOOSE(CONTROL!$C$32, $C$9, 100%, $E$9)</f>
        <v>8.2531999999999996</v>
      </c>
      <c r="D582" s="9">
        <f>8.2544 * CHOOSE(CONTROL!$C$32, $C$9, 100%, $E$9)</f>
        <v>8.2544000000000004</v>
      </c>
      <c r="E582" s="11">
        <f>9.4447 * CHOOSE(CONTROL!$C$32, $C$9, 100%, $E$9)</f>
        <v>9.4446999999999992</v>
      </c>
      <c r="F582" s="11">
        <f>9.4447 * CHOOSE(CONTROL!$C$32, $C$9, 100%, $E$9)</f>
        <v>9.4446999999999992</v>
      </c>
      <c r="G582" s="11">
        <f>9.4489 * CHOOSE(CONTROL!$C$32, $C$9, 100%, $E$9)</f>
        <v>9.4489000000000001</v>
      </c>
      <c r="H582" s="11">
        <f>18.8129 * CHOOSE(CONTROL!$C$32, $C$9, 100%, $E$9)</f>
        <v>18.812899999999999</v>
      </c>
      <c r="I582" s="11">
        <f>18.8171 * CHOOSE(CONTROL!$C$32, $C$9, 100%, $E$9)</f>
        <v>18.8171</v>
      </c>
      <c r="J582" s="11">
        <f>18.8129 * CHOOSE(CONTROL!$C$32, $C$9, 100%, $E$9)</f>
        <v>18.812899999999999</v>
      </c>
      <c r="K582" s="11">
        <f>18.8171 * CHOOSE(CONTROL!$C$32, $C$9, 100%, $E$9)</f>
        <v>18.8171</v>
      </c>
      <c r="L582" s="11">
        <f>9.4447 * CHOOSE(CONTROL!$C$32, $C$9, 100%, $E$9)</f>
        <v>9.4446999999999992</v>
      </c>
      <c r="M582" s="11">
        <f>9.4489 * CHOOSE(CONTROL!$C$32, $C$9, 100%, $E$9)</f>
        <v>9.4489000000000001</v>
      </c>
      <c r="N582" s="11">
        <f>9.4447 * CHOOSE(CONTROL!$C$32, $C$9, 100%, $E$9)</f>
        <v>9.4446999999999992</v>
      </c>
      <c r="O582" s="11">
        <f>9.4489 * CHOOSE(CONTROL!$C$32, $C$9, 100%, $E$9)</f>
        <v>9.4489000000000001</v>
      </c>
    </row>
    <row r="583" spans="1:15" ht="15" x14ac:dyDescent="0.2">
      <c r="A583" s="13">
        <v>58593</v>
      </c>
      <c r="B583" s="9">
        <f>8.2593 * CHOOSE(CONTROL!$C$32, $C$9, 100%, $E$9)</f>
        <v>8.2592999999999996</v>
      </c>
      <c r="C583" s="9">
        <f>8.2593 * CHOOSE(CONTROL!$C$32, $C$9, 100%, $E$9)</f>
        <v>8.2592999999999996</v>
      </c>
      <c r="D583" s="9">
        <f>8.2605 * CHOOSE(CONTROL!$C$32, $C$9, 100%, $E$9)</f>
        <v>8.2605000000000004</v>
      </c>
      <c r="E583" s="11">
        <f>9.3797 * CHOOSE(CONTROL!$C$32, $C$9, 100%, $E$9)</f>
        <v>9.3796999999999997</v>
      </c>
      <c r="F583" s="11">
        <f>9.3797 * CHOOSE(CONTROL!$C$32, $C$9, 100%, $E$9)</f>
        <v>9.3796999999999997</v>
      </c>
      <c r="G583" s="11">
        <f>9.3839 * CHOOSE(CONTROL!$C$32, $C$9, 100%, $E$9)</f>
        <v>9.3839000000000006</v>
      </c>
      <c r="H583" s="11">
        <f>18.8521 * CHOOSE(CONTROL!$C$32, $C$9, 100%, $E$9)</f>
        <v>18.8521</v>
      </c>
      <c r="I583" s="11">
        <f>18.8563 * CHOOSE(CONTROL!$C$32, $C$9, 100%, $E$9)</f>
        <v>18.856300000000001</v>
      </c>
      <c r="J583" s="11">
        <f>18.8521 * CHOOSE(CONTROL!$C$32, $C$9, 100%, $E$9)</f>
        <v>18.8521</v>
      </c>
      <c r="K583" s="11">
        <f>18.8563 * CHOOSE(CONTROL!$C$32, $C$9, 100%, $E$9)</f>
        <v>18.856300000000001</v>
      </c>
      <c r="L583" s="11">
        <f>9.3797 * CHOOSE(CONTROL!$C$32, $C$9, 100%, $E$9)</f>
        <v>9.3796999999999997</v>
      </c>
      <c r="M583" s="11">
        <f>9.3839 * CHOOSE(CONTROL!$C$32, $C$9, 100%, $E$9)</f>
        <v>9.3839000000000006</v>
      </c>
      <c r="N583" s="11">
        <f>9.3797 * CHOOSE(CONTROL!$C$32, $C$9, 100%, $E$9)</f>
        <v>9.3796999999999997</v>
      </c>
      <c r="O583" s="11">
        <f>9.3839 * CHOOSE(CONTROL!$C$32, $C$9, 100%, $E$9)</f>
        <v>9.3839000000000006</v>
      </c>
    </row>
    <row r="584" spans="1:15" ht="15" x14ac:dyDescent="0.2">
      <c r="A584" s="13">
        <v>58623</v>
      </c>
      <c r="B584" s="9">
        <f>8.3645 * CHOOSE(CONTROL!$C$32, $C$9, 100%, $E$9)</f>
        <v>8.3644999999999996</v>
      </c>
      <c r="C584" s="9">
        <f>8.3645 * CHOOSE(CONTROL!$C$32, $C$9, 100%, $E$9)</f>
        <v>8.3644999999999996</v>
      </c>
      <c r="D584" s="9">
        <f>8.3658 * CHOOSE(CONTROL!$C$32, $C$9, 100%, $E$9)</f>
        <v>8.3658000000000001</v>
      </c>
      <c r="E584" s="11">
        <f>9.5099 * CHOOSE(CONTROL!$C$32, $C$9, 100%, $E$9)</f>
        <v>9.5099</v>
      </c>
      <c r="F584" s="11">
        <f>9.5099 * CHOOSE(CONTROL!$C$32, $C$9, 100%, $E$9)</f>
        <v>9.5099</v>
      </c>
      <c r="G584" s="11">
        <f>9.5141 * CHOOSE(CONTROL!$C$32, $C$9, 100%, $E$9)</f>
        <v>9.5140999999999991</v>
      </c>
      <c r="H584" s="11">
        <f>18.8914 * CHOOSE(CONTROL!$C$32, $C$9, 100%, $E$9)</f>
        <v>18.891400000000001</v>
      </c>
      <c r="I584" s="11">
        <f>18.8956 * CHOOSE(CONTROL!$C$32, $C$9, 100%, $E$9)</f>
        <v>18.895600000000002</v>
      </c>
      <c r="J584" s="11">
        <f>18.8914 * CHOOSE(CONTROL!$C$32, $C$9, 100%, $E$9)</f>
        <v>18.891400000000001</v>
      </c>
      <c r="K584" s="11">
        <f>18.8956 * CHOOSE(CONTROL!$C$32, $C$9, 100%, $E$9)</f>
        <v>18.895600000000002</v>
      </c>
      <c r="L584" s="11">
        <f>9.5099 * CHOOSE(CONTROL!$C$32, $C$9, 100%, $E$9)</f>
        <v>9.5099</v>
      </c>
      <c r="M584" s="11">
        <f>9.5141 * CHOOSE(CONTROL!$C$32, $C$9, 100%, $E$9)</f>
        <v>9.5140999999999991</v>
      </c>
      <c r="N584" s="11">
        <f>9.5099 * CHOOSE(CONTROL!$C$32, $C$9, 100%, $E$9)</f>
        <v>9.5099</v>
      </c>
      <c r="O584" s="11">
        <f>9.5141 * CHOOSE(CONTROL!$C$32, $C$9, 100%, $E$9)</f>
        <v>9.5140999999999991</v>
      </c>
    </row>
    <row r="585" spans="1:15" ht="15" x14ac:dyDescent="0.2">
      <c r="A585" s="13">
        <v>58654</v>
      </c>
      <c r="B585" s="9">
        <f>8.3712 * CHOOSE(CONTROL!$C$32, $C$9, 100%, $E$9)</f>
        <v>8.3712</v>
      </c>
      <c r="C585" s="9">
        <f>8.3712 * CHOOSE(CONTROL!$C$32, $C$9, 100%, $E$9)</f>
        <v>8.3712</v>
      </c>
      <c r="D585" s="9">
        <f>8.3725 * CHOOSE(CONTROL!$C$32, $C$9, 100%, $E$9)</f>
        <v>8.3725000000000005</v>
      </c>
      <c r="E585" s="11">
        <f>9.3068 * CHOOSE(CONTROL!$C$32, $C$9, 100%, $E$9)</f>
        <v>9.3068000000000008</v>
      </c>
      <c r="F585" s="11">
        <f>9.3068 * CHOOSE(CONTROL!$C$32, $C$9, 100%, $E$9)</f>
        <v>9.3068000000000008</v>
      </c>
      <c r="G585" s="11">
        <f>9.311 * CHOOSE(CONTROL!$C$32, $C$9, 100%, $E$9)</f>
        <v>9.3109999999999999</v>
      </c>
      <c r="H585" s="11">
        <f>18.9307 * CHOOSE(CONTROL!$C$32, $C$9, 100%, $E$9)</f>
        <v>18.930700000000002</v>
      </c>
      <c r="I585" s="11">
        <f>18.9349 * CHOOSE(CONTROL!$C$32, $C$9, 100%, $E$9)</f>
        <v>18.934899999999999</v>
      </c>
      <c r="J585" s="11">
        <f>18.9307 * CHOOSE(CONTROL!$C$32, $C$9, 100%, $E$9)</f>
        <v>18.930700000000002</v>
      </c>
      <c r="K585" s="11">
        <f>18.9349 * CHOOSE(CONTROL!$C$32, $C$9, 100%, $E$9)</f>
        <v>18.934899999999999</v>
      </c>
      <c r="L585" s="11">
        <f>9.3068 * CHOOSE(CONTROL!$C$32, $C$9, 100%, $E$9)</f>
        <v>9.3068000000000008</v>
      </c>
      <c r="M585" s="11">
        <f>9.311 * CHOOSE(CONTROL!$C$32, $C$9, 100%, $E$9)</f>
        <v>9.3109999999999999</v>
      </c>
      <c r="N585" s="11">
        <f>9.3068 * CHOOSE(CONTROL!$C$32, $C$9, 100%, $E$9)</f>
        <v>9.3068000000000008</v>
      </c>
      <c r="O585" s="11">
        <f>9.311 * CHOOSE(CONTROL!$C$32, $C$9, 100%, $E$9)</f>
        <v>9.3109999999999999</v>
      </c>
    </row>
    <row r="586" spans="1:15" ht="15" x14ac:dyDescent="0.2">
      <c r="A586" s="13">
        <v>58685</v>
      </c>
      <c r="B586" s="9">
        <f>8.3682 * CHOOSE(CONTROL!$C$32, $C$9, 100%, $E$9)</f>
        <v>8.3681999999999999</v>
      </c>
      <c r="C586" s="9">
        <f>8.3682 * CHOOSE(CONTROL!$C$32, $C$9, 100%, $E$9)</f>
        <v>8.3681999999999999</v>
      </c>
      <c r="D586" s="9">
        <f>8.3694 * CHOOSE(CONTROL!$C$32, $C$9, 100%, $E$9)</f>
        <v>8.3694000000000006</v>
      </c>
      <c r="E586" s="11">
        <f>9.2816 * CHOOSE(CONTROL!$C$32, $C$9, 100%, $E$9)</f>
        <v>9.2815999999999992</v>
      </c>
      <c r="F586" s="11">
        <f>9.2816 * CHOOSE(CONTROL!$C$32, $C$9, 100%, $E$9)</f>
        <v>9.2815999999999992</v>
      </c>
      <c r="G586" s="11">
        <f>9.2858 * CHOOSE(CONTROL!$C$32, $C$9, 100%, $E$9)</f>
        <v>9.2858000000000001</v>
      </c>
      <c r="H586" s="11">
        <f>18.9702 * CHOOSE(CONTROL!$C$32, $C$9, 100%, $E$9)</f>
        <v>18.970199999999998</v>
      </c>
      <c r="I586" s="11">
        <f>18.9744 * CHOOSE(CONTROL!$C$32, $C$9, 100%, $E$9)</f>
        <v>18.974399999999999</v>
      </c>
      <c r="J586" s="11">
        <f>18.9702 * CHOOSE(CONTROL!$C$32, $C$9, 100%, $E$9)</f>
        <v>18.970199999999998</v>
      </c>
      <c r="K586" s="11">
        <f>18.9744 * CHOOSE(CONTROL!$C$32, $C$9, 100%, $E$9)</f>
        <v>18.974399999999999</v>
      </c>
      <c r="L586" s="11">
        <f>9.2816 * CHOOSE(CONTROL!$C$32, $C$9, 100%, $E$9)</f>
        <v>9.2815999999999992</v>
      </c>
      <c r="M586" s="11">
        <f>9.2858 * CHOOSE(CONTROL!$C$32, $C$9, 100%, $E$9)</f>
        <v>9.2858000000000001</v>
      </c>
      <c r="N586" s="11">
        <f>9.2816 * CHOOSE(CONTROL!$C$32, $C$9, 100%, $E$9)</f>
        <v>9.2815999999999992</v>
      </c>
      <c r="O586" s="11">
        <f>9.2858 * CHOOSE(CONTROL!$C$32, $C$9, 100%, $E$9)</f>
        <v>9.2858000000000001</v>
      </c>
    </row>
    <row r="587" spans="1:15" ht="15" x14ac:dyDescent="0.2">
      <c r="A587" s="13">
        <v>58715</v>
      </c>
      <c r="B587" s="9">
        <f>8.3795 * CHOOSE(CONTROL!$C$32, $C$9, 100%, $E$9)</f>
        <v>8.3795000000000002</v>
      </c>
      <c r="C587" s="9">
        <f>8.3795 * CHOOSE(CONTROL!$C$32, $C$9, 100%, $E$9)</f>
        <v>8.3795000000000002</v>
      </c>
      <c r="D587" s="9">
        <f>8.3805 * CHOOSE(CONTROL!$C$32, $C$9, 100%, $E$9)</f>
        <v>8.3804999999999996</v>
      </c>
      <c r="E587" s="11">
        <f>9.3605 * CHOOSE(CONTROL!$C$32, $C$9, 100%, $E$9)</f>
        <v>9.3605</v>
      </c>
      <c r="F587" s="11">
        <f>9.3605 * CHOOSE(CONTROL!$C$32, $C$9, 100%, $E$9)</f>
        <v>9.3605</v>
      </c>
      <c r="G587" s="11">
        <f>9.3637 * CHOOSE(CONTROL!$C$32, $C$9, 100%, $E$9)</f>
        <v>9.3636999999999997</v>
      </c>
      <c r="H587" s="11">
        <f>19.0097 * CHOOSE(CONTROL!$C$32, $C$9, 100%, $E$9)</f>
        <v>19.009699999999999</v>
      </c>
      <c r="I587" s="11">
        <f>19.0129 * CHOOSE(CONTROL!$C$32, $C$9, 100%, $E$9)</f>
        <v>19.012899999999998</v>
      </c>
      <c r="J587" s="11">
        <f>19.0097 * CHOOSE(CONTROL!$C$32, $C$9, 100%, $E$9)</f>
        <v>19.009699999999999</v>
      </c>
      <c r="K587" s="11">
        <f>19.0129 * CHOOSE(CONTROL!$C$32, $C$9, 100%, $E$9)</f>
        <v>19.012899999999998</v>
      </c>
      <c r="L587" s="11">
        <f>9.3605 * CHOOSE(CONTROL!$C$32, $C$9, 100%, $E$9)</f>
        <v>9.3605</v>
      </c>
      <c r="M587" s="11">
        <f>9.3637 * CHOOSE(CONTROL!$C$32, $C$9, 100%, $E$9)</f>
        <v>9.3636999999999997</v>
      </c>
      <c r="N587" s="11">
        <f>9.3605 * CHOOSE(CONTROL!$C$32, $C$9, 100%, $E$9)</f>
        <v>9.3605</v>
      </c>
      <c r="O587" s="11">
        <f>9.3637 * CHOOSE(CONTROL!$C$32, $C$9, 100%, $E$9)</f>
        <v>9.3636999999999997</v>
      </c>
    </row>
    <row r="588" spans="1:15" ht="15" x14ac:dyDescent="0.2">
      <c r="A588" s="13">
        <v>58746</v>
      </c>
      <c r="B588" s="9">
        <f>8.3826 * CHOOSE(CONTROL!$C$32, $C$9, 100%, $E$9)</f>
        <v>8.3826000000000001</v>
      </c>
      <c r="C588" s="9">
        <f>8.3826 * CHOOSE(CONTROL!$C$32, $C$9, 100%, $E$9)</f>
        <v>8.3826000000000001</v>
      </c>
      <c r="D588" s="9">
        <f>8.3835 * CHOOSE(CONTROL!$C$32, $C$9, 100%, $E$9)</f>
        <v>8.3834999999999997</v>
      </c>
      <c r="E588" s="11">
        <f>9.4088 * CHOOSE(CONTROL!$C$32, $C$9, 100%, $E$9)</f>
        <v>9.4087999999999994</v>
      </c>
      <c r="F588" s="11">
        <f>9.4088 * CHOOSE(CONTROL!$C$32, $C$9, 100%, $E$9)</f>
        <v>9.4087999999999994</v>
      </c>
      <c r="G588" s="11">
        <f>9.412 * CHOOSE(CONTROL!$C$32, $C$9, 100%, $E$9)</f>
        <v>9.4120000000000008</v>
      </c>
      <c r="H588" s="11">
        <f>19.0493 * CHOOSE(CONTROL!$C$32, $C$9, 100%, $E$9)</f>
        <v>19.049299999999999</v>
      </c>
      <c r="I588" s="11">
        <f>19.0525 * CHOOSE(CONTROL!$C$32, $C$9, 100%, $E$9)</f>
        <v>19.052499999999998</v>
      </c>
      <c r="J588" s="11">
        <f>19.0493 * CHOOSE(CONTROL!$C$32, $C$9, 100%, $E$9)</f>
        <v>19.049299999999999</v>
      </c>
      <c r="K588" s="11">
        <f>19.0525 * CHOOSE(CONTROL!$C$32, $C$9, 100%, $E$9)</f>
        <v>19.052499999999998</v>
      </c>
      <c r="L588" s="11">
        <f>9.4088 * CHOOSE(CONTROL!$C$32, $C$9, 100%, $E$9)</f>
        <v>9.4087999999999994</v>
      </c>
      <c r="M588" s="11">
        <f>9.412 * CHOOSE(CONTROL!$C$32, $C$9, 100%, $E$9)</f>
        <v>9.4120000000000008</v>
      </c>
      <c r="N588" s="11">
        <f>9.4088 * CHOOSE(CONTROL!$C$32, $C$9, 100%, $E$9)</f>
        <v>9.4087999999999994</v>
      </c>
      <c r="O588" s="11">
        <f>9.412 * CHOOSE(CONTROL!$C$32, $C$9, 100%, $E$9)</f>
        <v>9.4120000000000008</v>
      </c>
    </row>
    <row r="589" spans="1:15" ht="15" x14ac:dyDescent="0.2">
      <c r="A589" s="13">
        <v>58776</v>
      </c>
      <c r="B589" s="9">
        <f>8.3826 * CHOOSE(CONTROL!$C$32, $C$9, 100%, $E$9)</f>
        <v>8.3826000000000001</v>
      </c>
      <c r="C589" s="9">
        <f>8.3826 * CHOOSE(CONTROL!$C$32, $C$9, 100%, $E$9)</f>
        <v>8.3826000000000001</v>
      </c>
      <c r="D589" s="9">
        <f>8.3835 * CHOOSE(CONTROL!$C$32, $C$9, 100%, $E$9)</f>
        <v>8.3834999999999997</v>
      </c>
      <c r="E589" s="11">
        <f>9.2934 * CHOOSE(CONTROL!$C$32, $C$9, 100%, $E$9)</f>
        <v>9.2934000000000001</v>
      </c>
      <c r="F589" s="11">
        <f>9.2934 * CHOOSE(CONTROL!$C$32, $C$9, 100%, $E$9)</f>
        <v>9.2934000000000001</v>
      </c>
      <c r="G589" s="11">
        <f>9.2966 * CHOOSE(CONTROL!$C$32, $C$9, 100%, $E$9)</f>
        <v>9.2965999999999998</v>
      </c>
      <c r="H589" s="11">
        <f>19.089 * CHOOSE(CONTROL!$C$32, $C$9, 100%, $E$9)</f>
        <v>19.088999999999999</v>
      </c>
      <c r="I589" s="11">
        <f>19.0922 * CHOOSE(CONTROL!$C$32, $C$9, 100%, $E$9)</f>
        <v>19.092199999999998</v>
      </c>
      <c r="J589" s="11">
        <f>19.089 * CHOOSE(CONTROL!$C$32, $C$9, 100%, $E$9)</f>
        <v>19.088999999999999</v>
      </c>
      <c r="K589" s="11">
        <f>19.0922 * CHOOSE(CONTROL!$C$32, $C$9, 100%, $E$9)</f>
        <v>19.092199999999998</v>
      </c>
      <c r="L589" s="11">
        <f>9.2934 * CHOOSE(CONTROL!$C$32, $C$9, 100%, $E$9)</f>
        <v>9.2934000000000001</v>
      </c>
      <c r="M589" s="11">
        <f>9.2966 * CHOOSE(CONTROL!$C$32, $C$9, 100%, $E$9)</f>
        <v>9.2965999999999998</v>
      </c>
      <c r="N589" s="11">
        <f>9.2934 * CHOOSE(CONTROL!$C$32, $C$9, 100%, $E$9)</f>
        <v>9.2934000000000001</v>
      </c>
      <c r="O589" s="11">
        <f>9.2966 * CHOOSE(CONTROL!$C$32, $C$9, 100%, $E$9)</f>
        <v>9.2965999999999998</v>
      </c>
    </row>
    <row r="590" spans="1:15" ht="15" x14ac:dyDescent="0.2">
      <c r="A590" s="13">
        <v>58807</v>
      </c>
      <c r="B590" s="9">
        <f>8.4448 * CHOOSE(CONTROL!$C$32, $C$9, 100%, $E$9)</f>
        <v>8.4448000000000008</v>
      </c>
      <c r="C590" s="9">
        <f>8.4448 * CHOOSE(CONTROL!$C$32, $C$9, 100%, $E$9)</f>
        <v>8.4448000000000008</v>
      </c>
      <c r="D590" s="9">
        <f>8.4458 * CHOOSE(CONTROL!$C$32, $C$9, 100%, $E$9)</f>
        <v>8.4458000000000002</v>
      </c>
      <c r="E590" s="11">
        <f>9.458 * CHOOSE(CONTROL!$C$32, $C$9, 100%, $E$9)</f>
        <v>9.4580000000000002</v>
      </c>
      <c r="F590" s="11">
        <f>9.458 * CHOOSE(CONTROL!$C$32, $C$9, 100%, $E$9)</f>
        <v>9.4580000000000002</v>
      </c>
      <c r="G590" s="11">
        <f>9.4612 * CHOOSE(CONTROL!$C$32, $C$9, 100%, $E$9)</f>
        <v>9.4611999999999998</v>
      </c>
      <c r="H590" s="11">
        <f>19.1287 * CHOOSE(CONTROL!$C$32, $C$9, 100%, $E$9)</f>
        <v>19.128699999999998</v>
      </c>
      <c r="I590" s="11">
        <f>19.132 * CHOOSE(CONTROL!$C$32, $C$9, 100%, $E$9)</f>
        <v>19.132000000000001</v>
      </c>
      <c r="J590" s="11">
        <f>19.1287 * CHOOSE(CONTROL!$C$32, $C$9, 100%, $E$9)</f>
        <v>19.128699999999998</v>
      </c>
      <c r="K590" s="11">
        <f>19.132 * CHOOSE(CONTROL!$C$32, $C$9, 100%, $E$9)</f>
        <v>19.132000000000001</v>
      </c>
      <c r="L590" s="11">
        <f>9.458 * CHOOSE(CONTROL!$C$32, $C$9, 100%, $E$9)</f>
        <v>9.4580000000000002</v>
      </c>
      <c r="M590" s="11">
        <f>9.4612 * CHOOSE(CONTROL!$C$32, $C$9, 100%, $E$9)</f>
        <v>9.4611999999999998</v>
      </c>
      <c r="N590" s="11">
        <f>9.458 * CHOOSE(CONTROL!$C$32, $C$9, 100%, $E$9)</f>
        <v>9.4580000000000002</v>
      </c>
      <c r="O590" s="11">
        <f>9.4612 * CHOOSE(CONTROL!$C$32, $C$9, 100%, $E$9)</f>
        <v>9.4611999999999998</v>
      </c>
    </row>
    <row r="591" spans="1:15" ht="15" x14ac:dyDescent="0.2">
      <c r="A591" s="13">
        <v>58838</v>
      </c>
      <c r="B591" s="9">
        <f>8.4418 * CHOOSE(CONTROL!$C$32, $C$9, 100%, $E$9)</f>
        <v>8.4418000000000006</v>
      </c>
      <c r="C591" s="9">
        <f>8.4418 * CHOOSE(CONTROL!$C$32, $C$9, 100%, $E$9)</f>
        <v>8.4418000000000006</v>
      </c>
      <c r="D591" s="9">
        <f>8.4428 * CHOOSE(CONTROL!$C$32, $C$9, 100%, $E$9)</f>
        <v>8.4428000000000001</v>
      </c>
      <c r="E591" s="11">
        <f>9.2307 * CHOOSE(CONTROL!$C$32, $C$9, 100%, $E$9)</f>
        <v>9.2307000000000006</v>
      </c>
      <c r="F591" s="11">
        <f>9.2307 * CHOOSE(CONTROL!$C$32, $C$9, 100%, $E$9)</f>
        <v>9.2307000000000006</v>
      </c>
      <c r="G591" s="11">
        <f>9.234 * CHOOSE(CONTROL!$C$32, $C$9, 100%, $E$9)</f>
        <v>9.234</v>
      </c>
      <c r="H591" s="11">
        <f>19.1686 * CHOOSE(CONTROL!$C$32, $C$9, 100%, $E$9)</f>
        <v>19.168600000000001</v>
      </c>
      <c r="I591" s="11">
        <f>19.1718 * CHOOSE(CONTROL!$C$32, $C$9, 100%, $E$9)</f>
        <v>19.171800000000001</v>
      </c>
      <c r="J591" s="11">
        <f>19.1686 * CHOOSE(CONTROL!$C$32, $C$9, 100%, $E$9)</f>
        <v>19.168600000000001</v>
      </c>
      <c r="K591" s="11">
        <f>19.1718 * CHOOSE(CONTROL!$C$32, $C$9, 100%, $E$9)</f>
        <v>19.171800000000001</v>
      </c>
      <c r="L591" s="11">
        <f>9.2307 * CHOOSE(CONTROL!$C$32, $C$9, 100%, $E$9)</f>
        <v>9.2307000000000006</v>
      </c>
      <c r="M591" s="11">
        <f>9.234 * CHOOSE(CONTROL!$C$32, $C$9, 100%, $E$9)</f>
        <v>9.234</v>
      </c>
      <c r="N591" s="11">
        <f>9.2307 * CHOOSE(CONTROL!$C$32, $C$9, 100%, $E$9)</f>
        <v>9.2307000000000006</v>
      </c>
      <c r="O591" s="11">
        <f>9.234 * CHOOSE(CONTROL!$C$32, $C$9, 100%, $E$9)</f>
        <v>9.234</v>
      </c>
    </row>
    <row r="592" spans="1:15" ht="15" x14ac:dyDescent="0.2">
      <c r="A592" s="13">
        <v>58866</v>
      </c>
      <c r="B592" s="9">
        <f>8.4388 * CHOOSE(CONTROL!$C$32, $C$9, 100%, $E$9)</f>
        <v>8.4388000000000005</v>
      </c>
      <c r="C592" s="9">
        <f>8.4388 * CHOOSE(CONTROL!$C$32, $C$9, 100%, $E$9)</f>
        <v>8.4388000000000005</v>
      </c>
      <c r="D592" s="9">
        <f>8.4397 * CHOOSE(CONTROL!$C$32, $C$9, 100%, $E$9)</f>
        <v>8.4397000000000002</v>
      </c>
      <c r="E592" s="11">
        <f>9.4061 * CHOOSE(CONTROL!$C$32, $C$9, 100%, $E$9)</f>
        <v>9.4061000000000003</v>
      </c>
      <c r="F592" s="11">
        <f>9.4061 * CHOOSE(CONTROL!$C$32, $C$9, 100%, $E$9)</f>
        <v>9.4061000000000003</v>
      </c>
      <c r="G592" s="11">
        <f>9.4093 * CHOOSE(CONTROL!$C$32, $C$9, 100%, $E$9)</f>
        <v>9.4093</v>
      </c>
      <c r="H592" s="11">
        <f>19.2085 * CHOOSE(CONTROL!$C$32, $C$9, 100%, $E$9)</f>
        <v>19.208500000000001</v>
      </c>
      <c r="I592" s="11">
        <f>19.2117 * CHOOSE(CONTROL!$C$32, $C$9, 100%, $E$9)</f>
        <v>19.2117</v>
      </c>
      <c r="J592" s="11">
        <f>19.2085 * CHOOSE(CONTROL!$C$32, $C$9, 100%, $E$9)</f>
        <v>19.208500000000001</v>
      </c>
      <c r="K592" s="11">
        <f>19.2117 * CHOOSE(CONTROL!$C$32, $C$9, 100%, $E$9)</f>
        <v>19.2117</v>
      </c>
      <c r="L592" s="11">
        <f>9.4061 * CHOOSE(CONTROL!$C$32, $C$9, 100%, $E$9)</f>
        <v>9.4061000000000003</v>
      </c>
      <c r="M592" s="11">
        <f>9.4093 * CHOOSE(CONTROL!$C$32, $C$9, 100%, $E$9)</f>
        <v>9.4093</v>
      </c>
      <c r="N592" s="11">
        <f>9.4061 * CHOOSE(CONTROL!$C$32, $C$9, 100%, $E$9)</f>
        <v>9.4061000000000003</v>
      </c>
      <c r="O592" s="11">
        <f>9.4093 * CHOOSE(CONTROL!$C$32, $C$9, 100%, $E$9)</f>
        <v>9.4093</v>
      </c>
    </row>
    <row r="593" spans="1:15" ht="15" x14ac:dyDescent="0.2">
      <c r="A593" s="13">
        <v>58897</v>
      </c>
      <c r="B593" s="9">
        <f>8.4407 * CHOOSE(CONTROL!$C$32, $C$9, 100%, $E$9)</f>
        <v>8.4406999999999996</v>
      </c>
      <c r="C593" s="9">
        <f>8.4407 * CHOOSE(CONTROL!$C$32, $C$9, 100%, $E$9)</f>
        <v>8.4406999999999996</v>
      </c>
      <c r="D593" s="9">
        <f>8.4417 * CHOOSE(CONTROL!$C$32, $C$9, 100%, $E$9)</f>
        <v>8.4417000000000009</v>
      </c>
      <c r="E593" s="11">
        <f>9.5925 * CHOOSE(CONTROL!$C$32, $C$9, 100%, $E$9)</f>
        <v>9.5924999999999994</v>
      </c>
      <c r="F593" s="11">
        <f>9.5925 * CHOOSE(CONTROL!$C$32, $C$9, 100%, $E$9)</f>
        <v>9.5924999999999994</v>
      </c>
      <c r="G593" s="11">
        <f>9.5957 * CHOOSE(CONTROL!$C$32, $C$9, 100%, $E$9)</f>
        <v>9.5957000000000008</v>
      </c>
      <c r="H593" s="11">
        <f>19.2485 * CHOOSE(CONTROL!$C$32, $C$9, 100%, $E$9)</f>
        <v>19.2485</v>
      </c>
      <c r="I593" s="11">
        <f>19.2518 * CHOOSE(CONTROL!$C$32, $C$9, 100%, $E$9)</f>
        <v>19.251799999999999</v>
      </c>
      <c r="J593" s="11">
        <f>19.2485 * CHOOSE(CONTROL!$C$32, $C$9, 100%, $E$9)</f>
        <v>19.2485</v>
      </c>
      <c r="K593" s="11">
        <f>19.2518 * CHOOSE(CONTROL!$C$32, $C$9, 100%, $E$9)</f>
        <v>19.251799999999999</v>
      </c>
      <c r="L593" s="11">
        <f>9.5925 * CHOOSE(CONTROL!$C$32, $C$9, 100%, $E$9)</f>
        <v>9.5924999999999994</v>
      </c>
      <c r="M593" s="11">
        <f>9.5957 * CHOOSE(CONTROL!$C$32, $C$9, 100%, $E$9)</f>
        <v>9.5957000000000008</v>
      </c>
      <c r="N593" s="11">
        <f>9.5925 * CHOOSE(CONTROL!$C$32, $C$9, 100%, $E$9)</f>
        <v>9.5924999999999994</v>
      </c>
      <c r="O593" s="11">
        <f>9.5957 * CHOOSE(CONTROL!$C$32, $C$9, 100%, $E$9)</f>
        <v>9.5957000000000008</v>
      </c>
    </row>
    <row r="594" spans="1:15" ht="15" x14ac:dyDescent="0.2">
      <c r="A594" s="13">
        <v>58927</v>
      </c>
      <c r="B594" s="9">
        <f>8.4407 * CHOOSE(CONTROL!$C$32, $C$9, 100%, $E$9)</f>
        <v>8.4406999999999996</v>
      </c>
      <c r="C594" s="9">
        <f>8.4407 * CHOOSE(CONTROL!$C$32, $C$9, 100%, $E$9)</f>
        <v>8.4406999999999996</v>
      </c>
      <c r="D594" s="9">
        <f>8.442 * CHOOSE(CONTROL!$C$32, $C$9, 100%, $E$9)</f>
        <v>8.4420000000000002</v>
      </c>
      <c r="E594" s="11">
        <f>9.6639 * CHOOSE(CONTROL!$C$32, $C$9, 100%, $E$9)</f>
        <v>9.6638999999999999</v>
      </c>
      <c r="F594" s="11">
        <f>9.6639 * CHOOSE(CONTROL!$C$32, $C$9, 100%, $E$9)</f>
        <v>9.6638999999999999</v>
      </c>
      <c r="G594" s="11">
        <f>9.6681 * CHOOSE(CONTROL!$C$32, $C$9, 100%, $E$9)</f>
        <v>9.6681000000000008</v>
      </c>
      <c r="H594" s="11">
        <f>19.2886 * CHOOSE(CONTROL!$C$32, $C$9, 100%, $E$9)</f>
        <v>19.288599999999999</v>
      </c>
      <c r="I594" s="11">
        <f>19.2928 * CHOOSE(CONTROL!$C$32, $C$9, 100%, $E$9)</f>
        <v>19.2928</v>
      </c>
      <c r="J594" s="11">
        <f>19.2886 * CHOOSE(CONTROL!$C$32, $C$9, 100%, $E$9)</f>
        <v>19.288599999999999</v>
      </c>
      <c r="K594" s="11">
        <f>19.2928 * CHOOSE(CONTROL!$C$32, $C$9, 100%, $E$9)</f>
        <v>19.2928</v>
      </c>
      <c r="L594" s="11">
        <f>9.6639 * CHOOSE(CONTROL!$C$32, $C$9, 100%, $E$9)</f>
        <v>9.6638999999999999</v>
      </c>
      <c r="M594" s="11">
        <f>9.6681 * CHOOSE(CONTROL!$C$32, $C$9, 100%, $E$9)</f>
        <v>9.6681000000000008</v>
      </c>
      <c r="N594" s="11">
        <f>9.6639 * CHOOSE(CONTROL!$C$32, $C$9, 100%, $E$9)</f>
        <v>9.6638999999999999</v>
      </c>
      <c r="O594" s="11">
        <f>9.6681 * CHOOSE(CONTROL!$C$32, $C$9, 100%, $E$9)</f>
        <v>9.6681000000000008</v>
      </c>
    </row>
    <row r="595" spans="1:15" ht="15" x14ac:dyDescent="0.2">
      <c r="A595" s="13">
        <v>58958</v>
      </c>
      <c r="B595" s="9">
        <f>8.4468 * CHOOSE(CONTROL!$C$32, $C$9, 100%, $E$9)</f>
        <v>8.4467999999999996</v>
      </c>
      <c r="C595" s="9">
        <f>8.4468 * CHOOSE(CONTROL!$C$32, $C$9, 100%, $E$9)</f>
        <v>8.4467999999999996</v>
      </c>
      <c r="D595" s="9">
        <f>8.448 * CHOOSE(CONTROL!$C$32, $C$9, 100%, $E$9)</f>
        <v>8.4480000000000004</v>
      </c>
      <c r="E595" s="11">
        <f>9.5967 * CHOOSE(CONTROL!$C$32, $C$9, 100%, $E$9)</f>
        <v>9.5967000000000002</v>
      </c>
      <c r="F595" s="11">
        <f>9.5967 * CHOOSE(CONTROL!$C$32, $C$9, 100%, $E$9)</f>
        <v>9.5967000000000002</v>
      </c>
      <c r="G595" s="11">
        <f>9.6009 * CHOOSE(CONTROL!$C$32, $C$9, 100%, $E$9)</f>
        <v>9.6008999999999993</v>
      </c>
      <c r="H595" s="11">
        <f>19.3288 * CHOOSE(CONTROL!$C$32, $C$9, 100%, $E$9)</f>
        <v>19.328800000000001</v>
      </c>
      <c r="I595" s="11">
        <f>19.333 * CHOOSE(CONTROL!$C$32, $C$9, 100%, $E$9)</f>
        <v>19.332999999999998</v>
      </c>
      <c r="J595" s="11">
        <f>19.3288 * CHOOSE(CONTROL!$C$32, $C$9, 100%, $E$9)</f>
        <v>19.328800000000001</v>
      </c>
      <c r="K595" s="11">
        <f>19.333 * CHOOSE(CONTROL!$C$32, $C$9, 100%, $E$9)</f>
        <v>19.332999999999998</v>
      </c>
      <c r="L595" s="11">
        <f>9.5967 * CHOOSE(CONTROL!$C$32, $C$9, 100%, $E$9)</f>
        <v>9.5967000000000002</v>
      </c>
      <c r="M595" s="11">
        <f>9.6009 * CHOOSE(CONTROL!$C$32, $C$9, 100%, $E$9)</f>
        <v>9.6008999999999993</v>
      </c>
      <c r="N595" s="11">
        <f>9.5967 * CHOOSE(CONTROL!$C$32, $C$9, 100%, $E$9)</f>
        <v>9.5967000000000002</v>
      </c>
      <c r="O595" s="11">
        <f>9.6009 * CHOOSE(CONTROL!$C$32, $C$9, 100%, $E$9)</f>
        <v>9.6008999999999993</v>
      </c>
    </row>
    <row r="596" spans="1:15" ht="15" x14ac:dyDescent="0.2">
      <c r="A596" s="13">
        <v>58988</v>
      </c>
      <c r="B596" s="9">
        <f>8.5541 * CHOOSE(CONTROL!$C$32, $C$9, 100%, $E$9)</f>
        <v>8.5541</v>
      </c>
      <c r="C596" s="9">
        <f>8.5541 * CHOOSE(CONTROL!$C$32, $C$9, 100%, $E$9)</f>
        <v>8.5541</v>
      </c>
      <c r="D596" s="9">
        <f>8.5554 * CHOOSE(CONTROL!$C$32, $C$9, 100%, $E$9)</f>
        <v>8.5554000000000006</v>
      </c>
      <c r="E596" s="11">
        <f>9.73 * CHOOSE(CONTROL!$C$32, $C$9, 100%, $E$9)</f>
        <v>9.73</v>
      </c>
      <c r="F596" s="11">
        <f>9.73 * CHOOSE(CONTROL!$C$32, $C$9, 100%, $E$9)</f>
        <v>9.73</v>
      </c>
      <c r="G596" s="11">
        <f>9.7342 * CHOOSE(CONTROL!$C$32, $C$9, 100%, $E$9)</f>
        <v>9.7341999999999995</v>
      </c>
      <c r="H596" s="11">
        <f>19.3691 * CHOOSE(CONTROL!$C$32, $C$9, 100%, $E$9)</f>
        <v>19.3691</v>
      </c>
      <c r="I596" s="11">
        <f>19.3733 * CHOOSE(CONTROL!$C$32, $C$9, 100%, $E$9)</f>
        <v>19.3733</v>
      </c>
      <c r="J596" s="11">
        <f>19.3691 * CHOOSE(CONTROL!$C$32, $C$9, 100%, $E$9)</f>
        <v>19.3691</v>
      </c>
      <c r="K596" s="11">
        <f>19.3733 * CHOOSE(CONTROL!$C$32, $C$9, 100%, $E$9)</f>
        <v>19.3733</v>
      </c>
      <c r="L596" s="11">
        <f>9.73 * CHOOSE(CONTROL!$C$32, $C$9, 100%, $E$9)</f>
        <v>9.73</v>
      </c>
      <c r="M596" s="11">
        <f>9.7342 * CHOOSE(CONTROL!$C$32, $C$9, 100%, $E$9)</f>
        <v>9.7341999999999995</v>
      </c>
      <c r="N596" s="11">
        <f>9.73 * CHOOSE(CONTROL!$C$32, $C$9, 100%, $E$9)</f>
        <v>9.73</v>
      </c>
      <c r="O596" s="11">
        <f>9.7342 * CHOOSE(CONTROL!$C$32, $C$9, 100%, $E$9)</f>
        <v>9.7341999999999995</v>
      </c>
    </row>
    <row r="597" spans="1:15" ht="15" x14ac:dyDescent="0.2">
      <c r="A597" s="13">
        <v>59019</v>
      </c>
      <c r="B597" s="9">
        <f>8.5608 * CHOOSE(CONTROL!$C$32, $C$9, 100%, $E$9)</f>
        <v>8.5608000000000004</v>
      </c>
      <c r="C597" s="9">
        <f>8.5608 * CHOOSE(CONTROL!$C$32, $C$9, 100%, $E$9)</f>
        <v>8.5608000000000004</v>
      </c>
      <c r="D597" s="9">
        <f>8.5621 * CHOOSE(CONTROL!$C$32, $C$9, 100%, $E$9)</f>
        <v>8.5620999999999992</v>
      </c>
      <c r="E597" s="11">
        <f>9.5203 * CHOOSE(CONTROL!$C$32, $C$9, 100%, $E$9)</f>
        <v>9.5203000000000007</v>
      </c>
      <c r="F597" s="11">
        <f>9.5203 * CHOOSE(CONTROL!$C$32, $C$9, 100%, $E$9)</f>
        <v>9.5203000000000007</v>
      </c>
      <c r="G597" s="11">
        <f>9.5245 * CHOOSE(CONTROL!$C$32, $C$9, 100%, $E$9)</f>
        <v>9.5244999999999997</v>
      </c>
      <c r="H597" s="11">
        <f>19.4094 * CHOOSE(CONTROL!$C$32, $C$9, 100%, $E$9)</f>
        <v>19.409400000000002</v>
      </c>
      <c r="I597" s="11">
        <f>19.4136 * CHOOSE(CONTROL!$C$32, $C$9, 100%, $E$9)</f>
        <v>19.413599999999999</v>
      </c>
      <c r="J597" s="11">
        <f>19.4094 * CHOOSE(CONTROL!$C$32, $C$9, 100%, $E$9)</f>
        <v>19.409400000000002</v>
      </c>
      <c r="K597" s="11">
        <f>19.4136 * CHOOSE(CONTROL!$C$32, $C$9, 100%, $E$9)</f>
        <v>19.413599999999999</v>
      </c>
      <c r="L597" s="11">
        <f>9.5203 * CHOOSE(CONTROL!$C$32, $C$9, 100%, $E$9)</f>
        <v>9.5203000000000007</v>
      </c>
      <c r="M597" s="11">
        <f>9.5245 * CHOOSE(CONTROL!$C$32, $C$9, 100%, $E$9)</f>
        <v>9.5244999999999997</v>
      </c>
      <c r="N597" s="11">
        <f>9.5203 * CHOOSE(CONTROL!$C$32, $C$9, 100%, $E$9)</f>
        <v>9.5203000000000007</v>
      </c>
      <c r="O597" s="11">
        <f>9.5245 * CHOOSE(CONTROL!$C$32, $C$9, 100%, $E$9)</f>
        <v>9.5244999999999997</v>
      </c>
    </row>
    <row r="598" spans="1:15" ht="15" x14ac:dyDescent="0.2">
      <c r="A598" s="13">
        <v>59050</v>
      </c>
      <c r="B598" s="9">
        <f>8.5578 * CHOOSE(CONTROL!$C$32, $C$9, 100%, $E$9)</f>
        <v>8.5578000000000003</v>
      </c>
      <c r="C598" s="9">
        <f>8.5578 * CHOOSE(CONTROL!$C$32, $C$9, 100%, $E$9)</f>
        <v>8.5578000000000003</v>
      </c>
      <c r="D598" s="9">
        <f>8.559 * CHOOSE(CONTROL!$C$32, $C$9, 100%, $E$9)</f>
        <v>8.5589999999999993</v>
      </c>
      <c r="E598" s="11">
        <f>9.4943 * CHOOSE(CONTROL!$C$32, $C$9, 100%, $E$9)</f>
        <v>9.4943000000000008</v>
      </c>
      <c r="F598" s="11">
        <f>9.4943 * CHOOSE(CONTROL!$C$32, $C$9, 100%, $E$9)</f>
        <v>9.4943000000000008</v>
      </c>
      <c r="G598" s="11">
        <f>9.4985 * CHOOSE(CONTROL!$C$32, $C$9, 100%, $E$9)</f>
        <v>9.4984999999999999</v>
      </c>
      <c r="H598" s="11">
        <f>19.4499 * CHOOSE(CONTROL!$C$32, $C$9, 100%, $E$9)</f>
        <v>19.4499</v>
      </c>
      <c r="I598" s="11">
        <f>19.4541 * CHOOSE(CONTROL!$C$32, $C$9, 100%, $E$9)</f>
        <v>19.4541</v>
      </c>
      <c r="J598" s="11">
        <f>19.4499 * CHOOSE(CONTROL!$C$32, $C$9, 100%, $E$9)</f>
        <v>19.4499</v>
      </c>
      <c r="K598" s="11">
        <f>19.4541 * CHOOSE(CONTROL!$C$32, $C$9, 100%, $E$9)</f>
        <v>19.4541</v>
      </c>
      <c r="L598" s="11">
        <f>9.4943 * CHOOSE(CONTROL!$C$32, $C$9, 100%, $E$9)</f>
        <v>9.4943000000000008</v>
      </c>
      <c r="M598" s="11">
        <f>9.4985 * CHOOSE(CONTROL!$C$32, $C$9, 100%, $E$9)</f>
        <v>9.4984999999999999</v>
      </c>
      <c r="N598" s="11">
        <f>9.4943 * CHOOSE(CONTROL!$C$32, $C$9, 100%, $E$9)</f>
        <v>9.4943000000000008</v>
      </c>
      <c r="O598" s="11">
        <f>9.4985 * CHOOSE(CONTROL!$C$32, $C$9, 100%, $E$9)</f>
        <v>9.4984999999999999</v>
      </c>
    </row>
    <row r="599" spans="1:15" ht="15" x14ac:dyDescent="0.2">
      <c r="A599" s="13">
        <v>59080</v>
      </c>
      <c r="B599" s="9">
        <f>8.5698 * CHOOSE(CONTROL!$C$32, $C$9, 100%, $E$9)</f>
        <v>8.5698000000000008</v>
      </c>
      <c r="C599" s="9">
        <f>8.5698 * CHOOSE(CONTROL!$C$32, $C$9, 100%, $E$9)</f>
        <v>8.5698000000000008</v>
      </c>
      <c r="D599" s="9">
        <f>8.5708 * CHOOSE(CONTROL!$C$32, $C$9, 100%, $E$9)</f>
        <v>8.5708000000000002</v>
      </c>
      <c r="E599" s="11">
        <f>9.5762 * CHOOSE(CONTROL!$C$32, $C$9, 100%, $E$9)</f>
        <v>9.5762</v>
      </c>
      <c r="F599" s="11">
        <f>9.5762 * CHOOSE(CONTROL!$C$32, $C$9, 100%, $E$9)</f>
        <v>9.5762</v>
      </c>
      <c r="G599" s="11">
        <f>9.5794 * CHOOSE(CONTROL!$C$32, $C$9, 100%, $E$9)</f>
        <v>9.5793999999999997</v>
      </c>
      <c r="H599" s="11">
        <f>19.4904 * CHOOSE(CONTROL!$C$32, $C$9, 100%, $E$9)</f>
        <v>19.490400000000001</v>
      </c>
      <c r="I599" s="11">
        <f>19.4936 * CHOOSE(CONTROL!$C$32, $C$9, 100%, $E$9)</f>
        <v>19.493600000000001</v>
      </c>
      <c r="J599" s="11">
        <f>19.4904 * CHOOSE(CONTROL!$C$32, $C$9, 100%, $E$9)</f>
        <v>19.490400000000001</v>
      </c>
      <c r="K599" s="11">
        <f>19.4936 * CHOOSE(CONTROL!$C$32, $C$9, 100%, $E$9)</f>
        <v>19.493600000000001</v>
      </c>
      <c r="L599" s="11">
        <f>9.5762 * CHOOSE(CONTROL!$C$32, $C$9, 100%, $E$9)</f>
        <v>9.5762</v>
      </c>
      <c r="M599" s="11">
        <f>9.5794 * CHOOSE(CONTROL!$C$32, $C$9, 100%, $E$9)</f>
        <v>9.5793999999999997</v>
      </c>
      <c r="N599" s="11">
        <f>9.5762 * CHOOSE(CONTROL!$C$32, $C$9, 100%, $E$9)</f>
        <v>9.5762</v>
      </c>
      <c r="O599" s="11">
        <f>9.5794 * CHOOSE(CONTROL!$C$32, $C$9, 100%, $E$9)</f>
        <v>9.5793999999999997</v>
      </c>
    </row>
    <row r="600" spans="1:15" ht="15" x14ac:dyDescent="0.2">
      <c r="A600" s="13">
        <v>59111</v>
      </c>
      <c r="B600" s="9">
        <f>8.5729 * CHOOSE(CONTROL!$C$32, $C$9, 100%, $E$9)</f>
        <v>8.5729000000000006</v>
      </c>
      <c r="C600" s="9">
        <f>8.5729 * CHOOSE(CONTROL!$C$32, $C$9, 100%, $E$9)</f>
        <v>8.5729000000000006</v>
      </c>
      <c r="D600" s="9">
        <f>8.5738 * CHOOSE(CONTROL!$C$32, $C$9, 100%, $E$9)</f>
        <v>8.5738000000000003</v>
      </c>
      <c r="E600" s="11">
        <f>9.626 * CHOOSE(CONTROL!$C$32, $C$9, 100%, $E$9)</f>
        <v>9.6259999999999994</v>
      </c>
      <c r="F600" s="11">
        <f>9.626 * CHOOSE(CONTROL!$C$32, $C$9, 100%, $E$9)</f>
        <v>9.6259999999999994</v>
      </c>
      <c r="G600" s="11">
        <f>9.6292 * CHOOSE(CONTROL!$C$32, $C$9, 100%, $E$9)</f>
        <v>9.6292000000000009</v>
      </c>
      <c r="H600" s="11">
        <f>19.531 * CHOOSE(CONTROL!$C$32, $C$9, 100%, $E$9)</f>
        <v>19.530999999999999</v>
      </c>
      <c r="I600" s="11">
        <f>19.5342 * CHOOSE(CONTROL!$C$32, $C$9, 100%, $E$9)</f>
        <v>19.534199999999998</v>
      </c>
      <c r="J600" s="11">
        <f>19.531 * CHOOSE(CONTROL!$C$32, $C$9, 100%, $E$9)</f>
        <v>19.530999999999999</v>
      </c>
      <c r="K600" s="11">
        <f>19.5342 * CHOOSE(CONTROL!$C$32, $C$9, 100%, $E$9)</f>
        <v>19.534199999999998</v>
      </c>
      <c r="L600" s="11">
        <f>9.626 * CHOOSE(CONTROL!$C$32, $C$9, 100%, $E$9)</f>
        <v>9.6259999999999994</v>
      </c>
      <c r="M600" s="11">
        <f>9.6292 * CHOOSE(CONTROL!$C$32, $C$9, 100%, $E$9)</f>
        <v>9.6292000000000009</v>
      </c>
      <c r="N600" s="11">
        <f>9.626 * CHOOSE(CONTROL!$C$32, $C$9, 100%, $E$9)</f>
        <v>9.6259999999999994</v>
      </c>
      <c r="O600" s="11">
        <f>9.6292 * CHOOSE(CONTROL!$C$32, $C$9, 100%, $E$9)</f>
        <v>9.6292000000000009</v>
      </c>
    </row>
    <row r="601" spans="1:15" ht="15" x14ac:dyDescent="0.2">
      <c r="A601" s="13">
        <v>59141</v>
      </c>
      <c r="B601" s="9">
        <f>8.5729 * CHOOSE(CONTROL!$C$32, $C$9, 100%, $E$9)</f>
        <v>8.5729000000000006</v>
      </c>
      <c r="C601" s="9">
        <f>8.5729 * CHOOSE(CONTROL!$C$32, $C$9, 100%, $E$9)</f>
        <v>8.5729000000000006</v>
      </c>
      <c r="D601" s="9">
        <f>8.5738 * CHOOSE(CONTROL!$C$32, $C$9, 100%, $E$9)</f>
        <v>8.5738000000000003</v>
      </c>
      <c r="E601" s="11">
        <f>9.5068 * CHOOSE(CONTROL!$C$32, $C$9, 100%, $E$9)</f>
        <v>9.5068000000000001</v>
      </c>
      <c r="F601" s="11">
        <f>9.5068 * CHOOSE(CONTROL!$C$32, $C$9, 100%, $E$9)</f>
        <v>9.5068000000000001</v>
      </c>
      <c r="G601" s="11">
        <f>9.5101 * CHOOSE(CONTROL!$C$32, $C$9, 100%, $E$9)</f>
        <v>9.5100999999999996</v>
      </c>
      <c r="H601" s="11">
        <f>19.5717 * CHOOSE(CONTROL!$C$32, $C$9, 100%, $E$9)</f>
        <v>19.5717</v>
      </c>
      <c r="I601" s="11">
        <f>19.5749 * CHOOSE(CONTROL!$C$32, $C$9, 100%, $E$9)</f>
        <v>19.5749</v>
      </c>
      <c r="J601" s="11">
        <f>19.5717 * CHOOSE(CONTROL!$C$32, $C$9, 100%, $E$9)</f>
        <v>19.5717</v>
      </c>
      <c r="K601" s="11">
        <f>19.5749 * CHOOSE(CONTROL!$C$32, $C$9, 100%, $E$9)</f>
        <v>19.5749</v>
      </c>
      <c r="L601" s="11">
        <f>9.5068 * CHOOSE(CONTROL!$C$32, $C$9, 100%, $E$9)</f>
        <v>9.5068000000000001</v>
      </c>
      <c r="M601" s="11">
        <f>9.5101 * CHOOSE(CONTROL!$C$32, $C$9, 100%, $E$9)</f>
        <v>9.5100999999999996</v>
      </c>
      <c r="N601" s="11">
        <f>9.5068 * CHOOSE(CONTROL!$C$32, $C$9, 100%, $E$9)</f>
        <v>9.5068000000000001</v>
      </c>
      <c r="O601" s="11">
        <f>9.5101 * CHOOSE(CONTROL!$C$32, $C$9, 100%, $E$9)</f>
        <v>9.5100999999999996</v>
      </c>
    </row>
    <row r="602" spans="1:15" ht="15" x14ac:dyDescent="0.2">
      <c r="A602" s="13">
        <v>59172</v>
      </c>
      <c r="B602" s="9">
        <f>8.6322 * CHOOSE(CONTROL!$C$32, $C$9, 100%, $E$9)</f>
        <v>8.6321999999999992</v>
      </c>
      <c r="C602" s="9">
        <f>8.6322 * CHOOSE(CONTROL!$C$32, $C$9, 100%, $E$9)</f>
        <v>8.6321999999999992</v>
      </c>
      <c r="D602" s="9">
        <f>8.6332 * CHOOSE(CONTROL!$C$32, $C$9, 100%, $E$9)</f>
        <v>8.6332000000000004</v>
      </c>
      <c r="E602" s="11">
        <f>9.6705 * CHOOSE(CONTROL!$C$32, $C$9, 100%, $E$9)</f>
        <v>9.6705000000000005</v>
      </c>
      <c r="F602" s="11">
        <f>9.6705 * CHOOSE(CONTROL!$C$32, $C$9, 100%, $E$9)</f>
        <v>9.6705000000000005</v>
      </c>
      <c r="G602" s="11">
        <f>9.6737 * CHOOSE(CONTROL!$C$32, $C$9, 100%, $E$9)</f>
        <v>9.6737000000000002</v>
      </c>
      <c r="H602" s="11">
        <f>19.6005 * CHOOSE(CONTROL!$C$32, $C$9, 100%, $E$9)</f>
        <v>19.6005</v>
      </c>
      <c r="I602" s="11">
        <f>19.6038 * CHOOSE(CONTROL!$C$32, $C$9, 100%, $E$9)</f>
        <v>19.6038</v>
      </c>
      <c r="J602" s="11">
        <f>19.6005 * CHOOSE(CONTROL!$C$32, $C$9, 100%, $E$9)</f>
        <v>19.6005</v>
      </c>
      <c r="K602" s="11">
        <f>19.6038 * CHOOSE(CONTROL!$C$32, $C$9, 100%, $E$9)</f>
        <v>19.6038</v>
      </c>
      <c r="L602" s="11">
        <f>9.6705 * CHOOSE(CONTROL!$C$32, $C$9, 100%, $E$9)</f>
        <v>9.6705000000000005</v>
      </c>
      <c r="M602" s="11">
        <f>9.6737 * CHOOSE(CONTROL!$C$32, $C$9, 100%, $E$9)</f>
        <v>9.6737000000000002</v>
      </c>
      <c r="N602" s="11">
        <f>9.6705 * CHOOSE(CONTROL!$C$32, $C$9, 100%, $E$9)</f>
        <v>9.6705000000000005</v>
      </c>
      <c r="O602" s="11">
        <f>9.6737 * CHOOSE(CONTROL!$C$32, $C$9, 100%, $E$9)</f>
        <v>9.6737000000000002</v>
      </c>
    </row>
    <row r="603" spans="1:15" ht="15" x14ac:dyDescent="0.2">
      <c r="A603" s="13">
        <v>59203</v>
      </c>
      <c r="B603" s="9">
        <f>8.6292 * CHOOSE(CONTROL!$C$32, $C$9, 100%, $E$9)</f>
        <v>8.6292000000000009</v>
      </c>
      <c r="C603" s="9">
        <f>8.6292 * CHOOSE(CONTROL!$C$32, $C$9, 100%, $E$9)</f>
        <v>8.6292000000000009</v>
      </c>
      <c r="D603" s="9">
        <f>8.6301 * CHOOSE(CONTROL!$C$32, $C$9, 100%, $E$9)</f>
        <v>8.6301000000000005</v>
      </c>
      <c r="E603" s="11">
        <f>9.4361 * CHOOSE(CONTROL!$C$32, $C$9, 100%, $E$9)</f>
        <v>9.4360999999999997</v>
      </c>
      <c r="F603" s="11">
        <f>9.4361 * CHOOSE(CONTROL!$C$32, $C$9, 100%, $E$9)</f>
        <v>9.4360999999999997</v>
      </c>
      <c r="G603" s="11">
        <f>9.4394 * CHOOSE(CONTROL!$C$32, $C$9, 100%, $E$9)</f>
        <v>9.4393999999999991</v>
      </c>
      <c r="H603" s="11">
        <f>19.6414 * CHOOSE(CONTROL!$C$32, $C$9, 100%, $E$9)</f>
        <v>19.641400000000001</v>
      </c>
      <c r="I603" s="11">
        <f>19.6446 * CHOOSE(CONTROL!$C$32, $C$9, 100%, $E$9)</f>
        <v>19.644600000000001</v>
      </c>
      <c r="J603" s="11">
        <f>19.6414 * CHOOSE(CONTROL!$C$32, $C$9, 100%, $E$9)</f>
        <v>19.641400000000001</v>
      </c>
      <c r="K603" s="11">
        <f>19.6446 * CHOOSE(CONTROL!$C$32, $C$9, 100%, $E$9)</f>
        <v>19.644600000000001</v>
      </c>
      <c r="L603" s="11">
        <f>9.4361 * CHOOSE(CONTROL!$C$32, $C$9, 100%, $E$9)</f>
        <v>9.4360999999999997</v>
      </c>
      <c r="M603" s="11">
        <f>9.4394 * CHOOSE(CONTROL!$C$32, $C$9, 100%, $E$9)</f>
        <v>9.4393999999999991</v>
      </c>
      <c r="N603" s="11">
        <f>9.4361 * CHOOSE(CONTROL!$C$32, $C$9, 100%, $E$9)</f>
        <v>9.4360999999999997</v>
      </c>
      <c r="O603" s="11">
        <f>9.4394 * CHOOSE(CONTROL!$C$32, $C$9, 100%, $E$9)</f>
        <v>9.4393999999999991</v>
      </c>
    </row>
    <row r="604" spans="1:15" ht="15" x14ac:dyDescent="0.2">
      <c r="A604" s="13">
        <v>59231</v>
      </c>
      <c r="B604" s="9">
        <f>8.6261 * CHOOSE(CONTROL!$C$32, $C$9, 100%, $E$9)</f>
        <v>8.6260999999999992</v>
      </c>
      <c r="C604" s="9">
        <f>8.6261 * CHOOSE(CONTROL!$C$32, $C$9, 100%, $E$9)</f>
        <v>8.6260999999999992</v>
      </c>
      <c r="D604" s="9">
        <f>8.6271 * CHOOSE(CONTROL!$C$32, $C$9, 100%, $E$9)</f>
        <v>8.6271000000000004</v>
      </c>
      <c r="E604" s="11">
        <f>9.6171 * CHOOSE(CONTROL!$C$32, $C$9, 100%, $E$9)</f>
        <v>9.6171000000000006</v>
      </c>
      <c r="F604" s="11">
        <f>9.6171 * CHOOSE(CONTROL!$C$32, $C$9, 100%, $E$9)</f>
        <v>9.6171000000000006</v>
      </c>
      <c r="G604" s="11">
        <f>9.6203 * CHOOSE(CONTROL!$C$32, $C$9, 100%, $E$9)</f>
        <v>9.6203000000000003</v>
      </c>
      <c r="H604" s="11">
        <f>19.6823 * CHOOSE(CONTROL!$C$32, $C$9, 100%, $E$9)</f>
        <v>19.682300000000001</v>
      </c>
      <c r="I604" s="11">
        <f>19.6855 * CHOOSE(CONTROL!$C$32, $C$9, 100%, $E$9)</f>
        <v>19.685500000000001</v>
      </c>
      <c r="J604" s="11">
        <f>19.6823 * CHOOSE(CONTROL!$C$32, $C$9, 100%, $E$9)</f>
        <v>19.682300000000001</v>
      </c>
      <c r="K604" s="11">
        <f>19.6855 * CHOOSE(CONTROL!$C$32, $C$9, 100%, $E$9)</f>
        <v>19.685500000000001</v>
      </c>
      <c r="L604" s="11">
        <f>9.6171 * CHOOSE(CONTROL!$C$32, $C$9, 100%, $E$9)</f>
        <v>9.6171000000000006</v>
      </c>
      <c r="M604" s="11">
        <f>9.6203 * CHOOSE(CONTROL!$C$32, $C$9, 100%, $E$9)</f>
        <v>9.6203000000000003</v>
      </c>
      <c r="N604" s="11">
        <f>9.6171 * CHOOSE(CONTROL!$C$32, $C$9, 100%, $E$9)</f>
        <v>9.6171000000000006</v>
      </c>
      <c r="O604" s="11">
        <f>9.6203 * CHOOSE(CONTROL!$C$32, $C$9, 100%, $E$9)</f>
        <v>9.6203000000000003</v>
      </c>
    </row>
    <row r="605" spans="1:15" ht="15" x14ac:dyDescent="0.2">
      <c r="A605" s="13">
        <v>59262</v>
      </c>
      <c r="B605" s="9">
        <f>8.6283 * CHOOSE(CONTROL!$C$32, $C$9, 100%, $E$9)</f>
        <v>8.6282999999999994</v>
      </c>
      <c r="C605" s="9">
        <f>8.6283 * CHOOSE(CONTROL!$C$32, $C$9, 100%, $E$9)</f>
        <v>8.6282999999999994</v>
      </c>
      <c r="D605" s="9">
        <f>8.6292 * CHOOSE(CONTROL!$C$32, $C$9, 100%, $E$9)</f>
        <v>8.6292000000000009</v>
      </c>
      <c r="E605" s="11">
        <f>9.8095 * CHOOSE(CONTROL!$C$32, $C$9, 100%, $E$9)</f>
        <v>9.8094999999999999</v>
      </c>
      <c r="F605" s="11">
        <f>9.8095 * CHOOSE(CONTROL!$C$32, $C$9, 100%, $E$9)</f>
        <v>9.8094999999999999</v>
      </c>
      <c r="G605" s="11">
        <f>9.8127 * CHOOSE(CONTROL!$C$32, $C$9, 100%, $E$9)</f>
        <v>9.8126999999999995</v>
      </c>
      <c r="H605" s="11">
        <f>19.7233 * CHOOSE(CONTROL!$C$32, $C$9, 100%, $E$9)</f>
        <v>19.723299999999998</v>
      </c>
      <c r="I605" s="11">
        <f>19.7265 * CHOOSE(CONTROL!$C$32, $C$9, 100%, $E$9)</f>
        <v>19.726500000000001</v>
      </c>
      <c r="J605" s="11">
        <f>19.7233 * CHOOSE(CONTROL!$C$32, $C$9, 100%, $E$9)</f>
        <v>19.723299999999998</v>
      </c>
      <c r="K605" s="11">
        <f>19.7265 * CHOOSE(CONTROL!$C$32, $C$9, 100%, $E$9)</f>
        <v>19.726500000000001</v>
      </c>
      <c r="L605" s="11">
        <f>9.8095 * CHOOSE(CONTROL!$C$32, $C$9, 100%, $E$9)</f>
        <v>9.8094999999999999</v>
      </c>
      <c r="M605" s="11">
        <f>9.8127 * CHOOSE(CONTROL!$C$32, $C$9, 100%, $E$9)</f>
        <v>9.8126999999999995</v>
      </c>
      <c r="N605" s="11">
        <f>9.8095 * CHOOSE(CONTROL!$C$32, $C$9, 100%, $E$9)</f>
        <v>9.8094999999999999</v>
      </c>
      <c r="O605" s="11">
        <f>9.8127 * CHOOSE(CONTROL!$C$32, $C$9, 100%, $E$9)</f>
        <v>9.8126999999999995</v>
      </c>
    </row>
    <row r="606" spans="1:15" ht="15" x14ac:dyDescent="0.2">
      <c r="A606" s="13">
        <v>59292</v>
      </c>
      <c r="B606" s="9">
        <f>8.6283 * CHOOSE(CONTROL!$C$32, $C$9, 100%, $E$9)</f>
        <v>8.6282999999999994</v>
      </c>
      <c r="C606" s="9">
        <f>8.6283 * CHOOSE(CONTROL!$C$32, $C$9, 100%, $E$9)</f>
        <v>8.6282999999999994</v>
      </c>
      <c r="D606" s="9">
        <f>8.6295 * CHOOSE(CONTROL!$C$32, $C$9, 100%, $E$9)</f>
        <v>8.6295000000000002</v>
      </c>
      <c r="E606" s="11">
        <f>9.8832 * CHOOSE(CONTROL!$C$32, $C$9, 100%, $E$9)</f>
        <v>9.8832000000000004</v>
      </c>
      <c r="F606" s="11">
        <f>9.8832 * CHOOSE(CONTROL!$C$32, $C$9, 100%, $E$9)</f>
        <v>9.8832000000000004</v>
      </c>
      <c r="G606" s="11">
        <f>9.8874 * CHOOSE(CONTROL!$C$32, $C$9, 100%, $E$9)</f>
        <v>9.8873999999999995</v>
      </c>
      <c r="H606" s="11">
        <f>19.7644 * CHOOSE(CONTROL!$C$32, $C$9, 100%, $E$9)</f>
        <v>19.764399999999998</v>
      </c>
      <c r="I606" s="11">
        <f>19.7686 * CHOOSE(CONTROL!$C$32, $C$9, 100%, $E$9)</f>
        <v>19.768599999999999</v>
      </c>
      <c r="J606" s="11">
        <f>19.7644 * CHOOSE(CONTROL!$C$32, $C$9, 100%, $E$9)</f>
        <v>19.764399999999998</v>
      </c>
      <c r="K606" s="11">
        <f>19.7686 * CHOOSE(CONTROL!$C$32, $C$9, 100%, $E$9)</f>
        <v>19.768599999999999</v>
      </c>
      <c r="L606" s="11">
        <f>9.8832 * CHOOSE(CONTROL!$C$32, $C$9, 100%, $E$9)</f>
        <v>9.8832000000000004</v>
      </c>
      <c r="M606" s="11">
        <f>9.8874 * CHOOSE(CONTROL!$C$32, $C$9, 100%, $E$9)</f>
        <v>9.8873999999999995</v>
      </c>
      <c r="N606" s="11">
        <f>9.8832 * CHOOSE(CONTROL!$C$32, $C$9, 100%, $E$9)</f>
        <v>9.8832000000000004</v>
      </c>
      <c r="O606" s="11">
        <f>9.8874 * CHOOSE(CONTROL!$C$32, $C$9, 100%, $E$9)</f>
        <v>9.8873999999999995</v>
      </c>
    </row>
    <row r="607" spans="1:15" ht="15" x14ac:dyDescent="0.2">
      <c r="A607" s="13">
        <v>59323</v>
      </c>
      <c r="B607" s="9">
        <f>8.6343 * CHOOSE(CONTROL!$C$32, $C$9, 100%, $E$9)</f>
        <v>8.6342999999999996</v>
      </c>
      <c r="C607" s="9">
        <f>8.6343 * CHOOSE(CONTROL!$C$32, $C$9, 100%, $E$9)</f>
        <v>8.6342999999999996</v>
      </c>
      <c r="D607" s="9">
        <f>8.6356 * CHOOSE(CONTROL!$C$32, $C$9, 100%, $E$9)</f>
        <v>8.6356000000000002</v>
      </c>
      <c r="E607" s="11">
        <f>9.8137 * CHOOSE(CONTROL!$C$32, $C$9, 100%, $E$9)</f>
        <v>9.8137000000000008</v>
      </c>
      <c r="F607" s="11">
        <f>9.8137 * CHOOSE(CONTROL!$C$32, $C$9, 100%, $E$9)</f>
        <v>9.8137000000000008</v>
      </c>
      <c r="G607" s="11">
        <f>9.8179 * CHOOSE(CONTROL!$C$32, $C$9, 100%, $E$9)</f>
        <v>9.8178999999999998</v>
      </c>
      <c r="H607" s="11">
        <f>19.8056 * CHOOSE(CONTROL!$C$32, $C$9, 100%, $E$9)</f>
        <v>19.805599999999998</v>
      </c>
      <c r="I607" s="11">
        <f>19.8098 * CHOOSE(CONTROL!$C$32, $C$9, 100%, $E$9)</f>
        <v>19.809799999999999</v>
      </c>
      <c r="J607" s="11">
        <f>19.8056 * CHOOSE(CONTROL!$C$32, $C$9, 100%, $E$9)</f>
        <v>19.805599999999998</v>
      </c>
      <c r="K607" s="11">
        <f>19.8098 * CHOOSE(CONTROL!$C$32, $C$9, 100%, $E$9)</f>
        <v>19.809799999999999</v>
      </c>
      <c r="L607" s="11">
        <f>9.8137 * CHOOSE(CONTROL!$C$32, $C$9, 100%, $E$9)</f>
        <v>9.8137000000000008</v>
      </c>
      <c r="M607" s="11">
        <f>9.8179 * CHOOSE(CONTROL!$C$32, $C$9, 100%, $E$9)</f>
        <v>9.8178999999999998</v>
      </c>
      <c r="N607" s="11">
        <f>9.8137 * CHOOSE(CONTROL!$C$32, $C$9, 100%, $E$9)</f>
        <v>9.8137000000000008</v>
      </c>
      <c r="O607" s="11">
        <f>9.8179 * CHOOSE(CONTROL!$C$32, $C$9, 100%, $E$9)</f>
        <v>9.8178999999999998</v>
      </c>
    </row>
    <row r="608" spans="1:15" ht="15" x14ac:dyDescent="0.2">
      <c r="A608" s="13">
        <v>59353</v>
      </c>
      <c r="B608" s="9">
        <f>8.7437 * CHOOSE(CONTROL!$C$32, $C$9, 100%, $E$9)</f>
        <v>8.7437000000000005</v>
      </c>
      <c r="C608" s="9">
        <f>8.7437 * CHOOSE(CONTROL!$C$32, $C$9, 100%, $E$9)</f>
        <v>8.7437000000000005</v>
      </c>
      <c r="D608" s="9">
        <f>8.745 * CHOOSE(CONTROL!$C$32, $C$9, 100%, $E$9)</f>
        <v>8.7449999999999992</v>
      </c>
      <c r="E608" s="11">
        <f>9.9502 * CHOOSE(CONTROL!$C$32, $C$9, 100%, $E$9)</f>
        <v>9.9502000000000006</v>
      </c>
      <c r="F608" s="11">
        <f>9.9502 * CHOOSE(CONTROL!$C$32, $C$9, 100%, $E$9)</f>
        <v>9.9502000000000006</v>
      </c>
      <c r="G608" s="11">
        <f>9.9544 * CHOOSE(CONTROL!$C$32, $C$9, 100%, $E$9)</f>
        <v>9.9543999999999997</v>
      </c>
      <c r="H608" s="11">
        <f>19.8468 * CHOOSE(CONTROL!$C$32, $C$9, 100%, $E$9)</f>
        <v>19.846800000000002</v>
      </c>
      <c r="I608" s="11">
        <f>19.851 * CHOOSE(CONTROL!$C$32, $C$9, 100%, $E$9)</f>
        <v>19.850999999999999</v>
      </c>
      <c r="J608" s="11">
        <f>19.8468 * CHOOSE(CONTROL!$C$32, $C$9, 100%, $E$9)</f>
        <v>19.846800000000002</v>
      </c>
      <c r="K608" s="11">
        <f>19.851 * CHOOSE(CONTROL!$C$32, $C$9, 100%, $E$9)</f>
        <v>19.850999999999999</v>
      </c>
      <c r="L608" s="11">
        <f>9.9502 * CHOOSE(CONTROL!$C$32, $C$9, 100%, $E$9)</f>
        <v>9.9502000000000006</v>
      </c>
      <c r="M608" s="11">
        <f>9.9544 * CHOOSE(CONTROL!$C$32, $C$9, 100%, $E$9)</f>
        <v>9.9543999999999997</v>
      </c>
      <c r="N608" s="11">
        <f>9.9502 * CHOOSE(CONTROL!$C$32, $C$9, 100%, $E$9)</f>
        <v>9.9502000000000006</v>
      </c>
      <c r="O608" s="11">
        <f>9.9544 * CHOOSE(CONTROL!$C$32, $C$9, 100%, $E$9)</f>
        <v>9.9543999999999997</v>
      </c>
    </row>
    <row r="609" spans="1:15" ht="15" x14ac:dyDescent="0.2">
      <c r="A609" s="13">
        <v>59384</v>
      </c>
      <c r="B609" s="9">
        <f>8.7504 * CHOOSE(CONTROL!$C$32, $C$9, 100%, $E$9)</f>
        <v>8.7504000000000008</v>
      </c>
      <c r="C609" s="9">
        <f>8.7504 * CHOOSE(CONTROL!$C$32, $C$9, 100%, $E$9)</f>
        <v>8.7504000000000008</v>
      </c>
      <c r="D609" s="9">
        <f>8.7517 * CHOOSE(CONTROL!$C$32, $C$9, 100%, $E$9)</f>
        <v>8.7516999999999996</v>
      </c>
      <c r="E609" s="11">
        <f>9.7337 * CHOOSE(CONTROL!$C$32, $C$9, 100%, $E$9)</f>
        <v>9.7337000000000007</v>
      </c>
      <c r="F609" s="11">
        <f>9.7337 * CHOOSE(CONTROL!$C$32, $C$9, 100%, $E$9)</f>
        <v>9.7337000000000007</v>
      </c>
      <c r="G609" s="11">
        <f>9.7379 * CHOOSE(CONTROL!$C$32, $C$9, 100%, $E$9)</f>
        <v>9.7378999999999998</v>
      </c>
      <c r="H609" s="11">
        <f>19.8882 * CHOOSE(CONTROL!$C$32, $C$9, 100%, $E$9)</f>
        <v>19.888200000000001</v>
      </c>
      <c r="I609" s="11">
        <f>19.8924 * CHOOSE(CONTROL!$C$32, $C$9, 100%, $E$9)</f>
        <v>19.892399999999999</v>
      </c>
      <c r="J609" s="11">
        <f>19.8882 * CHOOSE(CONTROL!$C$32, $C$9, 100%, $E$9)</f>
        <v>19.888200000000001</v>
      </c>
      <c r="K609" s="11">
        <f>19.8924 * CHOOSE(CONTROL!$C$32, $C$9, 100%, $E$9)</f>
        <v>19.892399999999999</v>
      </c>
      <c r="L609" s="11">
        <f>9.7337 * CHOOSE(CONTROL!$C$32, $C$9, 100%, $E$9)</f>
        <v>9.7337000000000007</v>
      </c>
      <c r="M609" s="11">
        <f>9.7379 * CHOOSE(CONTROL!$C$32, $C$9, 100%, $E$9)</f>
        <v>9.7378999999999998</v>
      </c>
      <c r="N609" s="11">
        <f>9.7337 * CHOOSE(CONTROL!$C$32, $C$9, 100%, $E$9)</f>
        <v>9.7337000000000007</v>
      </c>
      <c r="O609" s="11">
        <f>9.7379 * CHOOSE(CONTROL!$C$32, $C$9, 100%, $E$9)</f>
        <v>9.7378999999999998</v>
      </c>
    </row>
    <row r="610" spans="1:15" ht="15" x14ac:dyDescent="0.2">
      <c r="A610" s="13">
        <v>59415</v>
      </c>
      <c r="B610" s="9">
        <f>8.7474 * CHOOSE(CONTROL!$C$32, $C$9, 100%, $E$9)</f>
        <v>8.7474000000000007</v>
      </c>
      <c r="C610" s="9">
        <f>8.7474 * CHOOSE(CONTROL!$C$32, $C$9, 100%, $E$9)</f>
        <v>8.7474000000000007</v>
      </c>
      <c r="D610" s="9">
        <f>8.7486 * CHOOSE(CONTROL!$C$32, $C$9, 100%, $E$9)</f>
        <v>8.7485999999999997</v>
      </c>
      <c r="E610" s="11">
        <f>9.707 * CHOOSE(CONTROL!$C$32, $C$9, 100%, $E$9)</f>
        <v>9.7070000000000007</v>
      </c>
      <c r="F610" s="11">
        <f>9.707 * CHOOSE(CONTROL!$C$32, $C$9, 100%, $E$9)</f>
        <v>9.7070000000000007</v>
      </c>
      <c r="G610" s="11">
        <f>9.7112 * CHOOSE(CONTROL!$C$32, $C$9, 100%, $E$9)</f>
        <v>9.7111999999999998</v>
      </c>
      <c r="H610" s="11">
        <f>19.9296 * CHOOSE(CONTROL!$C$32, $C$9, 100%, $E$9)</f>
        <v>19.929600000000001</v>
      </c>
      <c r="I610" s="11">
        <f>19.9338 * CHOOSE(CONTROL!$C$32, $C$9, 100%, $E$9)</f>
        <v>19.933800000000002</v>
      </c>
      <c r="J610" s="11">
        <f>19.9296 * CHOOSE(CONTROL!$C$32, $C$9, 100%, $E$9)</f>
        <v>19.929600000000001</v>
      </c>
      <c r="K610" s="11">
        <f>19.9338 * CHOOSE(CONTROL!$C$32, $C$9, 100%, $E$9)</f>
        <v>19.933800000000002</v>
      </c>
      <c r="L610" s="11">
        <f>9.707 * CHOOSE(CONTROL!$C$32, $C$9, 100%, $E$9)</f>
        <v>9.7070000000000007</v>
      </c>
      <c r="M610" s="11">
        <f>9.7112 * CHOOSE(CONTROL!$C$32, $C$9, 100%, $E$9)</f>
        <v>9.7111999999999998</v>
      </c>
      <c r="N610" s="11">
        <f>9.707 * CHOOSE(CONTROL!$C$32, $C$9, 100%, $E$9)</f>
        <v>9.7070000000000007</v>
      </c>
      <c r="O610" s="11">
        <f>9.7112 * CHOOSE(CONTROL!$C$32, $C$9, 100%, $E$9)</f>
        <v>9.7111999999999998</v>
      </c>
    </row>
    <row r="611" spans="1:15" ht="15" x14ac:dyDescent="0.2">
      <c r="A611" s="13">
        <v>59445</v>
      </c>
      <c r="B611" s="9">
        <f>8.7601 * CHOOSE(CONTROL!$C$32, $C$9, 100%, $E$9)</f>
        <v>8.7600999999999996</v>
      </c>
      <c r="C611" s="9">
        <f>8.7601 * CHOOSE(CONTROL!$C$32, $C$9, 100%, $E$9)</f>
        <v>8.7600999999999996</v>
      </c>
      <c r="D611" s="9">
        <f>8.7611 * CHOOSE(CONTROL!$C$32, $C$9, 100%, $E$9)</f>
        <v>8.7611000000000008</v>
      </c>
      <c r="E611" s="11">
        <f>9.7919 * CHOOSE(CONTROL!$C$32, $C$9, 100%, $E$9)</f>
        <v>9.7919</v>
      </c>
      <c r="F611" s="11">
        <f>9.7919 * CHOOSE(CONTROL!$C$32, $C$9, 100%, $E$9)</f>
        <v>9.7919</v>
      </c>
      <c r="G611" s="11">
        <f>9.7951 * CHOOSE(CONTROL!$C$32, $C$9, 100%, $E$9)</f>
        <v>9.7950999999999997</v>
      </c>
      <c r="H611" s="11">
        <f>19.9711 * CHOOSE(CONTROL!$C$32, $C$9, 100%, $E$9)</f>
        <v>19.9711</v>
      </c>
      <c r="I611" s="11">
        <f>19.9743 * CHOOSE(CONTROL!$C$32, $C$9, 100%, $E$9)</f>
        <v>19.974299999999999</v>
      </c>
      <c r="J611" s="11">
        <f>19.9711 * CHOOSE(CONTROL!$C$32, $C$9, 100%, $E$9)</f>
        <v>19.9711</v>
      </c>
      <c r="K611" s="11">
        <f>19.9743 * CHOOSE(CONTROL!$C$32, $C$9, 100%, $E$9)</f>
        <v>19.974299999999999</v>
      </c>
      <c r="L611" s="11">
        <f>9.7919 * CHOOSE(CONTROL!$C$32, $C$9, 100%, $E$9)</f>
        <v>9.7919</v>
      </c>
      <c r="M611" s="11">
        <f>9.7951 * CHOOSE(CONTROL!$C$32, $C$9, 100%, $E$9)</f>
        <v>9.7950999999999997</v>
      </c>
      <c r="N611" s="11">
        <f>9.7919 * CHOOSE(CONTROL!$C$32, $C$9, 100%, $E$9)</f>
        <v>9.7919</v>
      </c>
      <c r="O611" s="11">
        <f>9.7951 * CHOOSE(CONTROL!$C$32, $C$9, 100%, $E$9)</f>
        <v>9.7950999999999997</v>
      </c>
    </row>
    <row r="612" spans="1:15" ht="15" x14ac:dyDescent="0.2">
      <c r="A612" s="13">
        <v>59476</v>
      </c>
      <c r="B612" s="9">
        <f>8.7632 * CHOOSE(CONTROL!$C$32, $C$9, 100%, $E$9)</f>
        <v>8.7631999999999994</v>
      </c>
      <c r="C612" s="9">
        <f>8.7632 * CHOOSE(CONTROL!$C$32, $C$9, 100%, $E$9)</f>
        <v>8.7631999999999994</v>
      </c>
      <c r="D612" s="9">
        <f>8.7641 * CHOOSE(CONTROL!$C$32, $C$9, 100%, $E$9)</f>
        <v>8.7640999999999991</v>
      </c>
      <c r="E612" s="11">
        <f>9.8432 * CHOOSE(CONTROL!$C$32, $C$9, 100%, $E$9)</f>
        <v>9.8431999999999995</v>
      </c>
      <c r="F612" s="11">
        <f>9.8432 * CHOOSE(CONTROL!$C$32, $C$9, 100%, $E$9)</f>
        <v>9.8431999999999995</v>
      </c>
      <c r="G612" s="11">
        <f>9.8464 * CHOOSE(CONTROL!$C$32, $C$9, 100%, $E$9)</f>
        <v>9.8463999999999992</v>
      </c>
      <c r="H612" s="11">
        <f>20.0127 * CHOOSE(CONTROL!$C$32, $C$9, 100%, $E$9)</f>
        <v>20.012699999999999</v>
      </c>
      <c r="I612" s="11">
        <f>20.016 * CHOOSE(CONTROL!$C$32, $C$9, 100%, $E$9)</f>
        <v>20.015999999999998</v>
      </c>
      <c r="J612" s="11">
        <f>20.0127 * CHOOSE(CONTROL!$C$32, $C$9, 100%, $E$9)</f>
        <v>20.012699999999999</v>
      </c>
      <c r="K612" s="11">
        <f>20.016 * CHOOSE(CONTROL!$C$32, $C$9, 100%, $E$9)</f>
        <v>20.015999999999998</v>
      </c>
      <c r="L612" s="11">
        <f>9.8432 * CHOOSE(CONTROL!$C$32, $C$9, 100%, $E$9)</f>
        <v>9.8431999999999995</v>
      </c>
      <c r="M612" s="11">
        <f>9.8464 * CHOOSE(CONTROL!$C$32, $C$9, 100%, $E$9)</f>
        <v>9.8463999999999992</v>
      </c>
      <c r="N612" s="11">
        <f>9.8432 * CHOOSE(CONTROL!$C$32, $C$9, 100%, $E$9)</f>
        <v>9.8431999999999995</v>
      </c>
      <c r="O612" s="11">
        <f>9.8464 * CHOOSE(CONTROL!$C$32, $C$9, 100%, $E$9)</f>
        <v>9.8463999999999992</v>
      </c>
    </row>
    <row r="613" spans="1:15" ht="15" x14ac:dyDescent="0.2">
      <c r="A613" s="13">
        <v>59506</v>
      </c>
      <c r="B613" s="9">
        <f>8.7632 * CHOOSE(CONTROL!$C$32, $C$9, 100%, $E$9)</f>
        <v>8.7631999999999994</v>
      </c>
      <c r="C613" s="9">
        <f>8.7632 * CHOOSE(CONTROL!$C$32, $C$9, 100%, $E$9)</f>
        <v>8.7631999999999994</v>
      </c>
      <c r="D613" s="9">
        <f>8.7641 * CHOOSE(CONTROL!$C$32, $C$9, 100%, $E$9)</f>
        <v>8.7640999999999991</v>
      </c>
      <c r="E613" s="11">
        <f>9.7203 * CHOOSE(CONTROL!$C$32, $C$9, 100%, $E$9)</f>
        <v>9.7202999999999999</v>
      </c>
      <c r="F613" s="11">
        <f>9.7203 * CHOOSE(CONTROL!$C$32, $C$9, 100%, $E$9)</f>
        <v>9.7202999999999999</v>
      </c>
      <c r="G613" s="11">
        <f>9.7235 * CHOOSE(CONTROL!$C$32, $C$9, 100%, $E$9)</f>
        <v>9.7234999999999996</v>
      </c>
      <c r="H613" s="11">
        <f>20.0544 * CHOOSE(CONTROL!$C$32, $C$9, 100%, $E$9)</f>
        <v>20.054400000000001</v>
      </c>
      <c r="I613" s="11">
        <f>20.0576 * CHOOSE(CONTROL!$C$32, $C$9, 100%, $E$9)</f>
        <v>20.057600000000001</v>
      </c>
      <c r="J613" s="11">
        <f>20.0544 * CHOOSE(CONTROL!$C$32, $C$9, 100%, $E$9)</f>
        <v>20.054400000000001</v>
      </c>
      <c r="K613" s="11">
        <f>20.0576 * CHOOSE(CONTROL!$C$32, $C$9, 100%, $E$9)</f>
        <v>20.057600000000001</v>
      </c>
      <c r="L613" s="11">
        <f>9.7203 * CHOOSE(CONTROL!$C$32, $C$9, 100%, $E$9)</f>
        <v>9.7202999999999999</v>
      </c>
      <c r="M613" s="11">
        <f>9.7235 * CHOOSE(CONTROL!$C$32, $C$9, 100%, $E$9)</f>
        <v>9.7234999999999996</v>
      </c>
      <c r="N613" s="11">
        <f>9.7203 * CHOOSE(CONTROL!$C$32, $C$9, 100%, $E$9)</f>
        <v>9.7202999999999999</v>
      </c>
      <c r="O613" s="11">
        <f>9.7235 * CHOOSE(CONTROL!$C$32, $C$9, 100%, $E$9)</f>
        <v>9.7234999999999996</v>
      </c>
    </row>
    <row r="614" spans="1:15" ht="15" x14ac:dyDescent="0.2">
      <c r="A614" s="13">
        <v>59537</v>
      </c>
      <c r="B614" s="9">
        <f>8.8196 * CHOOSE(CONTROL!$C$32, $C$9, 100%, $E$9)</f>
        <v>8.8195999999999994</v>
      </c>
      <c r="C614" s="9">
        <f>8.8196 * CHOOSE(CONTROL!$C$32, $C$9, 100%, $E$9)</f>
        <v>8.8195999999999994</v>
      </c>
      <c r="D614" s="9">
        <f>8.8205 * CHOOSE(CONTROL!$C$32, $C$9, 100%, $E$9)</f>
        <v>8.8204999999999991</v>
      </c>
      <c r="E614" s="11">
        <f>9.883 * CHOOSE(CONTROL!$C$32, $C$9, 100%, $E$9)</f>
        <v>9.8829999999999991</v>
      </c>
      <c r="F614" s="11">
        <f>9.883 * CHOOSE(CONTROL!$C$32, $C$9, 100%, $E$9)</f>
        <v>9.8829999999999991</v>
      </c>
      <c r="G614" s="11">
        <f>9.8862 * CHOOSE(CONTROL!$C$32, $C$9, 100%, $E$9)</f>
        <v>9.8862000000000005</v>
      </c>
      <c r="H614" s="11">
        <f>20.0723 * CHOOSE(CONTROL!$C$32, $C$9, 100%, $E$9)</f>
        <v>20.072299999999998</v>
      </c>
      <c r="I614" s="11">
        <f>20.0756 * CHOOSE(CONTROL!$C$32, $C$9, 100%, $E$9)</f>
        <v>20.075600000000001</v>
      </c>
      <c r="J614" s="11">
        <f>20.0723 * CHOOSE(CONTROL!$C$32, $C$9, 100%, $E$9)</f>
        <v>20.072299999999998</v>
      </c>
      <c r="K614" s="11">
        <f>20.0756 * CHOOSE(CONTROL!$C$32, $C$9, 100%, $E$9)</f>
        <v>20.075600000000001</v>
      </c>
      <c r="L614" s="11">
        <f>9.883 * CHOOSE(CONTROL!$C$32, $C$9, 100%, $E$9)</f>
        <v>9.8829999999999991</v>
      </c>
      <c r="M614" s="11">
        <f>9.8862 * CHOOSE(CONTROL!$C$32, $C$9, 100%, $E$9)</f>
        <v>9.8862000000000005</v>
      </c>
      <c r="N614" s="11">
        <f>9.883 * CHOOSE(CONTROL!$C$32, $C$9, 100%, $E$9)</f>
        <v>9.8829999999999991</v>
      </c>
      <c r="O614" s="11">
        <f>9.8862 * CHOOSE(CONTROL!$C$32, $C$9, 100%, $E$9)</f>
        <v>9.8862000000000005</v>
      </c>
    </row>
    <row r="615" spans="1:15" ht="15" x14ac:dyDescent="0.2">
      <c r="A615" s="13">
        <v>59568</v>
      </c>
      <c r="B615" s="9">
        <f>8.8165 * CHOOSE(CONTROL!$C$32, $C$9, 100%, $E$9)</f>
        <v>8.8164999999999996</v>
      </c>
      <c r="C615" s="9">
        <f>8.8165 * CHOOSE(CONTROL!$C$32, $C$9, 100%, $E$9)</f>
        <v>8.8164999999999996</v>
      </c>
      <c r="D615" s="9">
        <f>8.8175 * CHOOSE(CONTROL!$C$32, $C$9, 100%, $E$9)</f>
        <v>8.8175000000000008</v>
      </c>
      <c r="E615" s="11">
        <f>9.6416 * CHOOSE(CONTROL!$C$32, $C$9, 100%, $E$9)</f>
        <v>9.6416000000000004</v>
      </c>
      <c r="F615" s="11">
        <f>9.6416 * CHOOSE(CONTROL!$C$32, $C$9, 100%, $E$9)</f>
        <v>9.6416000000000004</v>
      </c>
      <c r="G615" s="11">
        <f>9.6448 * CHOOSE(CONTROL!$C$32, $C$9, 100%, $E$9)</f>
        <v>9.6448</v>
      </c>
      <c r="H615" s="11">
        <f>20.1142 * CHOOSE(CONTROL!$C$32, $C$9, 100%, $E$9)</f>
        <v>20.1142</v>
      </c>
      <c r="I615" s="11">
        <f>20.1174 * CHOOSE(CONTROL!$C$32, $C$9, 100%, $E$9)</f>
        <v>20.1174</v>
      </c>
      <c r="J615" s="11">
        <f>20.1142 * CHOOSE(CONTROL!$C$32, $C$9, 100%, $E$9)</f>
        <v>20.1142</v>
      </c>
      <c r="K615" s="11">
        <f>20.1174 * CHOOSE(CONTROL!$C$32, $C$9, 100%, $E$9)</f>
        <v>20.1174</v>
      </c>
      <c r="L615" s="11">
        <f>9.6416 * CHOOSE(CONTROL!$C$32, $C$9, 100%, $E$9)</f>
        <v>9.6416000000000004</v>
      </c>
      <c r="M615" s="11">
        <f>9.6448 * CHOOSE(CONTROL!$C$32, $C$9, 100%, $E$9)</f>
        <v>9.6448</v>
      </c>
      <c r="N615" s="11">
        <f>9.6416 * CHOOSE(CONTROL!$C$32, $C$9, 100%, $E$9)</f>
        <v>9.6416000000000004</v>
      </c>
      <c r="O615" s="11">
        <f>9.6448 * CHOOSE(CONTROL!$C$32, $C$9, 100%, $E$9)</f>
        <v>9.6448</v>
      </c>
    </row>
    <row r="616" spans="1:15" ht="15" x14ac:dyDescent="0.2">
      <c r="A616" s="13">
        <v>59596</v>
      </c>
      <c r="B616" s="9">
        <f>8.8135 * CHOOSE(CONTROL!$C$32, $C$9, 100%, $E$9)</f>
        <v>8.8134999999999994</v>
      </c>
      <c r="C616" s="9">
        <f>8.8135 * CHOOSE(CONTROL!$C$32, $C$9, 100%, $E$9)</f>
        <v>8.8134999999999994</v>
      </c>
      <c r="D616" s="9">
        <f>8.8144 * CHOOSE(CONTROL!$C$32, $C$9, 100%, $E$9)</f>
        <v>8.8143999999999991</v>
      </c>
      <c r="E616" s="11">
        <f>9.8281 * CHOOSE(CONTROL!$C$32, $C$9, 100%, $E$9)</f>
        <v>9.8280999999999992</v>
      </c>
      <c r="F616" s="11">
        <f>9.8281 * CHOOSE(CONTROL!$C$32, $C$9, 100%, $E$9)</f>
        <v>9.8280999999999992</v>
      </c>
      <c r="G616" s="11">
        <f>9.8313 * CHOOSE(CONTROL!$C$32, $C$9, 100%, $E$9)</f>
        <v>9.8313000000000006</v>
      </c>
      <c r="H616" s="11">
        <f>20.1561 * CHOOSE(CONTROL!$C$32, $C$9, 100%, $E$9)</f>
        <v>20.156099999999999</v>
      </c>
      <c r="I616" s="11">
        <f>20.1593 * CHOOSE(CONTROL!$C$32, $C$9, 100%, $E$9)</f>
        <v>20.159300000000002</v>
      </c>
      <c r="J616" s="11">
        <f>20.1561 * CHOOSE(CONTROL!$C$32, $C$9, 100%, $E$9)</f>
        <v>20.156099999999999</v>
      </c>
      <c r="K616" s="11">
        <f>20.1593 * CHOOSE(CONTROL!$C$32, $C$9, 100%, $E$9)</f>
        <v>20.159300000000002</v>
      </c>
      <c r="L616" s="11">
        <f>9.8281 * CHOOSE(CONTROL!$C$32, $C$9, 100%, $E$9)</f>
        <v>9.8280999999999992</v>
      </c>
      <c r="M616" s="11">
        <f>9.8313 * CHOOSE(CONTROL!$C$32, $C$9, 100%, $E$9)</f>
        <v>9.8313000000000006</v>
      </c>
      <c r="N616" s="11">
        <f>9.8281 * CHOOSE(CONTROL!$C$32, $C$9, 100%, $E$9)</f>
        <v>9.8280999999999992</v>
      </c>
      <c r="O616" s="11">
        <f>9.8313 * CHOOSE(CONTROL!$C$32, $C$9, 100%, $E$9)</f>
        <v>9.8313000000000006</v>
      </c>
    </row>
    <row r="617" spans="1:15" ht="15" x14ac:dyDescent="0.2">
      <c r="A617" s="13">
        <v>59627</v>
      </c>
      <c r="B617" s="9">
        <f>8.8158 * CHOOSE(CONTROL!$C$32, $C$9, 100%, $E$9)</f>
        <v>8.8157999999999994</v>
      </c>
      <c r="C617" s="9">
        <f>8.8158 * CHOOSE(CONTROL!$C$32, $C$9, 100%, $E$9)</f>
        <v>8.8157999999999994</v>
      </c>
      <c r="D617" s="9">
        <f>8.8168 * CHOOSE(CONTROL!$C$32, $C$9, 100%, $E$9)</f>
        <v>8.8168000000000006</v>
      </c>
      <c r="E617" s="11">
        <f>10.0265 * CHOOSE(CONTROL!$C$32, $C$9, 100%, $E$9)</f>
        <v>10.0265</v>
      </c>
      <c r="F617" s="11">
        <f>10.0265 * CHOOSE(CONTROL!$C$32, $C$9, 100%, $E$9)</f>
        <v>10.0265</v>
      </c>
      <c r="G617" s="11">
        <f>10.0297 * CHOOSE(CONTROL!$C$32, $C$9, 100%, $E$9)</f>
        <v>10.0297</v>
      </c>
      <c r="H617" s="11">
        <f>20.1981 * CHOOSE(CONTROL!$C$32, $C$9, 100%, $E$9)</f>
        <v>20.1981</v>
      </c>
      <c r="I617" s="11">
        <f>20.2013 * CHOOSE(CONTROL!$C$32, $C$9, 100%, $E$9)</f>
        <v>20.2013</v>
      </c>
      <c r="J617" s="11">
        <f>20.1981 * CHOOSE(CONTROL!$C$32, $C$9, 100%, $E$9)</f>
        <v>20.1981</v>
      </c>
      <c r="K617" s="11">
        <f>20.2013 * CHOOSE(CONTROL!$C$32, $C$9, 100%, $E$9)</f>
        <v>20.2013</v>
      </c>
      <c r="L617" s="11">
        <f>10.0265 * CHOOSE(CONTROL!$C$32, $C$9, 100%, $E$9)</f>
        <v>10.0265</v>
      </c>
      <c r="M617" s="11">
        <f>10.0297 * CHOOSE(CONTROL!$C$32, $C$9, 100%, $E$9)</f>
        <v>10.0297</v>
      </c>
      <c r="N617" s="11">
        <f>10.0265 * CHOOSE(CONTROL!$C$32, $C$9, 100%, $E$9)</f>
        <v>10.0265</v>
      </c>
      <c r="O617" s="11">
        <f>10.0297 * CHOOSE(CONTROL!$C$32, $C$9, 100%, $E$9)</f>
        <v>10.0297</v>
      </c>
    </row>
    <row r="618" spans="1:15" ht="15" x14ac:dyDescent="0.2">
      <c r="A618" s="13">
        <v>59657</v>
      </c>
      <c r="B618" s="9">
        <f>8.8158 * CHOOSE(CONTROL!$C$32, $C$9, 100%, $E$9)</f>
        <v>8.8157999999999994</v>
      </c>
      <c r="C618" s="9">
        <f>8.8158 * CHOOSE(CONTROL!$C$32, $C$9, 100%, $E$9)</f>
        <v>8.8157999999999994</v>
      </c>
      <c r="D618" s="9">
        <f>8.817 * CHOOSE(CONTROL!$C$32, $C$9, 100%, $E$9)</f>
        <v>8.8170000000000002</v>
      </c>
      <c r="E618" s="11">
        <f>10.1024 * CHOOSE(CONTROL!$C$32, $C$9, 100%, $E$9)</f>
        <v>10.102399999999999</v>
      </c>
      <c r="F618" s="11">
        <f>10.1024 * CHOOSE(CONTROL!$C$32, $C$9, 100%, $E$9)</f>
        <v>10.102399999999999</v>
      </c>
      <c r="G618" s="11">
        <f>10.1066 * CHOOSE(CONTROL!$C$32, $C$9, 100%, $E$9)</f>
        <v>10.1066</v>
      </c>
      <c r="H618" s="11">
        <f>20.2401 * CHOOSE(CONTROL!$C$32, $C$9, 100%, $E$9)</f>
        <v>20.240100000000002</v>
      </c>
      <c r="I618" s="11">
        <f>20.2443 * CHOOSE(CONTROL!$C$32, $C$9, 100%, $E$9)</f>
        <v>20.244299999999999</v>
      </c>
      <c r="J618" s="11">
        <f>20.2401 * CHOOSE(CONTROL!$C$32, $C$9, 100%, $E$9)</f>
        <v>20.240100000000002</v>
      </c>
      <c r="K618" s="11">
        <f>20.2443 * CHOOSE(CONTROL!$C$32, $C$9, 100%, $E$9)</f>
        <v>20.244299999999999</v>
      </c>
      <c r="L618" s="11">
        <f>10.1024 * CHOOSE(CONTROL!$C$32, $C$9, 100%, $E$9)</f>
        <v>10.102399999999999</v>
      </c>
      <c r="M618" s="11">
        <f>10.1066 * CHOOSE(CONTROL!$C$32, $C$9, 100%, $E$9)</f>
        <v>10.1066</v>
      </c>
      <c r="N618" s="11">
        <f>10.1024 * CHOOSE(CONTROL!$C$32, $C$9, 100%, $E$9)</f>
        <v>10.102399999999999</v>
      </c>
      <c r="O618" s="11">
        <f>10.1066 * CHOOSE(CONTROL!$C$32, $C$9, 100%, $E$9)</f>
        <v>10.1066</v>
      </c>
    </row>
    <row r="619" spans="1:15" ht="15" x14ac:dyDescent="0.2">
      <c r="A619" s="13">
        <v>59688</v>
      </c>
      <c r="B619" s="9">
        <f>8.8219 * CHOOSE(CONTROL!$C$32, $C$9, 100%, $E$9)</f>
        <v>8.8218999999999994</v>
      </c>
      <c r="C619" s="9">
        <f>8.8219 * CHOOSE(CONTROL!$C$32, $C$9, 100%, $E$9)</f>
        <v>8.8218999999999994</v>
      </c>
      <c r="D619" s="9">
        <f>8.8231 * CHOOSE(CONTROL!$C$32, $C$9, 100%, $E$9)</f>
        <v>8.8231000000000002</v>
      </c>
      <c r="E619" s="11">
        <f>10.0307 * CHOOSE(CONTROL!$C$32, $C$9, 100%, $E$9)</f>
        <v>10.0307</v>
      </c>
      <c r="F619" s="11">
        <f>10.0307 * CHOOSE(CONTROL!$C$32, $C$9, 100%, $E$9)</f>
        <v>10.0307</v>
      </c>
      <c r="G619" s="11">
        <f>10.0349 * CHOOSE(CONTROL!$C$32, $C$9, 100%, $E$9)</f>
        <v>10.0349</v>
      </c>
      <c r="H619" s="11">
        <f>20.2823 * CHOOSE(CONTROL!$C$32, $C$9, 100%, $E$9)</f>
        <v>20.282299999999999</v>
      </c>
      <c r="I619" s="11">
        <f>20.2865 * CHOOSE(CONTROL!$C$32, $C$9, 100%, $E$9)</f>
        <v>20.2865</v>
      </c>
      <c r="J619" s="11">
        <f>20.2823 * CHOOSE(CONTROL!$C$32, $C$9, 100%, $E$9)</f>
        <v>20.282299999999999</v>
      </c>
      <c r="K619" s="11">
        <f>20.2865 * CHOOSE(CONTROL!$C$32, $C$9, 100%, $E$9)</f>
        <v>20.2865</v>
      </c>
      <c r="L619" s="11">
        <f>10.0307 * CHOOSE(CONTROL!$C$32, $C$9, 100%, $E$9)</f>
        <v>10.0307</v>
      </c>
      <c r="M619" s="11">
        <f>10.0349 * CHOOSE(CONTROL!$C$32, $C$9, 100%, $E$9)</f>
        <v>10.0349</v>
      </c>
      <c r="N619" s="11">
        <f>10.0307 * CHOOSE(CONTROL!$C$32, $C$9, 100%, $E$9)</f>
        <v>10.0307</v>
      </c>
      <c r="O619" s="11">
        <f>10.0349 * CHOOSE(CONTROL!$C$32, $C$9, 100%, $E$9)</f>
        <v>10.0349</v>
      </c>
    </row>
    <row r="620" spans="1:15" ht="15" x14ac:dyDescent="0.2">
      <c r="A620" s="13">
        <v>59718</v>
      </c>
      <c r="B620" s="9">
        <f>8.9333 * CHOOSE(CONTROL!$C$32, $C$9, 100%, $E$9)</f>
        <v>8.9332999999999991</v>
      </c>
      <c r="C620" s="9">
        <f>8.9333 * CHOOSE(CONTROL!$C$32, $C$9, 100%, $E$9)</f>
        <v>8.9332999999999991</v>
      </c>
      <c r="D620" s="9">
        <f>8.9346 * CHOOSE(CONTROL!$C$32, $C$9, 100%, $E$9)</f>
        <v>8.9345999999999997</v>
      </c>
      <c r="E620" s="11">
        <f>10.1704 * CHOOSE(CONTROL!$C$32, $C$9, 100%, $E$9)</f>
        <v>10.170400000000001</v>
      </c>
      <c r="F620" s="11">
        <f>10.1704 * CHOOSE(CONTROL!$C$32, $C$9, 100%, $E$9)</f>
        <v>10.170400000000001</v>
      </c>
      <c r="G620" s="11">
        <f>10.1746 * CHOOSE(CONTROL!$C$32, $C$9, 100%, $E$9)</f>
        <v>10.1746</v>
      </c>
      <c r="H620" s="11">
        <f>20.3246 * CHOOSE(CONTROL!$C$32, $C$9, 100%, $E$9)</f>
        <v>20.3246</v>
      </c>
      <c r="I620" s="11">
        <f>20.3288 * CHOOSE(CONTROL!$C$32, $C$9, 100%, $E$9)</f>
        <v>20.328800000000001</v>
      </c>
      <c r="J620" s="11">
        <f>20.3246 * CHOOSE(CONTROL!$C$32, $C$9, 100%, $E$9)</f>
        <v>20.3246</v>
      </c>
      <c r="K620" s="11">
        <f>20.3288 * CHOOSE(CONTROL!$C$32, $C$9, 100%, $E$9)</f>
        <v>20.328800000000001</v>
      </c>
      <c r="L620" s="11">
        <f>10.1704 * CHOOSE(CONTROL!$C$32, $C$9, 100%, $E$9)</f>
        <v>10.170400000000001</v>
      </c>
      <c r="M620" s="11">
        <f>10.1746 * CHOOSE(CONTROL!$C$32, $C$9, 100%, $E$9)</f>
        <v>10.1746</v>
      </c>
      <c r="N620" s="11">
        <f>10.1704 * CHOOSE(CONTROL!$C$32, $C$9, 100%, $E$9)</f>
        <v>10.170400000000001</v>
      </c>
      <c r="O620" s="11">
        <f>10.1746 * CHOOSE(CONTROL!$C$32, $C$9, 100%, $E$9)</f>
        <v>10.1746</v>
      </c>
    </row>
    <row r="621" spans="1:15" ht="15" x14ac:dyDescent="0.2">
      <c r="A621" s="13">
        <v>59749</v>
      </c>
      <c r="B621" s="9">
        <f>8.94 * CHOOSE(CONTROL!$C$32, $C$9, 100%, $E$9)</f>
        <v>8.94</v>
      </c>
      <c r="C621" s="9">
        <f>8.94 * CHOOSE(CONTROL!$C$32, $C$9, 100%, $E$9)</f>
        <v>8.94</v>
      </c>
      <c r="D621" s="9">
        <f>8.9413 * CHOOSE(CONTROL!$C$32, $C$9, 100%, $E$9)</f>
        <v>8.9413</v>
      </c>
      <c r="E621" s="11">
        <f>9.9471 * CHOOSE(CONTROL!$C$32, $C$9, 100%, $E$9)</f>
        <v>9.9471000000000007</v>
      </c>
      <c r="F621" s="11">
        <f>9.9471 * CHOOSE(CONTROL!$C$32, $C$9, 100%, $E$9)</f>
        <v>9.9471000000000007</v>
      </c>
      <c r="G621" s="11">
        <f>9.9513 * CHOOSE(CONTROL!$C$32, $C$9, 100%, $E$9)</f>
        <v>9.9512999999999998</v>
      </c>
      <c r="H621" s="11">
        <f>20.3669 * CHOOSE(CONTROL!$C$32, $C$9, 100%, $E$9)</f>
        <v>20.366900000000001</v>
      </c>
      <c r="I621" s="11">
        <f>20.3711 * CHOOSE(CONTROL!$C$32, $C$9, 100%, $E$9)</f>
        <v>20.371099999999998</v>
      </c>
      <c r="J621" s="11">
        <f>20.3669 * CHOOSE(CONTROL!$C$32, $C$9, 100%, $E$9)</f>
        <v>20.366900000000001</v>
      </c>
      <c r="K621" s="11">
        <f>20.3711 * CHOOSE(CONTROL!$C$32, $C$9, 100%, $E$9)</f>
        <v>20.371099999999998</v>
      </c>
      <c r="L621" s="11">
        <f>9.9471 * CHOOSE(CONTROL!$C$32, $C$9, 100%, $E$9)</f>
        <v>9.9471000000000007</v>
      </c>
      <c r="M621" s="11">
        <f>9.9513 * CHOOSE(CONTROL!$C$32, $C$9, 100%, $E$9)</f>
        <v>9.9512999999999998</v>
      </c>
      <c r="N621" s="11">
        <f>9.9471 * CHOOSE(CONTROL!$C$32, $C$9, 100%, $E$9)</f>
        <v>9.9471000000000007</v>
      </c>
      <c r="O621" s="11">
        <f>9.9513 * CHOOSE(CONTROL!$C$32, $C$9, 100%, $E$9)</f>
        <v>9.9512999999999998</v>
      </c>
    </row>
    <row r="622" spans="1:15" ht="15" x14ac:dyDescent="0.2">
      <c r="A622" s="13">
        <v>59780</v>
      </c>
      <c r="B622" s="9">
        <f>8.937 * CHOOSE(CONTROL!$C$32, $C$9, 100%, $E$9)</f>
        <v>8.9369999999999994</v>
      </c>
      <c r="C622" s="9">
        <f>8.937 * CHOOSE(CONTROL!$C$32, $C$9, 100%, $E$9)</f>
        <v>8.9369999999999994</v>
      </c>
      <c r="D622" s="9">
        <f>8.9382 * CHOOSE(CONTROL!$C$32, $C$9, 100%, $E$9)</f>
        <v>8.9382000000000001</v>
      </c>
      <c r="E622" s="11">
        <f>9.9197 * CHOOSE(CONTROL!$C$32, $C$9, 100%, $E$9)</f>
        <v>9.9197000000000006</v>
      </c>
      <c r="F622" s="11">
        <f>9.9197 * CHOOSE(CONTROL!$C$32, $C$9, 100%, $E$9)</f>
        <v>9.9197000000000006</v>
      </c>
      <c r="G622" s="11">
        <f>9.9239 * CHOOSE(CONTROL!$C$32, $C$9, 100%, $E$9)</f>
        <v>9.9238999999999997</v>
      </c>
      <c r="H622" s="11">
        <f>20.4093 * CHOOSE(CONTROL!$C$32, $C$9, 100%, $E$9)</f>
        <v>20.409300000000002</v>
      </c>
      <c r="I622" s="11">
        <f>20.4135 * CHOOSE(CONTROL!$C$32, $C$9, 100%, $E$9)</f>
        <v>20.413499999999999</v>
      </c>
      <c r="J622" s="11">
        <f>20.4093 * CHOOSE(CONTROL!$C$32, $C$9, 100%, $E$9)</f>
        <v>20.409300000000002</v>
      </c>
      <c r="K622" s="11">
        <f>20.4135 * CHOOSE(CONTROL!$C$32, $C$9, 100%, $E$9)</f>
        <v>20.413499999999999</v>
      </c>
      <c r="L622" s="11">
        <f>9.9197 * CHOOSE(CONTROL!$C$32, $C$9, 100%, $E$9)</f>
        <v>9.9197000000000006</v>
      </c>
      <c r="M622" s="11">
        <f>9.9239 * CHOOSE(CONTROL!$C$32, $C$9, 100%, $E$9)</f>
        <v>9.9238999999999997</v>
      </c>
      <c r="N622" s="11">
        <f>9.9197 * CHOOSE(CONTROL!$C$32, $C$9, 100%, $E$9)</f>
        <v>9.9197000000000006</v>
      </c>
      <c r="O622" s="11">
        <f>9.9239 * CHOOSE(CONTROL!$C$32, $C$9, 100%, $E$9)</f>
        <v>9.9238999999999997</v>
      </c>
    </row>
    <row r="623" spans="1:15" ht="15" x14ac:dyDescent="0.2">
      <c r="A623" s="13">
        <v>59810</v>
      </c>
      <c r="B623" s="9">
        <f>8.9505 * CHOOSE(CONTROL!$C$32, $C$9, 100%, $E$9)</f>
        <v>8.9504999999999999</v>
      </c>
      <c r="C623" s="9">
        <f>8.9505 * CHOOSE(CONTROL!$C$32, $C$9, 100%, $E$9)</f>
        <v>8.9504999999999999</v>
      </c>
      <c r="D623" s="9">
        <f>8.9514 * CHOOSE(CONTROL!$C$32, $C$9, 100%, $E$9)</f>
        <v>8.9513999999999996</v>
      </c>
      <c r="E623" s="11">
        <f>10.0076 * CHOOSE(CONTROL!$C$32, $C$9, 100%, $E$9)</f>
        <v>10.0076</v>
      </c>
      <c r="F623" s="11">
        <f>10.0076 * CHOOSE(CONTROL!$C$32, $C$9, 100%, $E$9)</f>
        <v>10.0076</v>
      </c>
      <c r="G623" s="11">
        <f>10.0108 * CHOOSE(CONTROL!$C$32, $C$9, 100%, $E$9)</f>
        <v>10.0108</v>
      </c>
      <c r="H623" s="11">
        <f>20.4518 * CHOOSE(CONTROL!$C$32, $C$9, 100%, $E$9)</f>
        <v>20.451799999999999</v>
      </c>
      <c r="I623" s="11">
        <f>20.4551 * CHOOSE(CONTROL!$C$32, $C$9, 100%, $E$9)</f>
        <v>20.455100000000002</v>
      </c>
      <c r="J623" s="11">
        <f>20.4518 * CHOOSE(CONTROL!$C$32, $C$9, 100%, $E$9)</f>
        <v>20.451799999999999</v>
      </c>
      <c r="K623" s="11">
        <f>20.4551 * CHOOSE(CONTROL!$C$32, $C$9, 100%, $E$9)</f>
        <v>20.455100000000002</v>
      </c>
      <c r="L623" s="11">
        <f>10.0076 * CHOOSE(CONTROL!$C$32, $C$9, 100%, $E$9)</f>
        <v>10.0076</v>
      </c>
      <c r="M623" s="11">
        <f>10.0108 * CHOOSE(CONTROL!$C$32, $C$9, 100%, $E$9)</f>
        <v>10.0108</v>
      </c>
      <c r="N623" s="11">
        <f>10.0076 * CHOOSE(CONTROL!$C$32, $C$9, 100%, $E$9)</f>
        <v>10.0076</v>
      </c>
      <c r="O623" s="11">
        <f>10.0108 * CHOOSE(CONTROL!$C$32, $C$9, 100%, $E$9)</f>
        <v>10.0108</v>
      </c>
    </row>
    <row r="624" spans="1:15" ht="15" x14ac:dyDescent="0.2">
      <c r="A624" s="13">
        <v>59841</v>
      </c>
      <c r="B624" s="9">
        <f>8.9535 * CHOOSE(CONTROL!$C$32, $C$9, 100%, $E$9)</f>
        <v>8.9535</v>
      </c>
      <c r="C624" s="9">
        <f>8.9535 * CHOOSE(CONTROL!$C$32, $C$9, 100%, $E$9)</f>
        <v>8.9535</v>
      </c>
      <c r="D624" s="9">
        <f>8.9544 * CHOOSE(CONTROL!$C$32, $C$9, 100%, $E$9)</f>
        <v>8.9543999999999997</v>
      </c>
      <c r="E624" s="11">
        <f>10.0603 * CHOOSE(CONTROL!$C$32, $C$9, 100%, $E$9)</f>
        <v>10.0603</v>
      </c>
      <c r="F624" s="11">
        <f>10.0603 * CHOOSE(CONTROL!$C$32, $C$9, 100%, $E$9)</f>
        <v>10.0603</v>
      </c>
      <c r="G624" s="11">
        <f>10.0636 * CHOOSE(CONTROL!$C$32, $C$9, 100%, $E$9)</f>
        <v>10.063599999999999</v>
      </c>
      <c r="H624" s="11">
        <f>20.4945 * CHOOSE(CONTROL!$C$32, $C$9, 100%, $E$9)</f>
        <v>20.494499999999999</v>
      </c>
      <c r="I624" s="11">
        <f>20.4977 * CHOOSE(CONTROL!$C$32, $C$9, 100%, $E$9)</f>
        <v>20.497699999999998</v>
      </c>
      <c r="J624" s="11">
        <f>20.4945 * CHOOSE(CONTROL!$C$32, $C$9, 100%, $E$9)</f>
        <v>20.494499999999999</v>
      </c>
      <c r="K624" s="11">
        <f>20.4977 * CHOOSE(CONTROL!$C$32, $C$9, 100%, $E$9)</f>
        <v>20.497699999999998</v>
      </c>
      <c r="L624" s="11">
        <f>10.0603 * CHOOSE(CONTROL!$C$32, $C$9, 100%, $E$9)</f>
        <v>10.0603</v>
      </c>
      <c r="M624" s="11">
        <f>10.0636 * CHOOSE(CONTROL!$C$32, $C$9, 100%, $E$9)</f>
        <v>10.063599999999999</v>
      </c>
      <c r="N624" s="11">
        <f>10.0603 * CHOOSE(CONTROL!$C$32, $C$9, 100%, $E$9)</f>
        <v>10.0603</v>
      </c>
      <c r="O624" s="11">
        <f>10.0636 * CHOOSE(CONTROL!$C$32, $C$9, 100%, $E$9)</f>
        <v>10.063599999999999</v>
      </c>
    </row>
    <row r="625" spans="1:15" ht="15" x14ac:dyDescent="0.2">
      <c r="A625" s="13">
        <v>59871</v>
      </c>
      <c r="B625" s="9">
        <f>8.9535 * CHOOSE(CONTROL!$C$32, $C$9, 100%, $E$9)</f>
        <v>8.9535</v>
      </c>
      <c r="C625" s="9">
        <f>8.9535 * CHOOSE(CONTROL!$C$32, $C$9, 100%, $E$9)</f>
        <v>8.9535</v>
      </c>
      <c r="D625" s="9">
        <f>8.9544 * CHOOSE(CONTROL!$C$32, $C$9, 100%, $E$9)</f>
        <v>8.9543999999999997</v>
      </c>
      <c r="E625" s="11">
        <f>9.9337 * CHOOSE(CONTROL!$C$32, $C$9, 100%, $E$9)</f>
        <v>9.9337</v>
      </c>
      <c r="F625" s="11">
        <f>9.9337 * CHOOSE(CONTROL!$C$32, $C$9, 100%, $E$9)</f>
        <v>9.9337</v>
      </c>
      <c r="G625" s="11">
        <f>9.9369 * CHOOSE(CONTROL!$C$32, $C$9, 100%, $E$9)</f>
        <v>9.9368999999999996</v>
      </c>
      <c r="H625" s="11">
        <f>20.5372 * CHOOSE(CONTROL!$C$32, $C$9, 100%, $E$9)</f>
        <v>20.537199999999999</v>
      </c>
      <c r="I625" s="11">
        <f>20.5404 * CHOOSE(CONTROL!$C$32, $C$9, 100%, $E$9)</f>
        <v>20.540400000000002</v>
      </c>
      <c r="J625" s="11">
        <f>20.5372 * CHOOSE(CONTROL!$C$32, $C$9, 100%, $E$9)</f>
        <v>20.537199999999999</v>
      </c>
      <c r="K625" s="11">
        <f>20.5404 * CHOOSE(CONTROL!$C$32, $C$9, 100%, $E$9)</f>
        <v>20.540400000000002</v>
      </c>
      <c r="L625" s="11">
        <f>9.9337 * CHOOSE(CONTROL!$C$32, $C$9, 100%, $E$9)</f>
        <v>9.9337</v>
      </c>
      <c r="M625" s="11">
        <f>9.9369 * CHOOSE(CONTROL!$C$32, $C$9, 100%, $E$9)</f>
        <v>9.9368999999999996</v>
      </c>
      <c r="N625" s="11">
        <f>9.9337 * CHOOSE(CONTROL!$C$32, $C$9, 100%, $E$9)</f>
        <v>9.9337</v>
      </c>
      <c r="O625" s="11">
        <f>9.9369 * CHOOSE(CONTROL!$C$32, $C$9, 100%, $E$9)</f>
        <v>9.9368999999999996</v>
      </c>
    </row>
    <row r="626" spans="1:15" ht="15" x14ac:dyDescent="0.2">
      <c r="A626" s="13">
        <v>59902</v>
      </c>
      <c r="B626" s="9">
        <f>9.0069 * CHOOSE(CONTROL!$C$32, $C$9, 100%, $E$9)</f>
        <v>9.0068999999999999</v>
      </c>
      <c r="C626" s="9">
        <f>9.0069 * CHOOSE(CONTROL!$C$32, $C$9, 100%, $E$9)</f>
        <v>9.0068999999999999</v>
      </c>
      <c r="D626" s="9">
        <f>9.0079 * CHOOSE(CONTROL!$C$32, $C$9, 100%, $E$9)</f>
        <v>9.0078999999999994</v>
      </c>
      <c r="E626" s="11">
        <f>10.0955 * CHOOSE(CONTROL!$C$32, $C$9, 100%, $E$9)</f>
        <v>10.095499999999999</v>
      </c>
      <c r="F626" s="11">
        <f>10.0955 * CHOOSE(CONTROL!$C$32, $C$9, 100%, $E$9)</f>
        <v>10.095499999999999</v>
      </c>
      <c r="G626" s="11">
        <f>10.0987 * CHOOSE(CONTROL!$C$32, $C$9, 100%, $E$9)</f>
        <v>10.098699999999999</v>
      </c>
      <c r="H626" s="11">
        <f>20.5441 * CHOOSE(CONTROL!$C$32, $C$9, 100%, $E$9)</f>
        <v>20.5441</v>
      </c>
      <c r="I626" s="11">
        <f>20.5474 * CHOOSE(CONTROL!$C$32, $C$9, 100%, $E$9)</f>
        <v>20.5474</v>
      </c>
      <c r="J626" s="11">
        <f>20.5441 * CHOOSE(CONTROL!$C$32, $C$9, 100%, $E$9)</f>
        <v>20.5441</v>
      </c>
      <c r="K626" s="11">
        <f>20.5474 * CHOOSE(CONTROL!$C$32, $C$9, 100%, $E$9)</f>
        <v>20.5474</v>
      </c>
      <c r="L626" s="11">
        <f>10.0955 * CHOOSE(CONTROL!$C$32, $C$9, 100%, $E$9)</f>
        <v>10.095499999999999</v>
      </c>
      <c r="M626" s="11">
        <f>10.0987 * CHOOSE(CONTROL!$C$32, $C$9, 100%, $E$9)</f>
        <v>10.098699999999999</v>
      </c>
      <c r="N626" s="11">
        <f>10.0955 * CHOOSE(CONTROL!$C$32, $C$9, 100%, $E$9)</f>
        <v>10.095499999999999</v>
      </c>
      <c r="O626" s="11">
        <f>10.0987 * CHOOSE(CONTROL!$C$32, $C$9, 100%, $E$9)</f>
        <v>10.098699999999999</v>
      </c>
    </row>
    <row r="627" spans="1:15" ht="15" x14ac:dyDescent="0.2">
      <c r="A627" s="13">
        <v>59933</v>
      </c>
      <c r="B627" s="9">
        <f>9.0039 * CHOOSE(CONTROL!$C$32, $C$9, 100%, $E$9)</f>
        <v>9.0038999999999998</v>
      </c>
      <c r="C627" s="9">
        <f>9.0039 * CHOOSE(CONTROL!$C$32, $C$9, 100%, $E$9)</f>
        <v>9.0038999999999998</v>
      </c>
      <c r="D627" s="9">
        <f>9.0048 * CHOOSE(CONTROL!$C$32, $C$9, 100%, $E$9)</f>
        <v>9.0047999999999995</v>
      </c>
      <c r="E627" s="11">
        <f>9.847 * CHOOSE(CONTROL!$C$32, $C$9, 100%, $E$9)</f>
        <v>9.8469999999999995</v>
      </c>
      <c r="F627" s="11">
        <f>9.847 * CHOOSE(CONTROL!$C$32, $C$9, 100%, $E$9)</f>
        <v>9.8469999999999995</v>
      </c>
      <c r="G627" s="11">
        <f>9.8502 * CHOOSE(CONTROL!$C$32, $C$9, 100%, $E$9)</f>
        <v>9.8501999999999992</v>
      </c>
      <c r="H627" s="11">
        <f>20.5869 * CHOOSE(CONTROL!$C$32, $C$9, 100%, $E$9)</f>
        <v>20.5869</v>
      </c>
      <c r="I627" s="11">
        <f>20.5902 * CHOOSE(CONTROL!$C$32, $C$9, 100%, $E$9)</f>
        <v>20.590199999999999</v>
      </c>
      <c r="J627" s="11">
        <f>20.5869 * CHOOSE(CONTROL!$C$32, $C$9, 100%, $E$9)</f>
        <v>20.5869</v>
      </c>
      <c r="K627" s="11">
        <f>20.5902 * CHOOSE(CONTROL!$C$32, $C$9, 100%, $E$9)</f>
        <v>20.590199999999999</v>
      </c>
      <c r="L627" s="11">
        <f>9.847 * CHOOSE(CONTROL!$C$32, $C$9, 100%, $E$9)</f>
        <v>9.8469999999999995</v>
      </c>
      <c r="M627" s="11">
        <f>9.8502 * CHOOSE(CONTROL!$C$32, $C$9, 100%, $E$9)</f>
        <v>9.8501999999999992</v>
      </c>
      <c r="N627" s="11">
        <f>9.847 * CHOOSE(CONTROL!$C$32, $C$9, 100%, $E$9)</f>
        <v>9.8469999999999995</v>
      </c>
      <c r="O627" s="11">
        <f>9.8502 * CHOOSE(CONTROL!$C$32, $C$9, 100%, $E$9)</f>
        <v>9.8501999999999992</v>
      </c>
    </row>
    <row r="628" spans="1:15" ht="15" x14ac:dyDescent="0.2">
      <c r="A628" s="13">
        <v>59962</v>
      </c>
      <c r="B628" s="9">
        <f>9.0008 * CHOOSE(CONTROL!$C$32, $C$9, 100%, $E$9)</f>
        <v>9.0007999999999999</v>
      </c>
      <c r="C628" s="9">
        <f>9.0008 * CHOOSE(CONTROL!$C$32, $C$9, 100%, $E$9)</f>
        <v>9.0007999999999999</v>
      </c>
      <c r="D628" s="9">
        <f>9.0018 * CHOOSE(CONTROL!$C$32, $C$9, 100%, $E$9)</f>
        <v>9.0017999999999994</v>
      </c>
      <c r="E628" s="11">
        <f>10.0391 * CHOOSE(CONTROL!$C$32, $C$9, 100%, $E$9)</f>
        <v>10.039099999999999</v>
      </c>
      <c r="F628" s="11">
        <f>10.0391 * CHOOSE(CONTROL!$C$32, $C$9, 100%, $E$9)</f>
        <v>10.039099999999999</v>
      </c>
      <c r="G628" s="11">
        <f>10.0423 * CHOOSE(CONTROL!$C$32, $C$9, 100%, $E$9)</f>
        <v>10.042299999999999</v>
      </c>
      <c r="H628" s="11">
        <f>20.6298 * CHOOSE(CONTROL!$C$32, $C$9, 100%, $E$9)</f>
        <v>20.629799999999999</v>
      </c>
      <c r="I628" s="11">
        <f>20.6331 * CHOOSE(CONTROL!$C$32, $C$9, 100%, $E$9)</f>
        <v>20.633099999999999</v>
      </c>
      <c r="J628" s="11">
        <f>20.6298 * CHOOSE(CONTROL!$C$32, $C$9, 100%, $E$9)</f>
        <v>20.629799999999999</v>
      </c>
      <c r="K628" s="11">
        <f>20.6331 * CHOOSE(CONTROL!$C$32, $C$9, 100%, $E$9)</f>
        <v>20.633099999999999</v>
      </c>
      <c r="L628" s="11">
        <f>10.0391 * CHOOSE(CONTROL!$C$32, $C$9, 100%, $E$9)</f>
        <v>10.039099999999999</v>
      </c>
      <c r="M628" s="11">
        <f>10.0423 * CHOOSE(CONTROL!$C$32, $C$9, 100%, $E$9)</f>
        <v>10.042299999999999</v>
      </c>
      <c r="N628" s="11">
        <f>10.0391 * CHOOSE(CONTROL!$C$32, $C$9, 100%, $E$9)</f>
        <v>10.039099999999999</v>
      </c>
      <c r="O628" s="11">
        <f>10.0423 * CHOOSE(CONTROL!$C$32, $C$9, 100%, $E$9)</f>
        <v>10.042299999999999</v>
      </c>
    </row>
    <row r="629" spans="1:15" ht="15" x14ac:dyDescent="0.2">
      <c r="A629" s="13">
        <v>59993</v>
      </c>
      <c r="B629" s="9">
        <f>9.0033 * CHOOSE(CONTROL!$C$32, $C$9, 100%, $E$9)</f>
        <v>9.0032999999999994</v>
      </c>
      <c r="C629" s="9">
        <f>9.0033 * CHOOSE(CONTROL!$C$32, $C$9, 100%, $E$9)</f>
        <v>9.0032999999999994</v>
      </c>
      <c r="D629" s="9">
        <f>9.0043 * CHOOSE(CONTROL!$C$32, $C$9, 100%, $E$9)</f>
        <v>9.0043000000000006</v>
      </c>
      <c r="E629" s="11">
        <f>10.2435 * CHOOSE(CONTROL!$C$32, $C$9, 100%, $E$9)</f>
        <v>10.243499999999999</v>
      </c>
      <c r="F629" s="11">
        <f>10.2435 * CHOOSE(CONTROL!$C$32, $C$9, 100%, $E$9)</f>
        <v>10.243499999999999</v>
      </c>
      <c r="G629" s="11">
        <f>10.2467 * CHOOSE(CONTROL!$C$32, $C$9, 100%, $E$9)</f>
        <v>10.246700000000001</v>
      </c>
      <c r="H629" s="11">
        <f>20.6728 * CHOOSE(CONTROL!$C$32, $C$9, 100%, $E$9)</f>
        <v>20.672799999999999</v>
      </c>
      <c r="I629" s="11">
        <f>20.676 * CHOOSE(CONTROL!$C$32, $C$9, 100%, $E$9)</f>
        <v>20.675999999999998</v>
      </c>
      <c r="J629" s="11">
        <f>20.6728 * CHOOSE(CONTROL!$C$32, $C$9, 100%, $E$9)</f>
        <v>20.672799999999999</v>
      </c>
      <c r="K629" s="11">
        <f>20.676 * CHOOSE(CONTROL!$C$32, $C$9, 100%, $E$9)</f>
        <v>20.675999999999998</v>
      </c>
      <c r="L629" s="11">
        <f>10.2435 * CHOOSE(CONTROL!$C$32, $C$9, 100%, $E$9)</f>
        <v>10.243499999999999</v>
      </c>
      <c r="M629" s="11">
        <f>10.2467 * CHOOSE(CONTROL!$C$32, $C$9, 100%, $E$9)</f>
        <v>10.246700000000001</v>
      </c>
      <c r="N629" s="11">
        <f>10.2435 * CHOOSE(CONTROL!$C$32, $C$9, 100%, $E$9)</f>
        <v>10.243499999999999</v>
      </c>
      <c r="O629" s="11">
        <f>10.2467 * CHOOSE(CONTROL!$C$32, $C$9, 100%, $E$9)</f>
        <v>10.246700000000001</v>
      </c>
    </row>
    <row r="630" spans="1:15" ht="15" x14ac:dyDescent="0.2">
      <c r="A630" s="13">
        <v>60023</v>
      </c>
      <c r="B630" s="9">
        <f>9.0033 * CHOOSE(CONTROL!$C$32, $C$9, 100%, $E$9)</f>
        <v>9.0032999999999994</v>
      </c>
      <c r="C630" s="9">
        <f>9.0033 * CHOOSE(CONTROL!$C$32, $C$9, 100%, $E$9)</f>
        <v>9.0032999999999994</v>
      </c>
      <c r="D630" s="9">
        <f>9.0046 * CHOOSE(CONTROL!$C$32, $C$9, 100%, $E$9)</f>
        <v>9.0045999999999999</v>
      </c>
      <c r="E630" s="11">
        <f>10.3217 * CHOOSE(CONTROL!$C$32, $C$9, 100%, $E$9)</f>
        <v>10.3217</v>
      </c>
      <c r="F630" s="11">
        <f>10.3217 * CHOOSE(CONTROL!$C$32, $C$9, 100%, $E$9)</f>
        <v>10.3217</v>
      </c>
      <c r="G630" s="11">
        <f>10.3259 * CHOOSE(CONTROL!$C$32, $C$9, 100%, $E$9)</f>
        <v>10.325900000000001</v>
      </c>
      <c r="H630" s="11">
        <f>20.7159 * CHOOSE(CONTROL!$C$32, $C$9, 100%, $E$9)</f>
        <v>20.715900000000001</v>
      </c>
      <c r="I630" s="11">
        <f>20.7201 * CHOOSE(CONTROL!$C$32, $C$9, 100%, $E$9)</f>
        <v>20.720099999999999</v>
      </c>
      <c r="J630" s="11">
        <f>20.7159 * CHOOSE(CONTROL!$C$32, $C$9, 100%, $E$9)</f>
        <v>20.715900000000001</v>
      </c>
      <c r="K630" s="11">
        <f>20.7201 * CHOOSE(CONTROL!$C$32, $C$9, 100%, $E$9)</f>
        <v>20.720099999999999</v>
      </c>
      <c r="L630" s="11">
        <f>10.3217 * CHOOSE(CONTROL!$C$32, $C$9, 100%, $E$9)</f>
        <v>10.3217</v>
      </c>
      <c r="M630" s="11">
        <f>10.3259 * CHOOSE(CONTROL!$C$32, $C$9, 100%, $E$9)</f>
        <v>10.325900000000001</v>
      </c>
      <c r="N630" s="11">
        <f>10.3217 * CHOOSE(CONTROL!$C$32, $C$9, 100%, $E$9)</f>
        <v>10.3217</v>
      </c>
      <c r="O630" s="11">
        <f>10.3259 * CHOOSE(CONTROL!$C$32, $C$9, 100%, $E$9)</f>
        <v>10.325900000000001</v>
      </c>
    </row>
    <row r="631" spans="1:15" ht="15" x14ac:dyDescent="0.2">
      <c r="A631" s="13">
        <v>60054</v>
      </c>
      <c r="B631" s="9">
        <f>9.0094 * CHOOSE(CONTROL!$C$32, $C$9, 100%, $E$9)</f>
        <v>9.0093999999999994</v>
      </c>
      <c r="C631" s="9">
        <f>9.0094 * CHOOSE(CONTROL!$C$32, $C$9, 100%, $E$9)</f>
        <v>9.0093999999999994</v>
      </c>
      <c r="D631" s="9">
        <f>9.0107 * CHOOSE(CONTROL!$C$32, $C$9, 100%, $E$9)</f>
        <v>9.0106999999999999</v>
      </c>
      <c r="E631" s="11">
        <f>10.2477 * CHOOSE(CONTROL!$C$32, $C$9, 100%, $E$9)</f>
        <v>10.2477</v>
      </c>
      <c r="F631" s="11">
        <f>10.2477 * CHOOSE(CONTROL!$C$32, $C$9, 100%, $E$9)</f>
        <v>10.2477</v>
      </c>
      <c r="G631" s="11">
        <f>10.2519 * CHOOSE(CONTROL!$C$32, $C$9, 100%, $E$9)</f>
        <v>10.251899999999999</v>
      </c>
      <c r="H631" s="11">
        <f>20.759 * CHOOSE(CONTROL!$C$32, $C$9, 100%, $E$9)</f>
        <v>20.759</v>
      </c>
      <c r="I631" s="11">
        <f>20.7632 * CHOOSE(CONTROL!$C$32, $C$9, 100%, $E$9)</f>
        <v>20.763200000000001</v>
      </c>
      <c r="J631" s="11">
        <f>20.759 * CHOOSE(CONTROL!$C$32, $C$9, 100%, $E$9)</f>
        <v>20.759</v>
      </c>
      <c r="K631" s="11">
        <f>20.7632 * CHOOSE(CONTROL!$C$32, $C$9, 100%, $E$9)</f>
        <v>20.763200000000001</v>
      </c>
      <c r="L631" s="11">
        <f>10.2477 * CHOOSE(CONTROL!$C$32, $C$9, 100%, $E$9)</f>
        <v>10.2477</v>
      </c>
      <c r="M631" s="11">
        <f>10.2519 * CHOOSE(CONTROL!$C$32, $C$9, 100%, $E$9)</f>
        <v>10.251899999999999</v>
      </c>
      <c r="N631" s="11">
        <f>10.2477 * CHOOSE(CONTROL!$C$32, $C$9, 100%, $E$9)</f>
        <v>10.2477</v>
      </c>
      <c r="O631" s="11">
        <f>10.2519 * CHOOSE(CONTROL!$C$32, $C$9, 100%, $E$9)</f>
        <v>10.251899999999999</v>
      </c>
    </row>
    <row r="632" spans="1:15" ht="15" x14ac:dyDescent="0.2">
      <c r="A632" s="13">
        <v>60084</v>
      </c>
      <c r="B632" s="9">
        <f>9.1229 * CHOOSE(CONTROL!$C$32, $C$9, 100%, $E$9)</f>
        <v>9.1228999999999996</v>
      </c>
      <c r="C632" s="9">
        <f>9.1229 * CHOOSE(CONTROL!$C$32, $C$9, 100%, $E$9)</f>
        <v>9.1228999999999996</v>
      </c>
      <c r="D632" s="9">
        <f>9.1242 * CHOOSE(CONTROL!$C$32, $C$9, 100%, $E$9)</f>
        <v>9.1242000000000001</v>
      </c>
      <c r="E632" s="11">
        <f>10.3906 * CHOOSE(CONTROL!$C$32, $C$9, 100%, $E$9)</f>
        <v>10.390599999999999</v>
      </c>
      <c r="F632" s="11">
        <f>10.3906 * CHOOSE(CONTROL!$C$32, $C$9, 100%, $E$9)</f>
        <v>10.390599999999999</v>
      </c>
      <c r="G632" s="11">
        <f>10.3948 * CHOOSE(CONTROL!$C$32, $C$9, 100%, $E$9)</f>
        <v>10.3948</v>
      </c>
      <c r="H632" s="11">
        <f>20.8023 * CHOOSE(CONTROL!$C$32, $C$9, 100%, $E$9)</f>
        <v>20.802299999999999</v>
      </c>
      <c r="I632" s="11">
        <f>20.8065 * CHOOSE(CONTROL!$C$32, $C$9, 100%, $E$9)</f>
        <v>20.8065</v>
      </c>
      <c r="J632" s="11">
        <f>20.8023 * CHOOSE(CONTROL!$C$32, $C$9, 100%, $E$9)</f>
        <v>20.802299999999999</v>
      </c>
      <c r="K632" s="11">
        <f>20.8065 * CHOOSE(CONTROL!$C$32, $C$9, 100%, $E$9)</f>
        <v>20.8065</v>
      </c>
      <c r="L632" s="11">
        <f>10.3906 * CHOOSE(CONTROL!$C$32, $C$9, 100%, $E$9)</f>
        <v>10.390599999999999</v>
      </c>
      <c r="M632" s="11">
        <f>10.3948 * CHOOSE(CONTROL!$C$32, $C$9, 100%, $E$9)</f>
        <v>10.3948</v>
      </c>
      <c r="N632" s="11">
        <f>10.3906 * CHOOSE(CONTROL!$C$32, $C$9, 100%, $E$9)</f>
        <v>10.390599999999999</v>
      </c>
      <c r="O632" s="11">
        <f>10.3948 * CHOOSE(CONTROL!$C$32, $C$9, 100%, $E$9)</f>
        <v>10.3948</v>
      </c>
    </row>
    <row r="633" spans="1:15" ht="15" x14ac:dyDescent="0.2">
      <c r="A633" s="13">
        <v>60115</v>
      </c>
      <c r="B633" s="9">
        <f>9.1296 * CHOOSE(CONTROL!$C$32, $C$9, 100%, $E$9)</f>
        <v>9.1295999999999999</v>
      </c>
      <c r="C633" s="9">
        <f>9.1296 * CHOOSE(CONTROL!$C$32, $C$9, 100%, $E$9)</f>
        <v>9.1295999999999999</v>
      </c>
      <c r="D633" s="9">
        <f>9.1309 * CHOOSE(CONTROL!$C$32, $C$9, 100%, $E$9)</f>
        <v>9.1309000000000005</v>
      </c>
      <c r="E633" s="11">
        <f>10.1606 * CHOOSE(CONTROL!$C$32, $C$9, 100%, $E$9)</f>
        <v>10.160600000000001</v>
      </c>
      <c r="F633" s="11">
        <f>10.1606 * CHOOSE(CONTROL!$C$32, $C$9, 100%, $E$9)</f>
        <v>10.160600000000001</v>
      </c>
      <c r="G633" s="11">
        <f>10.1648 * CHOOSE(CONTROL!$C$32, $C$9, 100%, $E$9)</f>
        <v>10.1648</v>
      </c>
      <c r="H633" s="11">
        <f>20.8456 * CHOOSE(CONTROL!$C$32, $C$9, 100%, $E$9)</f>
        <v>20.845600000000001</v>
      </c>
      <c r="I633" s="11">
        <f>20.8498 * CHOOSE(CONTROL!$C$32, $C$9, 100%, $E$9)</f>
        <v>20.849799999999998</v>
      </c>
      <c r="J633" s="11">
        <f>20.8456 * CHOOSE(CONTROL!$C$32, $C$9, 100%, $E$9)</f>
        <v>20.845600000000001</v>
      </c>
      <c r="K633" s="11">
        <f>20.8498 * CHOOSE(CONTROL!$C$32, $C$9, 100%, $E$9)</f>
        <v>20.849799999999998</v>
      </c>
      <c r="L633" s="11">
        <f>10.1606 * CHOOSE(CONTROL!$C$32, $C$9, 100%, $E$9)</f>
        <v>10.160600000000001</v>
      </c>
      <c r="M633" s="11">
        <f>10.1648 * CHOOSE(CONTROL!$C$32, $C$9, 100%, $E$9)</f>
        <v>10.1648</v>
      </c>
      <c r="N633" s="11">
        <f>10.1606 * CHOOSE(CONTROL!$C$32, $C$9, 100%, $E$9)</f>
        <v>10.160600000000001</v>
      </c>
      <c r="O633" s="11">
        <f>10.1648 * CHOOSE(CONTROL!$C$32, $C$9, 100%, $E$9)</f>
        <v>10.1648</v>
      </c>
    </row>
    <row r="634" spans="1:15" ht="15" x14ac:dyDescent="0.2">
      <c r="A634" s="13">
        <v>60146</v>
      </c>
      <c r="B634" s="9">
        <f>9.1266 * CHOOSE(CONTROL!$C$32, $C$9, 100%, $E$9)</f>
        <v>9.1265999999999998</v>
      </c>
      <c r="C634" s="9">
        <f>9.1266 * CHOOSE(CONTROL!$C$32, $C$9, 100%, $E$9)</f>
        <v>9.1265999999999998</v>
      </c>
      <c r="D634" s="9">
        <f>9.1278 * CHOOSE(CONTROL!$C$32, $C$9, 100%, $E$9)</f>
        <v>9.1278000000000006</v>
      </c>
      <c r="E634" s="11">
        <f>10.1324 * CHOOSE(CONTROL!$C$32, $C$9, 100%, $E$9)</f>
        <v>10.132400000000001</v>
      </c>
      <c r="F634" s="11">
        <f>10.1324 * CHOOSE(CONTROL!$C$32, $C$9, 100%, $E$9)</f>
        <v>10.132400000000001</v>
      </c>
      <c r="G634" s="11">
        <f>10.1366 * CHOOSE(CONTROL!$C$32, $C$9, 100%, $E$9)</f>
        <v>10.1366</v>
      </c>
      <c r="H634" s="11">
        <f>20.8891 * CHOOSE(CONTROL!$C$32, $C$9, 100%, $E$9)</f>
        <v>20.889099999999999</v>
      </c>
      <c r="I634" s="11">
        <f>20.8933 * CHOOSE(CONTROL!$C$32, $C$9, 100%, $E$9)</f>
        <v>20.8933</v>
      </c>
      <c r="J634" s="11">
        <f>20.8891 * CHOOSE(CONTROL!$C$32, $C$9, 100%, $E$9)</f>
        <v>20.889099999999999</v>
      </c>
      <c r="K634" s="11">
        <f>20.8933 * CHOOSE(CONTROL!$C$32, $C$9, 100%, $E$9)</f>
        <v>20.8933</v>
      </c>
      <c r="L634" s="11">
        <f>10.1324 * CHOOSE(CONTROL!$C$32, $C$9, 100%, $E$9)</f>
        <v>10.132400000000001</v>
      </c>
      <c r="M634" s="11">
        <f>10.1366 * CHOOSE(CONTROL!$C$32, $C$9, 100%, $E$9)</f>
        <v>10.1366</v>
      </c>
      <c r="N634" s="11">
        <f>10.1324 * CHOOSE(CONTROL!$C$32, $C$9, 100%, $E$9)</f>
        <v>10.132400000000001</v>
      </c>
      <c r="O634" s="11">
        <f>10.1366 * CHOOSE(CONTROL!$C$32, $C$9, 100%, $E$9)</f>
        <v>10.1366</v>
      </c>
    </row>
    <row r="635" spans="1:15" ht="15" x14ac:dyDescent="0.2">
      <c r="A635" s="13">
        <v>60176</v>
      </c>
      <c r="B635" s="9">
        <f>9.1408 * CHOOSE(CONTROL!$C$32, $C$9, 100%, $E$9)</f>
        <v>9.1408000000000005</v>
      </c>
      <c r="C635" s="9">
        <f>9.1408 * CHOOSE(CONTROL!$C$32, $C$9, 100%, $E$9)</f>
        <v>9.1408000000000005</v>
      </c>
      <c r="D635" s="9">
        <f>9.1417 * CHOOSE(CONTROL!$C$32, $C$9, 100%, $E$9)</f>
        <v>9.1417000000000002</v>
      </c>
      <c r="E635" s="11">
        <f>10.2233 * CHOOSE(CONTROL!$C$32, $C$9, 100%, $E$9)</f>
        <v>10.2233</v>
      </c>
      <c r="F635" s="11">
        <f>10.2233 * CHOOSE(CONTROL!$C$32, $C$9, 100%, $E$9)</f>
        <v>10.2233</v>
      </c>
      <c r="G635" s="11">
        <f>10.2265 * CHOOSE(CONTROL!$C$32, $C$9, 100%, $E$9)</f>
        <v>10.2265</v>
      </c>
      <c r="H635" s="11">
        <f>20.9326 * CHOOSE(CONTROL!$C$32, $C$9, 100%, $E$9)</f>
        <v>20.932600000000001</v>
      </c>
      <c r="I635" s="11">
        <f>20.9358 * CHOOSE(CONTROL!$C$32, $C$9, 100%, $E$9)</f>
        <v>20.9358</v>
      </c>
      <c r="J635" s="11">
        <f>20.9326 * CHOOSE(CONTROL!$C$32, $C$9, 100%, $E$9)</f>
        <v>20.932600000000001</v>
      </c>
      <c r="K635" s="11">
        <f>20.9358 * CHOOSE(CONTROL!$C$32, $C$9, 100%, $E$9)</f>
        <v>20.9358</v>
      </c>
      <c r="L635" s="11">
        <f>10.2233 * CHOOSE(CONTROL!$C$32, $C$9, 100%, $E$9)</f>
        <v>10.2233</v>
      </c>
      <c r="M635" s="11">
        <f>10.2265 * CHOOSE(CONTROL!$C$32, $C$9, 100%, $E$9)</f>
        <v>10.2265</v>
      </c>
      <c r="N635" s="11">
        <f>10.2233 * CHOOSE(CONTROL!$C$32, $C$9, 100%, $E$9)</f>
        <v>10.2233</v>
      </c>
      <c r="O635" s="11">
        <f>10.2265 * CHOOSE(CONTROL!$C$32, $C$9, 100%, $E$9)</f>
        <v>10.2265</v>
      </c>
    </row>
    <row r="636" spans="1:15" ht="15" x14ac:dyDescent="0.2">
      <c r="A636" s="13">
        <v>60207</v>
      </c>
      <c r="B636" s="9">
        <f>9.1438 * CHOOSE(CONTROL!$C$32, $C$9, 100%, $E$9)</f>
        <v>9.1438000000000006</v>
      </c>
      <c r="C636" s="9">
        <f>9.1438 * CHOOSE(CONTROL!$C$32, $C$9, 100%, $E$9)</f>
        <v>9.1438000000000006</v>
      </c>
      <c r="D636" s="9">
        <f>9.1448 * CHOOSE(CONTROL!$C$32, $C$9, 100%, $E$9)</f>
        <v>9.1448</v>
      </c>
      <c r="E636" s="11">
        <f>10.2775 * CHOOSE(CONTROL!$C$32, $C$9, 100%, $E$9)</f>
        <v>10.2775</v>
      </c>
      <c r="F636" s="11">
        <f>10.2775 * CHOOSE(CONTROL!$C$32, $C$9, 100%, $E$9)</f>
        <v>10.2775</v>
      </c>
      <c r="G636" s="11">
        <f>10.2807 * CHOOSE(CONTROL!$C$32, $C$9, 100%, $E$9)</f>
        <v>10.2807</v>
      </c>
      <c r="H636" s="11">
        <f>20.9762 * CHOOSE(CONTROL!$C$32, $C$9, 100%, $E$9)</f>
        <v>20.976199999999999</v>
      </c>
      <c r="I636" s="11">
        <f>20.9794 * CHOOSE(CONTROL!$C$32, $C$9, 100%, $E$9)</f>
        <v>20.979399999999998</v>
      </c>
      <c r="J636" s="11">
        <f>20.9762 * CHOOSE(CONTROL!$C$32, $C$9, 100%, $E$9)</f>
        <v>20.976199999999999</v>
      </c>
      <c r="K636" s="11">
        <f>20.9794 * CHOOSE(CONTROL!$C$32, $C$9, 100%, $E$9)</f>
        <v>20.979399999999998</v>
      </c>
      <c r="L636" s="11">
        <f>10.2775 * CHOOSE(CONTROL!$C$32, $C$9, 100%, $E$9)</f>
        <v>10.2775</v>
      </c>
      <c r="M636" s="11">
        <f>10.2807 * CHOOSE(CONTROL!$C$32, $C$9, 100%, $E$9)</f>
        <v>10.2807</v>
      </c>
      <c r="N636" s="11">
        <f>10.2775 * CHOOSE(CONTROL!$C$32, $C$9, 100%, $E$9)</f>
        <v>10.2775</v>
      </c>
      <c r="O636" s="11">
        <f>10.2807 * CHOOSE(CONTROL!$C$32, $C$9, 100%, $E$9)</f>
        <v>10.2807</v>
      </c>
    </row>
    <row r="637" spans="1:15" ht="15" x14ac:dyDescent="0.2">
      <c r="A637" s="13">
        <v>60237</v>
      </c>
      <c r="B637" s="9">
        <f>9.1438 * CHOOSE(CONTROL!$C$32, $C$9, 100%, $E$9)</f>
        <v>9.1438000000000006</v>
      </c>
      <c r="C637" s="9">
        <f>9.1438 * CHOOSE(CONTROL!$C$32, $C$9, 100%, $E$9)</f>
        <v>9.1438000000000006</v>
      </c>
      <c r="D637" s="9">
        <f>9.1448 * CHOOSE(CONTROL!$C$32, $C$9, 100%, $E$9)</f>
        <v>9.1448</v>
      </c>
      <c r="E637" s="11">
        <f>10.1471 * CHOOSE(CONTROL!$C$32, $C$9, 100%, $E$9)</f>
        <v>10.1471</v>
      </c>
      <c r="F637" s="11">
        <f>10.1471 * CHOOSE(CONTROL!$C$32, $C$9, 100%, $E$9)</f>
        <v>10.1471</v>
      </c>
      <c r="G637" s="11">
        <f>10.1504 * CHOOSE(CONTROL!$C$32, $C$9, 100%, $E$9)</f>
        <v>10.150399999999999</v>
      </c>
      <c r="H637" s="11">
        <f>21.0199 * CHOOSE(CONTROL!$C$32, $C$9, 100%, $E$9)</f>
        <v>21.0199</v>
      </c>
      <c r="I637" s="11">
        <f>21.0231 * CHOOSE(CONTROL!$C$32, $C$9, 100%, $E$9)</f>
        <v>21.023099999999999</v>
      </c>
      <c r="J637" s="11">
        <f>21.0199 * CHOOSE(CONTROL!$C$32, $C$9, 100%, $E$9)</f>
        <v>21.0199</v>
      </c>
      <c r="K637" s="11">
        <f>21.0231 * CHOOSE(CONTROL!$C$32, $C$9, 100%, $E$9)</f>
        <v>21.023099999999999</v>
      </c>
      <c r="L637" s="11">
        <f>10.1471 * CHOOSE(CONTROL!$C$32, $C$9, 100%, $E$9)</f>
        <v>10.1471</v>
      </c>
      <c r="M637" s="11">
        <f>10.1504 * CHOOSE(CONTROL!$C$32, $C$9, 100%, $E$9)</f>
        <v>10.150399999999999</v>
      </c>
      <c r="N637" s="11">
        <f>10.1471 * CHOOSE(CONTROL!$C$32, $C$9, 100%, $E$9)</f>
        <v>10.1471</v>
      </c>
      <c r="O637" s="11">
        <f>10.1504 * CHOOSE(CONTROL!$C$32, $C$9, 100%, $E$9)</f>
        <v>10.150399999999999</v>
      </c>
    </row>
    <row r="638" spans="1:15" ht="15" x14ac:dyDescent="0.2">
      <c r="A638" s="13">
        <v>60268</v>
      </c>
      <c r="B638" s="9">
        <f>9.1943 * CHOOSE(CONTROL!$C$32, $C$9, 100%, $E$9)</f>
        <v>9.1943000000000001</v>
      </c>
      <c r="C638" s="9">
        <f>9.1943 * CHOOSE(CONTROL!$C$32, $C$9, 100%, $E$9)</f>
        <v>9.1943000000000001</v>
      </c>
      <c r="D638" s="9">
        <f>9.1952 * CHOOSE(CONTROL!$C$32, $C$9, 100%, $E$9)</f>
        <v>9.1951999999999998</v>
      </c>
      <c r="E638" s="11">
        <f>10.308 * CHOOSE(CONTROL!$C$32, $C$9, 100%, $E$9)</f>
        <v>10.308</v>
      </c>
      <c r="F638" s="11">
        <f>10.308 * CHOOSE(CONTROL!$C$32, $C$9, 100%, $E$9)</f>
        <v>10.308</v>
      </c>
      <c r="G638" s="11">
        <f>10.3112 * CHOOSE(CONTROL!$C$32, $C$9, 100%, $E$9)</f>
        <v>10.311199999999999</v>
      </c>
      <c r="H638" s="11">
        <f>21.0159 * CHOOSE(CONTROL!$C$32, $C$9, 100%, $E$9)</f>
        <v>21.015899999999998</v>
      </c>
      <c r="I638" s="11">
        <f>21.0192 * CHOOSE(CONTROL!$C$32, $C$9, 100%, $E$9)</f>
        <v>21.019200000000001</v>
      </c>
      <c r="J638" s="11">
        <f>21.0159 * CHOOSE(CONTROL!$C$32, $C$9, 100%, $E$9)</f>
        <v>21.015899999999998</v>
      </c>
      <c r="K638" s="11">
        <f>21.0192 * CHOOSE(CONTROL!$C$32, $C$9, 100%, $E$9)</f>
        <v>21.019200000000001</v>
      </c>
      <c r="L638" s="11">
        <f>10.308 * CHOOSE(CONTROL!$C$32, $C$9, 100%, $E$9)</f>
        <v>10.308</v>
      </c>
      <c r="M638" s="11">
        <f>10.3112 * CHOOSE(CONTROL!$C$32, $C$9, 100%, $E$9)</f>
        <v>10.311199999999999</v>
      </c>
      <c r="N638" s="11">
        <f>10.308 * CHOOSE(CONTROL!$C$32, $C$9, 100%, $E$9)</f>
        <v>10.308</v>
      </c>
      <c r="O638" s="11">
        <f>10.3112 * CHOOSE(CONTROL!$C$32, $C$9, 100%, $E$9)</f>
        <v>10.311199999999999</v>
      </c>
    </row>
    <row r="639" spans="1:15" ht="15" x14ac:dyDescent="0.2">
      <c r="A639" s="13">
        <v>60299</v>
      </c>
      <c r="B639" s="9">
        <f>9.1912 * CHOOSE(CONTROL!$C$32, $C$9, 100%, $E$9)</f>
        <v>9.1912000000000003</v>
      </c>
      <c r="C639" s="9">
        <f>9.1912 * CHOOSE(CONTROL!$C$32, $C$9, 100%, $E$9)</f>
        <v>9.1912000000000003</v>
      </c>
      <c r="D639" s="9">
        <f>9.1922 * CHOOSE(CONTROL!$C$32, $C$9, 100%, $E$9)</f>
        <v>9.1921999999999997</v>
      </c>
      <c r="E639" s="11">
        <f>10.0524 * CHOOSE(CONTROL!$C$32, $C$9, 100%, $E$9)</f>
        <v>10.0524</v>
      </c>
      <c r="F639" s="11">
        <f>10.0524 * CHOOSE(CONTROL!$C$32, $C$9, 100%, $E$9)</f>
        <v>10.0524</v>
      </c>
      <c r="G639" s="11">
        <f>10.0556 * CHOOSE(CONTROL!$C$32, $C$9, 100%, $E$9)</f>
        <v>10.0556</v>
      </c>
      <c r="H639" s="11">
        <f>21.0597 * CHOOSE(CONTROL!$C$32, $C$9, 100%, $E$9)</f>
        <v>21.059699999999999</v>
      </c>
      <c r="I639" s="11">
        <f>21.063 * CHOOSE(CONTROL!$C$32, $C$9, 100%, $E$9)</f>
        <v>21.062999999999999</v>
      </c>
      <c r="J639" s="11">
        <f>21.0597 * CHOOSE(CONTROL!$C$32, $C$9, 100%, $E$9)</f>
        <v>21.059699999999999</v>
      </c>
      <c r="K639" s="11">
        <f>21.063 * CHOOSE(CONTROL!$C$32, $C$9, 100%, $E$9)</f>
        <v>21.062999999999999</v>
      </c>
      <c r="L639" s="11">
        <f>10.0524 * CHOOSE(CONTROL!$C$32, $C$9, 100%, $E$9)</f>
        <v>10.0524</v>
      </c>
      <c r="M639" s="11">
        <f>10.0556 * CHOOSE(CONTROL!$C$32, $C$9, 100%, $E$9)</f>
        <v>10.0556</v>
      </c>
      <c r="N639" s="11">
        <f>10.0524 * CHOOSE(CONTROL!$C$32, $C$9, 100%, $E$9)</f>
        <v>10.0524</v>
      </c>
      <c r="O639" s="11">
        <f>10.0556 * CHOOSE(CONTROL!$C$32, $C$9, 100%, $E$9)</f>
        <v>10.0556</v>
      </c>
    </row>
    <row r="640" spans="1:15" ht="15" x14ac:dyDescent="0.2">
      <c r="A640" s="13">
        <v>60327</v>
      </c>
      <c r="B640" s="9">
        <f>9.1882 * CHOOSE(CONTROL!$C$32, $C$9, 100%, $E$9)</f>
        <v>9.1882000000000001</v>
      </c>
      <c r="C640" s="9">
        <f>9.1882 * CHOOSE(CONTROL!$C$32, $C$9, 100%, $E$9)</f>
        <v>9.1882000000000001</v>
      </c>
      <c r="D640" s="9">
        <f>9.1892 * CHOOSE(CONTROL!$C$32, $C$9, 100%, $E$9)</f>
        <v>9.1891999999999996</v>
      </c>
      <c r="E640" s="11">
        <f>10.2501 * CHOOSE(CONTROL!$C$32, $C$9, 100%, $E$9)</f>
        <v>10.2501</v>
      </c>
      <c r="F640" s="11">
        <f>10.2501 * CHOOSE(CONTROL!$C$32, $C$9, 100%, $E$9)</f>
        <v>10.2501</v>
      </c>
      <c r="G640" s="11">
        <f>10.2533 * CHOOSE(CONTROL!$C$32, $C$9, 100%, $E$9)</f>
        <v>10.253299999999999</v>
      </c>
      <c r="H640" s="11">
        <f>21.1036 * CHOOSE(CONTROL!$C$32, $C$9, 100%, $E$9)</f>
        <v>21.1036</v>
      </c>
      <c r="I640" s="11">
        <f>21.1068 * CHOOSE(CONTROL!$C$32, $C$9, 100%, $E$9)</f>
        <v>21.1068</v>
      </c>
      <c r="J640" s="11">
        <f>21.1036 * CHOOSE(CONTROL!$C$32, $C$9, 100%, $E$9)</f>
        <v>21.1036</v>
      </c>
      <c r="K640" s="11">
        <f>21.1068 * CHOOSE(CONTROL!$C$32, $C$9, 100%, $E$9)</f>
        <v>21.1068</v>
      </c>
      <c r="L640" s="11">
        <f>10.2501 * CHOOSE(CONTROL!$C$32, $C$9, 100%, $E$9)</f>
        <v>10.2501</v>
      </c>
      <c r="M640" s="11">
        <f>10.2533 * CHOOSE(CONTROL!$C$32, $C$9, 100%, $E$9)</f>
        <v>10.253299999999999</v>
      </c>
      <c r="N640" s="11">
        <f>10.2501 * CHOOSE(CONTROL!$C$32, $C$9, 100%, $E$9)</f>
        <v>10.2501</v>
      </c>
      <c r="O640" s="11">
        <f>10.2533 * CHOOSE(CONTROL!$C$32, $C$9, 100%, $E$9)</f>
        <v>10.253299999999999</v>
      </c>
    </row>
    <row r="641" spans="1:15" ht="15" x14ac:dyDescent="0.2">
      <c r="A641" s="13">
        <v>60358</v>
      </c>
      <c r="B641" s="9">
        <f>9.1909 * CHOOSE(CONTROL!$C$32, $C$9, 100%, $E$9)</f>
        <v>9.1908999999999992</v>
      </c>
      <c r="C641" s="9">
        <f>9.1909 * CHOOSE(CONTROL!$C$32, $C$9, 100%, $E$9)</f>
        <v>9.1908999999999992</v>
      </c>
      <c r="D641" s="9">
        <f>9.1918 * CHOOSE(CONTROL!$C$32, $C$9, 100%, $E$9)</f>
        <v>9.1918000000000006</v>
      </c>
      <c r="E641" s="11">
        <f>10.4605 * CHOOSE(CONTROL!$C$32, $C$9, 100%, $E$9)</f>
        <v>10.4605</v>
      </c>
      <c r="F641" s="11">
        <f>10.4605 * CHOOSE(CONTROL!$C$32, $C$9, 100%, $E$9)</f>
        <v>10.4605</v>
      </c>
      <c r="G641" s="11">
        <f>10.4637 * CHOOSE(CONTROL!$C$32, $C$9, 100%, $E$9)</f>
        <v>10.463699999999999</v>
      </c>
      <c r="H641" s="11">
        <f>21.1476 * CHOOSE(CONTROL!$C$32, $C$9, 100%, $E$9)</f>
        <v>21.147600000000001</v>
      </c>
      <c r="I641" s="11">
        <f>21.1508 * CHOOSE(CONTROL!$C$32, $C$9, 100%, $E$9)</f>
        <v>21.1508</v>
      </c>
      <c r="J641" s="11">
        <f>21.1476 * CHOOSE(CONTROL!$C$32, $C$9, 100%, $E$9)</f>
        <v>21.147600000000001</v>
      </c>
      <c r="K641" s="11">
        <f>21.1508 * CHOOSE(CONTROL!$C$32, $C$9, 100%, $E$9)</f>
        <v>21.1508</v>
      </c>
      <c r="L641" s="11">
        <f>10.4605 * CHOOSE(CONTROL!$C$32, $C$9, 100%, $E$9)</f>
        <v>10.4605</v>
      </c>
      <c r="M641" s="11">
        <f>10.4637 * CHOOSE(CONTROL!$C$32, $C$9, 100%, $E$9)</f>
        <v>10.463699999999999</v>
      </c>
      <c r="N641" s="11">
        <f>10.4605 * CHOOSE(CONTROL!$C$32, $C$9, 100%, $E$9)</f>
        <v>10.4605</v>
      </c>
      <c r="O641" s="11">
        <f>10.4637 * CHOOSE(CONTROL!$C$32, $C$9, 100%, $E$9)</f>
        <v>10.463699999999999</v>
      </c>
    </row>
    <row r="642" spans="1:15" ht="15" x14ac:dyDescent="0.2">
      <c r="A642" s="13">
        <v>60388</v>
      </c>
      <c r="B642" s="9">
        <f>9.1909 * CHOOSE(CONTROL!$C$32, $C$9, 100%, $E$9)</f>
        <v>9.1908999999999992</v>
      </c>
      <c r="C642" s="9">
        <f>9.1909 * CHOOSE(CONTROL!$C$32, $C$9, 100%, $E$9)</f>
        <v>9.1908999999999992</v>
      </c>
      <c r="D642" s="9">
        <f>9.1921 * CHOOSE(CONTROL!$C$32, $C$9, 100%, $E$9)</f>
        <v>9.1920999999999999</v>
      </c>
      <c r="E642" s="11">
        <f>10.541 * CHOOSE(CONTROL!$C$32, $C$9, 100%, $E$9)</f>
        <v>10.541</v>
      </c>
      <c r="F642" s="11">
        <f>10.541 * CHOOSE(CONTROL!$C$32, $C$9, 100%, $E$9)</f>
        <v>10.541</v>
      </c>
      <c r="G642" s="11">
        <f>10.5452 * CHOOSE(CONTROL!$C$32, $C$9, 100%, $E$9)</f>
        <v>10.545199999999999</v>
      </c>
      <c r="H642" s="11">
        <f>21.1916 * CHOOSE(CONTROL!$C$32, $C$9, 100%, $E$9)</f>
        <v>21.191600000000001</v>
      </c>
      <c r="I642" s="11">
        <f>21.1958 * CHOOSE(CONTROL!$C$32, $C$9, 100%, $E$9)</f>
        <v>21.195799999999998</v>
      </c>
      <c r="J642" s="11">
        <f>21.1916 * CHOOSE(CONTROL!$C$32, $C$9, 100%, $E$9)</f>
        <v>21.191600000000001</v>
      </c>
      <c r="K642" s="11">
        <f>21.1958 * CHOOSE(CONTROL!$C$32, $C$9, 100%, $E$9)</f>
        <v>21.195799999999998</v>
      </c>
      <c r="L642" s="11">
        <f>10.541 * CHOOSE(CONTROL!$C$32, $C$9, 100%, $E$9)</f>
        <v>10.541</v>
      </c>
      <c r="M642" s="11">
        <f>10.5452 * CHOOSE(CONTROL!$C$32, $C$9, 100%, $E$9)</f>
        <v>10.545199999999999</v>
      </c>
      <c r="N642" s="11">
        <f>10.541 * CHOOSE(CONTROL!$C$32, $C$9, 100%, $E$9)</f>
        <v>10.541</v>
      </c>
      <c r="O642" s="11">
        <f>10.5452 * CHOOSE(CONTROL!$C$32, $C$9, 100%, $E$9)</f>
        <v>10.545199999999999</v>
      </c>
    </row>
    <row r="643" spans="1:15" ht="15" x14ac:dyDescent="0.2">
      <c r="A643" s="13">
        <v>60419</v>
      </c>
      <c r="B643" s="9">
        <f>9.197 * CHOOSE(CONTROL!$C$32, $C$9, 100%, $E$9)</f>
        <v>9.1969999999999992</v>
      </c>
      <c r="C643" s="9">
        <f>9.197 * CHOOSE(CONTROL!$C$32, $C$9, 100%, $E$9)</f>
        <v>9.1969999999999992</v>
      </c>
      <c r="D643" s="9">
        <f>9.1982 * CHOOSE(CONTROL!$C$32, $C$9, 100%, $E$9)</f>
        <v>9.1981999999999999</v>
      </c>
      <c r="E643" s="11">
        <f>10.4647 * CHOOSE(CONTROL!$C$32, $C$9, 100%, $E$9)</f>
        <v>10.464700000000001</v>
      </c>
      <c r="F643" s="11">
        <f>10.4647 * CHOOSE(CONTROL!$C$32, $C$9, 100%, $E$9)</f>
        <v>10.464700000000001</v>
      </c>
      <c r="G643" s="11">
        <f>10.4689 * CHOOSE(CONTROL!$C$32, $C$9, 100%, $E$9)</f>
        <v>10.4689</v>
      </c>
      <c r="H643" s="11">
        <f>21.2358 * CHOOSE(CONTROL!$C$32, $C$9, 100%, $E$9)</f>
        <v>21.235800000000001</v>
      </c>
      <c r="I643" s="11">
        <f>21.24 * CHOOSE(CONTROL!$C$32, $C$9, 100%, $E$9)</f>
        <v>21.24</v>
      </c>
      <c r="J643" s="11">
        <f>21.2358 * CHOOSE(CONTROL!$C$32, $C$9, 100%, $E$9)</f>
        <v>21.235800000000001</v>
      </c>
      <c r="K643" s="11">
        <f>21.24 * CHOOSE(CONTROL!$C$32, $C$9, 100%, $E$9)</f>
        <v>21.24</v>
      </c>
      <c r="L643" s="11">
        <f>10.4647 * CHOOSE(CONTROL!$C$32, $C$9, 100%, $E$9)</f>
        <v>10.464700000000001</v>
      </c>
      <c r="M643" s="11">
        <f>10.4689 * CHOOSE(CONTROL!$C$32, $C$9, 100%, $E$9)</f>
        <v>10.4689</v>
      </c>
      <c r="N643" s="11">
        <f>10.4647 * CHOOSE(CONTROL!$C$32, $C$9, 100%, $E$9)</f>
        <v>10.464700000000001</v>
      </c>
      <c r="O643" s="11">
        <f>10.4689 * CHOOSE(CONTROL!$C$32, $C$9, 100%, $E$9)</f>
        <v>10.4689</v>
      </c>
    </row>
    <row r="644" spans="1:15" ht="15" x14ac:dyDescent="0.2">
      <c r="A644" s="13">
        <v>60449</v>
      </c>
      <c r="B644" s="9">
        <f>9.3125 * CHOOSE(CONTROL!$C$32, $C$9, 100%, $E$9)</f>
        <v>9.3125</v>
      </c>
      <c r="C644" s="9">
        <f>9.3125 * CHOOSE(CONTROL!$C$32, $C$9, 100%, $E$9)</f>
        <v>9.3125</v>
      </c>
      <c r="D644" s="9">
        <f>9.3138 * CHOOSE(CONTROL!$C$32, $C$9, 100%, $E$9)</f>
        <v>9.3138000000000005</v>
      </c>
      <c r="E644" s="11">
        <f>10.6108 * CHOOSE(CONTROL!$C$32, $C$9, 100%, $E$9)</f>
        <v>10.610799999999999</v>
      </c>
      <c r="F644" s="11">
        <f>10.6108 * CHOOSE(CONTROL!$C$32, $C$9, 100%, $E$9)</f>
        <v>10.610799999999999</v>
      </c>
      <c r="G644" s="11">
        <f>10.615 * CHOOSE(CONTROL!$C$32, $C$9, 100%, $E$9)</f>
        <v>10.615</v>
      </c>
      <c r="H644" s="11">
        <f>21.28 * CHOOSE(CONTROL!$C$32, $C$9, 100%, $E$9)</f>
        <v>21.28</v>
      </c>
      <c r="I644" s="11">
        <f>21.2842 * CHOOSE(CONTROL!$C$32, $C$9, 100%, $E$9)</f>
        <v>21.284199999999998</v>
      </c>
      <c r="J644" s="11">
        <f>21.28 * CHOOSE(CONTROL!$C$32, $C$9, 100%, $E$9)</f>
        <v>21.28</v>
      </c>
      <c r="K644" s="11">
        <f>21.2842 * CHOOSE(CONTROL!$C$32, $C$9, 100%, $E$9)</f>
        <v>21.284199999999998</v>
      </c>
      <c r="L644" s="11">
        <f>10.6108 * CHOOSE(CONTROL!$C$32, $C$9, 100%, $E$9)</f>
        <v>10.610799999999999</v>
      </c>
      <c r="M644" s="11">
        <f>10.615 * CHOOSE(CONTROL!$C$32, $C$9, 100%, $E$9)</f>
        <v>10.615</v>
      </c>
      <c r="N644" s="11">
        <f>10.6108 * CHOOSE(CONTROL!$C$32, $C$9, 100%, $E$9)</f>
        <v>10.610799999999999</v>
      </c>
      <c r="O644" s="11">
        <f>10.615 * CHOOSE(CONTROL!$C$32, $C$9, 100%, $E$9)</f>
        <v>10.615</v>
      </c>
    </row>
    <row r="645" spans="1:15" ht="15" x14ac:dyDescent="0.2">
      <c r="A645" s="13">
        <v>60480</v>
      </c>
      <c r="B645" s="9">
        <f>9.3192 * CHOOSE(CONTROL!$C$32, $C$9, 100%, $E$9)</f>
        <v>9.3192000000000004</v>
      </c>
      <c r="C645" s="9">
        <f>9.3192 * CHOOSE(CONTROL!$C$32, $C$9, 100%, $E$9)</f>
        <v>9.3192000000000004</v>
      </c>
      <c r="D645" s="9">
        <f>9.3205 * CHOOSE(CONTROL!$C$32, $C$9, 100%, $E$9)</f>
        <v>9.3204999999999991</v>
      </c>
      <c r="E645" s="11">
        <f>10.374 * CHOOSE(CONTROL!$C$32, $C$9, 100%, $E$9)</f>
        <v>10.374000000000001</v>
      </c>
      <c r="F645" s="11">
        <f>10.374 * CHOOSE(CONTROL!$C$32, $C$9, 100%, $E$9)</f>
        <v>10.374000000000001</v>
      </c>
      <c r="G645" s="11">
        <f>10.3782 * CHOOSE(CONTROL!$C$32, $C$9, 100%, $E$9)</f>
        <v>10.3782</v>
      </c>
      <c r="H645" s="11">
        <f>21.3244 * CHOOSE(CONTROL!$C$32, $C$9, 100%, $E$9)</f>
        <v>21.324400000000001</v>
      </c>
      <c r="I645" s="11">
        <f>21.3286 * CHOOSE(CONTROL!$C$32, $C$9, 100%, $E$9)</f>
        <v>21.328600000000002</v>
      </c>
      <c r="J645" s="11">
        <f>21.3244 * CHOOSE(CONTROL!$C$32, $C$9, 100%, $E$9)</f>
        <v>21.324400000000001</v>
      </c>
      <c r="K645" s="11">
        <f>21.3286 * CHOOSE(CONTROL!$C$32, $C$9, 100%, $E$9)</f>
        <v>21.328600000000002</v>
      </c>
      <c r="L645" s="11">
        <f>10.374 * CHOOSE(CONTROL!$C$32, $C$9, 100%, $E$9)</f>
        <v>10.374000000000001</v>
      </c>
      <c r="M645" s="11">
        <f>10.3782 * CHOOSE(CONTROL!$C$32, $C$9, 100%, $E$9)</f>
        <v>10.3782</v>
      </c>
      <c r="N645" s="11">
        <f>10.374 * CHOOSE(CONTROL!$C$32, $C$9, 100%, $E$9)</f>
        <v>10.374000000000001</v>
      </c>
      <c r="O645" s="11">
        <f>10.3782 * CHOOSE(CONTROL!$C$32, $C$9, 100%, $E$9)</f>
        <v>10.3782</v>
      </c>
    </row>
    <row r="646" spans="1:15" ht="15" x14ac:dyDescent="0.2">
      <c r="A646" s="13">
        <v>60511</v>
      </c>
      <c r="B646" s="9">
        <f>9.3162 * CHOOSE(CONTROL!$C$32, $C$9, 100%, $E$9)</f>
        <v>9.3162000000000003</v>
      </c>
      <c r="C646" s="9">
        <f>9.3162 * CHOOSE(CONTROL!$C$32, $C$9, 100%, $E$9)</f>
        <v>9.3162000000000003</v>
      </c>
      <c r="D646" s="9">
        <f>9.3174 * CHOOSE(CONTROL!$C$32, $C$9, 100%, $E$9)</f>
        <v>9.3173999999999992</v>
      </c>
      <c r="E646" s="11">
        <f>10.345 * CHOOSE(CONTROL!$C$32, $C$9, 100%, $E$9)</f>
        <v>10.345000000000001</v>
      </c>
      <c r="F646" s="11">
        <f>10.345 * CHOOSE(CONTROL!$C$32, $C$9, 100%, $E$9)</f>
        <v>10.345000000000001</v>
      </c>
      <c r="G646" s="11">
        <f>10.3493 * CHOOSE(CONTROL!$C$32, $C$9, 100%, $E$9)</f>
        <v>10.349299999999999</v>
      </c>
      <c r="H646" s="11">
        <f>21.3688 * CHOOSE(CONTROL!$C$32, $C$9, 100%, $E$9)</f>
        <v>21.3688</v>
      </c>
      <c r="I646" s="11">
        <f>21.373 * CHOOSE(CONTROL!$C$32, $C$9, 100%, $E$9)</f>
        <v>21.373000000000001</v>
      </c>
      <c r="J646" s="11">
        <f>21.3688 * CHOOSE(CONTROL!$C$32, $C$9, 100%, $E$9)</f>
        <v>21.3688</v>
      </c>
      <c r="K646" s="11">
        <f>21.373 * CHOOSE(CONTROL!$C$32, $C$9, 100%, $E$9)</f>
        <v>21.373000000000001</v>
      </c>
      <c r="L646" s="11">
        <f>10.345 * CHOOSE(CONTROL!$C$32, $C$9, 100%, $E$9)</f>
        <v>10.345000000000001</v>
      </c>
      <c r="M646" s="11">
        <f>10.3493 * CHOOSE(CONTROL!$C$32, $C$9, 100%, $E$9)</f>
        <v>10.349299999999999</v>
      </c>
      <c r="N646" s="11">
        <f>10.345 * CHOOSE(CONTROL!$C$32, $C$9, 100%, $E$9)</f>
        <v>10.345000000000001</v>
      </c>
      <c r="O646" s="11">
        <f>10.3493 * CHOOSE(CONTROL!$C$32, $C$9, 100%, $E$9)</f>
        <v>10.349299999999999</v>
      </c>
    </row>
    <row r="647" spans="1:15" ht="15" x14ac:dyDescent="0.2">
      <c r="A647" s="13">
        <v>60541</v>
      </c>
      <c r="B647" s="9">
        <f>9.3311 * CHOOSE(CONTROL!$C$32, $C$9, 100%, $E$9)</f>
        <v>9.3310999999999993</v>
      </c>
      <c r="C647" s="9">
        <f>9.3311 * CHOOSE(CONTROL!$C$32, $C$9, 100%, $E$9)</f>
        <v>9.3310999999999993</v>
      </c>
      <c r="D647" s="9">
        <f>9.332 * CHOOSE(CONTROL!$C$32, $C$9, 100%, $E$9)</f>
        <v>9.3320000000000007</v>
      </c>
      <c r="E647" s="11">
        <f>10.4389 * CHOOSE(CONTROL!$C$32, $C$9, 100%, $E$9)</f>
        <v>10.4389</v>
      </c>
      <c r="F647" s="11">
        <f>10.4389 * CHOOSE(CONTROL!$C$32, $C$9, 100%, $E$9)</f>
        <v>10.4389</v>
      </c>
      <c r="G647" s="11">
        <f>10.4422 * CHOOSE(CONTROL!$C$32, $C$9, 100%, $E$9)</f>
        <v>10.4422</v>
      </c>
      <c r="H647" s="11">
        <f>21.4133 * CHOOSE(CONTROL!$C$32, $C$9, 100%, $E$9)</f>
        <v>21.4133</v>
      </c>
      <c r="I647" s="11">
        <f>21.4165 * CHOOSE(CONTROL!$C$32, $C$9, 100%, $E$9)</f>
        <v>21.416499999999999</v>
      </c>
      <c r="J647" s="11">
        <f>21.4133 * CHOOSE(CONTROL!$C$32, $C$9, 100%, $E$9)</f>
        <v>21.4133</v>
      </c>
      <c r="K647" s="11">
        <f>21.4165 * CHOOSE(CONTROL!$C$32, $C$9, 100%, $E$9)</f>
        <v>21.416499999999999</v>
      </c>
      <c r="L647" s="11">
        <f>10.4389 * CHOOSE(CONTROL!$C$32, $C$9, 100%, $E$9)</f>
        <v>10.4389</v>
      </c>
      <c r="M647" s="11">
        <f>10.4422 * CHOOSE(CONTROL!$C$32, $C$9, 100%, $E$9)</f>
        <v>10.4422</v>
      </c>
      <c r="N647" s="11">
        <f>10.4389 * CHOOSE(CONTROL!$C$32, $C$9, 100%, $E$9)</f>
        <v>10.4389</v>
      </c>
      <c r="O647" s="11">
        <f>10.4422 * CHOOSE(CONTROL!$C$32, $C$9, 100%, $E$9)</f>
        <v>10.4422</v>
      </c>
    </row>
    <row r="648" spans="1:15" ht="15" x14ac:dyDescent="0.2">
      <c r="A648" s="13">
        <v>60572</v>
      </c>
      <c r="B648" s="9">
        <f>9.3341 * CHOOSE(CONTROL!$C$32, $C$9, 100%, $E$9)</f>
        <v>9.3340999999999994</v>
      </c>
      <c r="C648" s="9">
        <f>9.3341 * CHOOSE(CONTROL!$C$32, $C$9, 100%, $E$9)</f>
        <v>9.3340999999999994</v>
      </c>
      <c r="D648" s="9">
        <f>9.3351 * CHOOSE(CONTROL!$C$32, $C$9, 100%, $E$9)</f>
        <v>9.3351000000000006</v>
      </c>
      <c r="E648" s="11">
        <f>10.4947 * CHOOSE(CONTROL!$C$32, $C$9, 100%, $E$9)</f>
        <v>10.4947</v>
      </c>
      <c r="F648" s="11">
        <f>10.4947 * CHOOSE(CONTROL!$C$32, $C$9, 100%, $E$9)</f>
        <v>10.4947</v>
      </c>
      <c r="G648" s="11">
        <f>10.4979 * CHOOSE(CONTROL!$C$32, $C$9, 100%, $E$9)</f>
        <v>10.4979</v>
      </c>
      <c r="H648" s="11">
        <f>21.4579 * CHOOSE(CONTROL!$C$32, $C$9, 100%, $E$9)</f>
        <v>21.457899999999999</v>
      </c>
      <c r="I648" s="11">
        <f>21.4611 * CHOOSE(CONTROL!$C$32, $C$9, 100%, $E$9)</f>
        <v>21.461099999999998</v>
      </c>
      <c r="J648" s="11">
        <f>21.4579 * CHOOSE(CONTROL!$C$32, $C$9, 100%, $E$9)</f>
        <v>21.457899999999999</v>
      </c>
      <c r="K648" s="11">
        <f>21.4611 * CHOOSE(CONTROL!$C$32, $C$9, 100%, $E$9)</f>
        <v>21.461099999999998</v>
      </c>
      <c r="L648" s="11">
        <f>10.4947 * CHOOSE(CONTROL!$C$32, $C$9, 100%, $E$9)</f>
        <v>10.4947</v>
      </c>
      <c r="M648" s="11">
        <f>10.4979 * CHOOSE(CONTROL!$C$32, $C$9, 100%, $E$9)</f>
        <v>10.4979</v>
      </c>
      <c r="N648" s="11">
        <f>10.4947 * CHOOSE(CONTROL!$C$32, $C$9, 100%, $E$9)</f>
        <v>10.4947</v>
      </c>
      <c r="O648" s="11">
        <f>10.4979 * CHOOSE(CONTROL!$C$32, $C$9, 100%, $E$9)</f>
        <v>10.4979</v>
      </c>
    </row>
    <row r="649" spans="1:15" ht="15" x14ac:dyDescent="0.2">
      <c r="A649" s="13">
        <v>60602</v>
      </c>
      <c r="B649" s="9">
        <f>9.3341 * CHOOSE(CONTROL!$C$32, $C$9, 100%, $E$9)</f>
        <v>9.3340999999999994</v>
      </c>
      <c r="C649" s="9">
        <f>9.3341 * CHOOSE(CONTROL!$C$32, $C$9, 100%, $E$9)</f>
        <v>9.3340999999999994</v>
      </c>
      <c r="D649" s="9">
        <f>9.3351 * CHOOSE(CONTROL!$C$32, $C$9, 100%, $E$9)</f>
        <v>9.3351000000000006</v>
      </c>
      <c r="E649" s="11">
        <f>10.3606 * CHOOSE(CONTROL!$C$32, $C$9, 100%, $E$9)</f>
        <v>10.3606</v>
      </c>
      <c r="F649" s="11">
        <f>10.3606 * CHOOSE(CONTROL!$C$32, $C$9, 100%, $E$9)</f>
        <v>10.3606</v>
      </c>
      <c r="G649" s="11">
        <f>10.3638 * CHOOSE(CONTROL!$C$32, $C$9, 100%, $E$9)</f>
        <v>10.363799999999999</v>
      </c>
      <c r="H649" s="11">
        <f>21.5026 * CHOOSE(CONTROL!$C$32, $C$9, 100%, $E$9)</f>
        <v>21.502600000000001</v>
      </c>
      <c r="I649" s="11">
        <f>21.5058 * CHOOSE(CONTROL!$C$32, $C$9, 100%, $E$9)</f>
        <v>21.505800000000001</v>
      </c>
      <c r="J649" s="11">
        <f>21.5026 * CHOOSE(CONTROL!$C$32, $C$9, 100%, $E$9)</f>
        <v>21.502600000000001</v>
      </c>
      <c r="K649" s="11">
        <f>21.5058 * CHOOSE(CONTROL!$C$32, $C$9, 100%, $E$9)</f>
        <v>21.505800000000001</v>
      </c>
      <c r="L649" s="11">
        <f>10.3606 * CHOOSE(CONTROL!$C$32, $C$9, 100%, $E$9)</f>
        <v>10.3606</v>
      </c>
      <c r="M649" s="11">
        <f>10.3638 * CHOOSE(CONTROL!$C$32, $C$9, 100%, $E$9)</f>
        <v>10.363799999999999</v>
      </c>
      <c r="N649" s="11">
        <f>10.3606 * CHOOSE(CONTROL!$C$32, $C$9, 100%, $E$9)</f>
        <v>10.3606</v>
      </c>
      <c r="O649" s="11">
        <f>10.3638 * CHOOSE(CONTROL!$C$32, $C$9, 100%, $E$9)</f>
        <v>10.363799999999999</v>
      </c>
    </row>
    <row r="650" spans="1:15" ht="15" x14ac:dyDescent="0.2">
      <c r="A650" s="13">
        <v>60633</v>
      </c>
      <c r="B650" s="9">
        <f>9.3816 * CHOOSE(CONTROL!$C$32, $C$9, 100%, $E$9)</f>
        <v>9.3816000000000006</v>
      </c>
      <c r="C650" s="9">
        <f>9.3816 * CHOOSE(CONTROL!$C$32, $C$9, 100%, $E$9)</f>
        <v>9.3816000000000006</v>
      </c>
      <c r="D650" s="9">
        <f>9.3826 * CHOOSE(CONTROL!$C$32, $C$9, 100%, $E$9)</f>
        <v>9.3826000000000001</v>
      </c>
      <c r="E650" s="11">
        <f>10.5205 * CHOOSE(CONTROL!$C$32, $C$9, 100%, $E$9)</f>
        <v>10.5205</v>
      </c>
      <c r="F650" s="11">
        <f>10.5205 * CHOOSE(CONTROL!$C$32, $C$9, 100%, $E$9)</f>
        <v>10.5205</v>
      </c>
      <c r="G650" s="11">
        <f>10.5237 * CHOOSE(CONTROL!$C$32, $C$9, 100%, $E$9)</f>
        <v>10.5237</v>
      </c>
      <c r="H650" s="11">
        <f>21.4878 * CHOOSE(CONTROL!$C$32, $C$9, 100%, $E$9)</f>
        <v>21.4878</v>
      </c>
      <c r="I650" s="11">
        <f>21.491 * CHOOSE(CONTROL!$C$32, $C$9, 100%, $E$9)</f>
        <v>21.491</v>
      </c>
      <c r="J650" s="11">
        <f>21.4878 * CHOOSE(CONTROL!$C$32, $C$9, 100%, $E$9)</f>
        <v>21.4878</v>
      </c>
      <c r="K650" s="11">
        <f>21.491 * CHOOSE(CONTROL!$C$32, $C$9, 100%, $E$9)</f>
        <v>21.491</v>
      </c>
      <c r="L650" s="11">
        <f>10.5205 * CHOOSE(CONTROL!$C$32, $C$9, 100%, $E$9)</f>
        <v>10.5205</v>
      </c>
      <c r="M650" s="11">
        <f>10.5237 * CHOOSE(CONTROL!$C$32, $C$9, 100%, $E$9)</f>
        <v>10.5237</v>
      </c>
      <c r="N650" s="11">
        <f>10.5205 * CHOOSE(CONTROL!$C$32, $C$9, 100%, $E$9)</f>
        <v>10.5205</v>
      </c>
      <c r="O650" s="11">
        <f>10.5237 * CHOOSE(CONTROL!$C$32, $C$9, 100%, $E$9)</f>
        <v>10.5237</v>
      </c>
    </row>
    <row r="651" spans="1:15" ht="15" x14ac:dyDescent="0.2">
      <c r="A651" s="13">
        <v>60664</v>
      </c>
      <c r="B651" s="9">
        <f>9.3786 * CHOOSE(CONTROL!$C$32, $C$9, 100%, $E$9)</f>
        <v>9.3786000000000005</v>
      </c>
      <c r="C651" s="9">
        <f>9.3786 * CHOOSE(CONTROL!$C$32, $C$9, 100%, $E$9)</f>
        <v>9.3786000000000005</v>
      </c>
      <c r="D651" s="9">
        <f>9.3796 * CHOOSE(CONTROL!$C$32, $C$9, 100%, $E$9)</f>
        <v>9.3795999999999999</v>
      </c>
      <c r="E651" s="11">
        <f>10.2578 * CHOOSE(CONTROL!$C$32, $C$9, 100%, $E$9)</f>
        <v>10.2578</v>
      </c>
      <c r="F651" s="11">
        <f>10.2578 * CHOOSE(CONTROL!$C$32, $C$9, 100%, $E$9)</f>
        <v>10.2578</v>
      </c>
      <c r="G651" s="11">
        <f>10.261 * CHOOSE(CONTROL!$C$32, $C$9, 100%, $E$9)</f>
        <v>10.260999999999999</v>
      </c>
      <c r="H651" s="11">
        <f>21.5325 * CHOOSE(CONTROL!$C$32, $C$9, 100%, $E$9)</f>
        <v>21.532499999999999</v>
      </c>
      <c r="I651" s="11">
        <f>21.5357 * CHOOSE(CONTROL!$C$32, $C$9, 100%, $E$9)</f>
        <v>21.535699999999999</v>
      </c>
      <c r="J651" s="11">
        <f>21.5325 * CHOOSE(CONTROL!$C$32, $C$9, 100%, $E$9)</f>
        <v>21.532499999999999</v>
      </c>
      <c r="K651" s="11">
        <f>21.5357 * CHOOSE(CONTROL!$C$32, $C$9, 100%, $E$9)</f>
        <v>21.535699999999999</v>
      </c>
      <c r="L651" s="11">
        <f>10.2578 * CHOOSE(CONTROL!$C$32, $C$9, 100%, $E$9)</f>
        <v>10.2578</v>
      </c>
      <c r="M651" s="11">
        <f>10.261 * CHOOSE(CONTROL!$C$32, $C$9, 100%, $E$9)</f>
        <v>10.260999999999999</v>
      </c>
      <c r="N651" s="11">
        <f>10.2578 * CHOOSE(CONTROL!$C$32, $C$9, 100%, $E$9)</f>
        <v>10.2578</v>
      </c>
      <c r="O651" s="11">
        <f>10.261 * CHOOSE(CONTROL!$C$32, $C$9, 100%, $E$9)</f>
        <v>10.260999999999999</v>
      </c>
    </row>
    <row r="652" spans="1:15" ht="15" x14ac:dyDescent="0.2">
      <c r="A652" s="13">
        <v>60692</v>
      </c>
      <c r="B652" s="9">
        <f>9.3756 * CHOOSE(CONTROL!$C$32, $C$9, 100%, $E$9)</f>
        <v>9.3756000000000004</v>
      </c>
      <c r="C652" s="9">
        <f>9.3756 * CHOOSE(CONTROL!$C$32, $C$9, 100%, $E$9)</f>
        <v>9.3756000000000004</v>
      </c>
      <c r="D652" s="9">
        <f>9.3765 * CHOOSE(CONTROL!$C$32, $C$9, 100%, $E$9)</f>
        <v>9.3765000000000001</v>
      </c>
      <c r="E652" s="11">
        <f>10.4611 * CHOOSE(CONTROL!$C$32, $C$9, 100%, $E$9)</f>
        <v>10.4611</v>
      </c>
      <c r="F652" s="11">
        <f>10.4611 * CHOOSE(CONTROL!$C$32, $C$9, 100%, $E$9)</f>
        <v>10.4611</v>
      </c>
      <c r="G652" s="11">
        <f>10.4643 * CHOOSE(CONTROL!$C$32, $C$9, 100%, $E$9)</f>
        <v>10.4643</v>
      </c>
      <c r="H652" s="11">
        <f>21.5774 * CHOOSE(CONTROL!$C$32, $C$9, 100%, $E$9)</f>
        <v>21.577400000000001</v>
      </c>
      <c r="I652" s="11">
        <f>21.5806 * CHOOSE(CONTROL!$C$32, $C$9, 100%, $E$9)</f>
        <v>21.5806</v>
      </c>
      <c r="J652" s="11">
        <f>21.5774 * CHOOSE(CONTROL!$C$32, $C$9, 100%, $E$9)</f>
        <v>21.577400000000001</v>
      </c>
      <c r="K652" s="11">
        <f>21.5806 * CHOOSE(CONTROL!$C$32, $C$9, 100%, $E$9)</f>
        <v>21.5806</v>
      </c>
      <c r="L652" s="11">
        <f>10.4611 * CHOOSE(CONTROL!$C$32, $C$9, 100%, $E$9)</f>
        <v>10.4611</v>
      </c>
      <c r="M652" s="11">
        <f>10.4643 * CHOOSE(CONTROL!$C$32, $C$9, 100%, $E$9)</f>
        <v>10.4643</v>
      </c>
      <c r="N652" s="11">
        <f>10.4611 * CHOOSE(CONTROL!$C$32, $C$9, 100%, $E$9)</f>
        <v>10.4611</v>
      </c>
      <c r="O652" s="11">
        <f>10.4643 * CHOOSE(CONTROL!$C$32, $C$9, 100%, $E$9)</f>
        <v>10.4643</v>
      </c>
    </row>
    <row r="653" spans="1:15" ht="15" x14ac:dyDescent="0.2">
      <c r="A653" s="13">
        <v>60723</v>
      </c>
      <c r="B653" s="9">
        <f>9.3784 * CHOOSE(CONTROL!$C$32, $C$9, 100%, $E$9)</f>
        <v>9.3783999999999992</v>
      </c>
      <c r="C653" s="9">
        <f>9.3784 * CHOOSE(CONTROL!$C$32, $C$9, 100%, $E$9)</f>
        <v>9.3783999999999992</v>
      </c>
      <c r="D653" s="9">
        <f>9.3794 * CHOOSE(CONTROL!$C$32, $C$9, 100%, $E$9)</f>
        <v>9.3794000000000004</v>
      </c>
      <c r="E653" s="11">
        <f>10.6775 * CHOOSE(CONTROL!$C$32, $C$9, 100%, $E$9)</f>
        <v>10.6775</v>
      </c>
      <c r="F653" s="11">
        <f>10.6775 * CHOOSE(CONTROL!$C$32, $C$9, 100%, $E$9)</f>
        <v>10.6775</v>
      </c>
      <c r="G653" s="11">
        <f>10.6807 * CHOOSE(CONTROL!$C$32, $C$9, 100%, $E$9)</f>
        <v>10.6807</v>
      </c>
      <c r="H653" s="11">
        <f>21.6223 * CHOOSE(CONTROL!$C$32, $C$9, 100%, $E$9)</f>
        <v>21.622299999999999</v>
      </c>
      <c r="I653" s="11">
        <f>21.6256 * CHOOSE(CONTROL!$C$32, $C$9, 100%, $E$9)</f>
        <v>21.625599999999999</v>
      </c>
      <c r="J653" s="11">
        <f>21.6223 * CHOOSE(CONTROL!$C$32, $C$9, 100%, $E$9)</f>
        <v>21.622299999999999</v>
      </c>
      <c r="K653" s="11">
        <f>21.6256 * CHOOSE(CONTROL!$C$32, $C$9, 100%, $E$9)</f>
        <v>21.625599999999999</v>
      </c>
      <c r="L653" s="11">
        <f>10.6775 * CHOOSE(CONTROL!$C$32, $C$9, 100%, $E$9)</f>
        <v>10.6775</v>
      </c>
      <c r="M653" s="11">
        <f>10.6807 * CHOOSE(CONTROL!$C$32, $C$9, 100%, $E$9)</f>
        <v>10.6807</v>
      </c>
      <c r="N653" s="11">
        <f>10.6775 * CHOOSE(CONTROL!$C$32, $C$9, 100%, $E$9)</f>
        <v>10.6775</v>
      </c>
      <c r="O653" s="11">
        <f>10.6807 * CHOOSE(CONTROL!$C$32, $C$9, 100%, $E$9)</f>
        <v>10.6807</v>
      </c>
    </row>
    <row r="654" spans="1:15" ht="15" x14ac:dyDescent="0.2">
      <c r="A654" s="13">
        <v>60753</v>
      </c>
      <c r="B654" s="9">
        <f>9.3784 * CHOOSE(CONTROL!$C$32, $C$9, 100%, $E$9)</f>
        <v>9.3783999999999992</v>
      </c>
      <c r="C654" s="9">
        <f>9.3784 * CHOOSE(CONTROL!$C$32, $C$9, 100%, $E$9)</f>
        <v>9.3783999999999992</v>
      </c>
      <c r="D654" s="9">
        <f>9.3797 * CHOOSE(CONTROL!$C$32, $C$9, 100%, $E$9)</f>
        <v>9.3796999999999997</v>
      </c>
      <c r="E654" s="11">
        <f>10.7602 * CHOOSE(CONTROL!$C$32, $C$9, 100%, $E$9)</f>
        <v>10.760199999999999</v>
      </c>
      <c r="F654" s="11">
        <f>10.7602 * CHOOSE(CONTROL!$C$32, $C$9, 100%, $E$9)</f>
        <v>10.760199999999999</v>
      </c>
      <c r="G654" s="11">
        <f>10.7644 * CHOOSE(CONTROL!$C$32, $C$9, 100%, $E$9)</f>
        <v>10.7644</v>
      </c>
      <c r="H654" s="11">
        <f>21.6674 * CHOOSE(CONTROL!$C$32, $C$9, 100%, $E$9)</f>
        <v>21.667400000000001</v>
      </c>
      <c r="I654" s="11">
        <f>21.6716 * CHOOSE(CONTROL!$C$32, $C$9, 100%, $E$9)</f>
        <v>21.671600000000002</v>
      </c>
      <c r="J654" s="11">
        <f>21.6674 * CHOOSE(CONTROL!$C$32, $C$9, 100%, $E$9)</f>
        <v>21.667400000000001</v>
      </c>
      <c r="K654" s="11">
        <f>21.6716 * CHOOSE(CONTROL!$C$32, $C$9, 100%, $E$9)</f>
        <v>21.671600000000002</v>
      </c>
      <c r="L654" s="11">
        <f>10.7602 * CHOOSE(CONTROL!$C$32, $C$9, 100%, $E$9)</f>
        <v>10.760199999999999</v>
      </c>
      <c r="M654" s="11">
        <f>10.7644 * CHOOSE(CONTROL!$C$32, $C$9, 100%, $E$9)</f>
        <v>10.7644</v>
      </c>
      <c r="N654" s="11">
        <f>10.7602 * CHOOSE(CONTROL!$C$32, $C$9, 100%, $E$9)</f>
        <v>10.760199999999999</v>
      </c>
      <c r="O654" s="11">
        <f>10.7644 * CHOOSE(CONTROL!$C$32, $C$9, 100%, $E$9)</f>
        <v>10.7644</v>
      </c>
    </row>
    <row r="655" spans="1:15" ht="15" x14ac:dyDescent="0.2">
      <c r="A655" s="13">
        <v>60784</v>
      </c>
      <c r="B655" s="9">
        <f>9.3845 * CHOOSE(CONTROL!$C$32, $C$9, 100%, $E$9)</f>
        <v>9.3844999999999992</v>
      </c>
      <c r="C655" s="9">
        <f>9.3845 * CHOOSE(CONTROL!$C$32, $C$9, 100%, $E$9)</f>
        <v>9.3844999999999992</v>
      </c>
      <c r="D655" s="9">
        <f>9.3857 * CHOOSE(CONTROL!$C$32, $C$9, 100%, $E$9)</f>
        <v>9.3856999999999999</v>
      </c>
      <c r="E655" s="11">
        <f>10.6817 * CHOOSE(CONTROL!$C$32, $C$9, 100%, $E$9)</f>
        <v>10.681699999999999</v>
      </c>
      <c r="F655" s="11">
        <f>10.6817 * CHOOSE(CONTROL!$C$32, $C$9, 100%, $E$9)</f>
        <v>10.681699999999999</v>
      </c>
      <c r="G655" s="11">
        <f>10.6859 * CHOOSE(CONTROL!$C$32, $C$9, 100%, $E$9)</f>
        <v>10.6859</v>
      </c>
      <c r="H655" s="11">
        <f>21.7125 * CHOOSE(CONTROL!$C$32, $C$9, 100%, $E$9)</f>
        <v>21.712499999999999</v>
      </c>
      <c r="I655" s="11">
        <f>21.7167 * CHOOSE(CONTROL!$C$32, $C$9, 100%, $E$9)</f>
        <v>21.716699999999999</v>
      </c>
      <c r="J655" s="11">
        <f>21.7125 * CHOOSE(CONTROL!$C$32, $C$9, 100%, $E$9)</f>
        <v>21.712499999999999</v>
      </c>
      <c r="K655" s="11">
        <f>21.7167 * CHOOSE(CONTROL!$C$32, $C$9, 100%, $E$9)</f>
        <v>21.716699999999999</v>
      </c>
      <c r="L655" s="11">
        <f>10.6817 * CHOOSE(CONTROL!$C$32, $C$9, 100%, $E$9)</f>
        <v>10.681699999999999</v>
      </c>
      <c r="M655" s="11">
        <f>10.6859 * CHOOSE(CONTROL!$C$32, $C$9, 100%, $E$9)</f>
        <v>10.6859</v>
      </c>
      <c r="N655" s="11">
        <f>10.6817 * CHOOSE(CONTROL!$C$32, $C$9, 100%, $E$9)</f>
        <v>10.681699999999999</v>
      </c>
      <c r="O655" s="11">
        <f>10.6859 * CHOOSE(CONTROL!$C$32, $C$9, 100%, $E$9)</f>
        <v>10.6859</v>
      </c>
    </row>
    <row r="656" spans="1:15" ht="15" x14ac:dyDescent="0.2">
      <c r="A656" s="13">
        <v>60814</v>
      </c>
      <c r="B656" s="9">
        <f>9.5021 * CHOOSE(CONTROL!$C$32, $C$9, 100%, $E$9)</f>
        <v>9.5021000000000004</v>
      </c>
      <c r="C656" s="9">
        <f>9.5021 * CHOOSE(CONTROL!$C$32, $C$9, 100%, $E$9)</f>
        <v>9.5021000000000004</v>
      </c>
      <c r="D656" s="9">
        <f>9.5034 * CHOOSE(CONTROL!$C$32, $C$9, 100%, $E$9)</f>
        <v>9.5033999999999992</v>
      </c>
      <c r="E656" s="11">
        <f>10.8309 * CHOOSE(CONTROL!$C$32, $C$9, 100%, $E$9)</f>
        <v>10.8309</v>
      </c>
      <c r="F656" s="11">
        <f>10.8309 * CHOOSE(CONTROL!$C$32, $C$9, 100%, $E$9)</f>
        <v>10.8309</v>
      </c>
      <c r="G656" s="11">
        <f>10.8351 * CHOOSE(CONTROL!$C$32, $C$9, 100%, $E$9)</f>
        <v>10.835100000000001</v>
      </c>
      <c r="H656" s="11">
        <f>21.7578 * CHOOSE(CONTROL!$C$32, $C$9, 100%, $E$9)</f>
        <v>21.7578</v>
      </c>
      <c r="I656" s="11">
        <f>21.762 * CHOOSE(CONTROL!$C$32, $C$9, 100%, $E$9)</f>
        <v>21.762</v>
      </c>
      <c r="J656" s="11">
        <f>21.7578 * CHOOSE(CONTROL!$C$32, $C$9, 100%, $E$9)</f>
        <v>21.7578</v>
      </c>
      <c r="K656" s="11">
        <f>21.762 * CHOOSE(CONTROL!$C$32, $C$9, 100%, $E$9)</f>
        <v>21.762</v>
      </c>
      <c r="L656" s="11">
        <f>10.8309 * CHOOSE(CONTROL!$C$32, $C$9, 100%, $E$9)</f>
        <v>10.8309</v>
      </c>
      <c r="M656" s="11">
        <f>10.8351 * CHOOSE(CONTROL!$C$32, $C$9, 100%, $E$9)</f>
        <v>10.835100000000001</v>
      </c>
      <c r="N656" s="11">
        <f>10.8309 * CHOOSE(CONTROL!$C$32, $C$9, 100%, $E$9)</f>
        <v>10.8309</v>
      </c>
      <c r="O656" s="11">
        <f>10.8351 * CHOOSE(CONTROL!$C$32, $C$9, 100%, $E$9)</f>
        <v>10.835100000000001</v>
      </c>
    </row>
    <row r="657" spans="1:15" ht="15" x14ac:dyDescent="0.2">
      <c r="A657" s="13">
        <v>60845</v>
      </c>
      <c r="B657" s="9">
        <f>9.5088 * CHOOSE(CONTROL!$C$32, $C$9, 100%, $E$9)</f>
        <v>9.5088000000000008</v>
      </c>
      <c r="C657" s="9">
        <f>9.5088 * CHOOSE(CONTROL!$C$32, $C$9, 100%, $E$9)</f>
        <v>9.5088000000000008</v>
      </c>
      <c r="D657" s="9">
        <f>9.5101 * CHOOSE(CONTROL!$C$32, $C$9, 100%, $E$9)</f>
        <v>9.5100999999999996</v>
      </c>
      <c r="E657" s="11">
        <f>10.5874 * CHOOSE(CONTROL!$C$32, $C$9, 100%, $E$9)</f>
        <v>10.587400000000001</v>
      </c>
      <c r="F657" s="11">
        <f>10.5874 * CHOOSE(CONTROL!$C$32, $C$9, 100%, $E$9)</f>
        <v>10.587400000000001</v>
      </c>
      <c r="G657" s="11">
        <f>10.5916 * CHOOSE(CONTROL!$C$32, $C$9, 100%, $E$9)</f>
        <v>10.5916</v>
      </c>
      <c r="H657" s="11">
        <f>21.8031 * CHOOSE(CONTROL!$C$32, $C$9, 100%, $E$9)</f>
        <v>21.803100000000001</v>
      </c>
      <c r="I657" s="11">
        <f>21.8073 * CHOOSE(CONTROL!$C$32, $C$9, 100%, $E$9)</f>
        <v>21.807300000000001</v>
      </c>
      <c r="J657" s="11">
        <f>21.8031 * CHOOSE(CONTROL!$C$32, $C$9, 100%, $E$9)</f>
        <v>21.803100000000001</v>
      </c>
      <c r="K657" s="11">
        <f>21.8073 * CHOOSE(CONTROL!$C$32, $C$9, 100%, $E$9)</f>
        <v>21.807300000000001</v>
      </c>
      <c r="L657" s="11">
        <f>10.5874 * CHOOSE(CONTROL!$C$32, $C$9, 100%, $E$9)</f>
        <v>10.587400000000001</v>
      </c>
      <c r="M657" s="11">
        <f>10.5916 * CHOOSE(CONTROL!$C$32, $C$9, 100%, $E$9)</f>
        <v>10.5916</v>
      </c>
      <c r="N657" s="11">
        <f>10.5874 * CHOOSE(CONTROL!$C$32, $C$9, 100%, $E$9)</f>
        <v>10.587400000000001</v>
      </c>
      <c r="O657" s="11">
        <f>10.5916 * CHOOSE(CONTROL!$C$32, $C$9, 100%, $E$9)</f>
        <v>10.5916</v>
      </c>
    </row>
    <row r="658" spans="1:15" ht="15" x14ac:dyDescent="0.2">
      <c r="A658" s="13">
        <v>60876</v>
      </c>
      <c r="B658" s="9">
        <f>9.5058 * CHOOSE(CONTROL!$C$32, $C$9, 100%, $E$9)</f>
        <v>9.5058000000000007</v>
      </c>
      <c r="C658" s="9">
        <f>9.5058 * CHOOSE(CONTROL!$C$32, $C$9, 100%, $E$9)</f>
        <v>9.5058000000000007</v>
      </c>
      <c r="D658" s="9">
        <f>9.507 * CHOOSE(CONTROL!$C$32, $C$9, 100%, $E$9)</f>
        <v>9.5069999999999997</v>
      </c>
      <c r="E658" s="11">
        <f>10.5577 * CHOOSE(CONTROL!$C$32, $C$9, 100%, $E$9)</f>
        <v>10.557700000000001</v>
      </c>
      <c r="F658" s="11">
        <f>10.5577 * CHOOSE(CONTROL!$C$32, $C$9, 100%, $E$9)</f>
        <v>10.557700000000001</v>
      </c>
      <c r="G658" s="11">
        <f>10.5619 * CHOOSE(CONTROL!$C$32, $C$9, 100%, $E$9)</f>
        <v>10.5619</v>
      </c>
      <c r="H658" s="11">
        <f>21.8485 * CHOOSE(CONTROL!$C$32, $C$9, 100%, $E$9)</f>
        <v>21.848500000000001</v>
      </c>
      <c r="I658" s="11">
        <f>21.8527 * CHOOSE(CONTROL!$C$32, $C$9, 100%, $E$9)</f>
        <v>21.852699999999999</v>
      </c>
      <c r="J658" s="11">
        <f>21.8485 * CHOOSE(CONTROL!$C$32, $C$9, 100%, $E$9)</f>
        <v>21.848500000000001</v>
      </c>
      <c r="K658" s="11">
        <f>21.8527 * CHOOSE(CONTROL!$C$32, $C$9, 100%, $E$9)</f>
        <v>21.852699999999999</v>
      </c>
      <c r="L658" s="11">
        <f>10.5577 * CHOOSE(CONTROL!$C$32, $C$9, 100%, $E$9)</f>
        <v>10.557700000000001</v>
      </c>
      <c r="M658" s="11">
        <f>10.5619 * CHOOSE(CONTROL!$C$32, $C$9, 100%, $E$9)</f>
        <v>10.5619</v>
      </c>
      <c r="N658" s="11">
        <f>10.5577 * CHOOSE(CONTROL!$C$32, $C$9, 100%, $E$9)</f>
        <v>10.557700000000001</v>
      </c>
      <c r="O658" s="11">
        <f>10.5619 * CHOOSE(CONTROL!$C$32, $C$9, 100%, $E$9)</f>
        <v>10.5619</v>
      </c>
    </row>
    <row r="659" spans="1:15" ht="15" x14ac:dyDescent="0.2">
      <c r="A659" s="13">
        <v>60906</v>
      </c>
      <c r="B659" s="9">
        <f>9.5214 * CHOOSE(CONTROL!$C$32, $C$9, 100%, $E$9)</f>
        <v>9.5213999999999999</v>
      </c>
      <c r="C659" s="9">
        <f>9.5214 * CHOOSE(CONTROL!$C$32, $C$9, 100%, $E$9)</f>
        <v>9.5213999999999999</v>
      </c>
      <c r="D659" s="9">
        <f>9.5223 * CHOOSE(CONTROL!$C$32, $C$9, 100%, $E$9)</f>
        <v>9.5222999999999995</v>
      </c>
      <c r="E659" s="11">
        <f>10.6546 * CHOOSE(CONTROL!$C$32, $C$9, 100%, $E$9)</f>
        <v>10.6546</v>
      </c>
      <c r="F659" s="11">
        <f>10.6546 * CHOOSE(CONTROL!$C$32, $C$9, 100%, $E$9)</f>
        <v>10.6546</v>
      </c>
      <c r="G659" s="11">
        <f>10.6578 * CHOOSE(CONTROL!$C$32, $C$9, 100%, $E$9)</f>
        <v>10.6578</v>
      </c>
      <c r="H659" s="11">
        <f>21.894 * CHOOSE(CONTROL!$C$32, $C$9, 100%, $E$9)</f>
        <v>21.893999999999998</v>
      </c>
      <c r="I659" s="11">
        <f>21.8972 * CHOOSE(CONTROL!$C$32, $C$9, 100%, $E$9)</f>
        <v>21.897200000000002</v>
      </c>
      <c r="J659" s="11">
        <f>21.894 * CHOOSE(CONTROL!$C$32, $C$9, 100%, $E$9)</f>
        <v>21.893999999999998</v>
      </c>
      <c r="K659" s="11">
        <f>21.8972 * CHOOSE(CONTROL!$C$32, $C$9, 100%, $E$9)</f>
        <v>21.897200000000002</v>
      </c>
      <c r="L659" s="11">
        <f>10.6546 * CHOOSE(CONTROL!$C$32, $C$9, 100%, $E$9)</f>
        <v>10.6546</v>
      </c>
      <c r="M659" s="11">
        <f>10.6578 * CHOOSE(CONTROL!$C$32, $C$9, 100%, $E$9)</f>
        <v>10.6578</v>
      </c>
      <c r="N659" s="11">
        <f>10.6546 * CHOOSE(CONTROL!$C$32, $C$9, 100%, $E$9)</f>
        <v>10.6546</v>
      </c>
      <c r="O659" s="11">
        <f>10.6578 * CHOOSE(CONTROL!$C$32, $C$9, 100%, $E$9)</f>
        <v>10.6578</v>
      </c>
    </row>
    <row r="660" spans="1:15" ht="15" x14ac:dyDescent="0.2">
      <c r="A660" s="13">
        <v>60937</v>
      </c>
      <c r="B660" s="9">
        <f>9.5244 * CHOOSE(CONTROL!$C$32, $C$9, 100%, $E$9)</f>
        <v>9.5244</v>
      </c>
      <c r="C660" s="9">
        <f>9.5244 * CHOOSE(CONTROL!$C$32, $C$9, 100%, $E$9)</f>
        <v>9.5244</v>
      </c>
      <c r="D660" s="9">
        <f>9.5254 * CHOOSE(CONTROL!$C$32, $C$9, 100%, $E$9)</f>
        <v>9.5253999999999994</v>
      </c>
      <c r="E660" s="11">
        <f>10.7119 * CHOOSE(CONTROL!$C$32, $C$9, 100%, $E$9)</f>
        <v>10.7119</v>
      </c>
      <c r="F660" s="11">
        <f>10.7119 * CHOOSE(CONTROL!$C$32, $C$9, 100%, $E$9)</f>
        <v>10.7119</v>
      </c>
      <c r="G660" s="11">
        <f>10.7151 * CHOOSE(CONTROL!$C$32, $C$9, 100%, $E$9)</f>
        <v>10.7151</v>
      </c>
      <c r="H660" s="11">
        <f>21.9396 * CHOOSE(CONTROL!$C$32, $C$9, 100%, $E$9)</f>
        <v>21.939599999999999</v>
      </c>
      <c r="I660" s="11">
        <f>21.9429 * CHOOSE(CONTROL!$C$32, $C$9, 100%, $E$9)</f>
        <v>21.942900000000002</v>
      </c>
      <c r="J660" s="11">
        <f>21.9396 * CHOOSE(CONTROL!$C$32, $C$9, 100%, $E$9)</f>
        <v>21.939599999999999</v>
      </c>
      <c r="K660" s="11">
        <f>21.9429 * CHOOSE(CONTROL!$C$32, $C$9, 100%, $E$9)</f>
        <v>21.942900000000002</v>
      </c>
      <c r="L660" s="11">
        <f>10.7119 * CHOOSE(CONTROL!$C$32, $C$9, 100%, $E$9)</f>
        <v>10.7119</v>
      </c>
      <c r="M660" s="11">
        <f>10.7151 * CHOOSE(CONTROL!$C$32, $C$9, 100%, $E$9)</f>
        <v>10.7151</v>
      </c>
      <c r="N660" s="11">
        <f>10.7119 * CHOOSE(CONTROL!$C$32, $C$9, 100%, $E$9)</f>
        <v>10.7119</v>
      </c>
      <c r="O660" s="11">
        <f>10.7151 * CHOOSE(CONTROL!$C$32, $C$9, 100%, $E$9)</f>
        <v>10.7151</v>
      </c>
    </row>
    <row r="661" spans="1:15" ht="15" x14ac:dyDescent="0.2">
      <c r="A661" s="13">
        <v>60967</v>
      </c>
      <c r="B661" s="9">
        <f>9.5244 * CHOOSE(CONTROL!$C$32, $C$9, 100%, $E$9)</f>
        <v>9.5244</v>
      </c>
      <c r="C661" s="9">
        <f>9.5244 * CHOOSE(CONTROL!$C$32, $C$9, 100%, $E$9)</f>
        <v>9.5244</v>
      </c>
      <c r="D661" s="9">
        <f>9.5254 * CHOOSE(CONTROL!$C$32, $C$9, 100%, $E$9)</f>
        <v>9.5253999999999994</v>
      </c>
      <c r="E661" s="11">
        <f>10.574 * CHOOSE(CONTROL!$C$32, $C$9, 100%, $E$9)</f>
        <v>10.574</v>
      </c>
      <c r="F661" s="11">
        <f>10.574 * CHOOSE(CONTROL!$C$32, $C$9, 100%, $E$9)</f>
        <v>10.574</v>
      </c>
      <c r="G661" s="11">
        <f>10.5772 * CHOOSE(CONTROL!$C$32, $C$9, 100%, $E$9)</f>
        <v>10.577199999999999</v>
      </c>
      <c r="H661" s="11">
        <f>21.9853 * CHOOSE(CONTROL!$C$32, $C$9, 100%, $E$9)</f>
        <v>21.985299999999999</v>
      </c>
      <c r="I661" s="11">
        <f>21.9886 * CHOOSE(CONTROL!$C$32, $C$9, 100%, $E$9)</f>
        <v>21.988600000000002</v>
      </c>
      <c r="J661" s="11">
        <f>21.9853 * CHOOSE(CONTROL!$C$32, $C$9, 100%, $E$9)</f>
        <v>21.985299999999999</v>
      </c>
      <c r="K661" s="11">
        <f>21.9886 * CHOOSE(CONTROL!$C$32, $C$9, 100%, $E$9)</f>
        <v>21.988600000000002</v>
      </c>
      <c r="L661" s="11">
        <f>10.574 * CHOOSE(CONTROL!$C$32, $C$9, 100%, $E$9)</f>
        <v>10.574</v>
      </c>
      <c r="M661" s="11">
        <f>10.5772 * CHOOSE(CONTROL!$C$32, $C$9, 100%, $E$9)</f>
        <v>10.577199999999999</v>
      </c>
      <c r="N661" s="11">
        <f>10.574 * CHOOSE(CONTROL!$C$32, $C$9, 100%, $E$9)</f>
        <v>10.574</v>
      </c>
      <c r="O661" s="11">
        <f>10.5772 * CHOOSE(CONTROL!$C$32, $C$9, 100%, $E$9)</f>
        <v>10.577199999999999</v>
      </c>
    </row>
    <row r="662" spans="1:15" ht="15" x14ac:dyDescent="0.2">
      <c r="A662" s="13">
        <v>60998</v>
      </c>
      <c r="B662" s="9">
        <f>9.569 * CHOOSE(CONTROL!$C$32, $C$9, 100%, $E$9)</f>
        <v>9.5690000000000008</v>
      </c>
      <c r="C662" s="9">
        <f>9.569 * CHOOSE(CONTROL!$C$32, $C$9, 100%, $E$9)</f>
        <v>9.5690000000000008</v>
      </c>
      <c r="D662" s="9">
        <f>9.57 * CHOOSE(CONTROL!$C$32, $C$9, 100%, $E$9)</f>
        <v>9.57</v>
      </c>
      <c r="E662" s="11">
        <f>10.733 * CHOOSE(CONTROL!$C$32, $C$9, 100%, $E$9)</f>
        <v>10.733000000000001</v>
      </c>
      <c r="F662" s="11">
        <f>10.733 * CHOOSE(CONTROL!$C$32, $C$9, 100%, $E$9)</f>
        <v>10.733000000000001</v>
      </c>
      <c r="G662" s="11">
        <f>10.7362 * CHOOSE(CONTROL!$C$32, $C$9, 100%, $E$9)</f>
        <v>10.7362</v>
      </c>
      <c r="H662" s="11">
        <f>21.9596 * CHOOSE(CONTROL!$C$32, $C$9, 100%, $E$9)</f>
        <v>21.959599999999998</v>
      </c>
      <c r="I662" s="11">
        <f>21.9628 * CHOOSE(CONTROL!$C$32, $C$9, 100%, $E$9)</f>
        <v>21.962800000000001</v>
      </c>
      <c r="J662" s="11">
        <f>21.9596 * CHOOSE(CONTROL!$C$32, $C$9, 100%, $E$9)</f>
        <v>21.959599999999998</v>
      </c>
      <c r="K662" s="11">
        <f>21.9628 * CHOOSE(CONTROL!$C$32, $C$9, 100%, $E$9)</f>
        <v>21.962800000000001</v>
      </c>
      <c r="L662" s="11">
        <f>10.733 * CHOOSE(CONTROL!$C$32, $C$9, 100%, $E$9)</f>
        <v>10.733000000000001</v>
      </c>
      <c r="M662" s="11">
        <f>10.7362 * CHOOSE(CONTROL!$C$32, $C$9, 100%, $E$9)</f>
        <v>10.7362</v>
      </c>
      <c r="N662" s="11">
        <f>10.733 * CHOOSE(CONTROL!$C$32, $C$9, 100%, $E$9)</f>
        <v>10.733000000000001</v>
      </c>
      <c r="O662" s="11">
        <f>10.7362 * CHOOSE(CONTROL!$C$32, $C$9, 100%, $E$9)</f>
        <v>10.7362</v>
      </c>
    </row>
    <row r="663" spans="1:15" ht="15" x14ac:dyDescent="0.2">
      <c r="A663" s="13">
        <v>61029</v>
      </c>
      <c r="B663" s="9">
        <f>9.566 * CHOOSE(CONTROL!$C$32, $C$9, 100%, $E$9)</f>
        <v>9.5660000000000007</v>
      </c>
      <c r="C663" s="9">
        <f>9.566 * CHOOSE(CONTROL!$C$32, $C$9, 100%, $E$9)</f>
        <v>9.5660000000000007</v>
      </c>
      <c r="D663" s="9">
        <f>9.5669 * CHOOSE(CONTROL!$C$32, $C$9, 100%, $E$9)</f>
        <v>9.5669000000000004</v>
      </c>
      <c r="E663" s="11">
        <f>10.4632 * CHOOSE(CONTROL!$C$32, $C$9, 100%, $E$9)</f>
        <v>10.463200000000001</v>
      </c>
      <c r="F663" s="11">
        <f>10.4632 * CHOOSE(CONTROL!$C$32, $C$9, 100%, $E$9)</f>
        <v>10.463200000000001</v>
      </c>
      <c r="G663" s="11">
        <f>10.4665 * CHOOSE(CONTROL!$C$32, $C$9, 100%, $E$9)</f>
        <v>10.4665</v>
      </c>
      <c r="H663" s="11">
        <f>22.0053 * CHOOSE(CONTROL!$C$32, $C$9, 100%, $E$9)</f>
        <v>22.005299999999998</v>
      </c>
      <c r="I663" s="11">
        <f>22.0085 * CHOOSE(CONTROL!$C$32, $C$9, 100%, $E$9)</f>
        <v>22.008500000000002</v>
      </c>
      <c r="J663" s="11">
        <f>22.0053 * CHOOSE(CONTROL!$C$32, $C$9, 100%, $E$9)</f>
        <v>22.005299999999998</v>
      </c>
      <c r="K663" s="11">
        <f>22.0085 * CHOOSE(CONTROL!$C$32, $C$9, 100%, $E$9)</f>
        <v>22.008500000000002</v>
      </c>
      <c r="L663" s="11">
        <f>10.4632 * CHOOSE(CONTROL!$C$32, $C$9, 100%, $E$9)</f>
        <v>10.463200000000001</v>
      </c>
      <c r="M663" s="11">
        <f>10.4665 * CHOOSE(CONTROL!$C$32, $C$9, 100%, $E$9)</f>
        <v>10.4665</v>
      </c>
      <c r="N663" s="11">
        <f>10.4632 * CHOOSE(CONTROL!$C$32, $C$9, 100%, $E$9)</f>
        <v>10.463200000000001</v>
      </c>
      <c r="O663" s="11">
        <f>10.4665 * CHOOSE(CONTROL!$C$32, $C$9, 100%, $E$9)</f>
        <v>10.4665</v>
      </c>
    </row>
    <row r="664" spans="1:15" ht="15" x14ac:dyDescent="0.2">
      <c r="A664" s="13">
        <v>61057</v>
      </c>
      <c r="B664" s="9">
        <f>9.5629 * CHOOSE(CONTROL!$C$32, $C$9, 100%, $E$9)</f>
        <v>9.5629000000000008</v>
      </c>
      <c r="C664" s="9">
        <f>9.5629 * CHOOSE(CONTROL!$C$32, $C$9, 100%, $E$9)</f>
        <v>9.5629000000000008</v>
      </c>
      <c r="D664" s="9">
        <f>9.5639 * CHOOSE(CONTROL!$C$32, $C$9, 100%, $E$9)</f>
        <v>9.5639000000000003</v>
      </c>
      <c r="E664" s="11">
        <f>10.6721 * CHOOSE(CONTROL!$C$32, $C$9, 100%, $E$9)</f>
        <v>10.6721</v>
      </c>
      <c r="F664" s="11">
        <f>10.6721 * CHOOSE(CONTROL!$C$32, $C$9, 100%, $E$9)</f>
        <v>10.6721</v>
      </c>
      <c r="G664" s="11">
        <f>10.6753 * CHOOSE(CONTROL!$C$32, $C$9, 100%, $E$9)</f>
        <v>10.6753</v>
      </c>
      <c r="H664" s="11">
        <f>22.0512 * CHOOSE(CONTROL!$C$32, $C$9, 100%, $E$9)</f>
        <v>22.051200000000001</v>
      </c>
      <c r="I664" s="11">
        <f>22.0544 * CHOOSE(CONTROL!$C$32, $C$9, 100%, $E$9)</f>
        <v>22.054400000000001</v>
      </c>
      <c r="J664" s="11">
        <f>22.0512 * CHOOSE(CONTROL!$C$32, $C$9, 100%, $E$9)</f>
        <v>22.051200000000001</v>
      </c>
      <c r="K664" s="11">
        <f>22.0544 * CHOOSE(CONTROL!$C$32, $C$9, 100%, $E$9)</f>
        <v>22.054400000000001</v>
      </c>
      <c r="L664" s="11">
        <f>10.6721 * CHOOSE(CONTROL!$C$32, $C$9, 100%, $E$9)</f>
        <v>10.6721</v>
      </c>
      <c r="M664" s="11">
        <f>10.6753 * CHOOSE(CONTROL!$C$32, $C$9, 100%, $E$9)</f>
        <v>10.6753</v>
      </c>
      <c r="N664" s="11">
        <f>10.6721 * CHOOSE(CONTROL!$C$32, $C$9, 100%, $E$9)</f>
        <v>10.6721</v>
      </c>
      <c r="O664" s="11">
        <f>10.6753 * CHOOSE(CONTROL!$C$32, $C$9, 100%, $E$9)</f>
        <v>10.6753</v>
      </c>
    </row>
    <row r="665" spans="1:15" ht="15" x14ac:dyDescent="0.2">
      <c r="A665" s="13">
        <v>61088</v>
      </c>
      <c r="B665" s="9">
        <f>9.566 * CHOOSE(CONTROL!$C$32, $C$9, 100%, $E$9)</f>
        <v>9.5660000000000007</v>
      </c>
      <c r="C665" s="9">
        <f>9.566 * CHOOSE(CONTROL!$C$32, $C$9, 100%, $E$9)</f>
        <v>9.5660000000000007</v>
      </c>
      <c r="D665" s="9">
        <f>9.5669 * CHOOSE(CONTROL!$C$32, $C$9, 100%, $E$9)</f>
        <v>9.5669000000000004</v>
      </c>
      <c r="E665" s="11">
        <f>10.8945 * CHOOSE(CONTROL!$C$32, $C$9, 100%, $E$9)</f>
        <v>10.894500000000001</v>
      </c>
      <c r="F665" s="11">
        <f>10.8945 * CHOOSE(CONTROL!$C$32, $C$9, 100%, $E$9)</f>
        <v>10.894500000000001</v>
      </c>
      <c r="G665" s="11">
        <f>10.8977 * CHOOSE(CONTROL!$C$32, $C$9, 100%, $E$9)</f>
        <v>10.8977</v>
      </c>
      <c r="H665" s="11">
        <f>22.0971 * CHOOSE(CONTROL!$C$32, $C$9, 100%, $E$9)</f>
        <v>22.097100000000001</v>
      </c>
      <c r="I665" s="11">
        <f>22.1003 * CHOOSE(CONTROL!$C$32, $C$9, 100%, $E$9)</f>
        <v>22.100300000000001</v>
      </c>
      <c r="J665" s="11">
        <f>22.0971 * CHOOSE(CONTROL!$C$32, $C$9, 100%, $E$9)</f>
        <v>22.097100000000001</v>
      </c>
      <c r="K665" s="11">
        <f>22.1003 * CHOOSE(CONTROL!$C$32, $C$9, 100%, $E$9)</f>
        <v>22.100300000000001</v>
      </c>
      <c r="L665" s="11">
        <f>10.8945 * CHOOSE(CONTROL!$C$32, $C$9, 100%, $E$9)</f>
        <v>10.894500000000001</v>
      </c>
      <c r="M665" s="11">
        <f>10.8977 * CHOOSE(CONTROL!$C$32, $C$9, 100%, $E$9)</f>
        <v>10.8977</v>
      </c>
      <c r="N665" s="11">
        <f>10.8945 * CHOOSE(CONTROL!$C$32, $C$9, 100%, $E$9)</f>
        <v>10.894500000000001</v>
      </c>
      <c r="O665" s="11">
        <f>10.8977 * CHOOSE(CONTROL!$C$32, $C$9, 100%, $E$9)</f>
        <v>10.8977</v>
      </c>
    </row>
    <row r="666" spans="1:15" ht="15" x14ac:dyDescent="0.2">
      <c r="A666" s="13">
        <v>61118</v>
      </c>
      <c r="B666" s="9">
        <f>9.566 * CHOOSE(CONTROL!$C$32, $C$9, 100%, $E$9)</f>
        <v>9.5660000000000007</v>
      </c>
      <c r="C666" s="9">
        <f>9.566 * CHOOSE(CONTROL!$C$32, $C$9, 100%, $E$9)</f>
        <v>9.5660000000000007</v>
      </c>
      <c r="D666" s="9">
        <f>9.5672 * CHOOSE(CONTROL!$C$32, $C$9, 100%, $E$9)</f>
        <v>9.5671999999999997</v>
      </c>
      <c r="E666" s="11">
        <f>10.9795 * CHOOSE(CONTROL!$C$32, $C$9, 100%, $E$9)</f>
        <v>10.9795</v>
      </c>
      <c r="F666" s="11">
        <f>10.9795 * CHOOSE(CONTROL!$C$32, $C$9, 100%, $E$9)</f>
        <v>10.9795</v>
      </c>
      <c r="G666" s="11">
        <f>10.9837 * CHOOSE(CONTROL!$C$32, $C$9, 100%, $E$9)</f>
        <v>10.983700000000001</v>
      </c>
      <c r="H666" s="11">
        <f>22.1431 * CHOOSE(CONTROL!$C$32, $C$9, 100%, $E$9)</f>
        <v>22.1431</v>
      </c>
      <c r="I666" s="11">
        <f>22.1473 * CHOOSE(CONTROL!$C$32, $C$9, 100%, $E$9)</f>
        <v>22.147300000000001</v>
      </c>
      <c r="J666" s="11">
        <f>22.1431 * CHOOSE(CONTROL!$C$32, $C$9, 100%, $E$9)</f>
        <v>22.1431</v>
      </c>
      <c r="K666" s="11">
        <f>22.1473 * CHOOSE(CONTROL!$C$32, $C$9, 100%, $E$9)</f>
        <v>22.147300000000001</v>
      </c>
      <c r="L666" s="11">
        <f>10.9795 * CHOOSE(CONTROL!$C$32, $C$9, 100%, $E$9)</f>
        <v>10.9795</v>
      </c>
      <c r="M666" s="11">
        <f>10.9837 * CHOOSE(CONTROL!$C$32, $C$9, 100%, $E$9)</f>
        <v>10.983700000000001</v>
      </c>
      <c r="N666" s="11">
        <f>10.9795 * CHOOSE(CONTROL!$C$32, $C$9, 100%, $E$9)</f>
        <v>10.9795</v>
      </c>
      <c r="O666" s="11">
        <f>10.9837 * CHOOSE(CONTROL!$C$32, $C$9, 100%, $E$9)</f>
        <v>10.983700000000001</v>
      </c>
    </row>
    <row r="667" spans="1:15" ht="15" x14ac:dyDescent="0.2">
      <c r="A667" s="13">
        <v>61149</v>
      </c>
      <c r="B667" s="9">
        <f>9.572 * CHOOSE(CONTROL!$C$32, $C$9, 100%, $E$9)</f>
        <v>9.5719999999999992</v>
      </c>
      <c r="C667" s="9">
        <f>9.572 * CHOOSE(CONTROL!$C$32, $C$9, 100%, $E$9)</f>
        <v>9.5719999999999992</v>
      </c>
      <c r="D667" s="9">
        <f>9.5733 * CHOOSE(CONTROL!$C$32, $C$9, 100%, $E$9)</f>
        <v>9.5732999999999997</v>
      </c>
      <c r="E667" s="11">
        <f>10.8987 * CHOOSE(CONTROL!$C$32, $C$9, 100%, $E$9)</f>
        <v>10.8987</v>
      </c>
      <c r="F667" s="11">
        <f>10.8987 * CHOOSE(CONTROL!$C$32, $C$9, 100%, $E$9)</f>
        <v>10.8987</v>
      </c>
      <c r="G667" s="11">
        <f>10.9029 * CHOOSE(CONTROL!$C$32, $C$9, 100%, $E$9)</f>
        <v>10.902900000000001</v>
      </c>
      <c r="H667" s="11">
        <f>22.1893 * CHOOSE(CONTROL!$C$32, $C$9, 100%, $E$9)</f>
        <v>22.189299999999999</v>
      </c>
      <c r="I667" s="11">
        <f>22.1935 * CHOOSE(CONTROL!$C$32, $C$9, 100%, $E$9)</f>
        <v>22.1935</v>
      </c>
      <c r="J667" s="11">
        <f>22.1893 * CHOOSE(CONTROL!$C$32, $C$9, 100%, $E$9)</f>
        <v>22.189299999999999</v>
      </c>
      <c r="K667" s="11">
        <f>22.1935 * CHOOSE(CONTROL!$C$32, $C$9, 100%, $E$9)</f>
        <v>22.1935</v>
      </c>
      <c r="L667" s="11">
        <f>10.8987 * CHOOSE(CONTROL!$C$32, $C$9, 100%, $E$9)</f>
        <v>10.8987</v>
      </c>
      <c r="M667" s="11">
        <f>10.9029 * CHOOSE(CONTROL!$C$32, $C$9, 100%, $E$9)</f>
        <v>10.902900000000001</v>
      </c>
      <c r="N667" s="11">
        <f>10.8987 * CHOOSE(CONTROL!$C$32, $C$9, 100%, $E$9)</f>
        <v>10.8987</v>
      </c>
      <c r="O667" s="11">
        <f>10.9029 * CHOOSE(CONTROL!$C$32, $C$9, 100%, $E$9)</f>
        <v>10.902900000000001</v>
      </c>
    </row>
    <row r="668" spans="1:15" ht="15" x14ac:dyDescent="0.2">
      <c r="A668" s="13">
        <v>61179</v>
      </c>
      <c r="B668" s="9">
        <f>9.6917 * CHOOSE(CONTROL!$C$32, $C$9, 100%, $E$9)</f>
        <v>9.6917000000000009</v>
      </c>
      <c r="C668" s="9">
        <f>9.6917 * CHOOSE(CONTROL!$C$32, $C$9, 100%, $E$9)</f>
        <v>9.6917000000000009</v>
      </c>
      <c r="D668" s="9">
        <f>9.693 * CHOOSE(CONTROL!$C$32, $C$9, 100%, $E$9)</f>
        <v>9.6929999999999996</v>
      </c>
      <c r="E668" s="11">
        <f>11.0511 * CHOOSE(CONTROL!$C$32, $C$9, 100%, $E$9)</f>
        <v>11.0511</v>
      </c>
      <c r="F668" s="11">
        <f>11.0511 * CHOOSE(CONTROL!$C$32, $C$9, 100%, $E$9)</f>
        <v>11.0511</v>
      </c>
      <c r="G668" s="11">
        <f>11.0553 * CHOOSE(CONTROL!$C$32, $C$9, 100%, $E$9)</f>
        <v>11.055300000000001</v>
      </c>
      <c r="H668" s="11">
        <f>22.2355 * CHOOSE(CONTROL!$C$32, $C$9, 100%, $E$9)</f>
        <v>22.235499999999998</v>
      </c>
      <c r="I668" s="11">
        <f>22.2397 * CHOOSE(CONTROL!$C$32, $C$9, 100%, $E$9)</f>
        <v>22.239699999999999</v>
      </c>
      <c r="J668" s="11">
        <f>22.2355 * CHOOSE(CONTROL!$C$32, $C$9, 100%, $E$9)</f>
        <v>22.235499999999998</v>
      </c>
      <c r="K668" s="11">
        <f>22.2397 * CHOOSE(CONTROL!$C$32, $C$9, 100%, $E$9)</f>
        <v>22.239699999999999</v>
      </c>
      <c r="L668" s="11">
        <f>11.0511 * CHOOSE(CONTROL!$C$32, $C$9, 100%, $E$9)</f>
        <v>11.0511</v>
      </c>
      <c r="M668" s="11">
        <f>11.0553 * CHOOSE(CONTROL!$C$32, $C$9, 100%, $E$9)</f>
        <v>11.055300000000001</v>
      </c>
      <c r="N668" s="11">
        <f>11.0511 * CHOOSE(CONTROL!$C$32, $C$9, 100%, $E$9)</f>
        <v>11.0511</v>
      </c>
      <c r="O668" s="11">
        <f>11.0553 * CHOOSE(CONTROL!$C$32, $C$9, 100%, $E$9)</f>
        <v>11.055300000000001</v>
      </c>
    </row>
    <row r="669" spans="1:15" ht="15" x14ac:dyDescent="0.2">
      <c r="A669" s="13">
        <v>61210</v>
      </c>
      <c r="B669" s="9">
        <f>9.6984 * CHOOSE(CONTROL!$C$32, $C$9, 100%, $E$9)</f>
        <v>9.6983999999999995</v>
      </c>
      <c r="C669" s="9">
        <f>9.6984 * CHOOSE(CONTROL!$C$32, $C$9, 100%, $E$9)</f>
        <v>9.6983999999999995</v>
      </c>
      <c r="D669" s="9">
        <f>9.6997 * CHOOSE(CONTROL!$C$32, $C$9, 100%, $E$9)</f>
        <v>9.6997</v>
      </c>
      <c r="E669" s="11">
        <f>10.8009 * CHOOSE(CONTROL!$C$32, $C$9, 100%, $E$9)</f>
        <v>10.8009</v>
      </c>
      <c r="F669" s="11">
        <f>10.8009 * CHOOSE(CONTROL!$C$32, $C$9, 100%, $E$9)</f>
        <v>10.8009</v>
      </c>
      <c r="G669" s="11">
        <f>10.8051 * CHOOSE(CONTROL!$C$32, $C$9, 100%, $E$9)</f>
        <v>10.805099999999999</v>
      </c>
      <c r="H669" s="11">
        <f>22.2818 * CHOOSE(CONTROL!$C$32, $C$9, 100%, $E$9)</f>
        <v>22.2818</v>
      </c>
      <c r="I669" s="11">
        <f>22.286 * CHOOSE(CONTROL!$C$32, $C$9, 100%, $E$9)</f>
        <v>22.286000000000001</v>
      </c>
      <c r="J669" s="11">
        <f>22.2818 * CHOOSE(CONTROL!$C$32, $C$9, 100%, $E$9)</f>
        <v>22.2818</v>
      </c>
      <c r="K669" s="11">
        <f>22.286 * CHOOSE(CONTROL!$C$32, $C$9, 100%, $E$9)</f>
        <v>22.286000000000001</v>
      </c>
      <c r="L669" s="11">
        <f>10.8009 * CHOOSE(CONTROL!$C$32, $C$9, 100%, $E$9)</f>
        <v>10.8009</v>
      </c>
      <c r="M669" s="11">
        <f>10.8051 * CHOOSE(CONTROL!$C$32, $C$9, 100%, $E$9)</f>
        <v>10.805099999999999</v>
      </c>
      <c r="N669" s="11">
        <f>10.8009 * CHOOSE(CONTROL!$C$32, $C$9, 100%, $E$9)</f>
        <v>10.8009</v>
      </c>
      <c r="O669" s="11">
        <f>10.8051 * CHOOSE(CONTROL!$C$32, $C$9, 100%, $E$9)</f>
        <v>10.805099999999999</v>
      </c>
    </row>
    <row r="670" spans="1:15" ht="15" x14ac:dyDescent="0.2">
      <c r="A670" s="13">
        <v>61241</v>
      </c>
      <c r="B670" s="9">
        <f>9.6954 * CHOOSE(CONTROL!$C$32, $C$9, 100%, $E$9)</f>
        <v>9.6953999999999994</v>
      </c>
      <c r="C670" s="9">
        <f>9.6954 * CHOOSE(CONTROL!$C$32, $C$9, 100%, $E$9)</f>
        <v>9.6953999999999994</v>
      </c>
      <c r="D670" s="9">
        <f>9.6966 * CHOOSE(CONTROL!$C$32, $C$9, 100%, $E$9)</f>
        <v>9.6966000000000001</v>
      </c>
      <c r="E670" s="11">
        <f>10.7704 * CHOOSE(CONTROL!$C$32, $C$9, 100%, $E$9)</f>
        <v>10.7704</v>
      </c>
      <c r="F670" s="11">
        <f>10.7704 * CHOOSE(CONTROL!$C$32, $C$9, 100%, $E$9)</f>
        <v>10.7704</v>
      </c>
      <c r="G670" s="11">
        <f>10.7746 * CHOOSE(CONTROL!$C$32, $C$9, 100%, $E$9)</f>
        <v>10.7746</v>
      </c>
      <c r="H670" s="11">
        <f>22.3282 * CHOOSE(CONTROL!$C$32, $C$9, 100%, $E$9)</f>
        <v>22.328199999999999</v>
      </c>
      <c r="I670" s="11">
        <f>22.3324 * CHOOSE(CONTROL!$C$32, $C$9, 100%, $E$9)</f>
        <v>22.3324</v>
      </c>
      <c r="J670" s="11">
        <f>22.3282 * CHOOSE(CONTROL!$C$32, $C$9, 100%, $E$9)</f>
        <v>22.328199999999999</v>
      </c>
      <c r="K670" s="11">
        <f>22.3324 * CHOOSE(CONTROL!$C$32, $C$9, 100%, $E$9)</f>
        <v>22.3324</v>
      </c>
      <c r="L670" s="11">
        <f>10.7704 * CHOOSE(CONTROL!$C$32, $C$9, 100%, $E$9)</f>
        <v>10.7704</v>
      </c>
      <c r="M670" s="11">
        <f>10.7746 * CHOOSE(CONTROL!$C$32, $C$9, 100%, $E$9)</f>
        <v>10.7746</v>
      </c>
      <c r="N670" s="11">
        <f>10.7704 * CHOOSE(CONTROL!$C$32, $C$9, 100%, $E$9)</f>
        <v>10.7704</v>
      </c>
      <c r="O670" s="11">
        <f>10.7746 * CHOOSE(CONTROL!$C$32, $C$9, 100%, $E$9)</f>
        <v>10.7746</v>
      </c>
    </row>
    <row r="671" spans="1:15" ht="15" x14ac:dyDescent="0.2">
      <c r="A671" s="13">
        <v>61271</v>
      </c>
      <c r="B671" s="9">
        <f>9.7117 * CHOOSE(CONTROL!$C$32, $C$9, 100%, $E$9)</f>
        <v>9.7117000000000004</v>
      </c>
      <c r="C671" s="9">
        <f>9.7117 * CHOOSE(CONTROL!$C$32, $C$9, 100%, $E$9)</f>
        <v>9.7117000000000004</v>
      </c>
      <c r="D671" s="9">
        <f>9.7126 * CHOOSE(CONTROL!$C$32, $C$9, 100%, $E$9)</f>
        <v>9.7126000000000001</v>
      </c>
      <c r="E671" s="11">
        <f>10.8703 * CHOOSE(CONTROL!$C$32, $C$9, 100%, $E$9)</f>
        <v>10.8703</v>
      </c>
      <c r="F671" s="11">
        <f>10.8703 * CHOOSE(CONTROL!$C$32, $C$9, 100%, $E$9)</f>
        <v>10.8703</v>
      </c>
      <c r="G671" s="11">
        <f>10.8735 * CHOOSE(CONTROL!$C$32, $C$9, 100%, $E$9)</f>
        <v>10.8735</v>
      </c>
      <c r="H671" s="11">
        <f>22.3747 * CHOOSE(CONTROL!$C$32, $C$9, 100%, $E$9)</f>
        <v>22.374700000000001</v>
      </c>
      <c r="I671" s="11">
        <f>22.378 * CHOOSE(CONTROL!$C$32, $C$9, 100%, $E$9)</f>
        <v>22.378</v>
      </c>
      <c r="J671" s="11">
        <f>22.3747 * CHOOSE(CONTROL!$C$32, $C$9, 100%, $E$9)</f>
        <v>22.374700000000001</v>
      </c>
      <c r="K671" s="11">
        <f>22.378 * CHOOSE(CONTROL!$C$32, $C$9, 100%, $E$9)</f>
        <v>22.378</v>
      </c>
      <c r="L671" s="11">
        <f>10.8703 * CHOOSE(CONTROL!$C$32, $C$9, 100%, $E$9)</f>
        <v>10.8703</v>
      </c>
      <c r="M671" s="11">
        <f>10.8735 * CHOOSE(CONTROL!$C$32, $C$9, 100%, $E$9)</f>
        <v>10.8735</v>
      </c>
      <c r="N671" s="11">
        <f>10.8703 * CHOOSE(CONTROL!$C$32, $C$9, 100%, $E$9)</f>
        <v>10.8703</v>
      </c>
      <c r="O671" s="11">
        <f>10.8735 * CHOOSE(CONTROL!$C$32, $C$9, 100%, $E$9)</f>
        <v>10.8735</v>
      </c>
    </row>
    <row r="672" spans="1:15" ht="15" x14ac:dyDescent="0.2">
      <c r="A672" s="13">
        <v>61302</v>
      </c>
      <c r="B672" s="9">
        <f>9.7147 * CHOOSE(CONTROL!$C$32, $C$9, 100%, $E$9)</f>
        <v>9.7147000000000006</v>
      </c>
      <c r="C672" s="9">
        <f>9.7147 * CHOOSE(CONTROL!$C$32, $C$9, 100%, $E$9)</f>
        <v>9.7147000000000006</v>
      </c>
      <c r="D672" s="9">
        <f>9.7157 * CHOOSE(CONTROL!$C$32, $C$9, 100%, $E$9)</f>
        <v>9.7157</v>
      </c>
      <c r="E672" s="11">
        <f>10.9291 * CHOOSE(CONTROL!$C$32, $C$9, 100%, $E$9)</f>
        <v>10.9291</v>
      </c>
      <c r="F672" s="11">
        <f>10.9291 * CHOOSE(CONTROL!$C$32, $C$9, 100%, $E$9)</f>
        <v>10.9291</v>
      </c>
      <c r="G672" s="11">
        <f>10.9323 * CHOOSE(CONTROL!$C$32, $C$9, 100%, $E$9)</f>
        <v>10.9323</v>
      </c>
      <c r="H672" s="11">
        <f>22.4214 * CHOOSE(CONTROL!$C$32, $C$9, 100%, $E$9)</f>
        <v>22.421399999999998</v>
      </c>
      <c r="I672" s="11">
        <f>22.4246 * CHOOSE(CONTROL!$C$32, $C$9, 100%, $E$9)</f>
        <v>22.424600000000002</v>
      </c>
      <c r="J672" s="11">
        <f>22.4214 * CHOOSE(CONTROL!$C$32, $C$9, 100%, $E$9)</f>
        <v>22.421399999999998</v>
      </c>
      <c r="K672" s="11">
        <f>22.4246 * CHOOSE(CONTROL!$C$32, $C$9, 100%, $E$9)</f>
        <v>22.424600000000002</v>
      </c>
      <c r="L672" s="11">
        <f>10.9291 * CHOOSE(CONTROL!$C$32, $C$9, 100%, $E$9)</f>
        <v>10.9291</v>
      </c>
      <c r="M672" s="11">
        <f>10.9323 * CHOOSE(CONTROL!$C$32, $C$9, 100%, $E$9)</f>
        <v>10.9323</v>
      </c>
      <c r="N672" s="11">
        <f>10.9291 * CHOOSE(CONTROL!$C$32, $C$9, 100%, $E$9)</f>
        <v>10.9291</v>
      </c>
      <c r="O672" s="11">
        <f>10.9323 * CHOOSE(CONTROL!$C$32, $C$9, 100%, $E$9)</f>
        <v>10.9323</v>
      </c>
    </row>
    <row r="673" spans="1:15" ht="15" x14ac:dyDescent="0.2">
      <c r="A673" s="13">
        <v>61332</v>
      </c>
      <c r="B673" s="9">
        <f>9.7147 * CHOOSE(CONTROL!$C$32, $C$9, 100%, $E$9)</f>
        <v>9.7147000000000006</v>
      </c>
      <c r="C673" s="9">
        <f>9.7147 * CHOOSE(CONTROL!$C$32, $C$9, 100%, $E$9)</f>
        <v>9.7147000000000006</v>
      </c>
      <c r="D673" s="9">
        <f>9.7157 * CHOOSE(CONTROL!$C$32, $C$9, 100%, $E$9)</f>
        <v>9.7157</v>
      </c>
      <c r="E673" s="11">
        <f>10.7874 * CHOOSE(CONTROL!$C$32, $C$9, 100%, $E$9)</f>
        <v>10.7874</v>
      </c>
      <c r="F673" s="11">
        <f>10.7874 * CHOOSE(CONTROL!$C$32, $C$9, 100%, $E$9)</f>
        <v>10.7874</v>
      </c>
      <c r="G673" s="11">
        <f>10.7907 * CHOOSE(CONTROL!$C$32, $C$9, 100%, $E$9)</f>
        <v>10.790699999999999</v>
      </c>
      <c r="H673" s="11">
        <f>22.4681 * CHOOSE(CONTROL!$C$32, $C$9, 100%, $E$9)</f>
        <v>22.4681</v>
      </c>
      <c r="I673" s="11">
        <f>22.4713 * CHOOSE(CONTROL!$C$32, $C$9, 100%, $E$9)</f>
        <v>22.471299999999999</v>
      </c>
      <c r="J673" s="11">
        <f>22.4681 * CHOOSE(CONTROL!$C$32, $C$9, 100%, $E$9)</f>
        <v>22.4681</v>
      </c>
      <c r="K673" s="11">
        <f>22.4713 * CHOOSE(CONTROL!$C$32, $C$9, 100%, $E$9)</f>
        <v>22.471299999999999</v>
      </c>
      <c r="L673" s="11">
        <f>10.7874 * CHOOSE(CONTROL!$C$32, $C$9, 100%, $E$9)</f>
        <v>10.7874</v>
      </c>
      <c r="M673" s="11">
        <f>10.7907 * CHOOSE(CONTROL!$C$32, $C$9, 100%, $E$9)</f>
        <v>10.790699999999999</v>
      </c>
      <c r="N673" s="11">
        <f>10.7874 * CHOOSE(CONTROL!$C$32, $C$9, 100%, $E$9)</f>
        <v>10.7874</v>
      </c>
      <c r="O673" s="11">
        <f>10.7907 * CHOOSE(CONTROL!$C$32, $C$9, 100%, $E$9)</f>
        <v>10.790699999999999</v>
      </c>
    </row>
    <row r="674" spans="1:15" ht="15" x14ac:dyDescent="0.2">
      <c r="A674" s="13">
        <v>61363</v>
      </c>
      <c r="B674" s="9">
        <f>9.7564 * CHOOSE(CONTROL!$C$32, $C$9, 100%, $E$9)</f>
        <v>9.7563999999999993</v>
      </c>
      <c r="C674" s="9">
        <f>9.7564 * CHOOSE(CONTROL!$C$32, $C$9, 100%, $E$9)</f>
        <v>9.7563999999999993</v>
      </c>
      <c r="D674" s="9">
        <f>9.7573 * CHOOSE(CONTROL!$C$32, $C$9, 100%, $E$9)</f>
        <v>9.7573000000000008</v>
      </c>
      <c r="E674" s="11">
        <f>10.9455 * CHOOSE(CONTROL!$C$32, $C$9, 100%, $E$9)</f>
        <v>10.945499999999999</v>
      </c>
      <c r="F674" s="11">
        <f>10.9455 * CHOOSE(CONTROL!$C$32, $C$9, 100%, $E$9)</f>
        <v>10.945499999999999</v>
      </c>
      <c r="G674" s="11">
        <f>10.9487 * CHOOSE(CONTROL!$C$32, $C$9, 100%, $E$9)</f>
        <v>10.948700000000001</v>
      </c>
      <c r="H674" s="11">
        <f>22.4314 * CHOOSE(CONTROL!$C$32, $C$9, 100%, $E$9)</f>
        <v>22.4314</v>
      </c>
      <c r="I674" s="11">
        <f>22.4346 * CHOOSE(CONTROL!$C$32, $C$9, 100%, $E$9)</f>
        <v>22.4346</v>
      </c>
      <c r="J674" s="11">
        <f>22.4314 * CHOOSE(CONTROL!$C$32, $C$9, 100%, $E$9)</f>
        <v>22.4314</v>
      </c>
      <c r="K674" s="11">
        <f>22.4346 * CHOOSE(CONTROL!$C$32, $C$9, 100%, $E$9)</f>
        <v>22.4346</v>
      </c>
      <c r="L674" s="11">
        <f>10.9455 * CHOOSE(CONTROL!$C$32, $C$9, 100%, $E$9)</f>
        <v>10.945499999999999</v>
      </c>
      <c r="M674" s="11">
        <f>10.9487 * CHOOSE(CONTROL!$C$32, $C$9, 100%, $E$9)</f>
        <v>10.948700000000001</v>
      </c>
      <c r="N674" s="11">
        <f>10.9455 * CHOOSE(CONTROL!$C$32, $C$9, 100%, $E$9)</f>
        <v>10.945499999999999</v>
      </c>
      <c r="O674" s="11">
        <f>10.9487 * CHOOSE(CONTROL!$C$32, $C$9, 100%, $E$9)</f>
        <v>10.948700000000001</v>
      </c>
    </row>
    <row r="675" spans="1:15" ht="15" x14ac:dyDescent="0.2">
      <c r="A675" s="13">
        <v>61394</v>
      </c>
      <c r="B675" s="9">
        <f>9.7533 * CHOOSE(CONTROL!$C$32, $C$9, 100%, $E$9)</f>
        <v>9.7532999999999994</v>
      </c>
      <c r="C675" s="9">
        <f>9.7533 * CHOOSE(CONTROL!$C$32, $C$9, 100%, $E$9)</f>
        <v>9.7532999999999994</v>
      </c>
      <c r="D675" s="9">
        <f>9.7543 * CHOOSE(CONTROL!$C$32, $C$9, 100%, $E$9)</f>
        <v>9.7543000000000006</v>
      </c>
      <c r="E675" s="11">
        <f>10.6687 * CHOOSE(CONTROL!$C$32, $C$9, 100%, $E$9)</f>
        <v>10.668699999999999</v>
      </c>
      <c r="F675" s="11">
        <f>10.6687 * CHOOSE(CONTROL!$C$32, $C$9, 100%, $E$9)</f>
        <v>10.668699999999999</v>
      </c>
      <c r="G675" s="11">
        <f>10.6719 * CHOOSE(CONTROL!$C$32, $C$9, 100%, $E$9)</f>
        <v>10.671900000000001</v>
      </c>
      <c r="H675" s="11">
        <f>22.4781 * CHOOSE(CONTROL!$C$32, $C$9, 100%, $E$9)</f>
        <v>22.478100000000001</v>
      </c>
      <c r="I675" s="11">
        <f>22.4813 * CHOOSE(CONTROL!$C$32, $C$9, 100%, $E$9)</f>
        <v>22.481300000000001</v>
      </c>
      <c r="J675" s="11">
        <f>22.4781 * CHOOSE(CONTROL!$C$32, $C$9, 100%, $E$9)</f>
        <v>22.478100000000001</v>
      </c>
      <c r="K675" s="11">
        <f>22.4813 * CHOOSE(CONTROL!$C$32, $C$9, 100%, $E$9)</f>
        <v>22.481300000000001</v>
      </c>
      <c r="L675" s="11">
        <f>10.6687 * CHOOSE(CONTROL!$C$32, $C$9, 100%, $E$9)</f>
        <v>10.668699999999999</v>
      </c>
      <c r="M675" s="11">
        <f>10.6719 * CHOOSE(CONTROL!$C$32, $C$9, 100%, $E$9)</f>
        <v>10.671900000000001</v>
      </c>
      <c r="N675" s="11">
        <f>10.6687 * CHOOSE(CONTROL!$C$32, $C$9, 100%, $E$9)</f>
        <v>10.668699999999999</v>
      </c>
      <c r="O675" s="11">
        <f>10.6719 * CHOOSE(CONTROL!$C$32, $C$9, 100%, $E$9)</f>
        <v>10.671900000000001</v>
      </c>
    </row>
    <row r="676" spans="1:15" ht="15" x14ac:dyDescent="0.2">
      <c r="A676" s="13">
        <v>61423</v>
      </c>
      <c r="B676" s="9">
        <f>9.7503 * CHOOSE(CONTROL!$C$32, $C$9, 100%, $E$9)</f>
        <v>9.7502999999999993</v>
      </c>
      <c r="C676" s="9">
        <f>9.7503 * CHOOSE(CONTROL!$C$32, $C$9, 100%, $E$9)</f>
        <v>9.7502999999999993</v>
      </c>
      <c r="D676" s="9">
        <f>9.7512 * CHOOSE(CONTROL!$C$32, $C$9, 100%, $E$9)</f>
        <v>9.7512000000000008</v>
      </c>
      <c r="E676" s="11">
        <f>10.8831 * CHOOSE(CONTROL!$C$32, $C$9, 100%, $E$9)</f>
        <v>10.883100000000001</v>
      </c>
      <c r="F676" s="11">
        <f>10.8831 * CHOOSE(CONTROL!$C$32, $C$9, 100%, $E$9)</f>
        <v>10.883100000000001</v>
      </c>
      <c r="G676" s="11">
        <f>10.8863 * CHOOSE(CONTROL!$C$32, $C$9, 100%, $E$9)</f>
        <v>10.8863</v>
      </c>
      <c r="H676" s="11">
        <f>22.5249 * CHOOSE(CONTROL!$C$32, $C$9, 100%, $E$9)</f>
        <v>22.524899999999999</v>
      </c>
      <c r="I676" s="11">
        <f>22.5282 * CHOOSE(CONTROL!$C$32, $C$9, 100%, $E$9)</f>
        <v>22.528199999999998</v>
      </c>
      <c r="J676" s="11">
        <f>22.5249 * CHOOSE(CONTROL!$C$32, $C$9, 100%, $E$9)</f>
        <v>22.524899999999999</v>
      </c>
      <c r="K676" s="11">
        <f>22.5282 * CHOOSE(CONTROL!$C$32, $C$9, 100%, $E$9)</f>
        <v>22.528199999999998</v>
      </c>
      <c r="L676" s="11">
        <f>10.8831 * CHOOSE(CONTROL!$C$32, $C$9, 100%, $E$9)</f>
        <v>10.883100000000001</v>
      </c>
      <c r="M676" s="11">
        <f>10.8863 * CHOOSE(CONTROL!$C$32, $C$9, 100%, $E$9)</f>
        <v>10.8863</v>
      </c>
      <c r="N676" s="11">
        <f>10.8831 * CHOOSE(CONTROL!$C$32, $C$9, 100%, $E$9)</f>
        <v>10.883100000000001</v>
      </c>
      <c r="O676" s="11">
        <f>10.8863 * CHOOSE(CONTROL!$C$32, $C$9, 100%, $E$9)</f>
        <v>10.8863</v>
      </c>
    </row>
    <row r="677" spans="1:15" ht="15" x14ac:dyDescent="0.2">
      <c r="A677" s="13">
        <v>61454</v>
      </c>
      <c r="B677" s="9">
        <f>9.7535 * CHOOSE(CONTROL!$C$32, $C$9, 100%, $E$9)</f>
        <v>9.7535000000000007</v>
      </c>
      <c r="C677" s="9">
        <f>9.7535 * CHOOSE(CONTROL!$C$32, $C$9, 100%, $E$9)</f>
        <v>9.7535000000000007</v>
      </c>
      <c r="D677" s="9">
        <f>9.7545 * CHOOSE(CONTROL!$C$32, $C$9, 100%, $E$9)</f>
        <v>9.7545000000000002</v>
      </c>
      <c r="E677" s="11">
        <f>11.1115 * CHOOSE(CONTROL!$C$32, $C$9, 100%, $E$9)</f>
        <v>11.111499999999999</v>
      </c>
      <c r="F677" s="11">
        <f>11.1115 * CHOOSE(CONTROL!$C$32, $C$9, 100%, $E$9)</f>
        <v>11.111499999999999</v>
      </c>
      <c r="G677" s="11">
        <f>11.1147 * CHOOSE(CONTROL!$C$32, $C$9, 100%, $E$9)</f>
        <v>11.114699999999999</v>
      </c>
      <c r="H677" s="11">
        <f>22.5719 * CHOOSE(CONTROL!$C$32, $C$9, 100%, $E$9)</f>
        <v>22.571899999999999</v>
      </c>
      <c r="I677" s="11">
        <f>22.5751 * CHOOSE(CONTROL!$C$32, $C$9, 100%, $E$9)</f>
        <v>22.575099999999999</v>
      </c>
      <c r="J677" s="11">
        <f>22.5719 * CHOOSE(CONTROL!$C$32, $C$9, 100%, $E$9)</f>
        <v>22.571899999999999</v>
      </c>
      <c r="K677" s="11">
        <f>22.5751 * CHOOSE(CONTROL!$C$32, $C$9, 100%, $E$9)</f>
        <v>22.575099999999999</v>
      </c>
      <c r="L677" s="11">
        <f>11.1115 * CHOOSE(CONTROL!$C$32, $C$9, 100%, $E$9)</f>
        <v>11.111499999999999</v>
      </c>
      <c r="M677" s="11">
        <f>11.1147 * CHOOSE(CONTROL!$C$32, $C$9, 100%, $E$9)</f>
        <v>11.114699999999999</v>
      </c>
      <c r="N677" s="11">
        <f>11.1115 * CHOOSE(CONTROL!$C$32, $C$9, 100%, $E$9)</f>
        <v>11.111499999999999</v>
      </c>
      <c r="O677" s="11">
        <f>11.1147 * CHOOSE(CONTROL!$C$32, $C$9, 100%, $E$9)</f>
        <v>11.114699999999999</v>
      </c>
    </row>
    <row r="678" spans="1:15" ht="15" x14ac:dyDescent="0.2">
      <c r="A678" s="13">
        <v>61484</v>
      </c>
      <c r="B678" s="9">
        <f>9.7535 * CHOOSE(CONTROL!$C$32, $C$9, 100%, $E$9)</f>
        <v>9.7535000000000007</v>
      </c>
      <c r="C678" s="9">
        <f>9.7535 * CHOOSE(CONTROL!$C$32, $C$9, 100%, $E$9)</f>
        <v>9.7535000000000007</v>
      </c>
      <c r="D678" s="9">
        <f>9.7547 * CHOOSE(CONTROL!$C$32, $C$9, 100%, $E$9)</f>
        <v>9.7546999999999997</v>
      </c>
      <c r="E678" s="11">
        <f>11.1987 * CHOOSE(CONTROL!$C$32, $C$9, 100%, $E$9)</f>
        <v>11.198700000000001</v>
      </c>
      <c r="F678" s="11">
        <f>11.1987 * CHOOSE(CONTROL!$C$32, $C$9, 100%, $E$9)</f>
        <v>11.198700000000001</v>
      </c>
      <c r="G678" s="11">
        <f>11.2029 * CHOOSE(CONTROL!$C$32, $C$9, 100%, $E$9)</f>
        <v>11.2029</v>
      </c>
      <c r="H678" s="11">
        <f>22.6189 * CHOOSE(CONTROL!$C$32, $C$9, 100%, $E$9)</f>
        <v>22.6189</v>
      </c>
      <c r="I678" s="11">
        <f>22.6231 * CHOOSE(CONTROL!$C$32, $C$9, 100%, $E$9)</f>
        <v>22.623100000000001</v>
      </c>
      <c r="J678" s="11">
        <f>22.6189 * CHOOSE(CONTROL!$C$32, $C$9, 100%, $E$9)</f>
        <v>22.6189</v>
      </c>
      <c r="K678" s="11">
        <f>22.6231 * CHOOSE(CONTROL!$C$32, $C$9, 100%, $E$9)</f>
        <v>22.623100000000001</v>
      </c>
      <c r="L678" s="11">
        <f>11.1987 * CHOOSE(CONTROL!$C$32, $C$9, 100%, $E$9)</f>
        <v>11.198700000000001</v>
      </c>
      <c r="M678" s="11">
        <f>11.2029 * CHOOSE(CONTROL!$C$32, $C$9, 100%, $E$9)</f>
        <v>11.2029</v>
      </c>
      <c r="N678" s="11">
        <f>11.1987 * CHOOSE(CONTROL!$C$32, $C$9, 100%, $E$9)</f>
        <v>11.198700000000001</v>
      </c>
      <c r="O678" s="11">
        <f>11.2029 * CHOOSE(CONTROL!$C$32, $C$9, 100%, $E$9)</f>
        <v>11.2029</v>
      </c>
    </row>
    <row r="679" spans="1:15" ht="15" x14ac:dyDescent="0.2">
      <c r="A679" s="13">
        <v>61515</v>
      </c>
      <c r="B679" s="9">
        <f>9.7596 * CHOOSE(CONTROL!$C$32, $C$9, 100%, $E$9)</f>
        <v>9.7596000000000007</v>
      </c>
      <c r="C679" s="9">
        <f>9.7596 * CHOOSE(CONTROL!$C$32, $C$9, 100%, $E$9)</f>
        <v>9.7596000000000007</v>
      </c>
      <c r="D679" s="9">
        <f>9.7608 * CHOOSE(CONTROL!$C$32, $C$9, 100%, $E$9)</f>
        <v>9.7607999999999997</v>
      </c>
      <c r="E679" s="11">
        <f>11.1157 * CHOOSE(CONTROL!$C$32, $C$9, 100%, $E$9)</f>
        <v>11.1157</v>
      </c>
      <c r="F679" s="11">
        <f>11.1157 * CHOOSE(CONTROL!$C$32, $C$9, 100%, $E$9)</f>
        <v>11.1157</v>
      </c>
      <c r="G679" s="11">
        <f>11.1199 * CHOOSE(CONTROL!$C$32, $C$9, 100%, $E$9)</f>
        <v>11.119899999999999</v>
      </c>
      <c r="H679" s="11">
        <f>22.666 * CHOOSE(CONTROL!$C$32, $C$9, 100%, $E$9)</f>
        <v>22.666</v>
      </c>
      <c r="I679" s="11">
        <f>22.6702 * CHOOSE(CONTROL!$C$32, $C$9, 100%, $E$9)</f>
        <v>22.670200000000001</v>
      </c>
      <c r="J679" s="11">
        <f>22.666 * CHOOSE(CONTROL!$C$32, $C$9, 100%, $E$9)</f>
        <v>22.666</v>
      </c>
      <c r="K679" s="11">
        <f>22.6702 * CHOOSE(CONTROL!$C$32, $C$9, 100%, $E$9)</f>
        <v>22.670200000000001</v>
      </c>
      <c r="L679" s="11">
        <f>11.1157 * CHOOSE(CONTROL!$C$32, $C$9, 100%, $E$9)</f>
        <v>11.1157</v>
      </c>
      <c r="M679" s="11">
        <f>11.1199 * CHOOSE(CONTROL!$C$32, $C$9, 100%, $E$9)</f>
        <v>11.119899999999999</v>
      </c>
      <c r="N679" s="11">
        <f>11.1157 * CHOOSE(CONTROL!$C$32, $C$9, 100%, $E$9)</f>
        <v>11.1157</v>
      </c>
      <c r="O679" s="11">
        <f>11.1199 * CHOOSE(CONTROL!$C$32, $C$9, 100%, $E$9)</f>
        <v>11.119899999999999</v>
      </c>
    </row>
    <row r="680" spans="1:15" ht="15" x14ac:dyDescent="0.2">
      <c r="A680" s="13">
        <v>61545</v>
      </c>
      <c r="B680" s="9">
        <f>9.8813 * CHOOSE(CONTROL!$C$32, $C$9, 100%, $E$9)</f>
        <v>9.8812999999999995</v>
      </c>
      <c r="C680" s="9">
        <f>9.8813 * CHOOSE(CONTROL!$C$32, $C$9, 100%, $E$9)</f>
        <v>9.8812999999999995</v>
      </c>
      <c r="D680" s="9">
        <f>9.8826 * CHOOSE(CONTROL!$C$32, $C$9, 100%, $E$9)</f>
        <v>9.8826000000000001</v>
      </c>
      <c r="E680" s="11">
        <f>11.2713 * CHOOSE(CONTROL!$C$32, $C$9, 100%, $E$9)</f>
        <v>11.2713</v>
      </c>
      <c r="F680" s="11">
        <f>11.2713 * CHOOSE(CONTROL!$C$32, $C$9, 100%, $E$9)</f>
        <v>11.2713</v>
      </c>
      <c r="G680" s="11">
        <f>11.2755 * CHOOSE(CONTROL!$C$32, $C$9, 100%, $E$9)</f>
        <v>11.275499999999999</v>
      </c>
      <c r="H680" s="11">
        <f>22.7132 * CHOOSE(CONTROL!$C$32, $C$9, 100%, $E$9)</f>
        <v>22.713200000000001</v>
      </c>
      <c r="I680" s="11">
        <f>22.7174 * CHOOSE(CONTROL!$C$32, $C$9, 100%, $E$9)</f>
        <v>22.717400000000001</v>
      </c>
      <c r="J680" s="11">
        <f>22.7132 * CHOOSE(CONTROL!$C$32, $C$9, 100%, $E$9)</f>
        <v>22.713200000000001</v>
      </c>
      <c r="K680" s="11">
        <f>22.7174 * CHOOSE(CONTROL!$C$32, $C$9, 100%, $E$9)</f>
        <v>22.717400000000001</v>
      </c>
      <c r="L680" s="11">
        <f>11.2713 * CHOOSE(CONTROL!$C$32, $C$9, 100%, $E$9)</f>
        <v>11.2713</v>
      </c>
      <c r="M680" s="11">
        <f>11.2755 * CHOOSE(CONTROL!$C$32, $C$9, 100%, $E$9)</f>
        <v>11.275499999999999</v>
      </c>
      <c r="N680" s="11">
        <f>11.2713 * CHOOSE(CONTROL!$C$32, $C$9, 100%, $E$9)</f>
        <v>11.2713</v>
      </c>
      <c r="O680" s="11">
        <f>11.2755 * CHOOSE(CONTROL!$C$32, $C$9, 100%, $E$9)</f>
        <v>11.275499999999999</v>
      </c>
    </row>
    <row r="681" spans="1:15" ht="15" x14ac:dyDescent="0.2">
      <c r="A681" s="13">
        <v>61576</v>
      </c>
      <c r="B681" s="9">
        <f>9.888 * CHOOSE(CONTROL!$C$32, $C$9, 100%, $E$9)</f>
        <v>9.8879999999999999</v>
      </c>
      <c r="C681" s="9">
        <f>9.888 * CHOOSE(CONTROL!$C$32, $C$9, 100%, $E$9)</f>
        <v>9.8879999999999999</v>
      </c>
      <c r="D681" s="9">
        <f>9.8893 * CHOOSE(CONTROL!$C$32, $C$9, 100%, $E$9)</f>
        <v>9.8893000000000004</v>
      </c>
      <c r="E681" s="11">
        <f>11.0143 * CHOOSE(CONTROL!$C$32, $C$9, 100%, $E$9)</f>
        <v>11.0143</v>
      </c>
      <c r="F681" s="11">
        <f>11.0143 * CHOOSE(CONTROL!$C$32, $C$9, 100%, $E$9)</f>
        <v>11.0143</v>
      </c>
      <c r="G681" s="11">
        <f>11.0185 * CHOOSE(CONTROL!$C$32, $C$9, 100%, $E$9)</f>
        <v>11.0185</v>
      </c>
      <c r="H681" s="11">
        <f>22.7605 * CHOOSE(CONTROL!$C$32, $C$9, 100%, $E$9)</f>
        <v>22.7605</v>
      </c>
      <c r="I681" s="11">
        <f>22.7647 * CHOOSE(CONTROL!$C$32, $C$9, 100%, $E$9)</f>
        <v>22.764700000000001</v>
      </c>
      <c r="J681" s="11">
        <f>22.7605 * CHOOSE(CONTROL!$C$32, $C$9, 100%, $E$9)</f>
        <v>22.7605</v>
      </c>
      <c r="K681" s="11">
        <f>22.7647 * CHOOSE(CONTROL!$C$32, $C$9, 100%, $E$9)</f>
        <v>22.764700000000001</v>
      </c>
      <c r="L681" s="11">
        <f>11.0143 * CHOOSE(CONTROL!$C$32, $C$9, 100%, $E$9)</f>
        <v>11.0143</v>
      </c>
      <c r="M681" s="11">
        <f>11.0185 * CHOOSE(CONTROL!$C$32, $C$9, 100%, $E$9)</f>
        <v>11.0185</v>
      </c>
      <c r="N681" s="11">
        <f>11.0143 * CHOOSE(CONTROL!$C$32, $C$9, 100%, $E$9)</f>
        <v>11.0143</v>
      </c>
      <c r="O681" s="11">
        <f>11.0185 * CHOOSE(CONTROL!$C$32, $C$9, 100%, $E$9)</f>
        <v>11.0185</v>
      </c>
    </row>
    <row r="682" spans="1:15" ht="15" x14ac:dyDescent="0.2">
      <c r="A682" s="13">
        <v>61607</v>
      </c>
      <c r="B682" s="9">
        <f>9.885 * CHOOSE(CONTROL!$C$32, $C$9, 100%, $E$9)</f>
        <v>9.8849999999999998</v>
      </c>
      <c r="C682" s="9">
        <f>9.885 * CHOOSE(CONTROL!$C$32, $C$9, 100%, $E$9)</f>
        <v>9.8849999999999998</v>
      </c>
      <c r="D682" s="9">
        <f>9.8862 * CHOOSE(CONTROL!$C$32, $C$9, 100%, $E$9)</f>
        <v>9.8862000000000005</v>
      </c>
      <c r="E682" s="11">
        <f>10.9831 * CHOOSE(CONTROL!$C$32, $C$9, 100%, $E$9)</f>
        <v>10.9831</v>
      </c>
      <c r="F682" s="11">
        <f>10.9831 * CHOOSE(CONTROL!$C$32, $C$9, 100%, $E$9)</f>
        <v>10.9831</v>
      </c>
      <c r="G682" s="11">
        <f>10.9873 * CHOOSE(CONTROL!$C$32, $C$9, 100%, $E$9)</f>
        <v>10.987299999999999</v>
      </c>
      <c r="H682" s="11">
        <f>22.808 * CHOOSE(CONTROL!$C$32, $C$9, 100%, $E$9)</f>
        <v>22.808</v>
      </c>
      <c r="I682" s="11">
        <f>22.8122 * CHOOSE(CONTROL!$C$32, $C$9, 100%, $E$9)</f>
        <v>22.812200000000001</v>
      </c>
      <c r="J682" s="11">
        <f>22.808 * CHOOSE(CONTROL!$C$32, $C$9, 100%, $E$9)</f>
        <v>22.808</v>
      </c>
      <c r="K682" s="11">
        <f>22.8122 * CHOOSE(CONTROL!$C$32, $C$9, 100%, $E$9)</f>
        <v>22.812200000000001</v>
      </c>
      <c r="L682" s="11">
        <f>10.9831 * CHOOSE(CONTROL!$C$32, $C$9, 100%, $E$9)</f>
        <v>10.9831</v>
      </c>
      <c r="M682" s="11">
        <f>10.9873 * CHOOSE(CONTROL!$C$32, $C$9, 100%, $E$9)</f>
        <v>10.987299999999999</v>
      </c>
      <c r="N682" s="11">
        <f>10.9831 * CHOOSE(CONTROL!$C$32, $C$9, 100%, $E$9)</f>
        <v>10.9831</v>
      </c>
      <c r="O682" s="11">
        <f>10.9873 * CHOOSE(CONTROL!$C$32, $C$9, 100%, $E$9)</f>
        <v>10.987299999999999</v>
      </c>
    </row>
    <row r="683" spans="1:15" ht="15" x14ac:dyDescent="0.2">
      <c r="A683" s="13">
        <v>61637</v>
      </c>
      <c r="B683" s="9">
        <f>9.902 * CHOOSE(CONTROL!$C$32, $C$9, 100%, $E$9)</f>
        <v>9.9019999999999992</v>
      </c>
      <c r="C683" s="9">
        <f>9.902 * CHOOSE(CONTROL!$C$32, $C$9, 100%, $E$9)</f>
        <v>9.9019999999999992</v>
      </c>
      <c r="D683" s="9">
        <f>9.9029 * CHOOSE(CONTROL!$C$32, $C$9, 100%, $E$9)</f>
        <v>9.9029000000000007</v>
      </c>
      <c r="E683" s="11">
        <f>11.086 * CHOOSE(CONTROL!$C$32, $C$9, 100%, $E$9)</f>
        <v>11.086</v>
      </c>
      <c r="F683" s="11">
        <f>11.086 * CHOOSE(CONTROL!$C$32, $C$9, 100%, $E$9)</f>
        <v>11.086</v>
      </c>
      <c r="G683" s="11">
        <f>11.0892 * CHOOSE(CONTROL!$C$32, $C$9, 100%, $E$9)</f>
        <v>11.0892</v>
      </c>
      <c r="H683" s="11">
        <f>22.8555 * CHOOSE(CONTROL!$C$32, $C$9, 100%, $E$9)</f>
        <v>22.855499999999999</v>
      </c>
      <c r="I683" s="11">
        <f>22.8587 * CHOOSE(CONTROL!$C$32, $C$9, 100%, $E$9)</f>
        <v>22.858699999999999</v>
      </c>
      <c r="J683" s="11">
        <f>22.8555 * CHOOSE(CONTROL!$C$32, $C$9, 100%, $E$9)</f>
        <v>22.855499999999999</v>
      </c>
      <c r="K683" s="11">
        <f>22.8587 * CHOOSE(CONTROL!$C$32, $C$9, 100%, $E$9)</f>
        <v>22.858699999999999</v>
      </c>
      <c r="L683" s="11">
        <f>11.086 * CHOOSE(CONTROL!$C$32, $C$9, 100%, $E$9)</f>
        <v>11.086</v>
      </c>
      <c r="M683" s="11">
        <f>11.0892 * CHOOSE(CONTROL!$C$32, $C$9, 100%, $E$9)</f>
        <v>11.0892</v>
      </c>
      <c r="N683" s="11">
        <f>11.086 * CHOOSE(CONTROL!$C$32, $C$9, 100%, $E$9)</f>
        <v>11.086</v>
      </c>
      <c r="O683" s="11">
        <f>11.0892 * CHOOSE(CONTROL!$C$32, $C$9, 100%, $E$9)</f>
        <v>11.0892</v>
      </c>
    </row>
    <row r="684" spans="1:15" ht="15" x14ac:dyDescent="0.2">
      <c r="A684" s="13">
        <v>61668</v>
      </c>
      <c r="B684" s="9">
        <f>9.905 * CHOOSE(CONTROL!$C$32, $C$9, 100%, $E$9)</f>
        <v>9.9049999999999994</v>
      </c>
      <c r="C684" s="9">
        <f>9.905 * CHOOSE(CONTROL!$C$32, $C$9, 100%, $E$9)</f>
        <v>9.9049999999999994</v>
      </c>
      <c r="D684" s="9">
        <f>9.906 * CHOOSE(CONTROL!$C$32, $C$9, 100%, $E$9)</f>
        <v>9.9060000000000006</v>
      </c>
      <c r="E684" s="11">
        <f>11.1463 * CHOOSE(CONTROL!$C$32, $C$9, 100%, $E$9)</f>
        <v>11.1463</v>
      </c>
      <c r="F684" s="11">
        <f>11.1463 * CHOOSE(CONTROL!$C$32, $C$9, 100%, $E$9)</f>
        <v>11.1463</v>
      </c>
      <c r="G684" s="11">
        <f>11.1495 * CHOOSE(CONTROL!$C$32, $C$9, 100%, $E$9)</f>
        <v>11.1495</v>
      </c>
      <c r="H684" s="11">
        <f>22.9031 * CHOOSE(CONTROL!$C$32, $C$9, 100%, $E$9)</f>
        <v>22.903099999999998</v>
      </c>
      <c r="I684" s="11">
        <f>22.9063 * CHOOSE(CONTROL!$C$32, $C$9, 100%, $E$9)</f>
        <v>22.906300000000002</v>
      </c>
      <c r="J684" s="11">
        <f>22.9031 * CHOOSE(CONTROL!$C$32, $C$9, 100%, $E$9)</f>
        <v>22.903099999999998</v>
      </c>
      <c r="K684" s="11">
        <f>22.9063 * CHOOSE(CONTROL!$C$32, $C$9, 100%, $E$9)</f>
        <v>22.906300000000002</v>
      </c>
      <c r="L684" s="11">
        <f>11.1463 * CHOOSE(CONTROL!$C$32, $C$9, 100%, $E$9)</f>
        <v>11.1463</v>
      </c>
      <c r="M684" s="11">
        <f>11.1495 * CHOOSE(CONTROL!$C$32, $C$9, 100%, $E$9)</f>
        <v>11.1495</v>
      </c>
      <c r="N684" s="11">
        <f>11.1463 * CHOOSE(CONTROL!$C$32, $C$9, 100%, $E$9)</f>
        <v>11.1463</v>
      </c>
      <c r="O684" s="11">
        <f>11.1495 * CHOOSE(CONTROL!$C$32, $C$9, 100%, $E$9)</f>
        <v>11.1495</v>
      </c>
    </row>
    <row r="685" spans="1:15" ht="15" x14ac:dyDescent="0.2">
      <c r="A685" s="13">
        <v>61698</v>
      </c>
      <c r="B685" s="9">
        <f>9.905 * CHOOSE(CONTROL!$C$32, $C$9, 100%, $E$9)</f>
        <v>9.9049999999999994</v>
      </c>
      <c r="C685" s="9">
        <f>9.905 * CHOOSE(CONTROL!$C$32, $C$9, 100%, $E$9)</f>
        <v>9.9049999999999994</v>
      </c>
      <c r="D685" s="9">
        <f>9.906 * CHOOSE(CONTROL!$C$32, $C$9, 100%, $E$9)</f>
        <v>9.9060000000000006</v>
      </c>
      <c r="E685" s="11">
        <f>11.0009 * CHOOSE(CONTROL!$C$32, $C$9, 100%, $E$9)</f>
        <v>11.0009</v>
      </c>
      <c r="F685" s="11">
        <f>11.0009 * CHOOSE(CONTROL!$C$32, $C$9, 100%, $E$9)</f>
        <v>11.0009</v>
      </c>
      <c r="G685" s="11">
        <f>11.0041 * CHOOSE(CONTROL!$C$32, $C$9, 100%, $E$9)</f>
        <v>11.004099999999999</v>
      </c>
      <c r="H685" s="11">
        <f>22.9508 * CHOOSE(CONTROL!$C$32, $C$9, 100%, $E$9)</f>
        <v>22.950800000000001</v>
      </c>
      <c r="I685" s="11">
        <f>22.954 * CHOOSE(CONTROL!$C$32, $C$9, 100%, $E$9)</f>
        <v>22.954000000000001</v>
      </c>
      <c r="J685" s="11">
        <f>22.9508 * CHOOSE(CONTROL!$C$32, $C$9, 100%, $E$9)</f>
        <v>22.950800000000001</v>
      </c>
      <c r="K685" s="11">
        <f>22.954 * CHOOSE(CONTROL!$C$32, $C$9, 100%, $E$9)</f>
        <v>22.954000000000001</v>
      </c>
      <c r="L685" s="11">
        <f>11.0009 * CHOOSE(CONTROL!$C$32, $C$9, 100%, $E$9)</f>
        <v>11.0009</v>
      </c>
      <c r="M685" s="11">
        <f>11.0041 * CHOOSE(CONTROL!$C$32, $C$9, 100%, $E$9)</f>
        <v>11.004099999999999</v>
      </c>
      <c r="N685" s="11">
        <f>11.0009 * CHOOSE(CONTROL!$C$32, $C$9, 100%, $E$9)</f>
        <v>11.0009</v>
      </c>
      <c r="O685" s="11">
        <f>11.0041 * CHOOSE(CONTROL!$C$32, $C$9, 100%, $E$9)</f>
        <v>11.004099999999999</v>
      </c>
    </row>
    <row r="686" spans="1:15" ht="15" x14ac:dyDescent="0.2">
      <c r="A686" s="13">
        <v>61729</v>
      </c>
      <c r="B686" s="9">
        <f>9.9437 * CHOOSE(CONTROL!$C$32, $C$9, 100%, $E$9)</f>
        <v>9.9436999999999998</v>
      </c>
      <c r="C686" s="9">
        <f>9.9437 * CHOOSE(CONTROL!$C$32, $C$9, 100%, $E$9)</f>
        <v>9.9436999999999998</v>
      </c>
      <c r="D686" s="9">
        <f>9.9447 * CHOOSE(CONTROL!$C$32, $C$9, 100%, $E$9)</f>
        <v>9.9446999999999992</v>
      </c>
      <c r="E686" s="11">
        <f>11.158 * CHOOSE(CONTROL!$C$32, $C$9, 100%, $E$9)</f>
        <v>11.157999999999999</v>
      </c>
      <c r="F686" s="11">
        <f>11.158 * CHOOSE(CONTROL!$C$32, $C$9, 100%, $E$9)</f>
        <v>11.157999999999999</v>
      </c>
      <c r="G686" s="11">
        <f>11.1612 * CHOOSE(CONTROL!$C$32, $C$9, 100%, $E$9)</f>
        <v>11.161199999999999</v>
      </c>
      <c r="H686" s="11">
        <f>22.9032 * CHOOSE(CONTROL!$C$32, $C$9, 100%, $E$9)</f>
        <v>22.903199999999998</v>
      </c>
      <c r="I686" s="11">
        <f>22.9064 * CHOOSE(CONTROL!$C$32, $C$9, 100%, $E$9)</f>
        <v>22.906400000000001</v>
      </c>
      <c r="J686" s="11">
        <f>22.9032 * CHOOSE(CONTROL!$C$32, $C$9, 100%, $E$9)</f>
        <v>22.903199999999998</v>
      </c>
      <c r="K686" s="11">
        <f>22.9064 * CHOOSE(CONTROL!$C$32, $C$9, 100%, $E$9)</f>
        <v>22.906400000000001</v>
      </c>
      <c r="L686" s="11">
        <f>11.158 * CHOOSE(CONTROL!$C$32, $C$9, 100%, $E$9)</f>
        <v>11.157999999999999</v>
      </c>
      <c r="M686" s="11">
        <f>11.1612 * CHOOSE(CONTROL!$C$32, $C$9, 100%, $E$9)</f>
        <v>11.161199999999999</v>
      </c>
      <c r="N686" s="11">
        <f>11.158 * CHOOSE(CONTROL!$C$32, $C$9, 100%, $E$9)</f>
        <v>11.157999999999999</v>
      </c>
      <c r="O686" s="11">
        <f>11.1612 * CHOOSE(CONTROL!$C$32, $C$9, 100%, $E$9)</f>
        <v>11.161199999999999</v>
      </c>
    </row>
    <row r="687" spans="1:15" ht="15" x14ac:dyDescent="0.2">
      <c r="A687" s="13">
        <v>61760</v>
      </c>
      <c r="B687" s="9">
        <f>9.9407 * CHOOSE(CONTROL!$C$32, $C$9, 100%, $E$9)</f>
        <v>9.9406999999999996</v>
      </c>
      <c r="C687" s="9">
        <f>9.9407 * CHOOSE(CONTROL!$C$32, $C$9, 100%, $E$9)</f>
        <v>9.9406999999999996</v>
      </c>
      <c r="D687" s="9">
        <f>9.9416 * CHOOSE(CONTROL!$C$32, $C$9, 100%, $E$9)</f>
        <v>9.9415999999999993</v>
      </c>
      <c r="E687" s="11">
        <f>10.8741 * CHOOSE(CONTROL!$C$32, $C$9, 100%, $E$9)</f>
        <v>10.8741</v>
      </c>
      <c r="F687" s="11">
        <f>10.8741 * CHOOSE(CONTROL!$C$32, $C$9, 100%, $E$9)</f>
        <v>10.8741</v>
      </c>
      <c r="G687" s="11">
        <f>10.8773 * CHOOSE(CONTROL!$C$32, $C$9, 100%, $E$9)</f>
        <v>10.8773</v>
      </c>
      <c r="H687" s="11">
        <f>22.9509 * CHOOSE(CONTROL!$C$32, $C$9, 100%, $E$9)</f>
        <v>22.950900000000001</v>
      </c>
      <c r="I687" s="11">
        <f>22.9541 * CHOOSE(CONTROL!$C$32, $C$9, 100%, $E$9)</f>
        <v>22.9541</v>
      </c>
      <c r="J687" s="11">
        <f>22.9509 * CHOOSE(CONTROL!$C$32, $C$9, 100%, $E$9)</f>
        <v>22.950900000000001</v>
      </c>
      <c r="K687" s="11">
        <f>22.9541 * CHOOSE(CONTROL!$C$32, $C$9, 100%, $E$9)</f>
        <v>22.9541</v>
      </c>
      <c r="L687" s="11">
        <f>10.8741 * CHOOSE(CONTROL!$C$32, $C$9, 100%, $E$9)</f>
        <v>10.8741</v>
      </c>
      <c r="M687" s="11">
        <f>10.8773 * CHOOSE(CONTROL!$C$32, $C$9, 100%, $E$9)</f>
        <v>10.8773</v>
      </c>
      <c r="N687" s="11">
        <f>10.8741 * CHOOSE(CONTROL!$C$32, $C$9, 100%, $E$9)</f>
        <v>10.8741</v>
      </c>
      <c r="O687" s="11">
        <f>10.8773 * CHOOSE(CONTROL!$C$32, $C$9, 100%, $E$9)</f>
        <v>10.8773</v>
      </c>
    </row>
    <row r="688" spans="1:15" ht="15" x14ac:dyDescent="0.2">
      <c r="A688" s="13">
        <v>61788</v>
      </c>
      <c r="B688" s="9">
        <f>9.9376 * CHOOSE(CONTROL!$C$32, $C$9, 100%, $E$9)</f>
        <v>9.9375999999999998</v>
      </c>
      <c r="C688" s="9">
        <f>9.9376 * CHOOSE(CONTROL!$C$32, $C$9, 100%, $E$9)</f>
        <v>9.9375999999999998</v>
      </c>
      <c r="D688" s="9">
        <f>9.9386 * CHOOSE(CONTROL!$C$32, $C$9, 100%, $E$9)</f>
        <v>9.9385999999999992</v>
      </c>
      <c r="E688" s="11">
        <f>11.0941 * CHOOSE(CONTROL!$C$32, $C$9, 100%, $E$9)</f>
        <v>11.094099999999999</v>
      </c>
      <c r="F688" s="11">
        <f>11.0941 * CHOOSE(CONTROL!$C$32, $C$9, 100%, $E$9)</f>
        <v>11.094099999999999</v>
      </c>
      <c r="G688" s="11">
        <f>11.0974 * CHOOSE(CONTROL!$C$32, $C$9, 100%, $E$9)</f>
        <v>11.0974</v>
      </c>
      <c r="H688" s="11">
        <f>22.9987 * CHOOSE(CONTROL!$C$32, $C$9, 100%, $E$9)</f>
        <v>22.998699999999999</v>
      </c>
      <c r="I688" s="11">
        <f>23.0019 * CHOOSE(CONTROL!$C$32, $C$9, 100%, $E$9)</f>
        <v>23.001899999999999</v>
      </c>
      <c r="J688" s="11">
        <f>22.9987 * CHOOSE(CONTROL!$C$32, $C$9, 100%, $E$9)</f>
        <v>22.998699999999999</v>
      </c>
      <c r="K688" s="11">
        <f>23.0019 * CHOOSE(CONTROL!$C$32, $C$9, 100%, $E$9)</f>
        <v>23.001899999999999</v>
      </c>
      <c r="L688" s="11">
        <f>11.0941 * CHOOSE(CONTROL!$C$32, $C$9, 100%, $E$9)</f>
        <v>11.094099999999999</v>
      </c>
      <c r="M688" s="11">
        <f>11.0974 * CHOOSE(CONTROL!$C$32, $C$9, 100%, $E$9)</f>
        <v>11.0974</v>
      </c>
      <c r="N688" s="11">
        <f>11.0941 * CHOOSE(CONTROL!$C$32, $C$9, 100%, $E$9)</f>
        <v>11.094099999999999</v>
      </c>
      <c r="O688" s="11">
        <f>11.0974 * CHOOSE(CONTROL!$C$32, $C$9, 100%, $E$9)</f>
        <v>11.0974</v>
      </c>
    </row>
    <row r="689" spans="1:15" ht="15" x14ac:dyDescent="0.2">
      <c r="A689" s="13">
        <v>61819</v>
      </c>
      <c r="B689" s="9">
        <f>9.941 * CHOOSE(CONTROL!$C$32, $C$9, 100%, $E$9)</f>
        <v>9.9410000000000007</v>
      </c>
      <c r="C689" s="9">
        <f>9.941 * CHOOSE(CONTROL!$C$32, $C$9, 100%, $E$9)</f>
        <v>9.9410000000000007</v>
      </c>
      <c r="D689" s="9">
        <f>9.942 * CHOOSE(CONTROL!$C$32, $C$9, 100%, $E$9)</f>
        <v>9.9420000000000002</v>
      </c>
      <c r="E689" s="11">
        <f>11.3285 * CHOOSE(CONTROL!$C$32, $C$9, 100%, $E$9)</f>
        <v>11.3285</v>
      </c>
      <c r="F689" s="11">
        <f>11.3285 * CHOOSE(CONTROL!$C$32, $C$9, 100%, $E$9)</f>
        <v>11.3285</v>
      </c>
      <c r="G689" s="11">
        <f>11.3317 * CHOOSE(CONTROL!$C$32, $C$9, 100%, $E$9)</f>
        <v>11.3317</v>
      </c>
      <c r="H689" s="11">
        <f>23.0466 * CHOOSE(CONTROL!$C$32, $C$9, 100%, $E$9)</f>
        <v>23.046600000000002</v>
      </c>
      <c r="I689" s="11">
        <f>23.0498 * CHOOSE(CONTROL!$C$32, $C$9, 100%, $E$9)</f>
        <v>23.049800000000001</v>
      </c>
      <c r="J689" s="11">
        <f>23.0466 * CHOOSE(CONTROL!$C$32, $C$9, 100%, $E$9)</f>
        <v>23.046600000000002</v>
      </c>
      <c r="K689" s="11">
        <f>23.0498 * CHOOSE(CONTROL!$C$32, $C$9, 100%, $E$9)</f>
        <v>23.049800000000001</v>
      </c>
      <c r="L689" s="11">
        <f>11.3285 * CHOOSE(CONTROL!$C$32, $C$9, 100%, $E$9)</f>
        <v>11.3285</v>
      </c>
      <c r="M689" s="11">
        <f>11.3317 * CHOOSE(CONTROL!$C$32, $C$9, 100%, $E$9)</f>
        <v>11.3317</v>
      </c>
      <c r="N689" s="11">
        <f>11.3285 * CHOOSE(CONTROL!$C$32, $C$9, 100%, $E$9)</f>
        <v>11.3285</v>
      </c>
      <c r="O689" s="11">
        <f>11.3317 * CHOOSE(CONTROL!$C$32, $C$9, 100%, $E$9)</f>
        <v>11.3317</v>
      </c>
    </row>
    <row r="690" spans="1:15" ht="15" x14ac:dyDescent="0.2">
      <c r="A690" s="13">
        <v>61849</v>
      </c>
      <c r="B690" s="9">
        <f>9.941 * CHOOSE(CONTROL!$C$32, $C$9, 100%, $E$9)</f>
        <v>9.9410000000000007</v>
      </c>
      <c r="C690" s="9">
        <f>9.941 * CHOOSE(CONTROL!$C$32, $C$9, 100%, $E$9)</f>
        <v>9.9410000000000007</v>
      </c>
      <c r="D690" s="9">
        <f>9.9423 * CHOOSE(CONTROL!$C$32, $C$9, 100%, $E$9)</f>
        <v>9.9422999999999995</v>
      </c>
      <c r="E690" s="11">
        <f>11.418 * CHOOSE(CONTROL!$C$32, $C$9, 100%, $E$9)</f>
        <v>11.417999999999999</v>
      </c>
      <c r="F690" s="11">
        <f>11.418 * CHOOSE(CONTROL!$C$32, $C$9, 100%, $E$9)</f>
        <v>11.417999999999999</v>
      </c>
      <c r="G690" s="11">
        <f>11.4222 * CHOOSE(CONTROL!$C$32, $C$9, 100%, $E$9)</f>
        <v>11.4222</v>
      </c>
      <c r="H690" s="11">
        <f>23.0946 * CHOOSE(CONTROL!$C$32, $C$9, 100%, $E$9)</f>
        <v>23.0946</v>
      </c>
      <c r="I690" s="11">
        <f>23.0988 * CHOOSE(CONTROL!$C$32, $C$9, 100%, $E$9)</f>
        <v>23.098800000000001</v>
      </c>
      <c r="J690" s="11">
        <f>23.0946 * CHOOSE(CONTROL!$C$32, $C$9, 100%, $E$9)</f>
        <v>23.0946</v>
      </c>
      <c r="K690" s="11">
        <f>23.0988 * CHOOSE(CONTROL!$C$32, $C$9, 100%, $E$9)</f>
        <v>23.098800000000001</v>
      </c>
      <c r="L690" s="11">
        <f>11.418 * CHOOSE(CONTROL!$C$32, $C$9, 100%, $E$9)</f>
        <v>11.417999999999999</v>
      </c>
      <c r="M690" s="11">
        <f>11.4222 * CHOOSE(CONTROL!$C$32, $C$9, 100%, $E$9)</f>
        <v>11.4222</v>
      </c>
      <c r="N690" s="11">
        <f>11.418 * CHOOSE(CONTROL!$C$32, $C$9, 100%, $E$9)</f>
        <v>11.417999999999999</v>
      </c>
      <c r="O690" s="11">
        <f>11.4222 * CHOOSE(CONTROL!$C$32, $C$9, 100%, $E$9)</f>
        <v>11.4222</v>
      </c>
    </row>
    <row r="691" spans="1:15" ht="15" x14ac:dyDescent="0.2">
      <c r="A691" s="13">
        <v>61880</v>
      </c>
      <c r="B691" s="9">
        <f>9.9471 * CHOOSE(CONTROL!$C$32, $C$9, 100%, $E$9)</f>
        <v>9.9471000000000007</v>
      </c>
      <c r="C691" s="9">
        <f>9.9471 * CHOOSE(CONTROL!$C$32, $C$9, 100%, $E$9)</f>
        <v>9.9471000000000007</v>
      </c>
      <c r="D691" s="9">
        <f>9.9484 * CHOOSE(CONTROL!$C$32, $C$9, 100%, $E$9)</f>
        <v>9.9483999999999995</v>
      </c>
      <c r="E691" s="11">
        <f>11.3327 * CHOOSE(CONTROL!$C$32, $C$9, 100%, $E$9)</f>
        <v>11.332700000000001</v>
      </c>
      <c r="F691" s="11">
        <f>11.3327 * CHOOSE(CONTROL!$C$32, $C$9, 100%, $E$9)</f>
        <v>11.332700000000001</v>
      </c>
      <c r="G691" s="11">
        <f>11.3369 * CHOOSE(CONTROL!$C$32, $C$9, 100%, $E$9)</f>
        <v>11.3369</v>
      </c>
      <c r="H691" s="11">
        <f>23.1427 * CHOOSE(CONTROL!$C$32, $C$9, 100%, $E$9)</f>
        <v>23.142700000000001</v>
      </c>
      <c r="I691" s="11">
        <f>23.1469 * CHOOSE(CONTROL!$C$32, $C$9, 100%, $E$9)</f>
        <v>23.146899999999999</v>
      </c>
      <c r="J691" s="11">
        <f>23.1427 * CHOOSE(CONTROL!$C$32, $C$9, 100%, $E$9)</f>
        <v>23.142700000000001</v>
      </c>
      <c r="K691" s="11">
        <f>23.1469 * CHOOSE(CONTROL!$C$32, $C$9, 100%, $E$9)</f>
        <v>23.146899999999999</v>
      </c>
      <c r="L691" s="11">
        <f>11.3327 * CHOOSE(CONTROL!$C$32, $C$9, 100%, $E$9)</f>
        <v>11.332700000000001</v>
      </c>
      <c r="M691" s="11">
        <f>11.3369 * CHOOSE(CONTROL!$C$32, $C$9, 100%, $E$9)</f>
        <v>11.3369</v>
      </c>
      <c r="N691" s="11">
        <f>11.3327 * CHOOSE(CONTROL!$C$32, $C$9, 100%, $E$9)</f>
        <v>11.332700000000001</v>
      </c>
      <c r="O691" s="11">
        <f>11.3369 * CHOOSE(CONTROL!$C$32, $C$9, 100%, $E$9)</f>
        <v>11.3369</v>
      </c>
    </row>
    <row r="692" spans="1:15" ht="15" x14ac:dyDescent="0.2">
      <c r="A692" s="13">
        <v>61910</v>
      </c>
      <c r="B692" s="9">
        <f>10.0709 * CHOOSE(CONTROL!$C$32, $C$9, 100%, $E$9)</f>
        <v>10.0709</v>
      </c>
      <c r="C692" s="9">
        <f>10.0709 * CHOOSE(CONTROL!$C$32, $C$9, 100%, $E$9)</f>
        <v>10.0709</v>
      </c>
      <c r="D692" s="9">
        <f>10.0722 * CHOOSE(CONTROL!$C$32, $C$9, 100%, $E$9)</f>
        <v>10.0722</v>
      </c>
      <c r="E692" s="11">
        <f>11.4915 * CHOOSE(CONTROL!$C$32, $C$9, 100%, $E$9)</f>
        <v>11.4915</v>
      </c>
      <c r="F692" s="11">
        <f>11.4915 * CHOOSE(CONTROL!$C$32, $C$9, 100%, $E$9)</f>
        <v>11.4915</v>
      </c>
      <c r="G692" s="11">
        <f>11.4957 * CHOOSE(CONTROL!$C$32, $C$9, 100%, $E$9)</f>
        <v>11.495699999999999</v>
      </c>
      <c r="H692" s="11">
        <f>23.191 * CHOOSE(CONTROL!$C$32, $C$9, 100%, $E$9)</f>
        <v>23.190999999999999</v>
      </c>
      <c r="I692" s="11">
        <f>23.1952 * CHOOSE(CONTROL!$C$32, $C$9, 100%, $E$9)</f>
        <v>23.1952</v>
      </c>
      <c r="J692" s="11">
        <f>23.191 * CHOOSE(CONTROL!$C$32, $C$9, 100%, $E$9)</f>
        <v>23.190999999999999</v>
      </c>
      <c r="K692" s="11">
        <f>23.1952 * CHOOSE(CONTROL!$C$32, $C$9, 100%, $E$9)</f>
        <v>23.1952</v>
      </c>
      <c r="L692" s="11">
        <f>11.4915 * CHOOSE(CONTROL!$C$32, $C$9, 100%, $E$9)</f>
        <v>11.4915</v>
      </c>
      <c r="M692" s="11">
        <f>11.4957 * CHOOSE(CONTROL!$C$32, $C$9, 100%, $E$9)</f>
        <v>11.495699999999999</v>
      </c>
      <c r="N692" s="11">
        <f>11.4915 * CHOOSE(CONTROL!$C$32, $C$9, 100%, $E$9)</f>
        <v>11.4915</v>
      </c>
      <c r="O692" s="11">
        <f>11.4957 * CHOOSE(CONTROL!$C$32, $C$9, 100%, $E$9)</f>
        <v>11.495699999999999</v>
      </c>
    </row>
    <row r="693" spans="1:15" ht="15" x14ac:dyDescent="0.2">
      <c r="A693" s="13">
        <v>61941</v>
      </c>
      <c r="B693" s="9">
        <f>10.0776 * CHOOSE(CONTROL!$C$32, $C$9, 100%, $E$9)</f>
        <v>10.0776</v>
      </c>
      <c r="C693" s="9">
        <f>10.0776 * CHOOSE(CONTROL!$C$32, $C$9, 100%, $E$9)</f>
        <v>10.0776</v>
      </c>
      <c r="D693" s="9">
        <f>10.0789 * CHOOSE(CONTROL!$C$32, $C$9, 100%, $E$9)</f>
        <v>10.078900000000001</v>
      </c>
      <c r="E693" s="11">
        <f>11.2277 * CHOOSE(CONTROL!$C$32, $C$9, 100%, $E$9)</f>
        <v>11.2277</v>
      </c>
      <c r="F693" s="11">
        <f>11.2277 * CHOOSE(CONTROL!$C$32, $C$9, 100%, $E$9)</f>
        <v>11.2277</v>
      </c>
      <c r="G693" s="11">
        <f>11.2319 * CHOOSE(CONTROL!$C$32, $C$9, 100%, $E$9)</f>
        <v>11.2319</v>
      </c>
      <c r="H693" s="11">
        <f>23.2393 * CHOOSE(CONTROL!$C$32, $C$9, 100%, $E$9)</f>
        <v>23.2393</v>
      </c>
      <c r="I693" s="11">
        <f>23.2435 * CHOOSE(CONTROL!$C$32, $C$9, 100%, $E$9)</f>
        <v>23.243500000000001</v>
      </c>
      <c r="J693" s="11">
        <f>23.2393 * CHOOSE(CONTROL!$C$32, $C$9, 100%, $E$9)</f>
        <v>23.2393</v>
      </c>
      <c r="K693" s="11">
        <f>23.2435 * CHOOSE(CONTROL!$C$32, $C$9, 100%, $E$9)</f>
        <v>23.243500000000001</v>
      </c>
      <c r="L693" s="11">
        <f>11.2277 * CHOOSE(CONTROL!$C$32, $C$9, 100%, $E$9)</f>
        <v>11.2277</v>
      </c>
      <c r="M693" s="11">
        <f>11.2319 * CHOOSE(CONTROL!$C$32, $C$9, 100%, $E$9)</f>
        <v>11.2319</v>
      </c>
      <c r="N693" s="11">
        <f>11.2277 * CHOOSE(CONTROL!$C$32, $C$9, 100%, $E$9)</f>
        <v>11.2277</v>
      </c>
      <c r="O693" s="11">
        <f>11.2319 * CHOOSE(CONTROL!$C$32, $C$9, 100%, $E$9)</f>
        <v>11.2319</v>
      </c>
    </row>
    <row r="694" spans="1:15" ht="15" x14ac:dyDescent="0.2">
      <c r="A694" s="13">
        <v>61972</v>
      </c>
      <c r="B694" s="9">
        <f>10.0746 * CHOOSE(CONTROL!$C$32, $C$9, 100%, $E$9)</f>
        <v>10.0746</v>
      </c>
      <c r="C694" s="9">
        <f>10.0746 * CHOOSE(CONTROL!$C$32, $C$9, 100%, $E$9)</f>
        <v>10.0746</v>
      </c>
      <c r="D694" s="9">
        <f>10.0758 * CHOOSE(CONTROL!$C$32, $C$9, 100%, $E$9)</f>
        <v>10.075799999999999</v>
      </c>
      <c r="E694" s="11">
        <f>11.1958 * CHOOSE(CONTROL!$C$32, $C$9, 100%, $E$9)</f>
        <v>11.1958</v>
      </c>
      <c r="F694" s="11">
        <f>11.1958 * CHOOSE(CONTROL!$C$32, $C$9, 100%, $E$9)</f>
        <v>11.1958</v>
      </c>
      <c r="G694" s="11">
        <f>11.2 * CHOOSE(CONTROL!$C$32, $C$9, 100%, $E$9)</f>
        <v>11.2</v>
      </c>
      <c r="H694" s="11">
        <f>23.2877 * CHOOSE(CONTROL!$C$32, $C$9, 100%, $E$9)</f>
        <v>23.287700000000001</v>
      </c>
      <c r="I694" s="11">
        <f>23.2919 * CHOOSE(CONTROL!$C$32, $C$9, 100%, $E$9)</f>
        <v>23.291899999999998</v>
      </c>
      <c r="J694" s="11">
        <f>23.2877 * CHOOSE(CONTROL!$C$32, $C$9, 100%, $E$9)</f>
        <v>23.287700000000001</v>
      </c>
      <c r="K694" s="11">
        <f>23.2919 * CHOOSE(CONTROL!$C$32, $C$9, 100%, $E$9)</f>
        <v>23.291899999999998</v>
      </c>
      <c r="L694" s="11">
        <f>11.1958 * CHOOSE(CONTROL!$C$32, $C$9, 100%, $E$9)</f>
        <v>11.1958</v>
      </c>
      <c r="M694" s="11">
        <f>11.2 * CHOOSE(CONTROL!$C$32, $C$9, 100%, $E$9)</f>
        <v>11.2</v>
      </c>
      <c r="N694" s="11">
        <f>11.1958 * CHOOSE(CONTROL!$C$32, $C$9, 100%, $E$9)</f>
        <v>11.1958</v>
      </c>
      <c r="O694" s="11">
        <f>11.2 * CHOOSE(CONTROL!$C$32, $C$9, 100%, $E$9)</f>
        <v>11.2</v>
      </c>
    </row>
    <row r="695" spans="1:15" ht="15" x14ac:dyDescent="0.2">
      <c r="A695" s="13">
        <v>62002</v>
      </c>
      <c r="B695" s="9">
        <f>10.0923 * CHOOSE(CONTROL!$C$32, $C$9, 100%, $E$9)</f>
        <v>10.0923</v>
      </c>
      <c r="C695" s="9">
        <f>10.0923 * CHOOSE(CONTROL!$C$32, $C$9, 100%, $E$9)</f>
        <v>10.0923</v>
      </c>
      <c r="D695" s="9">
        <f>10.0933 * CHOOSE(CONTROL!$C$32, $C$9, 100%, $E$9)</f>
        <v>10.093299999999999</v>
      </c>
      <c r="E695" s="11">
        <f>11.3017 * CHOOSE(CONTROL!$C$32, $C$9, 100%, $E$9)</f>
        <v>11.3017</v>
      </c>
      <c r="F695" s="11">
        <f>11.3017 * CHOOSE(CONTROL!$C$32, $C$9, 100%, $E$9)</f>
        <v>11.3017</v>
      </c>
      <c r="G695" s="11">
        <f>11.3049 * CHOOSE(CONTROL!$C$32, $C$9, 100%, $E$9)</f>
        <v>11.3049</v>
      </c>
      <c r="H695" s="11">
        <f>23.3362 * CHOOSE(CONTROL!$C$32, $C$9, 100%, $E$9)</f>
        <v>23.336200000000002</v>
      </c>
      <c r="I695" s="11">
        <f>23.3394 * CHOOSE(CONTROL!$C$32, $C$9, 100%, $E$9)</f>
        <v>23.339400000000001</v>
      </c>
      <c r="J695" s="11">
        <f>23.3362 * CHOOSE(CONTROL!$C$32, $C$9, 100%, $E$9)</f>
        <v>23.336200000000002</v>
      </c>
      <c r="K695" s="11">
        <f>23.3394 * CHOOSE(CONTROL!$C$32, $C$9, 100%, $E$9)</f>
        <v>23.339400000000001</v>
      </c>
      <c r="L695" s="11">
        <f>11.3017 * CHOOSE(CONTROL!$C$32, $C$9, 100%, $E$9)</f>
        <v>11.3017</v>
      </c>
      <c r="M695" s="11">
        <f>11.3049 * CHOOSE(CONTROL!$C$32, $C$9, 100%, $E$9)</f>
        <v>11.3049</v>
      </c>
      <c r="N695" s="11">
        <f>11.3017 * CHOOSE(CONTROL!$C$32, $C$9, 100%, $E$9)</f>
        <v>11.3017</v>
      </c>
      <c r="O695" s="11">
        <f>11.3049 * CHOOSE(CONTROL!$C$32, $C$9, 100%, $E$9)</f>
        <v>11.3049</v>
      </c>
    </row>
    <row r="696" spans="1:15" ht="15" x14ac:dyDescent="0.2">
      <c r="A696" s="13">
        <v>62033</v>
      </c>
      <c r="B696" s="9">
        <f>10.0953 * CHOOSE(CONTROL!$C$32, $C$9, 100%, $E$9)</f>
        <v>10.0953</v>
      </c>
      <c r="C696" s="9">
        <f>10.0953 * CHOOSE(CONTROL!$C$32, $C$9, 100%, $E$9)</f>
        <v>10.0953</v>
      </c>
      <c r="D696" s="9">
        <f>10.0963 * CHOOSE(CONTROL!$C$32, $C$9, 100%, $E$9)</f>
        <v>10.096299999999999</v>
      </c>
      <c r="E696" s="11">
        <f>11.3634 * CHOOSE(CONTROL!$C$32, $C$9, 100%, $E$9)</f>
        <v>11.3634</v>
      </c>
      <c r="F696" s="11">
        <f>11.3634 * CHOOSE(CONTROL!$C$32, $C$9, 100%, $E$9)</f>
        <v>11.3634</v>
      </c>
      <c r="G696" s="11">
        <f>11.3667 * CHOOSE(CONTROL!$C$32, $C$9, 100%, $E$9)</f>
        <v>11.3667</v>
      </c>
      <c r="H696" s="11">
        <f>23.3848 * CHOOSE(CONTROL!$C$32, $C$9, 100%, $E$9)</f>
        <v>23.384799999999998</v>
      </c>
      <c r="I696" s="11">
        <f>23.388 * CHOOSE(CONTROL!$C$32, $C$9, 100%, $E$9)</f>
        <v>23.388000000000002</v>
      </c>
      <c r="J696" s="11">
        <f>23.3848 * CHOOSE(CONTROL!$C$32, $C$9, 100%, $E$9)</f>
        <v>23.384799999999998</v>
      </c>
      <c r="K696" s="11">
        <f>23.388 * CHOOSE(CONTROL!$C$32, $C$9, 100%, $E$9)</f>
        <v>23.388000000000002</v>
      </c>
      <c r="L696" s="11">
        <f>11.3634 * CHOOSE(CONTROL!$C$32, $C$9, 100%, $E$9)</f>
        <v>11.3634</v>
      </c>
      <c r="M696" s="11">
        <f>11.3667 * CHOOSE(CONTROL!$C$32, $C$9, 100%, $E$9)</f>
        <v>11.3667</v>
      </c>
      <c r="N696" s="11">
        <f>11.3634 * CHOOSE(CONTROL!$C$32, $C$9, 100%, $E$9)</f>
        <v>11.3634</v>
      </c>
      <c r="O696" s="11">
        <f>11.3667 * CHOOSE(CONTROL!$C$32, $C$9, 100%, $E$9)</f>
        <v>11.3667</v>
      </c>
    </row>
    <row r="697" spans="1:15" ht="15" x14ac:dyDescent="0.2">
      <c r="A697" s="13">
        <v>62063</v>
      </c>
      <c r="B697" s="9">
        <f>10.0953 * CHOOSE(CONTROL!$C$32, $C$9, 100%, $E$9)</f>
        <v>10.0953</v>
      </c>
      <c r="C697" s="9">
        <f>10.0953 * CHOOSE(CONTROL!$C$32, $C$9, 100%, $E$9)</f>
        <v>10.0953</v>
      </c>
      <c r="D697" s="9">
        <f>10.0963 * CHOOSE(CONTROL!$C$32, $C$9, 100%, $E$9)</f>
        <v>10.096299999999999</v>
      </c>
      <c r="E697" s="11">
        <f>11.2143 * CHOOSE(CONTROL!$C$32, $C$9, 100%, $E$9)</f>
        <v>11.2143</v>
      </c>
      <c r="F697" s="11">
        <f>11.2143 * CHOOSE(CONTROL!$C$32, $C$9, 100%, $E$9)</f>
        <v>11.2143</v>
      </c>
      <c r="G697" s="11">
        <f>11.2175 * CHOOSE(CONTROL!$C$32, $C$9, 100%, $E$9)</f>
        <v>11.217499999999999</v>
      </c>
      <c r="H697" s="11">
        <f>23.4335 * CHOOSE(CONTROL!$C$32, $C$9, 100%, $E$9)</f>
        <v>23.433499999999999</v>
      </c>
      <c r="I697" s="11">
        <f>23.4368 * CHOOSE(CONTROL!$C$32, $C$9, 100%, $E$9)</f>
        <v>23.436800000000002</v>
      </c>
      <c r="J697" s="11">
        <f>23.4335 * CHOOSE(CONTROL!$C$32, $C$9, 100%, $E$9)</f>
        <v>23.433499999999999</v>
      </c>
      <c r="K697" s="11">
        <f>23.4368 * CHOOSE(CONTROL!$C$32, $C$9, 100%, $E$9)</f>
        <v>23.436800000000002</v>
      </c>
      <c r="L697" s="11">
        <f>11.2143 * CHOOSE(CONTROL!$C$32, $C$9, 100%, $E$9)</f>
        <v>11.2143</v>
      </c>
      <c r="M697" s="11">
        <f>11.2175 * CHOOSE(CONTROL!$C$32, $C$9, 100%, $E$9)</f>
        <v>11.217499999999999</v>
      </c>
      <c r="N697" s="11">
        <f>11.2143 * CHOOSE(CONTROL!$C$32, $C$9, 100%, $E$9)</f>
        <v>11.2143</v>
      </c>
      <c r="O697" s="11">
        <f>11.2175 * CHOOSE(CONTROL!$C$32, $C$9, 100%, $E$9)</f>
        <v>11.217499999999999</v>
      </c>
    </row>
    <row r="698" spans="1:15" ht="15" x14ac:dyDescent="0.2">
      <c r="A698" s="13">
        <v>62094</v>
      </c>
      <c r="B698" s="9">
        <f>10.1311 * CHOOSE(CONTROL!$C$32, $C$9, 100%, $E$9)</f>
        <v>10.1311</v>
      </c>
      <c r="C698" s="9">
        <f>10.1311 * CHOOSE(CONTROL!$C$32, $C$9, 100%, $E$9)</f>
        <v>10.1311</v>
      </c>
      <c r="D698" s="9">
        <f>10.132 * CHOOSE(CONTROL!$C$32, $C$9, 100%, $E$9)</f>
        <v>10.132</v>
      </c>
      <c r="E698" s="11">
        <f>11.3705 * CHOOSE(CONTROL!$C$32, $C$9, 100%, $E$9)</f>
        <v>11.3705</v>
      </c>
      <c r="F698" s="11">
        <f>11.3705 * CHOOSE(CONTROL!$C$32, $C$9, 100%, $E$9)</f>
        <v>11.3705</v>
      </c>
      <c r="G698" s="11">
        <f>11.3737 * CHOOSE(CONTROL!$C$32, $C$9, 100%, $E$9)</f>
        <v>11.373699999999999</v>
      </c>
      <c r="H698" s="11">
        <f>23.375 * CHOOSE(CONTROL!$C$32, $C$9, 100%, $E$9)</f>
        <v>23.375</v>
      </c>
      <c r="I698" s="11">
        <f>23.3782 * CHOOSE(CONTROL!$C$32, $C$9, 100%, $E$9)</f>
        <v>23.3782</v>
      </c>
      <c r="J698" s="11">
        <f>23.375 * CHOOSE(CONTROL!$C$32, $C$9, 100%, $E$9)</f>
        <v>23.375</v>
      </c>
      <c r="K698" s="11">
        <f>23.3782 * CHOOSE(CONTROL!$C$32, $C$9, 100%, $E$9)</f>
        <v>23.3782</v>
      </c>
      <c r="L698" s="11">
        <f>11.3705 * CHOOSE(CONTROL!$C$32, $C$9, 100%, $E$9)</f>
        <v>11.3705</v>
      </c>
      <c r="M698" s="11">
        <f>11.3737 * CHOOSE(CONTROL!$C$32, $C$9, 100%, $E$9)</f>
        <v>11.373699999999999</v>
      </c>
      <c r="N698" s="11">
        <f>11.3705 * CHOOSE(CONTROL!$C$32, $C$9, 100%, $E$9)</f>
        <v>11.3705</v>
      </c>
      <c r="O698" s="11">
        <f>11.3737 * CHOOSE(CONTROL!$C$32, $C$9, 100%, $E$9)</f>
        <v>11.373699999999999</v>
      </c>
    </row>
    <row r="699" spans="1:15" ht="15" x14ac:dyDescent="0.2">
      <c r="A699" s="13">
        <v>62125</v>
      </c>
      <c r="B699" s="9">
        <f>10.128 * CHOOSE(CONTROL!$C$32, $C$9, 100%, $E$9)</f>
        <v>10.128</v>
      </c>
      <c r="C699" s="9">
        <f>10.128 * CHOOSE(CONTROL!$C$32, $C$9, 100%, $E$9)</f>
        <v>10.128</v>
      </c>
      <c r="D699" s="9">
        <f>10.129 * CHOOSE(CONTROL!$C$32, $C$9, 100%, $E$9)</f>
        <v>10.129</v>
      </c>
      <c r="E699" s="11">
        <f>11.0795 * CHOOSE(CONTROL!$C$32, $C$9, 100%, $E$9)</f>
        <v>11.079499999999999</v>
      </c>
      <c r="F699" s="11">
        <f>11.0795 * CHOOSE(CONTROL!$C$32, $C$9, 100%, $E$9)</f>
        <v>11.079499999999999</v>
      </c>
      <c r="G699" s="11">
        <f>11.0827 * CHOOSE(CONTROL!$C$32, $C$9, 100%, $E$9)</f>
        <v>11.082700000000001</v>
      </c>
      <c r="H699" s="11">
        <f>23.4237 * CHOOSE(CONTROL!$C$32, $C$9, 100%, $E$9)</f>
        <v>23.4237</v>
      </c>
      <c r="I699" s="11">
        <f>23.4269 * CHOOSE(CONTROL!$C$32, $C$9, 100%, $E$9)</f>
        <v>23.4269</v>
      </c>
      <c r="J699" s="11">
        <f>23.4237 * CHOOSE(CONTROL!$C$32, $C$9, 100%, $E$9)</f>
        <v>23.4237</v>
      </c>
      <c r="K699" s="11">
        <f>23.4269 * CHOOSE(CONTROL!$C$32, $C$9, 100%, $E$9)</f>
        <v>23.4269</v>
      </c>
      <c r="L699" s="11">
        <f>11.0795 * CHOOSE(CONTROL!$C$32, $C$9, 100%, $E$9)</f>
        <v>11.079499999999999</v>
      </c>
      <c r="M699" s="11">
        <f>11.0827 * CHOOSE(CONTROL!$C$32, $C$9, 100%, $E$9)</f>
        <v>11.082700000000001</v>
      </c>
      <c r="N699" s="11">
        <f>11.0795 * CHOOSE(CONTROL!$C$32, $C$9, 100%, $E$9)</f>
        <v>11.079499999999999</v>
      </c>
      <c r="O699" s="11">
        <f>11.0827 * CHOOSE(CONTROL!$C$32, $C$9, 100%, $E$9)</f>
        <v>11.082700000000001</v>
      </c>
    </row>
    <row r="700" spans="1:15" ht="15" x14ac:dyDescent="0.2">
      <c r="A700" s="13">
        <v>62153</v>
      </c>
      <c r="B700" s="9">
        <f>10.125 * CHOOSE(CONTROL!$C$32, $C$9, 100%, $E$9)</f>
        <v>10.125</v>
      </c>
      <c r="C700" s="9">
        <f>10.125 * CHOOSE(CONTROL!$C$32, $C$9, 100%, $E$9)</f>
        <v>10.125</v>
      </c>
      <c r="D700" s="9">
        <f>10.1259 * CHOOSE(CONTROL!$C$32, $C$9, 100%, $E$9)</f>
        <v>10.1259</v>
      </c>
      <c r="E700" s="11">
        <f>11.3051 * CHOOSE(CONTROL!$C$32, $C$9, 100%, $E$9)</f>
        <v>11.305099999999999</v>
      </c>
      <c r="F700" s="11">
        <f>11.3051 * CHOOSE(CONTROL!$C$32, $C$9, 100%, $E$9)</f>
        <v>11.305099999999999</v>
      </c>
      <c r="G700" s="11">
        <f>11.3084 * CHOOSE(CONTROL!$C$32, $C$9, 100%, $E$9)</f>
        <v>11.308400000000001</v>
      </c>
      <c r="H700" s="11">
        <f>23.4725 * CHOOSE(CONTROL!$C$32, $C$9, 100%, $E$9)</f>
        <v>23.4725</v>
      </c>
      <c r="I700" s="11">
        <f>23.4757 * CHOOSE(CONTROL!$C$32, $C$9, 100%, $E$9)</f>
        <v>23.4757</v>
      </c>
      <c r="J700" s="11">
        <f>23.4725 * CHOOSE(CONTROL!$C$32, $C$9, 100%, $E$9)</f>
        <v>23.4725</v>
      </c>
      <c r="K700" s="11">
        <f>23.4757 * CHOOSE(CONTROL!$C$32, $C$9, 100%, $E$9)</f>
        <v>23.4757</v>
      </c>
      <c r="L700" s="11">
        <f>11.3051 * CHOOSE(CONTROL!$C$32, $C$9, 100%, $E$9)</f>
        <v>11.305099999999999</v>
      </c>
      <c r="M700" s="11">
        <f>11.3084 * CHOOSE(CONTROL!$C$32, $C$9, 100%, $E$9)</f>
        <v>11.308400000000001</v>
      </c>
      <c r="N700" s="11">
        <f>11.3051 * CHOOSE(CONTROL!$C$32, $C$9, 100%, $E$9)</f>
        <v>11.305099999999999</v>
      </c>
      <c r="O700" s="11">
        <f>11.3084 * CHOOSE(CONTROL!$C$32, $C$9, 100%, $E$9)</f>
        <v>11.308400000000001</v>
      </c>
    </row>
    <row r="701" spans="1:15" ht="15" x14ac:dyDescent="0.2">
      <c r="A701" s="13">
        <v>62184</v>
      </c>
      <c r="B701" s="9">
        <f>10.1286 * CHOOSE(CONTROL!$C$32, $C$9, 100%, $E$9)</f>
        <v>10.1286</v>
      </c>
      <c r="C701" s="9">
        <f>10.1286 * CHOOSE(CONTROL!$C$32, $C$9, 100%, $E$9)</f>
        <v>10.1286</v>
      </c>
      <c r="D701" s="9">
        <f>10.1295 * CHOOSE(CONTROL!$C$32, $C$9, 100%, $E$9)</f>
        <v>10.1295</v>
      </c>
      <c r="E701" s="11">
        <f>11.5455 * CHOOSE(CONTROL!$C$32, $C$9, 100%, $E$9)</f>
        <v>11.545500000000001</v>
      </c>
      <c r="F701" s="11">
        <f>11.5455 * CHOOSE(CONTROL!$C$32, $C$9, 100%, $E$9)</f>
        <v>11.545500000000001</v>
      </c>
      <c r="G701" s="11">
        <f>11.5487 * CHOOSE(CONTROL!$C$32, $C$9, 100%, $E$9)</f>
        <v>11.5487</v>
      </c>
      <c r="H701" s="11">
        <f>23.5214 * CHOOSE(CONTROL!$C$32, $C$9, 100%, $E$9)</f>
        <v>23.5214</v>
      </c>
      <c r="I701" s="11">
        <f>23.5246 * CHOOSE(CONTROL!$C$32, $C$9, 100%, $E$9)</f>
        <v>23.5246</v>
      </c>
      <c r="J701" s="11">
        <f>23.5214 * CHOOSE(CONTROL!$C$32, $C$9, 100%, $E$9)</f>
        <v>23.5214</v>
      </c>
      <c r="K701" s="11">
        <f>23.5246 * CHOOSE(CONTROL!$C$32, $C$9, 100%, $E$9)</f>
        <v>23.5246</v>
      </c>
      <c r="L701" s="11">
        <f>11.5455 * CHOOSE(CONTROL!$C$32, $C$9, 100%, $E$9)</f>
        <v>11.545500000000001</v>
      </c>
      <c r="M701" s="11">
        <f>11.5487 * CHOOSE(CONTROL!$C$32, $C$9, 100%, $E$9)</f>
        <v>11.5487</v>
      </c>
      <c r="N701" s="11">
        <f>11.5455 * CHOOSE(CONTROL!$C$32, $C$9, 100%, $E$9)</f>
        <v>11.545500000000001</v>
      </c>
      <c r="O701" s="11">
        <f>11.5487 * CHOOSE(CONTROL!$C$32, $C$9, 100%, $E$9)</f>
        <v>11.5487</v>
      </c>
    </row>
    <row r="702" spans="1:15" ht="15" x14ac:dyDescent="0.2">
      <c r="A702" s="13">
        <v>62214</v>
      </c>
      <c r="B702" s="9">
        <f>10.1286 * CHOOSE(CONTROL!$C$32, $C$9, 100%, $E$9)</f>
        <v>10.1286</v>
      </c>
      <c r="C702" s="9">
        <f>10.1286 * CHOOSE(CONTROL!$C$32, $C$9, 100%, $E$9)</f>
        <v>10.1286</v>
      </c>
      <c r="D702" s="9">
        <f>10.1298 * CHOOSE(CONTROL!$C$32, $C$9, 100%, $E$9)</f>
        <v>10.129799999999999</v>
      </c>
      <c r="E702" s="11">
        <f>11.6372 * CHOOSE(CONTROL!$C$32, $C$9, 100%, $E$9)</f>
        <v>11.6372</v>
      </c>
      <c r="F702" s="11">
        <f>11.6372 * CHOOSE(CONTROL!$C$32, $C$9, 100%, $E$9)</f>
        <v>11.6372</v>
      </c>
      <c r="G702" s="11">
        <f>11.6414 * CHOOSE(CONTROL!$C$32, $C$9, 100%, $E$9)</f>
        <v>11.641400000000001</v>
      </c>
      <c r="H702" s="11">
        <f>23.5704 * CHOOSE(CONTROL!$C$32, $C$9, 100%, $E$9)</f>
        <v>23.570399999999999</v>
      </c>
      <c r="I702" s="11">
        <f>23.5746 * CHOOSE(CONTROL!$C$32, $C$9, 100%, $E$9)</f>
        <v>23.5746</v>
      </c>
      <c r="J702" s="11">
        <f>23.5704 * CHOOSE(CONTROL!$C$32, $C$9, 100%, $E$9)</f>
        <v>23.570399999999999</v>
      </c>
      <c r="K702" s="11">
        <f>23.5746 * CHOOSE(CONTROL!$C$32, $C$9, 100%, $E$9)</f>
        <v>23.5746</v>
      </c>
      <c r="L702" s="11">
        <f>11.6372 * CHOOSE(CONTROL!$C$32, $C$9, 100%, $E$9)</f>
        <v>11.6372</v>
      </c>
      <c r="M702" s="11">
        <f>11.6414 * CHOOSE(CONTROL!$C$32, $C$9, 100%, $E$9)</f>
        <v>11.641400000000001</v>
      </c>
      <c r="N702" s="11">
        <f>11.6372 * CHOOSE(CONTROL!$C$32, $C$9, 100%, $E$9)</f>
        <v>11.6372</v>
      </c>
      <c r="O702" s="11">
        <f>11.6414 * CHOOSE(CONTROL!$C$32, $C$9, 100%, $E$9)</f>
        <v>11.641400000000001</v>
      </c>
    </row>
    <row r="703" spans="1:15" ht="15" x14ac:dyDescent="0.2">
      <c r="A703" s="13">
        <v>62245</v>
      </c>
      <c r="B703" s="9">
        <f>10.1347 * CHOOSE(CONTROL!$C$32, $C$9, 100%, $E$9)</f>
        <v>10.1347</v>
      </c>
      <c r="C703" s="9">
        <f>10.1347 * CHOOSE(CONTROL!$C$32, $C$9, 100%, $E$9)</f>
        <v>10.1347</v>
      </c>
      <c r="D703" s="9">
        <f>10.1359 * CHOOSE(CONTROL!$C$32, $C$9, 100%, $E$9)</f>
        <v>10.135899999999999</v>
      </c>
      <c r="E703" s="11">
        <f>11.5497 * CHOOSE(CONTROL!$C$32, $C$9, 100%, $E$9)</f>
        <v>11.5497</v>
      </c>
      <c r="F703" s="11">
        <f>11.5497 * CHOOSE(CONTROL!$C$32, $C$9, 100%, $E$9)</f>
        <v>11.5497</v>
      </c>
      <c r="G703" s="11">
        <f>11.5539 * CHOOSE(CONTROL!$C$32, $C$9, 100%, $E$9)</f>
        <v>11.553900000000001</v>
      </c>
      <c r="H703" s="11">
        <f>23.6195 * CHOOSE(CONTROL!$C$32, $C$9, 100%, $E$9)</f>
        <v>23.619499999999999</v>
      </c>
      <c r="I703" s="11">
        <f>23.6237 * CHOOSE(CONTROL!$C$32, $C$9, 100%, $E$9)</f>
        <v>23.623699999999999</v>
      </c>
      <c r="J703" s="11">
        <f>23.6195 * CHOOSE(CONTROL!$C$32, $C$9, 100%, $E$9)</f>
        <v>23.619499999999999</v>
      </c>
      <c r="K703" s="11">
        <f>23.6237 * CHOOSE(CONTROL!$C$32, $C$9, 100%, $E$9)</f>
        <v>23.623699999999999</v>
      </c>
      <c r="L703" s="11">
        <f>11.5497 * CHOOSE(CONTROL!$C$32, $C$9, 100%, $E$9)</f>
        <v>11.5497</v>
      </c>
      <c r="M703" s="11">
        <f>11.5539 * CHOOSE(CONTROL!$C$32, $C$9, 100%, $E$9)</f>
        <v>11.553900000000001</v>
      </c>
      <c r="N703" s="11">
        <f>11.5497 * CHOOSE(CONTROL!$C$32, $C$9, 100%, $E$9)</f>
        <v>11.5497</v>
      </c>
      <c r="O703" s="11">
        <f>11.5539 * CHOOSE(CONTROL!$C$32, $C$9, 100%, $E$9)</f>
        <v>11.553900000000001</v>
      </c>
    </row>
    <row r="704" spans="1:15" ht="15" x14ac:dyDescent="0.2">
      <c r="A704" s="13">
        <v>62275</v>
      </c>
      <c r="B704" s="9">
        <f>10.2605 * CHOOSE(CONTROL!$C$32, $C$9, 100%, $E$9)</f>
        <v>10.2605</v>
      </c>
      <c r="C704" s="9">
        <f>10.2605 * CHOOSE(CONTROL!$C$32, $C$9, 100%, $E$9)</f>
        <v>10.2605</v>
      </c>
      <c r="D704" s="9">
        <f>10.2618 * CHOOSE(CONTROL!$C$32, $C$9, 100%, $E$9)</f>
        <v>10.261799999999999</v>
      </c>
      <c r="E704" s="11">
        <f>11.7117 * CHOOSE(CONTROL!$C$32, $C$9, 100%, $E$9)</f>
        <v>11.7117</v>
      </c>
      <c r="F704" s="11">
        <f>11.7117 * CHOOSE(CONTROL!$C$32, $C$9, 100%, $E$9)</f>
        <v>11.7117</v>
      </c>
      <c r="G704" s="11">
        <f>11.7159 * CHOOSE(CONTROL!$C$32, $C$9, 100%, $E$9)</f>
        <v>11.7159</v>
      </c>
      <c r="H704" s="11">
        <f>23.6687 * CHOOSE(CONTROL!$C$32, $C$9, 100%, $E$9)</f>
        <v>23.668700000000001</v>
      </c>
      <c r="I704" s="11">
        <f>23.6729 * CHOOSE(CONTROL!$C$32, $C$9, 100%, $E$9)</f>
        <v>23.672899999999998</v>
      </c>
      <c r="J704" s="11">
        <f>23.6687 * CHOOSE(CONTROL!$C$32, $C$9, 100%, $E$9)</f>
        <v>23.668700000000001</v>
      </c>
      <c r="K704" s="11">
        <f>23.6729 * CHOOSE(CONTROL!$C$32, $C$9, 100%, $E$9)</f>
        <v>23.672899999999998</v>
      </c>
      <c r="L704" s="11">
        <f>11.7117 * CHOOSE(CONTROL!$C$32, $C$9, 100%, $E$9)</f>
        <v>11.7117</v>
      </c>
      <c r="M704" s="11">
        <f>11.7159 * CHOOSE(CONTROL!$C$32, $C$9, 100%, $E$9)</f>
        <v>11.7159</v>
      </c>
      <c r="N704" s="11">
        <f>11.7117 * CHOOSE(CONTROL!$C$32, $C$9, 100%, $E$9)</f>
        <v>11.7117</v>
      </c>
      <c r="O704" s="11">
        <f>11.7159 * CHOOSE(CONTROL!$C$32, $C$9, 100%, $E$9)</f>
        <v>11.7159</v>
      </c>
    </row>
    <row r="705" spans="1:15" ht="15" x14ac:dyDescent="0.2">
      <c r="A705" s="13">
        <v>62306</v>
      </c>
      <c r="B705" s="9">
        <f>10.2672 * CHOOSE(CONTROL!$C$32, $C$9, 100%, $E$9)</f>
        <v>10.267200000000001</v>
      </c>
      <c r="C705" s="9">
        <f>10.2672 * CHOOSE(CONTROL!$C$32, $C$9, 100%, $E$9)</f>
        <v>10.267200000000001</v>
      </c>
      <c r="D705" s="9">
        <f>10.2685 * CHOOSE(CONTROL!$C$32, $C$9, 100%, $E$9)</f>
        <v>10.2685</v>
      </c>
      <c r="E705" s="11">
        <f>11.4412 * CHOOSE(CONTROL!$C$32, $C$9, 100%, $E$9)</f>
        <v>11.4412</v>
      </c>
      <c r="F705" s="11">
        <f>11.4412 * CHOOSE(CONTROL!$C$32, $C$9, 100%, $E$9)</f>
        <v>11.4412</v>
      </c>
      <c r="G705" s="11">
        <f>11.4454 * CHOOSE(CONTROL!$C$32, $C$9, 100%, $E$9)</f>
        <v>11.445399999999999</v>
      </c>
      <c r="H705" s="11">
        <f>23.718 * CHOOSE(CONTROL!$C$32, $C$9, 100%, $E$9)</f>
        <v>23.718</v>
      </c>
      <c r="I705" s="11">
        <f>23.7222 * CHOOSE(CONTROL!$C$32, $C$9, 100%, $E$9)</f>
        <v>23.722200000000001</v>
      </c>
      <c r="J705" s="11">
        <f>23.718 * CHOOSE(CONTROL!$C$32, $C$9, 100%, $E$9)</f>
        <v>23.718</v>
      </c>
      <c r="K705" s="11">
        <f>23.7222 * CHOOSE(CONTROL!$C$32, $C$9, 100%, $E$9)</f>
        <v>23.722200000000001</v>
      </c>
      <c r="L705" s="11">
        <f>11.4412 * CHOOSE(CONTROL!$C$32, $C$9, 100%, $E$9)</f>
        <v>11.4412</v>
      </c>
      <c r="M705" s="11">
        <f>11.4454 * CHOOSE(CONTROL!$C$32, $C$9, 100%, $E$9)</f>
        <v>11.445399999999999</v>
      </c>
      <c r="N705" s="11">
        <f>11.4412 * CHOOSE(CONTROL!$C$32, $C$9, 100%, $E$9)</f>
        <v>11.4412</v>
      </c>
      <c r="O705" s="11">
        <f>11.4454 * CHOOSE(CONTROL!$C$32, $C$9, 100%, $E$9)</f>
        <v>11.445399999999999</v>
      </c>
    </row>
    <row r="706" spans="1:15" ht="15" x14ac:dyDescent="0.2">
      <c r="A706" s="13">
        <v>62337</v>
      </c>
      <c r="B706" s="9">
        <f>10.2642 * CHOOSE(CONTROL!$C$32, $C$9, 100%, $E$9)</f>
        <v>10.264200000000001</v>
      </c>
      <c r="C706" s="9">
        <f>10.2642 * CHOOSE(CONTROL!$C$32, $C$9, 100%, $E$9)</f>
        <v>10.264200000000001</v>
      </c>
      <c r="D706" s="9">
        <f>10.2654 * CHOOSE(CONTROL!$C$32, $C$9, 100%, $E$9)</f>
        <v>10.2654</v>
      </c>
      <c r="E706" s="11">
        <f>11.4085 * CHOOSE(CONTROL!$C$32, $C$9, 100%, $E$9)</f>
        <v>11.4085</v>
      </c>
      <c r="F706" s="11">
        <f>11.4085 * CHOOSE(CONTROL!$C$32, $C$9, 100%, $E$9)</f>
        <v>11.4085</v>
      </c>
      <c r="G706" s="11">
        <f>11.4127 * CHOOSE(CONTROL!$C$32, $C$9, 100%, $E$9)</f>
        <v>11.412699999999999</v>
      </c>
      <c r="H706" s="11">
        <f>23.7674 * CHOOSE(CONTROL!$C$32, $C$9, 100%, $E$9)</f>
        <v>23.767399999999999</v>
      </c>
      <c r="I706" s="11">
        <f>23.7716 * CHOOSE(CONTROL!$C$32, $C$9, 100%, $E$9)</f>
        <v>23.771599999999999</v>
      </c>
      <c r="J706" s="11">
        <f>23.7674 * CHOOSE(CONTROL!$C$32, $C$9, 100%, $E$9)</f>
        <v>23.767399999999999</v>
      </c>
      <c r="K706" s="11">
        <f>23.7716 * CHOOSE(CONTROL!$C$32, $C$9, 100%, $E$9)</f>
        <v>23.771599999999999</v>
      </c>
      <c r="L706" s="11">
        <f>11.4085 * CHOOSE(CONTROL!$C$32, $C$9, 100%, $E$9)</f>
        <v>11.4085</v>
      </c>
      <c r="M706" s="11">
        <f>11.4127 * CHOOSE(CONTROL!$C$32, $C$9, 100%, $E$9)</f>
        <v>11.412699999999999</v>
      </c>
      <c r="N706" s="11">
        <f>11.4085 * CHOOSE(CONTROL!$C$32, $C$9, 100%, $E$9)</f>
        <v>11.4085</v>
      </c>
      <c r="O706" s="11">
        <f>11.4127 * CHOOSE(CONTROL!$C$32, $C$9, 100%, $E$9)</f>
        <v>11.412699999999999</v>
      </c>
    </row>
    <row r="707" spans="1:15" ht="15" x14ac:dyDescent="0.2">
      <c r="A707" s="13">
        <v>62367</v>
      </c>
      <c r="B707" s="9">
        <f>10.2826 * CHOOSE(CONTROL!$C$32, $C$9, 100%, $E$9)</f>
        <v>10.2826</v>
      </c>
      <c r="C707" s="9">
        <f>10.2826 * CHOOSE(CONTROL!$C$32, $C$9, 100%, $E$9)</f>
        <v>10.2826</v>
      </c>
      <c r="D707" s="9">
        <f>10.2836 * CHOOSE(CONTROL!$C$32, $C$9, 100%, $E$9)</f>
        <v>10.2836</v>
      </c>
      <c r="E707" s="11">
        <f>11.5173 * CHOOSE(CONTROL!$C$32, $C$9, 100%, $E$9)</f>
        <v>11.517300000000001</v>
      </c>
      <c r="F707" s="11">
        <f>11.5173 * CHOOSE(CONTROL!$C$32, $C$9, 100%, $E$9)</f>
        <v>11.517300000000001</v>
      </c>
      <c r="G707" s="11">
        <f>11.5206 * CHOOSE(CONTROL!$C$32, $C$9, 100%, $E$9)</f>
        <v>11.5206</v>
      </c>
      <c r="H707" s="11">
        <f>23.8169 * CHOOSE(CONTROL!$C$32, $C$9, 100%, $E$9)</f>
        <v>23.8169</v>
      </c>
      <c r="I707" s="11">
        <f>23.8202 * CHOOSE(CONTROL!$C$32, $C$9, 100%, $E$9)</f>
        <v>23.8202</v>
      </c>
      <c r="J707" s="11">
        <f>23.8169 * CHOOSE(CONTROL!$C$32, $C$9, 100%, $E$9)</f>
        <v>23.8169</v>
      </c>
      <c r="K707" s="11">
        <f>23.8202 * CHOOSE(CONTROL!$C$32, $C$9, 100%, $E$9)</f>
        <v>23.8202</v>
      </c>
      <c r="L707" s="11">
        <f>11.5173 * CHOOSE(CONTROL!$C$32, $C$9, 100%, $E$9)</f>
        <v>11.517300000000001</v>
      </c>
      <c r="M707" s="11">
        <f>11.5206 * CHOOSE(CONTROL!$C$32, $C$9, 100%, $E$9)</f>
        <v>11.5206</v>
      </c>
      <c r="N707" s="11">
        <f>11.5173 * CHOOSE(CONTROL!$C$32, $C$9, 100%, $E$9)</f>
        <v>11.517300000000001</v>
      </c>
      <c r="O707" s="11">
        <f>11.5206 * CHOOSE(CONTROL!$C$32, $C$9, 100%, $E$9)</f>
        <v>11.5206</v>
      </c>
    </row>
    <row r="708" spans="1:15" ht="15" x14ac:dyDescent="0.2">
      <c r="A708" s="13">
        <v>62398</v>
      </c>
      <c r="B708" s="9">
        <f>10.2857 * CHOOSE(CONTROL!$C$32, $C$9, 100%, $E$9)</f>
        <v>10.2857</v>
      </c>
      <c r="C708" s="9">
        <f>10.2857 * CHOOSE(CONTROL!$C$32, $C$9, 100%, $E$9)</f>
        <v>10.2857</v>
      </c>
      <c r="D708" s="9">
        <f>10.2866 * CHOOSE(CONTROL!$C$32, $C$9, 100%, $E$9)</f>
        <v>10.2866</v>
      </c>
      <c r="E708" s="11">
        <f>11.5806 * CHOOSE(CONTROL!$C$32, $C$9, 100%, $E$9)</f>
        <v>11.5806</v>
      </c>
      <c r="F708" s="11">
        <f>11.5806 * CHOOSE(CONTROL!$C$32, $C$9, 100%, $E$9)</f>
        <v>11.5806</v>
      </c>
      <c r="G708" s="11">
        <f>11.5838 * CHOOSE(CONTROL!$C$32, $C$9, 100%, $E$9)</f>
        <v>11.5838</v>
      </c>
      <c r="H708" s="11">
        <f>23.8665 * CHOOSE(CONTROL!$C$32, $C$9, 100%, $E$9)</f>
        <v>23.866499999999998</v>
      </c>
      <c r="I708" s="11">
        <f>23.8698 * CHOOSE(CONTROL!$C$32, $C$9, 100%, $E$9)</f>
        <v>23.869800000000001</v>
      </c>
      <c r="J708" s="11">
        <f>23.8665 * CHOOSE(CONTROL!$C$32, $C$9, 100%, $E$9)</f>
        <v>23.866499999999998</v>
      </c>
      <c r="K708" s="11">
        <f>23.8698 * CHOOSE(CONTROL!$C$32, $C$9, 100%, $E$9)</f>
        <v>23.869800000000001</v>
      </c>
      <c r="L708" s="11">
        <f>11.5806 * CHOOSE(CONTROL!$C$32, $C$9, 100%, $E$9)</f>
        <v>11.5806</v>
      </c>
      <c r="M708" s="11">
        <f>11.5838 * CHOOSE(CONTROL!$C$32, $C$9, 100%, $E$9)</f>
        <v>11.5838</v>
      </c>
      <c r="N708" s="11">
        <f>11.5806 * CHOOSE(CONTROL!$C$32, $C$9, 100%, $E$9)</f>
        <v>11.5806</v>
      </c>
      <c r="O708" s="11">
        <f>11.5838 * CHOOSE(CONTROL!$C$32, $C$9, 100%, $E$9)</f>
        <v>11.5838</v>
      </c>
    </row>
    <row r="709" spans="1:15" ht="15" x14ac:dyDescent="0.2">
      <c r="A709" s="13">
        <v>62428</v>
      </c>
      <c r="B709" s="9">
        <f>10.2857 * CHOOSE(CONTROL!$C$32, $C$9, 100%, $E$9)</f>
        <v>10.2857</v>
      </c>
      <c r="C709" s="9">
        <f>10.2857 * CHOOSE(CONTROL!$C$32, $C$9, 100%, $E$9)</f>
        <v>10.2857</v>
      </c>
      <c r="D709" s="9">
        <f>10.2866 * CHOOSE(CONTROL!$C$32, $C$9, 100%, $E$9)</f>
        <v>10.2866</v>
      </c>
      <c r="E709" s="11">
        <f>11.4277 * CHOOSE(CONTROL!$C$32, $C$9, 100%, $E$9)</f>
        <v>11.4277</v>
      </c>
      <c r="F709" s="11">
        <f>11.4277 * CHOOSE(CONTROL!$C$32, $C$9, 100%, $E$9)</f>
        <v>11.4277</v>
      </c>
      <c r="G709" s="11">
        <f>11.431 * CHOOSE(CONTROL!$C$32, $C$9, 100%, $E$9)</f>
        <v>11.430999999999999</v>
      </c>
      <c r="H709" s="11">
        <f>23.9163 * CHOOSE(CONTROL!$C$32, $C$9, 100%, $E$9)</f>
        <v>23.9163</v>
      </c>
      <c r="I709" s="11">
        <f>23.9195 * CHOOSE(CONTROL!$C$32, $C$9, 100%, $E$9)</f>
        <v>23.919499999999999</v>
      </c>
      <c r="J709" s="11">
        <f>23.9163 * CHOOSE(CONTROL!$C$32, $C$9, 100%, $E$9)</f>
        <v>23.9163</v>
      </c>
      <c r="K709" s="11">
        <f>23.9195 * CHOOSE(CONTROL!$C$32, $C$9, 100%, $E$9)</f>
        <v>23.919499999999999</v>
      </c>
      <c r="L709" s="11">
        <f>11.4277 * CHOOSE(CONTROL!$C$32, $C$9, 100%, $E$9)</f>
        <v>11.4277</v>
      </c>
      <c r="M709" s="11">
        <f>11.431 * CHOOSE(CONTROL!$C$32, $C$9, 100%, $E$9)</f>
        <v>11.430999999999999</v>
      </c>
      <c r="N709" s="11">
        <f>11.4277 * CHOOSE(CONTROL!$C$32, $C$9, 100%, $E$9)</f>
        <v>11.4277</v>
      </c>
      <c r="O709" s="11">
        <f>11.431 * CHOOSE(CONTROL!$C$32, $C$9, 100%, $E$9)</f>
        <v>11.430999999999999</v>
      </c>
    </row>
    <row r="710" spans="1:15" ht="15" x14ac:dyDescent="0.2">
      <c r="A710" s="13">
        <v>62459</v>
      </c>
      <c r="B710" s="9">
        <f>10.3184 * CHOOSE(CONTROL!$C$32, $C$9, 100%, $E$9)</f>
        <v>10.3184</v>
      </c>
      <c r="C710" s="9">
        <f>10.3184 * CHOOSE(CONTROL!$C$32, $C$9, 100%, $E$9)</f>
        <v>10.3184</v>
      </c>
      <c r="D710" s="9">
        <f>10.3194 * CHOOSE(CONTROL!$C$32, $C$9, 100%, $E$9)</f>
        <v>10.3194</v>
      </c>
      <c r="E710" s="11">
        <f>11.583 * CHOOSE(CONTROL!$C$32, $C$9, 100%, $E$9)</f>
        <v>11.583</v>
      </c>
      <c r="F710" s="11">
        <f>11.583 * CHOOSE(CONTROL!$C$32, $C$9, 100%, $E$9)</f>
        <v>11.583</v>
      </c>
      <c r="G710" s="11">
        <f>11.5862 * CHOOSE(CONTROL!$C$32, $C$9, 100%, $E$9)</f>
        <v>11.5862</v>
      </c>
      <c r="H710" s="11">
        <f>23.8468 * CHOOSE(CONTROL!$C$32, $C$9, 100%, $E$9)</f>
        <v>23.846800000000002</v>
      </c>
      <c r="I710" s="11">
        <f>23.85 * CHOOSE(CONTROL!$C$32, $C$9, 100%, $E$9)</f>
        <v>23.85</v>
      </c>
      <c r="J710" s="11">
        <f>23.8468 * CHOOSE(CONTROL!$C$32, $C$9, 100%, $E$9)</f>
        <v>23.846800000000002</v>
      </c>
      <c r="K710" s="11">
        <f>23.85 * CHOOSE(CONTROL!$C$32, $C$9, 100%, $E$9)</f>
        <v>23.85</v>
      </c>
      <c r="L710" s="11">
        <f>11.583 * CHOOSE(CONTROL!$C$32, $C$9, 100%, $E$9)</f>
        <v>11.583</v>
      </c>
      <c r="M710" s="11">
        <f>11.5862 * CHOOSE(CONTROL!$C$32, $C$9, 100%, $E$9)</f>
        <v>11.5862</v>
      </c>
      <c r="N710" s="11">
        <f>11.583 * CHOOSE(CONTROL!$C$32, $C$9, 100%, $E$9)</f>
        <v>11.583</v>
      </c>
      <c r="O710" s="11">
        <f>11.5862 * CHOOSE(CONTROL!$C$32, $C$9, 100%, $E$9)</f>
        <v>11.5862</v>
      </c>
    </row>
    <row r="711" spans="1:15" ht="15" x14ac:dyDescent="0.2">
      <c r="A711" s="13">
        <v>62490</v>
      </c>
      <c r="B711" s="9">
        <f>10.3154 * CHOOSE(CONTROL!$C$32, $C$9, 100%, $E$9)</f>
        <v>10.3154</v>
      </c>
      <c r="C711" s="9">
        <f>10.3154 * CHOOSE(CONTROL!$C$32, $C$9, 100%, $E$9)</f>
        <v>10.3154</v>
      </c>
      <c r="D711" s="9">
        <f>10.3163 * CHOOSE(CONTROL!$C$32, $C$9, 100%, $E$9)</f>
        <v>10.3163</v>
      </c>
      <c r="E711" s="11">
        <f>11.2849 * CHOOSE(CONTROL!$C$32, $C$9, 100%, $E$9)</f>
        <v>11.2849</v>
      </c>
      <c r="F711" s="11">
        <f>11.2849 * CHOOSE(CONTROL!$C$32, $C$9, 100%, $E$9)</f>
        <v>11.2849</v>
      </c>
      <c r="G711" s="11">
        <f>11.2881 * CHOOSE(CONTROL!$C$32, $C$9, 100%, $E$9)</f>
        <v>11.2881</v>
      </c>
      <c r="H711" s="11">
        <f>23.8965 * CHOOSE(CONTROL!$C$32, $C$9, 100%, $E$9)</f>
        <v>23.8965</v>
      </c>
      <c r="I711" s="11">
        <f>23.8997 * CHOOSE(CONTROL!$C$32, $C$9, 100%, $E$9)</f>
        <v>23.899699999999999</v>
      </c>
      <c r="J711" s="11">
        <f>23.8965 * CHOOSE(CONTROL!$C$32, $C$9, 100%, $E$9)</f>
        <v>23.8965</v>
      </c>
      <c r="K711" s="11">
        <f>23.8997 * CHOOSE(CONTROL!$C$32, $C$9, 100%, $E$9)</f>
        <v>23.899699999999999</v>
      </c>
      <c r="L711" s="11">
        <f>11.2849 * CHOOSE(CONTROL!$C$32, $C$9, 100%, $E$9)</f>
        <v>11.2849</v>
      </c>
      <c r="M711" s="11">
        <f>11.2881 * CHOOSE(CONTROL!$C$32, $C$9, 100%, $E$9)</f>
        <v>11.2881</v>
      </c>
      <c r="N711" s="11">
        <f>11.2849 * CHOOSE(CONTROL!$C$32, $C$9, 100%, $E$9)</f>
        <v>11.2849</v>
      </c>
      <c r="O711" s="11">
        <f>11.2881 * CHOOSE(CONTROL!$C$32, $C$9, 100%, $E$9)</f>
        <v>11.2881</v>
      </c>
    </row>
    <row r="712" spans="1:15" ht="15" x14ac:dyDescent="0.2">
      <c r="A712" s="13">
        <v>62518</v>
      </c>
      <c r="B712" s="9">
        <f>10.3123 * CHOOSE(CONTROL!$C$32, $C$9, 100%, $E$9)</f>
        <v>10.3123</v>
      </c>
      <c r="C712" s="9">
        <f>10.3123 * CHOOSE(CONTROL!$C$32, $C$9, 100%, $E$9)</f>
        <v>10.3123</v>
      </c>
      <c r="D712" s="9">
        <f>10.3133 * CHOOSE(CONTROL!$C$32, $C$9, 100%, $E$9)</f>
        <v>10.3133</v>
      </c>
      <c r="E712" s="11">
        <f>11.5161 * CHOOSE(CONTROL!$C$32, $C$9, 100%, $E$9)</f>
        <v>11.5161</v>
      </c>
      <c r="F712" s="11">
        <f>11.5161 * CHOOSE(CONTROL!$C$32, $C$9, 100%, $E$9)</f>
        <v>11.5161</v>
      </c>
      <c r="G712" s="11">
        <f>11.5194 * CHOOSE(CONTROL!$C$32, $C$9, 100%, $E$9)</f>
        <v>11.519399999999999</v>
      </c>
      <c r="H712" s="11">
        <f>23.9462 * CHOOSE(CONTROL!$C$32, $C$9, 100%, $E$9)</f>
        <v>23.946200000000001</v>
      </c>
      <c r="I712" s="11">
        <f>23.9495 * CHOOSE(CONTROL!$C$32, $C$9, 100%, $E$9)</f>
        <v>23.9495</v>
      </c>
      <c r="J712" s="11">
        <f>23.9462 * CHOOSE(CONTROL!$C$32, $C$9, 100%, $E$9)</f>
        <v>23.946200000000001</v>
      </c>
      <c r="K712" s="11">
        <f>23.9495 * CHOOSE(CONTROL!$C$32, $C$9, 100%, $E$9)</f>
        <v>23.9495</v>
      </c>
      <c r="L712" s="11">
        <f>11.5161 * CHOOSE(CONTROL!$C$32, $C$9, 100%, $E$9)</f>
        <v>11.5161</v>
      </c>
      <c r="M712" s="11">
        <f>11.5194 * CHOOSE(CONTROL!$C$32, $C$9, 100%, $E$9)</f>
        <v>11.519399999999999</v>
      </c>
      <c r="N712" s="11">
        <f>11.5161 * CHOOSE(CONTROL!$C$32, $C$9, 100%, $E$9)</f>
        <v>11.5161</v>
      </c>
      <c r="O712" s="11">
        <f>11.5194 * CHOOSE(CONTROL!$C$32, $C$9, 100%, $E$9)</f>
        <v>11.519399999999999</v>
      </c>
    </row>
    <row r="713" spans="1:15" ht="15" x14ac:dyDescent="0.2">
      <c r="A713" s="13">
        <v>62549</v>
      </c>
      <c r="B713" s="9">
        <f>10.3161 * CHOOSE(CONTROL!$C$32, $C$9, 100%, $E$9)</f>
        <v>10.3161</v>
      </c>
      <c r="C713" s="9">
        <f>10.3161 * CHOOSE(CONTROL!$C$32, $C$9, 100%, $E$9)</f>
        <v>10.3161</v>
      </c>
      <c r="D713" s="9">
        <f>10.3171 * CHOOSE(CONTROL!$C$32, $C$9, 100%, $E$9)</f>
        <v>10.3171</v>
      </c>
      <c r="E713" s="11">
        <f>11.7625 * CHOOSE(CONTROL!$C$32, $C$9, 100%, $E$9)</f>
        <v>11.762499999999999</v>
      </c>
      <c r="F713" s="11">
        <f>11.7625 * CHOOSE(CONTROL!$C$32, $C$9, 100%, $E$9)</f>
        <v>11.762499999999999</v>
      </c>
      <c r="G713" s="11">
        <f>11.7657 * CHOOSE(CONTROL!$C$32, $C$9, 100%, $E$9)</f>
        <v>11.765700000000001</v>
      </c>
      <c r="H713" s="11">
        <f>23.9961 * CHOOSE(CONTROL!$C$32, $C$9, 100%, $E$9)</f>
        <v>23.996099999999998</v>
      </c>
      <c r="I713" s="11">
        <f>23.9994 * CHOOSE(CONTROL!$C$32, $C$9, 100%, $E$9)</f>
        <v>23.999400000000001</v>
      </c>
      <c r="J713" s="11">
        <f>23.9961 * CHOOSE(CONTROL!$C$32, $C$9, 100%, $E$9)</f>
        <v>23.996099999999998</v>
      </c>
      <c r="K713" s="11">
        <f>23.9994 * CHOOSE(CONTROL!$C$32, $C$9, 100%, $E$9)</f>
        <v>23.999400000000001</v>
      </c>
      <c r="L713" s="11">
        <f>11.7625 * CHOOSE(CONTROL!$C$32, $C$9, 100%, $E$9)</f>
        <v>11.762499999999999</v>
      </c>
      <c r="M713" s="11">
        <f>11.7657 * CHOOSE(CONTROL!$C$32, $C$9, 100%, $E$9)</f>
        <v>11.765700000000001</v>
      </c>
      <c r="N713" s="11">
        <f>11.7625 * CHOOSE(CONTROL!$C$32, $C$9, 100%, $E$9)</f>
        <v>11.762499999999999</v>
      </c>
      <c r="O713" s="11">
        <f>11.7657 * CHOOSE(CONTROL!$C$32, $C$9, 100%, $E$9)</f>
        <v>11.765700000000001</v>
      </c>
    </row>
    <row r="714" spans="1:15" ht="15" x14ac:dyDescent="0.2">
      <c r="A714" s="13">
        <v>62579</v>
      </c>
      <c r="B714" s="9">
        <f>10.3161 * CHOOSE(CONTROL!$C$32, $C$9, 100%, $E$9)</f>
        <v>10.3161</v>
      </c>
      <c r="C714" s="9">
        <f>10.3161 * CHOOSE(CONTROL!$C$32, $C$9, 100%, $E$9)</f>
        <v>10.3161</v>
      </c>
      <c r="D714" s="9">
        <f>10.3174 * CHOOSE(CONTROL!$C$32, $C$9, 100%, $E$9)</f>
        <v>10.317399999999999</v>
      </c>
      <c r="E714" s="11">
        <f>11.8565 * CHOOSE(CONTROL!$C$32, $C$9, 100%, $E$9)</f>
        <v>11.8565</v>
      </c>
      <c r="F714" s="11">
        <f>11.8565 * CHOOSE(CONTROL!$C$32, $C$9, 100%, $E$9)</f>
        <v>11.8565</v>
      </c>
      <c r="G714" s="11">
        <f>11.8607 * CHOOSE(CONTROL!$C$32, $C$9, 100%, $E$9)</f>
        <v>11.8607</v>
      </c>
      <c r="H714" s="11">
        <f>24.0461 * CHOOSE(CONTROL!$C$32, $C$9, 100%, $E$9)</f>
        <v>24.046099999999999</v>
      </c>
      <c r="I714" s="11">
        <f>24.0503 * CHOOSE(CONTROL!$C$32, $C$9, 100%, $E$9)</f>
        <v>24.0503</v>
      </c>
      <c r="J714" s="11">
        <f>24.0461 * CHOOSE(CONTROL!$C$32, $C$9, 100%, $E$9)</f>
        <v>24.046099999999999</v>
      </c>
      <c r="K714" s="11">
        <f>24.0503 * CHOOSE(CONTROL!$C$32, $C$9, 100%, $E$9)</f>
        <v>24.0503</v>
      </c>
      <c r="L714" s="11">
        <f>11.8565 * CHOOSE(CONTROL!$C$32, $C$9, 100%, $E$9)</f>
        <v>11.8565</v>
      </c>
      <c r="M714" s="11">
        <f>11.8607 * CHOOSE(CONTROL!$C$32, $C$9, 100%, $E$9)</f>
        <v>11.8607</v>
      </c>
      <c r="N714" s="11">
        <f>11.8565 * CHOOSE(CONTROL!$C$32, $C$9, 100%, $E$9)</f>
        <v>11.8565</v>
      </c>
      <c r="O714" s="11">
        <f>11.8607 * CHOOSE(CONTROL!$C$32, $C$9, 100%, $E$9)</f>
        <v>11.8607</v>
      </c>
    </row>
    <row r="715" spans="1:15" ht="15" x14ac:dyDescent="0.2">
      <c r="A715" s="13">
        <v>62610</v>
      </c>
      <c r="B715" s="9">
        <f>10.3222 * CHOOSE(CONTROL!$C$32, $C$9, 100%, $E$9)</f>
        <v>10.3222</v>
      </c>
      <c r="C715" s="9">
        <f>10.3222 * CHOOSE(CONTROL!$C$32, $C$9, 100%, $E$9)</f>
        <v>10.3222</v>
      </c>
      <c r="D715" s="9">
        <f>10.3235 * CHOOSE(CONTROL!$C$32, $C$9, 100%, $E$9)</f>
        <v>10.323499999999999</v>
      </c>
      <c r="E715" s="11">
        <f>11.7667 * CHOOSE(CONTROL!$C$32, $C$9, 100%, $E$9)</f>
        <v>11.7667</v>
      </c>
      <c r="F715" s="11">
        <f>11.7667 * CHOOSE(CONTROL!$C$32, $C$9, 100%, $E$9)</f>
        <v>11.7667</v>
      </c>
      <c r="G715" s="11">
        <f>11.7709 * CHOOSE(CONTROL!$C$32, $C$9, 100%, $E$9)</f>
        <v>11.770899999999999</v>
      </c>
      <c r="H715" s="11">
        <f>24.0962 * CHOOSE(CONTROL!$C$32, $C$9, 100%, $E$9)</f>
        <v>24.0962</v>
      </c>
      <c r="I715" s="11">
        <f>24.1004 * CHOOSE(CONTROL!$C$32, $C$9, 100%, $E$9)</f>
        <v>24.1004</v>
      </c>
      <c r="J715" s="11">
        <f>24.0962 * CHOOSE(CONTROL!$C$32, $C$9, 100%, $E$9)</f>
        <v>24.0962</v>
      </c>
      <c r="K715" s="11">
        <f>24.1004 * CHOOSE(CONTROL!$C$32, $C$9, 100%, $E$9)</f>
        <v>24.1004</v>
      </c>
      <c r="L715" s="11">
        <f>11.7667 * CHOOSE(CONTROL!$C$32, $C$9, 100%, $E$9)</f>
        <v>11.7667</v>
      </c>
      <c r="M715" s="11">
        <f>11.7709 * CHOOSE(CONTROL!$C$32, $C$9, 100%, $E$9)</f>
        <v>11.770899999999999</v>
      </c>
      <c r="N715" s="11">
        <f>11.7667 * CHOOSE(CONTROL!$C$32, $C$9, 100%, $E$9)</f>
        <v>11.7667</v>
      </c>
      <c r="O715" s="11">
        <f>11.7709 * CHOOSE(CONTROL!$C$32, $C$9, 100%, $E$9)</f>
        <v>11.770899999999999</v>
      </c>
    </row>
    <row r="716" spans="1:15" ht="15" x14ac:dyDescent="0.2">
      <c r="A716" s="13">
        <v>62640</v>
      </c>
      <c r="B716" s="9">
        <f>10.4501 * CHOOSE(CONTROL!$C$32, $C$9, 100%, $E$9)</f>
        <v>10.450100000000001</v>
      </c>
      <c r="C716" s="9">
        <f>10.4501 * CHOOSE(CONTROL!$C$32, $C$9, 100%, $E$9)</f>
        <v>10.450100000000001</v>
      </c>
      <c r="D716" s="9">
        <f>10.4514 * CHOOSE(CONTROL!$C$32, $C$9, 100%, $E$9)</f>
        <v>10.4514</v>
      </c>
      <c r="E716" s="11">
        <f>11.9319 * CHOOSE(CONTROL!$C$32, $C$9, 100%, $E$9)</f>
        <v>11.931900000000001</v>
      </c>
      <c r="F716" s="11">
        <f>11.9319 * CHOOSE(CONTROL!$C$32, $C$9, 100%, $E$9)</f>
        <v>11.931900000000001</v>
      </c>
      <c r="G716" s="11">
        <f>11.9361 * CHOOSE(CONTROL!$C$32, $C$9, 100%, $E$9)</f>
        <v>11.9361</v>
      </c>
      <c r="H716" s="11">
        <f>24.1464 * CHOOSE(CONTROL!$C$32, $C$9, 100%, $E$9)</f>
        <v>24.1464</v>
      </c>
      <c r="I716" s="11">
        <f>24.1506 * CHOOSE(CONTROL!$C$32, $C$9, 100%, $E$9)</f>
        <v>24.150600000000001</v>
      </c>
      <c r="J716" s="11">
        <f>24.1464 * CHOOSE(CONTROL!$C$32, $C$9, 100%, $E$9)</f>
        <v>24.1464</v>
      </c>
      <c r="K716" s="11">
        <f>24.1506 * CHOOSE(CONTROL!$C$32, $C$9, 100%, $E$9)</f>
        <v>24.150600000000001</v>
      </c>
      <c r="L716" s="11">
        <f>11.9319 * CHOOSE(CONTROL!$C$32, $C$9, 100%, $E$9)</f>
        <v>11.931900000000001</v>
      </c>
      <c r="M716" s="11">
        <f>11.9361 * CHOOSE(CONTROL!$C$32, $C$9, 100%, $E$9)</f>
        <v>11.9361</v>
      </c>
      <c r="N716" s="11">
        <f>11.9319 * CHOOSE(CONTROL!$C$32, $C$9, 100%, $E$9)</f>
        <v>11.931900000000001</v>
      </c>
      <c r="O716" s="11">
        <f>11.9361 * CHOOSE(CONTROL!$C$32, $C$9, 100%, $E$9)</f>
        <v>11.9361</v>
      </c>
    </row>
    <row r="717" spans="1:15" ht="15" x14ac:dyDescent="0.2">
      <c r="A717" s="13">
        <v>62671</v>
      </c>
      <c r="B717" s="9">
        <f>10.4568 * CHOOSE(CONTROL!$C$32, $C$9, 100%, $E$9)</f>
        <v>10.456799999999999</v>
      </c>
      <c r="C717" s="9">
        <f>10.4568 * CHOOSE(CONTROL!$C$32, $C$9, 100%, $E$9)</f>
        <v>10.456799999999999</v>
      </c>
      <c r="D717" s="9">
        <f>10.4581 * CHOOSE(CONTROL!$C$32, $C$9, 100%, $E$9)</f>
        <v>10.4581</v>
      </c>
      <c r="E717" s="11">
        <f>11.6546 * CHOOSE(CONTROL!$C$32, $C$9, 100%, $E$9)</f>
        <v>11.6546</v>
      </c>
      <c r="F717" s="11">
        <f>11.6546 * CHOOSE(CONTROL!$C$32, $C$9, 100%, $E$9)</f>
        <v>11.6546</v>
      </c>
      <c r="G717" s="11">
        <f>11.6588 * CHOOSE(CONTROL!$C$32, $C$9, 100%, $E$9)</f>
        <v>11.658799999999999</v>
      </c>
      <c r="H717" s="11">
        <f>24.1967 * CHOOSE(CONTROL!$C$32, $C$9, 100%, $E$9)</f>
        <v>24.1967</v>
      </c>
      <c r="I717" s="11">
        <f>24.2009 * CHOOSE(CONTROL!$C$32, $C$9, 100%, $E$9)</f>
        <v>24.200900000000001</v>
      </c>
      <c r="J717" s="11">
        <f>24.1967 * CHOOSE(CONTROL!$C$32, $C$9, 100%, $E$9)</f>
        <v>24.1967</v>
      </c>
      <c r="K717" s="11">
        <f>24.2009 * CHOOSE(CONTROL!$C$32, $C$9, 100%, $E$9)</f>
        <v>24.200900000000001</v>
      </c>
      <c r="L717" s="11">
        <f>11.6546 * CHOOSE(CONTROL!$C$32, $C$9, 100%, $E$9)</f>
        <v>11.6546</v>
      </c>
      <c r="M717" s="11">
        <f>11.6588 * CHOOSE(CONTROL!$C$32, $C$9, 100%, $E$9)</f>
        <v>11.658799999999999</v>
      </c>
      <c r="N717" s="11">
        <f>11.6546 * CHOOSE(CONTROL!$C$32, $C$9, 100%, $E$9)</f>
        <v>11.6546</v>
      </c>
      <c r="O717" s="11">
        <f>11.6588 * CHOOSE(CONTROL!$C$32, $C$9, 100%, $E$9)</f>
        <v>11.658799999999999</v>
      </c>
    </row>
    <row r="718" spans="1:15" ht="15" x14ac:dyDescent="0.2">
      <c r="A718" s="13">
        <v>62702</v>
      </c>
      <c r="B718" s="9">
        <f>10.4538 * CHOOSE(CONTROL!$C$32, $C$9, 100%, $E$9)</f>
        <v>10.453799999999999</v>
      </c>
      <c r="C718" s="9">
        <f>10.4538 * CHOOSE(CONTROL!$C$32, $C$9, 100%, $E$9)</f>
        <v>10.453799999999999</v>
      </c>
      <c r="D718" s="9">
        <f>10.455 * CHOOSE(CONTROL!$C$32, $C$9, 100%, $E$9)</f>
        <v>10.455</v>
      </c>
      <c r="E718" s="11">
        <f>11.6211 * CHOOSE(CONTROL!$C$32, $C$9, 100%, $E$9)</f>
        <v>11.6211</v>
      </c>
      <c r="F718" s="11">
        <f>11.6211 * CHOOSE(CONTROL!$C$32, $C$9, 100%, $E$9)</f>
        <v>11.6211</v>
      </c>
      <c r="G718" s="11">
        <f>11.6253 * CHOOSE(CONTROL!$C$32, $C$9, 100%, $E$9)</f>
        <v>11.625299999999999</v>
      </c>
      <c r="H718" s="11">
        <f>24.2471 * CHOOSE(CONTROL!$C$32, $C$9, 100%, $E$9)</f>
        <v>24.2471</v>
      </c>
      <c r="I718" s="11">
        <f>24.2513 * CHOOSE(CONTROL!$C$32, $C$9, 100%, $E$9)</f>
        <v>24.251300000000001</v>
      </c>
      <c r="J718" s="11">
        <f>24.2471 * CHOOSE(CONTROL!$C$32, $C$9, 100%, $E$9)</f>
        <v>24.2471</v>
      </c>
      <c r="K718" s="11">
        <f>24.2513 * CHOOSE(CONTROL!$C$32, $C$9, 100%, $E$9)</f>
        <v>24.251300000000001</v>
      </c>
      <c r="L718" s="11">
        <f>11.6211 * CHOOSE(CONTROL!$C$32, $C$9, 100%, $E$9)</f>
        <v>11.6211</v>
      </c>
      <c r="M718" s="11">
        <f>11.6253 * CHOOSE(CONTROL!$C$32, $C$9, 100%, $E$9)</f>
        <v>11.625299999999999</v>
      </c>
      <c r="N718" s="11">
        <f>11.6211 * CHOOSE(CONTROL!$C$32, $C$9, 100%, $E$9)</f>
        <v>11.6211</v>
      </c>
      <c r="O718" s="11">
        <f>11.6253 * CHOOSE(CONTROL!$C$32, $C$9, 100%, $E$9)</f>
        <v>11.625299999999999</v>
      </c>
    </row>
    <row r="719" spans="1:15" ht="15" x14ac:dyDescent="0.2">
      <c r="A719" s="13">
        <v>62732</v>
      </c>
      <c r="B719" s="9">
        <f>10.4729 * CHOOSE(CONTROL!$C$32, $C$9, 100%, $E$9)</f>
        <v>10.472899999999999</v>
      </c>
      <c r="C719" s="9">
        <f>10.4729 * CHOOSE(CONTROL!$C$32, $C$9, 100%, $E$9)</f>
        <v>10.472899999999999</v>
      </c>
      <c r="D719" s="9">
        <f>10.4739 * CHOOSE(CONTROL!$C$32, $C$9, 100%, $E$9)</f>
        <v>10.4739</v>
      </c>
      <c r="E719" s="11">
        <f>11.733 * CHOOSE(CONTROL!$C$32, $C$9, 100%, $E$9)</f>
        <v>11.733000000000001</v>
      </c>
      <c r="F719" s="11">
        <f>11.733 * CHOOSE(CONTROL!$C$32, $C$9, 100%, $E$9)</f>
        <v>11.733000000000001</v>
      </c>
      <c r="G719" s="11">
        <f>11.7363 * CHOOSE(CONTROL!$C$32, $C$9, 100%, $E$9)</f>
        <v>11.7363</v>
      </c>
      <c r="H719" s="11">
        <f>24.2976 * CHOOSE(CONTROL!$C$32, $C$9, 100%, $E$9)</f>
        <v>24.297599999999999</v>
      </c>
      <c r="I719" s="11">
        <f>24.3009 * CHOOSE(CONTROL!$C$32, $C$9, 100%, $E$9)</f>
        <v>24.300899999999999</v>
      </c>
      <c r="J719" s="11">
        <f>24.2976 * CHOOSE(CONTROL!$C$32, $C$9, 100%, $E$9)</f>
        <v>24.297599999999999</v>
      </c>
      <c r="K719" s="11">
        <f>24.3009 * CHOOSE(CONTROL!$C$32, $C$9, 100%, $E$9)</f>
        <v>24.300899999999999</v>
      </c>
      <c r="L719" s="11">
        <f>11.733 * CHOOSE(CONTROL!$C$32, $C$9, 100%, $E$9)</f>
        <v>11.733000000000001</v>
      </c>
      <c r="M719" s="11">
        <f>11.7363 * CHOOSE(CONTROL!$C$32, $C$9, 100%, $E$9)</f>
        <v>11.7363</v>
      </c>
      <c r="N719" s="11">
        <f>11.733 * CHOOSE(CONTROL!$C$32, $C$9, 100%, $E$9)</f>
        <v>11.733000000000001</v>
      </c>
      <c r="O719" s="11">
        <f>11.7363 * CHOOSE(CONTROL!$C$32, $C$9, 100%, $E$9)</f>
        <v>11.7363</v>
      </c>
    </row>
    <row r="720" spans="1:15" ht="15" x14ac:dyDescent="0.2">
      <c r="A720" s="13">
        <v>62763</v>
      </c>
      <c r="B720" s="9">
        <f>10.476 * CHOOSE(CONTROL!$C$32, $C$9, 100%, $E$9)</f>
        <v>10.476000000000001</v>
      </c>
      <c r="C720" s="9">
        <f>10.476 * CHOOSE(CONTROL!$C$32, $C$9, 100%, $E$9)</f>
        <v>10.476000000000001</v>
      </c>
      <c r="D720" s="9">
        <f>10.4769 * CHOOSE(CONTROL!$C$32, $C$9, 100%, $E$9)</f>
        <v>10.476900000000001</v>
      </c>
      <c r="E720" s="11">
        <f>11.7978 * CHOOSE(CONTROL!$C$32, $C$9, 100%, $E$9)</f>
        <v>11.797800000000001</v>
      </c>
      <c r="F720" s="11">
        <f>11.7978 * CHOOSE(CONTROL!$C$32, $C$9, 100%, $E$9)</f>
        <v>11.797800000000001</v>
      </c>
      <c r="G720" s="11">
        <f>11.801 * CHOOSE(CONTROL!$C$32, $C$9, 100%, $E$9)</f>
        <v>11.801</v>
      </c>
      <c r="H720" s="11">
        <f>24.3483 * CHOOSE(CONTROL!$C$32, $C$9, 100%, $E$9)</f>
        <v>24.348299999999998</v>
      </c>
      <c r="I720" s="11">
        <f>24.3515 * CHOOSE(CONTROL!$C$32, $C$9, 100%, $E$9)</f>
        <v>24.351500000000001</v>
      </c>
      <c r="J720" s="11">
        <f>24.3483 * CHOOSE(CONTROL!$C$32, $C$9, 100%, $E$9)</f>
        <v>24.348299999999998</v>
      </c>
      <c r="K720" s="11">
        <f>24.3515 * CHOOSE(CONTROL!$C$32, $C$9, 100%, $E$9)</f>
        <v>24.351500000000001</v>
      </c>
      <c r="L720" s="11">
        <f>11.7978 * CHOOSE(CONTROL!$C$32, $C$9, 100%, $E$9)</f>
        <v>11.797800000000001</v>
      </c>
      <c r="M720" s="11">
        <f>11.801 * CHOOSE(CONTROL!$C$32, $C$9, 100%, $E$9)</f>
        <v>11.801</v>
      </c>
      <c r="N720" s="11">
        <f>11.7978 * CHOOSE(CONTROL!$C$32, $C$9, 100%, $E$9)</f>
        <v>11.797800000000001</v>
      </c>
      <c r="O720" s="11">
        <f>11.801 * CHOOSE(CONTROL!$C$32, $C$9, 100%, $E$9)</f>
        <v>11.801</v>
      </c>
    </row>
    <row r="721" spans="1:15" ht="15" x14ac:dyDescent="0.2">
      <c r="A721" s="13">
        <v>62793</v>
      </c>
      <c r="B721" s="9">
        <f>10.476 * CHOOSE(CONTROL!$C$32, $C$9, 100%, $E$9)</f>
        <v>10.476000000000001</v>
      </c>
      <c r="C721" s="9">
        <f>10.476 * CHOOSE(CONTROL!$C$32, $C$9, 100%, $E$9)</f>
        <v>10.476000000000001</v>
      </c>
      <c r="D721" s="9">
        <f>10.4769 * CHOOSE(CONTROL!$C$32, $C$9, 100%, $E$9)</f>
        <v>10.476900000000001</v>
      </c>
      <c r="E721" s="11">
        <f>11.6412 * CHOOSE(CONTROL!$C$32, $C$9, 100%, $E$9)</f>
        <v>11.6412</v>
      </c>
      <c r="F721" s="11">
        <f>11.6412 * CHOOSE(CONTROL!$C$32, $C$9, 100%, $E$9)</f>
        <v>11.6412</v>
      </c>
      <c r="G721" s="11">
        <f>11.6444 * CHOOSE(CONTROL!$C$32, $C$9, 100%, $E$9)</f>
        <v>11.644399999999999</v>
      </c>
      <c r="H721" s="11">
        <f>24.399 * CHOOSE(CONTROL!$C$32, $C$9, 100%, $E$9)</f>
        <v>24.399000000000001</v>
      </c>
      <c r="I721" s="11">
        <f>24.4022 * CHOOSE(CONTROL!$C$32, $C$9, 100%, $E$9)</f>
        <v>24.402200000000001</v>
      </c>
      <c r="J721" s="11">
        <f>24.399 * CHOOSE(CONTROL!$C$32, $C$9, 100%, $E$9)</f>
        <v>24.399000000000001</v>
      </c>
      <c r="K721" s="11">
        <f>24.4022 * CHOOSE(CONTROL!$C$32, $C$9, 100%, $E$9)</f>
        <v>24.402200000000001</v>
      </c>
      <c r="L721" s="11">
        <f>11.6412 * CHOOSE(CONTROL!$C$32, $C$9, 100%, $E$9)</f>
        <v>11.6412</v>
      </c>
      <c r="M721" s="11">
        <f>11.6444 * CHOOSE(CONTROL!$C$32, $C$9, 100%, $E$9)</f>
        <v>11.644399999999999</v>
      </c>
      <c r="N721" s="11">
        <f>11.6412 * CHOOSE(CONTROL!$C$32, $C$9, 100%, $E$9)</f>
        <v>11.6412</v>
      </c>
      <c r="O721" s="11">
        <f>11.6444 * CHOOSE(CONTROL!$C$32, $C$9, 100%, $E$9)</f>
        <v>11.644399999999999</v>
      </c>
    </row>
    <row r="722" spans="1:15" ht="15" x14ac:dyDescent="0.2">
      <c r="A722" s="13">
        <v>62824</v>
      </c>
      <c r="B722" s="9">
        <f>10.5058 * CHOOSE(CONTROL!$C$32, $C$9, 100%, $E$9)</f>
        <v>10.505800000000001</v>
      </c>
      <c r="C722" s="9">
        <f>10.5058 * CHOOSE(CONTROL!$C$32, $C$9, 100%, $E$9)</f>
        <v>10.505800000000001</v>
      </c>
      <c r="D722" s="9">
        <f>10.5067 * CHOOSE(CONTROL!$C$32, $C$9, 100%, $E$9)</f>
        <v>10.5067</v>
      </c>
      <c r="E722" s="11">
        <f>11.7955 * CHOOSE(CONTROL!$C$32, $C$9, 100%, $E$9)</f>
        <v>11.795500000000001</v>
      </c>
      <c r="F722" s="11">
        <f>11.7955 * CHOOSE(CONTROL!$C$32, $C$9, 100%, $E$9)</f>
        <v>11.795500000000001</v>
      </c>
      <c r="G722" s="11">
        <f>11.7988 * CHOOSE(CONTROL!$C$32, $C$9, 100%, $E$9)</f>
        <v>11.7988</v>
      </c>
      <c r="H722" s="11">
        <f>24.3186 * CHOOSE(CONTROL!$C$32, $C$9, 100%, $E$9)</f>
        <v>24.3186</v>
      </c>
      <c r="I722" s="11">
        <f>24.3218 * CHOOSE(CONTROL!$C$32, $C$9, 100%, $E$9)</f>
        <v>24.3218</v>
      </c>
      <c r="J722" s="11">
        <f>24.3186 * CHOOSE(CONTROL!$C$32, $C$9, 100%, $E$9)</f>
        <v>24.3186</v>
      </c>
      <c r="K722" s="11">
        <f>24.3218 * CHOOSE(CONTROL!$C$32, $C$9, 100%, $E$9)</f>
        <v>24.3218</v>
      </c>
      <c r="L722" s="11">
        <f>11.7955 * CHOOSE(CONTROL!$C$32, $C$9, 100%, $E$9)</f>
        <v>11.795500000000001</v>
      </c>
      <c r="M722" s="11">
        <f>11.7988 * CHOOSE(CONTROL!$C$32, $C$9, 100%, $E$9)</f>
        <v>11.7988</v>
      </c>
      <c r="N722" s="11">
        <f>11.7955 * CHOOSE(CONTROL!$C$32, $C$9, 100%, $E$9)</f>
        <v>11.795500000000001</v>
      </c>
      <c r="O722" s="11">
        <f>11.7988 * CHOOSE(CONTROL!$C$32, $C$9, 100%, $E$9)</f>
        <v>11.7988</v>
      </c>
    </row>
    <row r="723" spans="1:15" ht="15" x14ac:dyDescent="0.2">
      <c r="A723" s="13">
        <v>62855</v>
      </c>
      <c r="B723" s="9">
        <f>10.5027 * CHOOSE(CONTROL!$C$32, $C$9, 100%, $E$9)</f>
        <v>10.502700000000001</v>
      </c>
      <c r="C723" s="9">
        <f>10.5027 * CHOOSE(CONTROL!$C$32, $C$9, 100%, $E$9)</f>
        <v>10.502700000000001</v>
      </c>
      <c r="D723" s="9">
        <f>10.5037 * CHOOSE(CONTROL!$C$32, $C$9, 100%, $E$9)</f>
        <v>10.5037</v>
      </c>
      <c r="E723" s="11">
        <f>11.4903 * CHOOSE(CONTROL!$C$32, $C$9, 100%, $E$9)</f>
        <v>11.4903</v>
      </c>
      <c r="F723" s="11">
        <f>11.4903 * CHOOSE(CONTROL!$C$32, $C$9, 100%, $E$9)</f>
        <v>11.4903</v>
      </c>
      <c r="G723" s="11">
        <f>11.4936 * CHOOSE(CONTROL!$C$32, $C$9, 100%, $E$9)</f>
        <v>11.493600000000001</v>
      </c>
      <c r="H723" s="11">
        <f>24.3692 * CHOOSE(CONTROL!$C$32, $C$9, 100%, $E$9)</f>
        <v>24.369199999999999</v>
      </c>
      <c r="I723" s="11">
        <f>24.3725 * CHOOSE(CONTROL!$C$32, $C$9, 100%, $E$9)</f>
        <v>24.372499999999999</v>
      </c>
      <c r="J723" s="11">
        <f>24.3692 * CHOOSE(CONTROL!$C$32, $C$9, 100%, $E$9)</f>
        <v>24.369199999999999</v>
      </c>
      <c r="K723" s="11">
        <f>24.3725 * CHOOSE(CONTROL!$C$32, $C$9, 100%, $E$9)</f>
        <v>24.372499999999999</v>
      </c>
      <c r="L723" s="11">
        <f>11.4903 * CHOOSE(CONTROL!$C$32, $C$9, 100%, $E$9)</f>
        <v>11.4903</v>
      </c>
      <c r="M723" s="11">
        <f>11.4936 * CHOOSE(CONTROL!$C$32, $C$9, 100%, $E$9)</f>
        <v>11.493600000000001</v>
      </c>
      <c r="N723" s="11">
        <f>11.4903 * CHOOSE(CONTROL!$C$32, $C$9, 100%, $E$9)</f>
        <v>11.4903</v>
      </c>
      <c r="O723" s="11">
        <f>11.4936 * CHOOSE(CONTROL!$C$32, $C$9, 100%, $E$9)</f>
        <v>11.493600000000001</v>
      </c>
    </row>
    <row r="724" spans="1:15" ht="15" x14ac:dyDescent="0.2">
      <c r="A724" s="13">
        <v>62884</v>
      </c>
      <c r="B724" s="9">
        <f>10.4997 * CHOOSE(CONTROL!$C$32, $C$9, 100%, $E$9)</f>
        <v>10.499700000000001</v>
      </c>
      <c r="C724" s="9">
        <f>10.4997 * CHOOSE(CONTROL!$C$32, $C$9, 100%, $E$9)</f>
        <v>10.499700000000001</v>
      </c>
      <c r="D724" s="9">
        <f>10.5007 * CHOOSE(CONTROL!$C$32, $C$9, 100%, $E$9)</f>
        <v>10.5007</v>
      </c>
      <c r="E724" s="11">
        <f>11.7271 * CHOOSE(CONTROL!$C$32, $C$9, 100%, $E$9)</f>
        <v>11.7271</v>
      </c>
      <c r="F724" s="11">
        <f>11.7271 * CHOOSE(CONTROL!$C$32, $C$9, 100%, $E$9)</f>
        <v>11.7271</v>
      </c>
      <c r="G724" s="11">
        <f>11.7304 * CHOOSE(CONTROL!$C$32, $C$9, 100%, $E$9)</f>
        <v>11.730399999999999</v>
      </c>
      <c r="H724" s="11">
        <f>24.42 * CHOOSE(CONTROL!$C$32, $C$9, 100%, $E$9)</f>
        <v>24.42</v>
      </c>
      <c r="I724" s="11">
        <f>24.4232 * CHOOSE(CONTROL!$C$32, $C$9, 100%, $E$9)</f>
        <v>24.423200000000001</v>
      </c>
      <c r="J724" s="11">
        <f>24.42 * CHOOSE(CONTROL!$C$32, $C$9, 100%, $E$9)</f>
        <v>24.42</v>
      </c>
      <c r="K724" s="11">
        <f>24.4232 * CHOOSE(CONTROL!$C$32, $C$9, 100%, $E$9)</f>
        <v>24.423200000000001</v>
      </c>
      <c r="L724" s="11">
        <f>11.7271 * CHOOSE(CONTROL!$C$32, $C$9, 100%, $E$9)</f>
        <v>11.7271</v>
      </c>
      <c r="M724" s="11">
        <f>11.7304 * CHOOSE(CONTROL!$C$32, $C$9, 100%, $E$9)</f>
        <v>11.730399999999999</v>
      </c>
      <c r="N724" s="11">
        <f>11.7271 * CHOOSE(CONTROL!$C$32, $C$9, 100%, $E$9)</f>
        <v>11.7271</v>
      </c>
      <c r="O724" s="11">
        <f>11.7304 * CHOOSE(CONTROL!$C$32, $C$9, 100%, $E$9)</f>
        <v>11.730399999999999</v>
      </c>
    </row>
    <row r="725" spans="1:15" ht="15" x14ac:dyDescent="0.2">
      <c r="A725" s="13">
        <v>62915</v>
      </c>
      <c r="B725" s="9">
        <f>10.5037 * CHOOSE(CONTROL!$C$32, $C$9, 100%, $E$9)</f>
        <v>10.5037</v>
      </c>
      <c r="C725" s="9">
        <f>10.5037 * CHOOSE(CONTROL!$C$32, $C$9, 100%, $E$9)</f>
        <v>10.5037</v>
      </c>
      <c r="D725" s="9">
        <f>10.5046 * CHOOSE(CONTROL!$C$32, $C$9, 100%, $E$9)</f>
        <v>10.5046</v>
      </c>
      <c r="E725" s="11">
        <f>11.9795 * CHOOSE(CONTROL!$C$32, $C$9, 100%, $E$9)</f>
        <v>11.9795</v>
      </c>
      <c r="F725" s="11">
        <f>11.9795 * CHOOSE(CONTROL!$C$32, $C$9, 100%, $E$9)</f>
        <v>11.9795</v>
      </c>
      <c r="G725" s="11">
        <f>11.9827 * CHOOSE(CONTROL!$C$32, $C$9, 100%, $E$9)</f>
        <v>11.982699999999999</v>
      </c>
      <c r="H725" s="11">
        <f>24.4709 * CHOOSE(CONTROL!$C$32, $C$9, 100%, $E$9)</f>
        <v>24.4709</v>
      </c>
      <c r="I725" s="11">
        <f>24.4741 * CHOOSE(CONTROL!$C$32, $C$9, 100%, $E$9)</f>
        <v>24.4741</v>
      </c>
      <c r="J725" s="11">
        <f>24.4709 * CHOOSE(CONTROL!$C$32, $C$9, 100%, $E$9)</f>
        <v>24.4709</v>
      </c>
      <c r="K725" s="11">
        <f>24.4741 * CHOOSE(CONTROL!$C$32, $C$9, 100%, $E$9)</f>
        <v>24.4741</v>
      </c>
      <c r="L725" s="11">
        <f>11.9795 * CHOOSE(CONTROL!$C$32, $C$9, 100%, $E$9)</f>
        <v>11.9795</v>
      </c>
      <c r="M725" s="11">
        <f>11.9827 * CHOOSE(CONTROL!$C$32, $C$9, 100%, $E$9)</f>
        <v>11.982699999999999</v>
      </c>
      <c r="N725" s="11">
        <f>11.9795 * CHOOSE(CONTROL!$C$32, $C$9, 100%, $E$9)</f>
        <v>11.9795</v>
      </c>
      <c r="O725" s="11">
        <f>11.9827 * CHOOSE(CONTROL!$C$32, $C$9, 100%, $E$9)</f>
        <v>11.982699999999999</v>
      </c>
    </row>
    <row r="726" spans="1:15" ht="15" x14ac:dyDescent="0.2">
      <c r="A726" s="13">
        <v>62945</v>
      </c>
      <c r="B726" s="9">
        <f>10.5037 * CHOOSE(CONTROL!$C$32, $C$9, 100%, $E$9)</f>
        <v>10.5037</v>
      </c>
      <c r="C726" s="9">
        <f>10.5037 * CHOOSE(CONTROL!$C$32, $C$9, 100%, $E$9)</f>
        <v>10.5037</v>
      </c>
      <c r="D726" s="9">
        <f>10.5049 * CHOOSE(CONTROL!$C$32, $C$9, 100%, $E$9)</f>
        <v>10.504899999999999</v>
      </c>
      <c r="E726" s="11">
        <f>12.0757 * CHOOSE(CONTROL!$C$32, $C$9, 100%, $E$9)</f>
        <v>12.075699999999999</v>
      </c>
      <c r="F726" s="11">
        <f>12.0757 * CHOOSE(CONTROL!$C$32, $C$9, 100%, $E$9)</f>
        <v>12.075699999999999</v>
      </c>
      <c r="G726" s="11">
        <f>12.0799 * CHOOSE(CONTROL!$C$32, $C$9, 100%, $E$9)</f>
        <v>12.0799</v>
      </c>
      <c r="H726" s="11">
        <f>24.5219 * CHOOSE(CONTROL!$C$32, $C$9, 100%, $E$9)</f>
        <v>24.521899999999999</v>
      </c>
      <c r="I726" s="11">
        <f>24.5261 * CHOOSE(CONTROL!$C$32, $C$9, 100%, $E$9)</f>
        <v>24.5261</v>
      </c>
      <c r="J726" s="11">
        <f>24.5219 * CHOOSE(CONTROL!$C$32, $C$9, 100%, $E$9)</f>
        <v>24.521899999999999</v>
      </c>
      <c r="K726" s="11">
        <f>24.5261 * CHOOSE(CONTROL!$C$32, $C$9, 100%, $E$9)</f>
        <v>24.5261</v>
      </c>
      <c r="L726" s="11">
        <f>12.0757 * CHOOSE(CONTROL!$C$32, $C$9, 100%, $E$9)</f>
        <v>12.075699999999999</v>
      </c>
      <c r="M726" s="11">
        <f>12.0799 * CHOOSE(CONTROL!$C$32, $C$9, 100%, $E$9)</f>
        <v>12.0799</v>
      </c>
      <c r="N726" s="11">
        <f>12.0757 * CHOOSE(CONTROL!$C$32, $C$9, 100%, $E$9)</f>
        <v>12.075699999999999</v>
      </c>
      <c r="O726" s="11">
        <f>12.0799 * CHOOSE(CONTROL!$C$32, $C$9, 100%, $E$9)</f>
        <v>12.0799</v>
      </c>
    </row>
    <row r="727" spans="1:15" ht="15" x14ac:dyDescent="0.2">
      <c r="A727" s="13">
        <v>62976</v>
      </c>
      <c r="B727" s="9">
        <f>10.5097 * CHOOSE(CONTROL!$C$32, $C$9, 100%, $E$9)</f>
        <v>10.5097</v>
      </c>
      <c r="C727" s="9">
        <f>10.5097 * CHOOSE(CONTROL!$C$32, $C$9, 100%, $E$9)</f>
        <v>10.5097</v>
      </c>
      <c r="D727" s="9">
        <f>10.511 * CHOOSE(CONTROL!$C$32, $C$9, 100%, $E$9)</f>
        <v>10.510999999999999</v>
      </c>
      <c r="E727" s="11">
        <f>11.9837 * CHOOSE(CONTROL!$C$32, $C$9, 100%, $E$9)</f>
        <v>11.983700000000001</v>
      </c>
      <c r="F727" s="11">
        <f>11.9837 * CHOOSE(CONTROL!$C$32, $C$9, 100%, $E$9)</f>
        <v>11.983700000000001</v>
      </c>
      <c r="G727" s="11">
        <f>11.9879 * CHOOSE(CONTROL!$C$32, $C$9, 100%, $E$9)</f>
        <v>11.9879</v>
      </c>
      <c r="H727" s="11">
        <f>24.573 * CHOOSE(CONTROL!$C$32, $C$9, 100%, $E$9)</f>
        <v>24.573</v>
      </c>
      <c r="I727" s="11">
        <f>24.5772 * CHOOSE(CONTROL!$C$32, $C$9, 100%, $E$9)</f>
        <v>24.577200000000001</v>
      </c>
      <c r="J727" s="11">
        <f>24.573 * CHOOSE(CONTROL!$C$32, $C$9, 100%, $E$9)</f>
        <v>24.573</v>
      </c>
      <c r="K727" s="11">
        <f>24.5772 * CHOOSE(CONTROL!$C$32, $C$9, 100%, $E$9)</f>
        <v>24.577200000000001</v>
      </c>
      <c r="L727" s="11">
        <f>11.9837 * CHOOSE(CONTROL!$C$32, $C$9, 100%, $E$9)</f>
        <v>11.983700000000001</v>
      </c>
      <c r="M727" s="11">
        <f>11.9879 * CHOOSE(CONTROL!$C$32, $C$9, 100%, $E$9)</f>
        <v>11.9879</v>
      </c>
      <c r="N727" s="11">
        <f>11.9837 * CHOOSE(CONTROL!$C$32, $C$9, 100%, $E$9)</f>
        <v>11.983700000000001</v>
      </c>
      <c r="O727" s="11">
        <f>11.9879 * CHOOSE(CONTROL!$C$32, $C$9, 100%, $E$9)</f>
        <v>11.9879</v>
      </c>
    </row>
    <row r="728" spans="1:15" ht="15" x14ac:dyDescent="0.2">
      <c r="A728" s="13">
        <v>63006</v>
      </c>
      <c r="B728" s="9">
        <f>10.6397 * CHOOSE(CONTROL!$C$32, $C$9, 100%, $E$9)</f>
        <v>10.639699999999999</v>
      </c>
      <c r="C728" s="9">
        <f>10.6397 * CHOOSE(CONTROL!$C$32, $C$9, 100%, $E$9)</f>
        <v>10.639699999999999</v>
      </c>
      <c r="D728" s="9">
        <f>10.641 * CHOOSE(CONTROL!$C$32, $C$9, 100%, $E$9)</f>
        <v>10.641</v>
      </c>
      <c r="E728" s="11">
        <f>12.152 * CHOOSE(CONTROL!$C$32, $C$9, 100%, $E$9)</f>
        <v>12.151999999999999</v>
      </c>
      <c r="F728" s="11">
        <f>12.152 * CHOOSE(CONTROL!$C$32, $C$9, 100%, $E$9)</f>
        <v>12.151999999999999</v>
      </c>
      <c r="G728" s="11">
        <f>12.1562 * CHOOSE(CONTROL!$C$32, $C$9, 100%, $E$9)</f>
        <v>12.1562</v>
      </c>
      <c r="H728" s="11">
        <f>24.6242 * CHOOSE(CONTROL!$C$32, $C$9, 100%, $E$9)</f>
        <v>24.624199999999998</v>
      </c>
      <c r="I728" s="11">
        <f>24.6284 * CHOOSE(CONTROL!$C$32, $C$9, 100%, $E$9)</f>
        <v>24.628399999999999</v>
      </c>
      <c r="J728" s="11">
        <f>24.6242 * CHOOSE(CONTROL!$C$32, $C$9, 100%, $E$9)</f>
        <v>24.624199999999998</v>
      </c>
      <c r="K728" s="11">
        <f>24.6284 * CHOOSE(CONTROL!$C$32, $C$9, 100%, $E$9)</f>
        <v>24.628399999999999</v>
      </c>
      <c r="L728" s="11">
        <f>12.152 * CHOOSE(CONTROL!$C$32, $C$9, 100%, $E$9)</f>
        <v>12.151999999999999</v>
      </c>
      <c r="M728" s="11">
        <f>12.1562 * CHOOSE(CONTROL!$C$32, $C$9, 100%, $E$9)</f>
        <v>12.1562</v>
      </c>
      <c r="N728" s="11">
        <f>12.152 * CHOOSE(CONTROL!$C$32, $C$9, 100%, $E$9)</f>
        <v>12.151999999999999</v>
      </c>
      <c r="O728" s="11">
        <f>12.1562 * CHOOSE(CONTROL!$C$32, $C$9, 100%, $E$9)</f>
        <v>12.1562</v>
      </c>
    </row>
    <row r="729" spans="1:15" ht="15" x14ac:dyDescent="0.2">
      <c r="A729" s="13">
        <v>63037</v>
      </c>
      <c r="B729" s="9">
        <f>10.6464 * CHOOSE(CONTROL!$C$32, $C$9, 100%, $E$9)</f>
        <v>10.6464</v>
      </c>
      <c r="C729" s="9">
        <f>10.6464 * CHOOSE(CONTROL!$C$32, $C$9, 100%, $E$9)</f>
        <v>10.6464</v>
      </c>
      <c r="D729" s="9">
        <f>10.6476 * CHOOSE(CONTROL!$C$32, $C$9, 100%, $E$9)</f>
        <v>10.647600000000001</v>
      </c>
      <c r="E729" s="11">
        <f>11.868 * CHOOSE(CONTROL!$C$32, $C$9, 100%, $E$9)</f>
        <v>11.868</v>
      </c>
      <c r="F729" s="11">
        <f>11.868 * CHOOSE(CONTROL!$C$32, $C$9, 100%, $E$9)</f>
        <v>11.868</v>
      </c>
      <c r="G729" s="11">
        <f>11.8722 * CHOOSE(CONTROL!$C$32, $C$9, 100%, $E$9)</f>
        <v>11.872199999999999</v>
      </c>
      <c r="H729" s="11">
        <f>24.6755 * CHOOSE(CONTROL!$C$32, $C$9, 100%, $E$9)</f>
        <v>24.6755</v>
      </c>
      <c r="I729" s="11">
        <f>24.6797 * CHOOSE(CONTROL!$C$32, $C$9, 100%, $E$9)</f>
        <v>24.6797</v>
      </c>
      <c r="J729" s="11">
        <f>24.6755 * CHOOSE(CONTROL!$C$32, $C$9, 100%, $E$9)</f>
        <v>24.6755</v>
      </c>
      <c r="K729" s="11">
        <f>24.6797 * CHOOSE(CONTROL!$C$32, $C$9, 100%, $E$9)</f>
        <v>24.6797</v>
      </c>
      <c r="L729" s="11">
        <f>11.868 * CHOOSE(CONTROL!$C$32, $C$9, 100%, $E$9)</f>
        <v>11.868</v>
      </c>
      <c r="M729" s="11">
        <f>11.8722 * CHOOSE(CONTROL!$C$32, $C$9, 100%, $E$9)</f>
        <v>11.872199999999999</v>
      </c>
      <c r="N729" s="11">
        <f>11.868 * CHOOSE(CONTROL!$C$32, $C$9, 100%, $E$9)</f>
        <v>11.868</v>
      </c>
      <c r="O729" s="11">
        <f>11.8722 * CHOOSE(CONTROL!$C$32, $C$9, 100%, $E$9)</f>
        <v>11.872199999999999</v>
      </c>
    </row>
    <row r="730" spans="1:15" ht="15" x14ac:dyDescent="0.2">
      <c r="A730" s="13">
        <v>63068</v>
      </c>
      <c r="B730" s="9">
        <f>10.6434 * CHOOSE(CONTROL!$C$32, $C$9, 100%, $E$9)</f>
        <v>10.6434</v>
      </c>
      <c r="C730" s="9">
        <f>10.6434 * CHOOSE(CONTROL!$C$32, $C$9, 100%, $E$9)</f>
        <v>10.6434</v>
      </c>
      <c r="D730" s="9">
        <f>10.6446 * CHOOSE(CONTROL!$C$32, $C$9, 100%, $E$9)</f>
        <v>10.644600000000001</v>
      </c>
      <c r="E730" s="11">
        <f>11.8338 * CHOOSE(CONTROL!$C$32, $C$9, 100%, $E$9)</f>
        <v>11.8338</v>
      </c>
      <c r="F730" s="11">
        <f>11.8338 * CHOOSE(CONTROL!$C$32, $C$9, 100%, $E$9)</f>
        <v>11.8338</v>
      </c>
      <c r="G730" s="11">
        <f>11.838 * CHOOSE(CONTROL!$C$32, $C$9, 100%, $E$9)</f>
        <v>11.837999999999999</v>
      </c>
      <c r="H730" s="11">
        <f>24.7269 * CHOOSE(CONTROL!$C$32, $C$9, 100%, $E$9)</f>
        <v>24.726900000000001</v>
      </c>
      <c r="I730" s="11">
        <f>24.7311 * CHOOSE(CONTROL!$C$32, $C$9, 100%, $E$9)</f>
        <v>24.731100000000001</v>
      </c>
      <c r="J730" s="11">
        <f>24.7269 * CHOOSE(CONTROL!$C$32, $C$9, 100%, $E$9)</f>
        <v>24.726900000000001</v>
      </c>
      <c r="K730" s="11">
        <f>24.7311 * CHOOSE(CONTROL!$C$32, $C$9, 100%, $E$9)</f>
        <v>24.731100000000001</v>
      </c>
      <c r="L730" s="11">
        <f>11.8338 * CHOOSE(CONTROL!$C$32, $C$9, 100%, $E$9)</f>
        <v>11.8338</v>
      </c>
      <c r="M730" s="11">
        <f>11.838 * CHOOSE(CONTROL!$C$32, $C$9, 100%, $E$9)</f>
        <v>11.837999999999999</v>
      </c>
      <c r="N730" s="11">
        <f>11.8338 * CHOOSE(CONTROL!$C$32, $C$9, 100%, $E$9)</f>
        <v>11.8338</v>
      </c>
      <c r="O730" s="11">
        <f>11.838 * CHOOSE(CONTROL!$C$32, $C$9, 100%, $E$9)</f>
        <v>11.837999999999999</v>
      </c>
    </row>
    <row r="731" spans="1:15" ht="15" x14ac:dyDescent="0.2">
      <c r="A731" s="13">
        <v>63098</v>
      </c>
      <c r="B731" s="9">
        <f>10.6632 * CHOOSE(CONTROL!$C$32, $C$9, 100%, $E$9)</f>
        <v>10.6632</v>
      </c>
      <c r="C731" s="9">
        <f>10.6632 * CHOOSE(CONTROL!$C$32, $C$9, 100%, $E$9)</f>
        <v>10.6632</v>
      </c>
      <c r="D731" s="9">
        <f>10.6642 * CHOOSE(CONTROL!$C$32, $C$9, 100%, $E$9)</f>
        <v>10.664199999999999</v>
      </c>
      <c r="E731" s="11">
        <f>11.9487 * CHOOSE(CONTROL!$C$32, $C$9, 100%, $E$9)</f>
        <v>11.948700000000001</v>
      </c>
      <c r="F731" s="11">
        <f>11.9487 * CHOOSE(CONTROL!$C$32, $C$9, 100%, $E$9)</f>
        <v>11.948700000000001</v>
      </c>
      <c r="G731" s="11">
        <f>11.9519 * CHOOSE(CONTROL!$C$32, $C$9, 100%, $E$9)</f>
        <v>11.9519</v>
      </c>
      <c r="H731" s="11">
        <f>24.7784 * CHOOSE(CONTROL!$C$32, $C$9, 100%, $E$9)</f>
        <v>24.778400000000001</v>
      </c>
      <c r="I731" s="11">
        <f>24.7816 * CHOOSE(CONTROL!$C$32, $C$9, 100%, $E$9)</f>
        <v>24.781600000000001</v>
      </c>
      <c r="J731" s="11">
        <f>24.7784 * CHOOSE(CONTROL!$C$32, $C$9, 100%, $E$9)</f>
        <v>24.778400000000001</v>
      </c>
      <c r="K731" s="11">
        <f>24.7816 * CHOOSE(CONTROL!$C$32, $C$9, 100%, $E$9)</f>
        <v>24.781600000000001</v>
      </c>
      <c r="L731" s="11">
        <f>11.9487 * CHOOSE(CONTROL!$C$32, $C$9, 100%, $E$9)</f>
        <v>11.948700000000001</v>
      </c>
      <c r="M731" s="11">
        <f>11.9519 * CHOOSE(CONTROL!$C$32, $C$9, 100%, $E$9)</f>
        <v>11.9519</v>
      </c>
      <c r="N731" s="11">
        <f>11.9487 * CHOOSE(CONTROL!$C$32, $C$9, 100%, $E$9)</f>
        <v>11.948700000000001</v>
      </c>
      <c r="O731" s="11">
        <f>11.9519 * CHOOSE(CONTROL!$C$32, $C$9, 100%, $E$9)</f>
        <v>11.9519</v>
      </c>
    </row>
    <row r="732" spans="1:15" ht="15" x14ac:dyDescent="0.2">
      <c r="A732" s="13">
        <v>63129</v>
      </c>
      <c r="B732" s="9">
        <f>10.6663 * CHOOSE(CONTROL!$C$32, $C$9, 100%, $E$9)</f>
        <v>10.6663</v>
      </c>
      <c r="C732" s="9">
        <f>10.6663 * CHOOSE(CONTROL!$C$32, $C$9, 100%, $E$9)</f>
        <v>10.6663</v>
      </c>
      <c r="D732" s="9">
        <f>10.6672 * CHOOSE(CONTROL!$C$32, $C$9, 100%, $E$9)</f>
        <v>10.667199999999999</v>
      </c>
      <c r="E732" s="11">
        <f>12.015 * CHOOSE(CONTROL!$C$32, $C$9, 100%, $E$9)</f>
        <v>12.015000000000001</v>
      </c>
      <c r="F732" s="11">
        <f>12.015 * CHOOSE(CONTROL!$C$32, $C$9, 100%, $E$9)</f>
        <v>12.015000000000001</v>
      </c>
      <c r="G732" s="11">
        <f>12.0182 * CHOOSE(CONTROL!$C$32, $C$9, 100%, $E$9)</f>
        <v>12.0182</v>
      </c>
      <c r="H732" s="11">
        <f>24.83 * CHOOSE(CONTROL!$C$32, $C$9, 100%, $E$9)</f>
        <v>24.83</v>
      </c>
      <c r="I732" s="11">
        <f>24.8332 * CHOOSE(CONTROL!$C$32, $C$9, 100%, $E$9)</f>
        <v>24.833200000000001</v>
      </c>
      <c r="J732" s="11">
        <f>24.83 * CHOOSE(CONTROL!$C$32, $C$9, 100%, $E$9)</f>
        <v>24.83</v>
      </c>
      <c r="K732" s="11">
        <f>24.8332 * CHOOSE(CONTROL!$C$32, $C$9, 100%, $E$9)</f>
        <v>24.833200000000001</v>
      </c>
      <c r="L732" s="11">
        <f>12.015 * CHOOSE(CONTROL!$C$32, $C$9, 100%, $E$9)</f>
        <v>12.015000000000001</v>
      </c>
      <c r="M732" s="11">
        <f>12.0182 * CHOOSE(CONTROL!$C$32, $C$9, 100%, $E$9)</f>
        <v>12.0182</v>
      </c>
      <c r="N732" s="11">
        <f>12.015 * CHOOSE(CONTROL!$C$32, $C$9, 100%, $E$9)</f>
        <v>12.015000000000001</v>
      </c>
      <c r="O732" s="11">
        <f>12.0182 * CHOOSE(CONTROL!$C$32, $C$9, 100%, $E$9)</f>
        <v>12.0182</v>
      </c>
    </row>
    <row r="733" spans="1:15" ht="15" x14ac:dyDescent="0.2">
      <c r="A733" s="13">
        <v>63159</v>
      </c>
      <c r="B733" s="9">
        <f>10.6663 * CHOOSE(CONTROL!$C$32, $C$9, 100%, $E$9)</f>
        <v>10.6663</v>
      </c>
      <c r="C733" s="9">
        <f>10.6663 * CHOOSE(CONTROL!$C$32, $C$9, 100%, $E$9)</f>
        <v>10.6663</v>
      </c>
      <c r="D733" s="9">
        <f>10.6672 * CHOOSE(CONTROL!$C$32, $C$9, 100%, $E$9)</f>
        <v>10.667199999999999</v>
      </c>
      <c r="E733" s="11">
        <f>11.8546 * CHOOSE(CONTROL!$C$32, $C$9, 100%, $E$9)</f>
        <v>11.8546</v>
      </c>
      <c r="F733" s="11">
        <f>11.8546 * CHOOSE(CONTROL!$C$32, $C$9, 100%, $E$9)</f>
        <v>11.8546</v>
      </c>
      <c r="G733" s="11">
        <f>11.8578 * CHOOSE(CONTROL!$C$32, $C$9, 100%, $E$9)</f>
        <v>11.857799999999999</v>
      </c>
      <c r="H733" s="11">
        <f>24.8817 * CHOOSE(CONTROL!$C$32, $C$9, 100%, $E$9)</f>
        <v>24.881699999999999</v>
      </c>
      <c r="I733" s="11">
        <f>24.885 * CHOOSE(CONTROL!$C$32, $C$9, 100%, $E$9)</f>
        <v>24.885000000000002</v>
      </c>
      <c r="J733" s="11">
        <f>24.8817 * CHOOSE(CONTROL!$C$32, $C$9, 100%, $E$9)</f>
        <v>24.881699999999999</v>
      </c>
      <c r="K733" s="11">
        <f>24.885 * CHOOSE(CONTROL!$C$32, $C$9, 100%, $E$9)</f>
        <v>24.885000000000002</v>
      </c>
      <c r="L733" s="11">
        <f>11.8546 * CHOOSE(CONTROL!$C$32, $C$9, 100%, $E$9)</f>
        <v>11.8546</v>
      </c>
      <c r="M733" s="11">
        <f>11.8578 * CHOOSE(CONTROL!$C$32, $C$9, 100%, $E$9)</f>
        <v>11.857799999999999</v>
      </c>
      <c r="N733" s="11">
        <f>11.8546 * CHOOSE(CONTROL!$C$32, $C$9, 100%, $E$9)</f>
        <v>11.8546</v>
      </c>
      <c r="O733" s="11">
        <f>11.8578 * CHOOSE(CONTROL!$C$32, $C$9, 100%, $E$9)</f>
        <v>11.857799999999999</v>
      </c>
    </row>
    <row r="734" spans="1:15" ht="15" x14ac:dyDescent="0.2">
      <c r="A734" s="13">
        <v>63190</v>
      </c>
      <c r="B734" s="9">
        <f>10.6931 * CHOOSE(CONTROL!$C$32, $C$9, 100%, $E$9)</f>
        <v>10.693099999999999</v>
      </c>
      <c r="C734" s="9">
        <f>10.6931 * CHOOSE(CONTROL!$C$32, $C$9, 100%, $E$9)</f>
        <v>10.693099999999999</v>
      </c>
      <c r="D734" s="9">
        <f>10.6941 * CHOOSE(CONTROL!$C$32, $C$9, 100%, $E$9)</f>
        <v>10.694100000000001</v>
      </c>
      <c r="E734" s="11">
        <f>12.008 * CHOOSE(CONTROL!$C$32, $C$9, 100%, $E$9)</f>
        <v>12.007999999999999</v>
      </c>
      <c r="F734" s="11">
        <f>12.008 * CHOOSE(CONTROL!$C$32, $C$9, 100%, $E$9)</f>
        <v>12.007999999999999</v>
      </c>
      <c r="G734" s="11">
        <f>12.0113 * CHOOSE(CONTROL!$C$32, $C$9, 100%, $E$9)</f>
        <v>12.0113</v>
      </c>
      <c r="H734" s="11">
        <f>24.7904 * CHOOSE(CONTROL!$C$32, $C$9, 100%, $E$9)</f>
        <v>24.790400000000002</v>
      </c>
      <c r="I734" s="11">
        <f>24.7936 * CHOOSE(CONTROL!$C$32, $C$9, 100%, $E$9)</f>
        <v>24.793600000000001</v>
      </c>
      <c r="J734" s="11">
        <f>24.7904 * CHOOSE(CONTROL!$C$32, $C$9, 100%, $E$9)</f>
        <v>24.790400000000002</v>
      </c>
      <c r="K734" s="11">
        <f>24.7936 * CHOOSE(CONTROL!$C$32, $C$9, 100%, $E$9)</f>
        <v>24.793600000000001</v>
      </c>
      <c r="L734" s="11">
        <f>12.008 * CHOOSE(CONTROL!$C$32, $C$9, 100%, $E$9)</f>
        <v>12.007999999999999</v>
      </c>
      <c r="M734" s="11">
        <f>12.0113 * CHOOSE(CONTROL!$C$32, $C$9, 100%, $E$9)</f>
        <v>12.0113</v>
      </c>
      <c r="N734" s="11">
        <f>12.008 * CHOOSE(CONTROL!$C$32, $C$9, 100%, $E$9)</f>
        <v>12.007999999999999</v>
      </c>
      <c r="O734" s="11">
        <f>12.0113 * CHOOSE(CONTROL!$C$32, $C$9, 100%, $E$9)</f>
        <v>12.0113</v>
      </c>
    </row>
    <row r="735" spans="1:15" ht="15" x14ac:dyDescent="0.2">
      <c r="A735" s="13">
        <v>63221</v>
      </c>
      <c r="B735" s="9">
        <f>10.6901 * CHOOSE(CONTROL!$C$32, $C$9, 100%, $E$9)</f>
        <v>10.690099999999999</v>
      </c>
      <c r="C735" s="9">
        <f>10.6901 * CHOOSE(CONTROL!$C$32, $C$9, 100%, $E$9)</f>
        <v>10.690099999999999</v>
      </c>
      <c r="D735" s="9">
        <f>10.6911 * CHOOSE(CONTROL!$C$32, $C$9, 100%, $E$9)</f>
        <v>10.6911</v>
      </c>
      <c r="E735" s="11">
        <f>11.6957 * CHOOSE(CONTROL!$C$32, $C$9, 100%, $E$9)</f>
        <v>11.6957</v>
      </c>
      <c r="F735" s="11">
        <f>11.6957 * CHOOSE(CONTROL!$C$32, $C$9, 100%, $E$9)</f>
        <v>11.6957</v>
      </c>
      <c r="G735" s="11">
        <f>11.699 * CHOOSE(CONTROL!$C$32, $C$9, 100%, $E$9)</f>
        <v>11.699</v>
      </c>
      <c r="H735" s="11">
        <f>24.842 * CHOOSE(CONTROL!$C$32, $C$9, 100%, $E$9)</f>
        <v>24.841999999999999</v>
      </c>
      <c r="I735" s="11">
        <f>24.8453 * CHOOSE(CONTROL!$C$32, $C$9, 100%, $E$9)</f>
        <v>24.845300000000002</v>
      </c>
      <c r="J735" s="11">
        <f>24.842 * CHOOSE(CONTROL!$C$32, $C$9, 100%, $E$9)</f>
        <v>24.841999999999999</v>
      </c>
      <c r="K735" s="11">
        <f>24.8453 * CHOOSE(CONTROL!$C$32, $C$9, 100%, $E$9)</f>
        <v>24.845300000000002</v>
      </c>
      <c r="L735" s="11">
        <f>11.6957 * CHOOSE(CONTROL!$C$32, $C$9, 100%, $E$9)</f>
        <v>11.6957</v>
      </c>
      <c r="M735" s="11">
        <f>11.699 * CHOOSE(CONTROL!$C$32, $C$9, 100%, $E$9)</f>
        <v>11.699</v>
      </c>
      <c r="N735" s="11">
        <f>11.6957 * CHOOSE(CONTROL!$C$32, $C$9, 100%, $E$9)</f>
        <v>11.6957</v>
      </c>
      <c r="O735" s="11">
        <f>11.699 * CHOOSE(CONTROL!$C$32, $C$9, 100%, $E$9)</f>
        <v>11.699</v>
      </c>
    </row>
    <row r="736" spans="1:15" ht="15" x14ac:dyDescent="0.2">
      <c r="A736" s="13">
        <v>63249</v>
      </c>
      <c r="B736" s="9">
        <f>10.6871 * CHOOSE(CONTROL!$C$32, $C$9, 100%, $E$9)</f>
        <v>10.687099999999999</v>
      </c>
      <c r="C736" s="9">
        <f>10.6871 * CHOOSE(CONTROL!$C$32, $C$9, 100%, $E$9)</f>
        <v>10.687099999999999</v>
      </c>
      <c r="D736" s="9">
        <f>10.688 * CHOOSE(CONTROL!$C$32, $C$9, 100%, $E$9)</f>
        <v>10.688000000000001</v>
      </c>
      <c r="E736" s="11">
        <f>11.9381 * CHOOSE(CONTROL!$C$32, $C$9, 100%, $E$9)</f>
        <v>11.9381</v>
      </c>
      <c r="F736" s="11">
        <f>11.9381 * CHOOSE(CONTROL!$C$32, $C$9, 100%, $E$9)</f>
        <v>11.9381</v>
      </c>
      <c r="G736" s="11">
        <f>11.9414 * CHOOSE(CONTROL!$C$32, $C$9, 100%, $E$9)</f>
        <v>11.9414</v>
      </c>
      <c r="H736" s="11">
        <f>24.8938 * CHOOSE(CONTROL!$C$32, $C$9, 100%, $E$9)</f>
        <v>24.893799999999999</v>
      </c>
      <c r="I736" s="11">
        <f>24.897 * CHOOSE(CONTROL!$C$32, $C$9, 100%, $E$9)</f>
        <v>24.896999999999998</v>
      </c>
      <c r="J736" s="11">
        <f>24.8938 * CHOOSE(CONTROL!$C$32, $C$9, 100%, $E$9)</f>
        <v>24.893799999999999</v>
      </c>
      <c r="K736" s="11">
        <f>24.897 * CHOOSE(CONTROL!$C$32, $C$9, 100%, $E$9)</f>
        <v>24.896999999999998</v>
      </c>
      <c r="L736" s="11">
        <f>11.9381 * CHOOSE(CONTROL!$C$32, $C$9, 100%, $E$9)</f>
        <v>11.9381</v>
      </c>
      <c r="M736" s="11">
        <f>11.9414 * CHOOSE(CONTROL!$C$32, $C$9, 100%, $E$9)</f>
        <v>11.9414</v>
      </c>
      <c r="N736" s="11">
        <f>11.9381 * CHOOSE(CONTROL!$C$32, $C$9, 100%, $E$9)</f>
        <v>11.9381</v>
      </c>
      <c r="O736" s="11">
        <f>11.9414 * CHOOSE(CONTROL!$C$32, $C$9, 100%, $E$9)</f>
        <v>11.9414</v>
      </c>
    </row>
    <row r="737" spans="1:15" ht="15" x14ac:dyDescent="0.2">
      <c r="A737" s="13">
        <v>63280</v>
      </c>
      <c r="B737" s="9">
        <f>10.6912 * CHOOSE(CONTROL!$C$32, $C$9, 100%, $E$9)</f>
        <v>10.6912</v>
      </c>
      <c r="C737" s="9">
        <f>10.6912 * CHOOSE(CONTROL!$C$32, $C$9, 100%, $E$9)</f>
        <v>10.6912</v>
      </c>
      <c r="D737" s="9">
        <f>10.6922 * CHOOSE(CONTROL!$C$32, $C$9, 100%, $E$9)</f>
        <v>10.6922</v>
      </c>
      <c r="E737" s="11">
        <f>12.1965 * CHOOSE(CONTROL!$C$32, $C$9, 100%, $E$9)</f>
        <v>12.1965</v>
      </c>
      <c r="F737" s="11">
        <f>12.1965 * CHOOSE(CONTROL!$C$32, $C$9, 100%, $E$9)</f>
        <v>12.1965</v>
      </c>
      <c r="G737" s="11">
        <f>12.1997 * CHOOSE(CONTROL!$C$32, $C$9, 100%, $E$9)</f>
        <v>12.1997</v>
      </c>
      <c r="H737" s="11">
        <f>24.9457 * CHOOSE(CONTROL!$C$32, $C$9, 100%, $E$9)</f>
        <v>24.945699999999999</v>
      </c>
      <c r="I737" s="11">
        <f>24.9489 * CHOOSE(CONTROL!$C$32, $C$9, 100%, $E$9)</f>
        <v>24.948899999999998</v>
      </c>
      <c r="J737" s="11">
        <f>24.9457 * CHOOSE(CONTROL!$C$32, $C$9, 100%, $E$9)</f>
        <v>24.945699999999999</v>
      </c>
      <c r="K737" s="11">
        <f>24.9489 * CHOOSE(CONTROL!$C$32, $C$9, 100%, $E$9)</f>
        <v>24.948899999999998</v>
      </c>
      <c r="L737" s="11">
        <f>12.1965 * CHOOSE(CONTROL!$C$32, $C$9, 100%, $E$9)</f>
        <v>12.1965</v>
      </c>
      <c r="M737" s="11">
        <f>12.1997 * CHOOSE(CONTROL!$C$32, $C$9, 100%, $E$9)</f>
        <v>12.1997</v>
      </c>
      <c r="N737" s="11">
        <f>12.1965 * CHOOSE(CONTROL!$C$32, $C$9, 100%, $E$9)</f>
        <v>12.1965</v>
      </c>
      <c r="O737" s="11">
        <f>12.1997 * CHOOSE(CONTROL!$C$32, $C$9, 100%, $E$9)</f>
        <v>12.1997</v>
      </c>
    </row>
    <row r="738" spans="1:15" ht="15" x14ac:dyDescent="0.2">
      <c r="A738" s="13">
        <v>63310</v>
      </c>
      <c r="B738" s="9">
        <f>10.6912 * CHOOSE(CONTROL!$C$32, $C$9, 100%, $E$9)</f>
        <v>10.6912</v>
      </c>
      <c r="C738" s="9">
        <f>10.6912 * CHOOSE(CONTROL!$C$32, $C$9, 100%, $E$9)</f>
        <v>10.6912</v>
      </c>
      <c r="D738" s="9">
        <f>10.6925 * CHOOSE(CONTROL!$C$32, $C$9, 100%, $E$9)</f>
        <v>10.692500000000001</v>
      </c>
      <c r="E738" s="11">
        <f>12.295 * CHOOSE(CONTROL!$C$32, $C$9, 100%, $E$9)</f>
        <v>12.295</v>
      </c>
      <c r="F738" s="11">
        <f>12.295 * CHOOSE(CONTROL!$C$32, $C$9, 100%, $E$9)</f>
        <v>12.295</v>
      </c>
      <c r="G738" s="11">
        <f>12.2992 * CHOOSE(CONTROL!$C$32, $C$9, 100%, $E$9)</f>
        <v>12.299200000000001</v>
      </c>
      <c r="H738" s="11">
        <f>24.9976 * CHOOSE(CONTROL!$C$32, $C$9, 100%, $E$9)</f>
        <v>24.997599999999998</v>
      </c>
      <c r="I738" s="11">
        <f>25.0018 * CHOOSE(CONTROL!$C$32, $C$9, 100%, $E$9)</f>
        <v>25.001799999999999</v>
      </c>
      <c r="J738" s="11">
        <f>24.9976 * CHOOSE(CONTROL!$C$32, $C$9, 100%, $E$9)</f>
        <v>24.997599999999998</v>
      </c>
      <c r="K738" s="11">
        <f>25.0018 * CHOOSE(CONTROL!$C$32, $C$9, 100%, $E$9)</f>
        <v>25.001799999999999</v>
      </c>
      <c r="L738" s="11">
        <f>12.295 * CHOOSE(CONTROL!$C$32, $C$9, 100%, $E$9)</f>
        <v>12.295</v>
      </c>
      <c r="M738" s="11">
        <f>12.2992 * CHOOSE(CONTROL!$C$32, $C$9, 100%, $E$9)</f>
        <v>12.299200000000001</v>
      </c>
      <c r="N738" s="11">
        <f>12.295 * CHOOSE(CONTROL!$C$32, $C$9, 100%, $E$9)</f>
        <v>12.295</v>
      </c>
      <c r="O738" s="11">
        <f>12.2992 * CHOOSE(CONTROL!$C$32, $C$9, 100%, $E$9)</f>
        <v>12.299200000000001</v>
      </c>
    </row>
    <row r="739" spans="1:15" ht="15" x14ac:dyDescent="0.2">
      <c r="A739" s="13">
        <v>63341</v>
      </c>
      <c r="B739" s="9">
        <f>10.6973 * CHOOSE(CONTROL!$C$32, $C$9, 100%, $E$9)</f>
        <v>10.6973</v>
      </c>
      <c r="C739" s="9">
        <f>10.6973 * CHOOSE(CONTROL!$C$32, $C$9, 100%, $E$9)</f>
        <v>10.6973</v>
      </c>
      <c r="D739" s="9">
        <f>10.6985 * CHOOSE(CONTROL!$C$32, $C$9, 100%, $E$9)</f>
        <v>10.698499999999999</v>
      </c>
      <c r="E739" s="11">
        <f>12.2007 * CHOOSE(CONTROL!$C$32, $C$9, 100%, $E$9)</f>
        <v>12.200699999999999</v>
      </c>
      <c r="F739" s="11">
        <f>12.2007 * CHOOSE(CONTROL!$C$32, $C$9, 100%, $E$9)</f>
        <v>12.200699999999999</v>
      </c>
      <c r="G739" s="11">
        <f>12.2049 * CHOOSE(CONTROL!$C$32, $C$9, 100%, $E$9)</f>
        <v>12.2049</v>
      </c>
      <c r="H739" s="11">
        <f>25.0497 * CHOOSE(CONTROL!$C$32, $C$9, 100%, $E$9)</f>
        <v>25.049700000000001</v>
      </c>
      <c r="I739" s="11">
        <f>25.0539 * CHOOSE(CONTROL!$C$32, $C$9, 100%, $E$9)</f>
        <v>25.053899999999999</v>
      </c>
      <c r="J739" s="11">
        <f>25.0497 * CHOOSE(CONTROL!$C$32, $C$9, 100%, $E$9)</f>
        <v>25.049700000000001</v>
      </c>
      <c r="K739" s="11">
        <f>25.0539 * CHOOSE(CONTROL!$C$32, $C$9, 100%, $E$9)</f>
        <v>25.053899999999999</v>
      </c>
      <c r="L739" s="11">
        <f>12.2007 * CHOOSE(CONTROL!$C$32, $C$9, 100%, $E$9)</f>
        <v>12.200699999999999</v>
      </c>
      <c r="M739" s="11">
        <f>12.2049 * CHOOSE(CONTROL!$C$32, $C$9, 100%, $E$9)</f>
        <v>12.2049</v>
      </c>
      <c r="N739" s="11">
        <f>12.2007 * CHOOSE(CONTROL!$C$32, $C$9, 100%, $E$9)</f>
        <v>12.200699999999999</v>
      </c>
      <c r="O739" s="11">
        <f>12.2049 * CHOOSE(CONTROL!$C$32, $C$9, 100%, $E$9)</f>
        <v>12.2049</v>
      </c>
    </row>
    <row r="740" spans="1:15" ht="15" x14ac:dyDescent="0.2">
      <c r="A740" s="13">
        <v>63371</v>
      </c>
      <c r="B740" s="9">
        <f>10.8293 * CHOOSE(CONTROL!$C$32, $C$9, 100%, $E$9)</f>
        <v>10.8293</v>
      </c>
      <c r="C740" s="9">
        <f>10.8293 * CHOOSE(CONTROL!$C$32, $C$9, 100%, $E$9)</f>
        <v>10.8293</v>
      </c>
      <c r="D740" s="9">
        <f>10.8306 * CHOOSE(CONTROL!$C$32, $C$9, 100%, $E$9)</f>
        <v>10.8306</v>
      </c>
      <c r="E740" s="11">
        <f>12.3722 * CHOOSE(CONTROL!$C$32, $C$9, 100%, $E$9)</f>
        <v>12.372199999999999</v>
      </c>
      <c r="F740" s="11">
        <f>12.3722 * CHOOSE(CONTROL!$C$32, $C$9, 100%, $E$9)</f>
        <v>12.372199999999999</v>
      </c>
      <c r="G740" s="11">
        <f>12.3764 * CHOOSE(CONTROL!$C$32, $C$9, 100%, $E$9)</f>
        <v>12.3764</v>
      </c>
      <c r="H740" s="11">
        <f>25.1019 * CHOOSE(CONTROL!$C$32, $C$9, 100%, $E$9)</f>
        <v>25.101900000000001</v>
      </c>
      <c r="I740" s="11">
        <f>25.1061 * CHOOSE(CONTROL!$C$32, $C$9, 100%, $E$9)</f>
        <v>25.106100000000001</v>
      </c>
      <c r="J740" s="11">
        <f>25.1019 * CHOOSE(CONTROL!$C$32, $C$9, 100%, $E$9)</f>
        <v>25.101900000000001</v>
      </c>
      <c r="K740" s="11">
        <f>25.1061 * CHOOSE(CONTROL!$C$32, $C$9, 100%, $E$9)</f>
        <v>25.106100000000001</v>
      </c>
      <c r="L740" s="11">
        <f>12.3722 * CHOOSE(CONTROL!$C$32, $C$9, 100%, $E$9)</f>
        <v>12.372199999999999</v>
      </c>
      <c r="M740" s="11">
        <f>12.3764 * CHOOSE(CONTROL!$C$32, $C$9, 100%, $E$9)</f>
        <v>12.3764</v>
      </c>
      <c r="N740" s="11">
        <f>12.3722 * CHOOSE(CONTROL!$C$32, $C$9, 100%, $E$9)</f>
        <v>12.372199999999999</v>
      </c>
      <c r="O740" s="11">
        <f>12.3764 * CHOOSE(CONTROL!$C$32, $C$9, 100%, $E$9)</f>
        <v>12.3764</v>
      </c>
    </row>
    <row r="741" spans="1:15" ht="15" x14ac:dyDescent="0.2">
      <c r="A741" s="13">
        <v>63402</v>
      </c>
      <c r="B741" s="9">
        <f>10.836 * CHOOSE(CONTROL!$C$32, $C$9, 100%, $E$9)</f>
        <v>10.836</v>
      </c>
      <c r="C741" s="9">
        <f>10.836 * CHOOSE(CONTROL!$C$32, $C$9, 100%, $E$9)</f>
        <v>10.836</v>
      </c>
      <c r="D741" s="9">
        <f>10.8372 * CHOOSE(CONTROL!$C$32, $C$9, 100%, $E$9)</f>
        <v>10.837199999999999</v>
      </c>
      <c r="E741" s="11">
        <f>12.0815 * CHOOSE(CONTROL!$C$32, $C$9, 100%, $E$9)</f>
        <v>12.0815</v>
      </c>
      <c r="F741" s="11">
        <f>12.0815 * CHOOSE(CONTROL!$C$32, $C$9, 100%, $E$9)</f>
        <v>12.0815</v>
      </c>
      <c r="G741" s="11">
        <f>12.0857 * CHOOSE(CONTROL!$C$32, $C$9, 100%, $E$9)</f>
        <v>12.085699999999999</v>
      </c>
      <c r="H741" s="11">
        <f>25.1542 * CHOOSE(CONTROL!$C$32, $C$9, 100%, $E$9)</f>
        <v>25.154199999999999</v>
      </c>
      <c r="I741" s="11">
        <f>25.1584 * CHOOSE(CONTROL!$C$32, $C$9, 100%, $E$9)</f>
        <v>25.1584</v>
      </c>
      <c r="J741" s="11">
        <f>25.1542 * CHOOSE(CONTROL!$C$32, $C$9, 100%, $E$9)</f>
        <v>25.154199999999999</v>
      </c>
      <c r="K741" s="11">
        <f>25.1584 * CHOOSE(CONTROL!$C$32, $C$9, 100%, $E$9)</f>
        <v>25.1584</v>
      </c>
      <c r="L741" s="11">
        <f>12.0815 * CHOOSE(CONTROL!$C$32, $C$9, 100%, $E$9)</f>
        <v>12.0815</v>
      </c>
      <c r="M741" s="11">
        <f>12.0857 * CHOOSE(CONTROL!$C$32, $C$9, 100%, $E$9)</f>
        <v>12.085699999999999</v>
      </c>
      <c r="N741" s="11">
        <f>12.0815 * CHOOSE(CONTROL!$C$32, $C$9, 100%, $E$9)</f>
        <v>12.0815</v>
      </c>
      <c r="O741" s="11">
        <f>12.0857 * CHOOSE(CONTROL!$C$32, $C$9, 100%, $E$9)</f>
        <v>12.085699999999999</v>
      </c>
    </row>
    <row r="742" spans="1:15" ht="15" x14ac:dyDescent="0.2">
      <c r="A742" s="13">
        <v>63433</v>
      </c>
      <c r="B742" s="9">
        <f>10.833 * CHOOSE(CONTROL!$C$32, $C$9, 100%, $E$9)</f>
        <v>10.833</v>
      </c>
      <c r="C742" s="9">
        <f>10.833 * CHOOSE(CONTROL!$C$32, $C$9, 100%, $E$9)</f>
        <v>10.833</v>
      </c>
      <c r="D742" s="9">
        <f>10.8342 * CHOOSE(CONTROL!$C$32, $C$9, 100%, $E$9)</f>
        <v>10.834199999999999</v>
      </c>
      <c r="E742" s="11">
        <f>12.0465 * CHOOSE(CONTROL!$C$32, $C$9, 100%, $E$9)</f>
        <v>12.0465</v>
      </c>
      <c r="F742" s="11">
        <f>12.0465 * CHOOSE(CONTROL!$C$32, $C$9, 100%, $E$9)</f>
        <v>12.0465</v>
      </c>
      <c r="G742" s="11">
        <f>12.0507 * CHOOSE(CONTROL!$C$32, $C$9, 100%, $E$9)</f>
        <v>12.050700000000001</v>
      </c>
      <c r="H742" s="11">
        <f>25.2066 * CHOOSE(CONTROL!$C$32, $C$9, 100%, $E$9)</f>
        <v>25.206600000000002</v>
      </c>
      <c r="I742" s="11">
        <f>25.2108 * CHOOSE(CONTROL!$C$32, $C$9, 100%, $E$9)</f>
        <v>25.210799999999999</v>
      </c>
      <c r="J742" s="11">
        <f>25.2066 * CHOOSE(CONTROL!$C$32, $C$9, 100%, $E$9)</f>
        <v>25.206600000000002</v>
      </c>
      <c r="K742" s="11">
        <f>25.2108 * CHOOSE(CONTROL!$C$32, $C$9, 100%, $E$9)</f>
        <v>25.210799999999999</v>
      </c>
      <c r="L742" s="11">
        <f>12.0465 * CHOOSE(CONTROL!$C$32, $C$9, 100%, $E$9)</f>
        <v>12.0465</v>
      </c>
      <c r="M742" s="11">
        <f>12.0507 * CHOOSE(CONTROL!$C$32, $C$9, 100%, $E$9)</f>
        <v>12.050700000000001</v>
      </c>
      <c r="N742" s="11">
        <f>12.0465 * CHOOSE(CONTROL!$C$32, $C$9, 100%, $E$9)</f>
        <v>12.0465</v>
      </c>
      <c r="O742" s="11">
        <f>12.0507 * CHOOSE(CONTROL!$C$32, $C$9, 100%, $E$9)</f>
        <v>12.050700000000001</v>
      </c>
    </row>
    <row r="743" spans="1:15" ht="15" x14ac:dyDescent="0.2">
      <c r="A743" s="13">
        <v>63463</v>
      </c>
      <c r="B743" s="9">
        <f>10.8535 * CHOOSE(CONTROL!$C$32, $C$9, 100%, $E$9)</f>
        <v>10.8535</v>
      </c>
      <c r="C743" s="9">
        <f>10.8535 * CHOOSE(CONTROL!$C$32, $C$9, 100%, $E$9)</f>
        <v>10.8535</v>
      </c>
      <c r="D743" s="9">
        <f>10.8545 * CHOOSE(CONTROL!$C$32, $C$9, 100%, $E$9)</f>
        <v>10.8545</v>
      </c>
      <c r="E743" s="11">
        <f>12.1644 * CHOOSE(CONTROL!$C$32, $C$9, 100%, $E$9)</f>
        <v>12.164400000000001</v>
      </c>
      <c r="F743" s="11">
        <f>12.1644 * CHOOSE(CONTROL!$C$32, $C$9, 100%, $E$9)</f>
        <v>12.164400000000001</v>
      </c>
      <c r="G743" s="11">
        <f>12.1676 * CHOOSE(CONTROL!$C$32, $C$9, 100%, $E$9)</f>
        <v>12.1676</v>
      </c>
      <c r="H743" s="11">
        <f>25.2591 * CHOOSE(CONTROL!$C$32, $C$9, 100%, $E$9)</f>
        <v>25.2591</v>
      </c>
      <c r="I743" s="11">
        <f>25.2623 * CHOOSE(CONTROL!$C$32, $C$9, 100%, $E$9)</f>
        <v>25.2623</v>
      </c>
      <c r="J743" s="11">
        <f>25.2591 * CHOOSE(CONTROL!$C$32, $C$9, 100%, $E$9)</f>
        <v>25.2591</v>
      </c>
      <c r="K743" s="11">
        <f>25.2623 * CHOOSE(CONTROL!$C$32, $C$9, 100%, $E$9)</f>
        <v>25.2623</v>
      </c>
      <c r="L743" s="11">
        <f>12.1644 * CHOOSE(CONTROL!$C$32, $C$9, 100%, $E$9)</f>
        <v>12.164400000000001</v>
      </c>
      <c r="M743" s="11">
        <f>12.1676 * CHOOSE(CONTROL!$C$32, $C$9, 100%, $E$9)</f>
        <v>12.1676</v>
      </c>
      <c r="N743" s="11">
        <f>12.1644 * CHOOSE(CONTROL!$C$32, $C$9, 100%, $E$9)</f>
        <v>12.164400000000001</v>
      </c>
      <c r="O743" s="11">
        <f>12.1676 * CHOOSE(CONTROL!$C$32, $C$9, 100%, $E$9)</f>
        <v>12.1676</v>
      </c>
    </row>
    <row r="744" spans="1:15" ht="15" x14ac:dyDescent="0.2">
      <c r="A744" s="13">
        <v>63494</v>
      </c>
      <c r="B744" s="9">
        <f>10.8566 * CHOOSE(CONTROL!$C$32, $C$9, 100%, $E$9)</f>
        <v>10.8566</v>
      </c>
      <c r="C744" s="9">
        <f>10.8566 * CHOOSE(CONTROL!$C$32, $C$9, 100%, $E$9)</f>
        <v>10.8566</v>
      </c>
      <c r="D744" s="9">
        <f>10.8575 * CHOOSE(CONTROL!$C$32, $C$9, 100%, $E$9)</f>
        <v>10.8575</v>
      </c>
      <c r="E744" s="11">
        <f>12.2322 * CHOOSE(CONTROL!$C$32, $C$9, 100%, $E$9)</f>
        <v>12.232200000000001</v>
      </c>
      <c r="F744" s="11">
        <f>12.2322 * CHOOSE(CONTROL!$C$32, $C$9, 100%, $E$9)</f>
        <v>12.232200000000001</v>
      </c>
      <c r="G744" s="11">
        <f>12.2354 * CHOOSE(CONTROL!$C$32, $C$9, 100%, $E$9)</f>
        <v>12.2354</v>
      </c>
      <c r="H744" s="11">
        <f>25.3117 * CHOOSE(CONTROL!$C$32, $C$9, 100%, $E$9)</f>
        <v>25.311699999999998</v>
      </c>
      <c r="I744" s="11">
        <f>25.3149 * CHOOSE(CONTROL!$C$32, $C$9, 100%, $E$9)</f>
        <v>25.314900000000002</v>
      </c>
      <c r="J744" s="11">
        <f>25.3117 * CHOOSE(CONTROL!$C$32, $C$9, 100%, $E$9)</f>
        <v>25.311699999999998</v>
      </c>
      <c r="K744" s="11">
        <f>25.3149 * CHOOSE(CONTROL!$C$32, $C$9, 100%, $E$9)</f>
        <v>25.314900000000002</v>
      </c>
      <c r="L744" s="11">
        <f>12.2322 * CHOOSE(CONTROL!$C$32, $C$9, 100%, $E$9)</f>
        <v>12.232200000000001</v>
      </c>
      <c r="M744" s="11">
        <f>12.2354 * CHOOSE(CONTROL!$C$32, $C$9, 100%, $E$9)</f>
        <v>12.2354</v>
      </c>
      <c r="N744" s="11">
        <f>12.2322 * CHOOSE(CONTROL!$C$32, $C$9, 100%, $E$9)</f>
        <v>12.232200000000001</v>
      </c>
      <c r="O744" s="11">
        <f>12.2354 * CHOOSE(CONTROL!$C$32, $C$9, 100%, $E$9)</f>
        <v>12.2354</v>
      </c>
    </row>
    <row r="745" spans="1:15" ht="15" x14ac:dyDescent="0.2">
      <c r="A745" s="13">
        <v>63524</v>
      </c>
      <c r="B745" s="9">
        <f>10.8566 * CHOOSE(CONTROL!$C$32, $C$9, 100%, $E$9)</f>
        <v>10.8566</v>
      </c>
      <c r="C745" s="9">
        <f>10.8566 * CHOOSE(CONTROL!$C$32, $C$9, 100%, $E$9)</f>
        <v>10.8566</v>
      </c>
      <c r="D745" s="9">
        <f>10.8575 * CHOOSE(CONTROL!$C$32, $C$9, 100%, $E$9)</f>
        <v>10.8575</v>
      </c>
      <c r="E745" s="11">
        <f>12.068 * CHOOSE(CONTROL!$C$32, $C$9, 100%, $E$9)</f>
        <v>12.068</v>
      </c>
      <c r="F745" s="11">
        <f>12.068 * CHOOSE(CONTROL!$C$32, $C$9, 100%, $E$9)</f>
        <v>12.068</v>
      </c>
      <c r="G745" s="11">
        <f>12.0713 * CHOOSE(CONTROL!$C$32, $C$9, 100%, $E$9)</f>
        <v>12.071300000000001</v>
      </c>
      <c r="H745" s="11">
        <f>25.3645 * CHOOSE(CONTROL!$C$32, $C$9, 100%, $E$9)</f>
        <v>25.3645</v>
      </c>
      <c r="I745" s="11">
        <f>25.3677 * CHOOSE(CONTROL!$C$32, $C$9, 100%, $E$9)</f>
        <v>25.367699999999999</v>
      </c>
      <c r="J745" s="11">
        <f>25.3645 * CHOOSE(CONTROL!$C$32, $C$9, 100%, $E$9)</f>
        <v>25.3645</v>
      </c>
      <c r="K745" s="11">
        <f>25.3677 * CHOOSE(CONTROL!$C$32, $C$9, 100%, $E$9)</f>
        <v>25.367699999999999</v>
      </c>
      <c r="L745" s="11">
        <f>12.068 * CHOOSE(CONTROL!$C$32, $C$9, 100%, $E$9)</f>
        <v>12.068</v>
      </c>
      <c r="M745" s="11">
        <f>12.0713 * CHOOSE(CONTROL!$C$32, $C$9, 100%, $E$9)</f>
        <v>12.071300000000001</v>
      </c>
      <c r="N745" s="11">
        <f>12.068 * CHOOSE(CONTROL!$C$32, $C$9, 100%, $E$9)</f>
        <v>12.068</v>
      </c>
      <c r="O745" s="11">
        <f>12.0713 * CHOOSE(CONTROL!$C$32, $C$9, 100%, $E$9)</f>
        <v>12.071300000000001</v>
      </c>
    </row>
    <row r="746" spans="1:15" ht="15" x14ac:dyDescent="0.2">
      <c r="A746" s="13">
        <v>63555</v>
      </c>
      <c r="B746" s="9">
        <f>10.8805 * CHOOSE(CONTROL!$C$32, $C$9, 100%, $E$9)</f>
        <v>10.8805</v>
      </c>
      <c r="C746" s="9">
        <f>10.8805 * CHOOSE(CONTROL!$C$32, $C$9, 100%, $E$9)</f>
        <v>10.8805</v>
      </c>
      <c r="D746" s="9">
        <f>10.8815 * CHOOSE(CONTROL!$C$32, $C$9, 100%, $E$9)</f>
        <v>10.881500000000001</v>
      </c>
      <c r="E746" s="11">
        <f>12.2205 * CHOOSE(CONTROL!$C$32, $C$9, 100%, $E$9)</f>
        <v>12.220499999999999</v>
      </c>
      <c r="F746" s="11">
        <f>12.2205 * CHOOSE(CONTROL!$C$32, $C$9, 100%, $E$9)</f>
        <v>12.220499999999999</v>
      </c>
      <c r="G746" s="11">
        <f>12.2238 * CHOOSE(CONTROL!$C$32, $C$9, 100%, $E$9)</f>
        <v>12.223800000000001</v>
      </c>
      <c r="H746" s="11">
        <f>25.2622 * CHOOSE(CONTROL!$C$32, $C$9, 100%, $E$9)</f>
        <v>25.2622</v>
      </c>
      <c r="I746" s="11">
        <f>25.2654 * CHOOSE(CONTROL!$C$32, $C$9, 100%, $E$9)</f>
        <v>25.2654</v>
      </c>
      <c r="J746" s="11">
        <f>25.2622 * CHOOSE(CONTROL!$C$32, $C$9, 100%, $E$9)</f>
        <v>25.2622</v>
      </c>
      <c r="K746" s="11">
        <f>25.2654 * CHOOSE(CONTROL!$C$32, $C$9, 100%, $E$9)</f>
        <v>25.2654</v>
      </c>
      <c r="L746" s="11">
        <f>12.2205 * CHOOSE(CONTROL!$C$32, $C$9, 100%, $E$9)</f>
        <v>12.220499999999999</v>
      </c>
      <c r="M746" s="11">
        <f>12.2238 * CHOOSE(CONTROL!$C$32, $C$9, 100%, $E$9)</f>
        <v>12.223800000000001</v>
      </c>
      <c r="N746" s="11">
        <f>12.2205 * CHOOSE(CONTROL!$C$32, $C$9, 100%, $E$9)</f>
        <v>12.220499999999999</v>
      </c>
      <c r="O746" s="11">
        <f>12.2238 * CHOOSE(CONTROL!$C$32, $C$9, 100%, $E$9)</f>
        <v>12.223800000000001</v>
      </c>
    </row>
    <row r="747" spans="1:15" ht="15" x14ac:dyDescent="0.2">
      <c r="A747" s="13">
        <v>63586</v>
      </c>
      <c r="B747" s="9">
        <f>10.8775 * CHOOSE(CONTROL!$C$32, $C$9, 100%, $E$9)</f>
        <v>10.8775</v>
      </c>
      <c r="C747" s="9">
        <f>10.8775 * CHOOSE(CONTROL!$C$32, $C$9, 100%, $E$9)</f>
        <v>10.8775</v>
      </c>
      <c r="D747" s="9">
        <f>10.8784 * CHOOSE(CONTROL!$C$32, $C$9, 100%, $E$9)</f>
        <v>10.878399999999999</v>
      </c>
      <c r="E747" s="11">
        <f>11.9012 * CHOOSE(CONTROL!$C$32, $C$9, 100%, $E$9)</f>
        <v>11.901199999999999</v>
      </c>
      <c r="F747" s="11">
        <f>11.9012 * CHOOSE(CONTROL!$C$32, $C$9, 100%, $E$9)</f>
        <v>11.901199999999999</v>
      </c>
      <c r="G747" s="11">
        <f>11.9044 * CHOOSE(CONTROL!$C$32, $C$9, 100%, $E$9)</f>
        <v>11.904400000000001</v>
      </c>
      <c r="H747" s="11">
        <f>25.3148 * CHOOSE(CONTROL!$C$32, $C$9, 100%, $E$9)</f>
        <v>25.314800000000002</v>
      </c>
      <c r="I747" s="11">
        <f>25.318 * CHOOSE(CONTROL!$C$32, $C$9, 100%, $E$9)</f>
        <v>25.318000000000001</v>
      </c>
      <c r="J747" s="11">
        <f>25.3148 * CHOOSE(CONTROL!$C$32, $C$9, 100%, $E$9)</f>
        <v>25.314800000000002</v>
      </c>
      <c r="K747" s="11">
        <f>25.318 * CHOOSE(CONTROL!$C$32, $C$9, 100%, $E$9)</f>
        <v>25.318000000000001</v>
      </c>
      <c r="L747" s="11">
        <f>11.9012 * CHOOSE(CONTROL!$C$32, $C$9, 100%, $E$9)</f>
        <v>11.901199999999999</v>
      </c>
      <c r="M747" s="11">
        <f>11.9044 * CHOOSE(CONTROL!$C$32, $C$9, 100%, $E$9)</f>
        <v>11.904400000000001</v>
      </c>
      <c r="N747" s="11">
        <f>11.9012 * CHOOSE(CONTROL!$C$32, $C$9, 100%, $E$9)</f>
        <v>11.901199999999999</v>
      </c>
      <c r="O747" s="11">
        <f>11.9044 * CHOOSE(CONTROL!$C$32, $C$9, 100%, $E$9)</f>
        <v>11.904400000000001</v>
      </c>
    </row>
    <row r="748" spans="1:15" ht="15" x14ac:dyDescent="0.2">
      <c r="A748" s="13">
        <v>63614</v>
      </c>
      <c r="B748" s="9">
        <f>10.8744 * CHOOSE(CONTROL!$C$32, $C$9, 100%, $E$9)</f>
        <v>10.8744</v>
      </c>
      <c r="C748" s="9">
        <f>10.8744 * CHOOSE(CONTROL!$C$32, $C$9, 100%, $E$9)</f>
        <v>10.8744</v>
      </c>
      <c r="D748" s="9">
        <f>10.8754 * CHOOSE(CONTROL!$C$32, $C$9, 100%, $E$9)</f>
        <v>10.875400000000001</v>
      </c>
      <c r="E748" s="11">
        <f>12.1491 * CHOOSE(CONTROL!$C$32, $C$9, 100%, $E$9)</f>
        <v>12.149100000000001</v>
      </c>
      <c r="F748" s="11">
        <f>12.1491 * CHOOSE(CONTROL!$C$32, $C$9, 100%, $E$9)</f>
        <v>12.149100000000001</v>
      </c>
      <c r="G748" s="11">
        <f>12.1524 * CHOOSE(CONTROL!$C$32, $C$9, 100%, $E$9)</f>
        <v>12.1524</v>
      </c>
      <c r="H748" s="11">
        <f>25.3676 * CHOOSE(CONTROL!$C$32, $C$9, 100%, $E$9)</f>
        <v>25.367599999999999</v>
      </c>
      <c r="I748" s="11">
        <f>25.3708 * CHOOSE(CONTROL!$C$32, $C$9, 100%, $E$9)</f>
        <v>25.370799999999999</v>
      </c>
      <c r="J748" s="11">
        <f>25.3676 * CHOOSE(CONTROL!$C$32, $C$9, 100%, $E$9)</f>
        <v>25.367599999999999</v>
      </c>
      <c r="K748" s="11">
        <f>25.3708 * CHOOSE(CONTROL!$C$32, $C$9, 100%, $E$9)</f>
        <v>25.370799999999999</v>
      </c>
      <c r="L748" s="11">
        <f>12.1491 * CHOOSE(CONTROL!$C$32, $C$9, 100%, $E$9)</f>
        <v>12.149100000000001</v>
      </c>
      <c r="M748" s="11">
        <f>12.1524 * CHOOSE(CONTROL!$C$32, $C$9, 100%, $E$9)</f>
        <v>12.1524</v>
      </c>
      <c r="N748" s="11">
        <f>12.1491 * CHOOSE(CONTROL!$C$32, $C$9, 100%, $E$9)</f>
        <v>12.149100000000001</v>
      </c>
      <c r="O748" s="11">
        <f>12.1524 * CHOOSE(CONTROL!$C$32, $C$9, 100%, $E$9)</f>
        <v>12.1524</v>
      </c>
    </row>
    <row r="749" spans="1:15" ht="15" x14ac:dyDescent="0.2">
      <c r="A749" s="13">
        <v>63645</v>
      </c>
      <c r="B749" s="9">
        <f>10.8787 * CHOOSE(CONTROL!$C$32, $C$9, 100%, $E$9)</f>
        <v>10.8787</v>
      </c>
      <c r="C749" s="9">
        <f>10.8787 * CHOOSE(CONTROL!$C$32, $C$9, 100%, $E$9)</f>
        <v>10.8787</v>
      </c>
      <c r="D749" s="9">
        <f>10.8797 * CHOOSE(CONTROL!$C$32, $C$9, 100%, $E$9)</f>
        <v>10.8797</v>
      </c>
      <c r="E749" s="11">
        <f>12.4135 * CHOOSE(CONTROL!$C$32, $C$9, 100%, $E$9)</f>
        <v>12.413500000000001</v>
      </c>
      <c r="F749" s="11">
        <f>12.4135 * CHOOSE(CONTROL!$C$32, $C$9, 100%, $E$9)</f>
        <v>12.413500000000001</v>
      </c>
      <c r="G749" s="11">
        <f>12.4167 * CHOOSE(CONTROL!$C$32, $C$9, 100%, $E$9)</f>
        <v>12.416700000000001</v>
      </c>
      <c r="H749" s="11">
        <f>25.4204 * CHOOSE(CONTROL!$C$32, $C$9, 100%, $E$9)</f>
        <v>25.420400000000001</v>
      </c>
      <c r="I749" s="11">
        <f>25.4236 * CHOOSE(CONTROL!$C$32, $C$9, 100%, $E$9)</f>
        <v>25.4236</v>
      </c>
      <c r="J749" s="11">
        <f>25.4204 * CHOOSE(CONTROL!$C$32, $C$9, 100%, $E$9)</f>
        <v>25.420400000000001</v>
      </c>
      <c r="K749" s="11">
        <f>25.4236 * CHOOSE(CONTROL!$C$32, $C$9, 100%, $E$9)</f>
        <v>25.4236</v>
      </c>
      <c r="L749" s="11">
        <f>12.4135 * CHOOSE(CONTROL!$C$32, $C$9, 100%, $E$9)</f>
        <v>12.413500000000001</v>
      </c>
      <c r="M749" s="11">
        <f>12.4167 * CHOOSE(CONTROL!$C$32, $C$9, 100%, $E$9)</f>
        <v>12.416700000000001</v>
      </c>
      <c r="N749" s="11">
        <f>12.4135 * CHOOSE(CONTROL!$C$32, $C$9, 100%, $E$9)</f>
        <v>12.413500000000001</v>
      </c>
      <c r="O749" s="11">
        <f>12.4167 * CHOOSE(CONTROL!$C$32, $C$9, 100%, $E$9)</f>
        <v>12.416700000000001</v>
      </c>
    </row>
    <row r="750" spans="1:15" ht="15" x14ac:dyDescent="0.2">
      <c r="A750" s="13">
        <v>63675</v>
      </c>
      <c r="B750" s="9">
        <f>10.8787 * CHOOSE(CONTROL!$C$32, $C$9, 100%, $E$9)</f>
        <v>10.8787</v>
      </c>
      <c r="C750" s="9">
        <f>10.8787 * CHOOSE(CONTROL!$C$32, $C$9, 100%, $E$9)</f>
        <v>10.8787</v>
      </c>
      <c r="D750" s="9">
        <f>10.88 * CHOOSE(CONTROL!$C$32, $C$9, 100%, $E$9)</f>
        <v>10.88</v>
      </c>
      <c r="E750" s="11">
        <f>12.5142 * CHOOSE(CONTROL!$C$32, $C$9, 100%, $E$9)</f>
        <v>12.514200000000001</v>
      </c>
      <c r="F750" s="11">
        <f>12.5142 * CHOOSE(CONTROL!$C$32, $C$9, 100%, $E$9)</f>
        <v>12.514200000000001</v>
      </c>
      <c r="G750" s="11">
        <f>12.5184 * CHOOSE(CONTROL!$C$32, $C$9, 100%, $E$9)</f>
        <v>12.5184</v>
      </c>
      <c r="H750" s="11">
        <f>25.4734 * CHOOSE(CONTROL!$C$32, $C$9, 100%, $E$9)</f>
        <v>25.473400000000002</v>
      </c>
      <c r="I750" s="11">
        <f>25.4776 * CHOOSE(CONTROL!$C$32, $C$9, 100%, $E$9)</f>
        <v>25.477599999999999</v>
      </c>
      <c r="J750" s="11">
        <f>25.4734 * CHOOSE(CONTROL!$C$32, $C$9, 100%, $E$9)</f>
        <v>25.473400000000002</v>
      </c>
      <c r="K750" s="11">
        <f>25.4776 * CHOOSE(CONTROL!$C$32, $C$9, 100%, $E$9)</f>
        <v>25.477599999999999</v>
      </c>
      <c r="L750" s="11">
        <f>12.5142 * CHOOSE(CONTROL!$C$32, $C$9, 100%, $E$9)</f>
        <v>12.514200000000001</v>
      </c>
      <c r="M750" s="11">
        <f>12.5184 * CHOOSE(CONTROL!$C$32, $C$9, 100%, $E$9)</f>
        <v>12.5184</v>
      </c>
      <c r="N750" s="11">
        <f>12.5142 * CHOOSE(CONTROL!$C$32, $C$9, 100%, $E$9)</f>
        <v>12.514200000000001</v>
      </c>
      <c r="O750" s="11">
        <f>12.5184 * CHOOSE(CONTROL!$C$32, $C$9, 100%, $E$9)</f>
        <v>12.5184</v>
      </c>
    </row>
    <row r="751" spans="1:15" ht="15" x14ac:dyDescent="0.2">
      <c r="A751" s="13">
        <v>63706</v>
      </c>
      <c r="B751" s="9">
        <f>10.8848 * CHOOSE(CONTROL!$C$32, $C$9, 100%, $E$9)</f>
        <v>10.8848</v>
      </c>
      <c r="C751" s="9">
        <f>10.8848 * CHOOSE(CONTROL!$C$32, $C$9, 100%, $E$9)</f>
        <v>10.8848</v>
      </c>
      <c r="D751" s="9">
        <f>10.8861 * CHOOSE(CONTROL!$C$32, $C$9, 100%, $E$9)</f>
        <v>10.886100000000001</v>
      </c>
      <c r="E751" s="11">
        <f>12.4177 * CHOOSE(CONTROL!$C$32, $C$9, 100%, $E$9)</f>
        <v>12.4177</v>
      </c>
      <c r="F751" s="11">
        <f>12.4177 * CHOOSE(CONTROL!$C$32, $C$9, 100%, $E$9)</f>
        <v>12.4177</v>
      </c>
      <c r="G751" s="11">
        <f>12.4219 * CHOOSE(CONTROL!$C$32, $C$9, 100%, $E$9)</f>
        <v>12.421900000000001</v>
      </c>
      <c r="H751" s="11">
        <f>25.5264 * CHOOSE(CONTROL!$C$32, $C$9, 100%, $E$9)</f>
        <v>25.526399999999999</v>
      </c>
      <c r="I751" s="11">
        <f>25.5306 * CHOOSE(CONTROL!$C$32, $C$9, 100%, $E$9)</f>
        <v>25.5306</v>
      </c>
      <c r="J751" s="11">
        <f>25.5264 * CHOOSE(CONTROL!$C$32, $C$9, 100%, $E$9)</f>
        <v>25.526399999999999</v>
      </c>
      <c r="K751" s="11">
        <f>25.5306 * CHOOSE(CONTROL!$C$32, $C$9, 100%, $E$9)</f>
        <v>25.5306</v>
      </c>
      <c r="L751" s="11">
        <f>12.4177 * CHOOSE(CONTROL!$C$32, $C$9, 100%, $E$9)</f>
        <v>12.4177</v>
      </c>
      <c r="M751" s="11">
        <f>12.4219 * CHOOSE(CONTROL!$C$32, $C$9, 100%, $E$9)</f>
        <v>12.421900000000001</v>
      </c>
      <c r="N751" s="11">
        <f>12.4177 * CHOOSE(CONTROL!$C$32, $C$9, 100%, $E$9)</f>
        <v>12.4177</v>
      </c>
      <c r="O751" s="11">
        <f>12.4219 * CHOOSE(CONTROL!$C$32, $C$9, 100%, $E$9)</f>
        <v>12.421900000000001</v>
      </c>
    </row>
    <row r="752" spans="1:15" ht="15" x14ac:dyDescent="0.2">
      <c r="A752" s="13">
        <v>63736</v>
      </c>
      <c r="B752" s="9">
        <f>11.0189 * CHOOSE(CONTROL!$C$32, $C$9, 100%, $E$9)</f>
        <v>11.0189</v>
      </c>
      <c r="C752" s="9">
        <f>11.0189 * CHOOSE(CONTROL!$C$32, $C$9, 100%, $E$9)</f>
        <v>11.0189</v>
      </c>
      <c r="D752" s="9">
        <f>11.0202 * CHOOSE(CONTROL!$C$32, $C$9, 100%, $E$9)</f>
        <v>11.020200000000001</v>
      </c>
      <c r="E752" s="11">
        <f>12.5924 * CHOOSE(CONTROL!$C$32, $C$9, 100%, $E$9)</f>
        <v>12.5924</v>
      </c>
      <c r="F752" s="11">
        <f>12.5924 * CHOOSE(CONTROL!$C$32, $C$9, 100%, $E$9)</f>
        <v>12.5924</v>
      </c>
      <c r="G752" s="11">
        <f>12.5966 * CHOOSE(CONTROL!$C$32, $C$9, 100%, $E$9)</f>
        <v>12.5966</v>
      </c>
      <c r="H752" s="11">
        <f>25.5796 * CHOOSE(CONTROL!$C$32, $C$9, 100%, $E$9)</f>
        <v>25.579599999999999</v>
      </c>
      <c r="I752" s="11">
        <f>25.5838 * CHOOSE(CONTROL!$C$32, $C$9, 100%, $E$9)</f>
        <v>25.5838</v>
      </c>
      <c r="J752" s="11">
        <f>25.5796 * CHOOSE(CONTROL!$C$32, $C$9, 100%, $E$9)</f>
        <v>25.579599999999999</v>
      </c>
      <c r="K752" s="11">
        <f>25.5838 * CHOOSE(CONTROL!$C$32, $C$9, 100%, $E$9)</f>
        <v>25.5838</v>
      </c>
      <c r="L752" s="11">
        <f>12.5924 * CHOOSE(CONTROL!$C$32, $C$9, 100%, $E$9)</f>
        <v>12.5924</v>
      </c>
      <c r="M752" s="11">
        <f>12.5966 * CHOOSE(CONTROL!$C$32, $C$9, 100%, $E$9)</f>
        <v>12.5966</v>
      </c>
      <c r="N752" s="11">
        <f>12.5924 * CHOOSE(CONTROL!$C$32, $C$9, 100%, $E$9)</f>
        <v>12.5924</v>
      </c>
      <c r="O752" s="11">
        <f>12.5966 * CHOOSE(CONTROL!$C$32, $C$9, 100%, $E$9)</f>
        <v>12.5966</v>
      </c>
    </row>
    <row r="753" spans="1:15" ht="15" x14ac:dyDescent="0.2">
      <c r="A753" s="13">
        <v>63767</v>
      </c>
      <c r="B753" s="9">
        <f>11.0256 * CHOOSE(CONTROL!$C$32, $C$9, 100%, $E$9)</f>
        <v>11.025600000000001</v>
      </c>
      <c r="C753" s="9">
        <f>11.0256 * CHOOSE(CONTROL!$C$32, $C$9, 100%, $E$9)</f>
        <v>11.025600000000001</v>
      </c>
      <c r="D753" s="9">
        <f>11.0268 * CHOOSE(CONTROL!$C$32, $C$9, 100%, $E$9)</f>
        <v>11.0268</v>
      </c>
      <c r="E753" s="11">
        <f>12.2949 * CHOOSE(CONTROL!$C$32, $C$9, 100%, $E$9)</f>
        <v>12.2949</v>
      </c>
      <c r="F753" s="11">
        <f>12.2949 * CHOOSE(CONTROL!$C$32, $C$9, 100%, $E$9)</f>
        <v>12.2949</v>
      </c>
      <c r="G753" s="11">
        <f>12.2991 * CHOOSE(CONTROL!$C$32, $C$9, 100%, $E$9)</f>
        <v>12.299099999999999</v>
      </c>
      <c r="H753" s="11">
        <f>25.6329 * CHOOSE(CONTROL!$C$32, $C$9, 100%, $E$9)</f>
        <v>25.632899999999999</v>
      </c>
      <c r="I753" s="11">
        <f>25.6371 * CHOOSE(CONTROL!$C$32, $C$9, 100%, $E$9)</f>
        <v>25.6371</v>
      </c>
      <c r="J753" s="11">
        <f>25.6329 * CHOOSE(CONTROL!$C$32, $C$9, 100%, $E$9)</f>
        <v>25.632899999999999</v>
      </c>
      <c r="K753" s="11">
        <f>25.6371 * CHOOSE(CONTROL!$C$32, $C$9, 100%, $E$9)</f>
        <v>25.6371</v>
      </c>
      <c r="L753" s="11">
        <f>12.2949 * CHOOSE(CONTROL!$C$32, $C$9, 100%, $E$9)</f>
        <v>12.2949</v>
      </c>
      <c r="M753" s="11">
        <f>12.2991 * CHOOSE(CONTROL!$C$32, $C$9, 100%, $E$9)</f>
        <v>12.299099999999999</v>
      </c>
      <c r="N753" s="11">
        <f>12.2949 * CHOOSE(CONTROL!$C$32, $C$9, 100%, $E$9)</f>
        <v>12.2949</v>
      </c>
      <c r="O753" s="11">
        <f>12.2991 * CHOOSE(CONTROL!$C$32, $C$9, 100%, $E$9)</f>
        <v>12.299099999999999</v>
      </c>
    </row>
    <row r="754" spans="1:15" ht="15" x14ac:dyDescent="0.2">
      <c r="A754" s="13">
        <v>63798</v>
      </c>
      <c r="B754" s="9">
        <f>11.0226 * CHOOSE(CONTROL!$C$32, $C$9, 100%, $E$9)</f>
        <v>11.022600000000001</v>
      </c>
      <c r="C754" s="9">
        <f>11.0226 * CHOOSE(CONTROL!$C$32, $C$9, 100%, $E$9)</f>
        <v>11.022600000000001</v>
      </c>
      <c r="D754" s="9">
        <f>11.0238 * CHOOSE(CONTROL!$C$32, $C$9, 100%, $E$9)</f>
        <v>11.0238</v>
      </c>
      <c r="E754" s="11">
        <f>12.2592 * CHOOSE(CONTROL!$C$32, $C$9, 100%, $E$9)</f>
        <v>12.2592</v>
      </c>
      <c r="F754" s="11">
        <f>12.2592 * CHOOSE(CONTROL!$C$32, $C$9, 100%, $E$9)</f>
        <v>12.2592</v>
      </c>
      <c r="G754" s="11">
        <f>12.2634 * CHOOSE(CONTROL!$C$32, $C$9, 100%, $E$9)</f>
        <v>12.263400000000001</v>
      </c>
      <c r="H754" s="11">
        <f>25.6863 * CHOOSE(CONTROL!$C$32, $C$9, 100%, $E$9)</f>
        <v>25.686299999999999</v>
      </c>
      <c r="I754" s="11">
        <f>25.6905 * CHOOSE(CONTROL!$C$32, $C$9, 100%, $E$9)</f>
        <v>25.6905</v>
      </c>
      <c r="J754" s="11">
        <f>25.6863 * CHOOSE(CONTROL!$C$32, $C$9, 100%, $E$9)</f>
        <v>25.686299999999999</v>
      </c>
      <c r="K754" s="11">
        <f>25.6905 * CHOOSE(CONTROL!$C$32, $C$9, 100%, $E$9)</f>
        <v>25.6905</v>
      </c>
      <c r="L754" s="11">
        <f>12.2592 * CHOOSE(CONTROL!$C$32, $C$9, 100%, $E$9)</f>
        <v>12.2592</v>
      </c>
      <c r="M754" s="11">
        <f>12.2634 * CHOOSE(CONTROL!$C$32, $C$9, 100%, $E$9)</f>
        <v>12.263400000000001</v>
      </c>
      <c r="N754" s="11">
        <f>12.2592 * CHOOSE(CONTROL!$C$32, $C$9, 100%, $E$9)</f>
        <v>12.2592</v>
      </c>
      <c r="O754" s="11">
        <f>12.2634 * CHOOSE(CONTROL!$C$32, $C$9, 100%, $E$9)</f>
        <v>12.263400000000001</v>
      </c>
    </row>
    <row r="755" spans="1:15" ht="15" x14ac:dyDescent="0.2">
      <c r="A755" s="13">
        <v>63828</v>
      </c>
      <c r="B755" s="9">
        <f>11.0438 * CHOOSE(CONTROL!$C$32, $C$9, 100%, $E$9)</f>
        <v>11.043799999999999</v>
      </c>
      <c r="C755" s="9">
        <f>11.0438 * CHOOSE(CONTROL!$C$32, $C$9, 100%, $E$9)</f>
        <v>11.043799999999999</v>
      </c>
      <c r="D755" s="9">
        <f>11.0448 * CHOOSE(CONTROL!$C$32, $C$9, 100%, $E$9)</f>
        <v>11.0448</v>
      </c>
      <c r="E755" s="11">
        <f>12.3801 * CHOOSE(CONTROL!$C$32, $C$9, 100%, $E$9)</f>
        <v>12.380100000000001</v>
      </c>
      <c r="F755" s="11">
        <f>12.3801 * CHOOSE(CONTROL!$C$32, $C$9, 100%, $E$9)</f>
        <v>12.380100000000001</v>
      </c>
      <c r="G755" s="11">
        <f>12.3833 * CHOOSE(CONTROL!$C$32, $C$9, 100%, $E$9)</f>
        <v>12.3833</v>
      </c>
      <c r="H755" s="11">
        <f>25.7398 * CHOOSE(CONTROL!$C$32, $C$9, 100%, $E$9)</f>
        <v>25.739799999999999</v>
      </c>
      <c r="I755" s="11">
        <f>25.7431 * CHOOSE(CONTROL!$C$32, $C$9, 100%, $E$9)</f>
        <v>25.743099999999998</v>
      </c>
      <c r="J755" s="11">
        <f>25.7398 * CHOOSE(CONTROL!$C$32, $C$9, 100%, $E$9)</f>
        <v>25.739799999999999</v>
      </c>
      <c r="K755" s="11">
        <f>25.7431 * CHOOSE(CONTROL!$C$32, $C$9, 100%, $E$9)</f>
        <v>25.743099999999998</v>
      </c>
      <c r="L755" s="11">
        <f>12.3801 * CHOOSE(CONTROL!$C$32, $C$9, 100%, $E$9)</f>
        <v>12.380100000000001</v>
      </c>
      <c r="M755" s="11">
        <f>12.3833 * CHOOSE(CONTROL!$C$32, $C$9, 100%, $E$9)</f>
        <v>12.3833</v>
      </c>
      <c r="N755" s="11">
        <f>12.3801 * CHOOSE(CONTROL!$C$32, $C$9, 100%, $E$9)</f>
        <v>12.380100000000001</v>
      </c>
      <c r="O755" s="11">
        <f>12.3833 * CHOOSE(CONTROL!$C$32, $C$9, 100%, $E$9)</f>
        <v>12.3833</v>
      </c>
    </row>
    <row r="756" spans="1:15" ht="15" x14ac:dyDescent="0.2">
      <c r="A756" s="13">
        <v>63859</v>
      </c>
      <c r="B756" s="9">
        <f>11.0469 * CHOOSE(CONTROL!$C$32, $C$9, 100%, $E$9)</f>
        <v>11.046900000000001</v>
      </c>
      <c r="C756" s="9">
        <f>11.0469 * CHOOSE(CONTROL!$C$32, $C$9, 100%, $E$9)</f>
        <v>11.046900000000001</v>
      </c>
      <c r="D756" s="9">
        <f>11.0478 * CHOOSE(CONTROL!$C$32, $C$9, 100%, $E$9)</f>
        <v>11.047800000000001</v>
      </c>
      <c r="E756" s="11">
        <f>12.4493 * CHOOSE(CONTROL!$C$32, $C$9, 100%, $E$9)</f>
        <v>12.449299999999999</v>
      </c>
      <c r="F756" s="11">
        <f>12.4493 * CHOOSE(CONTROL!$C$32, $C$9, 100%, $E$9)</f>
        <v>12.449299999999999</v>
      </c>
      <c r="G756" s="11">
        <f>12.4526 * CHOOSE(CONTROL!$C$32, $C$9, 100%, $E$9)</f>
        <v>12.4526</v>
      </c>
      <c r="H756" s="11">
        <f>25.7934 * CHOOSE(CONTROL!$C$32, $C$9, 100%, $E$9)</f>
        <v>25.793399999999998</v>
      </c>
      <c r="I756" s="11">
        <f>25.7967 * CHOOSE(CONTROL!$C$32, $C$9, 100%, $E$9)</f>
        <v>25.796700000000001</v>
      </c>
      <c r="J756" s="11">
        <f>25.7934 * CHOOSE(CONTROL!$C$32, $C$9, 100%, $E$9)</f>
        <v>25.793399999999998</v>
      </c>
      <c r="K756" s="11">
        <f>25.7967 * CHOOSE(CONTROL!$C$32, $C$9, 100%, $E$9)</f>
        <v>25.796700000000001</v>
      </c>
      <c r="L756" s="11">
        <f>12.4493 * CHOOSE(CONTROL!$C$32, $C$9, 100%, $E$9)</f>
        <v>12.449299999999999</v>
      </c>
      <c r="M756" s="11">
        <f>12.4526 * CHOOSE(CONTROL!$C$32, $C$9, 100%, $E$9)</f>
        <v>12.4526</v>
      </c>
      <c r="N756" s="11">
        <f>12.4493 * CHOOSE(CONTROL!$C$32, $C$9, 100%, $E$9)</f>
        <v>12.449299999999999</v>
      </c>
      <c r="O756" s="11">
        <f>12.4526 * CHOOSE(CONTROL!$C$32, $C$9, 100%, $E$9)</f>
        <v>12.4526</v>
      </c>
    </row>
    <row r="757" spans="1:15" ht="15" x14ac:dyDescent="0.2">
      <c r="A757" s="13">
        <v>63889</v>
      </c>
      <c r="B757" s="9">
        <f>11.0469 * CHOOSE(CONTROL!$C$32, $C$9, 100%, $E$9)</f>
        <v>11.046900000000001</v>
      </c>
      <c r="C757" s="9">
        <f>11.0469 * CHOOSE(CONTROL!$C$32, $C$9, 100%, $E$9)</f>
        <v>11.046900000000001</v>
      </c>
      <c r="D757" s="9">
        <f>11.0478 * CHOOSE(CONTROL!$C$32, $C$9, 100%, $E$9)</f>
        <v>11.047800000000001</v>
      </c>
      <c r="E757" s="11">
        <f>12.2815 * CHOOSE(CONTROL!$C$32, $C$9, 100%, $E$9)</f>
        <v>12.281499999999999</v>
      </c>
      <c r="F757" s="11">
        <f>12.2815 * CHOOSE(CONTROL!$C$32, $C$9, 100%, $E$9)</f>
        <v>12.281499999999999</v>
      </c>
      <c r="G757" s="11">
        <f>12.2847 * CHOOSE(CONTROL!$C$32, $C$9, 100%, $E$9)</f>
        <v>12.284700000000001</v>
      </c>
      <c r="H757" s="11">
        <f>25.8472 * CHOOSE(CONTROL!$C$32, $C$9, 100%, $E$9)</f>
        <v>25.847200000000001</v>
      </c>
      <c r="I757" s="11">
        <f>25.8504 * CHOOSE(CONTROL!$C$32, $C$9, 100%, $E$9)</f>
        <v>25.8504</v>
      </c>
      <c r="J757" s="11">
        <f>25.8472 * CHOOSE(CONTROL!$C$32, $C$9, 100%, $E$9)</f>
        <v>25.847200000000001</v>
      </c>
      <c r="K757" s="11">
        <f>25.8504 * CHOOSE(CONTROL!$C$32, $C$9, 100%, $E$9)</f>
        <v>25.8504</v>
      </c>
      <c r="L757" s="11">
        <f>12.2815 * CHOOSE(CONTROL!$C$32, $C$9, 100%, $E$9)</f>
        <v>12.281499999999999</v>
      </c>
      <c r="M757" s="11">
        <f>12.2847 * CHOOSE(CONTROL!$C$32, $C$9, 100%, $E$9)</f>
        <v>12.284700000000001</v>
      </c>
      <c r="N757" s="11">
        <f>12.2815 * CHOOSE(CONTROL!$C$32, $C$9, 100%, $E$9)</f>
        <v>12.281499999999999</v>
      </c>
      <c r="O757" s="11">
        <f>12.2847 * CHOOSE(CONTROL!$C$32, $C$9, 100%, $E$9)</f>
        <v>12.284700000000001</v>
      </c>
    </row>
    <row r="758" spans="1:15" ht="15" x14ac:dyDescent="0.2">
      <c r="A758" s="13">
        <v>63920</v>
      </c>
      <c r="B758" s="9">
        <f>11.0679 * CHOOSE(CONTROL!$C$32, $C$9, 100%, $E$9)</f>
        <v>11.0679</v>
      </c>
      <c r="C758" s="9">
        <f>11.0679 * CHOOSE(CONTROL!$C$32, $C$9, 100%, $E$9)</f>
        <v>11.0679</v>
      </c>
      <c r="D758" s="9">
        <f>11.0688 * CHOOSE(CONTROL!$C$32, $C$9, 100%, $E$9)</f>
        <v>11.0688</v>
      </c>
      <c r="E758" s="11">
        <f>12.433 * CHOOSE(CONTROL!$C$32, $C$9, 100%, $E$9)</f>
        <v>12.433</v>
      </c>
      <c r="F758" s="11">
        <f>12.433 * CHOOSE(CONTROL!$C$32, $C$9, 100%, $E$9)</f>
        <v>12.433</v>
      </c>
      <c r="G758" s="11">
        <f>12.4363 * CHOOSE(CONTROL!$C$32, $C$9, 100%, $E$9)</f>
        <v>12.436299999999999</v>
      </c>
      <c r="H758" s="11">
        <f>25.734 * CHOOSE(CONTROL!$C$32, $C$9, 100%, $E$9)</f>
        <v>25.734000000000002</v>
      </c>
      <c r="I758" s="11">
        <f>25.7372 * CHOOSE(CONTROL!$C$32, $C$9, 100%, $E$9)</f>
        <v>25.737200000000001</v>
      </c>
      <c r="J758" s="11">
        <f>25.734 * CHOOSE(CONTROL!$C$32, $C$9, 100%, $E$9)</f>
        <v>25.734000000000002</v>
      </c>
      <c r="K758" s="11">
        <f>25.7372 * CHOOSE(CONTROL!$C$32, $C$9, 100%, $E$9)</f>
        <v>25.737200000000001</v>
      </c>
      <c r="L758" s="11">
        <f>12.433 * CHOOSE(CONTROL!$C$32, $C$9, 100%, $E$9)</f>
        <v>12.433</v>
      </c>
      <c r="M758" s="11">
        <f>12.4363 * CHOOSE(CONTROL!$C$32, $C$9, 100%, $E$9)</f>
        <v>12.436299999999999</v>
      </c>
      <c r="N758" s="11">
        <f>12.433 * CHOOSE(CONTROL!$C$32, $C$9, 100%, $E$9)</f>
        <v>12.433</v>
      </c>
      <c r="O758" s="11">
        <f>12.4363 * CHOOSE(CONTROL!$C$32, $C$9, 100%, $E$9)</f>
        <v>12.436299999999999</v>
      </c>
    </row>
    <row r="759" spans="1:15" ht="15" x14ac:dyDescent="0.2">
      <c r="A759" s="13">
        <v>63951</v>
      </c>
      <c r="B759" s="9">
        <f>11.0648 * CHOOSE(CONTROL!$C$32, $C$9, 100%, $E$9)</f>
        <v>11.0648</v>
      </c>
      <c r="C759" s="9">
        <f>11.0648 * CHOOSE(CONTROL!$C$32, $C$9, 100%, $E$9)</f>
        <v>11.0648</v>
      </c>
      <c r="D759" s="9">
        <f>11.0658 * CHOOSE(CONTROL!$C$32, $C$9, 100%, $E$9)</f>
        <v>11.065799999999999</v>
      </c>
      <c r="E759" s="11">
        <f>12.1066 * CHOOSE(CONTROL!$C$32, $C$9, 100%, $E$9)</f>
        <v>12.1066</v>
      </c>
      <c r="F759" s="11">
        <f>12.1066 * CHOOSE(CONTROL!$C$32, $C$9, 100%, $E$9)</f>
        <v>12.1066</v>
      </c>
      <c r="G759" s="11">
        <f>12.1098 * CHOOSE(CONTROL!$C$32, $C$9, 100%, $E$9)</f>
        <v>12.1098</v>
      </c>
      <c r="H759" s="11">
        <f>25.7876 * CHOOSE(CONTROL!$C$32, $C$9, 100%, $E$9)</f>
        <v>25.787600000000001</v>
      </c>
      <c r="I759" s="11">
        <f>25.7908 * CHOOSE(CONTROL!$C$32, $C$9, 100%, $E$9)</f>
        <v>25.790800000000001</v>
      </c>
      <c r="J759" s="11">
        <f>25.7876 * CHOOSE(CONTROL!$C$32, $C$9, 100%, $E$9)</f>
        <v>25.787600000000001</v>
      </c>
      <c r="K759" s="11">
        <f>25.7908 * CHOOSE(CONTROL!$C$32, $C$9, 100%, $E$9)</f>
        <v>25.790800000000001</v>
      </c>
      <c r="L759" s="11">
        <f>12.1066 * CHOOSE(CONTROL!$C$32, $C$9, 100%, $E$9)</f>
        <v>12.1066</v>
      </c>
      <c r="M759" s="11">
        <f>12.1098 * CHOOSE(CONTROL!$C$32, $C$9, 100%, $E$9)</f>
        <v>12.1098</v>
      </c>
      <c r="N759" s="11">
        <f>12.1066 * CHOOSE(CONTROL!$C$32, $C$9, 100%, $E$9)</f>
        <v>12.1066</v>
      </c>
      <c r="O759" s="11">
        <f>12.1098 * CHOOSE(CONTROL!$C$32, $C$9, 100%, $E$9)</f>
        <v>12.1098</v>
      </c>
    </row>
    <row r="760" spans="1:15" ht="15" x14ac:dyDescent="0.2">
      <c r="A760" s="13">
        <v>63979</v>
      </c>
      <c r="B760" s="9">
        <f>11.0618 * CHOOSE(CONTROL!$C$32, $C$9, 100%, $E$9)</f>
        <v>11.0618</v>
      </c>
      <c r="C760" s="9">
        <f>11.0618 * CHOOSE(CONTROL!$C$32, $C$9, 100%, $E$9)</f>
        <v>11.0618</v>
      </c>
      <c r="D760" s="9">
        <f>11.0627 * CHOOSE(CONTROL!$C$32, $C$9, 100%, $E$9)</f>
        <v>11.0627</v>
      </c>
      <c r="E760" s="11">
        <f>12.3602 * CHOOSE(CONTROL!$C$32, $C$9, 100%, $E$9)</f>
        <v>12.360200000000001</v>
      </c>
      <c r="F760" s="11">
        <f>12.3602 * CHOOSE(CONTROL!$C$32, $C$9, 100%, $E$9)</f>
        <v>12.360200000000001</v>
      </c>
      <c r="G760" s="11">
        <f>12.3634 * CHOOSE(CONTROL!$C$32, $C$9, 100%, $E$9)</f>
        <v>12.3634</v>
      </c>
      <c r="H760" s="11">
        <f>25.8413 * CHOOSE(CONTROL!$C$32, $C$9, 100%, $E$9)</f>
        <v>25.8413</v>
      </c>
      <c r="I760" s="11">
        <f>25.8446 * CHOOSE(CONTROL!$C$32, $C$9, 100%, $E$9)</f>
        <v>25.8446</v>
      </c>
      <c r="J760" s="11">
        <f>25.8413 * CHOOSE(CONTROL!$C$32, $C$9, 100%, $E$9)</f>
        <v>25.8413</v>
      </c>
      <c r="K760" s="11">
        <f>25.8446 * CHOOSE(CONTROL!$C$32, $C$9, 100%, $E$9)</f>
        <v>25.8446</v>
      </c>
      <c r="L760" s="11">
        <f>12.3602 * CHOOSE(CONTROL!$C$32, $C$9, 100%, $E$9)</f>
        <v>12.360200000000001</v>
      </c>
      <c r="M760" s="11">
        <f>12.3634 * CHOOSE(CONTROL!$C$32, $C$9, 100%, $E$9)</f>
        <v>12.3634</v>
      </c>
      <c r="N760" s="11">
        <f>12.3602 * CHOOSE(CONTROL!$C$32, $C$9, 100%, $E$9)</f>
        <v>12.360200000000001</v>
      </c>
      <c r="O760" s="11">
        <f>12.3634 * CHOOSE(CONTROL!$C$32, $C$9, 100%, $E$9)</f>
        <v>12.3634</v>
      </c>
    </row>
    <row r="761" spans="1:15" ht="15" x14ac:dyDescent="0.2">
      <c r="A761" s="13">
        <v>64010</v>
      </c>
      <c r="B761" s="9">
        <f>11.0663 * CHOOSE(CONTROL!$C$32, $C$9, 100%, $E$9)</f>
        <v>11.0663</v>
      </c>
      <c r="C761" s="9">
        <f>11.0663 * CHOOSE(CONTROL!$C$32, $C$9, 100%, $E$9)</f>
        <v>11.0663</v>
      </c>
      <c r="D761" s="9">
        <f>11.0672 * CHOOSE(CONTROL!$C$32, $C$9, 100%, $E$9)</f>
        <v>11.0672</v>
      </c>
      <c r="E761" s="11">
        <f>12.6305 * CHOOSE(CONTROL!$C$32, $C$9, 100%, $E$9)</f>
        <v>12.6305</v>
      </c>
      <c r="F761" s="11">
        <f>12.6305 * CHOOSE(CONTROL!$C$32, $C$9, 100%, $E$9)</f>
        <v>12.6305</v>
      </c>
      <c r="G761" s="11">
        <f>12.6337 * CHOOSE(CONTROL!$C$32, $C$9, 100%, $E$9)</f>
        <v>12.633699999999999</v>
      </c>
      <c r="H761" s="11">
        <f>25.8952 * CHOOSE(CONTROL!$C$32, $C$9, 100%, $E$9)</f>
        <v>25.895199999999999</v>
      </c>
      <c r="I761" s="11">
        <f>25.8984 * CHOOSE(CONTROL!$C$32, $C$9, 100%, $E$9)</f>
        <v>25.898399999999999</v>
      </c>
      <c r="J761" s="11">
        <f>25.8952 * CHOOSE(CONTROL!$C$32, $C$9, 100%, $E$9)</f>
        <v>25.895199999999999</v>
      </c>
      <c r="K761" s="11">
        <f>25.8984 * CHOOSE(CONTROL!$C$32, $C$9, 100%, $E$9)</f>
        <v>25.898399999999999</v>
      </c>
      <c r="L761" s="11">
        <f>12.6305 * CHOOSE(CONTROL!$C$32, $C$9, 100%, $E$9)</f>
        <v>12.6305</v>
      </c>
      <c r="M761" s="11">
        <f>12.6337 * CHOOSE(CONTROL!$C$32, $C$9, 100%, $E$9)</f>
        <v>12.633699999999999</v>
      </c>
      <c r="N761" s="11">
        <f>12.6305 * CHOOSE(CONTROL!$C$32, $C$9, 100%, $E$9)</f>
        <v>12.6305</v>
      </c>
      <c r="O761" s="11">
        <f>12.6337 * CHOOSE(CONTROL!$C$32, $C$9, 100%, $E$9)</f>
        <v>12.633699999999999</v>
      </c>
    </row>
    <row r="762" spans="1:15" ht="15" x14ac:dyDescent="0.2">
      <c r="A762" s="13">
        <v>64040</v>
      </c>
      <c r="B762" s="9">
        <f>11.0663 * CHOOSE(CONTROL!$C$32, $C$9, 100%, $E$9)</f>
        <v>11.0663</v>
      </c>
      <c r="C762" s="9">
        <f>11.0663 * CHOOSE(CONTROL!$C$32, $C$9, 100%, $E$9)</f>
        <v>11.0663</v>
      </c>
      <c r="D762" s="9">
        <f>11.0675 * CHOOSE(CONTROL!$C$32, $C$9, 100%, $E$9)</f>
        <v>11.067500000000001</v>
      </c>
      <c r="E762" s="11">
        <f>12.7335 * CHOOSE(CONTROL!$C$32, $C$9, 100%, $E$9)</f>
        <v>12.733499999999999</v>
      </c>
      <c r="F762" s="11">
        <f>12.7335 * CHOOSE(CONTROL!$C$32, $C$9, 100%, $E$9)</f>
        <v>12.733499999999999</v>
      </c>
      <c r="G762" s="11">
        <f>12.7377 * CHOOSE(CONTROL!$C$32, $C$9, 100%, $E$9)</f>
        <v>12.7377</v>
      </c>
      <c r="H762" s="11">
        <f>25.9491 * CHOOSE(CONTROL!$C$32, $C$9, 100%, $E$9)</f>
        <v>25.949100000000001</v>
      </c>
      <c r="I762" s="11">
        <f>25.9533 * CHOOSE(CONTROL!$C$32, $C$9, 100%, $E$9)</f>
        <v>25.953299999999999</v>
      </c>
      <c r="J762" s="11">
        <f>25.9491 * CHOOSE(CONTROL!$C$32, $C$9, 100%, $E$9)</f>
        <v>25.949100000000001</v>
      </c>
      <c r="K762" s="11">
        <f>25.9533 * CHOOSE(CONTROL!$C$32, $C$9, 100%, $E$9)</f>
        <v>25.953299999999999</v>
      </c>
      <c r="L762" s="11">
        <f>12.7335 * CHOOSE(CONTROL!$C$32, $C$9, 100%, $E$9)</f>
        <v>12.733499999999999</v>
      </c>
      <c r="M762" s="11">
        <f>12.7377 * CHOOSE(CONTROL!$C$32, $C$9, 100%, $E$9)</f>
        <v>12.7377</v>
      </c>
      <c r="N762" s="11">
        <f>12.7335 * CHOOSE(CONTROL!$C$32, $C$9, 100%, $E$9)</f>
        <v>12.733499999999999</v>
      </c>
      <c r="O762" s="11">
        <f>12.7377 * CHOOSE(CONTROL!$C$32, $C$9, 100%, $E$9)</f>
        <v>12.7377</v>
      </c>
    </row>
    <row r="763" spans="1:15" ht="15" x14ac:dyDescent="0.2">
      <c r="A763" s="13">
        <v>64071</v>
      </c>
      <c r="B763" s="9">
        <f>11.0724 * CHOOSE(CONTROL!$C$32, $C$9, 100%, $E$9)</f>
        <v>11.0724</v>
      </c>
      <c r="C763" s="9">
        <f>11.0724 * CHOOSE(CONTROL!$C$32, $C$9, 100%, $E$9)</f>
        <v>11.0724</v>
      </c>
      <c r="D763" s="9">
        <f>11.0736 * CHOOSE(CONTROL!$C$32, $C$9, 100%, $E$9)</f>
        <v>11.073600000000001</v>
      </c>
      <c r="E763" s="11">
        <f>12.6347 * CHOOSE(CONTROL!$C$32, $C$9, 100%, $E$9)</f>
        <v>12.6347</v>
      </c>
      <c r="F763" s="11">
        <f>12.6347 * CHOOSE(CONTROL!$C$32, $C$9, 100%, $E$9)</f>
        <v>12.6347</v>
      </c>
      <c r="G763" s="11">
        <f>12.6389 * CHOOSE(CONTROL!$C$32, $C$9, 100%, $E$9)</f>
        <v>12.6389</v>
      </c>
      <c r="H763" s="11">
        <f>26.0032 * CHOOSE(CONTROL!$C$32, $C$9, 100%, $E$9)</f>
        <v>26.0032</v>
      </c>
      <c r="I763" s="11">
        <f>26.0074 * CHOOSE(CONTROL!$C$32, $C$9, 100%, $E$9)</f>
        <v>26.007400000000001</v>
      </c>
      <c r="J763" s="11">
        <f>26.0032 * CHOOSE(CONTROL!$C$32, $C$9, 100%, $E$9)</f>
        <v>26.0032</v>
      </c>
      <c r="K763" s="11">
        <f>26.0074 * CHOOSE(CONTROL!$C$32, $C$9, 100%, $E$9)</f>
        <v>26.007400000000001</v>
      </c>
      <c r="L763" s="11">
        <f>12.6347 * CHOOSE(CONTROL!$C$32, $C$9, 100%, $E$9)</f>
        <v>12.6347</v>
      </c>
      <c r="M763" s="11">
        <f>12.6389 * CHOOSE(CONTROL!$C$32, $C$9, 100%, $E$9)</f>
        <v>12.6389</v>
      </c>
      <c r="N763" s="11">
        <f>12.6347 * CHOOSE(CONTROL!$C$32, $C$9, 100%, $E$9)</f>
        <v>12.6347</v>
      </c>
      <c r="O763" s="11">
        <f>12.6389 * CHOOSE(CONTROL!$C$32, $C$9, 100%, $E$9)</f>
        <v>12.6389</v>
      </c>
    </row>
    <row r="764" spans="1:15" ht="15" x14ac:dyDescent="0.2">
      <c r="A764" s="13">
        <v>64101</v>
      </c>
      <c r="B764" s="9">
        <f>11.2085 * CHOOSE(CONTROL!$C$32, $C$9, 100%, $E$9)</f>
        <v>11.208500000000001</v>
      </c>
      <c r="C764" s="9">
        <f>11.2085 * CHOOSE(CONTROL!$C$32, $C$9, 100%, $E$9)</f>
        <v>11.208500000000001</v>
      </c>
      <c r="D764" s="9">
        <f>11.2098 * CHOOSE(CONTROL!$C$32, $C$9, 100%, $E$9)</f>
        <v>11.2098</v>
      </c>
      <c r="E764" s="11">
        <f>12.8126 * CHOOSE(CONTROL!$C$32, $C$9, 100%, $E$9)</f>
        <v>12.8126</v>
      </c>
      <c r="F764" s="11">
        <f>12.8126 * CHOOSE(CONTROL!$C$32, $C$9, 100%, $E$9)</f>
        <v>12.8126</v>
      </c>
      <c r="G764" s="11">
        <f>12.8168 * CHOOSE(CONTROL!$C$32, $C$9, 100%, $E$9)</f>
        <v>12.816800000000001</v>
      </c>
      <c r="H764" s="11">
        <f>26.0574 * CHOOSE(CONTROL!$C$32, $C$9, 100%, $E$9)</f>
        <v>26.057400000000001</v>
      </c>
      <c r="I764" s="11">
        <f>26.0616 * CHOOSE(CONTROL!$C$32, $C$9, 100%, $E$9)</f>
        <v>26.061599999999999</v>
      </c>
      <c r="J764" s="11">
        <f>26.0574 * CHOOSE(CONTROL!$C$32, $C$9, 100%, $E$9)</f>
        <v>26.057400000000001</v>
      </c>
      <c r="K764" s="11">
        <f>26.0616 * CHOOSE(CONTROL!$C$32, $C$9, 100%, $E$9)</f>
        <v>26.061599999999999</v>
      </c>
      <c r="L764" s="11">
        <f>12.8126 * CHOOSE(CONTROL!$C$32, $C$9, 100%, $E$9)</f>
        <v>12.8126</v>
      </c>
      <c r="M764" s="11">
        <f>12.8168 * CHOOSE(CONTROL!$C$32, $C$9, 100%, $E$9)</f>
        <v>12.816800000000001</v>
      </c>
      <c r="N764" s="11">
        <f>12.8126 * CHOOSE(CONTROL!$C$32, $C$9, 100%, $E$9)</f>
        <v>12.8126</v>
      </c>
      <c r="O764" s="11">
        <f>12.8168 * CHOOSE(CONTROL!$C$32, $C$9, 100%, $E$9)</f>
        <v>12.816800000000001</v>
      </c>
    </row>
    <row r="765" spans="1:15" ht="15" x14ac:dyDescent="0.2">
      <c r="A765" s="13">
        <v>64132</v>
      </c>
      <c r="B765" s="9">
        <f>11.2152 * CHOOSE(CONTROL!$C$32, $C$9, 100%, $E$9)</f>
        <v>11.215199999999999</v>
      </c>
      <c r="C765" s="9">
        <f>11.2152 * CHOOSE(CONTROL!$C$32, $C$9, 100%, $E$9)</f>
        <v>11.215199999999999</v>
      </c>
      <c r="D765" s="9">
        <f>11.2164 * CHOOSE(CONTROL!$C$32, $C$9, 100%, $E$9)</f>
        <v>11.2164</v>
      </c>
      <c r="E765" s="11">
        <f>12.5083 * CHOOSE(CONTROL!$C$32, $C$9, 100%, $E$9)</f>
        <v>12.5083</v>
      </c>
      <c r="F765" s="11">
        <f>12.5083 * CHOOSE(CONTROL!$C$32, $C$9, 100%, $E$9)</f>
        <v>12.5083</v>
      </c>
      <c r="G765" s="11">
        <f>12.5125 * CHOOSE(CONTROL!$C$32, $C$9, 100%, $E$9)</f>
        <v>12.512499999999999</v>
      </c>
      <c r="H765" s="11">
        <f>26.1116 * CHOOSE(CONTROL!$C$32, $C$9, 100%, $E$9)</f>
        <v>26.111599999999999</v>
      </c>
      <c r="I765" s="11">
        <f>26.1158 * CHOOSE(CONTROL!$C$32, $C$9, 100%, $E$9)</f>
        <v>26.1158</v>
      </c>
      <c r="J765" s="11">
        <f>26.1116 * CHOOSE(CONTROL!$C$32, $C$9, 100%, $E$9)</f>
        <v>26.111599999999999</v>
      </c>
      <c r="K765" s="11">
        <f>26.1158 * CHOOSE(CONTROL!$C$32, $C$9, 100%, $E$9)</f>
        <v>26.1158</v>
      </c>
      <c r="L765" s="11">
        <f>12.5083 * CHOOSE(CONTROL!$C$32, $C$9, 100%, $E$9)</f>
        <v>12.5083</v>
      </c>
      <c r="M765" s="11">
        <f>12.5125 * CHOOSE(CONTROL!$C$32, $C$9, 100%, $E$9)</f>
        <v>12.512499999999999</v>
      </c>
      <c r="N765" s="11">
        <f>12.5083 * CHOOSE(CONTROL!$C$32, $C$9, 100%, $E$9)</f>
        <v>12.5083</v>
      </c>
      <c r="O765" s="11">
        <f>12.5125 * CHOOSE(CONTROL!$C$32, $C$9, 100%, $E$9)</f>
        <v>12.512499999999999</v>
      </c>
    </row>
    <row r="766" spans="1:15" ht="15" x14ac:dyDescent="0.2">
      <c r="A766" s="13">
        <v>64163</v>
      </c>
      <c r="B766" s="9">
        <f>11.2122 * CHOOSE(CONTROL!$C$32, $C$9, 100%, $E$9)</f>
        <v>11.212199999999999</v>
      </c>
      <c r="C766" s="9">
        <f>11.2122 * CHOOSE(CONTROL!$C$32, $C$9, 100%, $E$9)</f>
        <v>11.212199999999999</v>
      </c>
      <c r="D766" s="9">
        <f>11.2134 * CHOOSE(CONTROL!$C$32, $C$9, 100%, $E$9)</f>
        <v>11.2134</v>
      </c>
      <c r="E766" s="11">
        <f>12.4719 * CHOOSE(CONTROL!$C$32, $C$9, 100%, $E$9)</f>
        <v>12.4719</v>
      </c>
      <c r="F766" s="11">
        <f>12.4719 * CHOOSE(CONTROL!$C$32, $C$9, 100%, $E$9)</f>
        <v>12.4719</v>
      </c>
      <c r="G766" s="11">
        <f>12.4761 * CHOOSE(CONTROL!$C$32, $C$9, 100%, $E$9)</f>
        <v>12.476100000000001</v>
      </c>
      <c r="H766" s="11">
        <f>26.166 * CHOOSE(CONTROL!$C$32, $C$9, 100%, $E$9)</f>
        <v>26.166</v>
      </c>
      <c r="I766" s="11">
        <f>26.1702 * CHOOSE(CONTROL!$C$32, $C$9, 100%, $E$9)</f>
        <v>26.170200000000001</v>
      </c>
      <c r="J766" s="11">
        <f>26.166 * CHOOSE(CONTROL!$C$32, $C$9, 100%, $E$9)</f>
        <v>26.166</v>
      </c>
      <c r="K766" s="11">
        <f>26.1702 * CHOOSE(CONTROL!$C$32, $C$9, 100%, $E$9)</f>
        <v>26.170200000000001</v>
      </c>
      <c r="L766" s="11">
        <f>12.4719 * CHOOSE(CONTROL!$C$32, $C$9, 100%, $E$9)</f>
        <v>12.4719</v>
      </c>
      <c r="M766" s="11">
        <f>12.4761 * CHOOSE(CONTROL!$C$32, $C$9, 100%, $E$9)</f>
        <v>12.476100000000001</v>
      </c>
      <c r="N766" s="11">
        <f>12.4719 * CHOOSE(CONTROL!$C$32, $C$9, 100%, $E$9)</f>
        <v>12.4719</v>
      </c>
      <c r="O766" s="11">
        <f>12.4761 * CHOOSE(CONTROL!$C$32, $C$9, 100%, $E$9)</f>
        <v>12.476100000000001</v>
      </c>
    </row>
    <row r="767" spans="1:15" ht="15" x14ac:dyDescent="0.2">
      <c r="A767" s="13">
        <v>64193</v>
      </c>
      <c r="B767" s="9">
        <f>11.2342 * CHOOSE(CONTROL!$C$32, $C$9, 100%, $E$9)</f>
        <v>11.2342</v>
      </c>
      <c r="C767" s="9">
        <f>11.2342 * CHOOSE(CONTROL!$C$32, $C$9, 100%, $E$9)</f>
        <v>11.2342</v>
      </c>
      <c r="D767" s="9">
        <f>11.2351 * CHOOSE(CONTROL!$C$32, $C$9, 100%, $E$9)</f>
        <v>11.235099999999999</v>
      </c>
      <c r="E767" s="11">
        <f>12.5958 * CHOOSE(CONTROL!$C$32, $C$9, 100%, $E$9)</f>
        <v>12.595800000000001</v>
      </c>
      <c r="F767" s="11">
        <f>12.5958 * CHOOSE(CONTROL!$C$32, $C$9, 100%, $E$9)</f>
        <v>12.595800000000001</v>
      </c>
      <c r="G767" s="11">
        <f>12.599 * CHOOSE(CONTROL!$C$32, $C$9, 100%, $E$9)</f>
        <v>12.599</v>
      </c>
      <c r="H767" s="11">
        <f>26.2206 * CHOOSE(CONTROL!$C$32, $C$9, 100%, $E$9)</f>
        <v>26.220600000000001</v>
      </c>
      <c r="I767" s="11">
        <f>26.2238 * CHOOSE(CONTROL!$C$32, $C$9, 100%, $E$9)</f>
        <v>26.223800000000001</v>
      </c>
      <c r="J767" s="11">
        <f>26.2206 * CHOOSE(CONTROL!$C$32, $C$9, 100%, $E$9)</f>
        <v>26.220600000000001</v>
      </c>
      <c r="K767" s="11">
        <f>26.2238 * CHOOSE(CONTROL!$C$32, $C$9, 100%, $E$9)</f>
        <v>26.223800000000001</v>
      </c>
      <c r="L767" s="11">
        <f>12.5958 * CHOOSE(CONTROL!$C$32, $C$9, 100%, $E$9)</f>
        <v>12.595800000000001</v>
      </c>
      <c r="M767" s="11">
        <f>12.599 * CHOOSE(CONTROL!$C$32, $C$9, 100%, $E$9)</f>
        <v>12.599</v>
      </c>
      <c r="N767" s="11">
        <f>12.5958 * CHOOSE(CONTROL!$C$32, $C$9, 100%, $E$9)</f>
        <v>12.595800000000001</v>
      </c>
      <c r="O767" s="11">
        <f>12.599 * CHOOSE(CONTROL!$C$32, $C$9, 100%, $E$9)</f>
        <v>12.599</v>
      </c>
    </row>
    <row r="768" spans="1:15" ht="15" x14ac:dyDescent="0.2">
      <c r="A768" s="13">
        <v>64224</v>
      </c>
      <c r="B768" s="9">
        <f>11.2372 * CHOOSE(CONTROL!$C$32, $C$9, 100%, $E$9)</f>
        <v>11.2372</v>
      </c>
      <c r="C768" s="9">
        <f>11.2372 * CHOOSE(CONTROL!$C$32, $C$9, 100%, $E$9)</f>
        <v>11.2372</v>
      </c>
      <c r="D768" s="9">
        <f>11.2381 * CHOOSE(CONTROL!$C$32, $C$9, 100%, $E$9)</f>
        <v>11.238099999999999</v>
      </c>
      <c r="E768" s="11">
        <f>12.6665 * CHOOSE(CONTROL!$C$32, $C$9, 100%, $E$9)</f>
        <v>12.666499999999999</v>
      </c>
      <c r="F768" s="11">
        <f>12.6665 * CHOOSE(CONTROL!$C$32, $C$9, 100%, $E$9)</f>
        <v>12.666499999999999</v>
      </c>
      <c r="G768" s="11">
        <f>12.6698 * CHOOSE(CONTROL!$C$32, $C$9, 100%, $E$9)</f>
        <v>12.6698</v>
      </c>
      <c r="H768" s="11">
        <f>26.2752 * CHOOSE(CONTROL!$C$32, $C$9, 100%, $E$9)</f>
        <v>26.275200000000002</v>
      </c>
      <c r="I768" s="11">
        <f>26.2784 * CHOOSE(CONTROL!$C$32, $C$9, 100%, $E$9)</f>
        <v>26.278400000000001</v>
      </c>
      <c r="J768" s="11">
        <f>26.2752 * CHOOSE(CONTROL!$C$32, $C$9, 100%, $E$9)</f>
        <v>26.275200000000002</v>
      </c>
      <c r="K768" s="11">
        <f>26.2784 * CHOOSE(CONTROL!$C$32, $C$9, 100%, $E$9)</f>
        <v>26.278400000000001</v>
      </c>
      <c r="L768" s="11">
        <f>12.6665 * CHOOSE(CONTROL!$C$32, $C$9, 100%, $E$9)</f>
        <v>12.666499999999999</v>
      </c>
      <c r="M768" s="11">
        <f>12.6698 * CHOOSE(CONTROL!$C$32, $C$9, 100%, $E$9)</f>
        <v>12.6698</v>
      </c>
      <c r="N768" s="11">
        <f>12.6665 * CHOOSE(CONTROL!$C$32, $C$9, 100%, $E$9)</f>
        <v>12.666499999999999</v>
      </c>
      <c r="O768" s="11">
        <f>12.6698 * CHOOSE(CONTROL!$C$32, $C$9, 100%, $E$9)</f>
        <v>12.6698</v>
      </c>
    </row>
    <row r="769" spans="1:15" ht="15" x14ac:dyDescent="0.2">
      <c r="A769" s="13">
        <v>64254</v>
      </c>
      <c r="B769" s="9">
        <f>11.2372 * CHOOSE(CONTROL!$C$32, $C$9, 100%, $E$9)</f>
        <v>11.2372</v>
      </c>
      <c r="C769" s="9">
        <f>11.2372 * CHOOSE(CONTROL!$C$32, $C$9, 100%, $E$9)</f>
        <v>11.2372</v>
      </c>
      <c r="D769" s="9">
        <f>11.2381 * CHOOSE(CONTROL!$C$32, $C$9, 100%, $E$9)</f>
        <v>11.238099999999999</v>
      </c>
      <c r="E769" s="11">
        <f>12.4949 * CHOOSE(CONTROL!$C$32, $C$9, 100%, $E$9)</f>
        <v>12.494899999999999</v>
      </c>
      <c r="F769" s="11">
        <f>12.4949 * CHOOSE(CONTROL!$C$32, $C$9, 100%, $E$9)</f>
        <v>12.494899999999999</v>
      </c>
      <c r="G769" s="11">
        <f>12.4981 * CHOOSE(CONTROL!$C$32, $C$9, 100%, $E$9)</f>
        <v>12.498100000000001</v>
      </c>
      <c r="H769" s="11">
        <f>26.3299 * CHOOSE(CONTROL!$C$32, $C$9, 100%, $E$9)</f>
        <v>26.329899999999999</v>
      </c>
      <c r="I769" s="11">
        <f>26.3331 * CHOOSE(CONTROL!$C$32, $C$9, 100%, $E$9)</f>
        <v>26.333100000000002</v>
      </c>
      <c r="J769" s="11">
        <f>26.3299 * CHOOSE(CONTROL!$C$32, $C$9, 100%, $E$9)</f>
        <v>26.329899999999999</v>
      </c>
      <c r="K769" s="11">
        <f>26.3331 * CHOOSE(CONTROL!$C$32, $C$9, 100%, $E$9)</f>
        <v>26.333100000000002</v>
      </c>
      <c r="L769" s="11">
        <f>12.4949 * CHOOSE(CONTROL!$C$32, $C$9, 100%, $E$9)</f>
        <v>12.494899999999999</v>
      </c>
      <c r="M769" s="11">
        <f>12.4981 * CHOOSE(CONTROL!$C$32, $C$9, 100%, $E$9)</f>
        <v>12.498100000000001</v>
      </c>
      <c r="N769" s="11">
        <f>12.4949 * CHOOSE(CONTROL!$C$32, $C$9, 100%, $E$9)</f>
        <v>12.494899999999999</v>
      </c>
      <c r="O769" s="11">
        <f>12.4981 * CHOOSE(CONTROL!$C$32, $C$9, 100%, $E$9)</f>
        <v>12.498100000000001</v>
      </c>
    </row>
    <row r="770" spans="1:15" ht="15" x14ac:dyDescent="0.2">
      <c r="A770" s="13">
        <v>64285</v>
      </c>
      <c r="B770" s="9">
        <f>11.2552 * CHOOSE(CONTROL!$C$32, $C$9, 100%, $E$9)</f>
        <v>11.2552</v>
      </c>
      <c r="C770" s="9">
        <f>11.2552 * CHOOSE(CONTROL!$C$32, $C$9, 100%, $E$9)</f>
        <v>11.2552</v>
      </c>
      <c r="D770" s="9">
        <f>11.2562 * CHOOSE(CONTROL!$C$32, $C$9, 100%, $E$9)</f>
        <v>11.2562</v>
      </c>
      <c r="E770" s="11">
        <f>12.6455 * CHOOSE(CONTROL!$C$32, $C$9, 100%, $E$9)</f>
        <v>12.6455</v>
      </c>
      <c r="F770" s="11">
        <f>12.6455 * CHOOSE(CONTROL!$C$32, $C$9, 100%, $E$9)</f>
        <v>12.6455</v>
      </c>
      <c r="G770" s="11">
        <f>12.6488 * CHOOSE(CONTROL!$C$32, $C$9, 100%, $E$9)</f>
        <v>12.6488</v>
      </c>
      <c r="H770" s="11">
        <f>26.2058 * CHOOSE(CONTROL!$C$32, $C$9, 100%, $E$9)</f>
        <v>26.2058</v>
      </c>
      <c r="I770" s="11">
        <f>26.209 * CHOOSE(CONTROL!$C$32, $C$9, 100%, $E$9)</f>
        <v>26.209</v>
      </c>
      <c r="J770" s="11">
        <f>26.2058 * CHOOSE(CONTROL!$C$32, $C$9, 100%, $E$9)</f>
        <v>26.2058</v>
      </c>
      <c r="K770" s="11">
        <f>26.209 * CHOOSE(CONTROL!$C$32, $C$9, 100%, $E$9)</f>
        <v>26.209</v>
      </c>
      <c r="L770" s="11">
        <f>12.6455 * CHOOSE(CONTROL!$C$32, $C$9, 100%, $E$9)</f>
        <v>12.6455</v>
      </c>
      <c r="M770" s="11">
        <f>12.6488 * CHOOSE(CONTROL!$C$32, $C$9, 100%, $E$9)</f>
        <v>12.6488</v>
      </c>
      <c r="N770" s="11">
        <f>12.6455 * CHOOSE(CONTROL!$C$32, $C$9, 100%, $E$9)</f>
        <v>12.6455</v>
      </c>
      <c r="O770" s="11">
        <f>12.6488 * CHOOSE(CONTROL!$C$32, $C$9, 100%, $E$9)</f>
        <v>12.6488</v>
      </c>
    </row>
    <row r="771" spans="1:15" ht="15" x14ac:dyDescent="0.2">
      <c r="A771" s="13">
        <v>64316</v>
      </c>
      <c r="B771" s="9">
        <f>11.2522 * CHOOSE(CONTROL!$C$32, $C$9, 100%, $E$9)</f>
        <v>11.2522</v>
      </c>
      <c r="C771" s="9">
        <f>11.2522 * CHOOSE(CONTROL!$C$32, $C$9, 100%, $E$9)</f>
        <v>11.2522</v>
      </c>
      <c r="D771" s="9">
        <f>11.2531 * CHOOSE(CONTROL!$C$32, $C$9, 100%, $E$9)</f>
        <v>11.2531</v>
      </c>
      <c r="E771" s="11">
        <f>12.312 * CHOOSE(CONTROL!$C$32, $C$9, 100%, $E$9)</f>
        <v>12.311999999999999</v>
      </c>
      <c r="F771" s="11">
        <f>12.312 * CHOOSE(CONTROL!$C$32, $C$9, 100%, $E$9)</f>
        <v>12.311999999999999</v>
      </c>
      <c r="G771" s="11">
        <f>12.3152 * CHOOSE(CONTROL!$C$32, $C$9, 100%, $E$9)</f>
        <v>12.315200000000001</v>
      </c>
      <c r="H771" s="11">
        <f>26.2604 * CHOOSE(CONTROL!$C$32, $C$9, 100%, $E$9)</f>
        <v>26.260400000000001</v>
      </c>
      <c r="I771" s="11">
        <f>26.2636 * CHOOSE(CONTROL!$C$32, $C$9, 100%, $E$9)</f>
        <v>26.2636</v>
      </c>
      <c r="J771" s="11">
        <f>26.2604 * CHOOSE(CONTROL!$C$32, $C$9, 100%, $E$9)</f>
        <v>26.260400000000001</v>
      </c>
      <c r="K771" s="11">
        <f>26.2636 * CHOOSE(CONTROL!$C$32, $C$9, 100%, $E$9)</f>
        <v>26.2636</v>
      </c>
      <c r="L771" s="11">
        <f>12.312 * CHOOSE(CONTROL!$C$32, $C$9, 100%, $E$9)</f>
        <v>12.311999999999999</v>
      </c>
      <c r="M771" s="11">
        <f>12.3152 * CHOOSE(CONTROL!$C$32, $C$9, 100%, $E$9)</f>
        <v>12.315200000000001</v>
      </c>
      <c r="N771" s="11">
        <f>12.312 * CHOOSE(CONTROL!$C$32, $C$9, 100%, $E$9)</f>
        <v>12.311999999999999</v>
      </c>
      <c r="O771" s="11">
        <f>12.3152 * CHOOSE(CONTROL!$C$32, $C$9, 100%, $E$9)</f>
        <v>12.315200000000001</v>
      </c>
    </row>
    <row r="772" spans="1:15" ht="15" x14ac:dyDescent="0.2">
      <c r="A772" s="13">
        <v>64345</v>
      </c>
      <c r="B772" s="9">
        <f>11.2491 * CHOOSE(CONTROL!$C$32, $C$9, 100%, $E$9)</f>
        <v>11.2491</v>
      </c>
      <c r="C772" s="9">
        <f>11.2491 * CHOOSE(CONTROL!$C$32, $C$9, 100%, $E$9)</f>
        <v>11.2491</v>
      </c>
      <c r="D772" s="9">
        <f>11.2501 * CHOOSE(CONTROL!$C$32, $C$9, 100%, $E$9)</f>
        <v>11.2501</v>
      </c>
      <c r="E772" s="11">
        <f>12.5712 * CHOOSE(CONTROL!$C$32, $C$9, 100%, $E$9)</f>
        <v>12.571199999999999</v>
      </c>
      <c r="F772" s="11">
        <f>12.5712 * CHOOSE(CONTROL!$C$32, $C$9, 100%, $E$9)</f>
        <v>12.571199999999999</v>
      </c>
      <c r="G772" s="11">
        <f>12.5744 * CHOOSE(CONTROL!$C$32, $C$9, 100%, $E$9)</f>
        <v>12.574400000000001</v>
      </c>
      <c r="H772" s="11">
        <f>26.3151 * CHOOSE(CONTROL!$C$32, $C$9, 100%, $E$9)</f>
        <v>26.315100000000001</v>
      </c>
      <c r="I772" s="11">
        <f>26.3183 * CHOOSE(CONTROL!$C$32, $C$9, 100%, $E$9)</f>
        <v>26.318300000000001</v>
      </c>
      <c r="J772" s="11">
        <f>26.3151 * CHOOSE(CONTROL!$C$32, $C$9, 100%, $E$9)</f>
        <v>26.315100000000001</v>
      </c>
      <c r="K772" s="11">
        <f>26.3183 * CHOOSE(CONTROL!$C$32, $C$9, 100%, $E$9)</f>
        <v>26.318300000000001</v>
      </c>
      <c r="L772" s="11">
        <f>12.5712 * CHOOSE(CONTROL!$C$32, $C$9, 100%, $E$9)</f>
        <v>12.571199999999999</v>
      </c>
      <c r="M772" s="11">
        <f>12.5744 * CHOOSE(CONTROL!$C$32, $C$9, 100%, $E$9)</f>
        <v>12.574400000000001</v>
      </c>
      <c r="N772" s="11">
        <f>12.5712 * CHOOSE(CONTROL!$C$32, $C$9, 100%, $E$9)</f>
        <v>12.571199999999999</v>
      </c>
      <c r="O772" s="11">
        <f>12.5744 * CHOOSE(CONTROL!$C$32, $C$9, 100%, $E$9)</f>
        <v>12.574400000000001</v>
      </c>
    </row>
    <row r="773" spans="1:15" ht="15" x14ac:dyDescent="0.2">
      <c r="A773" s="13">
        <v>64376</v>
      </c>
      <c r="B773" s="9">
        <f>11.2538 * CHOOSE(CONTROL!$C$32, $C$9, 100%, $E$9)</f>
        <v>11.2538</v>
      </c>
      <c r="C773" s="9">
        <f>11.2538 * CHOOSE(CONTROL!$C$32, $C$9, 100%, $E$9)</f>
        <v>11.2538</v>
      </c>
      <c r="D773" s="9">
        <f>11.2548 * CHOOSE(CONTROL!$C$32, $C$9, 100%, $E$9)</f>
        <v>11.254799999999999</v>
      </c>
      <c r="E773" s="11">
        <f>12.8475 * CHOOSE(CONTROL!$C$32, $C$9, 100%, $E$9)</f>
        <v>12.8475</v>
      </c>
      <c r="F773" s="11">
        <f>12.8475 * CHOOSE(CONTROL!$C$32, $C$9, 100%, $E$9)</f>
        <v>12.8475</v>
      </c>
      <c r="G773" s="11">
        <f>12.8507 * CHOOSE(CONTROL!$C$32, $C$9, 100%, $E$9)</f>
        <v>12.8507</v>
      </c>
      <c r="H773" s="11">
        <f>26.3699 * CHOOSE(CONTROL!$C$32, $C$9, 100%, $E$9)</f>
        <v>26.369900000000001</v>
      </c>
      <c r="I773" s="11">
        <f>26.3732 * CHOOSE(CONTROL!$C$32, $C$9, 100%, $E$9)</f>
        <v>26.373200000000001</v>
      </c>
      <c r="J773" s="11">
        <f>26.3699 * CHOOSE(CONTROL!$C$32, $C$9, 100%, $E$9)</f>
        <v>26.369900000000001</v>
      </c>
      <c r="K773" s="11">
        <f>26.3732 * CHOOSE(CONTROL!$C$32, $C$9, 100%, $E$9)</f>
        <v>26.373200000000001</v>
      </c>
      <c r="L773" s="11">
        <f>12.8475 * CHOOSE(CONTROL!$C$32, $C$9, 100%, $E$9)</f>
        <v>12.8475</v>
      </c>
      <c r="M773" s="11">
        <f>12.8507 * CHOOSE(CONTROL!$C$32, $C$9, 100%, $E$9)</f>
        <v>12.8507</v>
      </c>
      <c r="N773" s="11">
        <f>12.8475 * CHOOSE(CONTROL!$C$32, $C$9, 100%, $E$9)</f>
        <v>12.8475</v>
      </c>
      <c r="O773" s="11">
        <f>12.8507 * CHOOSE(CONTROL!$C$32, $C$9, 100%, $E$9)</f>
        <v>12.8507</v>
      </c>
    </row>
    <row r="774" spans="1:15" ht="15" x14ac:dyDescent="0.2">
      <c r="A774" s="13">
        <v>64406</v>
      </c>
      <c r="B774" s="9">
        <f>11.2538 * CHOOSE(CONTROL!$C$32, $C$9, 100%, $E$9)</f>
        <v>11.2538</v>
      </c>
      <c r="C774" s="9">
        <f>11.2538 * CHOOSE(CONTROL!$C$32, $C$9, 100%, $E$9)</f>
        <v>11.2538</v>
      </c>
      <c r="D774" s="9">
        <f>11.2551 * CHOOSE(CONTROL!$C$32, $C$9, 100%, $E$9)</f>
        <v>11.255100000000001</v>
      </c>
      <c r="E774" s="11">
        <f>12.9527 * CHOOSE(CONTROL!$C$32, $C$9, 100%, $E$9)</f>
        <v>12.9527</v>
      </c>
      <c r="F774" s="11">
        <f>12.9527 * CHOOSE(CONTROL!$C$32, $C$9, 100%, $E$9)</f>
        <v>12.9527</v>
      </c>
      <c r="G774" s="11">
        <f>12.9569 * CHOOSE(CONTROL!$C$32, $C$9, 100%, $E$9)</f>
        <v>12.956899999999999</v>
      </c>
      <c r="H774" s="11">
        <f>26.4249 * CHOOSE(CONTROL!$C$32, $C$9, 100%, $E$9)</f>
        <v>26.424900000000001</v>
      </c>
      <c r="I774" s="11">
        <f>26.4291 * CHOOSE(CONTROL!$C$32, $C$9, 100%, $E$9)</f>
        <v>26.429099999999998</v>
      </c>
      <c r="J774" s="11">
        <f>26.4249 * CHOOSE(CONTROL!$C$32, $C$9, 100%, $E$9)</f>
        <v>26.424900000000001</v>
      </c>
      <c r="K774" s="11">
        <f>26.4291 * CHOOSE(CONTROL!$C$32, $C$9, 100%, $E$9)</f>
        <v>26.429099999999998</v>
      </c>
      <c r="L774" s="11">
        <f>12.9527 * CHOOSE(CONTROL!$C$32, $C$9, 100%, $E$9)</f>
        <v>12.9527</v>
      </c>
      <c r="M774" s="11">
        <f>12.9569 * CHOOSE(CONTROL!$C$32, $C$9, 100%, $E$9)</f>
        <v>12.956899999999999</v>
      </c>
      <c r="N774" s="11">
        <f>12.9527 * CHOOSE(CONTROL!$C$32, $C$9, 100%, $E$9)</f>
        <v>12.9527</v>
      </c>
      <c r="O774" s="11">
        <f>12.9569 * CHOOSE(CONTROL!$C$32, $C$9, 100%, $E$9)</f>
        <v>12.956899999999999</v>
      </c>
    </row>
    <row r="775" spans="1:15" ht="15" x14ac:dyDescent="0.2">
      <c r="A775" s="13">
        <v>64437</v>
      </c>
      <c r="B775" s="9">
        <f>11.2599 * CHOOSE(CONTROL!$C$32, $C$9, 100%, $E$9)</f>
        <v>11.2599</v>
      </c>
      <c r="C775" s="9">
        <f>11.2599 * CHOOSE(CONTROL!$C$32, $C$9, 100%, $E$9)</f>
        <v>11.2599</v>
      </c>
      <c r="D775" s="9">
        <f>11.2612 * CHOOSE(CONTROL!$C$32, $C$9, 100%, $E$9)</f>
        <v>11.261200000000001</v>
      </c>
      <c r="E775" s="11">
        <f>12.8518 * CHOOSE(CONTROL!$C$32, $C$9, 100%, $E$9)</f>
        <v>12.851800000000001</v>
      </c>
      <c r="F775" s="11">
        <f>12.8518 * CHOOSE(CONTROL!$C$32, $C$9, 100%, $E$9)</f>
        <v>12.851800000000001</v>
      </c>
      <c r="G775" s="11">
        <f>12.856 * CHOOSE(CONTROL!$C$32, $C$9, 100%, $E$9)</f>
        <v>12.856</v>
      </c>
      <c r="H775" s="11">
        <f>26.4799 * CHOOSE(CONTROL!$C$32, $C$9, 100%, $E$9)</f>
        <v>26.479900000000001</v>
      </c>
      <c r="I775" s="11">
        <f>26.4841 * CHOOSE(CONTROL!$C$32, $C$9, 100%, $E$9)</f>
        <v>26.484100000000002</v>
      </c>
      <c r="J775" s="11">
        <f>26.4799 * CHOOSE(CONTROL!$C$32, $C$9, 100%, $E$9)</f>
        <v>26.479900000000001</v>
      </c>
      <c r="K775" s="11">
        <f>26.4841 * CHOOSE(CONTROL!$C$32, $C$9, 100%, $E$9)</f>
        <v>26.484100000000002</v>
      </c>
      <c r="L775" s="11">
        <f>12.8518 * CHOOSE(CONTROL!$C$32, $C$9, 100%, $E$9)</f>
        <v>12.851800000000001</v>
      </c>
      <c r="M775" s="11">
        <f>12.856 * CHOOSE(CONTROL!$C$32, $C$9, 100%, $E$9)</f>
        <v>12.856</v>
      </c>
      <c r="N775" s="11">
        <f>12.8518 * CHOOSE(CONTROL!$C$32, $C$9, 100%, $E$9)</f>
        <v>12.851800000000001</v>
      </c>
      <c r="O775" s="11">
        <f>12.856 * CHOOSE(CONTROL!$C$32, $C$9, 100%, $E$9)</f>
        <v>12.856</v>
      </c>
    </row>
    <row r="776" spans="1:15" ht="15" x14ac:dyDescent="0.2">
      <c r="A776" s="13">
        <v>64467</v>
      </c>
      <c r="B776" s="9">
        <f>11.3981 * CHOOSE(CONTROL!$C$32, $C$9, 100%, $E$9)</f>
        <v>11.398099999999999</v>
      </c>
      <c r="C776" s="9">
        <f>11.3981 * CHOOSE(CONTROL!$C$32, $C$9, 100%, $E$9)</f>
        <v>11.398099999999999</v>
      </c>
      <c r="D776" s="9">
        <f>11.3994 * CHOOSE(CONTROL!$C$32, $C$9, 100%, $E$9)</f>
        <v>11.3994</v>
      </c>
      <c r="E776" s="11">
        <f>13.0328 * CHOOSE(CONTROL!$C$32, $C$9, 100%, $E$9)</f>
        <v>13.0328</v>
      </c>
      <c r="F776" s="11">
        <f>13.0328 * CHOOSE(CONTROL!$C$32, $C$9, 100%, $E$9)</f>
        <v>13.0328</v>
      </c>
      <c r="G776" s="11">
        <f>13.037 * CHOOSE(CONTROL!$C$32, $C$9, 100%, $E$9)</f>
        <v>13.037000000000001</v>
      </c>
      <c r="H776" s="11">
        <f>26.5351 * CHOOSE(CONTROL!$C$32, $C$9, 100%, $E$9)</f>
        <v>26.5351</v>
      </c>
      <c r="I776" s="11">
        <f>26.5393 * CHOOSE(CONTROL!$C$32, $C$9, 100%, $E$9)</f>
        <v>26.539300000000001</v>
      </c>
      <c r="J776" s="11">
        <f>26.5351 * CHOOSE(CONTROL!$C$32, $C$9, 100%, $E$9)</f>
        <v>26.5351</v>
      </c>
      <c r="K776" s="11">
        <f>26.5393 * CHOOSE(CONTROL!$C$32, $C$9, 100%, $E$9)</f>
        <v>26.539300000000001</v>
      </c>
      <c r="L776" s="11">
        <f>13.0328 * CHOOSE(CONTROL!$C$32, $C$9, 100%, $E$9)</f>
        <v>13.0328</v>
      </c>
      <c r="M776" s="11">
        <f>13.037 * CHOOSE(CONTROL!$C$32, $C$9, 100%, $E$9)</f>
        <v>13.037000000000001</v>
      </c>
      <c r="N776" s="11">
        <f>13.0328 * CHOOSE(CONTROL!$C$32, $C$9, 100%, $E$9)</f>
        <v>13.0328</v>
      </c>
      <c r="O776" s="11">
        <f>13.037 * CHOOSE(CONTROL!$C$32, $C$9, 100%, $E$9)</f>
        <v>13.037000000000001</v>
      </c>
    </row>
    <row r="777" spans="1:15" ht="15" x14ac:dyDescent="0.2">
      <c r="A777" s="13">
        <v>64498</v>
      </c>
      <c r="B777" s="9">
        <f>11.4048 * CHOOSE(CONTROL!$C$32, $C$9, 100%, $E$9)</f>
        <v>11.4048</v>
      </c>
      <c r="C777" s="9">
        <f>11.4048 * CHOOSE(CONTROL!$C$32, $C$9, 100%, $E$9)</f>
        <v>11.4048</v>
      </c>
      <c r="D777" s="9">
        <f>11.406 * CHOOSE(CONTROL!$C$32, $C$9, 100%, $E$9)</f>
        <v>11.406000000000001</v>
      </c>
      <c r="E777" s="11">
        <f>12.7218 * CHOOSE(CONTROL!$C$32, $C$9, 100%, $E$9)</f>
        <v>12.7218</v>
      </c>
      <c r="F777" s="11">
        <f>12.7218 * CHOOSE(CONTROL!$C$32, $C$9, 100%, $E$9)</f>
        <v>12.7218</v>
      </c>
      <c r="G777" s="11">
        <f>12.726 * CHOOSE(CONTROL!$C$32, $C$9, 100%, $E$9)</f>
        <v>12.726000000000001</v>
      </c>
      <c r="H777" s="11">
        <f>26.5904 * CHOOSE(CONTROL!$C$32, $C$9, 100%, $E$9)</f>
        <v>26.590399999999999</v>
      </c>
      <c r="I777" s="11">
        <f>26.5946 * CHOOSE(CONTROL!$C$32, $C$9, 100%, $E$9)</f>
        <v>26.5946</v>
      </c>
      <c r="J777" s="11">
        <f>26.5904 * CHOOSE(CONTROL!$C$32, $C$9, 100%, $E$9)</f>
        <v>26.590399999999999</v>
      </c>
      <c r="K777" s="11">
        <f>26.5946 * CHOOSE(CONTROL!$C$32, $C$9, 100%, $E$9)</f>
        <v>26.5946</v>
      </c>
      <c r="L777" s="11">
        <f>12.7218 * CHOOSE(CONTROL!$C$32, $C$9, 100%, $E$9)</f>
        <v>12.7218</v>
      </c>
      <c r="M777" s="11">
        <f>12.726 * CHOOSE(CONTROL!$C$32, $C$9, 100%, $E$9)</f>
        <v>12.726000000000001</v>
      </c>
      <c r="N777" s="11">
        <f>12.7218 * CHOOSE(CONTROL!$C$32, $C$9, 100%, $E$9)</f>
        <v>12.7218</v>
      </c>
      <c r="O777" s="11">
        <f>12.726 * CHOOSE(CONTROL!$C$32, $C$9, 100%, $E$9)</f>
        <v>12.726000000000001</v>
      </c>
    </row>
    <row r="778" spans="1:15" ht="15" x14ac:dyDescent="0.2">
      <c r="A778" s="13">
        <v>64529</v>
      </c>
      <c r="B778" s="9">
        <f>11.4018 * CHOOSE(CONTROL!$C$32, $C$9, 100%, $E$9)</f>
        <v>11.4018</v>
      </c>
      <c r="C778" s="9">
        <f>11.4018 * CHOOSE(CONTROL!$C$32, $C$9, 100%, $E$9)</f>
        <v>11.4018</v>
      </c>
      <c r="D778" s="9">
        <f>11.403 * CHOOSE(CONTROL!$C$32, $C$9, 100%, $E$9)</f>
        <v>11.403</v>
      </c>
      <c r="E778" s="11">
        <f>12.6846 * CHOOSE(CONTROL!$C$32, $C$9, 100%, $E$9)</f>
        <v>12.6846</v>
      </c>
      <c r="F778" s="11">
        <f>12.6846 * CHOOSE(CONTROL!$C$32, $C$9, 100%, $E$9)</f>
        <v>12.6846</v>
      </c>
      <c r="G778" s="11">
        <f>12.6888 * CHOOSE(CONTROL!$C$32, $C$9, 100%, $E$9)</f>
        <v>12.688800000000001</v>
      </c>
      <c r="H778" s="11">
        <f>26.6458 * CHOOSE(CONTROL!$C$32, $C$9, 100%, $E$9)</f>
        <v>26.645800000000001</v>
      </c>
      <c r="I778" s="11">
        <f>26.65 * CHOOSE(CONTROL!$C$32, $C$9, 100%, $E$9)</f>
        <v>26.65</v>
      </c>
      <c r="J778" s="11">
        <f>26.6458 * CHOOSE(CONTROL!$C$32, $C$9, 100%, $E$9)</f>
        <v>26.645800000000001</v>
      </c>
      <c r="K778" s="11">
        <f>26.65 * CHOOSE(CONTROL!$C$32, $C$9, 100%, $E$9)</f>
        <v>26.65</v>
      </c>
      <c r="L778" s="11">
        <f>12.6846 * CHOOSE(CONTROL!$C$32, $C$9, 100%, $E$9)</f>
        <v>12.6846</v>
      </c>
      <c r="M778" s="11">
        <f>12.6888 * CHOOSE(CONTROL!$C$32, $C$9, 100%, $E$9)</f>
        <v>12.688800000000001</v>
      </c>
      <c r="N778" s="11">
        <f>12.6846 * CHOOSE(CONTROL!$C$32, $C$9, 100%, $E$9)</f>
        <v>12.6846</v>
      </c>
      <c r="O778" s="11">
        <f>12.6888 * CHOOSE(CONTROL!$C$32, $C$9, 100%, $E$9)</f>
        <v>12.688800000000001</v>
      </c>
    </row>
    <row r="779" spans="1:15" ht="15" x14ac:dyDescent="0.2">
      <c r="A779" s="13">
        <v>64559</v>
      </c>
      <c r="B779" s="9">
        <f>11.4245 * CHOOSE(CONTROL!$C$32, $C$9, 100%, $E$9)</f>
        <v>11.4245</v>
      </c>
      <c r="C779" s="9">
        <f>11.4245 * CHOOSE(CONTROL!$C$32, $C$9, 100%, $E$9)</f>
        <v>11.4245</v>
      </c>
      <c r="D779" s="9">
        <f>11.4254 * CHOOSE(CONTROL!$C$32, $C$9, 100%, $E$9)</f>
        <v>11.4254</v>
      </c>
      <c r="E779" s="11">
        <f>12.8114 * CHOOSE(CONTROL!$C$32, $C$9, 100%, $E$9)</f>
        <v>12.811400000000001</v>
      </c>
      <c r="F779" s="11">
        <f>12.8114 * CHOOSE(CONTROL!$C$32, $C$9, 100%, $E$9)</f>
        <v>12.811400000000001</v>
      </c>
      <c r="G779" s="11">
        <f>12.8147 * CHOOSE(CONTROL!$C$32, $C$9, 100%, $E$9)</f>
        <v>12.8147</v>
      </c>
      <c r="H779" s="11">
        <f>26.7013 * CHOOSE(CONTROL!$C$32, $C$9, 100%, $E$9)</f>
        <v>26.7013</v>
      </c>
      <c r="I779" s="11">
        <f>26.7045 * CHOOSE(CONTROL!$C$32, $C$9, 100%, $E$9)</f>
        <v>26.704499999999999</v>
      </c>
      <c r="J779" s="11">
        <f>26.7013 * CHOOSE(CONTROL!$C$32, $C$9, 100%, $E$9)</f>
        <v>26.7013</v>
      </c>
      <c r="K779" s="11">
        <f>26.7045 * CHOOSE(CONTROL!$C$32, $C$9, 100%, $E$9)</f>
        <v>26.704499999999999</v>
      </c>
      <c r="L779" s="11">
        <f>12.8114 * CHOOSE(CONTROL!$C$32, $C$9, 100%, $E$9)</f>
        <v>12.811400000000001</v>
      </c>
      <c r="M779" s="11">
        <f>12.8147 * CHOOSE(CONTROL!$C$32, $C$9, 100%, $E$9)</f>
        <v>12.8147</v>
      </c>
      <c r="N779" s="11">
        <f>12.8114 * CHOOSE(CONTROL!$C$32, $C$9, 100%, $E$9)</f>
        <v>12.811400000000001</v>
      </c>
      <c r="O779" s="11">
        <f>12.8147 * CHOOSE(CONTROL!$C$32, $C$9, 100%, $E$9)</f>
        <v>12.8147</v>
      </c>
    </row>
    <row r="780" spans="1:15" ht="15" x14ac:dyDescent="0.2">
      <c r="A780" s="13">
        <v>64590</v>
      </c>
      <c r="B780" s="9">
        <f>11.4275 * CHOOSE(CONTROL!$C$32, $C$9, 100%, $E$9)</f>
        <v>11.4275</v>
      </c>
      <c r="C780" s="9">
        <f>11.4275 * CHOOSE(CONTROL!$C$32, $C$9, 100%, $E$9)</f>
        <v>11.4275</v>
      </c>
      <c r="D780" s="9">
        <f>11.4285 * CHOOSE(CONTROL!$C$32, $C$9, 100%, $E$9)</f>
        <v>11.4285</v>
      </c>
      <c r="E780" s="11">
        <f>12.8837 * CHOOSE(CONTROL!$C$32, $C$9, 100%, $E$9)</f>
        <v>12.883699999999999</v>
      </c>
      <c r="F780" s="11">
        <f>12.8837 * CHOOSE(CONTROL!$C$32, $C$9, 100%, $E$9)</f>
        <v>12.883699999999999</v>
      </c>
      <c r="G780" s="11">
        <f>12.8869 * CHOOSE(CONTROL!$C$32, $C$9, 100%, $E$9)</f>
        <v>12.886900000000001</v>
      </c>
      <c r="H780" s="11">
        <f>26.7569 * CHOOSE(CONTROL!$C$32, $C$9, 100%, $E$9)</f>
        <v>26.756900000000002</v>
      </c>
      <c r="I780" s="11">
        <f>26.7601 * CHOOSE(CONTROL!$C$32, $C$9, 100%, $E$9)</f>
        <v>26.760100000000001</v>
      </c>
      <c r="J780" s="11">
        <f>26.7569 * CHOOSE(CONTROL!$C$32, $C$9, 100%, $E$9)</f>
        <v>26.756900000000002</v>
      </c>
      <c r="K780" s="11">
        <f>26.7601 * CHOOSE(CONTROL!$C$32, $C$9, 100%, $E$9)</f>
        <v>26.760100000000001</v>
      </c>
      <c r="L780" s="11">
        <f>12.8837 * CHOOSE(CONTROL!$C$32, $C$9, 100%, $E$9)</f>
        <v>12.883699999999999</v>
      </c>
      <c r="M780" s="11">
        <f>12.8869 * CHOOSE(CONTROL!$C$32, $C$9, 100%, $E$9)</f>
        <v>12.886900000000001</v>
      </c>
      <c r="N780" s="11">
        <f>12.8837 * CHOOSE(CONTROL!$C$32, $C$9, 100%, $E$9)</f>
        <v>12.883699999999999</v>
      </c>
      <c r="O780" s="11">
        <f>12.8869 * CHOOSE(CONTROL!$C$32, $C$9, 100%, $E$9)</f>
        <v>12.886900000000001</v>
      </c>
    </row>
    <row r="781" spans="1:15" ht="15" x14ac:dyDescent="0.2">
      <c r="A781" s="13">
        <v>64620</v>
      </c>
      <c r="B781" s="9">
        <f>11.4275 * CHOOSE(CONTROL!$C$32, $C$9, 100%, $E$9)</f>
        <v>11.4275</v>
      </c>
      <c r="C781" s="9">
        <f>11.4275 * CHOOSE(CONTROL!$C$32, $C$9, 100%, $E$9)</f>
        <v>11.4275</v>
      </c>
      <c r="D781" s="9">
        <f>11.4285 * CHOOSE(CONTROL!$C$32, $C$9, 100%, $E$9)</f>
        <v>11.4285</v>
      </c>
      <c r="E781" s="11">
        <f>12.7083 * CHOOSE(CONTROL!$C$32, $C$9, 100%, $E$9)</f>
        <v>12.708299999999999</v>
      </c>
      <c r="F781" s="11">
        <f>12.7083 * CHOOSE(CONTROL!$C$32, $C$9, 100%, $E$9)</f>
        <v>12.708299999999999</v>
      </c>
      <c r="G781" s="11">
        <f>12.7116 * CHOOSE(CONTROL!$C$32, $C$9, 100%, $E$9)</f>
        <v>12.711600000000001</v>
      </c>
      <c r="H781" s="11">
        <f>26.8126 * CHOOSE(CONTROL!$C$32, $C$9, 100%, $E$9)</f>
        <v>26.8126</v>
      </c>
      <c r="I781" s="11">
        <f>26.8159 * CHOOSE(CONTROL!$C$32, $C$9, 100%, $E$9)</f>
        <v>26.815899999999999</v>
      </c>
      <c r="J781" s="11">
        <f>26.8126 * CHOOSE(CONTROL!$C$32, $C$9, 100%, $E$9)</f>
        <v>26.8126</v>
      </c>
      <c r="K781" s="11">
        <f>26.8159 * CHOOSE(CONTROL!$C$32, $C$9, 100%, $E$9)</f>
        <v>26.815899999999999</v>
      </c>
      <c r="L781" s="11">
        <f>12.7083 * CHOOSE(CONTROL!$C$32, $C$9, 100%, $E$9)</f>
        <v>12.708299999999999</v>
      </c>
      <c r="M781" s="11">
        <f>12.7116 * CHOOSE(CONTROL!$C$32, $C$9, 100%, $E$9)</f>
        <v>12.711600000000001</v>
      </c>
      <c r="N781" s="11">
        <f>12.7083 * CHOOSE(CONTROL!$C$32, $C$9, 100%, $E$9)</f>
        <v>12.708299999999999</v>
      </c>
      <c r="O781" s="11">
        <f>12.7116 * CHOOSE(CONTROL!$C$32, $C$9, 100%, $E$9)</f>
        <v>12.711600000000001</v>
      </c>
    </row>
    <row r="782" spans="1:15" ht="15" x14ac:dyDescent="0.2">
      <c r="A782" s="13">
        <v>64651</v>
      </c>
      <c r="B782" s="9">
        <f>11.4426 * CHOOSE(CONTROL!$C$32, $C$9, 100%, $E$9)</f>
        <v>11.442600000000001</v>
      </c>
      <c r="C782" s="9">
        <f>11.4426 * CHOOSE(CONTROL!$C$32, $C$9, 100%, $E$9)</f>
        <v>11.442600000000001</v>
      </c>
      <c r="D782" s="9">
        <f>11.4435 * CHOOSE(CONTROL!$C$32, $C$9, 100%, $E$9)</f>
        <v>11.4435</v>
      </c>
      <c r="E782" s="11">
        <f>12.858 * CHOOSE(CONTROL!$C$32, $C$9, 100%, $E$9)</f>
        <v>12.858000000000001</v>
      </c>
      <c r="F782" s="11">
        <f>12.858 * CHOOSE(CONTROL!$C$32, $C$9, 100%, $E$9)</f>
        <v>12.858000000000001</v>
      </c>
      <c r="G782" s="11">
        <f>12.8613 * CHOOSE(CONTROL!$C$32, $C$9, 100%, $E$9)</f>
        <v>12.8613</v>
      </c>
      <c r="H782" s="11">
        <f>26.6776 * CHOOSE(CONTROL!$C$32, $C$9, 100%, $E$9)</f>
        <v>26.677600000000002</v>
      </c>
      <c r="I782" s="11">
        <f>26.6808 * CHOOSE(CONTROL!$C$32, $C$9, 100%, $E$9)</f>
        <v>26.680800000000001</v>
      </c>
      <c r="J782" s="11">
        <f>26.6776 * CHOOSE(CONTROL!$C$32, $C$9, 100%, $E$9)</f>
        <v>26.677600000000002</v>
      </c>
      <c r="K782" s="11">
        <f>26.6808 * CHOOSE(CONTROL!$C$32, $C$9, 100%, $E$9)</f>
        <v>26.680800000000001</v>
      </c>
      <c r="L782" s="11">
        <f>12.858 * CHOOSE(CONTROL!$C$32, $C$9, 100%, $E$9)</f>
        <v>12.858000000000001</v>
      </c>
      <c r="M782" s="11">
        <f>12.8613 * CHOOSE(CONTROL!$C$32, $C$9, 100%, $E$9)</f>
        <v>12.8613</v>
      </c>
      <c r="N782" s="11">
        <f>12.858 * CHOOSE(CONTROL!$C$32, $C$9, 100%, $E$9)</f>
        <v>12.858000000000001</v>
      </c>
      <c r="O782" s="11">
        <f>12.8613 * CHOOSE(CONTROL!$C$32, $C$9, 100%, $E$9)</f>
        <v>12.8613</v>
      </c>
    </row>
    <row r="783" spans="1:15" ht="15" x14ac:dyDescent="0.2">
      <c r="A783" s="13">
        <v>64682</v>
      </c>
      <c r="B783" s="9">
        <f>11.4395 * CHOOSE(CONTROL!$C$32, $C$9, 100%, $E$9)</f>
        <v>11.439500000000001</v>
      </c>
      <c r="C783" s="9">
        <f>11.4395 * CHOOSE(CONTROL!$C$32, $C$9, 100%, $E$9)</f>
        <v>11.439500000000001</v>
      </c>
      <c r="D783" s="9">
        <f>11.4405 * CHOOSE(CONTROL!$C$32, $C$9, 100%, $E$9)</f>
        <v>11.4405</v>
      </c>
      <c r="E783" s="11">
        <f>12.5174 * CHOOSE(CONTROL!$C$32, $C$9, 100%, $E$9)</f>
        <v>12.5174</v>
      </c>
      <c r="F783" s="11">
        <f>12.5174 * CHOOSE(CONTROL!$C$32, $C$9, 100%, $E$9)</f>
        <v>12.5174</v>
      </c>
      <c r="G783" s="11">
        <f>12.5206 * CHOOSE(CONTROL!$C$32, $C$9, 100%, $E$9)</f>
        <v>12.5206</v>
      </c>
      <c r="H783" s="11">
        <f>26.7332 * CHOOSE(CONTROL!$C$32, $C$9, 100%, $E$9)</f>
        <v>26.7332</v>
      </c>
      <c r="I783" s="11">
        <f>26.7364 * CHOOSE(CONTROL!$C$32, $C$9, 100%, $E$9)</f>
        <v>26.7364</v>
      </c>
      <c r="J783" s="11">
        <f>26.7332 * CHOOSE(CONTROL!$C$32, $C$9, 100%, $E$9)</f>
        <v>26.7332</v>
      </c>
      <c r="K783" s="11">
        <f>26.7364 * CHOOSE(CONTROL!$C$32, $C$9, 100%, $E$9)</f>
        <v>26.7364</v>
      </c>
      <c r="L783" s="11">
        <f>12.5174 * CHOOSE(CONTROL!$C$32, $C$9, 100%, $E$9)</f>
        <v>12.5174</v>
      </c>
      <c r="M783" s="11">
        <f>12.5206 * CHOOSE(CONTROL!$C$32, $C$9, 100%, $E$9)</f>
        <v>12.5206</v>
      </c>
      <c r="N783" s="11">
        <f>12.5174 * CHOOSE(CONTROL!$C$32, $C$9, 100%, $E$9)</f>
        <v>12.5174</v>
      </c>
      <c r="O783" s="11">
        <f>12.5206 * CHOOSE(CONTROL!$C$32, $C$9, 100%, $E$9)</f>
        <v>12.5206</v>
      </c>
    </row>
    <row r="784" spans="1:15" ht="15" x14ac:dyDescent="0.2">
      <c r="A784" s="13">
        <v>64710</v>
      </c>
      <c r="B784" s="9">
        <f>11.4365 * CHOOSE(CONTROL!$C$32, $C$9, 100%, $E$9)</f>
        <v>11.436500000000001</v>
      </c>
      <c r="C784" s="9">
        <f>11.4365 * CHOOSE(CONTROL!$C$32, $C$9, 100%, $E$9)</f>
        <v>11.436500000000001</v>
      </c>
      <c r="D784" s="9">
        <f>11.4375 * CHOOSE(CONTROL!$C$32, $C$9, 100%, $E$9)</f>
        <v>11.4375</v>
      </c>
      <c r="E784" s="11">
        <f>12.7822 * CHOOSE(CONTROL!$C$32, $C$9, 100%, $E$9)</f>
        <v>12.7822</v>
      </c>
      <c r="F784" s="11">
        <f>12.7822 * CHOOSE(CONTROL!$C$32, $C$9, 100%, $E$9)</f>
        <v>12.7822</v>
      </c>
      <c r="G784" s="11">
        <f>12.7854 * CHOOSE(CONTROL!$C$32, $C$9, 100%, $E$9)</f>
        <v>12.785399999999999</v>
      </c>
      <c r="H784" s="11">
        <f>26.7889 * CHOOSE(CONTROL!$C$32, $C$9, 100%, $E$9)</f>
        <v>26.788900000000002</v>
      </c>
      <c r="I784" s="11">
        <f>26.7921 * CHOOSE(CONTROL!$C$32, $C$9, 100%, $E$9)</f>
        <v>26.792100000000001</v>
      </c>
      <c r="J784" s="11">
        <f>26.7889 * CHOOSE(CONTROL!$C$32, $C$9, 100%, $E$9)</f>
        <v>26.788900000000002</v>
      </c>
      <c r="K784" s="11">
        <f>26.7921 * CHOOSE(CONTROL!$C$32, $C$9, 100%, $E$9)</f>
        <v>26.792100000000001</v>
      </c>
      <c r="L784" s="11">
        <f>12.7822 * CHOOSE(CONTROL!$C$32, $C$9, 100%, $E$9)</f>
        <v>12.7822</v>
      </c>
      <c r="M784" s="11">
        <f>12.7854 * CHOOSE(CONTROL!$C$32, $C$9, 100%, $E$9)</f>
        <v>12.785399999999999</v>
      </c>
      <c r="N784" s="11">
        <f>12.7822 * CHOOSE(CONTROL!$C$32, $C$9, 100%, $E$9)</f>
        <v>12.7822</v>
      </c>
      <c r="O784" s="11">
        <f>12.7854 * CHOOSE(CONTROL!$C$32, $C$9, 100%, $E$9)</f>
        <v>12.785399999999999</v>
      </c>
    </row>
    <row r="785" spans="1:15" ht="15" x14ac:dyDescent="0.2">
      <c r="A785" s="13">
        <v>64741</v>
      </c>
      <c r="B785" s="9">
        <f>11.4414 * CHOOSE(CONTROL!$C$32, $C$9, 100%, $E$9)</f>
        <v>11.4414</v>
      </c>
      <c r="C785" s="9">
        <f>11.4414 * CHOOSE(CONTROL!$C$32, $C$9, 100%, $E$9)</f>
        <v>11.4414</v>
      </c>
      <c r="D785" s="9">
        <f>11.4423 * CHOOSE(CONTROL!$C$32, $C$9, 100%, $E$9)</f>
        <v>11.442299999999999</v>
      </c>
      <c r="E785" s="11">
        <f>13.0645 * CHOOSE(CONTROL!$C$32, $C$9, 100%, $E$9)</f>
        <v>13.064500000000001</v>
      </c>
      <c r="F785" s="11">
        <f>13.0645 * CHOOSE(CONTROL!$C$32, $C$9, 100%, $E$9)</f>
        <v>13.064500000000001</v>
      </c>
      <c r="G785" s="11">
        <f>13.0677 * CHOOSE(CONTROL!$C$32, $C$9, 100%, $E$9)</f>
        <v>13.0677</v>
      </c>
      <c r="H785" s="11">
        <f>26.8447 * CHOOSE(CONTROL!$C$32, $C$9, 100%, $E$9)</f>
        <v>26.8447</v>
      </c>
      <c r="I785" s="11">
        <f>26.8479 * CHOOSE(CONTROL!$C$32, $C$9, 100%, $E$9)</f>
        <v>26.847899999999999</v>
      </c>
      <c r="J785" s="11">
        <f>26.8447 * CHOOSE(CONTROL!$C$32, $C$9, 100%, $E$9)</f>
        <v>26.8447</v>
      </c>
      <c r="K785" s="11">
        <f>26.8479 * CHOOSE(CONTROL!$C$32, $C$9, 100%, $E$9)</f>
        <v>26.847899999999999</v>
      </c>
      <c r="L785" s="11">
        <f>13.0645 * CHOOSE(CONTROL!$C$32, $C$9, 100%, $E$9)</f>
        <v>13.064500000000001</v>
      </c>
      <c r="M785" s="11">
        <f>13.0677 * CHOOSE(CONTROL!$C$32, $C$9, 100%, $E$9)</f>
        <v>13.0677</v>
      </c>
      <c r="N785" s="11">
        <f>13.0645 * CHOOSE(CONTROL!$C$32, $C$9, 100%, $E$9)</f>
        <v>13.064500000000001</v>
      </c>
      <c r="O785" s="11">
        <f>13.0677 * CHOOSE(CONTROL!$C$32, $C$9, 100%, $E$9)</f>
        <v>13.0677</v>
      </c>
    </row>
    <row r="786" spans="1:15" ht="15" x14ac:dyDescent="0.2">
      <c r="A786" s="13">
        <v>64771</v>
      </c>
      <c r="B786" s="9">
        <f>11.4414 * CHOOSE(CONTROL!$C$32, $C$9, 100%, $E$9)</f>
        <v>11.4414</v>
      </c>
      <c r="C786" s="9">
        <f>11.4414 * CHOOSE(CONTROL!$C$32, $C$9, 100%, $E$9)</f>
        <v>11.4414</v>
      </c>
      <c r="D786" s="9">
        <f>11.4426 * CHOOSE(CONTROL!$C$32, $C$9, 100%, $E$9)</f>
        <v>11.442600000000001</v>
      </c>
      <c r="E786" s="11">
        <f>13.172 * CHOOSE(CONTROL!$C$32, $C$9, 100%, $E$9)</f>
        <v>13.172000000000001</v>
      </c>
      <c r="F786" s="11">
        <f>13.172 * CHOOSE(CONTROL!$C$32, $C$9, 100%, $E$9)</f>
        <v>13.172000000000001</v>
      </c>
      <c r="G786" s="11">
        <f>13.1762 * CHOOSE(CONTROL!$C$32, $C$9, 100%, $E$9)</f>
        <v>13.1762</v>
      </c>
      <c r="H786" s="11">
        <f>26.9006 * CHOOSE(CONTROL!$C$32, $C$9, 100%, $E$9)</f>
        <v>26.900600000000001</v>
      </c>
      <c r="I786" s="11">
        <f>26.9048 * CHOOSE(CONTROL!$C$32, $C$9, 100%, $E$9)</f>
        <v>26.904800000000002</v>
      </c>
      <c r="J786" s="11">
        <f>26.9006 * CHOOSE(CONTROL!$C$32, $C$9, 100%, $E$9)</f>
        <v>26.900600000000001</v>
      </c>
      <c r="K786" s="11">
        <f>26.9048 * CHOOSE(CONTROL!$C$32, $C$9, 100%, $E$9)</f>
        <v>26.904800000000002</v>
      </c>
      <c r="L786" s="11">
        <f>13.172 * CHOOSE(CONTROL!$C$32, $C$9, 100%, $E$9)</f>
        <v>13.172000000000001</v>
      </c>
      <c r="M786" s="11">
        <f>13.1762 * CHOOSE(CONTROL!$C$32, $C$9, 100%, $E$9)</f>
        <v>13.1762</v>
      </c>
      <c r="N786" s="11">
        <f>13.172 * CHOOSE(CONTROL!$C$32, $C$9, 100%, $E$9)</f>
        <v>13.172000000000001</v>
      </c>
      <c r="O786" s="11">
        <f>13.1762 * CHOOSE(CONTROL!$C$32, $C$9, 100%, $E$9)</f>
        <v>13.1762</v>
      </c>
    </row>
    <row r="787" spans="1:15" ht="15" x14ac:dyDescent="0.2">
      <c r="A787" s="13">
        <v>64802</v>
      </c>
      <c r="B787" s="9">
        <f>11.4474 * CHOOSE(CONTROL!$C$32, $C$9, 100%, $E$9)</f>
        <v>11.4474</v>
      </c>
      <c r="C787" s="9">
        <f>11.4474 * CHOOSE(CONTROL!$C$32, $C$9, 100%, $E$9)</f>
        <v>11.4474</v>
      </c>
      <c r="D787" s="9">
        <f>11.4487 * CHOOSE(CONTROL!$C$32, $C$9, 100%, $E$9)</f>
        <v>11.448700000000001</v>
      </c>
      <c r="E787" s="11">
        <f>13.0688 * CHOOSE(CONTROL!$C$32, $C$9, 100%, $E$9)</f>
        <v>13.0688</v>
      </c>
      <c r="F787" s="11">
        <f>13.0688 * CHOOSE(CONTROL!$C$32, $C$9, 100%, $E$9)</f>
        <v>13.0688</v>
      </c>
      <c r="G787" s="11">
        <f>13.073 * CHOOSE(CONTROL!$C$32, $C$9, 100%, $E$9)</f>
        <v>13.073</v>
      </c>
      <c r="H787" s="11">
        <f>26.9567 * CHOOSE(CONTROL!$C$32, $C$9, 100%, $E$9)</f>
        <v>26.956700000000001</v>
      </c>
      <c r="I787" s="11">
        <f>26.9609 * CHOOSE(CONTROL!$C$32, $C$9, 100%, $E$9)</f>
        <v>26.960899999999999</v>
      </c>
      <c r="J787" s="11">
        <f>26.9567 * CHOOSE(CONTROL!$C$32, $C$9, 100%, $E$9)</f>
        <v>26.956700000000001</v>
      </c>
      <c r="K787" s="11">
        <f>26.9609 * CHOOSE(CONTROL!$C$32, $C$9, 100%, $E$9)</f>
        <v>26.960899999999999</v>
      </c>
      <c r="L787" s="11">
        <f>13.0688 * CHOOSE(CONTROL!$C$32, $C$9, 100%, $E$9)</f>
        <v>13.0688</v>
      </c>
      <c r="M787" s="11">
        <f>13.073 * CHOOSE(CONTROL!$C$32, $C$9, 100%, $E$9)</f>
        <v>13.073</v>
      </c>
      <c r="N787" s="11">
        <f>13.0688 * CHOOSE(CONTROL!$C$32, $C$9, 100%, $E$9)</f>
        <v>13.0688</v>
      </c>
      <c r="O787" s="11">
        <f>13.073 * CHOOSE(CONTROL!$C$32, $C$9, 100%, $E$9)</f>
        <v>13.073</v>
      </c>
    </row>
    <row r="788" spans="1:15" ht="15" x14ac:dyDescent="0.2">
      <c r="A788" s="13">
        <v>64832</v>
      </c>
      <c r="B788" s="9">
        <f>11.5877 * CHOOSE(CONTROL!$C$32, $C$9, 100%, $E$9)</f>
        <v>11.5877</v>
      </c>
      <c r="C788" s="9">
        <f>11.5877 * CHOOSE(CONTROL!$C$32, $C$9, 100%, $E$9)</f>
        <v>11.5877</v>
      </c>
      <c r="D788" s="9">
        <f>11.5889 * CHOOSE(CONTROL!$C$32, $C$9, 100%, $E$9)</f>
        <v>11.588900000000001</v>
      </c>
      <c r="E788" s="11">
        <f>13.2529 * CHOOSE(CONTROL!$C$32, $C$9, 100%, $E$9)</f>
        <v>13.2529</v>
      </c>
      <c r="F788" s="11">
        <f>13.2529 * CHOOSE(CONTROL!$C$32, $C$9, 100%, $E$9)</f>
        <v>13.2529</v>
      </c>
      <c r="G788" s="11">
        <f>13.2571 * CHOOSE(CONTROL!$C$32, $C$9, 100%, $E$9)</f>
        <v>13.257099999999999</v>
      </c>
      <c r="H788" s="11">
        <f>27.0128 * CHOOSE(CONTROL!$C$32, $C$9, 100%, $E$9)</f>
        <v>27.012799999999999</v>
      </c>
      <c r="I788" s="11">
        <f>27.017 * CHOOSE(CONTROL!$C$32, $C$9, 100%, $E$9)</f>
        <v>27.016999999999999</v>
      </c>
      <c r="J788" s="11">
        <f>27.0128 * CHOOSE(CONTROL!$C$32, $C$9, 100%, $E$9)</f>
        <v>27.012799999999999</v>
      </c>
      <c r="K788" s="11">
        <f>27.017 * CHOOSE(CONTROL!$C$32, $C$9, 100%, $E$9)</f>
        <v>27.016999999999999</v>
      </c>
      <c r="L788" s="11">
        <f>13.2529 * CHOOSE(CONTROL!$C$32, $C$9, 100%, $E$9)</f>
        <v>13.2529</v>
      </c>
      <c r="M788" s="11">
        <f>13.2571 * CHOOSE(CONTROL!$C$32, $C$9, 100%, $E$9)</f>
        <v>13.257099999999999</v>
      </c>
      <c r="N788" s="11">
        <f>13.2529 * CHOOSE(CONTROL!$C$32, $C$9, 100%, $E$9)</f>
        <v>13.2529</v>
      </c>
      <c r="O788" s="11">
        <f>13.2571 * CHOOSE(CONTROL!$C$32, $C$9, 100%, $E$9)</f>
        <v>13.257099999999999</v>
      </c>
    </row>
    <row r="789" spans="1:15" ht="15" x14ac:dyDescent="0.2">
      <c r="A789" s="13">
        <v>64863</v>
      </c>
      <c r="B789" s="9">
        <f>11.5944 * CHOOSE(CONTROL!$C$32, $C$9, 100%, $E$9)</f>
        <v>11.5944</v>
      </c>
      <c r="C789" s="9">
        <f>11.5944 * CHOOSE(CONTROL!$C$32, $C$9, 100%, $E$9)</f>
        <v>11.5944</v>
      </c>
      <c r="D789" s="9">
        <f>11.5956 * CHOOSE(CONTROL!$C$32, $C$9, 100%, $E$9)</f>
        <v>11.595599999999999</v>
      </c>
      <c r="E789" s="11">
        <f>12.9352 * CHOOSE(CONTROL!$C$32, $C$9, 100%, $E$9)</f>
        <v>12.9352</v>
      </c>
      <c r="F789" s="11">
        <f>12.9352 * CHOOSE(CONTROL!$C$32, $C$9, 100%, $E$9)</f>
        <v>12.9352</v>
      </c>
      <c r="G789" s="11">
        <f>12.9394 * CHOOSE(CONTROL!$C$32, $C$9, 100%, $E$9)</f>
        <v>12.939399999999999</v>
      </c>
      <c r="H789" s="11">
        <f>27.0691 * CHOOSE(CONTROL!$C$32, $C$9, 100%, $E$9)</f>
        <v>27.069099999999999</v>
      </c>
      <c r="I789" s="11">
        <f>27.0733 * CHOOSE(CONTROL!$C$32, $C$9, 100%, $E$9)</f>
        <v>27.0733</v>
      </c>
      <c r="J789" s="11">
        <f>27.0691 * CHOOSE(CONTROL!$C$32, $C$9, 100%, $E$9)</f>
        <v>27.069099999999999</v>
      </c>
      <c r="K789" s="11">
        <f>27.0733 * CHOOSE(CONTROL!$C$32, $C$9, 100%, $E$9)</f>
        <v>27.0733</v>
      </c>
      <c r="L789" s="11">
        <f>12.9352 * CHOOSE(CONTROL!$C$32, $C$9, 100%, $E$9)</f>
        <v>12.9352</v>
      </c>
      <c r="M789" s="11">
        <f>12.9394 * CHOOSE(CONTROL!$C$32, $C$9, 100%, $E$9)</f>
        <v>12.939399999999999</v>
      </c>
      <c r="N789" s="11">
        <f>12.9352 * CHOOSE(CONTROL!$C$32, $C$9, 100%, $E$9)</f>
        <v>12.9352</v>
      </c>
      <c r="O789" s="11">
        <f>12.9394 * CHOOSE(CONTROL!$C$32, $C$9, 100%, $E$9)</f>
        <v>12.939399999999999</v>
      </c>
    </row>
    <row r="790" spans="1:15" ht="15" x14ac:dyDescent="0.2">
      <c r="A790" s="13">
        <v>64894</v>
      </c>
      <c r="B790" s="9">
        <f>11.5913 * CHOOSE(CONTROL!$C$32, $C$9, 100%, $E$9)</f>
        <v>11.5913</v>
      </c>
      <c r="C790" s="9">
        <f>11.5913 * CHOOSE(CONTROL!$C$32, $C$9, 100%, $E$9)</f>
        <v>11.5913</v>
      </c>
      <c r="D790" s="9">
        <f>11.5926 * CHOOSE(CONTROL!$C$32, $C$9, 100%, $E$9)</f>
        <v>11.592599999999999</v>
      </c>
      <c r="E790" s="11">
        <f>12.8972 * CHOOSE(CONTROL!$C$32, $C$9, 100%, $E$9)</f>
        <v>12.8972</v>
      </c>
      <c r="F790" s="11">
        <f>12.8972 * CHOOSE(CONTROL!$C$32, $C$9, 100%, $E$9)</f>
        <v>12.8972</v>
      </c>
      <c r="G790" s="11">
        <f>12.9014 * CHOOSE(CONTROL!$C$32, $C$9, 100%, $E$9)</f>
        <v>12.901400000000001</v>
      </c>
      <c r="H790" s="11">
        <f>27.1255 * CHOOSE(CONTROL!$C$32, $C$9, 100%, $E$9)</f>
        <v>27.125499999999999</v>
      </c>
      <c r="I790" s="11">
        <f>27.1297 * CHOOSE(CONTROL!$C$32, $C$9, 100%, $E$9)</f>
        <v>27.1297</v>
      </c>
      <c r="J790" s="11">
        <f>27.1255 * CHOOSE(CONTROL!$C$32, $C$9, 100%, $E$9)</f>
        <v>27.125499999999999</v>
      </c>
      <c r="K790" s="11">
        <f>27.1297 * CHOOSE(CONTROL!$C$32, $C$9, 100%, $E$9)</f>
        <v>27.1297</v>
      </c>
      <c r="L790" s="11">
        <f>12.8972 * CHOOSE(CONTROL!$C$32, $C$9, 100%, $E$9)</f>
        <v>12.8972</v>
      </c>
      <c r="M790" s="11">
        <f>12.9014 * CHOOSE(CONTROL!$C$32, $C$9, 100%, $E$9)</f>
        <v>12.901400000000001</v>
      </c>
      <c r="N790" s="11">
        <f>12.8972 * CHOOSE(CONTROL!$C$32, $C$9, 100%, $E$9)</f>
        <v>12.8972</v>
      </c>
      <c r="O790" s="11">
        <f>12.9014 * CHOOSE(CONTROL!$C$32, $C$9, 100%, $E$9)</f>
        <v>12.901400000000001</v>
      </c>
    </row>
    <row r="791" spans="1:15" ht="15" x14ac:dyDescent="0.2">
      <c r="A791" s="13">
        <v>64924</v>
      </c>
      <c r="B791" s="9">
        <f>11.6148 * CHOOSE(CONTROL!$C$32, $C$9, 100%, $E$9)</f>
        <v>11.614800000000001</v>
      </c>
      <c r="C791" s="9">
        <f>11.6148 * CHOOSE(CONTROL!$C$32, $C$9, 100%, $E$9)</f>
        <v>11.614800000000001</v>
      </c>
      <c r="D791" s="9">
        <f>11.6157 * CHOOSE(CONTROL!$C$32, $C$9, 100%, $E$9)</f>
        <v>11.6157</v>
      </c>
      <c r="E791" s="11">
        <f>13.0271 * CHOOSE(CONTROL!$C$32, $C$9, 100%, $E$9)</f>
        <v>13.027100000000001</v>
      </c>
      <c r="F791" s="11">
        <f>13.0271 * CHOOSE(CONTROL!$C$32, $C$9, 100%, $E$9)</f>
        <v>13.027100000000001</v>
      </c>
      <c r="G791" s="11">
        <f>13.0304 * CHOOSE(CONTROL!$C$32, $C$9, 100%, $E$9)</f>
        <v>13.0304</v>
      </c>
      <c r="H791" s="11">
        <f>27.182 * CHOOSE(CONTROL!$C$32, $C$9, 100%, $E$9)</f>
        <v>27.181999999999999</v>
      </c>
      <c r="I791" s="11">
        <f>27.1852 * CHOOSE(CONTROL!$C$32, $C$9, 100%, $E$9)</f>
        <v>27.185199999999998</v>
      </c>
      <c r="J791" s="11">
        <f>27.182 * CHOOSE(CONTROL!$C$32, $C$9, 100%, $E$9)</f>
        <v>27.181999999999999</v>
      </c>
      <c r="K791" s="11">
        <f>27.1852 * CHOOSE(CONTROL!$C$32, $C$9, 100%, $E$9)</f>
        <v>27.185199999999998</v>
      </c>
      <c r="L791" s="11">
        <f>13.0271 * CHOOSE(CONTROL!$C$32, $C$9, 100%, $E$9)</f>
        <v>13.027100000000001</v>
      </c>
      <c r="M791" s="11">
        <f>13.0304 * CHOOSE(CONTROL!$C$32, $C$9, 100%, $E$9)</f>
        <v>13.0304</v>
      </c>
      <c r="N791" s="11">
        <f>13.0271 * CHOOSE(CONTROL!$C$32, $C$9, 100%, $E$9)</f>
        <v>13.027100000000001</v>
      </c>
      <c r="O791" s="11">
        <f>13.0304 * CHOOSE(CONTROL!$C$32, $C$9, 100%, $E$9)</f>
        <v>13.0304</v>
      </c>
    </row>
    <row r="792" spans="1:15" ht="15" x14ac:dyDescent="0.2">
      <c r="A792" s="13">
        <v>64955</v>
      </c>
      <c r="B792" s="9">
        <f>11.6178 * CHOOSE(CONTROL!$C$32, $C$9, 100%, $E$9)</f>
        <v>11.617800000000001</v>
      </c>
      <c r="C792" s="9">
        <f>11.6178 * CHOOSE(CONTROL!$C$32, $C$9, 100%, $E$9)</f>
        <v>11.617800000000001</v>
      </c>
      <c r="D792" s="9">
        <f>11.6188 * CHOOSE(CONTROL!$C$32, $C$9, 100%, $E$9)</f>
        <v>11.6188</v>
      </c>
      <c r="E792" s="11">
        <f>13.1009 * CHOOSE(CONTROL!$C$32, $C$9, 100%, $E$9)</f>
        <v>13.100899999999999</v>
      </c>
      <c r="F792" s="11">
        <f>13.1009 * CHOOSE(CONTROL!$C$32, $C$9, 100%, $E$9)</f>
        <v>13.100899999999999</v>
      </c>
      <c r="G792" s="11">
        <f>13.1041 * CHOOSE(CONTROL!$C$32, $C$9, 100%, $E$9)</f>
        <v>13.104100000000001</v>
      </c>
      <c r="H792" s="11">
        <f>27.2386 * CHOOSE(CONTROL!$C$32, $C$9, 100%, $E$9)</f>
        <v>27.238600000000002</v>
      </c>
      <c r="I792" s="11">
        <f>27.2419 * CHOOSE(CONTROL!$C$32, $C$9, 100%, $E$9)</f>
        <v>27.241900000000001</v>
      </c>
      <c r="J792" s="11">
        <f>27.2386 * CHOOSE(CONTROL!$C$32, $C$9, 100%, $E$9)</f>
        <v>27.238600000000002</v>
      </c>
      <c r="K792" s="11">
        <f>27.2419 * CHOOSE(CONTROL!$C$32, $C$9, 100%, $E$9)</f>
        <v>27.241900000000001</v>
      </c>
      <c r="L792" s="11">
        <f>13.1009 * CHOOSE(CONTROL!$C$32, $C$9, 100%, $E$9)</f>
        <v>13.100899999999999</v>
      </c>
      <c r="M792" s="11">
        <f>13.1041 * CHOOSE(CONTROL!$C$32, $C$9, 100%, $E$9)</f>
        <v>13.104100000000001</v>
      </c>
      <c r="N792" s="11">
        <f>13.1009 * CHOOSE(CONTROL!$C$32, $C$9, 100%, $E$9)</f>
        <v>13.100899999999999</v>
      </c>
      <c r="O792" s="11">
        <f>13.1041 * CHOOSE(CONTROL!$C$32, $C$9, 100%, $E$9)</f>
        <v>13.104100000000001</v>
      </c>
    </row>
    <row r="793" spans="1:15" ht="15" x14ac:dyDescent="0.2">
      <c r="A793" s="13">
        <v>64985</v>
      </c>
      <c r="B793" s="9">
        <f>11.6178 * CHOOSE(CONTROL!$C$32, $C$9, 100%, $E$9)</f>
        <v>11.617800000000001</v>
      </c>
      <c r="C793" s="9">
        <f>11.6178 * CHOOSE(CONTROL!$C$32, $C$9, 100%, $E$9)</f>
        <v>11.617800000000001</v>
      </c>
      <c r="D793" s="9">
        <f>11.6188 * CHOOSE(CONTROL!$C$32, $C$9, 100%, $E$9)</f>
        <v>11.6188</v>
      </c>
      <c r="E793" s="11">
        <f>12.9218 * CHOOSE(CONTROL!$C$32, $C$9, 100%, $E$9)</f>
        <v>12.921799999999999</v>
      </c>
      <c r="F793" s="11">
        <f>12.9218 * CHOOSE(CONTROL!$C$32, $C$9, 100%, $E$9)</f>
        <v>12.921799999999999</v>
      </c>
      <c r="G793" s="11">
        <f>12.925 * CHOOSE(CONTROL!$C$32, $C$9, 100%, $E$9)</f>
        <v>12.925000000000001</v>
      </c>
      <c r="H793" s="11">
        <f>27.2954 * CHOOSE(CONTROL!$C$32, $C$9, 100%, $E$9)</f>
        <v>27.295400000000001</v>
      </c>
      <c r="I793" s="11">
        <f>27.2986 * CHOOSE(CONTROL!$C$32, $C$9, 100%, $E$9)</f>
        <v>27.2986</v>
      </c>
      <c r="J793" s="11">
        <f>27.2954 * CHOOSE(CONTROL!$C$32, $C$9, 100%, $E$9)</f>
        <v>27.295400000000001</v>
      </c>
      <c r="K793" s="11">
        <f>27.2986 * CHOOSE(CONTROL!$C$32, $C$9, 100%, $E$9)</f>
        <v>27.2986</v>
      </c>
      <c r="L793" s="11">
        <f>12.9218 * CHOOSE(CONTROL!$C$32, $C$9, 100%, $E$9)</f>
        <v>12.921799999999999</v>
      </c>
      <c r="M793" s="11">
        <f>12.925 * CHOOSE(CONTROL!$C$32, $C$9, 100%, $E$9)</f>
        <v>12.925000000000001</v>
      </c>
      <c r="N793" s="11">
        <f>12.9218 * CHOOSE(CONTROL!$C$32, $C$9, 100%, $E$9)</f>
        <v>12.921799999999999</v>
      </c>
      <c r="O793" s="11">
        <f>12.925 * CHOOSE(CONTROL!$C$32, $C$9, 100%, $E$9)</f>
        <v>12.925000000000001</v>
      </c>
    </row>
    <row r="794" spans="1:15" ht="15" x14ac:dyDescent="0.2">
      <c r="A794" s="13">
        <v>65016</v>
      </c>
      <c r="B794" s="9">
        <f>11.6299 * CHOOSE(CONTROL!$C$32, $C$9, 100%, $E$9)</f>
        <v>11.629899999999999</v>
      </c>
      <c r="C794" s="9">
        <f>11.6299 * CHOOSE(CONTROL!$C$32, $C$9, 100%, $E$9)</f>
        <v>11.629899999999999</v>
      </c>
      <c r="D794" s="9">
        <f>11.6309 * CHOOSE(CONTROL!$C$32, $C$9, 100%, $E$9)</f>
        <v>11.6309</v>
      </c>
      <c r="E794" s="11">
        <f>13.0706 * CHOOSE(CONTROL!$C$32, $C$9, 100%, $E$9)</f>
        <v>13.070600000000001</v>
      </c>
      <c r="F794" s="11">
        <f>13.0706 * CHOOSE(CONTROL!$C$32, $C$9, 100%, $E$9)</f>
        <v>13.070600000000001</v>
      </c>
      <c r="G794" s="11">
        <f>13.0738 * CHOOSE(CONTROL!$C$32, $C$9, 100%, $E$9)</f>
        <v>13.0738</v>
      </c>
      <c r="H794" s="11">
        <f>27.1494 * CHOOSE(CONTROL!$C$32, $C$9, 100%, $E$9)</f>
        <v>27.1494</v>
      </c>
      <c r="I794" s="11">
        <f>27.1526 * CHOOSE(CONTROL!$C$32, $C$9, 100%, $E$9)</f>
        <v>27.1526</v>
      </c>
      <c r="J794" s="11">
        <f>27.1494 * CHOOSE(CONTROL!$C$32, $C$9, 100%, $E$9)</f>
        <v>27.1494</v>
      </c>
      <c r="K794" s="11">
        <f>27.1526 * CHOOSE(CONTROL!$C$32, $C$9, 100%, $E$9)</f>
        <v>27.1526</v>
      </c>
      <c r="L794" s="11">
        <f>13.0706 * CHOOSE(CONTROL!$C$32, $C$9, 100%, $E$9)</f>
        <v>13.070600000000001</v>
      </c>
      <c r="M794" s="11">
        <f>13.0738 * CHOOSE(CONTROL!$C$32, $C$9, 100%, $E$9)</f>
        <v>13.0738</v>
      </c>
      <c r="N794" s="11">
        <f>13.0706 * CHOOSE(CONTROL!$C$32, $C$9, 100%, $E$9)</f>
        <v>13.070600000000001</v>
      </c>
      <c r="O794" s="11">
        <f>13.0738 * CHOOSE(CONTROL!$C$32, $C$9, 100%, $E$9)</f>
        <v>13.0738</v>
      </c>
    </row>
    <row r="795" spans="1:15" ht="15" x14ac:dyDescent="0.2">
      <c r="A795" s="13">
        <v>65047</v>
      </c>
      <c r="B795" s="9">
        <f>11.6269 * CHOOSE(CONTROL!$C$32, $C$9, 100%, $E$9)</f>
        <v>11.626899999999999</v>
      </c>
      <c r="C795" s="9">
        <f>11.6269 * CHOOSE(CONTROL!$C$32, $C$9, 100%, $E$9)</f>
        <v>11.626899999999999</v>
      </c>
      <c r="D795" s="9">
        <f>11.6279 * CHOOSE(CONTROL!$C$32, $C$9, 100%, $E$9)</f>
        <v>11.6279</v>
      </c>
      <c r="E795" s="11">
        <f>12.7228 * CHOOSE(CONTROL!$C$32, $C$9, 100%, $E$9)</f>
        <v>12.722799999999999</v>
      </c>
      <c r="F795" s="11">
        <f>12.7228 * CHOOSE(CONTROL!$C$32, $C$9, 100%, $E$9)</f>
        <v>12.722799999999999</v>
      </c>
      <c r="G795" s="11">
        <f>12.7261 * CHOOSE(CONTROL!$C$32, $C$9, 100%, $E$9)</f>
        <v>12.726100000000001</v>
      </c>
      <c r="H795" s="11">
        <f>27.206 * CHOOSE(CONTROL!$C$32, $C$9, 100%, $E$9)</f>
        <v>27.206</v>
      </c>
      <c r="I795" s="11">
        <f>27.2092 * CHOOSE(CONTROL!$C$32, $C$9, 100%, $E$9)</f>
        <v>27.209199999999999</v>
      </c>
      <c r="J795" s="11">
        <f>27.206 * CHOOSE(CONTROL!$C$32, $C$9, 100%, $E$9)</f>
        <v>27.206</v>
      </c>
      <c r="K795" s="11">
        <f>27.2092 * CHOOSE(CONTROL!$C$32, $C$9, 100%, $E$9)</f>
        <v>27.209199999999999</v>
      </c>
      <c r="L795" s="11">
        <f>12.7228 * CHOOSE(CONTROL!$C$32, $C$9, 100%, $E$9)</f>
        <v>12.722799999999999</v>
      </c>
      <c r="M795" s="11">
        <f>12.7261 * CHOOSE(CONTROL!$C$32, $C$9, 100%, $E$9)</f>
        <v>12.726100000000001</v>
      </c>
      <c r="N795" s="11">
        <f>12.7228 * CHOOSE(CONTROL!$C$32, $C$9, 100%, $E$9)</f>
        <v>12.722799999999999</v>
      </c>
      <c r="O795" s="11">
        <f>12.7261 * CHOOSE(CONTROL!$C$32, $C$9, 100%, $E$9)</f>
        <v>12.726100000000001</v>
      </c>
    </row>
    <row r="796" spans="1:15" ht="15" x14ac:dyDescent="0.2">
      <c r="A796" s="13">
        <v>65075</v>
      </c>
      <c r="B796" s="9">
        <f>11.6239 * CHOOSE(CONTROL!$C$32, $C$9, 100%, $E$9)</f>
        <v>11.623900000000001</v>
      </c>
      <c r="C796" s="9">
        <f>11.6239 * CHOOSE(CONTROL!$C$32, $C$9, 100%, $E$9)</f>
        <v>11.623900000000001</v>
      </c>
      <c r="D796" s="9">
        <f>11.6248 * CHOOSE(CONTROL!$C$32, $C$9, 100%, $E$9)</f>
        <v>11.6248</v>
      </c>
      <c r="E796" s="11">
        <f>12.9932 * CHOOSE(CONTROL!$C$32, $C$9, 100%, $E$9)</f>
        <v>12.9932</v>
      </c>
      <c r="F796" s="11">
        <f>12.9932 * CHOOSE(CONTROL!$C$32, $C$9, 100%, $E$9)</f>
        <v>12.9932</v>
      </c>
      <c r="G796" s="11">
        <f>12.9964 * CHOOSE(CONTROL!$C$32, $C$9, 100%, $E$9)</f>
        <v>12.9964</v>
      </c>
      <c r="H796" s="11">
        <f>27.2627 * CHOOSE(CONTROL!$C$32, $C$9, 100%, $E$9)</f>
        <v>27.262699999999999</v>
      </c>
      <c r="I796" s="11">
        <f>27.2659 * CHOOSE(CONTROL!$C$32, $C$9, 100%, $E$9)</f>
        <v>27.265899999999998</v>
      </c>
      <c r="J796" s="11">
        <f>27.2627 * CHOOSE(CONTROL!$C$32, $C$9, 100%, $E$9)</f>
        <v>27.262699999999999</v>
      </c>
      <c r="K796" s="11">
        <f>27.2659 * CHOOSE(CONTROL!$C$32, $C$9, 100%, $E$9)</f>
        <v>27.265899999999998</v>
      </c>
      <c r="L796" s="11">
        <f>12.9932 * CHOOSE(CONTROL!$C$32, $C$9, 100%, $E$9)</f>
        <v>12.9932</v>
      </c>
      <c r="M796" s="11">
        <f>12.9964 * CHOOSE(CONTROL!$C$32, $C$9, 100%, $E$9)</f>
        <v>12.9964</v>
      </c>
      <c r="N796" s="11">
        <f>12.9932 * CHOOSE(CONTROL!$C$32, $C$9, 100%, $E$9)</f>
        <v>12.9932</v>
      </c>
      <c r="O796" s="11">
        <f>12.9964 * CHOOSE(CONTROL!$C$32, $C$9, 100%, $E$9)</f>
        <v>12.9964</v>
      </c>
    </row>
    <row r="797" spans="1:15" ht="15" x14ac:dyDescent="0.2">
      <c r="A797" s="13">
        <v>65106</v>
      </c>
      <c r="B797" s="9">
        <f>11.6289 * CHOOSE(CONTROL!$C$32, $C$9, 100%, $E$9)</f>
        <v>11.6289</v>
      </c>
      <c r="C797" s="9">
        <f>11.6289 * CHOOSE(CONTROL!$C$32, $C$9, 100%, $E$9)</f>
        <v>11.6289</v>
      </c>
      <c r="D797" s="9">
        <f>11.6299 * CHOOSE(CONTROL!$C$32, $C$9, 100%, $E$9)</f>
        <v>11.629899999999999</v>
      </c>
      <c r="E797" s="11">
        <f>13.2815 * CHOOSE(CONTROL!$C$32, $C$9, 100%, $E$9)</f>
        <v>13.281499999999999</v>
      </c>
      <c r="F797" s="11">
        <f>13.2815 * CHOOSE(CONTROL!$C$32, $C$9, 100%, $E$9)</f>
        <v>13.281499999999999</v>
      </c>
      <c r="G797" s="11">
        <f>13.2847 * CHOOSE(CONTROL!$C$32, $C$9, 100%, $E$9)</f>
        <v>13.284700000000001</v>
      </c>
      <c r="H797" s="11">
        <f>27.3194 * CHOOSE(CONTROL!$C$32, $C$9, 100%, $E$9)</f>
        <v>27.319400000000002</v>
      </c>
      <c r="I797" s="11">
        <f>27.3227 * CHOOSE(CONTROL!$C$32, $C$9, 100%, $E$9)</f>
        <v>27.322700000000001</v>
      </c>
      <c r="J797" s="11">
        <f>27.3194 * CHOOSE(CONTROL!$C$32, $C$9, 100%, $E$9)</f>
        <v>27.319400000000002</v>
      </c>
      <c r="K797" s="11">
        <f>27.3227 * CHOOSE(CONTROL!$C$32, $C$9, 100%, $E$9)</f>
        <v>27.322700000000001</v>
      </c>
      <c r="L797" s="11">
        <f>13.2815 * CHOOSE(CONTROL!$C$32, $C$9, 100%, $E$9)</f>
        <v>13.281499999999999</v>
      </c>
      <c r="M797" s="11">
        <f>13.2847 * CHOOSE(CONTROL!$C$32, $C$9, 100%, $E$9)</f>
        <v>13.284700000000001</v>
      </c>
      <c r="N797" s="11">
        <f>13.2815 * CHOOSE(CONTROL!$C$32, $C$9, 100%, $E$9)</f>
        <v>13.281499999999999</v>
      </c>
      <c r="O797" s="11">
        <f>13.2847 * CHOOSE(CONTROL!$C$32, $C$9, 100%, $E$9)</f>
        <v>13.284700000000001</v>
      </c>
    </row>
    <row r="798" spans="1:15" ht="15" x14ac:dyDescent="0.2">
      <c r="A798" s="13">
        <v>65136</v>
      </c>
      <c r="B798" s="9">
        <f>11.6289 * CHOOSE(CONTROL!$C$32, $C$9, 100%, $E$9)</f>
        <v>11.6289</v>
      </c>
      <c r="C798" s="9">
        <f>11.6289 * CHOOSE(CONTROL!$C$32, $C$9, 100%, $E$9)</f>
        <v>11.6289</v>
      </c>
      <c r="D798" s="9">
        <f>11.6302 * CHOOSE(CONTROL!$C$32, $C$9, 100%, $E$9)</f>
        <v>11.6302</v>
      </c>
      <c r="E798" s="11">
        <f>13.3912 * CHOOSE(CONTROL!$C$32, $C$9, 100%, $E$9)</f>
        <v>13.3912</v>
      </c>
      <c r="F798" s="11">
        <f>13.3912 * CHOOSE(CONTROL!$C$32, $C$9, 100%, $E$9)</f>
        <v>13.3912</v>
      </c>
      <c r="G798" s="11">
        <f>13.3954 * CHOOSE(CONTROL!$C$32, $C$9, 100%, $E$9)</f>
        <v>13.3954</v>
      </c>
      <c r="H798" s="11">
        <f>27.3764 * CHOOSE(CONTROL!$C$32, $C$9, 100%, $E$9)</f>
        <v>27.3764</v>
      </c>
      <c r="I798" s="11">
        <f>27.3806 * CHOOSE(CONTROL!$C$32, $C$9, 100%, $E$9)</f>
        <v>27.380600000000001</v>
      </c>
      <c r="J798" s="11">
        <f>27.3764 * CHOOSE(CONTROL!$C$32, $C$9, 100%, $E$9)</f>
        <v>27.3764</v>
      </c>
      <c r="K798" s="11">
        <f>27.3806 * CHOOSE(CONTROL!$C$32, $C$9, 100%, $E$9)</f>
        <v>27.380600000000001</v>
      </c>
      <c r="L798" s="11">
        <f>13.3912 * CHOOSE(CONTROL!$C$32, $C$9, 100%, $E$9)</f>
        <v>13.3912</v>
      </c>
      <c r="M798" s="11">
        <f>13.3954 * CHOOSE(CONTROL!$C$32, $C$9, 100%, $E$9)</f>
        <v>13.3954</v>
      </c>
      <c r="N798" s="11">
        <f>13.3912 * CHOOSE(CONTROL!$C$32, $C$9, 100%, $E$9)</f>
        <v>13.3912</v>
      </c>
      <c r="O798" s="11">
        <f>13.3954 * CHOOSE(CONTROL!$C$32, $C$9, 100%, $E$9)</f>
        <v>13.3954</v>
      </c>
    </row>
    <row r="799" spans="1:15" ht="15" x14ac:dyDescent="0.2">
      <c r="A799" s="13">
        <v>65167</v>
      </c>
      <c r="B799" s="9">
        <f>11.635 * CHOOSE(CONTROL!$C$32, $C$9, 100%, $E$9)</f>
        <v>11.635</v>
      </c>
      <c r="C799" s="9">
        <f>11.635 * CHOOSE(CONTROL!$C$32, $C$9, 100%, $E$9)</f>
        <v>11.635</v>
      </c>
      <c r="D799" s="9">
        <f>11.6362 * CHOOSE(CONTROL!$C$32, $C$9, 100%, $E$9)</f>
        <v>11.636200000000001</v>
      </c>
      <c r="E799" s="11">
        <f>13.2858 * CHOOSE(CONTROL!$C$32, $C$9, 100%, $E$9)</f>
        <v>13.2858</v>
      </c>
      <c r="F799" s="11">
        <f>13.2858 * CHOOSE(CONTROL!$C$32, $C$9, 100%, $E$9)</f>
        <v>13.2858</v>
      </c>
      <c r="G799" s="11">
        <f>13.29 * CHOOSE(CONTROL!$C$32, $C$9, 100%, $E$9)</f>
        <v>13.29</v>
      </c>
      <c r="H799" s="11">
        <f>27.4334 * CHOOSE(CONTROL!$C$32, $C$9, 100%, $E$9)</f>
        <v>27.433399999999999</v>
      </c>
      <c r="I799" s="11">
        <f>27.4376 * CHOOSE(CONTROL!$C$32, $C$9, 100%, $E$9)</f>
        <v>27.4376</v>
      </c>
      <c r="J799" s="11">
        <f>27.4334 * CHOOSE(CONTROL!$C$32, $C$9, 100%, $E$9)</f>
        <v>27.433399999999999</v>
      </c>
      <c r="K799" s="11">
        <f>27.4376 * CHOOSE(CONTROL!$C$32, $C$9, 100%, $E$9)</f>
        <v>27.4376</v>
      </c>
      <c r="L799" s="11">
        <f>13.2858 * CHOOSE(CONTROL!$C$32, $C$9, 100%, $E$9)</f>
        <v>13.2858</v>
      </c>
      <c r="M799" s="11">
        <f>13.29 * CHOOSE(CONTROL!$C$32, $C$9, 100%, $E$9)</f>
        <v>13.29</v>
      </c>
      <c r="N799" s="11">
        <f>13.2858 * CHOOSE(CONTROL!$C$32, $C$9, 100%, $E$9)</f>
        <v>13.2858</v>
      </c>
      <c r="O799" s="11">
        <f>13.29 * CHOOSE(CONTROL!$C$32, $C$9, 100%, $E$9)</f>
        <v>13.29</v>
      </c>
    </row>
    <row r="800" spans="1:15" ht="15" x14ac:dyDescent="0.2">
      <c r="A800" s="13">
        <v>65197</v>
      </c>
      <c r="B800" s="9">
        <f>11.7773 * CHOOSE(CONTROL!$C$32, $C$9, 100%, $E$9)</f>
        <v>11.7773</v>
      </c>
      <c r="C800" s="9">
        <f>11.7773 * CHOOSE(CONTROL!$C$32, $C$9, 100%, $E$9)</f>
        <v>11.7773</v>
      </c>
      <c r="D800" s="9">
        <f>11.7785 * CHOOSE(CONTROL!$C$32, $C$9, 100%, $E$9)</f>
        <v>11.778499999999999</v>
      </c>
      <c r="E800" s="11">
        <f>13.4731 * CHOOSE(CONTROL!$C$32, $C$9, 100%, $E$9)</f>
        <v>13.473100000000001</v>
      </c>
      <c r="F800" s="11">
        <f>13.4731 * CHOOSE(CONTROL!$C$32, $C$9, 100%, $E$9)</f>
        <v>13.473100000000001</v>
      </c>
      <c r="G800" s="11">
        <f>13.4773 * CHOOSE(CONTROL!$C$32, $C$9, 100%, $E$9)</f>
        <v>13.4773</v>
      </c>
      <c r="H800" s="11">
        <f>27.4906 * CHOOSE(CONTROL!$C$32, $C$9, 100%, $E$9)</f>
        <v>27.490600000000001</v>
      </c>
      <c r="I800" s="11">
        <f>27.4948 * CHOOSE(CONTROL!$C$32, $C$9, 100%, $E$9)</f>
        <v>27.494800000000001</v>
      </c>
      <c r="J800" s="11">
        <f>27.4906 * CHOOSE(CONTROL!$C$32, $C$9, 100%, $E$9)</f>
        <v>27.490600000000001</v>
      </c>
      <c r="K800" s="11">
        <f>27.4948 * CHOOSE(CONTROL!$C$32, $C$9, 100%, $E$9)</f>
        <v>27.494800000000001</v>
      </c>
      <c r="L800" s="11">
        <f>13.4731 * CHOOSE(CONTROL!$C$32, $C$9, 100%, $E$9)</f>
        <v>13.473100000000001</v>
      </c>
      <c r="M800" s="11">
        <f>13.4773 * CHOOSE(CONTROL!$C$32, $C$9, 100%, $E$9)</f>
        <v>13.4773</v>
      </c>
      <c r="N800" s="11">
        <f>13.4731 * CHOOSE(CONTROL!$C$32, $C$9, 100%, $E$9)</f>
        <v>13.473100000000001</v>
      </c>
      <c r="O800" s="11">
        <f>13.4773 * CHOOSE(CONTROL!$C$32, $C$9, 100%, $E$9)</f>
        <v>13.4773</v>
      </c>
    </row>
    <row r="801" spans="1:15" ht="15" x14ac:dyDescent="0.2">
      <c r="A801" s="13">
        <v>65228</v>
      </c>
      <c r="B801" s="9">
        <f>11.784 * CHOOSE(CONTROL!$C$32, $C$9, 100%, $E$9)</f>
        <v>11.784000000000001</v>
      </c>
      <c r="C801" s="9">
        <f>11.784 * CHOOSE(CONTROL!$C$32, $C$9, 100%, $E$9)</f>
        <v>11.784000000000001</v>
      </c>
      <c r="D801" s="9">
        <f>11.7852 * CHOOSE(CONTROL!$C$32, $C$9, 100%, $E$9)</f>
        <v>11.7852</v>
      </c>
      <c r="E801" s="11">
        <f>13.1486 * CHOOSE(CONTROL!$C$32, $C$9, 100%, $E$9)</f>
        <v>13.1486</v>
      </c>
      <c r="F801" s="11">
        <f>13.1486 * CHOOSE(CONTROL!$C$32, $C$9, 100%, $E$9)</f>
        <v>13.1486</v>
      </c>
      <c r="G801" s="11">
        <f>13.1528 * CHOOSE(CONTROL!$C$32, $C$9, 100%, $E$9)</f>
        <v>13.152799999999999</v>
      </c>
      <c r="H801" s="11">
        <f>27.5478 * CHOOSE(CONTROL!$C$32, $C$9, 100%, $E$9)</f>
        <v>27.547799999999999</v>
      </c>
      <c r="I801" s="11">
        <f>27.552 * CHOOSE(CONTROL!$C$32, $C$9, 100%, $E$9)</f>
        <v>27.552</v>
      </c>
      <c r="J801" s="11">
        <f>27.5478 * CHOOSE(CONTROL!$C$32, $C$9, 100%, $E$9)</f>
        <v>27.547799999999999</v>
      </c>
      <c r="K801" s="11">
        <f>27.552 * CHOOSE(CONTROL!$C$32, $C$9, 100%, $E$9)</f>
        <v>27.552</v>
      </c>
      <c r="L801" s="11">
        <f>13.1486 * CHOOSE(CONTROL!$C$32, $C$9, 100%, $E$9)</f>
        <v>13.1486</v>
      </c>
      <c r="M801" s="11">
        <f>13.1528 * CHOOSE(CONTROL!$C$32, $C$9, 100%, $E$9)</f>
        <v>13.152799999999999</v>
      </c>
      <c r="N801" s="11">
        <f>13.1486 * CHOOSE(CONTROL!$C$32, $C$9, 100%, $E$9)</f>
        <v>13.1486</v>
      </c>
      <c r="O801" s="11">
        <f>13.1528 * CHOOSE(CONTROL!$C$32, $C$9, 100%, $E$9)</f>
        <v>13.152799999999999</v>
      </c>
    </row>
    <row r="802" spans="1:15" ht="15" x14ac:dyDescent="0.2">
      <c r="A802" s="13">
        <v>65259</v>
      </c>
      <c r="B802" s="9">
        <f>11.7809 * CHOOSE(CONTROL!$C$32, $C$9, 100%, $E$9)</f>
        <v>11.780900000000001</v>
      </c>
      <c r="C802" s="9">
        <f>11.7809 * CHOOSE(CONTROL!$C$32, $C$9, 100%, $E$9)</f>
        <v>11.780900000000001</v>
      </c>
      <c r="D802" s="9">
        <f>11.7822 * CHOOSE(CONTROL!$C$32, $C$9, 100%, $E$9)</f>
        <v>11.7822</v>
      </c>
      <c r="E802" s="11">
        <f>13.1099 * CHOOSE(CONTROL!$C$32, $C$9, 100%, $E$9)</f>
        <v>13.1099</v>
      </c>
      <c r="F802" s="11">
        <f>13.1099 * CHOOSE(CONTROL!$C$32, $C$9, 100%, $E$9)</f>
        <v>13.1099</v>
      </c>
      <c r="G802" s="11">
        <f>13.1141 * CHOOSE(CONTROL!$C$32, $C$9, 100%, $E$9)</f>
        <v>13.114100000000001</v>
      </c>
      <c r="H802" s="11">
        <f>27.6052 * CHOOSE(CONTROL!$C$32, $C$9, 100%, $E$9)</f>
        <v>27.6052</v>
      </c>
      <c r="I802" s="11">
        <f>27.6094 * CHOOSE(CONTROL!$C$32, $C$9, 100%, $E$9)</f>
        <v>27.609400000000001</v>
      </c>
      <c r="J802" s="11">
        <f>27.6052 * CHOOSE(CONTROL!$C$32, $C$9, 100%, $E$9)</f>
        <v>27.6052</v>
      </c>
      <c r="K802" s="11">
        <f>27.6094 * CHOOSE(CONTROL!$C$32, $C$9, 100%, $E$9)</f>
        <v>27.609400000000001</v>
      </c>
      <c r="L802" s="11">
        <f>13.1099 * CHOOSE(CONTROL!$C$32, $C$9, 100%, $E$9)</f>
        <v>13.1099</v>
      </c>
      <c r="M802" s="11">
        <f>13.1141 * CHOOSE(CONTROL!$C$32, $C$9, 100%, $E$9)</f>
        <v>13.114100000000001</v>
      </c>
      <c r="N802" s="11">
        <f>13.1099 * CHOOSE(CONTROL!$C$32, $C$9, 100%, $E$9)</f>
        <v>13.1099</v>
      </c>
      <c r="O802" s="11">
        <f>13.1141 * CHOOSE(CONTROL!$C$32, $C$9, 100%, $E$9)</f>
        <v>13.114100000000001</v>
      </c>
    </row>
    <row r="803" spans="1:15" ht="15" x14ac:dyDescent="0.2">
      <c r="A803" s="13">
        <v>65289</v>
      </c>
      <c r="B803" s="9">
        <f>11.8051 * CHOOSE(CONTROL!$C$32, $C$9, 100%, $E$9)</f>
        <v>11.805099999999999</v>
      </c>
      <c r="C803" s="9">
        <f>11.8051 * CHOOSE(CONTROL!$C$32, $C$9, 100%, $E$9)</f>
        <v>11.805099999999999</v>
      </c>
      <c r="D803" s="9">
        <f>11.806 * CHOOSE(CONTROL!$C$32, $C$9, 100%, $E$9)</f>
        <v>11.805999999999999</v>
      </c>
      <c r="E803" s="11">
        <f>13.2428 * CHOOSE(CONTROL!$C$32, $C$9, 100%, $E$9)</f>
        <v>13.242800000000001</v>
      </c>
      <c r="F803" s="11">
        <f>13.2428 * CHOOSE(CONTROL!$C$32, $C$9, 100%, $E$9)</f>
        <v>13.242800000000001</v>
      </c>
      <c r="G803" s="11">
        <f>13.246 * CHOOSE(CONTROL!$C$32, $C$9, 100%, $E$9)</f>
        <v>13.246</v>
      </c>
      <c r="H803" s="11">
        <f>27.6627 * CHOOSE(CONTROL!$C$32, $C$9, 100%, $E$9)</f>
        <v>27.662700000000001</v>
      </c>
      <c r="I803" s="11">
        <f>27.666 * CHOOSE(CONTROL!$C$32, $C$9, 100%, $E$9)</f>
        <v>27.666</v>
      </c>
      <c r="J803" s="11">
        <f>27.6627 * CHOOSE(CONTROL!$C$32, $C$9, 100%, $E$9)</f>
        <v>27.662700000000001</v>
      </c>
      <c r="K803" s="11">
        <f>27.666 * CHOOSE(CONTROL!$C$32, $C$9, 100%, $E$9)</f>
        <v>27.666</v>
      </c>
      <c r="L803" s="11">
        <f>13.2428 * CHOOSE(CONTROL!$C$32, $C$9, 100%, $E$9)</f>
        <v>13.242800000000001</v>
      </c>
      <c r="M803" s="11">
        <f>13.246 * CHOOSE(CONTROL!$C$32, $C$9, 100%, $E$9)</f>
        <v>13.246</v>
      </c>
      <c r="N803" s="11">
        <f>13.2428 * CHOOSE(CONTROL!$C$32, $C$9, 100%, $E$9)</f>
        <v>13.242800000000001</v>
      </c>
      <c r="O803" s="11">
        <f>13.246 * CHOOSE(CONTROL!$C$32, $C$9, 100%, $E$9)</f>
        <v>13.246</v>
      </c>
    </row>
    <row r="804" spans="1:15" ht="15" x14ac:dyDescent="0.2">
      <c r="A804" s="13">
        <v>65320</v>
      </c>
      <c r="B804" s="9">
        <f>11.8081 * CHOOSE(CONTROL!$C$32, $C$9, 100%, $E$9)</f>
        <v>11.8081</v>
      </c>
      <c r="C804" s="9">
        <f>11.8081 * CHOOSE(CONTROL!$C$32, $C$9, 100%, $E$9)</f>
        <v>11.8081</v>
      </c>
      <c r="D804" s="9">
        <f>11.8091 * CHOOSE(CONTROL!$C$32, $C$9, 100%, $E$9)</f>
        <v>11.809100000000001</v>
      </c>
      <c r="E804" s="11">
        <f>13.3181 * CHOOSE(CONTROL!$C$32, $C$9, 100%, $E$9)</f>
        <v>13.318099999999999</v>
      </c>
      <c r="F804" s="11">
        <f>13.3181 * CHOOSE(CONTROL!$C$32, $C$9, 100%, $E$9)</f>
        <v>13.318099999999999</v>
      </c>
      <c r="G804" s="11">
        <f>13.3213 * CHOOSE(CONTROL!$C$32, $C$9, 100%, $E$9)</f>
        <v>13.321300000000001</v>
      </c>
      <c r="H804" s="11">
        <f>27.7204 * CHOOSE(CONTROL!$C$32, $C$9, 100%, $E$9)</f>
        <v>27.720400000000001</v>
      </c>
      <c r="I804" s="11">
        <f>27.7236 * CHOOSE(CONTROL!$C$32, $C$9, 100%, $E$9)</f>
        <v>27.723600000000001</v>
      </c>
      <c r="J804" s="11">
        <f>27.7204 * CHOOSE(CONTROL!$C$32, $C$9, 100%, $E$9)</f>
        <v>27.720400000000001</v>
      </c>
      <c r="K804" s="11">
        <f>27.7236 * CHOOSE(CONTROL!$C$32, $C$9, 100%, $E$9)</f>
        <v>27.723600000000001</v>
      </c>
      <c r="L804" s="11">
        <f>13.3181 * CHOOSE(CONTROL!$C$32, $C$9, 100%, $E$9)</f>
        <v>13.318099999999999</v>
      </c>
      <c r="M804" s="11">
        <f>13.3213 * CHOOSE(CONTROL!$C$32, $C$9, 100%, $E$9)</f>
        <v>13.321300000000001</v>
      </c>
      <c r="N804" s="11">
        <f>13.3181 * CHOOSE(CONTROL!$C$32, $C$9, 100%, $E$9)</f>
        <v>13.318099999999999</v>
      </c>
      <c r="O804" s="11">
        <f>13.3213 * CHOOSE(CONTROL!$C$32, $C$9, 100%, $E$9)</f>
        <v>13.321300000000001</v>
      </c>
    </row>
    <row r="805" spans="1:15" ht="15" x14ac:dyDescent="0.2">
      <c r="A805" s="13">
        <v>65350</v>
      </c>
      <c r="B805" s="9">
        <f>11.8081 * CHOOSE(CONTROL!$C$32, $C$9, 100%, $E$9)</f>
        <v>11.8081</v>
      </c>
      <c r="C805" s="9">
        <f>11.8081 * CHOOSE(CONTROL!$C$32, $C$9, 100%, $E$9)</f>
        <v>11.8081</v>
      </c>
      <c r="D805" s="9">
        <f>11.8091 * CHOOSE(CONTROL!$C$32, $C$9, 100%, $E$9)</f>
        <v>11.809100000000001</v>
      </c>
      <c r="E805" s="11">
        <f>13.1352 * CHOOSE(CONTROL!$C$32, $C$9, 100%, $E$9)</f>
        <v>13.135199999999999</v>
      </c>
      <c r="F805" s="11">
        <f>13.1352 * CHOOSE(CONTROL!$C$32, $C$9, 100%, $E$9)</f>
        <v>13.135199999999999</v>
      </c>
      <c r="G805" s="11">
        <f>13.1384 * CHOOSE(CONTROL!$C$32, $C$9, 100%, $E$9)</f>
        <v>13.138400000000001</v>
      </c>
      <c r="H805" s="11">
        <f>27.7781 * CHOOSE(CONTROL!$C$32, $C$9, 100%, $E$9)</f>
        <v>27.778099999999998</v>
      </c>
      <c r="I805" s="11">
        <f>27.7813 * CHOOSE(CONTROL!$C$32, $C$9, 100%, $E$9)</f>
        <v>27.781300000000002</v>
      </c>
      <c r="J805" s="11">
        <f>27.7781 * CHOOSE(CONTROL!$C$32, $C$9, 100%, $E$9)</f>
        <v>27.778099999999998</v>
      </c>
      <c r="K805" s="11">
        <f>27.7813 * CHOOSE(CONTROL!$C$32, $C$9, 100%, $E$9)</f>
        <v>27.781300000000002</v>
      </c>
      <c r="L805" s="11">
        <f>13.1352 * CHOOSE(CONTROL!$C$32, $C$9, 100%, $E$9)</f>
        <v>13.135199999999999</v>
      </c>
      <c r="M805" s="11">
        <f>13.1384 * CHOOSE(CONTROL!$C$32, $C$9, 100%, $E$9)</f>
        <v>13.138400000000001</v>
      </c>
      <c r="N805" s="11">
        <f>13.1352 * CHOOSE(CONTROL!$C$32, $C$9, 100%, $E$9)</f>
        <v>13.135199999999999</v>
      </c>
      <c r="O805" s="11">
        <f>13.1384 * CHOOSE(CONTROL!$C$32, $C$9, 100%, $E$9)</f>
        <v>13.138400000000001</v>
      </c>
    </row>
    <row r="806" spans="1:15" ht="15" x14ac:dyDescent="0.2">
      <c r="A806" s="13">
        <v>65381</v>
      </c>
      <c r="B806" s="9">
        <f>11.8173 * CHOOSE(CONTROL!$C$32, $C$9, 100%, $E$9)</f>
        <v>11.817299999999999</v>
      </c>
      <c r="C806" s="9">
        <f>11.8173 * CHOOSE(CONTROL!$C$32, $C$9, 100%, $E$9)</f>
        <v>11.817299999999999</v>
      </c>
      <c r="D806" s="9">
        <f>11.8182 * CHOOSE(CONTROL!$C$32, $C$9, 100%, $E$9)</f>
        <v>11.818199999999999</v>
      </c>
      <c r="E806" s="11">
        <f>13.2831 * CHOOSE(CONTROL!$C$32, $C$9, 100%, $E$9)</f>
        <v>13.283099999999999</v>
      </c>
      <c r="F806" s="11">
        <f>13.2831 * CHOOSE(CONTROL!$C$32, $C$9, 100%, $E$9)</f>
        <v>13.283099999999999</v>
      </c>
      <c r="G806" s="11">
        <f>13.2863 * CHOOSE(CONTROL!$C$32, $C$9, 100%, $E$9)</f>
        <v>13.286300000000001</v>
      </c>
      <c r="H806" s="11">
        <f>27.6212 * CHOOSE(CONTROL!$C$32, $C$9, 100%, $E$9)</f>
        <v>27.621200000000002</v>
      </c>
      <c r="I806" s="11">
        <f>27.6244 * CHOOSE(CONTROL!$C$32, $C$9, 100%, $E$9)</f>
        <v>27.624400000000001</v>
      </c>
      <c r="J806" s="11">
        <f>27.6212 * CHOOSE(CONTROL!$C$32, $C$9, 100%, $E$9)</f>
        <v>27.621200000000002</v>
      </c>
      <c r="K806" s="11">
        <f>27.6244 * CHOOSE(CONTROL!$C$32, $C$9, 100%, $E$9)</f>
        <v>27.624400000000001</v>
      </c>
      <c r="L806" s="11">
        <f>13.2831 * CHOOSE(CONTROL!$C$32, $C$9, 100%, $E$9)</f>
        <v>13.283099999999999</v>
      </c>
      <c r="M806" s="11">
        <f>13.2863 * CHOOSE(CONTROL!$C$32, $C$9, 100%, $E$9)</f>
        <v>13.286300000000001</v>
      </c>
      <c r="N806" s="11">
        <f>13.2831 * CHOOSE(CONTROL!$C$32, $C$9, 100%, $E$9)</f>
        <v>13.283099999999999</v>
      </c>
      <c r="O806" s="11">
        <f>13.2863 * CHOOSE(CONTROL!$C$32, $C$9, 100%, $E$9)</f>
        <v>13.286300000000001</v>
      </c>
    </row>
    <row r="807" spans="1:15" ht="15" x14ac:dyDescent="0.2">
      <c r="A807" s="13">
        <v>65412</v>
      </c>
      <c r="B807" s="9">
        <f>11.8143 * CHOOSE(CONTROL!$C$32, $C$9, 100%, $E$9)</f>
        <v>11.814299999999999</v>
      </c>
      <c r="C807" s="9">
        <f>11.8143 * CHOOSE(CONTROL!$C$32, $C$9, 100%, $E$9)</f>
        <v>11.814299999999999</v>
      </c>
      <c r="D807" s="9">
        <f>11.8152 * CHOOSE(CONTROL!$C$32, $C$9, 100%, $E$9)</f>
        <v>11.815200000000001</v>
      </c>
      <c r="E807" s="11">
        <f>12.9283 * CHOOSE(CONTROL!$C$32, $C$9, 100%, $E$9)</f>
        <v>12.9283</v>
      </c>
      <c r="F807" s="11">
        <f>12.9283 * CHOOSE(CONTROL!$C$32, $C$9, 100%, $E$9)</f>
        <v>12.9283</v>
      </c>
      <c r="G807" s="11">
        <f>12.9315 * CHOOSE(CONTROL!$C$32, $C$9, 100%, $E$9)</f>
        <v>12.9315</v>
      </c>
      <c r="H807" s="11">
        <f>27.6788 * CHOOSE(CONTROL!$C$32, $C$9, 100%, $E$9)</f>
        <v>27.678799999999999</v>
      </c>
      <c r="I807" s="11">
        <f>27.682 * CHOOSE(CONTROL!$C$32, $C$9, 100%, $E$9)</f>
        <v>27.681999999999999</v>
      </c>
      <c r="J807" s="11">
        <f>27.6788 * CHOOSE(CONTROL!$C$32, $C$9, 100%, $E$9)</f>
        <v>27.678799999999999</v>
      </c>
      <c r="K807" s="11">
        <f>27.682 * CHOOSE(CONTROL!$C$32, $C$9, 100%, $E$9)</f>
        <v>27.681999999999999</v>
      </c>
      <c r="L807" s="11">
        <f>12.9283 * CHOOSE(CONTROL!$C$32, $C$9, 100%, $E$9)</f>
        <v>12.9283</v>
      </c>
      <c r="M807" s="11">
        <f>12.9315 * CHOOSE(CONTROL!$C$32, $C$9, 100%, $E$9)</f>
        <v>12.9315</v>
      </c>
      <c r="N807" s="11">
        <f>12.9283 * CHOOSE(CONTROL!$C$32, $C$9, 100%, $E$9)</f>
        <v>12.9283</v>
      </c>
      <c r="O807" s="11">
        <f>12.9315 * CHOOSE(CONTROL!$C$32, $C$9, 100%, $E$9)</f>
        <v>12.9315</v>
      </c>
    </row>
    <row r="808" spans="1:15" ht="15" x14ac:dyDescent="0.2">
      <c r="A808" s="13">
        <v>65440</v>
      </c>
      <c r="B808" s="9">
        <f>11.8112 * CHOOSE(CONTROL!$C$32, $C$9, 100%, $E$9)</f>
        <v>11.811199999999999</v>
      </c>
      <c r="C808" s="9">
        <f>11.8112 * CHOOSE(CONTROL!$C$32, $C$9, 100%, $E$9)</f>
        <v>11.811199999999999</v>
      </c>
      <c r="D808" s="9">
        <f>11.8122 * CHOOSE(CONTROL!$C$32, $C$9, 100%, $E$9)</f>
        <v>11.812200000000001</v>
      </c>
      <c r="E808" s="11">
        <f>13.2042 * CHOOSE(CONTROL!$C$32, $C$9, 100%, $E$9)</f>
        <v>13.2042</v>
      </c>
      <c r="F808" s="11">
        <f>13.2042 * CHOOSE(CONTROL!$C$32, $C$9, 100%, $E$9)</f>
        <v>13.2042</v>
      </c>
      <c r="G808" s="11">
        <f>13.2074 * CHOOSE(CONTROL!$C$32, $C$9, 100%, $E$9)</f>
        <v>13.2074</v>
      </c>
      <c r="H808" s="11">
        <f>27.7364 * CHOOSE(CONTROL!$C$32, $C$9, 100%, $E$9)</f>
        <v>27.7364</v>
      </c>
      <c r="I808" s="11">
        <f>27.7397 * CHOOSE(CONTROL!$C$32, $C$9, 100%, $E$9)</f>
        <v>27.739699999999999</v>
      </c>
      <c r="J808" s="11">
        <f>27.7364 * CHOOSE(CONTROL!$C$32, $C$9, 100%, $E$9)</f>
        <v>27.7364</v>
      </c>
      <c r="K808" s="11">
        <f>27.7397 * CHOOSE(CONTROL!$C$32, $C$9, 100%, $E$9)</f>
        <v>27.739699999999999</v>
      </c>
      <c r="L808" s="11">
        <f>13.2042 * CHOOSE(CONTROL!$C$32, $C$9, 100%, $E$9)</f>
        <v>13.2042</v>
      </c>
      <c r="M808" s="11">
        <f>13.2074 * CHOOSE(CONTROL!$C$32, $C$9, 100%, $E$9)</f>
        <v>13.2074</v>
      </c>
      <c r="N808" s="11">
        <f>13.2042 * CHOOSE(CONTROL!$C$32, $C$9, 100%, $E$9)</f>
        <v>13.2042</v>
      </c>
      <c r="O808" s="11">
        <f>13.2074 * CHOOSE(CONTROL!$C$32, $C$9, 100%, $E$9)</f>
        <v>13.2074</v>
      </c>
    </row>
    <row r="809" spans="1:15" ht="15" x14ac:dyDescent="0.2">
      <c r="A809" s="13">
        <v>65471</v>
      </c>
      <c r="B809" s="9">
        <f>11.8164 * CHOOSE(CONTROL!$C$32, $C$9, 100%, $E$9)</f>
        <v>11.8164</v>
      </c>
      <c r="C809" s="9">
        <f>11.8164 * CHOOSE(CONTROL!$C$32, $C$9, 100%, $E$9)</f>
        <v>11.8164</v>
      </c>
      <c r="D809" s="9">
        <f>11.8174 * CHOOSE(CONTROL!$C$32, $C$9, 100%, $E$9)</f>
        <v>11.817399999999999</v>
      </c>
      <c r="E809" s="11">
        <f>13.4985 * CHOOSE(CONTROL!$C$32, $C$9, 100%, $E$9)</f>
        <v>13.4985</v>
      </c>
      <c r="F809" s="11">
        <f>13.4985 * CHOOSE(CONTROL!$C$32, $C$9, 100%, $E$9)</f>
        <v>13.4985</v>
      </c>
      <c r="G809" s="11">
        <f>13.5018 * CHOOSE(CONTROL!$C$32, $C$9, 100%, $E$9)</f>
        <v>13.501799999999999</v>
      </c>
      <c r="H809" s="11">
        <f>27.7942 * CHOOSE(CONTROL!$C$32, $C$9, 100%, $E$9)</f>
        <v>27.7942</v>
      </c>
      <c r="I809" s="11">
        <f>27.7974 * CHOOSE(CONTROL!$C$32, $C$9, 100%, $E$9)</f>
        <v>27.7974</v>
      </c>
      <c r="J809" s="11">
        <f>27.7942 * CHOOSE(CONTROL!$C$32, $C$9, 100%, $E$9)</f>
        <v>27.7942</v>
      </c>
      <c r="K809" s="11">
        <f>27.7974 * CHOOSE(CONTROL!$C$32, $C$9, 100%, $E$9)</f>
        <v>27.7974</v>
      </c>
      <c r="L809" s="11">
        <f>13.4985 * CHOOSE(CONTROL!$C$32, $C$9, 100%, $E$9)</f>
        <v>13.4985</v>
      </c>
      <c r="M809" s="11">
        <f>13.5018 * CHOOSE(CONTROL!$C$32, $C$9, 100%, $E$9)</f>
        <v>13.501799999999999</v>
      </c>
      <c r="N809" s="11">
        <f>13.4985 * CHOOSE(CONTROL!$C$32, $C$9, 100%, $E$9)</f>
        <v>13.4985</v>
      </c>
      <c r="O809" s="11">
        <f>13.5018 * CHOOSE(CONTROL!$C$32, $C$9, 100%, $E$9)</f>
        <v>13.501799999999999</v>
      </c>
    </row>
    <row r="810" spans="1:15" ht="15" x14ac:dyDescent="0.2">
      <c r="A810" s="13">
        <v>65501</v>
      </c>
      <c r="B810" s="9">
        <f>11.8164 * CHOOSE(CONTROL!$C$32, $C$9, 100%, $E$9)</f>
        <v>11.8164</v>
      </c>
      <c r="C810" s="9">
        <f>11.8164 * CHOOSE(CONTROL!$C$32, $C$9, 100%, $E$9)</f>
        <v>11.8164</v>
      </c>
      <c r="D810" s="9">
        <f>11.8177 * CHOOSE(CONTROL!$C$32, $C$9, 100%, $E$9)</f>
        <v>11.8177</v>
      </c>
      <c r="E810" s="11">
        <f>13.6105 * CHOOSE(CONTROL!$C$32, $C$9, 100%, $E$9)</f>
        <v>13.6105</v>
      </c>
      <c r="F810" s="11">
        <f>13.6105 * CHOOSE(CONTROL!$C$32, $C$9, 100%, $E$9)</f>
        <v>13.6105</v>
      </c>
      <c r="G810" s="11">
        <f>13.6147 * CHOOSE(CONTROL!$C$32, $C$9, 100%, $E$9)</f>
        <v>13.614699999999999</v>
      </c>
      <c r="H810" s="11">
        <f>27.8521 * CHOOSE(CONTROL!$C$32, $C$9, 100%, $E$9)</f>
        <v>27.8521</v>
      </c>
      <c r="I810" s="11">
        <f>27.8563 * CHOOSE(CONTROL!$C$32, $C$9, 100%, $E$9)</f>
        <v>27.856300000000001</v>
      </c>
      <c r="J810" s="11">
        <f>27.8521 * CHOOSE(CONTROL!$C$32, $C$9, 100%, $E$9)</f>
        <v>27.8521</v>
      </c>
      <c r="K810" s="11">
        <f>27.8563 * CHOOSE(CONTROL!$C$32, $C$9, 100%, $E$9)</f>
        <v>27.856300000000001</v>
      </c>
      <c r="L810" s="11">
        <f>13.6105 * CHOOSE(CONTROL!$C$32, $C$9, 100%, $E$9)</f>
        <v>13.6105</v>
      </c>
      <c r="M810" s="11">
        <f>13.6147 * CHOOSE(CONTROL!$C$32, $C$9, 100%, $E$9)</f>
        <v>13.614699999999999</v>
      </c>
      <c r="N810" s="11">
        <f>13.6105 * CHOOSE(CONTROL!$C$32, $C$9, 100%, $E$9)</f>
        <v>13.6105</v>
      </c>
      <c r="O810" s="11">
        <f>13.6147 * CHOOSE(CONTROL!$C$32, $C$9, 100%, $E$9)</f>
        <v>13.614699999999999</v>
      </c>
    </row>
    <row r="811" spans="1:15" ht="15" x14ac:dyDescent="0.2">
      <c r="A811" s="13">
        <v>65532</v>
      </c>
      <c r="B811" s="9">
        <f>11.8225 * CHOOSE(CONTROL!$C$32, $C$9, 100%, $E$9)</f>
        <v>11.8225</v>
      </c>
      <c r="C811" s="9">
        <f>11.8225 * CHOOSE(CONTROL!$C$32, $C$9, 100%, $E$9)</f>
        <v>11.8225</v>
      </c>
      <c r="D811" s="9">
        <f>11.8238 * CHOOSE(CONTROL!$C$32, $C$9, 100%, $E$9)</f>
        <v>11.8238</v>
      </c>
      <c r="E811" s="11">
        <f>13.5028 * CHOOSE(CONTROL!$C$32, $C$9, 100%, $E$9)</f>
        <v>13.502800000000001</v>
      </c>
      <c r="F811" s="11">
        <f>13.5028 * CHOOSE(CONTROL!$C$32, $C$9, 100%, $E$9)</f>
        <v>13.502800000000001</v>
      </c>
      <c r="G811" s="11">
        <f>13.507 * CHOOSE(CONTROL!$C$32, $C$9, 100%, $E$9)</f>
        <v>13.507</v>
      </c>
      <c r="H811" s="11">
        <f>27.9101 * CHOOSE(CONTROL!$C$32, $C$9, 100%, $E$9)</f>
        <v>27.9101</v>
      </c>
      <c r="I811" s="11">
        <f>27.9143 * CHOOSE(CONTROL!$C$32, $C$9, 100%, $E$9)</f>
        <v>27.914300000000001</v>
      </c>
      <c r="J811" s="11">
        <f>27.9101 * CHOOSE(CONTROL!$C$32, $C$9, 100%, $E$9)</f>
        <v>27.9101</v>
      </c>
      <c r="K811" s="11">
        <f>27.9143 * CHOOSE(CONTROL!$C$32, $C$9, 100%, $E$9)</f>
        <v>27.914300000000001</v>
      </c>
      <c r="L811" s="11">
        <f>13.5028 * CHOOSE(CONTROL!$C$32, $C$9, 100%, $E$9)</f>
        <v>13.502800000000001</v>
      </c>
      <c r="M811" s="11">
        <f>13.507 * CHOOSE(CONTROL!$C$32, $C$9, 100%, $E$9)</f>
        <v>13.507</v>
      </c>
      <c r="N811" s="11">
        <f>13.5028 * CHOOSE(CONTROL!$C$32, $C$9, 100%, $E$9)</f>
        <v>13.502800000000001</v>
      </c>
      <c r="O811" s="11">
        <f>13.507 * CHOOSE(CONTROL!$C$32, $C$9, 100%, $E$9)</f>
        <v>13.507</v>
      </c>
    </row>
    <row r="812" spans="1:15" ht="15" x14ac:dyDescent="0.2">
      <c r="A812" s="13">
        <v>65562</v>
      </c>
      <c r="B812" s="9">
        <f>11.9669 * CHOOSE(CONTROL!$C$32, $C$9, 100%, $E$9)</f>
        <v>11.966900000000001</v>
      </c>
      <c r="C812" s="9">
        <f>11.9669 * CHOOSE(CONTROL!$C$32, $C$9, 100%, $E$9)</f>
        <v>11.966900000000001</v>
      </c>
      <c r="D812" s="9">
        <f>11.9681 * CHOOSE(CONTROL!$C$32, $C$9, 100%, $E$9)</f>
        <v>11.9681</v>
      </c>
      <c r="E812" s="11">
        <f>13.6933 * CHOOSE(CONTROL!$C$32, $C$9, 100%, $E$9)</f>
        <v>13.693300000000001</v>
      </c>
      <c r="F812" s="11">
        <f>13.6933 * CHOOSE(CONTROL!$C$32, $C$9, 100%, $E$9)</f>
        <v>13.693300000000001</v>
      </c>
      <c r="G812" s="11">
        <f>13.6975 * CHOOSE(CONTROL!$C$32, $C$9, 100%, $E$9)</f>
        <v>13.6975</v>
      </c>
      <c r="H812" s="11">
        <f>27.9683 * CHOOSE(CONTROL!$C$32, $C$9, 100%, $E$9)</f>
        <v>27.968299999999999</v>
      </c>
      <c r="I812" s="11">
        <f>27.9725 * CHOOSE(CONTROL!$C$32, $C$9, 100%, $E$9)</f>
        <v>27.9725</v>
      </c>
      <c r="J812" s="11">
        <f>27.9683 * CHOOSE(CONTROL!$C$32, $C$9, 100%, $E$9)</f>
        <v>27.968299999999999</v>
      </c>
      <c r="K812" s="11">
        <f>27.9725 * CHOOSE(CONTROL!$C$32, $C$9, 100%, $E$9)</f>
        <v>27.9725</v>
      </c>
      <c r="L812" s="11">
        <f>13.6933 * CHOOSE(CONTROL!$C$32, $C$9, 100%, $E$9)</f>
        <v>13.693300000000001</v>
      </c>
      <c r="M812" s="11">
        <f>13.6975 * CHOOSE(CONTROL!$C$32, $C$9, 100%, $E$9)</f>
        <v>13.6975</v>
      </c>
      <c r="N812" s="11">
        <f>13.6933 * CHOOSE(CONTROL!$C$32, $C$9, 100%, $E$9)</f>
        <v>13.693300000000001</v>
      </c>
      <c r="O812" s="11">
        <f>13.6975 * CHOOSE(CONTROL!$C$32, $C$9, 100%, $E$9)</f>
        <v>13.6975</v>
      </c>
    </row>
    <row r="813" spans="1:15" ht="15" x14ac:dyDescent="0.2">
      <c r="A813" s="13">
        <v>65593</v>
      </c>
      <c r="B813" s="9">
        <f>11.9736 * CHOOSE(CONTROL!$C$32, $C$9, 100%, $E$9)</f>
        <v>11.973599999999999</v>
      </c>
      <c r="C813" s="9">
        <f>11.9736 * CHOOSE(CONTROL!$C$32, $C$9, 100%, $E$9)</f>
        <v>11.973599999999999</v>
      </c>
      <c r="D813" s="9">
        <f>11.9748 * CHOOSE(CONTROL!$C$32, $C$9, 100%, $E$9)</f>
        <v>11.9748</v>
      </c>
      <c r="E813" s="11">
        <f>13.3621 * CHOOSE(CONTROL!$C$32, $C$9, 100%, $E$9)</f>
        <v>13.3621</v>
      </c>
      <c r="F813" s="11">
        <f>13.3621 * CHOOSE(CONTROL!$C$32, $C$9, 100%, $E$9)</f>
        <v>13.3621</v>
      </c>
      <c r="G813" s="11">
        <f>13.3663 * CHOOSE(CONTROL!$C$32, $C$9, 100%, $E$9)</f>
        <v>13.366300000000001</v>
      </c>
      <c r="H813" s="11">
        <f>28.0266 * CHOOSE(CONTROL!$C$32, $C$9, 100%, $E$9)</f>
        <v>28.026599999999998</v>
      </c>
      <c r="I813" s="11">
        <f>28.0308 * CHOOSE(CONTROL!$C$32, $C$9, 100%, $E$9)</f>
        <v>28.030799999999999</v>
      </c>
      <c r="J813" s="11">
        <f>28.0266 * CHOOSE(CONTROL!$C$32, $C$9, 100%, $E$9)</f>
        <v>28.026599999999998</v>
      </c>
      <c r="K813" s="11">
        <f>28.0308 * CHOOSE(CONTROL!$C$32, $C$9, 100%, $E$9)</f>
        <v>28.030799999999999</v>
      </c>
      <c r="L813" s="11">
        <f>13.3621 * CHOOSE(CONTROL!$C$32, $C$9, 100%, $E$9)</f>
        <v>13.3621</v>
      </c>
      <c r="M813" s="11">
        <f>13.3663 * CHOOSE(CONTROL!$C$32, $C$9, 100%, $E$9)</f>
        <v>13.366300000000001</v>
      </c>
      <c r="N813" s="11">
        <f>13.3621 * CHOOSE(CONTROL!$C$32, $C$9, 100%, $E$9)</f>
        <v>13.3621</v>
      </c>
      <c r="O813" s="11">
        <f>13.3663 * CHOOSE(CONTROL!$C$32, $C$9, 100%, $E$9)</f>
        <v>13.366300000000001</v>
      </c>
    </row>
    <row r="814" spans="1:15" ht="15" x14ac:dyDescent="0.2">
      <c r="A814" s="13">
        <v>65624</v>
      </c>
      <c r="B814" s="9">
        <f>11.9705 * CHOOSE(CONTROL!$C$32, $C$9, 100%, $E$9)</f>
        <v>11.970499999999999</v>
      </c>
      <c r="C814" s="9">
        <f>11.9705 * CHOOSE(CONTROL!$C$32, $C$9, 100%, $E$9)</f>
        <v>11.970499999999999</v>
      </c>
      <c r="D814" s="9">
        <f>11.9718 * CHOOSE(CONTROL!$C$32, $C$9, 100%, $E$9)</f>
        <v>11.9718</v>
      </c>
      <c r="E814" s="11">
        <f>13.3226 * CHOOSE(CONTROL!$C$32, $C$9, 100%, $E$9)</f>
        <v>13.3226</v>
      </c>
      <c r="F814" s="11">
        <f>13.3226 * CHOOSE(CONTROL!$C$32, $C$9, 100%, $E$9)</f>
        <v>13.3226</v>
      </c>
      <c r="G814" s="11">
        <f>13.3268 * CHOOSE(CONTROL!$C$32, $C$9, 100%, $E$9)</f>
        <v>13.3268</v>
      </c>
      <c r="H814" s="11">
        <f>28.0849 * CHOOSE(CONTROL!$C$32, $C$9, 100%, $E$9)</f>
        <v>28.084900000000001</v>
      </c>
      <c r="I814" s="11">
        <f>28.0891 * CHOOSE(CONTROL!$C$32, $C$9, 100%, $E$9)</f>
        <v>28.089099999999998</v>
      </c>
      <c r="J814" s="11">
        <f>28.0849 * CHOOSE(CONTROL!$C$32, $C$9, 100%, $E$9)</f>
        <v>28.084900000000001</v>
      </c>
      <c r="K814" s="11">
        <f>28.0891 * CHOOSE(CONTROL!$C$32, $C$9, 100%, $E$9)</f>
        <v>28.089099999999998</v>
      </c>
      <c r="L814" s="11">
        <f>13.3226 * CHOOSE(CONTROL!$C$32, $C$9, 100%, $E$9)</f>
        <v>13.3226</v>
      </c>
      <c r="M814" s="11">
        <f>13.3268 * CHOOSE(CONTROL!$C$32, $C$9, 100%, $E$9)</f>
        <v>13.3268</v>
      </c>
      <c r="N814" s="11">
        <f>13.3226 * CHOOSE(CONTROL!$C$32, $C$9, 100%, $E$9)</f>
        <v>13.3226</v>
      </c>
      <c r="O814" s="11">
        <f>13.3268 * CHOOSE(CONTROL!$C$32, $C$9, 100%, $E$9)</f>
        <v>13.3268</v>
      </c>
    </row>
    <row r="815" spans="1:15" ht="15" x14ac:dyDescent="0.2">
      <c r="A815" s="13">
        <v>65654</v>
      </c>
      <c r="B815" s="9">
        <f>11.9954 * CHOOSE(CONTROL!$C$32, $C$9, 100%, $E$9)</f>
        <v>11.9954</v>
      </c>
      <c r="C815" s="9">
        <f>11.9954 * CHOOSE(CONTROL!$C$32, $C$9, 100%, $E$9)</f>
        <v>11.9954</v>
      </c>
      <c r="D815" s="9">
        <f>11.9963 * CHOOSE(CONTROL!$C$32, $C$9, 100%, $E$9)</f>
        <v>11.9963</v>
      </c>
      <c r="E815" s="11">
        <f>13.4585 * CHOOSE(CONTROL!$C$32, $C$9, 100%, $E$9)</f>
        <v>13.458500000000001</v>
      </c>
      <c r="F815" s="11">
        <f>13.4585 * CHOOSE(CONTROL!$C$32, $C$9, 100%, $E$9)</f>
        <v>13.458500000000001</v>
      </c>
      <c r="G815" s="11">
        <f>13.4617 * CHOOSE(CONTROL!$C$32, $C$9, 100%, $E$9)</f>
        <v>13.4617</v>
      </c>
      <c r="H815" s="11">
        <f>28.1435 * CHOOSE(CONTROL!$C$32, $C$9, 100%, $E$9)</f>
        <v>28.1435</v>
      </c>
      <c r="I815" s="11">
        <f>28.1467 * CHOOSE(CONTROL!$C$32, $C$9, 100%, $E$9)</f>
        <v>28.146699999999999</v>
      </c>
      <c r="J815" s="11">
        <f>28.1435 * CHOOSE(CONTROL!$C$32, $C$9, 100%, $E$9)</f>
        <v>28.1435</v>
      </c>
      <c r="K815" s="11">
        <f>28.1467 * CHOOSE(CONTROL!$C$32, $C$9, 100%, $E$9)</f>
        <v>28.146699999999999</v>
      </c>
      <c r="L815" s="11">
        <f>13.4585 * CHOOSE(CONTROL!$C$32, $C$9, 100%, $E$9)</f>
        <v>13.458500000000001</v>
      </c>
      <c r="M815" s="11">
        <f>13.4617 * CHOOSE(CONTROL!$C$32, $C$9, 100%, $E$9)</f>
        <v>13.4617</v>
      </c>
      <c r="N815" s="11">
        <f>13.4585 * CHOOSE(CONTROL!$C$32, $C$9, 100%, $E$9)</f>
        <v>13.458500000000001</v>
      </c>
      <c r="O815" s="11">
        <f>13.4617 * CHOOSE(CONTROL!$C$32, $C$9, 100%, $E$9)</f>
        <v>13.4617</v>
      </c>
    </row>
    <row r="816" spans="1:15" ht="15" x14ac:dyDescent="0.2">
      <c r="A816" s="13">
        <v>65685</v>
      </c>
      <c r="B816" s="9">
        <f>11.9984 * CHOOSE(CONTROL!$C$32, $C$9, 100%, $E$9)</f>
        <v>11.9984</v>
      </c>
      <c r="C816" s="9">
        <f>11.9984 * CHOOSE(CONTROL!$C$32, $C$9, 100%, $E$9)</f>
        <v>11.9984</v>
      </c>
      <c r="D816" s="9">
        <f>11.9994 * CHOOSE(CONTROL!$C$32, $C$9, 100%, $E$9)</f>
        <v>11.9994</v>
      </c>
      <c r="E816" s="11">
        <f>13.5353 * CHOOSE(CONTROL!$C$32, $C$9, 100%, $E$9)</f>
        <v>13.535299999999999</v>
      </c>
      <c r="F816" s="11">
        <f>13.5353 * CHOOSE(CONTROL!$C$32, $C$9, 100%, $E$9)</f>
        <v>13.535299999999999</v>
      </c>
      <c r="G816" s="11">
        <f>13.5385 * CHOOSE(CONTROL!$C$32, $C$9, 100%, $E$9)</f>
        <v>13.538500000000001</v>
      </c>
      <c r="H816" s="11">
        <f>28.2021 * CHOOSE(CONTROL!$C$32, $C$9, 100%, $E$9)</f>
        <v>28.202100000000002</v>
      </c>
      <c r="I816" s="11">
        <f>28.2053 * CHOOSE(CONTROL!$C$32, $C$9, 100%, $E$9)</f>
        <v>28.205300000000001</v>
      </c>
      <c r="J816" s="11">
        <f>28.2021 * CHOOSE(CONTROL!$C$32, $C$9, 100%, $E$9)</f>
        <v>28.202100000000002</v>
      </c>
      <c r="K816" s="11">
        <f>28.2053 * CHOOSE(CONTROL!$C$32, $C$9, 100%, $E$9)</f>
        <v>28.205300000000001</v>
      </c>
      <c r="L816" s="11">
        <f>13.5353 * CHOOSE(CONTROL!$C$32, $C$9, 100%, $E$9)</f>
        <v>13.535299999999999</v>
      </c>
      <c r="M816" s="11">
        <f>13.5385 * CHOOSE(CONTROL!$C$32, $C$9, 100%, $E$9)</f>
        <v>13.538500000000001</v>
      </c>
      <c r="N816" s="11">
        <f>13.5353 * CHOOSE(CONTROL!$C$32, $C$9, 100%, $E$9)</f>
        <v>13.535299999999999</v>
      </c>
      <c r="O816" s="11">
        <f>13.5385 * CHOOSE(CONTROL!$C$32, $C$9, 100%, $E$9)</f>
        <v>13.538500000000001</v>
      </c>
    </row>
    <row r="817" spans="1:15" ht="15" x14ac:dyDescent="0.2">
      <c r="A817" s="13">
        <v>65715</v>
      </c>
      <c r="B817" s="9">
        <f>11.9984 * CHOOSE(CONTROL!$C$32, $C$9, 100%, $E$9)</f>
        <v>11.9984</v>
      </c>
      <c r="C817" s="9">
        <f>11.9984 * CHOOSE(CONTROL!$C$32, $C$9, 100%, $E$9)</f>
        <v>11.9984</v>
      </c>
      <c r="D817" s="9">
        <f>11.9994 * CHOOSE(CONTROL!$C$32, $C$9, 100%, $E$9)</f>
        <v>11.9994</v>
      </c>
      <c r="E817" s="11">
        <f>13.3486 * CHOOSE(CONTROL!$C$32, $C$9, 100%, $E$9)</f>
        <v>13.348599999999999</v>
      </c>
      <c r="F817" s="11">
        <f>13.3486 * CHOOSE(CONTROL!$C$32, $C$9, 100%, $E$9)</f>
        <v>13.348599999999999</v>
      </c>
      <c r="G817" s="11">
        <f>13.3519 * CHOOSE(CONTROL!$C$32, $C$9, 100%, $E$9)</f>
        <v>13.351900000000001</v>
      </c>
      <c r="H817" s="11">
        <f>28.2608 * CHOOSE(CONTROL!$C$32, $C$9, 100%, $E$9)</f>
        <v>28.2608</v>
      </c>
      <c r="I817" s="11">
        <f>28.2641 * CHOOSE(CONTROL!$C$32, $C$9, 100%, $E$9)</f>
        <v>28.264099999999999</v>
      </c>
      <c r="J817" s="11">
        <f>28.2608 * CHOOSE(CONTROL!$C$32, $C$9, 100%, $E$9)</f>
        <v>28.2608</v>
      </c>
      <c r="K817" s="11">
        <f>28.2641 * CHOOSE(CONTROL!$C$32, $C$9, 100%, $E$9)</f>
        <v>28.264099999999999</v>
      </c>
      <c r="L817" s="11">
        <f>13.3486 * CHOOSE(CONTROL!$C$32, $C$9, 100%, $E$9)</f>
        <v>13.348599999999999</v>
      </c>
      <c r="M817" s="11">
        <f>13.3519 * CHOOSE(CONTROL!$C$32, $C$9, 100%, $E$9)</f>
        <v>13.351900000000001</v>
      </c>
      <c r="N817" s="11">
        <f>13.3486 * CHOOSE(CONTROL!$C$32, $C$9, 100%, $E$9)</f>
        <v>13.348599999999999</v>
      </c>
      <c r="O817" s="11">
        <f>13.3519 * CHOOSE(CONTROL!$C$32, $C$9, 100%, $E$9)</f>
        <v>13.351900000000001</v>
      </c>
    </row>
    <row r="818" spans="1:15" ht="15" x14ac:dyDescent="0.2">
      <c r="A818" s="13">
        <v>65746</v>
      </c>
      <c r="B818" s="9">
        <f>12.0047 * CHOOSE(CONTROL!$C$32, $C$9, 100%, $E$9)</f>
        <v>12.0047</v>
      </c>
      <c r="C818" s="9">
        <f>12.0047 * CHOOSE(CONTROL!$C$32, $C$9, 100%, $E$9)</f>
        <v>12.0047</v>
      </c>
      <c r="D818" s="9">
        <f>12.0056 * CHOOSE(CONTROL!$C$32, $C$9, 100%, $E$9)</f>
        <v>12.005599999999999</v>
      </c>
      <c r="E818" s="11">
        <f>13.4956 * CHOOSE(CONTROL!$C$32, $C$9, 100%, $E$9)</f>
        <v>13.4956</v>
      </c>
      <c r="F818" s="11">
        <f>13.4956 * CHOOSE(CONTROL!$C$32, $C$9, 100%, $E$9)</f>
        <v>13.4956</v>
      </c>
      <c r="G818" s="11">
        <f>13.4988 * CHOOSE(CONTROL!$C$32, $C$9, 100%, $E$9)</f>
        <v>13.498799999999999</v>
      </c>
      <c r="H818" s="11">
        <f>28.093 * CHOOSE(CONTROL!$C$32, $C$9, 100%, $E$9)</f>
        <v>28.093</v>
      </c>
      <c r="I818" s="11">
        <f>28.0962 * CHOOSE(CONTROL!$C$32, $C$9, 100%, $E$9)</f>
        <v>28.0962</v>
      </c>
      <c r="J818" s="11">
        <f>28.093 * CHOOSE(CONTROL!$C$32, $C$9, 100%, $E$9)</f>
        <v>28.093</v>
      </c>
      <c r="K818" s="11">
        <f>28.0962 * CHOOSE(CONTROL!$C$32, $C$9, 100%, $E$9)</f>
        <v>28.0962</v>
      </c>
      <c r="L818" s="11">
        <f>13.4956 * CHOOSE(CONTROL!$C$32, $C$9, 100%, $E$9)</f>
        <v>13.4956</v>
      </c>
      <c r="M818" s="11">
        <f>13.4988 * CHOOSE(CONTROL!$C$32, $C$9, 100%, $E$9)</f>
        <v>13.498799999999999</v>
      </c>
      <c r="N818" s="11">
        <f>13.4956 * CHOOSE(CONTROL!$C$32, $C$9, 100%, $E$9)</f>
        <v>13.4956</v>
      </c>
      <c r="O818" s="11">
        <f>13.4988 * CHOOSE(CONTROL!$C$32, $C$9, 100%, $E$9)</f>
        <v>13.498799999999999</v>
      </c>
    </row>
    <row r="819" spans="1:15" ht="15" x14ac:dyDescent="0.2">
      <c r="A819" s="13">
        <v>65777</v>
      </c>
      <c r="B819" s="9">
        <f>12.0016 * CHOOSE(CONTROL!$C$32, $C$9, 100%, $E$9)</f>
        <v>12.0016</v>
      </c>
      <c r="C819" s="9">
        <f>12.0016 * CHOOSE(CONTROL!$C$32, $C$9, 100%, $E$9)</f>
        <v>12.0016</v>
      </c>
      <c r="D819" s="9">
        <f>12.0026 * CHOOSE(CONTROL!$C$32, $C$9, 100%, $E$9)</f>
        <v>12.002599999999999</v>
      </c>
      <c r="E819" s="11">
        <f>13.1337 * CHOOSE(CONTROL!$C$32, $C$9, 100%, $E$9)</f>
        <v>13.133699999999999</v>
      </c>
      <c r="F819" s="11">
        <f>13.1337 * CHOOSE(CONTROL!$C$32, $C$9, 100%, $E$9)</f>
        <v>13.133699999999999</v>
      </c>
      <c r="G819" s="11">
        <f>13.1369 * CHOOSE(CONTROL!$C$32, $C$9, 100%, $E$9)</f>
        <v>13.136900000000001</v>
      </c>
      <c r="H819" s="11">
        <f>28.1515 * CHOOSE(CONTROL!$C$32, $C$9, 100%, $E$9)</f>
        <v>28.151499999999999</v>
      </c>
      <c r="I819" s="11">
        <f>28.1548 * CHOOSE(CONTROL!$C$32, $C$9, 100%, $E$9)</f>
        <v>28.154800000000002</v>
      </c>
      <c r="J819" s="11">
        <f>28.1515 * CHOOSE(CONTROL!$C$32, $C$9, 100%, $E$9)</f>
        <v>28.151499999999999</v>
      </c>
      <c r="K819" s="11">
        <f>28.1548 * CHOOSE(CONTROL!$C$32, $C$9, 100%, $E$9)</f>
        <v>28.154800000000002</v>
      </c>
      <c r="L819" s="11">
        <f>13.1337 * CHOOSE(CONTROL!$C$32, $C$9, 100%, $E$9)</f>
        <v>13.133699999999999</v>
      </c>
      <c r="M819" s="11">
        <f>13.1369 * CHOOSE(CONTROL!$C$32, $C$9, 100%, $E$9)</f>
        <v>13.136900000000001</v>
      </c>
      <c r="N819" s="11">
        <f>13.1337 * CHOOSE(CONTROL!$C$32, $C$9, 100%, $E$9)</f>
        <v>13.133699999999999</v>
      </c>
      <c r="O819" s="11">
        <f>13.1369 * CHOOSE(CONTROL!$C$32, $C$9, 100%, $E$9)</f>
        <v>13.136900000000001</v>
      </c>
    </row>
    <row r="820" spans="1:15" ht="15" x14ac:dyDescent="0.2">
      <c r="A820" s="13">
        <v>65806</v>
      </c>
      <c r="B820" s="9">
        <f>11.9986 * CHOOSE(CONTROL!$C$32, $C$9, 100%, $E$9)</f>
        <v>11.9986</v>
      </c>
      <c r="C820" s="9">
        <f>11.9986 * CHOOSE(CONTROL!$C$32, $C$9, 100%, $E$9)</f>
        <v>11.9986</v>
      </c>
      <c r="D820" s="9">
        <f>11.9995 * CHOOSE(CONTROL!$C$32, $C$9, 100%, $E$9)</f>
        <v>11.999499999999999</v>
      </c>
      <c r="E820" s="11">
        <f>13.4152 * CHOOSE(CONTROL!$C$32, $C$9, 100%, $E$9)</f>
        <v>13.4152</v>
      </c>
      <c r="F820" s="11">
        <f>13.4152 * CHOOSE(CONTROL!$C$32, $C$9, 100%, $E$9)</f>
        <v>13.4152</v>
      </c>
      <c r="G820" s="11">
        <f>13.4184 * CHOOSE(CONTROL!$C$32, $C$9, 100%, $E$9)</f>
        <v>13.4184</v>
      </c>
      <c r="H820" s="11">
        <f>28.2102 * CHOOSE(CONTROL!$C$32, $C$9, 100%, $E$9)</f>
        <v>28.2102</v>
      </c>
      <c r="I820" s="11">
        <f>28.2134 * CHOOSE(CONTROL!$C$32, $C$9, 100%, $E$9)</f>
        <v>28.2134</v>
      </c>
      <c r="J820" s="11">
        <f>28.2102 * CHOOSE(CONTROL!$C$32, $C$9, 100%, $E$9)</f>
        <v>28.2102</v>
      </c>
      <c r="K820" s="11">
        <f>28.2134 * CHOOSE(CONTROL!$C$32, $C$9, 100%, $E$9)</f>
        <v>28.2134</v>
      </c>
      <c r="L820" s="11">
        <f>13.4152 * CHOOSE(CONTROL!$C$32, $C$9, 100%, $E$9)</f>
        <v>13.4152</v>
      </c>
      <c r="M820" s="11">
        <f>13.4184 * CHOOSE(CONTROL!$C$32, $C$9, 100%, $E$9)</f>
        <v>13.4184</v>
      </c>
      <c r="N820" s="11">
        <f>13.4152 * CHOOSE(CONTROL!$C$32, $C$9, 100%, $E$9)</f>
        <v>13.4152</v>
      </c>
      <c r="O820" s="11">
        <f>13.4184 * CHOOSE(CONTROL!$C$32, $C$9, 100%, $E$9)</f>
        <v>13.4184</v>
      </c>
    </row>
    <row r="821" spans="1:15" ht="15" x14ac:dyDescent="0.2">
      <c r="A821" s="13">
        <v>65837</v>
      </c>
      <c r="B821" s="9">
        <f>12.004 * CHOOSE(CONTROL!$C$32, $C$9, 100%, $E$9)</f>
        <v>12.004</v>
      </c>
      <c r="C821" s="9">
        <f>12.004 * CHOOSE(CONTROL!$C$32, $C$9, 100%, $E$9)</f>
        <v>12.004</v>
      </c>
      <c r="D821" s="9">
        <f>12.0049 * CHOOSE(CONTROL!$C$32, $C$9, 100%, $E$9)</f>
        <v>12.004899999999999</v>
      </c>
      <c r="E821" s="11">
        <f>13.7155 * CHOOSE(CONTROL!$C$32, $C$9, 100%, $E$9)</f>
        <v>13.7155</v>
      </c>
      <c r="F821" s="11">
        <f>13.7155 * CHOOSE(CONTROL!$C$32, $C$9, 100%, $E$9)</f>
        <v>13.7155</v>
      </c>
      <c r="G821" s="11">
        <f>13.7188 * CHOOSE(CONTROL!$C$32, $C$9, 100%, $E$9)</f>
        <v>13.7188</v>
      </c>
      <c r="H821" s="11">
        <f>28.269 * CHOOSE(CONTROL!$C$32, $C$9, 100%, $E$9)</f>
        <v>28.268999999999998</v>
      </c>
      <c r="I821" s="11">
        <f>28.2722 * CHOOSE(CONTROL!$C$32, $C$9, 100%, $E$9)</f>
        <v>28.272200000000002</v>
      </c>
      <c r="J821" s="11">
        <f>28.269 * CHOOSE(CONTROL!$C$32, $C$9, 100%, $E$9)</f>
        <v>28.268999999999998</v>
      </c>
      <c r="K821" s="11">
        <f>28.2722 * CHOOSE(CONTROL!$C$32, $C$9, 100%, $E$9)</f>
        <v>28.272200000000002</v>
      </c>
      <c r="L821" s="11">
        <f>13.7155 * CHOOSE(CONTROL!$C$32, $C$9, 100%, $E$9)</f>
        <v>13.7155</v>
      </c>
      <c r="M821" s="11">
        <f>13.7188 * CHOOSE(CONTROL!$C$32, $C$9, 100%, $E$9)</f>
        <v>13.7188</v>
      </c>
      <c r="N821" s="11">
        <f>13.7155 * CHOOSE(CONTROL!$C$32, $C$9, 100%, $E$9)</f>
        <v>13.7155</v>
      </c>
      <c r="O821" s="11">
        <f>13.7188 * CHOOSE(CONTROL!$C$32, $C$9, 100%, $E$9)</f>
        <v>13.7188</v>
      </c>
    </row>
    <row r="822" spans="1:15" ht="15" x14ac:dyDescent="0.2">
      <c r="A822" s="13">
        <v>65867</v>
      </c>
      <c r="B822" s="9">
        <f>12.004 * CHOOSE(CONTROL!$C$32, $C$9, 100%, $E$9)</f>
        <v>12.004</v>
      </c>
      <c r="C822" s="9">
        <f>12.004 * CHOOSE(CONTROL!$C$32, $C$9, 100%, $E$9)</f>
        <v>12.004</v>
      </c>
      <c r="D822" s="9">
        <f>12.0052 * CHOOSE(CONTROL!$C$32, $C$9, 100%, $E$9)</f>
        <v>12.0052</v>
      </c>
      <c r="E822" s="11">
        <f>13.8298 * CHOOSE(CONTROL!$C$32, $C$9, 100%, $E$9)</f>
        <v>13.829800000000001</v>
      </c>
      <c r="F822" s="11">
        <f>13.8298 * CHOOSE(CONTROL!$C$32, $C$9, 100%, $E$9)</f>
        <v>13.829800000000001</v>
      </c>
      <c r="G822" s="11">
        <f>13.834 * CHOOSE(CONTROL!$C$32, $C$9, 100%, $E$9)</f>
        <v>13.834</v>
      </c>
      <c r="H822" s="11">
        <f>28.3279 * CHOOSE(CONTROL!$C$32, $C$9, 100%, $E$9)</f>
        <v>28.3279</v>
      </c>
      <c r="I822" s="11">
        <f>28.3321 * CHOOSE(CONTROL!$C$32, $C$9, 100%, $E$9)</f>
        <v>28.332100000000001</v>
      </c>
      <c r="J822" s="11">
        <f>28.3279 * CHOOSE(CONTROL!$C$32, $C$9, 100%, $E$9)</f>
        <v>28.3279</v>
      </c>
      <c r="K822" s="11">
        <f>28.3321 * CHOOSE(CONTROL!$C$32, $C$9, 100%, $E$9)</f>
        <v>28.332100000000001</v>
      </c>
      <c r="L822" s="11">
        <f>13.8298 * CHOOSE(CONTROL!$C$32, $C$9, 100%, $E$9)</f>
        <v>13.829800000000001</v>
      </c>
      <c r="M822" s="11">
        <f>13.834 * CHOOSE(CONTROL!$C$32, $C$9, 100%, $E$9)</f>
        <v>13.834</v>
      </c>
      <c r="N822" s="11">
        <f>13.8298 * CHOOSE(CONTROL!$C$32, $C$9, 100%, $E$9)</f>
        <v>13.829800000000001</v>
      </c>
      <c r="O822" s="11">
        <f>13.834 * CHOOSE(CONTROL!$C$32, $C$9, 100%, $E$9)</f>
        <v>13.834</v>
      </c>
    </row>
    <row r="823" spans="1:15" ht="15" x14ac:dyDescent="0.2">
      <c r="A823" s="13">
        <v>65898</v>
      </c>
      <c r="B823" s="9">
        <f>12.0101 * CHOOSE(CONTROL!$C$32, $C$9, 100%, $E$9)</f>
        <v>12.0101</v>
      </c>
      <c r="C823" s="9">
        <f>12.0101 * CHOOSE(CONTROL!$C$32, $C$9, 100%, $E$9)</f>
        <v>12.0101</v>
      </c>
      <c r="D823" s="9">
        <f>12.0113 * CHOOSE(CONTROL!$C$32, $C$9, 100%, $E$9)</f>
        <v>12.0113</v>
      </c>
      <c r="E823" s="11">
        <f>13.7198 * CHOOSE(CONTROL!$C$32, $C$9, 100%, $E$9)</f>
        <v>13.719799999999999</v>
      </c>
      <c r="F823" s="11">
        <f>13.7198 * CHOOSE(CONTROL!$C$32, $C$9, 100%, $E$9)</f>
        <v>13.719799999999999</v>
      </c>
      <c r="G823" s="11">
        <f>13.724 * CHOOSE(CONTROL!$C$32, $C$9, 100%, $E$9)</f>
        <v>13.724</v>
      </c>
      <c r="H823" s="11">
        <f>28.3869 * CHOOSE(CONTROL!$C$32, $C$9, 100%, $E$9)</f>
        <v>28.386900000000001</v>
      </c>
      <c r="I823" s="11">
        <f>28.3911 * CHOOSE(CONTROL!$C$32, $C$9, 100%, $E$9)</f>
        <v>28.391100000000002</v>
      </c>
      <c r="J823" s="11">
        <f>28.3869 * CHOOSE(CONTROL!$C$32, $C$9, 100%, $E$9)</f>
        <v>28.386900000000001</v>
      </c>
      <c r="K823" s="11">
        <f>28.3911 * CHOOSE(CONTROL!$C$32, $C$9, 100%, $E$9)</f>
        <v>28.391100000000002</v>
      </c>
      <c r="L823" s="11">
        <f>13.7198 * CHOOSE(CONTROL!$C$32, $C$9, 100%, $E$9)</f>
        <v>13.719799999999999</v>
      </c>
      <c r="M823" s="11">
        <f>13.724 * CHOOSE(CONTROL!$C$32, $C$9, 100%, $E$9)</f>
        <v>13.724</v>
      </c>
      <c r="N823" s="11">
        <f>13.7198 * CHOOSE(CONTROL!$C$32, $C$9, 100%, $E$9)</f>
        <v>13.719799999999999</v>
      </c>
      <c r="O823" s="11">
        <f>13.724 * CHOOSE(CONTROL!$C$32, $C$9, 100%, $E$9)</f>
        <v>13.724</v>
      </c>
    </row>
    <row r="824" spans="1:15" ht="15" x14ac:dyDescent="0.2">
      <c r="A824" s="13">
        <v>65928</v>
      </c>
      <c r="B824" s="9">
        <f>12.1565 * CHOOSE(CONTROL!$C$32, $C$9, 100%, $E$9)</f>
        <v>12.156499999999999</v>
      </c>
      <c r="C824" s="9">
        <f>12.1565 * CHOOSE(CONTROL!$C$32, $C$9, 100%, $E$9)</f>
        <v>12.156499999999999</v>
      </c>
      <c r="D824" s="9">
        <f>12.1577 * CHOOSE(CONTROL!$C$32, $C$9, 100%, $E$9)</f>
        <v>12.1577</v>
      </c>
      <c r="E824" s="11">
        <f>13.9135 * CHOOSE(CONTROL!$C$32, $C$9, 100%, $E$9)</f>
        <v>13.913500000000001</v>
      </c>
      <c r="F824" s="11">
        <f>13.9135 * CHOOSE(CONTROL!$C$32, $C$9, 100%, $E$9)</f>
        <v>13.913500000000001</v>
      </c>
      <c r="G824" s="11">
        <f>13.9177 * CHOOSE(CONTROL!$C$32, $C$9, 100%, $E$9)</f>
        <v>13.9177</v>
      </c>
      <c r="H824" s="11">
        <f>28.446 * CHOOSE(CONTROL!$C$32, $C$9, 100%, $E$9)</f>
        <v>28.446000000000002</v>
      </c>
      <c r="I824" s="11">
        <f>28.4502 * CHOOSE(CONTROL!$C$32, $C$9, 100%, $E$9)</f>
        <v>28.450199999999999</v>
      </c>
      <c r="J824" s="11">
        <f>28.446 * CHOOSE(CONTROL!$C$32, $C$9, 100%, $E$9)</f>
        <v>28.446000000000002</v>
      </c>
      <c r="K824" s="11">
        <f>28.4502 * CHOOSE(CONTROL!$C$32, $C$9, 100%, $E$9)</f>
        <v>28.450199999999999</v>
      </c>
      <c r="L824" s="11">
        <f>13.9135 * CHOOSE(CONTROL!$C$32, $C$9, 100%, $E$9)</f>
        <v>13.913500000000001</v>
      </c>
      <c r="M824" s="11">
        <f>13.9177 * CHOOSE(CONTROL!$C$32, $C$9, 100%, $E$9)</f>
        <v>13.9177</v>
      </c>
      <c r="N824" s="11">
        <f>13.9135 * CHOOSE(CONTROL!$C$32, $C$9, 100%, $E$9)</f>
        <v>13.913500000000001</v>
      </c>
      <c r="O824" s="11">
        <f>13.9177 * CHOOSE(CONTROL!$C$32, $C$9, 100%, $E$9)</f>
        <v>13.9177</v>
      </c>
    </row>
    <row r="825" spans="1:15" ht="15" x14ac:dyDescent="0.2">
      <c r="A825" s="13">
        <v>65959</v>
      </c>
      <c r="B825" s="9">
        <f>12.1632 * CHOOSE(CONTROL!$C$32, $C$9, 100%, $E$9)</f>
        <v>12.1632</v>
      </c>
      <c r="C825" s="9">
        <f>12.1632 * CHOOSE(CONTROL!$C$32, $C$9, 100%, $E$9)</f>
        <v>12.1632</v>
      </c>
      <c r="D825" s="9">
        <f>12.1644 * CHOOSE(CONTROL!$C$32, $C$9, 100%, $E$9)</f>
        <v>12.164400000000001</v>
      </c>
      <c r="E825" s="11">
        <f>13.5755 * CHOOSE(CONTROL!$C$32, $C$9, 100%, $E$9)</f>
        <v>13.5755</v>
      </c>
      <c r="F825" s="11">
        <f>13.5755 * CHOOSE(CONTROL!$C$32, $C$9, 100%, $E$9)</f>
        <v>13.5755</v>
      </c>
      <c r="G825" s="11">
        <f>13.5797 * CHOOSE(CONTROL!$C$32, $C$9, 100%, $E$9)</f>
        <v>13.579700000000001</v>
      </c>
      <c r="H825" s="11">
        <f>28.5053 * CHOOSE(CONTROL!$C$32, $C$9, 100%, $E$9)</f>
        <v>28.505299999999998</v>
      </c>
      <c r="I825" s="11">
        <f>28.5095 * CHOOSE(CONTROL!$C$32, $C$9, 100%, $E$9)</f>
        <v>28.509499999999999</v>
      </c>
      <c r="J825" s="11">
        <f>28.5053 * CHOOSE(CONTROL!$C$32, $C$9, 100%, $E$9)</f>
        <v>28.505299999999998</v>
      </c>
      <c r="K825" s="11">
        <f>28.5095 * CHOOSE(CONTROL!$C$32, $C$9, 100%, $E$9)</f>
        <v>28.509499999999999</v>
      </c>
      <c r="L825" s="11">
        <f>13.5755 * CHOOSE(CONTROL!$C$32, $C$9, 100%, $E$9)</f>
        <v>13.5755</v>
      </c>
      <c r="M825" s="11">
        <f>13.5797 * CHOOSE(CONTROL!$C$32, $C$9, 100%, $E$9)</f>
        <v>13.579700000000001</v>
      </c>
      <c r="N825" s="11">
        <f>13.5755 * CHOOSE(CONTROL!$C$32, $C$9, 100%, $E$9)</f>
        <v>13.5755</v>
      </c>
      <c r="O825" s="11">
        <f>13.5797 * CHOOSE(CONTROL!$C$32, $C$9, 100%, $E$9)</f>
        <v>13.579700000000001</v>
      </c>
    </row>
    <row r="826" spans="1:15" ht="15" x14ac:dyDescent="0.2">
      <c r="A826" s="13">
        <v>65990</v>
      </c>
      <c r="B826" s="9">
        <f>12.1601 * CHOOSE(CONTROL!$C$32, $C$9, 100%, $E$9)</f>
        <v>12.1601</v>
      </c>
      <c r="C826" s="9">
        <f>12.1601 * CHOOSE(CONTROL!$C$32, $C$9, 100%, $E$9)</f>
        <v>12.1601</v>
      </c>
      <c r="D826" s="9">
        <f>12.1614 * CHOOSE(CONTROL!$C$32, $C$9, 100%, $E$9)</f>
        <v>12.1614</v>
      </c>
      <c r="E826" s="11">
        <f>13.5353 * CHOOSE(CONTROL!$C$32, $C$9, 100%, $E$9)</f>
        <v>13.535299999999999</v>
      </c>
      <c r="F826" s="11">
        <f>13.5353 * CHOOSE(CONTROL!$C$32, $C$9, 100%, $E$9)</f>
        <v>13.535299999999999</v>
      </c>
      <c r="G826" s="11">
        <f>13.5395 * CHOOSE(CONTROL!$C$32, $C$9, 100%, $E$9)</f>
        <v>13.5395</v>
      </c>
      <c r="H826" s="11">
        <f>28.5647 * CHOOSE(CONTROL!$C$32, $C$9, 100%, $E$9)</f>
        <v>28.564699999999998</v>
      </c>
      <c r="I826" s="11">
        <f>28.5689 * CHOOSE(CONTROL!$C$32, $C$9, 100%, $E$9)</f>
        <v>28.568899999999999</v>
      </c>
      <c r="J826" s="11">
        <f>28.5647 * CHOOSE(CONTROL!$C$32, $C$9, 100%, $E$9)</f>
        <v>28.564699999999998</v>
      </c>
      <c r="K826" s="11">
        <f>28.5689 * CHOOSE(CONTROL!$C$32, $C$9, 100%, $E$9)</f>
        <v>28.568899999999999</v>
      </c>
      <c r="L826" s="11">
        <f>13.5353 * CHOOSE(CONTROL!$C$32, $C$9, 100%, $E$9)</f>
        <v>13.535299999999999</v>
      </c>
      <c r="M826" s="11">
        <f>13.5395 * CHOOSE(CONTROL!$C$32, $C$9, 100%, $E$9)</f>
        <v>13.5395</v>
      </c>
      <c r="N826" s="11">
        <f>13.5353 * CHOOSE(CONTROL!$C$32, $C$9, 100%, $E$9)</f>
        <v>13.535299999999999</v>
      </c>
      <c r="O826" s="11">
        <f>13.5395 * CHOOSE(CONTROL!$C$32, $C$9, 100%, $E$9)</f>
        <v>13.5395</v>
      </c>
    </row>
    <row r="827" spans="1:15" ht="15" x14ac:dyDescent="0.2">
      <c r="A827" s="13">
        <v>66020</v>
      </c>
      <c r="B827" s="9">
        <f>12.1857 * CHOOSE(CONTROL!$C$32, $C$9, 100%, $E$9)</f>
        <v>12.185700000000001</v>
      </c>
      <c r="C827" s="9">
        <f>12.1857 * CHOOSE(CONTROL!$C$32, $C$9, 100%, $E$9)</f>
        <v>12.185700000000001</v>
      </c>
      <c r="D827" s="9">
        <f>12.1867 * CHOOSE(CONTROL!$C$32, $C$9, 100%, $E$9)</f>
        <v>12.1867</v>
      </c>
      <c r="E827" s="11">
        <f>13.6742 * CHOOSE(CONTROL!$C$32, $C$9, 100%, $E$9)</f>
        <v>13.674200000000001</v>
      </c>
      <c r="F827" s="11">
        <f>13.6742 * CHOOSE(CONTROL!$C$32, $C$9, 100%, $E$9)</f>
        <v>13.674200000000001</v>
      </c>
      <c r="G827" s="11">
        <f>13.6774 * CHOOSE(CONTROL!$C$32, $C$9, 100%, $E$9)</f>
        <v>13.6774</v>
      </c>
      <c r="H827" s="11">
        <f>28.6242 * CHOOSE(CONTROL!$C$32, $C$9, 100%, $E$9)</f>
        <v>28.624199999999998</v>
      </c>
      <c r="I827" s="11">
        <f>28.6274 * CHOOSE(CONTROL!$C$32, $C$9, 100%, $E$9)</f>
        <v>28.627400000000002</v>
      </c>
      <c r="J827" s="11">
        <f>28.6242 * CHOOSE(CONTROL!$C$32, $C$9, 100%, $E$9)</f>
        <v>28.624199999999998</v>
      </c>
      <c r="K827" s="11">
        <f>28.6274 * CHOOSE(CONTROL!$C$32, $C$9, 100%, $E$9)</f>
        <v>28.627400000000002</v>
      </c>
      <c r="L827" s="11">
        <f>13.6742 * CHOOSE(CONTROL!$C$32, $C$9, 100%, $E$9)</f>
        <v>13.674200000000001</v>
      </c>
      <c r="M827" s="11">
        <f>13.6774 * CHOOSE(CONTROL!$C$32, $C$9, 100%, $E$9)</f>
        <v>13.6774</v>
      </c>
      <c r="N827" s="11">
        <f>13.6742 * CHOOSE(CONTROL!$C$32, $C$9, 100%, $E$9)</f>
        <v>13.674200000000001</v>
      </c>
      <c r="O827" s="11">
        <f>13.6774 * CHOOSE(CONTROL!$C$32, $C$9, 100%, $E$9)</f>
        <v>13.6774</v>
      </c>
    </row>
    <row r="828" spans="1:15" ht="15" x14ac:dyDescent="0.2">
      <c r="A828" s="13">
        <v>66051</v>
      </c>
      <c r="B828" s="9">
        <f>12.1887 * CHOOSE(CONTROL!$C$32, $C$9, 100%, $E$9)</f>
        <v>12.188700000000001</v>
      </c>
      <c r="C828" s="9">
        <f>12.1887 * CHOOSE(CONTROL!$C$32, $C$9, 100%, $E$9)</f>
        <v>12.188700000000001</v>
      </c>
      <c r="D828" s="9">
        <f>12.1897 * CHOOSE(CONTROL!$C$32, $C$9, 100%, $E$9)</f>
        <v>12.1897</v>
      </c>
      <c r="E828" s="11">
        <f>13.7524 * CHOOSE(CONTROL!$C$32, $C$9, 100%, $E$9)</f>
        <v>13.7524</v>
      </c>
      <c r="F828" s="11">
        <f>13.7524 * CHOOSE(CONTROL!$C$32, $C$9, 100%, $E$9)</f>
        <v>13.7524</v>
      </c>
      <c r="G828" s="11">
        <f>13.7557 * CHOOSE(CONTROL!$C$32, $C$9, 100%, $E$9)</f>
        <v>13.755699999999999</v>
      </c>
      <c r="H828" s="11">
        <f>28.6838 * CHOOSE(CONTROL!$C$32, $C$9, 100%, $E$9)</f>
        <v>28.683800000000002</v>
      </c>
      <c r="I828" s="11">
        <f>28.687 * CHOOSE(CONTROL!$C$32, $C$9, 100%, $E$9)</f>
        <v>28.687000000000001</v>
      </c>
      <c r="J828" s="11">
        <f>28.6838 * CHOOSE(CONTROL!$C$32, $C$9, 100%, $E$9)</f>
        <v>28.683800000000002</v>
      </c>
      <c r="K828" s="11">
        <f>28.687 * CHOOSE(CONTROL!$C$32, $C$9, 100%, $E$9)</f>
        <v>28.687000000000001</v>
      </c>
      <c r="L828" s="11">
        <f>13.7524 * CHOOSE(CONTROL!$C$32, $C$9, 100%, $E$9)</f>
        <v>13.7524</v>
      </c>
      <c r="M828" s="11">
        <f>13.7557 * CHOOSE(CONTROL!$C$32, $C$9, 100%, $E$9)</f>
        <v>13.755699999999999</v>
      </c>
      <c r="N828" s="11">
        <f>13.7524 * CHOOSE(CONTROL!$C$32, $C$9, 100%, $E$9)</f>
        <v>13.7524</v>
      </c>
      <c r="O828" s="11">
        <f>13.7557 * CHOOSE(CONTROL!$C$32, $C$9, 100%, $E$9)</f>
        <v>13.755699999999999</v>
      </c>
    </row>
    <row r="829" spans="1:15" ht="15" x14ac:dyDescent="0.2">
      <c r="A829" s="13">
        <v>66081</v>
      </c>
      <c r="B829" s="9">
        <f>12.1887 * CHOOSE(CONTROL!$C$32, $C$9, 100%, $E$9)</f>
        <v>12.188700000000001</v>
      </c>
      <c r="C829" s="9">
        <f>12.1887 * CHOOSE(CONTROL!$C$32, $C$9, 100%, $E$9)</f>
        <v>12.188700000000001</v>
      </c>
      <c r="D829" s="9">
        <f>12.1897 * CHOOSE(CONTROL!$C$32, $C$9, 100%, $E$9)</f>
        <v>12.1897</v>
      </c>
      <c r="E829" s="11">
        <f>13.5621 * CHOOSE(CONTROL!$C$32, $C$9, 100%, $E$9)</f>
        <v>13.562099999999999</v>
      </c>
      <c r="F829" s="11">
        <f>13.5621 * CHOOSE(CONTROL!$C$32, $C$9, 100%, $E$9)</f>
        <v>13.562099999999999</v>
      </c>
      <c r="G829" s="11">
        <f>13.5653 * CHOOSE(CONTROL!$C$32, $C$9, 100%, $E$9)</f>
        <v>13.565300000000001</v>
      </c>
      <c r="H829" s="11">
        <f>28.7436 * CHOOSE(CONTROL!$C$32, $C$9, 100%, $E$9)</f>
        <v>28.743600000000001</v>
      </c>
      <c r="I829" s="11">
        <f>28.7468 * CHOOSE(CONTROL!$C$32, $C$9, 100%, $E$9)</f>
        <v>28.7468</v>
      </c>
      <c r="J829" s="11">
        <f>28.7436 * CHOOSE(CONTROL!$C$32, $C$9, 100%, $E$9)</f>
        <v>28.743600000000001</v>
      </c>
      <c r="K829" s="11">
        <f>28.7468 * CHOOSE(CONTROL!$C$32, $C$9, 100%, $E$9)</f>
        <v>28.7468</v>
      </c>
      <c r="L829" s="11">
        <f>13.5621 * CHOOSE(CONTROL!$C$32, $C$9, 100%, $E$9)</f>
        <v>13.562099999999999</v>
      </c>
      <c r="M829" s="11">
        <f>13.5653 * CHOOSE(CONTROL!$C$32, $C$9, 100%, $E$9)</f>
        <v>13.565300000000001</v>
      </c>
      <c r="N829" s="11">
        <f>13.5621 * CHOOSE(CONTROL!$C$32, $C$9, 100%, $E$9)</f>
        <v>13.562099999999999</v>
      </c>
      <c r="O829" s="11">
        <f>13.5653 * CHOOSE(CONTROL!$C$32, $C$9, 100%, $E$9)</f>
        <v>13.565300000000001</v>
      </c>
    </row>
    <row r="830" spans="1:15" ht="15" x14ac:dyDescent="0.2">
      <c r="A830" s="13">
        <v>66112</v>
      </c>
      <c r="B830" s="9">
        <f>12.192 * CHOOSE(CONTROL!$C$32, $C$9, 100%, $E$9)</f>
        <v>12.192</v>
      </c>
      <c r="C830" s="9">
        <f>12.192 * CHOOSE(CONTROL!$C$32, $C$9, 100%, $E$9)</f>
        <v>12.192</v>
      </c>
      <c r="D830" s="9">
        <f>12.193 * CHOOSE(CONTROL!$C$32, $C$9, 100%, $E$9)</f>
        <v>12.193</v>
      </c>
      <c r="E830" s="11">
        <f>13.7081 * CHOOSE(CONTROL!$C$32, $C$9, 100%, $E$9)</f>
        <v>13.7081</v>
      </c>
      <c r="F830" s="11">
        <f>13.7081 * CHOOSE(CONTROL!$C$32, $C$9, 100%, $E$9)</f>
        <v>13.7081</v>
      </c>
      <c r="G830" s="11">
        <f>13.7113 * CHOOSE(CONTROL!$C$32, $C$9, 100%, $E$9)</f>
        <v>13.7113</v>
      </c>
      <c r="H830" s="11">
        <f>28.5648 * CHOOSE(CONTROL!$C$32, $C$9, 100%, $E$9)</f>
        <v>28.564800000000002</v>
      </c>
      <c r="I830" s="11">
        <f>28.5681 * CHOOSE(CONTROL!$C$32, $C$9, 100%, $E$9)</f>
        <v>28.568100000000001</v>
      </c>
      <c r="J830" s="11">
        <f>28.5648 * CHOOSE(CONTROL!$C$32, $C$9, 100%, $E$9)</f>
        <v>28.564800000000002</v>
      </c>
      <c r="K830" s="11">
        <f>28.5681 * CHOOSE(CONTROL!$C$32, $C$9, 100%, $E$9)</f>
        <v>28.568100000000001</v>
      </c>
      <c r="L830" s="11">
        <f>13.7081 * CHOOSE(CONTROL!$C$32, $C$9, 100%, $E$9)</f>
        <v>13.7081</v>
      </c>
      <c r="M830" s="11">
        <f>13.7113 * CHOOSE(CONTROL!$C$32, $C$9, 100%, $E$9)</f>
        <v>13.7113</v>
      </c>
      <c r="N830" s="11">
        <f>13.7081 * CHOOSE(CONTROL!$C$32, $C$9, 100%, $E$9)</f>
        <v>13.7081</v>
      </c>
      <c r="O830" s="11">
        <f>13.7113 * CHOOSE(CONTROL!$C$32, $C$9, 100%, $E$9)</f>
        <v>13.7113</v>
      </c>
    </row>
    <row r="831" spans="1:15" ht="15" x14ac:dyDescent="0.2">
      <c r="A831" s="13">
        <v>66143</v>
      </c>
      <c r="B831" s="9">
        <f>12.189 * CHOOSE(CONTROL!$C$32, $C$9, 100%, $E$9)</f>
        <v>12.189</v>
      </c>
      <c r="C831" s="9">
        <f>12.189 * CHOOSE(CONTROL!$C$32, $C$9, 100%, $E$9)</f>
        <v>12.189</v>
      </c>
      <c r="D831" s="9">
        <f>12.1899 * CHOOSE(CONTROL!$C$32, $C$9, 100%, $E$9)</f>
        <v>12.1899</v>
      </c>
      <c r="E831" s="11">
        <f>13.3391 * CHOOSE(CONTROL!$C$32, $C$9, 100%, $E$9)</f>
        <v>13.3391</v>
      </c>
      <c r="F831" s="11">
        <f>13.3391 * CHOOSE(CONTROL!$C$32, $C$9, 100%, $E$9)</f>
        <v>13.3391</v>
      </c>
      <c r="G831" s="11">
        <f>13.3423 * CHOOSE(CONTROL!$C$32, $C$9, 100%, $E$9)</f>
        <v>13.3423</v>
      </c>
      <c r="H831" s="11">
        <f>28.6243 * CHOOSE(CONTROL!$C$32, $C$9, 100%, $E$9)</f>
        <v>28.624300000000002</v>
      </c>
      <c r="I831" s="11">
        <f>28.6276 * CHOOSE(CONTROL!$C$32, $C$9, 100%, $E$9)</f>
        <v>28.627600000000001</v>
      </c>
      <c r="J831" s="11">
        <f>28.6243 * CHOOSE(CONTROL!$C$32, $C$9, 100%, $E$9)</f>
        <v>28.624300000000002</v>
      </c>
      <c r="K831" s="11">
        <f>28.6276 * CHOOSE(CONTROL!$C$32, $C$9, 100%, $E$9)</f>
        <v>28.627600000000001</v>
      </c>
      <c r="L831" s="11">
        <f>13.3391 * CHOOSE(CONTROL!$C$32, $C$9, 100%, $E$9)</f>
        <v>13.3391</v>
      </c>
      <c r="M831" s="11">
        <f>13.3423 * CHOOSE(CONTROL!$C$32, $C$9, 100%, $E$9)</f>
        <v>13.3423</v>
      </c>
      <c r="N831" s="11">
        <f>13.3391 * CHOOSE(CONTROL!$C$32, $C$9, 100%, $E$9)</f>
        <v>13.3391</v>
      </c>
      <c r="O831" s="11">
        <f>13.3423 * CHOOSE(CONTROL!$C$32, $C$9, 100%, $E$9)</f>
        <v>13.3423</v>
      </c>
    </row>
    <row r="832" spans="1:15" ht="15" x14ac:dyDescent="0.2">
      <c r="A832" s="13">
        <v>66171</v>
      </c>
      <c r="B832" s="9">
        <f>12.1859 * CHOOSE(CONTROL!$C$32, $C$9, 100%, $E$9)</f>
        <v>12.1859</v>
      </c>
      <c r="C832" s="9">
        <f>12.1859 * CHOOSE(CONTROL!$C$32, $C$9, 100%, $E$9)</f>
        <v>12.1859</v>
      </c>
      <c r="D832" s="9">
        <f>12.1869 * CHOOSE(CONTROL!$C$32, $C$9, 100%, $E$9)</f>
        <v>12.1869</v>
      </c>
      <c r="E832" s="11">
        <f>13.6262 * CHOOSE(CONTROL!$C$32, $C$9, 100%, $E$9)</f>
        <v>13.626200000000001</v>
      </c>
      <c r="F832" s="11">
        <f>13.6262 * CHOOSE(CONTROL!$C$32, $C$9, 100%, $E$9)</f>
        <v>13.626200000000001</v>
      </c>
      <c r="G832" s="11">
        <f>13.6294 * CHOOSE(CONTROL!$C$32, $C$9, 100%, $E$9)</f>
        <v>13.6294</v>
      </c>
      <c r="H832" s="11">
        <f>28.684 * CHOOSE(CONTROL!$C$32, $C$9, 100%, $E$9)</f>
        <v>28.684000000000001</v>
      </c>
      <c r="I832" s="11">
        <f>28.6872 * CHOOSE(CONTROL!$C$32, $C$9, 100%, $E$9)</f>
        <v>28.687200000000001</v>
      </c>
      <c r="J832" s="11">
        <f>28.684 * CHOOSE(CONTROL!$C$32, $C$9, 100%, $E$9)</f>
        <v>28.684000000000001</v>
      </c>
      <c r="K832" s="11">
        <f>28.6872 * CHOOSE(CONTROL!$C$32, $C$9, 100%, $E$9)</f>
        <v>28.687200000000001</v>
      </c>
      <c r="L832" s="11">
        <f>13.6262 * CHOOSE(CONTROL!$C$32, $C$9, 100%, $E$9)</f>
        <v>13.626200000000001</v>
      </c>
      <c r="M832" s="11">
        <f>13.6294 * CHOOSE(CONTROL!$C$32, $C$9, 100%, $E$9)</f>
        <v>13.6294</v>
      </c>
      <c r="N832" s="11">
        <f>13.6262 * CHOOSE(CONTROL!$C$32, $C$9, 100%, $E$9)</f>
        <v>13.626200000000001</v>
      </c>
      <c r="O832" s="11">
        <f>13.6294 * CHOOSE(CONTROL!$C$32, $C$9, 100%, $E$9)</f>
        <v>13.6294</v>
      </c>
    </row>
    <row r="833" spans="1:15" ht="15" x14ac:dyDescent="0.2">
      <c r="A833" s="13">
        <v>66202</v>
      </c>
      <c r="B833" s="9">
        <f>12.1915 * CHOOSE(CONTROL!$C$32, $C$9, 100%, $E$9)</f>
        <v>12.1915</v>
      </c>
      <c r="C833" s="9">
        <f>12.1915 * CHOOSE(CONTROL!$C$32, $C$9, 100%, $E$9)</f>
        <v>12.1915</v>
      </c>
      <c r="D833" s="9">
        <f>12.1925 * CHOOSE(CONTROL!$C$32, $C$9, 100%, $E$9)</f>
        <v>12.192500000000001</v>
      </c>
      <c r="E833" s="11">
        <f>13.9325 * CHOOSE(CONTROL!$C$32, $C$9, 100%, $E$9)</f>
        <v>13.932499999999999</v>
      </c>
      <c r="F833" s="11">
        <f>13.9325 * CHOOSE(CONTROL!$C$32, $C$9, 100%, $E$9)</f>
        <v>13.932499999999999</v>
      </c>
      <c r="G833" s="11">
        <f>13.9358 * CHOOSE(CONTROL!$C$32, $C$9, 100%, $E$9)</f>
        <v>13.9358</v>
      </c>
      <c r="H833" s="11">
        <f>28.7437 * CHOOSE(CONTROL!$C$32, $C$9, 100%, $E$9)</f>
        <v>28.7437</v>
      </c>
      <c r="I833" s="11">
        <f>28.747 * CHOOSE(CONTROL!$C$32, $C$9, 100%, $E$9)</f>
        <v>28.747</v>
      </c>
      <c r="J833" s="11">
        <f>28.7437 * CHOOSE(CONTROL!$C$32, $C$9, 100%, $E$9)</f>
        <v>28.7437</v>
      </c>
      <c r="K833" s="11">
        <f>28.747 * CHOOSE(CONTROL!$C$32, $C$9, 100%, $E$9)</f>
        <v>28.747</v>
      </c>
      <c r="L833" s="11">
        <f>13.9325 * CHOOSE(CONTROL!$C$32, $C$9, 100%, $E$9)</f>
        <v>13.932499999999999</v>
      </c>
      <c r="M833" s="11">
        <f>13.9358 * CHOOSE(CONTROL!$C$32, $C$9, 100%, $E$9)</f>
        <v>13.9358</v>
      </c>
      <c r="N833" s="11">
        <f>13.9325 * CHOOSE(CONTROL!$C$32, $C$9, 100%, $E$9)</f>
        <v>13.932499999999999</v>
      </c>
      <c r="O833" s="11">
        <f>13.9358 * CHOOSE(CONTROL!$C$32, $C$9, 100%, $E$9)</f>
        <v>13.9358</v>
      </c>
    </row>
    <row r="834" spans="1:15" ht="15" x14ac:dyDescent="0.2">
      <c r="A834" s="13">
        <v>66232</v>
      </c>
      <c r="B834" s="9">
        <f>12.1915 * CHOOSE(CONTROL!$C$32, $C$9, 100%, $E$9)</f>
        <v>12.1915</v>
      </c>
      <c r="C834" s="9">
        <f>12.1915 * CHOOSE(CONTROL!$C$32, $C$9, 100%, $E$9)</f>
        <v>12.1915</v>
      </c>
      <c r="D834" s="9">
        <f>12.1928 * CHOOSE(CONTROL!$C$32, $C$9, 100%, $E$9)</f>
        <v>12.1928</v>
      </c>
      <c r="E834" s="11">
        <f>14.049 * CHOOSE(CONTROL!$C$32, $C$9, 100%, $E$9)</f>
        <v>14.048999999999999</v>
      </c>
      <c r="F834" s="11">
        <f>14.049 * CHOOSE(CONTROL!$C$32, $C$9, 100%, $E$9)</f>
        <v>14.048999999999999</v>
      </c>
      <c r="G834" s="11">
        <f>14.0532 * CHOOSE(CONTROL!$C$32, $C$9, 100%, $E$9)</f>
        <v>14.0532</v>
      </c>
      <c r="H834" s="11">
        <f>28.8036 * CHOOSE(CONTROL!$C$32, $C$9, 100%, $E$9)</f>
        <v>28.803599999999999</v>
      </c>
      <c r="I834" s="11">
        <f>28.8078 * CHOOSE(CONTROL!$C$32, $C$9, 100%, $E$9)</f>
        <v>28.8078</v>
      </c>
      <c r="J834" s="11">
        <f>28.8036 * CHOOSE(CONTROL!$C$32, $C$9, 100%, $E$9)</f>
        <v>28.803599999999999</v>
      </c>
      <c r="K834" s="11">
        <f>28.8078 * CHOOSE(CONTROL!$C$32, $C$9, 100%, $E$9)</f>
        <v>28.8078</v>
      </c>
      <c r="L834" s="11">
        <f>14.049 * CHOOSE(CONTROL!$C$32, $C$9, 100%, $E$9)</f>
        <v>14.048999999999999</v>
      </c>
      <c r="M834" s="11">
        <f>14.0532 * CHOOSE(CONTROL!$C$32, $C$9, 100%, $E$9)</f>
        <v>14.0532</v>
      </c>
      <c r="N834" s="11">
        <f>14.049 * CHOOSE(CONTROL!$C$32, $C$9, 100%, $E$9)</f>
        <v>14.048999999999999</v>
      </c>
      <c r="O834" s="11">
        <f>14.0532 * CHOOSE(CONTROL!$C$32, $C$9, 100%, $E$9)</f>
        <v>14.0532</v>
      </c>
    </row>
    <row r="835" spans="1:15" ht="15" x14ac:dyDescent="0.2">
      <c r="A835" s="13">
        <v>66263</v>
      </c>
      <c r="B835" s="9">
        <f>12.1976 * CHOOSE(CONTROL!$C$32, $C$9, 100%, $E$9)</f>
        <v>12.1976</v>
      </c>
      <c r="C835" s="9">
        <f>12.1976 * CHOOSE(CONTROL!$C$32, $C$9, 100%, $E$9)</f>
        <v>12.1976</v>
      </c>
      <c r="D835" s="9">
        <f>12.1989 * CHOOSE(CONTROL!$C$32, $C$9, 100%, $E$9)</f>
        <v>12.1989</v>
      </c>
      <c r="E835" s="11">
        <f>13.9368 * CHOOSE(CONTROL!$C$32, $C$9, 100%, $E$9)</f>
        <v>13.9368</v>
      </c>
      <c r="F835" s="11">
        <f>13.9368 * CHOOSE(CONTROL!$C$32, $C$9, 100%, $E$9)</f>
        <v>13.9368</v>
      </c>
      <c r="G835" s="11">
        <f>13.941 * CHOOSE(CONTROL!$C$32, $C$9, 100%, $E$9)</f>
        <v>13.941000000000001</v>
      </c>
      <c r="H835" s="11">
        <f>28.8636 * CHOOSE(CONTROL!$C$32, $C$9, 100%, $E$9)</f>
        <v>28.863600000000002</v>
      </c>
      <c r="I835" s="11">
        <f>28.8678 * CHOOSE(CONTROL!$C$32, $C$9, 100%, $E$9)</f>
        <v>28.867799999999999</v>
      </c>
      <c r="J835" s="11">
        <f>28.8636 * CHOOSE(CONTROL!$C$32, $C$9, 100%, $E$9)</f>
        <v>28.863600000000002</v>
      </c>
      <c r="K835" s="11">
        <f>28.8678 * CHOOSE(CONTROL!$C$32, $C$9, 100%, $E$9)</f>
        <v>28.867799999999999</v>
      </c>
      <c r="L835" s="11">
        <f>13.9368 * CHOOSE(CONTROL!$C$32, $C$9, 100%, $E$9)</f>
        <v>13.9368</v>
      </c>
      <c r="M835" s="11">
        <f>13.941 * CHOOSE(CONTROL!$C$32, $C$9, 100%, $E$9)</f>
        <v>13.941000000000001</v>
      </c>
      <c r="N835" s="11">
        <f>13.9368 * CHOOSE(CONTROL!$C$32, $C$9, 100%, $E$9)</f>
        <v>13.9368</v>
      </c>
      <c r="O835" s="11">
        <f>13.941 * CHOOSE(CONTROL!$C$32, $C$9, 100%, $E$9)</f>
        <v>13.941000000000001</v>
      </c>
    </row>
    <row r="836" spans="1:15" ht="15" x14ac:dyDescent="0.2">
      <c r="A836" s="13">
        <v>66293</v>
      </c>
      <c r="B836" s="9">
        <f>12.3461 * CHOOSE(CONTROL!$C$32, $C$9, 100%, $E$9)</f>
        <v>12.3461</v>
      </c>
      <c r="C836" s="9">
        <f>12.3461 * CHOOSE(CONTROL!$C$32, $C$9, 100%, $E$9)</f>
        <v>12.3461</v>
      </c>
      <c r="D836" s="9">
        <f>12.3473 * CHOOSE(CONTROL!$C$32, $C$9, 100%, $E$9)</f>
        <v>12.347300000000001</v>
      </c>
      <c r="E836" s="11">
        <f>14.1337 * CHOOSE(CONTROL!$C$32, $C$9, 100%, $E$9)</f>
        <v>14.133699999999999</v>
      </c>
      <c r="F836" s="11">
        <f>14.1337 * CHOOSE(CONTROL!$C$32, $C$9, 100%, $E$9)</f>
        <v>14.133699999999999</v>
      </c>
      <c r="G836" s="11">
        <f>14.1379 * CHOOSE(CONTROL!$C$32, $C$9, 100%, $E$9)</f>
        <v>14.1379</v>
      </c>
      <c r="H836" s="11">
        <f>28.9238 * CHOOSE(CONTROL!$C$32, $C$9, 100%, $E$9)</f>
        <v>28.9238</v>
      </c>
      <c r="I836" s="11">
        <f>28.928 * CHOOSE(CONTROL!$C$32, $C$9, 100%, $E$9)</f>
        <v>28.928000000000001</v>
      </c>
      <c r="J836" s="11">
        <f>28.9238 * CHOOSE(CONTROL!$C$32, $C$9, 100%, $E$9)</f>
        <v>28.9238</v>
      </c>
      <c r="K836" s="11">
        <f>28.928 * CHOOSE(CONTROL!$C$32, $C$9, 100%, $E$9)</f>
        <v>28.928000000000001</v>
      </c>
      <c r="L836" s="11">
        <f>14.1337 * CHOOSE(CONTROL!$C$32, $C$9, 100%, $E$9)</f>
        <v>14.133699999999999</v>
      </c>
      <c r="M836" s="11">
        <f>14.1379 * CHOOSE(CONTROL!$C$32, $C$9, 100%, $E$9)</f>
        <v>14.1379</v>
      </c>
      <c r="N836" s="11">
        <f>14.1337 * CHOOSE(CONTROL!$C$32, $C$9, 100%, $E$9)</f>
        <v>14.133699999999999</v>
      </c>
      <c r="O836" s="11">
        <f>14.1379 * CHOOSE(CONTROL!$C$32, $C$9, 100%, $E$9)</f>
        <v>14.1379</v>
      </c>
    </row>
    <row r="837" spans="1:15" ht="15" x14ac:dyDescent="0.2">
      <c r="A837" s="13">
        <v>66324</v>
      </c>
      <c r="B837" s="9">
        <f>12.3528 * CHOOSE(CONTROL!$C$32, $C$9, 100%, $E$9)</f>
        <v>12.3528</v>
      </c>
      <c r="C837" s="9">
        <f>12.3528 * CHOOSE(CONTROL!$C$32, $C$9, 100%, $E$9)</f>
        <v>12.3528</v>
      </c>
      <c r="D837" s="9">
        <f>12.354 * CHOOSE(CONTROL!$C$32, $C$9, 100%, $E$9)</f>
        <v>12.353999999999999</v>
      </c>
      <c r="E837" s="11">
        <f>13.7889 * CHOOSE(CONTROL!$C$32, $C$9, 100%, $E$9)</f>
        <v>13.7889</v>
      </c>
      <c r="F837" s="11">
        <f>13.7889 * CHOOSE(CONTROL!$C$32, $C$9, 100%, $E$9)</f>
        <v>13.7889</v>
      </c>
      <c r="G837" s="11">
        <f>13.7931 * CHOOSE(CONTROL!$C$32, $C$9, 100%, $E$9)</f>
        <v>13.793100000000001</v>
      </c>
      <c r="H837" s="11">
        <f>28.984 * CHOOSE(CONTROL!$C$32, $C$9, 100%, $E$9)</f>
        <v>28.984000000000002</v>
      </c>
      <c r="I837" s="11">
        <f>28.9882 * CHOOSE(CONTROL!$C$32, $C$9, 100%, $E$9)</f>
        <v>28.988199999999999</v>
      </c>
      <c r="J837" s="11">
        <f>28.984 * CHOOSE(CONTROL!$C$32, $C$9, 100%, $E$9)</f>
        <v>28.984000000000002</v>
      </c>
      <c r="K837" s="11">
        <f>28.9882 * CHOOSE(CONTROL!$C$32, $C$9, 100%, $E$9)</f>
        <v>28.988199999999999</v>
      </c>
      <c r="L837" s="11">
        <f>13.7889 * CHOOSE(CONTROL!$C$32, $C$9, 100%, $E$9)</f>
        <v>13.7889</v>
      </c>
      <c r="M837" s="11">
        <f>13.7931 * CHOOSE(CONTROL!$C$32, $C$9, 100%, $E$9)</f>
        <v>13.793100000000001</v>
      </c>
      <c r="N837" s="11">
        <f>13.7889 * CHOOSE(CONTROL!$C$32, $C$9, 100%, $E$9)</f>
        <v>13.7889</v>
      </c>
      <c r="O837" s="11">
        <f>13.7931 * CHOOSE(CONTROL!$C$32, $C$9, 100%, $E$9)</f>
        <v>13.793100000000001</v>
      </c>
    </row>
    <row r="838" spans="1:15" ht="15" x14ac:dyDescent="0.2">
      <c r="A838" s="13">
        <v>66355</v>
      </c>
      <c r="B838" s="9">
        <f>12.3497 * CHOOSE(CONTROL!$C$32, $C$9, 100%, $E$9)</f>
        <v>12.3497</v>
      </c>
      <c r="C838" s="9">
        <f>12.3497 * CHOOSE(CONTROL!$C$32, $C$9, 100%, $E$9)</f>
        <v>12.3497</v>
      </c>
      <c r="D838" s="9">
        <f>12.351 * CHOOSE(CONTROL!$C$32, $C$9, 100%, $E$9)</f>
        <v>12.351000000000001</v>
      </c>
      <c r="E838" s="11">
        <f>13.748 * CHOOSE(CONTROL!$C$32, $C$9, 100%, $E$9)</f>
        <v>13.747999999999999</v>
      </c>
      <c r="F838" s="11">
        <f>13.748 * CHOOSE(CONTROL!$C$32, $C$9, 100%, $E$9)</f>
        <v>13.747999999999999</v>
      </c>
      <c r="G838" s="11">
        <f>13.7522 * CHOOSE(CONTROL!$C$32, $C$9, 100%, $E$9)</f>
        <v>13.7522</v>
      </c>
      <c r="H838" s="11">
        <f>29.0444 * CHOOSE(CONTROL!$C$32, $C$9, 100%, $E$9)</f>
        <v>29.0444</v>
      </c>
      <c r="I838" s="11">
        <f>29.0486 * CHOOSE(CONTROL!$C$32, $C$9, 100%, $E$9)</f>
        <v>29.0486</v>
      </c>
      <c r="J838" s="11">
        <f>29.0444 * CHOOSE(CONTROL!$C$32, $C$9, 100%, $E$9)</f>
        <v>29.0444</v>
      </c>
      <c r="K838" s="11">
        <f>29.0486 * CHOOSE(CONTROL!$C$32, $C$9, 100%, $E$9)</f>
        <v>29.0486</v>
      </c>
      <c r="L838" s="11">
        <f>13.748 * CHOOSE(CONTROL!$C$32, $C$9, 100%, $E$9)</f>
        <v>13.747999999999999</v>
      </c>
      <c r="M838" s="11">
        <f>13.7522 * CHOOSE(CONTROL!$C$32, $C$9, 100%, $E$9)</f>
        <v>13.7522</v>
      </c>
      <c r="N838" s="11">
        <f>13.748 * CHOOSE(CONTROL!$C$32, $C$9, 100%, $E$9)</f>
        <v>13.747999999999999</v>
      </c>
      <c r="O838" s="11">
        <f>13.7522 * CHOOSE(CONTROL!$C$32, $C$9, 100%, $E$9)</f>
        <v>13.7522</v>
      </c>
    </row>
    <row r="839" spans="1:15" ht="15" x14ac:dyDescent="0.2">
      <c r="A839" s="13">
        <v>66385</v>
      </c>
      <c r="B839" s="9">
        <f>12.376 * CHOOSE(CONTROL!$C$32, $C$9, 100%, $E$9)</f>
        <v>12.375999999999999</v>
      </c>
      <c r="C839" s="9">
        <f>12.376 * CHOOSE(CONTROL!$C$32, $C$9, 100%, $E$9)</f>
        <v>12.375999999999999</v>
      </c>
      <c r="D839" s="9">
        <f>12.377 * CHOOSE(CONTROL!$C$32, $C$9, 100%, $E$9)</f>
        <v>12.377000000000001</v>
      </c>
      <c r="E839" s="11">
        <f>13.8899 * CHOOSE(CONTROL!$C$32, $C$9, 100%, $E$9)</f>
        <v>13.889900000000001</v>
      </c>
      <c r="F839" s="11">
        <f>13.8899 * CHOOSE(CONTROL!$C$32, $C$9, 100%, $E$9)</f>
        <v>13.889900000000001</v>
      </c>
      <c r="G839" s="11">
        <f>13.8931 * CHOOSE(CONTROL!$C$32, $C$9, 100%, $E$9)</f>
        <v>13.8931</v>
      </c>
      <c r="H839" s="11">
        <f>29.1049 * CHOOSE(CONTROL!$C$32, $C$9, 100%, $E$9)</f>
        <v>29.104900000000001</v>
      </c>
      <c r="I839" s="11">
        <f>29.1081 * CHOOSE(CONTROL!$C$32, $C$9, 100%, $E$9)</f>
        <v>29.1081</v>
      </c>
      <c r="J839" s="11">
        <f>29.1049 * CHOOSE(CONTROL!$C$32, $C$9, 100%, $E$9)</f>
        <v>29.104900000000001</v>
      </c>
      <c r="K839" s="11">
        <f>29.1081 * CHOOSE(CONTROL!$C$32, $C$9, 100%, $E$9)</f>
        <v>29.1081</v>
      </c>
      <c r="L839" s="11">
        <f>13.8899 * CHOOSE(CONTROL!$C$32, $C$9, 100%, $E$9)</f>
        <v>13.889900000000001</v>
      </c>
      <c r="M839" s="11">
        <f>13.8931 * CHOOSE(CONTROL!$C$32, $C$9, 100%, $E$9)</f>
        <v>13.8931</v>
      </c>
      <c r="N839" s="11">
        <f>13.8899 * CHOOSE(CONTROL!$C$32, $C$9, 100%, $E$9)</f>
        <v>13.889900000000001</v>
      </c>
      <c r="O839" s="11">
        <f>13.8931 * CHOOSE(CONTROL!$C$32, $C$9, 100%, $E$9)</f>
        <v>13.8931</v>
      </c>
    </row>
    <row r="840" spans="1:15" ht="15" x14ac:dyDescent="0.2">
      <c r="A840" s="13">
        <v>66416</v>
      </c>
      <c r="B840" s="9">
        <f>12.379 * CHOOSE(CONTROL!$C$32, $C$9, 100%, $E$9)</f>
        <v>12.379</v>
      </c>
      <c r="C840" s="9">
        <f>12.379 * CHOOSE(CONTROL!$C$32, $C$9, 100%, $E$9)</f>
        <v>12.379</v>
      </c>
      <c r="D840" s="9">
        <f>12.38 * CHOOSE(CONTROL!$C$32, $C$9, 100%, $E$9)</f>
        <v>12.38</v>
      </c>
      <c r="E840" s="11">
        <f>13.9696 * CHOOSE(CONTROL!$C$32, $C$9, 100%, $E$9)</f>
        <v>13.9696</v>
      </c>
      <c r="F840" s="11">
        <f>13.9696 * CHOOSE(CONTROL!$C$32, $C$9, 100%, $E$9)</f>
        <v>13.9696</v>
      </c>
      <c r="G840" s="11">
        <f>13.9728 * CHOOSE(CONTROL!$C$32, $C$9, 100%, $E$9)</f>
        <v>13.972799999999999</v>
      </c>
      <c r="H840" s="11">
        <f>29.1655 * CHOOSE(CONTROL!$C$32, $C$9, 100%, $E$9)</f>
        <v>29.165500000000002</v>
      </c>
      <c r="I840" s="11">
        <f>29.1688 * CHOOSE(CONTROL!$C$32, $C$9, 100%, $E$9)</f>
        <v>29.168800000000001</v>
      </c>
      <c r="J840" s="11">
        <f>29.1655 * CHOOSE(CONTROL!$C$32, $C$9, 100%, $E$9)</f>
        <v>29.165500000000002</v>
      </c>
      <c r="K840" s="11">
        <f>29.1688 * CHOOSE(CONTROL!$C$32, $C$9, 100%, $E$9)</f>
        <v>29.168800000000001</v>
      </c>
      <c r="L840" s="11">
        <f>13.9696 * CHOOSE(CONTROL!$C$32, $C$9, 100%, $E$9)</f>
        <v>13.9696</v>
      </c>
      <c r="M840" s="11">
        <f>13.9728 * CHOOSE(CONTROL!$C$32, $C$9, 100%, $E$9)</f>
        <v>13.972799999999999</v>
      </c>
      <c r="N840" s="11">
        <f>13.9696 * CHOOSE(CONTROL!$C$32, $C$9, 100%, $E$9)</f>
        <v>13.9696</v>
      </c>
      <c r="O840" s="11">
        <f>13.9728 * CHOOSE(CONTROL!$C$32, $C$9, 100%, $E$9)</f>
        <v>13.972799999999999</v>
      </c>
    </row>
    <row r="841" spans="1:15" ht="15" x14ac:dyDescent="0.2">
      <c r="A841" s="13">
        <v>66446</v>
      </c>
      <c r="B841" s="9">
        <f>12.379 * CHOOSE(CONTROL!$C$32, $C$9, 100%, $E$9)</f>
        <v>12.379</v>
      </c>
      <c r="C841" s="9">
        <f>12.379 * CHOOSE(CONTROL!$C$32, $C$9, 100%, $E$9)</f>
        <v>12.379</v>
      </c>
      <c r="D841" s="9">
        <f>12.38 * CHOOSE(CONTROL!$C$32, $C$9, 100%, $E$9)</f>
        <v>12.38</v>
      </c>
      <c r="E841" s="11">
        <f>13.7755 * CHOOSE(CONTROL!$C$32, $C$9, 100%, $E$9)</f>
        <v>13.775499999999999</v>
      </c>
      <c r="F841" s="11">
        <f>13.7755 * CHOOSE(CONTROL!$C$32, $C$9, 100%, $E$9)</f>
        <v>13.775499999999999</v>
      </c>
      <c r="G841" s="11">
        <f>13.7787 * CHOOSE(CONTROL!$C$32, $C$9, 100%, $E$9)</f>
        <v>13.778700000000001</v>
      </c>
      <c r="H841" s="11">
        <f>29.2263 * CHOOSE(CONTROL!$C$32, $C$9, 100%, $E$9)</f>
        <v>29.226299999999998</v>
      </c>
      <c r="I841" s="11">
        <f>29.2295 * CHOOSE(CONTROL!$C$32, $C$9, 100%, $E$9)</f>
        <v>29.229500000000002</v>
      </c>
      <c r="J841" s="11">
        <f>29.2263 * CHOOSE(CONTROL!$C$32, $C$9, 100%, $E$9)</f>
        <v>29.226299999999998</v>
      </c>
      <c r="K841" s="11">
        <f>29.2295 * CHOOSE(CONTROL!$C$32, $C$9, 100%, $E$9)</f>
        <v>29.229500000000002</v>
      </c>
      <c r="L841" s="11">
        <f>13.7755 * CHOOSE(CONTROL!$C$32, $C$9, 100%, $E$9)</f>
        <v>13.775499999999999</v>
      </c>
      <c r="M841" s="11">
        <f>13.7787 * CHOOSE(CONTROL!$C$32, $C$9, 100%, $E$9)</f>
        <v>13.778700000000001</v>
      </c>
      <c r="N841" s="11">
        <f>13.7755 * CHOOSE(CONTROL!$C$32, $C$9, 100%, $E$9)</f>
        <v>13.775499999999999</v>
      </c>
      <c r="O841" s="11">
        <f>13.7787 * CHOOSE(CONTROL!$C$32, $C$9, 100%, $E$9)</f>
        <v>13.778700000000001</v>
      </c>
    </row>
    <row r="842" spans="1:15" ht="15" x14ac:dyDescent="0.2">
      <c r="A842" s="13">
        <v>66477</v>
      </c>
      <c r="B842" s="9">
        <f>12.3794 * CHOOSE(CONTROL!$C$32, $C$9, 100%, $E$9)</f>
        <v>12.3794</v>
      </c>
      <c r="C842" s="9">
        <f>12.3794 * CHOOSE(CONTROL!$C$32, $C$9, 100%, $E$9)</f>
        <v>12.3794</v>
      </c>
      <c r="D842" s="9">
        <f>12.3803 * CHOOSE(CONTROL!$C$32, $C$9, 100%, $E$9)</f>
        <v>12.3803</v>
      </c>
      <c r="E842" s="11">
        <f>13.9206 * CHOOSE(CONTROL!$C$32, $C$9, 100%, $E$9)</f>
        <v>13.9206</v>
      </c>
      <c r="F842" s="11">
        <f>13.9206 * CHOOSE(CONTROL!$C$32, $C$9, 100%, $E$9)</f>
        <v>13.9206</v>
      </c>
      <c r="G842" s="11">
        <f>13.9238 * CHOOSE(CONTROL!$C$32, $C$9, 100%, $E$9)</f>
        <v>13.9238</v>
      </c>
      <c r="H842" s="11">
        <f>29.0366 * CHOOSE(CONTROL!$C$32, $C$9, 100%, $E$9)</f>
        <v>29.0366</v>
      </c>
      <c r="I842" s="11">
        <f>29.0399 * CHOOSE(CONTROL!$C$32, $C$9, 100%, $E$9)</f>
        <v>29.039899999999999</v>
      </c>
      <c r="J842" s="11">
        <f>29.0366 * CHOOSE(CONTROL!$C$32, $C$9, 100%, $E$9)</f>
        <v>29.0366</v>
      </c>
      <c r="K842" s="11">
        <f>29.0399 * CHOOSE(CONTROL!$C$32, $C$9, 100%, $E$9)</f>
        <v>29.039899999999999</v>
      </c>
      <c r="L842" s="11">
        <f>13.9206 * CHOOSE(CONTROL!$C$32, $C$9, 100%, $E$9)</f>
        <v>13.9206</v>
      </c>
      <c r="M842" s="11">
        <f>13.9238 * CHOOSE(CONTROL!$C$32, $C$9, 100%, $E$9)</f>
        <v>13.9238</v>
      </c>
      <c r="N842" s="11">
        <f>13.9206 * CHOOSE(CONTROL!$C$32, $C$9, 100%, $E$9)</f>
        <v>13.9206</v>
      </c>
      <c r="O842" s="11">
        <f>13.9238 * CHOOSE(CONTROL!$C$32, $C$9, 100%, $E$9)</f>
        <v>13.9238</v>
      </c>
    </row>
    <row r="843" spans="1:15" ht="15" x14ac:dyDescent="0.2">
      <c r="A843" s="13">
        <v>66508</v>
      </c>
      <c r="B843" s="9">
        <f>12.3763 * CHOOSE(CONTROL!$C$32, $C$9, 100%, $E$9)</f>
        <v>12.376300000000001</v>
      </c>
      <c r="C843" s="9">
        <f>12.3763 * CHOOSE(CONTROL!$C$32, $C$9, 100%, $E$9)</f>
        <v>12.376300000000001</v>
      </c>
      <c r="D843" s="9">
        <f>12.3773 * CHOOSE(CONTROL!$C$32, $C$9, 100%, $E$9)</f>
        <v>12.3773</v>
      </c>
      <c r="E843" s="11">
        <f>13.5445 * CHOOSE(CONTROL!$C$32, $C$9, 100%, $E$9)</f>
        <v>13.544499999999999</v>
      </c>
      <c r="F843" s="11">
        <f>13.5445 * CHOOSE(CONTROL!$C$32, $C$9, 100%, $E$9)</f>
        <v>13.544499999999999</v>
      </c>
      <c r="G843" s="11">
        <f>13.5477 * CHOOSE(CONTROL!$C$32, $C$9, 100%, $E$9)</f>
        <v>13.547700000000001</v>
      </c>
      <c r="H843" s="11">
        <f>29.0971 * CHOOSE(CONTROL!$C$32, $C$9, 100%, $E$9)</f>
        <v>29.097100000000001</v>
      </c>
      <c r="I843" s="11">
        <f>29.1004 * CHOOSE(CONTROL!$C$32, $C$9, 100%, $E$9)</f>
        <v>29.1004</v>
      </c>
      <c r="J843" s="11">
        <f>29.0971 * CHOOSE(CONTROL!$C$32, $C$9, 100%, $E$9)</f>
        <v>29.097100000000001</v>
      </c>
      <c r="K843" s="11">
        <f>29.1004 * CHOOSE(CONTROL!$C$32, $C$9, 100%, $E$9)</f>
        <v>29.1004</v>
      </c>
      <c r="L843" s="11">
        <f>13.5445 * CHOOSE(CONTROL!$C$32, $C$9, 100%, $E$9)</f>
        <v>13.544499999999999</v>
      </c>
      <c r="M843" s="11">
        <f>13.5477 * CHOOSE(CONTROL!$C$32, $C$9, 100%, $E$9)</f>
        <v>13.547700000000001</v>
      </c>
      <c r="N843" s="11">
        <f>13.5445 * CHOOSE(CONTROL!$C$32, $C$9, 100%, $E$9)</f>
        <v>13.544499999999999</v>
      </c>
      <c r="O843" s="11">
        <f>13.5477 * CHOOSE(CONTROL!$C$32, $C$9, 100%, $E$9)</f>
        <v>13.547700000000001</v>
      </c>
    </row>
    <row r="844" spans="1:15" ht="15" x14ac:dyDescent="0.2">
      <c r="A844" s="13">
        <v>66536</v>
      </c>
      <c r="B844" s="9">
        <f>12.3733 * CHOOSE(CONTROL!$C$32, $C$9, 100%, $E$9)</f>
        <v>12.3733</v>
      </c>
      <c r="C844" s="9">
        <f>12.3733 * CHOOSE(CONTROL!$C$32, $C$9, 100%, $E$9)</f>
        <v>12.3733</v>
      </c>
      <c r="D844" s="9">
        <f>12.3742 * CHOOSE(CONTROL!$C$32, $C$9, 100%, $E$9)</f>
        <v>12.3742</v>
      </c>
      <c r="E844" s="11">
        <f>13.8372 * CHOOSE(CONTROL!$C$32, $C$9, 100%, $E$9)</f>
        <v>13.837199999999999</v>
      </c>
      <c r="F844" s="11">
        <f>13.8372 * CHOOSE(CONTROL!$C$32, $C$9, 100%, $E$9)</f>
        <v>13.837199999999999</v>
      </c>
      <c r="G844" s="11">
        <f>13.8404 * CHOOSE(CONTROL!$C$32, $C$9, 100%, $E$9)</f>
        <v>13.840400000000001</v>
      </c>
      <c r="H844" s="11">
        <f>29.1577 * CHOOSE(CONTROL!$C$32, $C$9, 100%, $E$9)</f>
        <v>29.157699999999998</v>
      </c>
      <c r="I844" s="11">
        <f>29.161 * CHOOSE(CONTROL!$C$32, $C$9, 100%, $E$9)</f>
        <v>29.161000000000001</v>
      </c>
      <c r="J844" s="11">
        <f>29.1577 * CHOOSE(CONTROL!$C$32, $C$9, 100%, $E$9)</f>
        <v>29.157699999999998</v>
      </c>
      <c r="K844" s="11">
        <f>29.161 * CHOOSE(CONTROL!$C$32, $C$9, 100%, $E$9)</f>
        <v>29.161000000000001</v>
      </c>
      <c r="L844" s="11">
        <f>13.8372 * CHOOSE(CONTROL!$C$32, $C$9, 100%, $E$9)</f>
        <v>13.837199999999999</v>
      </c>
      <c r="M844" s="11">
        <f>13.8404 * CHOOSE(CONTROL!$C$32, $C$9, 100%, $E$9)</f>
        <v>13.840400000000001</v>
      </c>
      <c r="N844" s="11">
        <f>13.8372 * CHOOSE(CONTROL!$C$32, $C$9, 100%, $E$9)</f>
        <v>13.837199999999999</v>
      </c>
      <c r="O844" s="11">
        <f>13.8404 * CHOOSE(CONTROL!$C$32, $C$9, 100%, $E$9)</f>
        <v>13.840400000000001</v>
      </c>
    </row>
    <row r="845" spans="1:15" ht="15" x14ac:dyDescent="0.2">
      <c r="A845" s="13">
        <v>66567</v>
      </c>
      <c r="B845" s="9">
        <f>12.3791 * CHOOSE(CONTROL!$C$32, $C$9, 100%, $E$9)</f>
        <v>12.379099999999999</v>
      </c>
      <c r="C845" s="9">
        <f>12.3791 * CHOOSE(CONTROL!$C$32, $C$9, 100%, $E$9)</f>
        <v>12.379099999999999</v>
      </c>
      <c r="D845" s="9">
        <f>12.38 * CHOOSE(CONTROL!$C$32, $C$9, 100%, $E$9)</f>
        <v>12.38</v>
      </c>
      <c r="E845" s="11">
        <f>14.1495 * CHOOSE(CONTROL!$C$32, $C$9, 100%, $E$9)</f>
        <v>14.1495</v>
      </c>
      <c r="F845" s="11">
        <f>14.1495 * CHOOSE(CONTROL!$C$32, $C$9, 100%, $E$9)</f>
        <v>14.1495</v>
      </c>
      <c r="G845" s="11">
        <f>14.1528 * CHOOSE(CONTROL!$C$32, $C$9, 100%, $E$9)</f>
        <v>14.152799999999999</v>
      </c>
      <c r="H845" s="11">
        <f>29.2185 * CHOOSE(CONTROL!$C$32, $C$9, 100%, $E$9)</f>
        <v>29.218499999999999</v>
      </c>
      <c r="I845" s="11">
        <f>29.2217 * CHOOSE(CONTROL!$C$32, $C$9, 100%, $E$9)</f>
        <v>29.221699999999998</v>
      </c>
      <c r="J845" s="11">
        <f>29.2185 * CHOOSE(CONTROL!$C$32, $C$9, 100%, $E$9)</f>
        <v>29.218499999999999</v>
      </c>
      <c r="K845" s="11">
        <f>29.2217 * CHOOSE(CONTROL!$C$32, $C$9, 100%, $E$9)</f>
        <v>29.221699999999998</v>
      </c>
      <c r="L845" s="11">
        <f>14.1495 * CHOOSE(CONTROL!$C$32, $C$9, 100%, $E$9)</f>
        <v>14.1495</v>
      </c>
      <c r="M845" s="11">
        <f>14.1528 * CHOOSE(CONTROL!$C$32, $C$9, 100%, $E$9)</f>
        <v>14.152799999999999</v>
      </c>
      <c r="N845" s="11">
        <f>14.1495 * CHOOSE(CONTROL!$C$32, $C$9, 100%, $E$9)</f>
        <v>14.1495</v>
      </c>
      <c r="O845" s="11">
        <f>14.1528 * CHOOSE(CONTROL!$C$32, $C$9, 100%, $E$9)</f>
        <v>14.152799999999999</v>
      </c>
    </row>
    <row r="846" spans="1:15" ht="15" x14ac:dyDescent="0.2">
      <c r="A846" s="13">
        <v>66597</v>
      </c>
      <c r="B846" s="9">
        <f>12.3791 * CHOOSE(CONTROL!$C$32, $C$9, 100%, $E$9)</f>
        <v>12.379099999999999</v>
      </c>
      <c r="C846" s="9">
        <f>12.3791 * CHOOSE(CONTROL!$C$32, $C$9, 100%, $E$9)</f>
        <v>12.379099999999999</v>
      </c>
      <c r="D846" s="9">
        <f>12.3803 * CHOOSE(CONTROL!$C$32, $C$9, 100%, $E$9)</f>
        <v>12.3803</v>
      </c>
      <c r="E846" s="11">
        <f>14.2683 * CHOOSE(CONTROL!$C$32, $C$9, 100%, $E$9)</f>
        <v>14.2683</v>
      </c>
      <c r="F846" s="11">
        <f>14.2683 * CHOOSE(CONTROL!$C$32, $C$9, 100%, $E$9)</f>
        <v>14.2683</v>
      </c>
      <c r="G846" s="11">
        <f>14.2725 * CHOOSE(CONTROL!$C$32, $C$9, 100%, $E$9)</f>
        <v>14.272500000000001</v>
      </c>
      <c r="H846" s="11">
        <f>29.2794 * CHOOSE(CONTROL!$C$32, $C$9, 100%, $E$9)</f>
        <v>29.279399999999999</v>
      </c>
      <c r="I846" s="11">
        <f>29.2836 * CHOOSE(CONTROL!$C$32, $C$9, 100%, $E$9)</f>
        <v>29.2836</v>
      </c>
      <c r="J846" s="11">
        <f>29.2794 * CHOOSE(CONTROL!$C$32, $C$9, 100%, $E$9)</f>
        <v>29.279399999999999</v>
      </c>
      <c r="K846" s="11">
        <f>29.2836 * CHOOSE(CONTROL!$C$32, $C$9, 100%, $E$9)</f>
        <v>29.2836</v>
      </c>
      <c r="L846" s="11">
        <f>14.2683 * CHOOSE(CONTROL!$C$32, $C$9, 100%, $E$9)</f>
        <v>14.2683</v>
      </c>
      <c r="M846" s="11">
        <f>14.2725 * CHOOSE(CONTROL!$C$32, $C$9, 100%, $E$9)</f>
        <v>14.272500000000001</v>
      </c>
      <c r="N846" s="11">
        <f>14.2683 * CHOOSE(CONTROL!$C$32, $C$9, 100%, $E$9)</f>
        <v>14.2683</v>
      </c>
      <c r="O846" s="11">
        <f>14.2725 * CHOOSE(CONTROL!$C$32, $C$9, 100%, $E$9)</f>
        <v>14.272500000000001</v>
      </c>
    </row>
    <row r="847" spans="1:15" ht="15" x14ac:dyDescent="0.2">
      <c r="A847" s="13">
        <v>66628</v>
      </c>
      <c r="B847" s="9">
        <f>12.3851 * CHOOSE(CONTROL!$C$32, $C$9, 100%, $E$9)</f>
        <v>12.3851</v>
      </c>
      <c r="C847" s="9">
        <f>12.3851 * CHOOSE(CONTROL!$C$32, $C$9, 100%, $E$9)</f>
        <v>12.3851</v>
      </c>
      <c r="D847" s="9">
        <f>12.3864 * CHOOSE(CONTROL!$C$32, $C$9, 100%, $E$9)</f>
        <v>12.3864</v>
      </c>
      <c r="E847" s="11">
        <f>14.1538 * CHOOSE(CONTROL!$C$32, $C$9, 100%, $E$9)</f>
        <v>14.1538</v>
      </c>
      <c r="F847" s="11">
        <f>14.1538 * CHOOSE(CONTROL!$C$32, $C$9, 100%, $E$9)</f>
        <v>14.1538</v>
      </c>
      <c r="G847" s="11">
        <f>14.158 * CHOOSE(CONTROL!$C$32, $C$9, 100%, $E$9)</f>
        <v>14.157999999999999</v>
      </c>
      <c r="H847" s="11">
        <f>29.3404 * CHOOSE(CONTROL!$C$32, $C$9, 100%, $E$9)</f>
        <v>29.340399999999999</v>
      </c>
      <c r="I847" s="11">
        <f>29.3446 * CHOOSE(CONTROL!$C$32, $C$9, 100%, $E$9)</f>
        <v>29.3446</v>
      </c>
      <c r="J847" s="11">
        <f>29.3404 * CHOOSE(CONTROL!$C$32, $C$9, 100%, $E$9)</f>
        <v>29.340399999999999</v>
      </c>
      <c r="K847" s="11">
        <f>29.3446 * CHOOSE(CONTROL!$C$32, $C$9, 100%, $E$9)</f>
        <v>29.3446</v>
      </c>
      <c r="L847" s="11">
        <f>14.1538 * CHOOSE(CONTROL!$C$32, $C$9, 100%, $E$9)</f>
        <v>14.1538</v>
      </c>
      <c r="M847" s="11">
        <f>14.158 * CHOOSE(CONTROL!$C$32, $C$9, 100%, $E$9)</f>
        <v>14.157999999999999</v>
      </c>
      <c r="N847" s="11">
        <f>14.1538 * CHOOSE(CONTROL!$C$32, $C$9, 100%, $E$9)</f>
        <v>14.1538</v>
      </c>
      <c r="O847" s="11">
        <f>14.158 * CHOOSE(CONTROL!$C$32, $C$9, 100%, $E$9)</f>
        <v>14.157999999999999</v>
      </c>
    </row>
    <row r="848" spans="1:15" ht="15" x14ac:dyDescent="0.2">
      <c r="A848" s="13">
        <v>66658</v>
      </c>
      <c r="B848" s="9">
        <f>12.5357 * CHOOSE(CONTROL!$C$32, $C$9, 100%, $E$9)</f>
        <v>12.5357</v>
      </c>
      <c r="C848" s="9">
        <f>12.5357 * CHOOSE(CONTROL!$C$32, $C$9, 100%, $E$9)</f>
        <v>12.5357</v>
      </c>
      <c r="D848" s="9">
        <f>12.5369 * CHOOSE(CONTROL!$C$32, $C$9, 100%, $E$9)</f>
        <v>12.536899999999999</v>
      </c>
      <c r="E848" s="11">
        <f>14.3539 * CHOOSE(CONTROL!$C$32, $C$9, 100%, $E$9)</f>
        <v>14.353899999999999</v>
      </c>
      <c r="F848" s="11">
        <f>14.3539 * CHOOSE(CONTROL!$C$32, $C$9, 100%, $E$9)</f>
        <v>14.353899999999999</v>
      </c>
      <c r="G848" s="11">
        <f>14.3581 * CHOOSE(CONTROL!$C$32, $C$9, 100%, $E$9)</f>
        <v>14.3581</v>
      </c>
      <c r="H848" s="11">
        <f>29.4015 * CHOOSE(CONTROL!$C$32, $C$9, 100%, $E$9)</f>
        <v>29.401499999999999</v>
      </c>
      <c r="I848" s="11">
        <f>29.4057 * CHOOSE(CONTROL!$C$32, $C$9, 100%, $E$9)</f>
        <v>29.4057</v>
      </c>
      <c r="J848" s="11">
        <f>29.4015 * CHOOSE(CONTROL!$C$32, $C$9, 100%, $E$9)</f>
        <v>29.401499999999999</v>
      </c>
      <c r="K848" s="11">
        <f>29.4057 * CHOOSE(CONTROL!$C$32, $C$9, 100%, $E$9)</f>
        <v>29.4057</v>
      </c>
      <c r="L848" s="11">
        <f>14.3539 * CHOOSE(CONTROL!$C$32, $C$9, 100%, $E$9)</f>
        <v>14.353899999999999</v>
      </c>
      <c r="M848" s="11">
        <f>14.3581 * CHOOSE(CONTROL!$C$32, $C$9, 100%, $E$9)</f>
        <v>14.3581</v>
      </c>
      <c r="N848" s="11">
        <f>14.3539 * CHOOSE(CONTROL!$C$32, $C$9, 100%, $E$9)</f>
        <v>14.353899999999999</v>
      </c>
      <c r="O848" s="11">
        <f>14.3581 * CHOOSE(CONTROL!$C$32, $C$9, 100%, $E$9)</f>
        <v>14.3581</v>
      </c>
    </row>
    <row r="849" spans="1:15" ht="15" x14ac:dyDescent="0.2">
      <c r="A849" s="13">
        <v>66689</v>
      </c>
      <c r="B849" s="9">
        <f>12.5424 * CHOOSE(CONTROL!$C$32, $C$9, 100%, $E$9)</f>
        <v>12.542400000000001</v>
      </c>
      <c r="C849" s="9">
        <f>12.5424 * CHOOSE(CONTROL!$C$32, $C$9, 100%, $E$9)</f>
        <v>12.542400000000001</v>
      </c>
      <c r="D849" s="9">
        <f>12.5436 * CHOOSE(CONTROL!$C$32, $C$9, 100%, $E$9)</f>
        <v>12.5436</v>
      </c>
      <c r="E849" s="11">
        <f>14.0024 * CHOOSE(CONTROL!$C$32, $C$9, 100%, $E$9)</f>
        <v>14.0024</v>
      </c>
      <c r="F849" s="11">
        <f>14.0024 * CHOOSE(CONTROL!$C$32, $C$9, 100%, $E$9)</f>
        <v>14.0024</v>
      </c>
      <c r="G849" s="11">
        <f>14.0066 * CHOOSE(CONTROL!$C$32, $C$9, 100%, $E$9)</f>
        <v>14.006600000000001</v>
      </c>
      <c r="H849" s="11">
        <f>29.4627 * CHOOSE(CONTROL!$C$32, $C$9, 100%, $E$9)</f>
        <v>29.462700000000002</v>
      </c>
      <c r="I849" s="11">
        <f>29.4669 * CHOOSE(CONTROL!$C$32, $C$9, 100%, $E$9)</f>
        <v>29.466899999999999</v>
      </c>
      <c r="J849" s="11">
        <f>29.4627 * CHOOSE(CONTROL!$C$32, $C$9, 100%, $E$9)</f>
        <v>29.462700000000002</v>
      </c>
      <c r="K849" s="11">
        <f>29.4669 * CHOOSE(CONTROL!$C$32, $C$9, 100%, $E$9)</f>
        <v>29.466899999999999</v>
      </c>
      <c r="L849" s="11">
        <f>14.0024 * CHOOSE(CONTROL!$C$32, $C$9, 100%, $E$9)</f>
        <v>14.0024</v>
      </c>
      <c r="M849" s="11">
        <f>14.0066 * CHOOSE(CONTROL!$C$32, $C$9, 100%, $E$9)</f>
        <v>14.006600000000001</v>
      </c>
      <c r="N849" s="11">
        <f>14.0024 * CHOOSE(CONTROL!$C$32, $C$9, 100%, $E$9)</f>
        <v>14.0024</v>
      </c>
      <c r="O849" s="11">
        <f>14.0066 * CHOOSE(CONTROL!$C$32, $C$9, 100%, $E$9)</f>
        <v>14.006600000000001</v>
      </c>
    </row>
    <row r="850" spans="1:15" ht="15" x14ac:dyDescent="0.2">
      <c r="A850" s="13">
        <v>66720</v>
      </c>
      <c r="B850" s="9">
        <f>12.5393 * CHOOSE(CONTROL!$C$32, $C$9, 100%, $E$9)</f>
        <v>12.539300000000001</v>
      </c>
      <c r="C850" s="9">
        <f>12.5393 * CHOOSE(CONTROL!$C$32, $C$9, 100%, $E$9)</f>
        <v>12.539300000000001</v>
      </c>
      <c r="D850" s="9">
        <f>12.5406 * CHOOSE(CONTROL!$C$32, $C$9, 100%, $E$9)</f>
        <v>12.5406</v>
      </c>
      <c r="E850" s="11">
        <f>13.9607 * CHOOSE(CONTROL!$C$32, $C$9, 100%, $E$9)</f>
        <v>13.960699999999999</v>
      </c>
      <c r="F850" s="11">
        <f>13.9607 * CHOOSE(CONTROL!$C$32, $C$9, 100%, $E$9)</f>
        <v>13.960699999999999</v>
      </c>
      <c r="G850" s="11">
        <f>13.9649 * CHOOSE(CONTROL!$C$32, $C$9, 100%, $E$9)</f>
        <v>13.9649</v>
      </c>
      <c r="H850" s="11">
        <f>29.5241 * CHOOSE(CONTROL!$C$32, $C$9, 100%, $E$9)</f>
        <v>29.524100000000001</v>
      </c>
      <c r="I850" s="11">
        <f>29.5283 * CHOOSE(CONTROL!$C$32, $C$9, 100%, $E$9)</f>
        <v>29.528300000000002</v>
      </c>
      <c r="J850" s="11">
        <f>29.5241 * CHOOSE(CONTROL!$C$32, $C$9, 100%, $E$9)</f>
        <v>29.524100000000001</v>
      </c>
      <c r="K850" s="11">
        <f>29.5283 * CHOOSE(CONTROL!$C$32, $C$9, 100%, $E$9)</f>
        <v>29.528300000000002</v>
      </c>
      <c r="L850" s="11">
        <f>13.9607 * CHOOSE(CONTROL!$C$32, $C$9, 100%, $E$9)</f>
        <v>13.960699999999999</v>
      </c>
      <c r="M850" s="11">
        <f>13.9649 * CHOOSE(CONTROL!$C$32, $C$9, 100%, $E$9)</f>
        <v>13.9649</v>
      </c>
      <c r="N850" s="11">
        <f>13.9607 * CHOOSE(CONTROL!$C$32, $C$9, 100%, $E$9)</f>
        <v>13.960699999999999</v>
      </c>
      <c r="O850" s="11">
        <f>13.9649 * CHOOSE(CONTROL!$C$32, $C$9, 100%, $E$9)</f>
        <v>13.9649</v>
      </c>
    </row>
    <row r="851" spans="1:15" ht="15" x14ac:dyDescent="0.2">
      <c r="A851" s="13">
        <v>66750</v>
      </c>
      <c r="B851" s="9">
        <f>12.5663 * CHOOSE(CONTROL!$C$32, $C$9, 100%, $E$9)</f>
        <v>12.5663</v>
      </c>
      <c r="C851" s="9">
        <f>12.5663 * CHOOSE(CONTROL!$C$32, $C$9, 100%, $E$9)</f>
        <v>12.5663</v>
      </c>
      <c r="D851" s="9">
        <f>12.5673 * CHOOSE(CONTROL!$C$32, $C$9, 100%, $E$9)</f>
        <v>12.567299999999999</v>
      </c>
      <c r="E851" s="11">
        <f>14.1055 * CHOOSE(CONTROL!$C$32, $C$9, 100%, $E$9)</f>
        <v>14.105499999999999</v>
      </c>
      <c r="F851" s="11">
        <f>14.1055 * CHOOSE(CONTROL!$C$32, $C$9, 100%, $E$9)</f>
        <v>14.105499999999999</v>
      </c>
      <c r="G851" s="11">
        <f>14.1088 * CHOOSE(CONTROL!$C$32, $C$9, 100%, $E$9)</f>
        <v>14.1088</v>
      </c>
      <c r="H851" s="11">
        <f>29.5856 * CHOOSE(CONTROL!$C$32, $C$9, 100%, $E$9)</f>
        <v>29.585599999999999</v>
      </c>
      <c r="I851" s="11">
        <f>29.5889 * CHOOSE(CONTROL!$C$32, $C$9, 100%, $E$9)</f>
        <v>29.588899999999999</v>
      </c>
      <c r="J851" s="11">
        <f>29.5856 * CHOOSE(CONTROL!$C$32, $C$9, 100%, $E$9)</f>
        <v>29.585599999999999</v>
      </c>
      <c r="K851" s="11">
        <f>29.5889 * CHOOSE(CONTROL!$C$32, $C$9, 100%, $E$9)</f>
        <v>29.588899999999999</v>
      </c>
      <c r="L851" s="11">
        <f>14.1055 * CHOOSE(CONTROL!$C$32, $C$9, 100%, $E$9)</f>
        <v>14.105499999999999</v>
      </c>
      <c r="M851" s="11">
        <f>14.1088 * CHOOSE(CONTROL!$C$32, $C$9, 100%, $E$9)</f>
        <v>14.1088</v>
      </c>
      <c r="N851" s="11">
        <f>14.1055 * CHOOSE(CONTROL!$C$32, $C$9, 100%, $E$9)</f>
        <v>14.105499999999999</v>
      </c>
      <c r="O851" s="11">
        <f>14.1088 * CHOOSE(CONTROL!$C$32, $C$9, 100%, $E$9)</f>
        <v>14.1088</v>
      </c>
    </row>
    <row r="852" spans="1:15" ht="15" x14ac:dyDescent="0.2">
      <c r="A852" s="13">
        <v>66781</v>
      </c>
      <c r="B852" s="9">
        <f>12.5694 * CHOOSE(CONTROL!$C$32, $C$9, 100%, $E$9)</f>
        <v>12.5694</v>
      </c>
      <c r="C852" s="9">
        <f>12.5694 * CHOOSE(CONTROL!$C$32, $C$9, 100%, $E$9)</f>
        <v>12.5694</v>
      </c>
      <c r="D852" s="9">
        <f>12.5703 * CHOOSE(CONTROL!$C$32, $C$9, 100%, $E$9)</f>
        <v>12.5703</v>
      </c>
      <c r="E852" s="11">
        <f>14.1868 * CHOOSE(CONTROL!$C$32, $C$9, 100%, $E$9)</f>
        <v>14.1868</v>
      </c>
      <c r="F852" s="11">
        <f>14.1868 * CHOOSE(CONTROL!$C$32, $C$9, 100%, $E$9)</f>
        <v>14.1868</v>
      </c>
      <c r="G852" s="11">
        <f>14.19 * CHOOSE(CONTROL!$C$32, $C$9, 100%, $E$9)</f>
        <v>14.19</v>
      </c>
      <c r="H852" s="11">
        <f>29.6473 * CHOOSE(CONTROL!$C$32, $C$9, 100%, $E$9)</f>
        <v>29.647300000000001</v>
      </c>
      <c r="I852" s="11">
        <f>29.6505 * CHOOSE(CONTROL!$C$32, $C$9, 100%, $E$9)</f>
        <v>29.650500000000001</v>
      </c>
      <c r="J852" s="11">
        <f>29.6473 * CHOOSE(CONTROL!$C$32, $C$9, 100%, $E$9)</f>
        <v>29.647300000000001</v>
      </c>
      <c r="K852" s="11">
        <f>29.6505 * CHOOSE(CONTROL!$C$32, $C$9, 100%, $E$9)</f>
        <v>29.650500000000001</v>
      </c>
      <c r="L852" s="11">
        <f>14.1868 * CHOOSE(CONTROL!$C$32, $C$9, 100%, $E$9)</f>
        <v>14.1868</v>
      </c>
      <c r="M852" s="11">
        <f>14.19 * CHOOSE(CONTROL!$C$32, $C$9, 100%, $E$9)</f>
        <v>14.19</v>
      </c>
      <c r="N852" s="11">
        <f>14.1868 * CHOOSE(CONTROL!$C$32, $C$9, 100%, $E$9)</f>
        <v>14.1868</v>
      </c>
      <c r="O852" s="11">
        <f>14.19 * CHOOSE(CONTROL!$C$32, $C$9, 100%, $E$9)</f>
        <v>14.19</v>
      </c>
    </row>
    <row r="853" spans="1:15" ht="15" x14ac:dyDescent="0.2">
      <c r="A853" s="13">
        <v>66811</v>
      </c>
      <c r="B853" s="9">
        <f>12.5694 * CHOOSE(CONTROL!$C$32, $C$9, 100%, $E$9)</f>
        <v>12.5694</v>
      </c>
      <c r="C853" s="9">
        <f>12.5694 * CHOOSE(CONTROL!$C$32, $C$9, 100%, $E$9)</f>
        <v>12.5694</v>
      </c>
      <c r="D853" s="9">
        <f>12.5703 * CHOOSE(CONTROL!$C$32, $C$9, 100%, $E$9)</f>
        <v>12.5703</v>
      </c>
      <c r="E853" s="11">
        <f>13.9889 * CHOOSE(CONTROL!$C$32, $C$9, 100%, $E$9)</f>
        <v>13.988899999999999</v>
      </c>
      <c r="F853" s="11">
        <f>13.9889 * CHOOSE(CONTROL!$C$32, $C$9, 100%, $E$9)</f>
        <v>13.988899999999999</v>
      </c>
      <c r="G853" s="11">
        <f>13.9922 * CHOOSE(CONTROL!$C$32, $C$9, 100%, $E$9)</f>
        <v>13.9922</v>
      </c>
      <c r="H853" s="11">
        <f>29.709 * CHOOSE(CONTROL!$C$32, $C$9, 100%, $E$9)</f>
        <v>29.709</v>
      </c>
      <c r="I853" s="11">
        <f>29.7123 * CHOOSE(CONTROL!$C$32, $C$9, 100%, $E$9)</f>
        <v>29.712299999999999</v>
      </c>
      <c r="J853" s="11">
        <f>29.709 * CHOOSE(CONTROL!$C$32, $C$9, 100%, $E$9)</f>
        <v>29.709</v>
      </c>
      <c r="K853" s="11">
        <f>29.7123 * CHOOSE(CONTROL!$C$32, $C$9, 100%, $E$9)</f>
        <v>29.712299999999999</v>
      </c>
      <c r="L853" s="11">
        <f>13.9889 * CHOOSE(CONTROL!$C$32, $C$9, 100%, $E$9)</f>
        <v>13.988899999999999</v>
      </c>
      <c r="M853" s="11">
        <f>13.9922 * CHOOSE(CONTROL!$C$32, $C$9, 100%, $E$9)</f>
        <v>13.9922</v>
      </c>
      <c r="N853" s="11">
        <f>13.9889 * CHOOSE(CONTROL!$C$32, $C$9, 100%, $E$9)</f>
        <v>13.988899999999999</v>
      </c>
      <c r="O853" s="11">
        <f>13.9922 * CHOOSE(CONTROL!$C$32, $C$9, 100%, $E$9)</f>
        <v>13.9922</v>
      </c>
    </row>
    <row r="854" spans="1:15" ht="15" x14ac:dyDescent="0.2">
      <c r="A854" s="13">
        <v>66842</v>
      </c>
      <c r="B854" s="9">
        <f>12.5667 * CHOOSE(CONTROL!$C$32, $C$9, 100%, $E$9)</f>
        <v>12.566700000000001</v>
      </c>
      <c r="C854" s="9">
        <f>12.5667 * CHOOSE(CONTROL!$C$32, $C$9, 100%, $E$9)</f>
        <v>12.566700000000001</v>
      </c>
      <c r="D854" s="9">
        <f>12.5677 * CHOOSE(CONTROL!$C$32, $C$9, 100%, $E$9)</f>
        <v>12.5677</v>
      </c>
      <c r="E854" s="11">
        <f>14.1331 * CHOOSE(CONTROL!$C$32, $C$9, 100%, $E$9)</f>
        <v>14.133100000000001</v>
      </c>
      <c r="F854" s="11">
        <f>14.1331 * CHOOSE(CONTROL!$C$32, $C$9, 100%, $E$9)</f>
        <v>14.133100000000001</v>
      </c>
      <c r="G854" s="11">
        <f>14.1363 * CHOOSE(CONTROL!$C$32, $C$9, 100%, $E$9)</f>
        <v>14.1363</v>
      </c>
      <c r="H854" s="11">
        <f>29.5084 * CHOOSE(CONTROL!$C$32, $C$9, 100%, $E$9)</f>
        <v>29.508400000000002</v>
      </c>
      <c r="I854" s="11">
        <f>29.5117 * CHOOSE(CONTROL!$C$32, $C$9, 100%, $E$9)</f>
        <v>29.511700000000001</v>
      </c>
      <c r="J854" s="11">
        <f>29.5084 * CHOOSE(CONTROL!$C$32, $C$9, 100%, $E$9)</f>
        <v>29.508400000000002</v>
      </c>
      <c r="K854" s="11">
        <f>29.5117 * CHOOSE(CONTROL!$C$32, $C$9, 100%, $E$9)</f>
        <v>29.511700000000001</v>
      </c>
      <c r="L854" s="11">
        <f>14.1331 * CHOOSE(CONTROL!$C$32, $C$9, 100%, $E$9)</f>
        <v>14.133100000000001</v>
      </c>
      <c r="M854" s="11">
        <f>14.1363 * CHOOSE(CONTROL!$C$32, $C$9, 100%, $E$9)</f>
        <v>14.1363</v>
      </c>
      <c r="N854" s="11">
        <f>14.1331 * CHOOSE(CONTROL!$C$32, $C$9, 100%, $E$9)</f>
        <v>14.133100000000001</v>
      </c>
      <c r="O854" s="11">
        <f>14.1363 * CHOOSE(CONTROL!$C$32, $C$9, 100%, $E$9)</f>
        <v>14.1363</v>
      </c>
    </row>
    <row r="855" spans="1:15" ht="15" x14ac:dyDescent="0.2">
      <c r="A855" s="13">
        <v>66873</v>
      </c>
      <c r="B855" s="9">
        <f>12.5637 * CHOOSE(CONTROL!$C$32, $C$9, 100%, $E$9)</f>
        <v>12.563700000000001</v>
      </c>
      <c r="C855" s="9">
        <f>12.5637 * CHOOSE(CONTROL!$C$32, $C$9, 100%, $E$9)</f>
        <v>12.563700000000001</v>
      </c>
      <c r="D855" s="9">
        <f>12.5646 * CHOOSE(CONTROL!$C$32, $C$9, 100%, $E$9)</f>
        <v>12.5646</v>
      </c>
      <c r="E855" s="11">
        <f>13.7499 * CHOOSE(CONTROL!$C$32, $C$9, 100%, $E$9)</f>
        <v>13.7499</v>
      </c>
      <c r="F855" s="11">
        <f>13.7499 * CHOOSE(CONTROL!$C$32, $C$9, 100%, $E$9)</f>
        <v>13.7499</v>
      </c>
      <c r="G855" s="11">
        <f>13.7532 * CHOOSE(CONTROL!$C$32, $C$9, 100%, $E$9)</f>
        <v>13.7532</v>
      </c>
      <c r="H855" s="11">
        <f>29.5699 * CHOOSE(CONTROL!$C$32, $C$9, 100%, $E$9)</f>
        <v>29.569900000000001</v>
      </c>
      <c r="I855" s="11">
        <f>29.5731 * CHOOSE(CONTROL!$C$32, $C$9, 100%, $E$9)</f>
        <v>29.5731</v>
      </c>
      <c r="J855" s="11">
        <f>29.5699 * CHOOSE(CONTROL!$C$32, $C$9, 100%, $E$9)</f>
        <v>29.569900000000001</v>
      </c>
      <c r="K855" s="11">
        <f>29.5731 * CHOOSE(CONTROL!$C$32, $C$9, 100%, $E$9)</f>
        <v>29.5731</v>
      </c>
      <c r="L855" s="11">
        <f>13.7499 * CHOOSE(CONTROL!$C$32, $C$9, 100%, $E$9)</f>
        <v>13.7499</v>
      </c>
      <c r="M855" s="11">
        <f>13.7532 * CHOOSE(CONTROL!$C$32, $C$9, 100%, $E$9)</f>
        <v>13.7532</v>
      </c>
      <c r="N855" s="11">
        <f>13.7499 * CHOOSE(CONTROL!$C$32, $C$9, 100%, $E$9)</f>
        <v>13.7499</v>
      </c>
      <c r="O855" s="11">
        <f>13.7532 * CHOOSE(CONTROL!$C$32, $C$9, 100%, $E$9)</f>
        <v>13.7532</v>
      </c>
    </row>
    <row r="856" spans="1:15" ht="15" x14ac:dyDescent="0.2">
      <c r="A856" s="13">
        <v>66901</v>
      </c>
      <c r="B856" s="9">
        <f>12.5606 * CHOOSE(CONTROL!$C$32, $C$9, 100%, $E$9)</f>
        <v>12.560600000000001</v>
      </c>
      <c r="C856" s="9">
        <f>12.5606 * CHOOSE(CONTROL!$C$32, $C$9, 100%, $E$9)</f>
        <v>12.560600000000001</v>
      </c>
      <c r="D856" s="9">
        <f>12.5616 * CHOOSE(CONTROL!$C$32, $C$9, 100%, $E$9)</f>
        <v>12.5616</v>
      </c>
      <c r="E856" s="11">
        <f>14.0482 * CHOOSE(CONTROL!$C$32, $C$9, 100%, $E$9)</f>
        <v>14.0482</v>
      </c>
      <c r="F856" s="11">
        <f>14.0482 * CHOOSE(CONTROL!$C$32, $C$9, 100%, $E$9)</f>
        <v>14.0482</v>
      </c>
      <c r="G856" s="11">
        <f>14.0514 * CHOOSE(CONTROL!$C$32, $C$9, 100%, $E$9)</f>
        <v>14.051399999999999</v>
      </c>
      <c r="H856" s="11">
        <f>29.6315 * CHOOSE(CONTROL!$C$32, $C$9, 100%, $E$9)</f>
        <v>29.631499999999999</v>
      </c>
      <c r="I856" s="11">
        <f>29.6347 * CHOOSE(CONTROL!$C$32, $C$9, 100%, $E$9)</f>
        <v>29.634699999999999</v>
      </c>
      <c r="J856" s="11">
        <f>29.6315 * CHOOSE(CONTROL!$C$32, $C$9, 100%, $E$9)</f>
        <v>29.631499999999999</v>
      </c>
      <c r="K856" s="11">
        <f>29.6347 * CHOOSE(CONTROL!$C$32, $C$9, 100%, $E$9)</f>
        <v>29.634699999999999</v>
      </c>
      <c r="L856" s="11">
        <f>14.0482 * CHOOSE(CONTROL!$C$32, $C$9, 100%, $E$9)</f>
        <v>14.0482</v>
      </c>
      <c r="M856" s="11">
        <f>14.0514 * CHOOSE(CONTROL!$C$32, $C$9, 100%, $E$9)</f>
        <v>14.051399999999999</v>
      </c>
      <c r="N856" s="11">
        <f>14.0482 * CHOOSE(CONTROL!$C$32, $C$9, 100%, $E$9)</f>
        <v>14.0482</v>
      </c>
      <c r="O856" s="11">
        <f>14.0514 * CHOOSE(CONTROL!$C$32, $C$9, 100%, $E$9)</f>
        <v>14.051399999999999</v>
      </c>
    </row>
    <row r="857" spans="1:15" ht="15" x14ac:dyDescent="0.2">
      <c r="A857" s="13">
        <v>66932</v>
      </c>
      <c r="B857" s="9">
        <f>12.5666 * CHOOSE(CONTROL!$C$32, $C$9, 100%, $E$9)</f>
        <v>12.566599999999999</v>
      </c>
      <c r="C857" s="9">
        <f>12.5666 * CHOOSE(CONTROL!$C$32, $C$9, 100%, $E$9)</f>
        <v>12.566599999999999</v>
      </c>
      <c r="D857" s="9">
        <f>12.5676 * CHOOSE(CONTROL!$C$32, $C$9, 100%, $E$9)</f>
        <v>12.567600000000001</v>
      </c>
      <c r="E857" s="11">
        <f>14.3665 * CHOOSE(CONTROL!$C$32, $C$9, 100%, $E$9)</f>
        <v>14.3665</v>
      </c>
      <c r="F857" s="11">
        <f>14.3665 * CHOOSE(CONTROL!$C$32, $C$9, 100%, $E$9)</f>
        <v>14.3665</v>
      </c>
      <c r="G857" s="11">
        <f>14.3698 * CHOOSE(CONTROL!$C$32, $C$9, 100%, $E$9)</f>
        <v>14.3698</v>
      </c>
      <c r="H857" s="11">
        <f>29.6932 * CHOOSE(CONTROL!$C$32, $C$9, 100%, $E$9)</f>
        <v>29.693200000000001</v>
      </c>
      <c r="I857" s="11">
        <f>29.6965 * CHOOSE(CONTROL!$C$32, $C$9, 100%, $E$9)</f>
        <v>29.6965</v>
      </c>
      <c r="J857" s="11">
        <f>29.6932 * CHOOSE(CONTROL!$C$32, $C$9, 100%, $E$9)</f>
        <v>29.693200000000001</v>
      </c>
      <c r="K857" s="11">
        <f>29.6965 * CHOOSE(CONTROL!$C$32, $C$9, 100%, $E$9)</f>
        <v>29.6965</v>
      </c>
      <c r="L857" s="11">
        <f>14.3665 * CHOOSE(CONTROL!$C$32, $C$9, 100%, $E$9)</f>
        <v>14.3665</v>
      </c>
      <c r="M857" s="11">
        <f>14.3698 * CHOOSE(CONTROL!$C$32, $C$9, 100%, $E$9)</f>
        <v>14.3698</v>
      </c>
      <c r="N857" s="11">
        <f>14.3665 * CHOOSE(CONTROL!$C$32, $C$9, 100%, $E$9)</f>
        <v>14.3665</v>
      </c>
      <c r="O857" s="11">
        <f>14.3698 * CHOOSE(CONTROL!$C$32, $C$9, 100%, $E$9)</f>
        <v>14.3698</v>
      </c>
    </row>
    <row r="858" spans="1:15" ht="15" x14ac:dyDescent="0.2">
      <c r="A858" s="13">
        <v>66962</v>
      </c>
      <c r="B858" s="9">
        <f>12.5666 * CHOOSE(CONTROL!$C$32, $C$9, 100%, $E$9)</f>
        <v>12.566599999999999</v>
      </c>
      <c r="C858" s="9">
        <f>12.5666 * CHOOSE(CONTROL!$C$32, $C$9, 100%, $E$9)</f>
        <v>12.566599999999999</v>
      </c>
      <c r="D858" s="9">
        <f>12.5679 * CHOOSE(CONTROL!$C$32, $C$9, 100%, $E$9)</f>
        <v>12.5679</v>
      </c>
      <c r="E858" s="11">
        <f>14.4875 * CHOOSE(CONTROL!$C$32, $C$9, 100%, $E$9)</f>
        <v>14.487500000000001</v>
      </c>
      <c r="F858" s="11">
        <f>14.4875 * CHOOSE(CONTROL!$C$32, $C$9, 100%, $E$9)</f>
        <v>14.487500000000001</v>
      </c>
      <c r="G858" s="11">
        <f>14.4917 * CHOOSE(CONTROL!$C$32, $C$9, 100%, $E$9)</f>
        <v>14.4917</v>
      </c>
      <c r="H858" s="11">
        <f>29.7551 * CHOOSE(CONTROL!$C$32, $C$9, 100%, $E$9)</f>
        <v>29.755099999999999</v>
      </c>
      <c r="I858" s="11">
        <f>29.7593 * CHOOSE(CONTROL!$C$32, $C$9, 100%, $E$9)</f>
        <v>29.7593</v>
      </c>
      <c r="J858" s="11">
        <f>29.7551 * CHOOSE(CONTROL!$C$32, $C$9, 100%, $E$9)</f>
        <v>29.755099999999999</v>
      </c>
      <c r="K858" s="11">
        <f>29.7593 * CHOOSE(CONTROL!$C$32, $C$9, 100%, $E$9)</f>
        <v>29.7593</v>
      </c>
      <c r="L858" s="11">
        <f>14.4875 * CHOOSE(CONTROL!$C$32, $C$9, 100%, $E$9)</f>
        <v>14.487500000000001</v>
      </c>
      <c r="M858" s="11">
        <f>14.4917 * CHOOSE(CONTROL!$C$32, $C$9, 100%, $E$9)</f>
        <v>14.4917</v>
      </c>
      <c r="N858" s="11">
        <f>14.4875 * CHOOSE(CONTROL!$C$32, $C$9, 100%, $E$9)</f>
        <v>14.487500000000001</v>
      </c>
      <c r="O858" s="11">
        <f>14.4917 * CHOOSE(CONTROL!$C$32, $C$9, 100%, $E$9)</f>
        <v>14.4917</v>
      </c>
    </row>
    <row r="859" spans="1:15" ht="15" x14ac:dyDescent="0.2">
      <c r="A859" s="13">
        <v>66993</v>
      </c>
      <c r="B859" s="9">
        <f>12.5727 * CHOOSE(CONTROL!$C$32, $C$9, 100%, $E$9)</f>
        <v>12.572699999999999</v>
      </c>
      <c r="C859" s="9">
        <f>12.5727 * CHOOSE(CONTROL!$C$32, $C$9, 100%, $E$9)</f>
        <v>12.572699999999999</v>
      </c>
      <c r="D859" s="9">
        <f>12.5739 * CHOOSE(CONTROL!$C$32, $C$9, 100%, $E$9)</f>
        <v>12.5739</v>
      </c>
      <c r="E859" s="11">
        <f>14.3708 * CHOOSE(CONTROL!$C$32, $C$9, 100%, $E$9)</f>
        <v>14.370799999999999</v>
      </c>
      <c r="F859" s="11">
        <f>14.3708 * CHOOSE(CONTROL!$C$32, $C$9, 100%, $E$9)</f>
        <v>14.370799999999999</v>
      </c>
      <c r="G859" s="11">
        <f>14.375 * CHOOSE(CONTROL!$C$32, $C$9, 100%, $E$9)</f>
        <v>14.375</v>
      </c>
      <c r="H859" s="11">
        <f>29.8171 * CHOOSE(CONTROL!$C$32, $C$9, 100%, $E$9)</f>
        <v>29.8171</v>
      </c>
      <c r="I859" s="11">
        <f>29.8213 * CHOOSE(CONTROL!$C$32, $C$9, 100%, $E$9)</f>
        <v>29.821300000000001</v>
      </c>
      <c r="J859" s="11">
        <f>29.8171 * CHOOSE(CONTROL!$C$32, $C$9, 100%, $E$9)</f>
        <v>29.8171</v>
      </c>
      <c r="K859" s="11">
        <f>29.8213 * CHOOSE(CONTROL!$C$32, $C$9, 100%, $E$9)</f>
        <v>29.821300000000001</v>
      </c>
      <c r="L859" s="11">
        <f>14.3708 * CHOOSE(CONTROL!$C$32, $C$9, 100%, $E$9)</f>
        <v>14.370799999999999</v>
      </c>
      <c r="M859" s="11">
        <f>14.375 * CHOOSE(CONTROL!$C$32, $C$9, 100%, $E$9)</f>
        <v>14.375</v>
      </c>
      <c r="N859" s="11">
        <f>14.3708 * CHOOSE(CONTROL!$C$32, $C$9, 100%, $E$9)</f>
        <v>14.370799999999999</v>
      </c>
      <c r="O859" s="11">
        <f>14.375 * CHOOSE(CONTROL!$C$32, $C$9, 100%, $E$9)</f>
        <v>14.375</v>
      </c>
    </row>
    <row r="860" spans="1:15" ht="15" x14ac:dyDescent="0.2">
      <c r="A860" s="13">
        <v>67023</v>
      </c>
      <c r="B860" s="9">
        <f>12.7253 * CHOOSE(CONTROL!$C$32, $C$9, 100%, $E$9)</f>
        <v>12.725300000000001</v>
      </c>
      <c r="C860" s="9">
        <f>12.7253 * CHOOSE(CONTROL!$C$32, $C$9, 100%, $E$9)</f>
        <v>12.725300000000001</v>
      </c>
      <c r="D860" s="9">
        <f>12.7265 * CHOOSE(CONTROL!$C$32, $C$9, 100%, $E$9)</f>
        <v>12.7265</v>
      </c>
      <c r="E860" s="11">
        <f>14.574 * CHOOSE(CONTROL!$C$32, $C$9, 100%, $E$9)</f>
        <v>14.574</v>
      </c>
      <c r="F860" s="11">
        <f>14.574 * CHOOSE(CONTROL!$C$32, $C$9, 100%, $E$9)</f>
        <v>14.574</v>
      </c>
      <c r="G860" s="11">
        <f>14.5782 * CHOOSE(CONTROL!$C$32, $C$9, 100%, $E$9)</f>
        <v>14.578200000000001</v>
      </c>
      <c r="H860" s="11">
        <f>29.8792 * CHOOSE(CONTROL!$C$32, $C$9, 100%, $E$9)</f>
        <v>29.879200000000001</v>
      </c>
      <c r="I860" s="11">
        <f>29.8834 * CHOOSE(CONTROL!$C$32, $C$9, 100%, $E$9)</f>
        <v>29.883400000000002</v>
      </c>
      <c r="J860" s="11">
        <f>29.8792 * CHOOSE(CONTROL!$C$32, $C$9, 100%, $E$9)</f>
        <v>29.879200000000001</v>
      </c>
      <c r="K860" s="11">
        <f>29.8834 * CHOOSE(CONTROL!$C$32, $C$9, 100%, $E$9)</f>
        <v>29.883400000000002</v>
      </c>
      <c r="L860" s="11">
        <f>14.574 * CHOOSE(CONTROL!$C$32, $C$9, 100%, $E$9)</f>
        <v>14.574</v>
      </c>
      <c r="M860" s="11">
        <f>14.5782 * CHOOSE(CONTROL!$C$32, $C$9, 100%, $E$9)</f>
        <v>14.578200000000001</v>
      </c>
      <c r="N860" s="11">
        <f>14.574 * CHOOSE(CONTROL!$C$32, $C$9, 100%, $E$9)</f>
        <v>14.574</v>
      </c>
      <c r="O860" s="11">
        <f>14.5782 * CHOOSE(CONTROL!$C$32, $C$9, 100%, $E$9)</f>
        <v>14.578200000000001</v>
      </c>
    </row>
    <row r="861" spans="1:15" ht="15" x14ac:dyDescent="0.2">
      <c r="A861" s="13">
        <v>67054</v>
      </c>
      <c r="B861" s="9">
        <f>12.732 * CHOOSE(CONTROL!$C$32, $C$9, 100%, $E$9)</f>
        <v>12.731999999999999</v>
      </c>
      <c r="C861" s="9">
        <f>12.732 * CHOOSE(CONTROL!$C$32, $C$9, 100%, $E$9)</f>
        <v>12.731999999999999</v>
      </c>
      <c r="D861" s="9">
        <f>12.7332 * CHOOSE(CONTROL!$C$32, $C$9, 100%, $E$9)</f>
        <v>12.7332</v>
      </c>
      <c r="E861" s="11">
        <f>14.2158 * CHOOSE(CONTROL!$C$32, $C$9, 100%, $E$9)</f>
        <v>14.2158</v>
      </c>
      <c r="F861" s="11">
        <f>14.2158 * CHOOSE(CONTROL!$C$32, $C$9, 100%, $E$9)</f>
        <v>14.2158</v>
      </c>
      <c r="G861" s="11">
        <f>14.22 * CHOOSE(CONTROL!$C$32, $C$9, 100%, $E$9)</f>
        <v>14.22</v>
      </c>
      <c r="H861" s="11">
        <f>29.9415 * CHOOSE(CONTROL!$C$32, $C$9, 100%, $E$9)</f>
        <v>29.941500000000001</v>
      </c>
      <c r="I861" s="11">
        <f>29.9457 * CHOOSE(CONTROL!$C$32, $C$9, 100%, $E$9)</f>
        <v>29.945699999999999</v>
      </c>
      <c r="J861" s="11">
        <f>29.9415 * CHOOSE(CONTROL!$C$32, $C$9, 100%, $E$9)</f>
        <v>29.941500000000001</v>
      </c>
      <c r="K861" s="11">
        <f>29.9457 * CHOOSE(CONTROL!$C$32, $C$9, 100%, $E$9)</f>
        <v>29.945699999999999</v>
      </c>
      <c r="L861" s="11">
        <f>14.2158 * CHOOSE(CONTROL!$C$32, $C$9, 100%, $E$9)</f>
        <v>14.2158</v>
      </c>
      <c r="M861" s="11">
        <f>14.22 * CHOOSE(CONTROL!$C$32, $C$9, 100%, $E$9)</f>
        <v>14.22</v>
      </c>
      <c r="N861" s="11">
        <f>14.2158 * CHOOSE(CONTROL!$C$32, $C$9, 100%, $E$9)</f>
        <v>14.2158</v>
      </c>
      <c r="O861" s="11">
        <f>14.22 * CHOOSE(CONTROL!$C$32, $C$9, 100%, $E$9)</f>
        <v>14.22</v>
      </c>
    </row>
    <row r="862" spans="1:15" ht="15" x14ac:dyDescent="0.2">
      <c r="A862" s="13">
        <v>67085</v>
      </c>
      <c r="B862" s="9">
        <f>12.7289 * CHOOSE(CONTROL!$C$32, $C$9, 100%, $E$9)</f>
        <v>12.728899999999999</v>
      </c>
      <c r="C862" s="9">
        <f>12.7289 * CHOOSE(CONTROL!$C$32, $C$9, 100%, $E$9)</f>
        <v>12.728899999999999</v>
      </c>
      <c r="D862" s="9">
        <f>12.7302 * CHOOSE(CONTROL!$C$32, $C$9, 100%, $E$9)</f>
        <v>12.7302</v>
      </c>
      <c r="E862" s="11">
        <f>14.1733 * CHOOSE(CONTROL!$C$32, $C$9, 100%, $E$9)</f>
        <v>14.173299999999999</v>
      </c>
      <c r="F862" s="11">
        <f>14.1733 * CHOOSE(CONTROL!$C$32, $C$9, 100%, $E$9)</f>
        <v>14.173299999999999</v>
      </c>
      <c r="G862" s="11">
        <f>14.1775 * CHOOSE(CONTROL!$C$32, $C$9, 100%, $E$9)</f>
        <v>14.1775</v>
      </c>
      <c r="H862" s="11">
        <f>30.0038 * CHOOSE(CONTROL!$C$32, $C$9, 100%, $E$9)</f>
        <v>30.003799999999998</v>
      </c>
      <c r="I862" s="11">
        <f>30.008 * CHOOSE(CONTROL!$C$32, $C$9, 100%, $E$9)</f>
        <v>30.007999999999999</v>
      </c>
      <c r="J862" s="11">
        <f>30.0038 * CHOOSE(CONTROL!$C$32, $C$9, 100%, $E$9)</f>
        <v>30.003799999999998</v>
      </c>
      <c r="K862" s="11">
        <f>30.008 * CHOOSE(CONTROL!$C$32, $C$9, 100%, $E$9)</f>
        <v>30.007999999999999</v>
      </c>
      <c r="L862" s="11">
        <f>14.1733 * CHOOSE(CONTROL!$C$32, $C$9, 100%, $E$9)</f>
        <v>14.173299999999999</v>
      </c>
      <c r="M862" s="11">
        <f>14.1775 * CHOOSE(CONTROL!$C$32, $C$9, 100%, $E$9)</f>
        <v>14.1775</v>
      </c>
      <c r="N862" s="11">
        <f>14.1733 * CHOOSE(CONTROL!$C$32, $C$9, 100%, $E$9)</f>
        <v>14.173299999999999</v>
      </c>
      <c r="O862" s="11">
        <f>14.1775 * CHOOSE(CONTROL!$C$32, $C$9, 100%, $E$9)</f>
        <v>14.1775</v>
      </c>
    </row>
    <row r="863" spans="1:15" ht="15" x14ac:dyDescent="0.2">
      <c r="A863" s="13">
        <v>67115</v>
      </c>
      <c r="B863" s="9">
        <f>12.7566 * CHOOSE(CONTROL!$C$32, $C$9, 100%, $E$9)</f>
        <v>12.756600000000001</v>
      </c>
      <c r="C863" s="9">
        <f>12.7566 * CHOOSE(CONTROL!$C$32, $C$9, 100%, $E$9)</f>
        <v>12.756600000000001</v>
      </c>
      <c r="D863" s="9">
        <f>12.7576 * CHOOSE(CONTROL!$C$32, $C$9, 100%, $E$9)</f>
        <v>12.7576</v>
      </c>
      <c r="E863" s="11">
        <f>14.3212 * CHOOSE(CONTROL!$C$32, $C$9, 100%, $E$9)</f>
        <v>14.321199999999999</v>
      </c>
      <c r="F863" s="11">
        <f>14.3212 * CHOOSE(CONTROL!$C$32, $C$9, 100%, $E$9)</f>
        <v>14.321199999999999</v>
      </c>
      <c r="G863" s="11">
        <f>14.3244 * CHOOSE(CONTROL!$C$32, $C$9, 100%, $E$9)</f>
        <v>14.324400000000001</v>
      </c>
      <c r="H863" s="11">
        <f>30.0664 * CHOOSE(CONTROL!$C$32, $C$9, 100%, $E$9)</f>
        <v>30.066400000000002</v>
      </c>
      <c r="I863" s="11">
        <f>30.0696 * CHOOSE(CONTROL!$C$32, $C$9, 100%, $E$9)</f>
        <v>30.069600000000001</v>
      </c>
      <c r="J863" s="11">
        <f>30.0664 * CHOOSE(CONTROL!$C$32, $C$9, 100%, $E$9)</f>
        <v>30.066400000000002</v>
      </c>
      <c r="K863" s="11">
        <f>30.0696 * CHOOSE(CONTROL!$C$32, $C$9, 100%, $E$9)</f>
        <v>30.069600000000001</v>
      </c>
      <c r="L863" s="11">
        <f>14.3212 * CHOOSE(CONTROL!$C$32, $C$9, 100%, $E$9)</f>
        <v>14.321199999999999</v>
      </c>
      <c r="M863" s="11">
        <f>14.3244 * CHOOSE(CONTROL!$C$32, $C$9, 100%, $E$9)</f>
        <v>14.324400000000001</v>
      </c>
      <c r="N863" s="11">
        <f>14.3212 * CHOOSE(CONTROL!$C$32, $C$9, 100%, $E$9)</f>
        <v>14.321199999999999</v>
      </c>
      <c r="O863" s="11">
        <f>14.3244 * CHOOSE(CONTROL!$C$32, $C$9, 100%, $E$9)</f>
        <v>14.324400000000001</v>
      </c>
    </row>
    <row r="864" spans="1:15" ht="15" x14ac:dyDescent="0.2">
      <c r="A864" s="13">
        <v>67146</v>
      </c>
      <c r="B864" s="9">
        <f>12.7597 * CHOOSE(CONTROL!$C$32, $C$9, 100%, $E$9)</f>
        <v>12.7597</v>
      </c>
      <c r="C864" s="9">
        <f>12.7597 * CHOOSE(CONTROL!$C$32, $C$9, 100%, $E$9)</f>
        <v>12.7597</v>
      </c>
      <c r="D864" s="9">
        <f>12.7606 * CHOOSE(CONTROL!$C$32, $C$9, 100%, $E$9)</f>
        <v>12.7606</v>
      </c>
      <c r="E864" s="11">
        <f>14.404 * CHOOSE(CONTROL!$C$32, $C$9, 100%, $E$9)</f>
        <v>14.404</v>
      </c>
      <c r="F864" s="11">
        <f>14.404 * CHOOSE(CONTROL!$C$32, $C$9, 100%, $E$9)</f>
        <v>14.404</v>
      </c>
      <c r="G864" s="11">
        <f>14.4072 * CHOOSE(CONTROL!$C$32, $C$9, 100%, $E$9)</f>
        <v>14.4072</v>
      </c>
      <c r="H864" s="11">
        <f>30.129 * CHOOSE(CONTROL!$C$32, $C$9, 100%, $E$9)</f>
        <v>30.129000000000001</v>
      </c>
      <c r="I864" s="11">
        <f>30.1322 * CHOOSE(CONTROL!$C$32, $C$9, 100%, $E$9)</f>
        <v>30.132200000000001</v>
      </c>
      <c r="J864" s="11">
        <f>30.129 * CHOOSE(CONTROL!$C$32, $C$9, 100%, $E$9)</f>
        <v>30.129000000000001</v>
      </c>
      <c r="K864" s="11">
        <f>30.1322 * CHOOSE(CONTROL!$C$32, $C$9, 100%, $E$9)</f>
        <v>30.132200000000001</v>
      </c>
      <c r="L864" s="11">
        <f>14.404 * CHOOSE(CONTROL!$C$32, $C$9, 100%, $E$9)</f>
        <v>14.404</v>
      </c>
      <c r="M864" s="11">
        <f>14.4072 * CHOOSE(CONTROL!$C$32, $C$9, 100%, $E$9)</f>
        <v>14.4072</v>
      </c>
      <c r="N864" s="11">
        <f>14.404 * CHOOSE(CONTROL!$C$32, $C$9, 100%, $E$9)</f>
        <v>14.404</v>
      </c>
      <c r="O864" s="11">
        <f>14.4072 * CHOOSE(CONTROL!$C$32, $C$9, 100%, $E$9)</f>
        <v>14.4072</v>
      </c>
    </row>
    <row r="865" spans="1:15" ht="15" x14ac:dyDescent="0.2">
      <c r="A865" s="13">
        <v>67176</v>
      </c>
      <c r="B865" s="9">
        <f>12.7597 * CHOOSE(CONTROL!$C$32, $C$9, 100%, $E$9)</f>
        <v>12.7597</v>
      </c>
      <c r="C865" s="9">
        <f>12.7597 * CHOOSE(CONTROL!$C$32, $C$9, 100%, $E$9)</f>
        <v>12.7597</v>
      </c>
      <c r="D865" s="9">
        <f>12.7606 * CHOOSE(CONTROL!$C$32, $C$9, 100%, $E$9)</f>
        <v>12.7606</v>
      </c>
      <c r="E865" s="11">
        <f>14.2024 * CHOOSE(CONTROL!$C$32, $C$9, 100%, $E$9)</f>
        <v>14.202400000000001</v>
      </c>
      <c r="F865" s="11">
        <f>14.2024 * CHOOSE(CONTROL!$C$32, $C$9, 100%, $E$9)</f>
        <v>14.202400000000001</v>
      </c>
      <c r="G865" s="11">
        <f>14.2056 * CHOOSE(CONTROL!$C$32, $C$9, 100%, $E$9)</f>
        <v>14.2056</v>
      </c>
      <c r="H865" s="11">
        <f>30.1918 * CHOOSE(CONTROL!$C$32, $C$9, 100%, $E$9)</f>
        <v>30.191800000000001</v>
      </c>
      <c r="I865" s="11">
        <f>30.195 * CHOOSE(CONTROL!$C$32, $C$9, 100%, $E$9)</f>
        <v>30.195</v>
      </c>
      <c r="J865" s="11">
        <f>30.1918 * CHOOSE(CONTROL!$C$32, $C$9, 100%, $E$9)</f>
        <v>30.191800000000001</v>
      </c>
      <c r="K865" s="11">
        <f>30.195 * CHOOSE(CONTROL!$C$32, $C$9, 100%, $E$9)</f>
        <v>30.195</v>
      </c>
      <c r="L865" s="11">
        <f>14.2024 * CHOOSE(CONTROL!$C$32, $C$9, 100%, $E$9)</f>
        <v>14.202400000000001</v>
      </c>
      <c r="M865" s="11">
        <f>14.2056 * CHOOSE(CONTROL!$C$32, $C$9, 100%, $E$9)</f>
        <v>14.2056</v>
      </c>
      <c r="N865" s="11">
        <f>14.2024 * CHOOSE(CONTROL!$C$32, $C$9, 100%, $E$9)</f>
        <v>14.202400000000001</v>
      </c>
      <c r="O865" s="11">
        <f>14.2056 * CHOOSE(CONTROL!$C$32, $C$9, 100%, $E$9)</f>
        <v>14.2056</v>
      </c>
    </row>
    <row r="866" spans="1:15" ht="15" x14ac:dyDescent="0.2">
      <c r="A866" s="13">
        <v>67207</v>
      </c>
      <c r="B866" s="9">
        <f>12.7541 * CHOOSE(CONTROL!$C$32, $C$9, 100%, $E$9)</f>
        <v>12.754099999999999</v>
      </c>
      <c r="C866" s="9">
        <f>12.7541 * CHOOSE(CONTROL!$C$32, $C$9, 100%, $E$9)</f>
        <v>12.754099999999999</v>
      </c>
      <c r="D866" s="9">
        <f>12.755 * CHOOSE(CONTROL!$C$32, $C$9, 100%, $E$9)</f>
        <v>12.755000000000001</v>
      </c>
      <c r="E866" s="11">
        <f>14.3456 * CHOOSE(CONTROL!$C$32, $C$9, 100%, $E$9)</f>
        <v>14.345599999999999</v>
      </c>
      <c r="F866" s="11">
        <f>14.3456 * CHOOSE(CONTROL!$C$32, $C$9, 100%, $E$9)</f>
        <v>14.345599999999999</v>
      </c>
      <c r="G866" s="11">
        <f>14.3488 * CHOOSE(CONTROL!$C$32, $C$9, 100%, $E$9)</f>
        <v>14.348800000000001</v>
      </c>
      <c r="H866" s="11">
        <f>29.9802 * CHOOSE(CONTROL!$C$32, $C$9, 100%, $E$9)</f>
        <v>29.9802</v>
      </c>
      <c r="I866" s="11">
        <f>29.9835 * CHOOSE(CONTROL!$C$32, $C$9, 100%, $E$9)</f>
        <v>29.983499999999999</v>
      </c>
      <c r="J866" s="11">
        <f>29.9802 * CHOOSE(CONTROL!$C$32, $C$9, 100%, $E$9)</f>
        <v>29.9802</v>
      </c>
      <c r="K866" s="11">
        <f>29.9835 * CHOOSE(CONTROL!$C$32, $C$9, 100%, $E$9)</f>
        <v>29.983499999999999</v>
      </c>
      <c r="L866" s="11">
        <f>14.3456 * CHOOSE(CONTROL!$C$32, $C$9, 100%, $E$9)</f>
        <v>14.345599999999999</v>
      </c>
      <c r="M866" s="11">
        <f>14.3488 * CHOOSE(CONTROL!$C$32, $C$9, 100%, $E$9)</f>
        <v>14.348800000000001</v>
      </c>
      <c r="N866" s="11">
        <f>14.3456 * CHOOSE(CONTROL!$C$32, $C$9, 100%, $E$9)</f>
        <v>14.345599999999999</v>
      </c>
      <c r="O866" s="11">
        <f>14.3488 * CHOOSE(CONTROL!$C$32, $C$9, 100%, $E$9)</f>
        <v>14.348800000000001</v>
      </c>
    </row>
    <row r="867" spans="1:15" ht="15" x14ac:dyDescent="0.2">
      <c r="A867" s="13">
        <v>67238</v>
      </c>
      <c r="B867" s="9">
        <f>12.751 * CHOOSE(CONTROL!$C$32, $C$9, 100%, $E$9)</f>
        <v>12.750999999999999</v>
      </c>
      <c r="C867" s="9">
        <f>12.751 * CHOOSE(CONTROL!$C$32, $C$9, 100%, $E$9)</f>
        <v>12.750999999999999</v>
      </c>
      <c r="D867" s="9">
        <f>12.752 * CHOOSE(CONTROL!$C$32, $C$9, 100%, $E$9)</f>
        <v>12.752000000000001</v>
      </c>
      <c r="E867" s="11">
        <f>13.9553 * CHOOSE(CONTROL!$C$32, $C$9, 100%, $E$9)</f>
        <v>13.955299999999999</v>
      </c>
      <c r="F867" s="11">
        <f>13.9553 * CHOOSE(CONTROL!$C$32, $C$9, 100%, $E$9)</f>
        <v>13.955299999999999</v>
      </c>
      <c r="G867" s="11">
        <f>13.9586 * CHOOSE(CONTROL!$C$32, $C$9, 100%, $E$9)</f>
        <v>13.958600000000001</v>
      </c>
      <c r="H867" s="11">
        <f>30.0427 * CHOOSE(CONTROL!$C$32, $C$9, 100%, $E$9)</f>
        <v>30.0427</v>
      </c>
      <c r="I867" s="11">
        <f>30.0459 * CHOOSE(CONTROL!$C$32, $C$9, 100%, $E$9)</f>
        <v>30.0459</v>
      </c>
      <c r="J867" s="11">
        <f>30.0427 * CHOOSE(CONTROL!$C$32, $C$9, 100%, $E$9)</f>
        <v>30.0427</v>
      </c>
      <c r="K867" s="11">
        <f>30.0459 * CHOOSE(CONTROL!$C$32, $C$9, 100%, $E$9)</f>
        <v>30.0459</v>
      </c>
      <c r="L867" s="11">
        <f>13.9553 * CHOOSE(CONTROL!$C$32, $C$9, 100%, $E$9)</f>
        <v>13.955299999999999</v>
      </c>
      <c r="M867" s="11">
        <f>13.9586 * CHOOSE(CONTROL!$C$32, $C$9, 100%, $E$9)</f>
        <v>13.958600000000001</v>
      </c>
      <c r="N867" s="11">
        <f>13.9553 * CHOOSE(CONTROL!$C$32, $C$9, 100%, $E$9)</f>
        <v>13.955299999999999</v>
      </c>
      <c r="O867" s="11">
        <f>13.9586 * CHOOSE(CONTROL!$C$32, $C$9, 100%, $E$9)</f>
        <v>13.958600000000001</v>
      </c>
    </row>
    <row r="868" spans="1:15" ht="15" x14ac:dyDescent="0.2">
      <c r="A868" s="13">
        <v>67267</v>
      </c>
      <c r="B868" s="9">
        <f>12.748 * CHOOSE(CONTROL!$C$32, $C$9, 100%, $E$9)</f>
        <v>12.747999999999999</v>
      </c>
      <c r="C868" s="9">
        <f>12.748 * CHOOSE(CONTROL!$C$32, $C$9, 100%, $E$9)</f>
        <v>12.747999999999999</v>
      </c>
      <c r="D868" s="9">
        <f>12.749 * CHOOSE(CONTROL!$C$32, $C$9, 100%, $E$9)</f>
        <v>12.749000000000001</v>
      </c>
      <c r="E868" s="11">
        <f>14.2592 * CHOOSE(CONTROL!$C$32, $C$9, 100%, $E$9)</f>
        <v>14.2592</v>
      </c>
      <c r="F868" s="11">
        <f>14.2592 * CHOOSE(CONTROL!$C$32, $C$9, 100%, $E$9)</f>
        <v>14.2592</v>
      </c>
      <c r="G868" s="11">
        <f>14.2624 * CHOOSE(CONTROL!$C$32, $C$9, 100%, $E$9)</f>
        <v>14.2624</v>
      </c>
      <c r="H868" s="11">
        <f>30.1053 * CHOOSE(CONTROL!$C$32, $C$9, 100%, $E$9)</f>
        <v>30.1053</v>
      </c>
      <c r="I868" s="11">
        <f>30.1085 * CHOOSE(CONTROL!$C$32, $C$9, 100%, $E$9)</f>
        <v>30.108499999999999</v>
      </c>
      <c r="J868" s="11">
        <f>30.1053 * CHOOSE(CONTROL!$C$32, $C$9, 100%, $E$9)</f>
        <v>30.1053</v>
      </c>
      <c r="K868" s="11">
        <f>30.1085 * CHOOSE(CONTROL!$C$32, $C$9, 100%, $E$9)</f>
        <v>30.108499999999999</v>
      </c>
      <c r="L868" s="11">
        <f>14.2592 * CHOOSE(CONTROL!$C$32, $C$9, 100%, $E$9)</f>
        <v>14.2592</v>
      </c>
      <c r="M868" s="11">
        <f>14.2624 * CHOOSE(CONTROL!$C$32, $C$9, 100%, $E$9)</f>
        <v>14.2624</v>
      </c>
      <c r="N868" s="11">
        <f>14.2592 * CHOOSE(CONTROL!$C$32, $C$9, 100%, $E$9)</f>
        <v>14.2592</v>
      </c>
      <c r="O868" s="11">
        <f>14.2624 * CHOOSE(CONTROL!$C$32, $C$9, 100%, $E$9)</f>
        <v>14.2624</v>
      </c>
    </row>
    <row r="869" spans="1:15" ht="15" x14ac:dyDescent="0.2">
      <c r="A869" s="13">
        <v>67298</v>
      </c>
      <c r="B869" s="9">
        <f>12.7541 * CHOOSE(CONTROL!$C$32, $C$9, 100%, $E$9)</f>
        <v>12.754099999999999</v>
      </c>
      <c r="C869" s="9">
        <f>12.7541 * CHOOSE(CONTROL!$C$32, $C$9, 100%, $E$9)</f>
        <v>12.754099999999999</v>
      </c>
      <c r="D869" s="9">
        <f>12.7551 * CHOOSE(CONTROL!$C$32, $C$9, 100%, $E$9)</f>
        <v>12.755100000000001</v>
      </c>
      <c r="E869" s="11">
        <f>14.5835 * CHOOSE(CONTROL!$C$32, $C$9, 100%, $E$9)</f>
        <v>14.583500000000001</v>
      </c>
      <c r="F869" s="11">
        <f>14.5835 * CHOOSE(CONTROL!$C$32, $C$9, 100%, $E$9)</f>
        <v>14.583500000000001</v>
      </c>
      <c r="G869" s="11">
        <f>14.5868 * CHOOSE(CONTROL!$C$32, $C$9, 100%, $E$9)</f>
        <v>14.5868</v>
      </c>
      <c r="H869" s="11">
        <f>30.168 * CHOOSE(CONTROL!$C$32, $C$9, 100%, $E$9)</f>
        <v>30.167999999999999</v>
      </c>
      <c r="I869" s="11">
        <f>30.1712 * CHOOSE(CONTROL!$C$32, $C$9, 100%, $E$9)</f>
        <v>30.171199999999999</v>
      </c>
      <c r="J869" s="11">
        <f>30.168 * CHOOSE(CONTROL!$C$32, $C$9, 100%, $E$9)</f>
        <v>30.167999999999999</v>
      </c>
      <c r="K869" s="11">
        <f>30.1712 * CHOOSE(CONTROL!$C$32, $C$9, 100%, $E$9)</f>
        <v>30.171199999999999</v>
      </c>
      <c r="L869" s="11">
        <f>14.5835 * CHOOSE(CONTROL!$C$32, $C$9, 100%, $E$9)</f>
        <v>14.583500000000001</v>
      </c>
      <c r="M869" s="11">
        <f>14.5868 * CHOOSE(CONTROL!$C$32, $C$9, 100%, $E$9)</f>
        <v>14.5868</v>
      </c>
      <c r="N869" s="11">
        <f>14.5835 * CHOOSE(CONTROL!$C$32, $C$9, 100%, $E$9)</f>
        <v>14.583500000000001</v>
      </c>
      <c r="O869" s="11">
        <f>14.5868 * CHOOSE(CONTROL!$C$32, $C$9, 100%, $E$9)</f>
        <v>14.5868</v>
      </c>
    </row>
    <row r="870" spans="1:15" ht="15" x14ac:dyDescent="0.2">
      <c r="A870" s="13">
        <v>67328</v>
      </c>
      <c r="B870" s="9">
        <f>12.7541 * CHOOSE(CONTROL!$C$32, $C$9, 100%, $E$9)</f>
        <v>12.754099999999999</v>
      </c>
      <c r="C870" s="9">
        <f>12.7541 * CHOOSE(CONTROL!$C$32, $C$9, 100%, $E$9)</f>
        <v>12.754099999999999</v>
      </c>
      <c r="D870" s="9">
        <f>12.7554 * CHOOSE(CONTROL!$C$32, $C$9, 100%, $E$9)</f>
        <v>12.7554</v>
      </c>
      <c r="E870" s="11">
        <f>14.7068 * CHOOSE(CONTROL!$C$32, $C$9, 100%, $E$9)</f>
        <v>14.706799999999999</v>
      </c>
      <c r="F870" s="11">
        <f>14.7068 * CHOOSE(CONTROL!$C$32, $C$9, 100%, $E$9)</f>
        <v>14.706799999999999</v>
      </c>
      <c r="G870" s="11">
        <f>14.711 * CHOOSE(CONTROL!$C$32, $C$9, 100%, $E$9)</f>
        <v>14.711</v>
      </c>
      <c r="H870" s="11">
        <f>30.2309 * CHOOSE(CONTROL!$C$32, $C$9, 100%, $E$9)</f>
        <v>30.230899999999998</v>
      </c>
      <c r="I870" s="11">
        <f>30.2351 * CHOOSE(CONTROL!$C$32, $C$9, 100%, $E$9)</f>
        <v>30.235099999999999</v>
      </c>
      <c r="J870" s="11">
        <f>30.2309 * CHOOSE(CONTROL!$C$32, $C$9, 100%, $E$9)</f>
        <v>30.230899999999998</v>
      </c>
      <c r="K870" s="11">
        <f>30.2351 * CHOOSE(CONTROL!$C$32, $C$9, 100%, $E$9)</f>
        <v>30.235099999999999</v>
      </c>
      <c r="L870" s="11">
        <f>14.7068 * CHOOSE(CONTROL!$C$32, $C$9, 100%, $E$9)</f>
        <v>14.706799999999999</v>
      </c>
      <c r="M870" s="11">
        <f>14.711 * CHOOSE(CONTROL!$C$32, $C$9, 100%, $E$9)</f>
        <v>14.711</v>
      </c>
      <c r="N870" s="11">
        <f>14.7068 * CHOOSE(CONTROL!$C$32, $C$9, 100%, $E$9)</f>
        <v>14.706799999999999</v>
      </c>
      <c r="O870" s="11">
        <f>14.711 * CHOOSE(CONTROL!$C$32, $C$9, 100%, $E$9)</f>
        <v>14.711</v>
      </c>
    </row>
    <row r="871" spans="1:15" ht="15" x14ac:dyDescent="0.2">
      <c r="A871" s="13">
        <v>67359</v>
      </c>
      <c r="B871" s="9">
        <f>12.7602 * CHOOSE(CONTROL!$C$32, $C$9, 100%, $E$9)</f>
        <v>12.760199999999999</v>
      </c>
      <c r="C871" s="9">
        <f>12.7602 * CHOOSE(CONTROL!$C$32, $C$9, 100%, $E$9)</f>
        <v>12.760199999999999</v>
      </c>
      <c r="D871" s="9">
        <f>12.7615 * CHOOSE(CONTROL!$C$32, $C$9, 100%, $E$9)</f>
        <v>12.7615</v>
      </c>
      <c r="E871" s="11">
        <f>14.5878 * CHOOSE(CONTROL!$C$32, $C$9, 100%, $E$9)</f>
        <v>14.5878</v>
      </c>
      <c r="F871" s="11">
        <f>14.5878 * CHOOSE(CONTROL!$C$32, $C$9, 100%, $E$9)</f>
        <v>14.5878</v>
      </c>
      <c r="G871" s="11">
        <f>14.592 * CHOOSE(CONTROL!$C$32, $C$9, 100%, $E$9)</f>
        <v>14.592000000000001</v>
      </c>
      <c r="H871" s="11">
        <f>30.2938 * CHOOSE(CONTROL!$C$32, $C$9, 100%, $E$9)</f>
        <v>30.293800000000001</v>
      </c>
      <c r="I871" s="11">
        <f>30.298 * CHOOSE(CONTROL!$C$32, $C$9, 100%, $E$9)</f>
        <v>30.297999999999998</v>
      </c>
      <c r="J871" s="11">
        <f>30.2938 * CHOOSE(CONTROL!$C$32, $C$9, 100%, $E$9)</f>
        <v>30.293800000000001</v>
      </c>
      <c r="K871" s="11">
        <f>30.298 * CHOOSE(CONTROL!$C$32, $C$9, 100%, $E$9)</f>
        <v>30.297999999999998</v>
      </c>
      <c r="L871" s="11">
        <f>14.5878 * CHOOSE(CONTROL!$C$32, $C$9, 100%, $E$9)</f>
        <v>14.5878</v>
      </c>
      <c r="M871" s="11">
        <f>14.592 * CHOOSE(CONTROL!$C$32, $C$9, 100%, $E$9)</f>
        <v>14.592000000000001</v>
      </c>
      <c r="N871" s="11">
        <f>14.5878 * CHOOSE(CONTROL!$C$32, $C$9, 100%, $E$9)</f>
        <v>14.5878</v>
      </c>
      <c r="O871" s="11">
        <f>14.592 * CHOOSE(CONTROL!$C$32, $C$9, 100%, $E$9)</f>
        <v>14.592000000000001</v>
      </c>
    </row>
    <row r="872" spans="1:15" ht="15" x14ac:dyDescent="0.2">
      <c r="A872" s="13">
        <v>67389</v>
      </c>
      <c r="B872" s="9">
        <f>12.9149 * CHOOSE(CONTROL!$C$32, $C$9, 100%, $E$9)</f>
        <v>12.914899999999999</v>
      </c>
      <c r="C872" s="9">
        <f>12.9149 * CHOOSE(CONTROL!$C$32, $C$9, 100%, $E$9)</f>
        <v>12.914899999999999</v>
      </c>
      <c r="D872" s="9">
        <f>12.9161 * CHOOSE(CONTROL!$C$32, $C$9, 100%, $E$9)</f>
        <v>12.9161</v>
      </c>
      <c r="E872" s="11">
        <f>14.7942 * CHOOSE(CONTROL!$C$32, $C$9, 100%, $E$9)</f>
        <v>14.7942</v>
      </c>
      <c r="F872" s="11">
        <f>14.7942 * CHOOSE(CONTROL!$C$32, $C$9, 100%, $E$9)</f>
        <v>14.7942</v>
      </c>
      <c r="G872" s="11">
        <f>14.7984 * CHOOSE(CONTROL!$C$32, $C$9, 100%, $E$9)</f>
        <v>14.798400000000001</v>
      </c>
      <c r="H872" s="11">
        <f>30.357 * CHOOSE(CONTROL!$C$32, $C$9, 100%, $E$9)</f>
        <v>30.356999999999999</v>
      </c>
      <c r="I872" s="11">
        <f>30.3612 * CHOOSE(CONTROL!$C$32, $C$9, 100%, $E$9)</f>
        <v>30.3612</v>
      </c>
      <c r="J872" s="11">
        <f>30.357 * CHOOSE(CONTROL!$C$32, $C$9, 100%, $E$9)</f>
        <v>30.356999999999999</v>
      </c>
      <c r="K872" s="11">
        <f>30.3612 * CHOOSE(CONTROL!$C$32, $C$9, 100%, $E$9)</f>
        <v>30.3612</v>
      </c>
      <c r="L872" s="11">
        <f>14.7942 * CHOOSE(CONTROL!$C$32, $C$9, 100%, $E$9)</f>
        <v>14.7942</v>
      </c>
      <c r="M872" s="11">
        <f>14.7984 * CHOOSE(CONTROL!$C$32, $C$9, 100%, $E$9)</f>
        <v>14.798400000000001</v>
      </c>
      <c r="N872" s="11">
        <f>14.7942 * CHOOSE(CONTROL!$C$32, $C$9, 100%, $E$9)</f>
        <v>14.7942</v>
      </c>
      <c r="O872" s="11">
        <f>14.7984 * CHOOSE(CONTROL!$C$32, $C$9, 100%, $E$9)</f>
        <v>14.798400000000001</v>
      </c>
    </row>
    <row r="873" spans="1:15" ht="15" x14ac:dyDescent="0.2">
      <c r="A873" s="13">
        <v>67420</v>
      </c>
      <c r="B873" s="9">
        <f>12.9216 * CHOOSE(CONTROL!$C$32, $C$9, 100%, $E$9)</f>
        <v>12.9216</v>
      </c>
      <c r="C873" s="9">
        <f>12.9216 * CHOOSE(CONTROL!$C$32, $C$9, 100%, $E$9)</f>
        <v>12.9216</v>
      </c>
      <c r="D873" s="9">
        <f>12.9228 * CHOOSE(CONTROL!$C$32, $C$9, 100%, $E$9)</f>
        <v>12.922800000000001</v>
      </c>
      <c r="E873" s="11">
        <f>14.4292 * CHOOSE(CONTROL!$C$32, $C$9, 100%, $E$9)</f>
        <v>14.4292</v>
      </c>
      <c r="F873" s="11">
        <f>14.4292 * CHOOSE(CONTROL!$C$32, $C$9, 100%, $E$9)</f>
        <v>14.4292</v>
      </c>
      <c r="G873" s="11">
        <f>14.4334 * CHOOSE(CONTROL!$C$32, $C$9, 100%, $E$9)</f>
        <v>14.433400000000001</v>
      </c>
      <c r="H873" s="11">
        <f>30.4202 * CHOOSE(CONTROL!$C$32, $C$9, 100%, $E$9)</f>
        <v>30.420200000000001</v>
      </c>
      <c r="I873" s="11">
        <f>30.4244 * CHOOSE(CONTROL!$C$32, $C$9, 100%, $E$9)</f>
        <v>30.424399999999999</v>
      </c>
      <c r="J873" s="11">
        <f>30.4202 * CHOOSE(CONTROL!$C$32, $C$9, 100%, $E$9)</f>
        <v>30.420200000000001</v>
      </c>
      <c r="K873" s="11">
        <f>30.4244 * CHOOSE(CONTROL!$C$32, $C$9, 100%, $E$9)</f>
        <v>30.424399999999999</v>
      </c>
      <c r="L873" s="11">
        <f>14.4292 * CHOOSE(CONTROL!$C$32, $C$9, 100%, $E$9)</f>
        <v>14.4292</v>
      </c>
      <c r="M873" s="11">
        <f>14.4334 * CHOOSE(CONTROL!$C$32, $C$9, 100%, $E$9)</f>
        <v>14.433400000000001</v>
      </c>
      <c r="N873" s="11">
        <f>14.4292 * CHOOSE(CONTROL!$C$32, $C$9, 100%, $E$9)</f>
        <v>14.4292</v>
      </c>
      <c r="O873" s="11">
        <f>14.4334 * CHOOSE(CONTROL!$C$32, $C$9, 100%, $E$9)</f>
        <v>14.433400000000001</v>
      </c>
    </row>
    <row r="874" spans="1:15" ht="15" x14ac:dyDescent="0.2">
      <c r="A874" s="13">
        <v>67451</v>
      </c>
      <c r="B874" s="9">
        <f>12.9185 * CHOOSE(CONTROL!$C$32, $C$9, 100%, $E$9)</f>
        <v>12.9185</v>
      </c>
      <c r="C874" s="9">
        <f>12.9185 * CHOOSE(CONTROL!$C$32, $C$9, 100%, $E$9)</f>
        <v>12.9185</v>
      </c>
      <c r="D874" s="9">
        <f>12.9198 * CHOOSE(CONTROL!$C$32, $C$9, 100%, $E$9)</f>
        <v>12.9198</v>
      </c>
      <c r="E874" s="11">
        <f>14.386 * CHOOSE(CONTROL!$C$32, $C$9, 100%, $E$9)</f>
        <v>14.385999999999999</v>
      </c>
      <c r="F874" s="11">
        <f>14.386 * CHOOSE(CONTROL!$C$32, $C$9, 100%, $E$9)</f>
        <v>14.385999999999999</v>
      </c>
      <c r="G874" s="11">
        <f>14.3902 * CHOOSE(CONTROL!$C$32, $C$9, 100%, $E$9)</f>
        <v>14.3902</v>
      </c>
      <c r="H874" s="11">
        <f>30.4836 * CHOOSE(CONTROL!$C$32, $C$9, 100%, $E$9)</f>
        <v>30.483599999999999</v>
      </c>
      <c r="I874" s="11">
        <f>30.4878 * CHOOSE(CONTROL!$C$32, $C$9, 100%, $E$9)</f>
        <v>30.4878</v>
      </c>
      <c r="J874" s="11">
        <f>30.4836 * CHOOSE(CONTROL!$C$32, $C$9, 100%, $E$9)</f>
        <v>30.483599999999999</v>
      </c>
      <c r="K874" s="11">
        <f>30.4878 * CHOOSE(CONTROL!$C$32, $C$9, 100%, $E$9)</f>
        <v>30.4878</v>
      </c>
      <c r="L874" s="11">
        <f>14.386 * CHOOSE(CONTROL!$C$32, $C$9, 100%, $E$9)</f>
        <v>14.385999999999999</v>
      </c>
      <c r="M874" s="11">
        <f>14.3902 * CHOOSE(CONTROL!$C$32, $C$9, 100%, $E$9)</f>
        <v>14.3902</v>
      </c>
      <c r="N874" s="11">
        <f>14.386 * CHOOSE(CONTROL!$C$32, $C$9, 100%, $E$9)</f>
        <v>14.385999999999999</v>
      </c>
      <c r="O874" s="11">
        <f>14.3902 * CHOOSE(CONTROL!$C$32, $C$9, 100%, $E$9)</f>
        <v>14.3902</v>
      </c>
    </row>
    <row r="875" spans="1:15" ht="15" x14ac:dyDescent="0.2">
      <c r="A875" s="13">
        <v>67481</v>
      </c>
      <c r="B875" s="9">
        <f>12.9469 * CHOOSE(CONTROL!$C$32, $C$9, 100%, $E$9)</f>
        <v>12.946899999999999</v>
      </c>
      <c r="C875" s="9">
        <f>12.9469 * CHOOSE(CONTROL!$C$32, $C$9, 100%, $E$9)</f>
        <v>12.946899999999999</v>
      </c>
      <c r="D875" s="9">
        <f>12.9479 * CHOOSE(CONTROL!$C$32, $C$9, 100%, $E$9)</f>
        <v>12.947900000000001</v>
      </c>
      <c r="E875" s="11">
        <f>14.5369 * CHOOSE(CONTROL!$C$32, $C$9, 100%, $E$9)</f>
        <v>14.536899999999999</v>
      </c>
      <c r="F875" s="11">
        <f>14.5369 * CHOOSE(CONTROL!$C$32, $C$9, 100%, $E$9)</f>
        <v>14.536899999999999</v>
      </c>
      <c r="G875" s="11">
        <f>14.5401 * CHOOSE(CONTROL!$C$32, $C$9, 100%, $E$9)</f>
        <v>14.540100000000001</v>
      </c>
      <c r="H875" s="11">
        <f>30.5471 * CHOOSE(CONTROL!$C$32, $C$9, 100%, $E$9)</f>
        <v>30.5471</v>
      </c>
      <c r="I875" s="11">
        <f>30.5503 * CHOOSE(CONTROL!$C$32, $C$9, 100%, $E$9)</f>
        <v>30.5503</v>
      </c>
      <c r="J875" s="11">
        <f>30.5471 * CHOOSE(CONTROL!$C$32, $C$9, 100%, $E$9)</f>
        <v>30.5471</v>
      </c>
      <c r="K875" s="11">
        <f>30.5503 * CHOOSE(CONTROL!$C$32, $C$9, 100%, $E$9)</f>
        <v>30.5503</v>
      </c>
      <c r="L875" s="11">
        <f>14.5369 * CHOOSE(CONTROL!$C$32, $C$9, 100%, $E$9)</f>
        <v>14.536899999999999</v>
      </c>
      <c r="M875" s="11">
        <f>14.5401 * CHOOSE(CONTROL!$C$32, $C$9, 100%, $E$9)</f>
        <v>14.540100000000001</v>
      </c>
      <c r="N875" s="11">
        <f>14.5369 * CHOOSE(CONTROL!$C$32, $C$9, 100%, $E$9)</f>
        <v>14.536899999999999</v>
      </c>
      <c r="O875" s="11">
        <f>14.5401 * CHOOSE(CONTROL!$C$32, $C$9, 100%, $E$9)</f>
        <v>14.540100000000001</v>
      </c>
    </row>
    <row r="876" spans="1:15" ht="15" x14ac:dyDescent="0.2">
      <c r="A876" s="13">
        <v>67512</v>
      </c>
      <c r="B876" s="9">
        <f>12.95 * CHOOSE(CONTROL!$C$32, $C$9, 100%, $E$9)</f>
        <v>12.95</v>
      </c>
      <c r="C876" s="9">
        <f>12.95 * CHOOSE(CONTROL!$C$32, $C$9, 100%, $E$9)</f>
        <v>12.95</v>
      </c>
      <c r="D876" s="9">
        <f>12.9509 * CHOOSE(CONTROL!$C$32, $C$9, 100%, $E$9)</f>
        <v>12.950900000000001</v>
      </c>
      <c r="E876" s="11">
        <f>14.6212 * CHOOSE(CONTROL!$C$32, $C$9, 100%, $E$9)</f>
        <v>14.6212</v>
      </c>
      <c r="F876" s="11">
        <f>14.6212 * CHOOSE(CONTROL!$C$32, $C$9, 100%, $E$9)</f>
        <v>14.6212</v>
      </c>
      <c r="G876" s="11">
        <f>14.6244 * CHOOSE(CONTROL!$C$32, $C$9, 100%, $E$9)</f>
        <v>14.6244</v>
      </c>
      <c r="H876" s="11">
        <f>30.6107 * CHOOSE(CONTROL!$C$32, $C$9, 100%, $E$9)</f>
        <v>30.610700000000001</v>
      </c>
      <c r="I876" s="11">
        <f>30.6139 * CHOOSE(CONTROL!$C$32, $C$9, 100%, $E$9)</f>
        <v>30.613900000000001</v>
      </c>
      <c r="J876" s="11">
        <f>30.6107 * CHOOSE(CONTROL!$C$32, $C$9, 100%, $E$9)</f>
        <v>30.610700000000001</v>
      </c>
      <c r="K876" s="11">
        <f>30.6139 * CHOOSE(CONTROL!$C$32, $C$9, 100%, $E$9)</f>
        <v>30.613900000000001</v>
      </c>
      <c r="L876" s="11">
        <f>14.6212 * CHOOSE(CONTROL!$C$32, $C$9, 100%, $E$9)</f>
        <v>14.6212</v>
      </c>
      <c r="M876" s="11">
        <f>14.6244 * CHOOSE(CONTROL!$C$32, $C$9, 100%, $E$9)</f>
        <v>14.6244</v>
      </c>
      <c r="N876" s="11">
        <f>14.6212 * CHOOSE(CONTROL!$C$32, $C$9, 100%, $E$9)</f>
        <v>14.6212</v>
      </c>
      <c r="O876" s="11">
        <f>14.6244 * CHOOSE(CONTROL!$C$32, $C$9, 100%, $E$9)</f>
        <v>14.6244</v>
      </c>
    </row>
    <row r="877" spans="1:15" ht="15" x14ac:dyDescent="0.2">
      <c r="A877" s="13">
        <v>67542</v>
      </c>
      <c r="B877" s="9">
        <f>12.95 * CHOOSE(CONTROL!$C$32, $C$9, 100%, $E$9)</f>
        <v>12.95</v>
      </c>
      <c r="C877" s="9">
        <f>12.95 * CHOOSE(CONTROL!$C$32, $C$9, 100%, $E$9)</f>
        <v>12.95</v>
      </c>
      <c r="D877" s="9">
        <f>12.9509 * CHOOSE(CONTROL!$C$32, $C$9, 100%, $E$9)</f>
        <v>12.950900000000001</v>
      </c>
      <c r="E877" s="11">
        <f>14.4158 * CHOOSE(CONTROL!$C$32, $C$9, 100%, $E$9)</f>
        <v>14.415800000000001</v>
      </c>
      <c r="F877" s="11">
        <f>14.4158 * CHOOSE(CONTROL!$C$32, $C$9, 100%, $E$9)</f>
        <v>14.415800000000001</v>
      </c>
      <c r="G877" s="11">
        <f>14.419 * CHOOSE(CONTROL!$C$32, $C$9, 100%, $E$9)</f>
        <v>14.419</v>
      </c>
      <c r="H877" s="11">
        <f>30.6745 * CHOOSE(CONTROL!$C$32, $C$9, 100%, $E$9)</f>
        <v>30.674499999999998</v>
      </c>
      <c r="I877" s="11">
        <f>30.6777 * CHOOSE(CONTROL!$C$32, $C$9, 100%, $E$9)</f>
        <v>30.677700000000002</v>
      </c>
      <c r="J877" s="11">
        <f>30.6745 * CHOOSE(CONTROL!$C$32, $C$9, 100%, $E$9)</f>
        <v>30.674499999999998</v>
      </c>
      <c r="K877" s="11">
        <f>30.6777 * CHOOSE(CONTROL!$C$32, $C$9, 100%, $E$9)</f>
        <v>30.677700000000002</v>
      </c>
      <c r="L877" s="11">
        <f>14.4158 * CHOOSE(CONTROL!$C$32, $C$9, 100%, $E$9)</f>
        <v>14.415800000000001</v>
      </c>
      <c r="M877" s="11">
        <f>14.419 * CHOOSE(CONTROL!$C$32, $C$9, 100%, $E$9)</f>
        <v>14.419</v>
      </c>
      <c r="N877" s="11">
        <f>14.4158 * CHOOSE(CONTROL!$C$32, $C$9, 100%, $E$9)</f>
        <v>14.415800000000001</v>
      </c>
      <c r="O877" s="11">
        <f>14.419 * CHOOSE(CONTROL!$C$32, $C$9, 100%, $E$9)</f>
        <v>14.419</v>
      </c>
    </row>
    <row r="878" spans="1:15" ht="15" x14ac:dyDescent="0.2">
      <c r="A878" s="13">
        <v>67573</v>
      </c>
      <c r="B878" s="9">
        <f>12.9414 * CHOOSE(CONTROL!$C$32, $C$9, 100%, $E$9)</f>
        <v>12.9414</v>
      </c>
      <c r="C878" s="9">
        <f>12.9414 * CHOOSE(CONTROL!$C$32, $C$9, 100%, $E$9)</f>
        <v>12.9414</v>
      </c>
      <c r="D878" s="9">
        <f>12.9424 * CHOOSE(CONTROL!$C$32, $C$9, 100%, $E$9)</f>
        <v>12.942399999999999</v>
      </c>
      <c r="E878" s="11">
        <f>14.5581 * CHOOSE(CONTROL!$C$32, $C$9, 100%, $E$9)</f>
        <v>14.5581</v>
      </c>
      <c r="F878" s="11">
        <f>14.5581 * CHOOSE(CONTROL!$C$32, $C$9, 100%, $E$9)</f>
        <v>14.5581</v>
      </c>
      <c r="G878" s="11">
        <f>14.5613 * CHOOSE(CONTROL!$C$32, $C$9, 100%, $E$9)</f>
        <v>14.561299999999999</v>
      </c>
      <c r="H878" s="11">
        <f>30.452 * CHOOSE(CONTROL!$C$32, $C$9, 100%, $E$9)</f>
        <v>30.452000000000002</v>
      </c>
      <c r="I878" s="11">
        <f>30.4553 * CHOOSE(CONTROL!$C$32, $C$9, 100%, $E$9)</f>
        <v>30.455300000000001</v>
      </c>
      <c r="J878" s="11">
        <f>30.452 * CHOOSE(CONTROL!$C$32, $C$9, 100%, $E$9)</f>
        <v>30.452000000000002</v>
      </c>
      <c r="K878" s="11">
        <f>30.4553 * CHOOSE(CONTROL!$C$32, $C$9, 100%, $E$9)</f>
        <v>30.455300000000001</v>
      </c>
      <c r="L878" s="11">
        <f>14.5581 * CHOOSE(CONTROL!$C$32, $C$9, 100%, $E$9)</f>
        <v>14.5581</v>
      </c>
      <c r="M878" s="11">
        <f>14.5613 * CHOOSE(CONTROL!$C$32, $C$9, 100%, $E$9)</f>
        <v>14.561299999999999</v>
      </c>
      <c r="N878" s="11">
        <f>14.5581 * CHOOSE(CONTROL!$C$32, $C$9, 100%, $E$9)</f>
        <v>14.5581</v>
      </c>
      <c r="O878" s="11">
        <f>14.5613 * CHOOSE(CONTROL!$C$32, $C$9, 100%, $E$9)</f>
        <v>14.561299999999999</v>
      </c>
    </row>
    <row r="879" spans="1:15" ht="15" x14ac:dyDescent="0.2">
      <c r="A879" s="13">
        <v>67604</v>
      </c>
      <c r="B879" s="9">
        <f>12.9384 * CHOOSE(CONTROL!$C$32, $C$9, 100%, $E$9)</f>
        <v>12.9384</v>
      </c>
      <c r="C879" s="9">
        <f>12.9384 * CHOOSE(CONTROL!$C$32, $C$9, 100%, $E$9)</f>
        <v>12.9384</v>
      </c>
      <c r="D879" s="9">
        <f>12.9394 * CHOOSE(CONTROL!$C$32, $C$9, 100%, $E$9)</f>
        <v>12.939399999999999</v>
      </c>
      <c r="E879" s="11">
        <f>14.1608 * CHOOSE(CONTROL!$C$32, $C$9, 100%, $E$9)</f>
        <v>14.1608</v>
      </c>
      <c r="F879" s="11">
        <f>14.1608 * CHOOSE(CONTROL!$C$32, $C$9, 100%, $E$9)</f>
        <v>14.1608</v>
      </c>
      <c r="G879" s="11">
        <f>14.164 * CHOOSE(CONTROL!$C$32, $C$9, 100%, $E$9)</f>
        <v>14.164</v>
      </c>
      <c r="H879" s="11">
        <f>30.5155 * CHOOSE(CONTROL!$C$32, $C$9, 100%, $E$9)</f>
        <v>30.515499999999999</v>
      </c>
      <c r="I879" s="11">
        <f>30.5187 * CHOOSE(CONTROL!$C$32, $C$9, 100%, $E$9)</f>
        <v>30.518699999999999</v>
      </c>
      <c r="J879" s="11">
        <f>30.5155 * CHOOSE(CONTROL!$C$32, $C$9, 100%, $E$9)</f>
        <v>30.515499999999999</v>
      </c>
      <c r="K879" s="11">
        <f>30.5187 * CHOOSE(CONTROL!$C$32, $C$9, 100%, $E$9)</f>
        <v>30.518699999999999</v>
      </c>
      <c r="L879" s="11">
        <f>14.1608 * CHOOSE(CONTROL!$C$32, $C$9, 100%, $E$9)</f>
        <v>14.1608</v>
      </c>
      <c r="M879" s="11">
        <f>14.164 * CHOOSE(CONTROL!$C$32, $C$9, 100%, $E$9)</f>
        <v>14.164</v>
      </c>
      <c r="N879" s="11">
        <f>14.1608 * CHOOSE(CONTROL!$C$32, $C$9, 100%, $E$9)</f>
        <v>14.1608</v>
      </c>
      <c r="O879" s="11">
        <f>14.164 * CHOOSE(CONTROL!$C$32, $C$9, 100%, $E$9)</f>
        <v>14.164</v>
      </c>
    </row>
    <row r="880" spans="1:15" ht="15" x14ac:dyDescent="0.2">
      <c r="A880" s="13">
        <v>67632</v>
      </c>
      <c r="B880" s="9">
        <f>12.9354 * CHOOSE(CONTROL!$C$32, $C$9, 100%, $E$9)</f>
        <v>12.9354</v>
      </c>
      <c r="C880" s="9">
        <f>12.9354 * CHOOSE(CONTROL!$C$32, $C$9, 100%, $E$9)</f>
        <v>12.9354</v>
      </c>
      <c r="D880" s="9">
        <f>12.9363 * CHOOSE(CONTROL!$C$32, $C$9, 100%, $E$9)</f>
        <v>12.936299999999999</v>
      </c>
      <c r="E880" s="11">
        <f>14.4702 * CHOOSE(CONTROL!$C$32, $C$9, 100%, $E$9)</f>
        <v>14.4702</v>
      </c>
      <c r="F880" s="11">
        <f>14.4702 * CHOOSE(CONTROL!$C$32, $C$9, 100%, $E$9)</f>
        <v>14.4702</v>
      </c>
      <c r="G880" s="11">
        <f>14.4734 * CHOOSE(CONTROL!$C$32, $C$9, 100%, $E$9)</f>
        <v>14.4734</v>
      </c>
      <c r="H880" s="11">
        <f>30.5791 * CHOOSE(CONTROL!$C$32, $C$9, 100%, $E$9)</f>
        <v>30.5791</v>
      </c>
      <c r="I880" s="11">
        <f>30.5823 * CHOOSE(CONTROL!$C$32, $C$9, 100%, $E$9)</f>
        <v>30.5823</v>
      </c>
      <c r="J880" s="11">
        <f>30.5791 * CHOOSE(CONTROL!$C$32, $C$9, 100%, $E$9)</f>
        <v>30.5791</v>
      </c>
      <c r="K880" s="11">
        <f>30.5823 * CHOOSE(CONTROL!$C$32, $C$9, 100%, $E$9)</f>
        <v>30.5823</v>
      </c>
      <c r="L880" s="11">
        <f>14.4702 * CHOOSE(CONTROL!$C$32, $C$9, 100%, $E$9)</f>
        <v>14.4702</v>
      </c>
      <c r="M880" s="11">
        <f>14.4734 * CHOOSE(CONTROL!$C$32, $C$9, 100%, $E$9)</f>
        <v>14.4734</v>
      </c>
      <c r="N880" s="11">
        <f>14.4702 * CHOOSE(CONTROL!$C$32, $C$9, 100%, $E$9)</f>
        <v>14.4702</v>
      </c>
      <c r="O880" s="11">
        <f>14.4734 * CHOOSE(CONTROL!$C$32, $C$9, 100%, $E$9)</f>
        <v>14.4734</v>
      </c>
    </row>
    <row r="881" spans="1:15" ht="15" x14ac:dyDescent="0.2">
      <c r="A881" s="13">
        <v>67663</v>
      </c>
      <c r="B881" s="9">
        <f>12.9417 * CHOOSE(CONTROL!$C$32, $C$9, 100%, $E$9)</f>
        <v>12.941700000000001</v>
      </c>
      <c r="C881" s="9">
        <f>12.9417 * CHOOSE(CONTROL!$C$32, $C$9, 100%, $E$9)</f>
        <v>12.941700000000001</v>
      </c>
      <c r="D881" s="9">
        <f>12.9426 * CHOOSE(CONTROL!$C$32, $C$9, 100%, $E$9)</f>
        <v>12.942600000000001</v>
      </c>
      <c r="E881" s="11">
        <f>14.8005 * CHOOSE(CONTROL!$C$32, $C$9, 100%, $E$9)</f>
        <v>14.8005</v>
      </c>
      <c r="F881" s="11">
        <f>14.8005 * CHOOSE(CONTROL!$C$32, $C$9, 100%, $E$9)</f>
        <v>14.8005</v>
      </c>
      <c r="G881" s="11">
        <f>14.8038 * CHOOSE(CONTROL!$C$32, $C$9, 100%, $E$9)</f>
        <v>14.803800000000001</v>
      </c>
      <c r="H881" s="11">
        <f>30.6428 * CHOOSE(CONTROL!$C$32, $C$9, 100%, $E$9)</f>
        <v>30.642800000000001</v>
      </c>
      <c r="I881" s="11">
        <f>30.646 * CHOOSE(CONTROL!$C$32, $C$9, 100%, $E$9)</f>
        <v>30.646000000000001</v>
      </c>
      <c r="J881" s="11">
        <f>30.6428 * CHOOSE(CONTROL!$C$32, $C$9, 100%, $E$9)</f>
        <v>30.642800000000001</v>
      </c>
      <c r="K881" s="11">
        <f>30.646 * CHOOSE(CONTROL!$C$32, $C$9, 100%, $E$9)</f>
        <v>30.646000000000001</v>
      </c>
      <c r="L881" s="11">
        <f>14.8005 * CHOOSE(CONTROL!$C$32, $C$9, 100%, $E$9)</f>
        <v>14.8005</v>
      </c>
      <c r="M881" s="11">
        <f>14.8038 * CHOOSE(CONTROL!$C$32, $C$9, 100%, $E$9)</f>
        <v>14.803800000000001</v>
      </c>
      <c r="N881" s="11">
        <f>14.8005 * CHOOSE(CONTROL!$C$32, $C$9, 100%, $E$9)</f>
        <v>14.8005</v>
      </c>
      <c r="O881" s="11">
        <f>14.8038 * CHOOSE(CONTROL!$C$32, $C$9, 100%, $E$9)</f>
        <v>14.803800000000001</v>
      </c>
    </row>
    <row r="882" spans="1:15" ht="15" x14ac:dyDescent="0.2">
      <c r="A882" s="13">
        <v>67693</v>
      </c>
      <c r="B882" s="9">
        <f>12.9417 * CHOOSE(CONTROL!$C$32, $C$9, 100%, $E$9)</f>
        <v>12.941700000000001</v>
      </c>
      <c r="C882" s="9">
        <f>12.9417 * CHOOSE(CONTROL!$C$32, $C$9, 100%, $E$9)</f>
        <v>12.941700000000001</v>
      </c>
      <c r="D882" s="9">
        <f>12.9429 * CHOOSE(CONTROL!$C$32, $C$9, 100%, $E$9)</f>
        <v>12.9429</v>
      </c>
      <c r="E882" s="11">
        <f>14.926 * CHOOSE(CONTROL!$C$32, $C$9, 100%, $E$9)</f>
        <v>14.926</v>
      </c>
      <c r="F882" s="11">
        <f>14.926 * CHOOSE(CONTROL!$C$32, $C$9, 100%, $E$9)</f>
        <v>14.926</v>
      </c>
      <c r="G882" s="11">
        <f>14.9302 * CHOOSE(CONTROL!$C$32, $C$9, 100%, $E$9)</f>
        <v>14.930199999999999</v>
      </c>
      <c r="H882" s="11">
        <f>30.7066 * CHOOSE(CONTROL!$C$32, $C$9, 100%, $E$9)</f>
        <v>30.706600000000002</v>
      </c>
      <c r="I882" s="11">
        <f>30.7108 * CHOOSE(CONTROL!$C$32, $C$9, 100%, $E$9)</f>
        <v>30.710799999999999</v>
      </c>
      <c r="J882" s="11">
        <f>30.7066 * CHOOSE(CONTROL!$C$32, $C$9, 100%, $E$9)</f>
        <v>30.706600000000002</v>
      </c>
      <c r="K882" s="11">
        <f>30.7108 * CHOOSE(CONTROL!$C$32, $C$9, 100%, $E$9)</f>
        <v>30.710799999999999</v>
      </c>
      <c r="L882" s="11">
        <f>14.926 * CHOOSE(CONTROL!$C$32, $C$9, 100%, $E$9)</f>
        <v>14.926</v>
      </c>
      <c r="M882" s="11">
        <f>14.9302 * CHOOSE(CONTROL!$C$32, $C$9, 100%, $E$9)</f>
        <v>14.930199999999999</v>
      </c>
      <c r="N882" s="11">
        <f>14.926 * CHOOSE(CONTROL!$C$32, $C$9, 100%, $E$9)</f>
        <v>14.926</v>
      </c>
      <c r="O882" s="11">
        <f>14.9302 * CHOOSE(CONTROL!$C$32, $C$9, 100%, $E$9)</f>
        <v>14.930199999999999</v>
      </c>
    </row>
    <row r="883" spans="1:15" ht="15" x14ac:dyDescent="0.2">
      <c r="A883" s="13">
        <v>67724</v>
      </c>
      <c r="B883" s="9">
        <f>12.9478 * CHOOSE(CONTROL!$C$32, $C$9, 100%, $E$9)</f>
        <v>12.947800000000001</v>
      </c>
      <c r="C883" s="9">
        <f>12.9478 * CHOOSE(CONTROL!$C$32, $C$9, 100%, $E$9)</f>
        <v>12.947800000000001</v>
      </c>
      <c r="D883" s="9">
        <f>12.949 * CHOOSE(CONTROL!$C$32, $C$9, 100%, $E$9)</f>
        <v>12.949</v>
      </c>
      <c r="E883" s="11">
        <f>14.8048 * CHOOSE(CONTROL!$C$32, $C$9, 100%, $E$9)</f>
        <v>14.8048</v>
      </c>
      <c r="F883" s="11">
        <f>14.8048 * CHOOSE(CONTROL!$C$32, $C$9, 100%, $E$9)</f>
        <v>14.8048</v>
      </c>
      <c r="G883" s="11">
        <f>14.809 * CHOOSE(CONTROL!$C$32, $C$9, 100%, $E$9)</f>
        <v>14.808999999999999</v>
      </c>
      <c r="H883" s="11">
        <f>30.7706 * CHOOSE(CONTROL!$C$32, $C$9, 100%, $E$9)</f>
        <v>30.770600000000002</v>
      </c>
      <c r="I883" s="11">
        <f>30.7748 * CHOOSE(CONTROL!$C$32, $C$9, 100%, $E$9)</f>
        <v>30.774799999999999</v>
      </c>
      <c r="J883" s="11">
        <f>30.7706 * CHOOSE(CONTROL!$C$32, $C$9, 100%, $E$9)</f>
        <v>30.770600000000002</v>
      </c>
      <c r="K883" s="11">
        <f>30.7748 * CHOOSE(CONTROL!$C$32, $C$9, 100%, $E$9)</f>
        <v>30.774799999999999</v>
      </c>
      <c r="L883" s="11">
        <f>14.8048 * CHOOSE(CONTROL!$C$32, $C$9, 100%, $E$9)</f>
        <v>14.8048</v>
      </c>
      <c r="M883" s="11">
        <f>14.809 * CHOOSE(CONTROL!$C$32, $C$9, 100%, $E$9)</f>
        <v>14.808999999999999</v>
      </c>
      <c r="N883" s="11">
        <f>14.8048 * CHOOSE(CONTROL!$C$32, $C$9, 100%, $E$9)</f>
        <v>14.8048</v>
      </c>
      <c r="O883" s="11">
        <f>14.809 * CHOOSE(CONTROL!$C$32, $C$9, 100%, $E$9)</f>
        <v>14.808999999999999</v>
      </c>
    </row>
    <row r="884" spans="1:15" ht="15" x14ac:dyDescent="0.2">
      <c r="A884" s="13">
        <v>67754</v>
      </c>
      <c r="B884" s="9">
        <f>13.1045 * CHOOSE(CONTROL!$C$32, $C$9, 100%, $E$9)</f>
        <v>13.1045</v>
      </c>
      <c r="C884" s="9">
        <f>13.1045 * CHOOSE(CONTROL!$C$32, $C$9, 100%, $E$9)</f>
        <v>13.1045</v>
      </c>
      <c r="D884" s="9">
        <f>13.1057 * CHOOSE(CONTROL!$C$32, $C$9, 100%, $E$9)</f>
        <v>13.105700000000001</v>
      </c>
      <c r="E884" s="11">
        <f>15.0144 * CHOOSE(CONTROL!$C$32, $C$9, 100%, $E$9)</f>
        <v>15.0144</v>
      </c>
      <c r="F884" s="11">
        <f>15.0144 * CHOOSE(CONTROL!$C$32, $C$9, 100%, $E$9)</f>
        <v>15.0144</v>
      </c>
      <c r="G884" s="11">
        <f>15.0186 * CHOOSE(CONTROL!$C$32, $C$9, 100%, $E$9)</f>
        <v>15.018599999999999</v>
      </c>
      <c r="H884" s="11">
        <f>30.8347 * CHOOSE(CONTROL!$C$32, $C$9, 100%, $E$9)</f>
        <v>30.834700000000002</v>
      </c>
      <c r="I884" s="11">
        <f>30.8389 * CHOOSE(CONTROL!$C$32, $C$9, 100%, $E$9)</f>
        <v>30.838899999999999</v>
      </c>
      <c r="J884" s="11">
        <f>30.8347 * CHOOSE(CONTROL!$C$32, $C$9, 100%, $E$9)</f>
        <v>30.834700000000002</v>
      </c>
      <c r="K884" s="11">
        <f>30.8389 * CHOOSE(CONTROL!$C$32, $C$9, 100%, $E$9)</f>
        <v>30.838899999999999</v>
      </c>
      <c r="L884" s="11">
        <f>15.0144 * CHOOSE(CONTROL!$C$32, $C$9, 100%, $E$9)</f>
        <v>15.0144</v>
      </c>
      <c r="M884" s="11">
        <f>15.0186 * CHOOSE(CONTROL!$C$32, $C$9, 100%, $E$9)</f>
        <v>15.018599999999999</v>
      </c>
      <c r="N884" s="11">
        <f>15.0144 * CHOOSE(CONTROL!$C$32, $C$9, 100%, $E$9)</f>
        <v>15.0144</v>
      </c>
      <c r="O884" s="11">
        <f>15.0186 * CHOOSE(CONTROL!$C$32, $C$9, 100%, $E$9)</f>
        <v>15.018599999999999</v>
      </c>
    </row>
    <row r="885" spans="1:15" ht="15" x14ac:dyDescent="0.2">
      <c r="A885" s="13">
        <v>67785</v>
      </c>
      <c r="B885" s="9">
        <f>13.1112 * CHOOSE(CONTROL!$C$32, $C$9, 100%, $E$9)</f>
        <v>13.1112</v>
      </c>
      <c r="C885" s="9">
        <f>13.1112 * CHOOSE(CONTROL!$C$32, $C$9, 100%, $E$9)</f>
        <v>13.1112</v>
      </c>
      <c r="D885" s="9">
        <f>13.1124 * CHOOSE(CONTROL!$C$32, $C$9, 100%, $E$9)</f>
        <v>13.112399999999999</v>
      </c>
      <c r="E885" s="11">
        <f>14.6427 * CHOOSE(CONTROL!$C$32, $C$9, 100%, $E$9)</f>
        <v>14.6427</v>
      </c>
      <c r="F885" s="11">
        <f>14.6427 * CHOOSE(CONTROL!$C$32, $C$9, 100%, $E$9)</f>
        <v>14.6427</v>
      </c>
      <c r="G885" s="11">
        <f>14.6469 * CHOOSE(CONTROL!$C$32, $C$9, 100%, $E$9)</f>
        <v>14.6469</v>
      </c>
      <c r="H885" s="11">
        <f>30.8989 * CHOOSE(CONTROL!$C$32, $C$9, 100%, $E$9)</f>
        <v>30.898900000000001</v>
      </c>
      <c r="I885" s="11">
        <f>30.9031 * CHOOSE(CONTROL!$C$32, $C$9, 100%, $E$9)</f>
        <v>30.903099999999998</v>
      </c>
      <c r="J885" s="11">
        <f>30.8989 * CHOOSE(CONTROL!$C$32, $C$9, 100%, $E$9)</f>
        <v>30.898900000000001</v>
      </c>
      <c r="K885" s="11">
        <f>30.9031 * CHOOSE(CONTROL!$C$32, $C$9, 100%, $E$9)</f>
        <v>30.903099999999998</v>
      </c>
      <c r="L885" s="11">
        <f>14.6427 * CHOOSE(CONTROL!$C$32, $C$9, 100%, $E$9)</f>
        <v>14.6427</v>
      </c>
      <c r="M885" s="11">
        <f>14.6469 * CHOOSE(CONTROL!$C$32, $C$9, 100%, $E$9)</f>
        <v>14.6469</v>
      </c>
      <c r="N885" s="11">
        <f>14.6427 * CHOOSE(CONTROL!$C$32, $C$9, 100%, $E$9)</f>
        <v>14.6427</v>
      </c>
      <c r="O885" s="11">
        <f>14.6469 * CHOOSE(CONTROL!$C$32, $C$9, 100%, $E$9)</f>
        <v>14.6469</v>
      </c>
    </row>
    <row r="886" spans="1:15" ht="15" x14ac:dyDescent="0.2">
      <c r="A886" s="13">
        <v>67816</v>
      </c>
      <c r="B886" s="9">
        <f>13.1081 * CHOOSE(CONTROL!$C$32, $C$9, 100%, $E$9)</f>
        <v>13.1081</v>
      </c>
      <c r="C886" s="9">
        <f>13.1081 * CHOOSE(CONTROL!$C$32, $C$9, 100%, $E$9)</f>
        <v>13.1081</v>
      </c>
      <c r="D886" s="9">
        <f>13.1094 * CHOOSE(CONTROL!$C$32, $C$9, 100%, $E$9)</f>
        <v>13.109400000000001</v>
      </c>
      <c r="E886" s="11">
        <f>14.5987 * CHOOSE(CONTROL!$C$32, $C$9, 100%, $E$9)</f>
        <v>14.598699999999999</v>
      </c>
      <c r="F886" s="11">
        <f>14.5987 * CHOOSE(CONTROL!$C$32, $C$9, 100%, $E$9)</f>
        <v>14.598699999999999</v>
      </c>
      <c r="G886" s="11">
        <f>14.6029 * CHOOSE(CONTROL!$C$32, $C$9, 100%, $E$9)</f>
        <v>14.6029</v>
      </c>
      <c r="H886" s="11">
        <f>30.9633 * CHOOSE(CONTROL!$C$32, $C$9, 100%, $E$9)</f>
        <v>30.9633</v>
      </c>
      <c r="I886" s="11">
        <f>30.9675 * CHOOSE(CONTROL!$C$32, $C$9, 100%, $E$9)</f>
        <v>30.967500000000001</v>
      </c>
      <c r="J886" s="11">
        <f>30.9633 * CHOOSE(CONTROL!$C$32, $C$9, 100%, $E$9)</f>
        <v>30.9633</v>
      </c>
      <c r="K886" s="11">
        <f>30.9675 * CHOOSE(CONTROL!$C$32, $C$9, 100%, $E$9)</f>
        <v>30.967500000000001</v>
      </c>
      <c r="L886" s="11">
        <f>14.5987 * CHOOSE(CONTROL!$C$32, $C$9, 100%, $E$9)</f>
        <v>14.598699999999999</v>
      </c>
      <c r="M886" s="11">
        <f>14.6029 * CHOOSE(CONTROL!$C$32, $C$9, 100%, $E$9)</f>
        <v>14.6029</v>
      </c>
      <c r="N886" s="11">
        <f>14.5987 * CHOOSE(CONTROL!$C$32, $C$9, 100%, $E$9)</f>
        <v>14.598699999999999</v>
      </c>
      <c r="O886" s="11">
        <f>14.6029 * CHOOSE(CONTROL!$C$32, $C$9, 100%, $E$9)</f>
        <v>14.6029</v>
      </c>
    </row>
    <row r="887" spans="1:15" ht="15" x14ac:dyDescent="0.2">
      <c r="A887" s="13">
        <v>67846</v>
      </c>
      <c r="B887" s="9">
        <f>13.1372 * CHOOSE(CONTROL!$C$32, $C$9, 100%, $E$9)</f>
        <v>13.1372</v>
      </c>
      <c r="C887" s="9">
        <f>13.1372 * CHOOSE(CONTROL!$C$32, $C$9, 100%, $E$9)</f>
        <v>13.1372</v>
      </c>
      <c r="D887" s="9">
        <f>13.1382 * CHOOSE(CONTROL!$C$32, $C$9, 100%, $E$9)</f>
        <v>13.138199999999999</v>
      </c>
      <c r="E887" s="11">
        <f>14.7526 * CHOOSE(CONTROL!$C$32, $C$9, 100%, $E$9)</f>
        <v>14.752599999999999</v>
      </c>
      <c r="F887" s="11">
        <f>14.7526 * CHOOSE(CONTROL!$C$32, $C$9, 100%, $E$9)</f>
        <v>14.752599999999999</v>
      </c>
      <c r="G887" s="11">
        <f>14.7558 * CHOOSE(CONTROL!$C$32, $C$9, 100%, $E$9)</f>
        <v>14.755800000000001</v>
      </c>
      <c r="H887" s="11">
        <f>31.0278 * CHOOSE(CONTROL!$C$32, $C$9, 100%, $E$9)</f>
        <v>31.027799999999999</v>
      </c>
      <c r="I887" s="11">
        <f>31.031 * CHOOSE(CONTROL!$C$32, $C$9, 100%, $E$9)</f>
        <v>31.030999999999999</v>
      </c>
      <c r="J887" s="11">
        <f>31.0278 * CHOOSE(CONTROL!$C$32, $C$9, 100%, $E$9)</f>
        <v>31.027799999999999</v>
      </c>
      <c r="K887" s="11">
        <f>31.031 * CHOOSE(CONTROL!$C$32, $C$9, 100%, $E$9)</f>
        <v>31.030999999999999</v>
      </c>
      <c r="L887" s="11">
        <f>14.7526 * CHOOSE(CONTROL!$C$32, $C$9, 100%, $E$9)</f>
        <v>14.752599999999999</v>
      </c>
      <c r="M887" s="11">
        <f>14.7558 * CHOOSE(CONTROL!$C$32, $C$9, 100%, $E$9)</f>
        <v>14.755800000000001</v>
      </c>
      <c r="N887" s="11">
        <f>14.7526 * CHOOSE(CONTROL!$C$32, $C$9, 100%, $E$9)</f>
        <v>14.752599999999999</v>
      </c>
      <c r="O887" s="11">
        <f>14.7558 * CHOOSE(CONTROL!$C$32, $C$9, 100%, $E$9)</f>
        <v>14.755800000000001</v>
      </c>
    </row>
    <row r="888" spans="1:15" ht="15" x14ac:dyDescent="0.2">
      <c r="A888" s="13">
        <v>67877</v>
      </c>
      <c r="B888" s="9">
        <f>13.1403 * CHOOSE(CONTROL!$C$32, $C$9, 100%, $E$9)</f>
        <v>13.1403</v>
      </c>
      <c r="C888" s="9">
        <f>13.1403 * CHOOSE(CONTROL!$C$32, $C$9, 100%, $E$9)</f>
        <v>13.1403</v>
      </c>
      <c r="D888" s="9">
        <f>13.1412 * CHOOSE(CONTROL!$C$32, $C$9, 100%, $E$9)</f>
        <v>13.1412</v>
      </c>
      <c r="E888" s="11">
        <f>14.8383 * CHOOSE(CONTROL!$C$32, $C$9, 100%, $E$9)</f>
        <v>14.8383</v>
      </c>
      <c r="F888" s="11">
        <f>14.8383 * CHOOSE(CONTROL!$C$32, $C$9, 100%, $E$9)</f>
        <v>14.8383</v>
      </c>
      <c r="G888" s="11">
        <f>14.8416 * CHOOSE(CONTROL!$C$32, $C$9, 100%, $E$9)</f>
        <v>14.8416</v>
      </c>
      <c r="H888" s="11">
        <f>31.0924 * CHOOSE(CONTROL!$C$32, $C$9, 100%, $E$9)</f>
        <v>31.092400000000001</v>
      </c>
      <c r="I888" s="11">
        <f>31.0957 * CHOOSE(CONTROL!$C$32, $C$9, 100%, $E$9)</f>
        <v>31.095700000000001</v>
      </c>
      <c r="J888" s="11">
        <f>31.0924 * CHOOSE(CONTROL!$C$32, $C$9, 100%, $E$9)</f>
        <v>31.092400000000001</v>
      </c>
      <c r="K888" s="11">
        <f>31.0957 * CHOOSE(CONTROL!$C$32, $C$9, 100%, $E$9)</f>
        <v>31.095700000000001</v>
      </c>
      <c r="L888" s="11">
        <f>14.8383 * CHOOSE(CONTROL!$C$32, $C$9, 100%, $E$9)</f>
        <v>14.8383</v>
      </c>
      <c r="M888" s="11">
        <f>14.8416 * CHOOSE(CONTROL!$C$32, $C$9, 100%, $E$9)</f>
        <v>14.8416</v>
      </c>
      <c r="N888" s="11">
        <f>14.8383 * CHOOSE(CONTROL!$C$32, $C$9, 100%, $E$9)</f>
        <v>14.8383</v>
      </c>
      <c r="O888" s="11">
        <f>14.8416 * CHOOSE(CONTROL!$C$32, $C$9, 100%, $E$9)</f>
        <v>14.8416</v>
      </c>
    </row>
    <row r="889" spans="1:15" ht="15" x14ac:dyDescent="0.2">
      <c r="A889" s="13">
        <v>67907</v>
      </c>
      <c r="B889" s="9">
        <f>13.1403 * CHOOSE(CONTROL!$C$32, $C$9, 100%, $E$9)</f>
        <v>13.1403</v>
      </c>
      <c r="C889" s="9">
        <f>13.1403 * CHOOSE(CONTROL!$C$32, $C$9, 100%, $E$9)</f>
        <v>13.1403</v>
      </c>
      <c r="D889" s="9">
        <f>13.1412 * CHOOSE(CONTROL!$C$32, $C$9, 100%, $E$9)</f>
        <v>13.1412</v>
      </c>
      <c r="E889" s="11">
        <f>14.6292 * CHOOSE(CONTROL!$C$32, $C$9, 100%, $E$9)</f>
        <v>14.629200000000001</v>
      </c>
      <c r="F889" s="11">
        <f>14.6292 * CHOOSE(CONTROL!$C$32, $C$9, 100%, $E$9)</f>
        <v>14.629200000000001</v>
      </c>
      <c r="G889" s="11">
        <f>14.6325 * CHOOSE(CONTROL!$C$32, $C$9, 100%, $E$9)</f>
        <v>14.6325</v>
      </c>
      <c r="H889" s="11">
        <f>31.1572 * CHOOSE(CONTROL!$C$32, $C$9, 100%, $E$9)</f>
        <v>31.1572</v>
      </c>
      <c r="I889" s="11">
        <f>31.1604 * CHOOSE(CONTROL!$C$32, $C$9, 100%, $E$9)</f>
        <v>31.160399999999999</v>
      </c>
      <c r="J889" s="11">
        <f>31.1572 * CHOOSE(CONTROL!$C$32, $C$9, 100%, $E$9)</f>
        <v>31.1572</v>
      </c>
      <c r="K889" s="11">
        <f>31.1604 * CHOOSE(CONTROL!$C$32, $C$9, 100%, $E$9)</f>
        <v>31.160399999999999</v>
      </c>
      <c r="L889" s="11">
        <f>14.6292 * CHOOSE(CONTROL!$C$32, $C$9, 100%, $E$9)</f>
        <v>14.629200000000001</v>
      </c>
      <c r="M889" s="11">
        <f>14.6325 * CHOOSE(CONTROL!$C$32, $C$9, 100%, $E$9)</f>
        <v>14.6325</v>
      </c>
      <c r="N889" s="11">
        <f>14.6292 * CHOOSE(CONTROL!$C$32, $C$9, 100%, $E$9)</f>
        <v>14.629200000000001</v>
      </c>
      <c r="O889" s="11">
        <f>14.6325 * CHOOSE(CONTROL!$C$32, $C$9, 100%, $E$9)</f>
        <v>14.6325</v>
      </c>
    </row>
    <row r="890" spans="1:15" ht="15" x14ac:dyDescent="0.2">
      <c r="A890" s="13">
        <v>67938</v>
      </c>
      <c r="B890" s="9">
        <f>13.1288 * CHOOSE(CONTROL!$C$32, $C$9, 100%, $E$9)</f>
        <v>13.1288</v>
      </c>
      <c r="C890" s="9">
        <f>13.1288 * CHOOSE(CONTROL!$C$32, $C$9, 100%, $E$9)</f>
        <v>13.1288</v>
      </c>
      <c r="D890" s="9">
        <f>13.1298 * CHOOSE(CONTROL!$C$32, $C$9, 100%, $E$9)</f>
        <v>13.129799999999999</v>
      </c>
      <c r="E890" s="11">
        <f>14.7706 * CHOOSE(CONTROL!$C$32, $C$9, 100%, $E$9)</f>
        <v>14.7706</v>
      </c>
      <c r="F890" s="11">
        <f>14.7706 * CHOOSE(CONTROL!$C$32, $C$9, 100%, $E$9)</f>
        <v>14.7706</v>
      </c>
      <c r="G890" s="11">
        <f>14.7738 * CHOOSE(CONTROL!$C$32, $C$9, 100%, $E$9)</f>
        <v>14.7738</v>
      </c>
      <c r="H890" s="11">
        <f>30.9239 * CHOOSE(CONTROL!$C$32, $C$9, 100%, $E$9)</f>
        <v>30.9239</v>
      </c>
      <c r="I890" s="11">
        <f>30.9271 * CHOOSE(CONTROL!$C$32, $C$9, 100%, $E$9)</f>
        <v>30.927099999999999</v>
      </c>
      <c r="J890" s="11">
        <f>30.9239 * CHOOSE(CONTROL!$C$32, $C$9, 100%, $E$9)</f>
        <v>30.9239</v>
      </c>
      <c r="K890" s="11">
        <f>30.9271 * CHOOSE(CONTROL!$C$32, $C$9, 100%, $E$9)</f>
        <v>30.927099999999999</v>
      </c>
      <c r="L890" s="11">
        <f>14.7706 * CHOOSE(CONTROL!$C$32, $C$9, 100%, $E$9)</f>
        <v>14.7706</v>
      </c>
      <c r="M890" s="11">
        <f>14.7738 * CHOOSE(CONTROL!$C$32, $C$9, 100%, $E$9)</f>
        <v>14.7738</v>
      </c>
      <c r="N890" s="11">
        <f>14.7706 * CHOOSE(CONTROL!$C$32, $C$9, 100%, $E$9)</f>
        <v>14.7706</v>
      </c>
      <c r="O890" s="11">
        <f>14.7738 * CHOOSE(CONTROL!$C$32, $C$9, 100%, $E$9)</f>
        <v>14.7738</v>
      </c>
    </row>
    <row r="891" spans="1:15" ht="15" x14ac:dyDescent="0.2">
      <c r="A891" s="13">
        <v>67969</v>
      </c>
      <c r="B891" s="9">
        <f>13.1258 * CHOOSE(CONTROL!$C$32, $C$9, 100%, $E$9)</f>
        <v>13.1258</v>
      </c>
      <c r="C891" s="9">
        <f>13.1258 * CHOOSE(CONTROL!$C$32, $C$9, 100%, $E$9)</f>
        <v>13.1258</v>
      </c>
      <c r="D891" s="9">
        <f>13.1267 * CHOOSE(CONTROL!$C$32, $C$9, 100%, $E$9)</f>
        <v>13.1267</v>
      </c>
      <c r="E891" s="11">
        <f>14.3662 * CHOOSE(CONTROL!$C$32, $C$9, 100%, $E$9)</f>
        <v>14.366199999999999</v>
      </c>
      <c r="F891" s="11">
        <f>14.3662 * CHOOSE(CONTROL!$C$32, $C$9, 100%, $E$9)</f>
        <v>14.366199999999999</v>
      </c>
      <c r="G891" s="11">
        <f>14.3694 * CHOOSE(CONTROL!$C$32, $C$9, 100%, $E$9)</f>
        <v>14.369400000000001</v>
      </c>
      <c r="H891" s="11">
        <f>30.9883 * CHOOSE(CONTROL!$C$32, $C$9, 100%, $E$9)</f>
        <v>30.988299999999999</v>
      </c>
      <c r="I891" s="11">
        <f>30.9915 * CHOOSE(CONTROL!$C$32, $C$9, 100%, $E$9)</f>
        <v>30.991499999999998</v>
      </c>
      <c r="J891" s="11">
        <f>30.9883 * CHOOSE(CONTROL!$C$32, $C$9, 100%, $E$9)</f>
        <v>30.988299999999999</v>
      </c>
      <c r="K891" s="11">
        <f>30.9915 * CHOOSE(CONTROL!$C$32, $C$9, 100%, $E$9)</f>
        <v>30.991499999999998</v>
      </c>
      <c r="L891" s="11">
        <f>14.3662 * CHOOSE(CONTROL!$C$32, $C$9, 100%, $E$9)</f>
        <v>14.366199999999999</v>
      </c>
      <c r="M891" s="11">
        <f>14.3694 * CHOOSE(CONTROL!$C$32, $C$9, 100%, $E$9)</f>
        <v>14.369400000000001</v>
      </c>
      <c r="N891" s="11">
        <f>14.3662 * CHOOSE(CONTROL!$C$32, $C$9, 100%, $E$9)</f>
        <v>14.366199999999999</v>
      </c>
      <c r="O891" s="11">
        <f>14.3694 * CHOOSE(CONTROL!$C$32, $C$9, 100%, $E$9)</f>
        <v>14.369400000000001</v>
      </c>
    </row>
    <row r="892" spans="1:15" ht="15" x14ac:dyDescent="0.2">
      <c r="A892" s="13">
        <v>67997</v>
      </c>
      <c r="B892" s="9">
        <f>13.1227 * CHOOSE(CONTROL!$C$32, $C$9, 100%, $E$9)</f>
        <v>13.1227</v>
      </c>
      <c r="C892" s="9">
        <f>13.1227 * CHOOSE(CONTROL!$C$32, $C$9, 100%, $E$9)</f>
        <v>13.1227</v>
      </c>
      <c r="D892" s="9">
        <f>13.1237 * CHOOSE(CONTROL!$C$32, $C$9, 100%, $E$9)</f>
        <v>13.123699999999999</v>
      </c>
      <c r="E892" s="11">
        <f>14.6812 * CHOOSE(CONTROL!$C$32, $C$9, 100%, $E$9)</f>
        <v>14.6812</v>
      </c>
      <c r="F892" s="11">
        <f>14.6812 * CHOOSE(CONTROL!$C$32, $C$9, 100%, $E$9)</f>
        <v>14.6812</v>
      </c>
      <c r="G892" s="11">
        <f>14.6844 * CHOOSE(CONTROL!$C$32, $C$9, 100%, $E$9)</f>
        <v>14.6844</v>
      </c>
      <c r="H892" s="11">
        <f>31.0528 * CHOOSE(CONTROL!$C$32, $C$9, 100%, $E$9)</f>
        <v>31.052800000000001</v>
      </c>
      <c r="I892" s="11">
        <f>31.0561 * CHOOSE(CONTROL!$C$32, $C$9, 100%, $E$9)</f>
        <v>31.056100000000001</v>
      </c>
      <c r="J892" s="11">
        <f>31.0528 * CHOOSE(CONTROL!$C$32, $C$9, 100%, $E$9)</f>
        <v>31.052800000000001</v>
      </c>
      <c r="K892" s="11">
        <f>31.0561 * CHOOSE(CONTROL!$C$32, $C$9, 100%, $E$9)</f>
        <v>31.056100000000001</v>
      </c>
      <c r="L892" s="11">
        <f>14.6812 * CHOOSE(CONTROL!$C$32, $C$9, 100%, $E$9)</f>
        <v>14.6812</v>
      </c>
      <c r="M892" s="11">
        <f>14.6844 * CHOOSE(CONTROL!$C$32, $C$9, 100%, $E$9)</f>
        <v>14.6844</v>
      </c>
      <c r="N892" s="11">
        <f>14.6812 * CHOOSE(CONTROL!$C$32, $C$9, 100%, $E$9)</f>
        <v>14.6812</v>
      </c>
      <c r="O892" s="11">
        <f>14.6844 * CHOOSE(CONTROL!$C$32, $C$9, 100%, $E$9)</f>
        <v>14.6844</v>
      </c>
    </row>
    <row r="893" spans="1:15" ht="15" x14ac:dyDescent="0.2">
      <c r="A893" s="13">
        <v>68028</v>
      </c>
      <c r="B893" s="9">
        <f>13.1292 * CHOOSE(CONTROL!$C$32, $C$9, 100%, $E$9)</f>
        <v>13.129200000000001</v>
      </c>
      <c r="C893" s="9">
        <f>13.1292 * CHOOSE(CONTROL!$C$32, $C$9, 100%, $E$9)</f>
        <v>13.129200000000001</v>
      </c>
      <c r="D893" s="9">
        <f>13.1302 * CHOOSE(CONTROL!$C$32, $C$9, 100%, $E$9)</f>
        <v>13.1302</v>
      </c>
      <c r="E893" s="11">
        <f>15.0175 * CHOOSE(CONTROL!$C$32, $C$9, 100%, $E$9)</f>
        <v>15.0175</v>
      </c>
      <c r="F893" s="11">
        <f>15.0175 * CHOOSE(CONTROL!$C$32, $C$9, 100%, $E$9)</f>
        <v>15.0175</v>
      </c>
      <c r="G893" s="11">
        <f>15.0208 * CHOOSE(CONTROL!$C$32, $C$9, 100%, $E$9)</f>
        <v>15.020799999999999</v>
      </c>
      <c r="H893" s="11">
        <f>31.1175 * CHOOSE(CONTROL!$C$32, $C$9, 100%, $E$9)</f>
        <v>31.1175</v>
      </c>
      <c r="I893" s="11">
        <f>31.1208 * CHOOSE(CONTROL!$C$32, $C$9, 100%, $E$9)</f>
        <v>31.120799999999999</v>
      </c>
      <c r="J893" s="11">
        <f>31.1175 * CHOOSE(CONTROL!$C$32, $C$9, 100%, $E$9)</f>
        <v>31.1175</v>
      </c>
      <c r="K893" s="11">
        <f>31.1208 * CHOOSE(CONTROL!$C$32, $C$9, 100%, $E$9)</f>
        <v>31.120799999999999</v>
      </c>
      <c r="L893" s="11">
        <f>15.0175 * CHOOSE(CONTROL!$C$32, $C$9, 100%, $E$9)</f>
        <v>15.0175</v>
      </c>
      <c r="M893" s="11">
        <f>15.0208 * CHOOSE(CONTROL!$C$32, $C$9, 100%, $E$9)</f>
        <v>15.020799999999999</v>
      </c>
      <c r="N893" s="11">
        <f>15.0175 * CHOOSE(CONTROL!$C$32, $C$9, 100%, $E$9)</f>
        <v>15.0175</v>
      </c>
      <c r="O893" s="11">
        <f>15.0208 * CHOOSE(CONTROL!$C$32, $C$9, 100%, $E$9)</f>
        <v>15.020799999999999</v>
      </c>
    </row>
    <row r="894" spans="1:15" ht="15" x14ac:dyDescent="0.2">
      <c r="A894" s="13">
        <v>68058</v>
      </c>
      <c r="B894" s="9">
        <f>13.1292 * CHOOSE(CONTROL!$C$32, $C$9, 100%, $E$9)</f>
        <v>13.129200000000001</v>
      </c>
      <c r="C894" s="9">
        <f>13.1292 * CHOOSE(CONTROL!$C$32, $C$9, 100%, $E$9)</f>
        <v>13.129200000000001</v>
      </c>
      <c r="D894" s="9">
        <f>13.1305 * CHOOSE(CONTROL!$C$32, $C$9, 100%, $E$9)</f>
        <v>13.1305</v>
      </c>
      <c r="E894" s="11">
        <f>15.1453 * CHOOSE(CONTROL!$C$32, $C$9, 100%, $E$9)</f>
        <v>15.145300000000001</v>
      </c>
      <c r="F894" s="11">
        <f>15.1453 * CHOOSE(CONTROL!$C$32, $C$9, 100%, $E$9)</f>
        <v>15.145300000000001</v>
      </c>
      <c r="G894" s="11">
        <f>15.1495 * CHOOSE(CONTROL!$C$32, $C$9, 100%, $E$9)</f>
        <v>15.1495</v>
      </c>
      <c r="H894" s="11">
        <f>31.1824 * CHOOSE(CONTROL!$C$32, $C$9, 100%, $E$9)</f>
        <v>31.182400000000001</v>
      </c>
      <c r="I894" s="11">
        <f>31.1866 * CHOOSE(CONTROL!$C$32, $C$9, 100%, $E$9)</f>
        <v>31.186599999999999</v>
      </c>
      <c r="J894" s="11">
        <f>31.1824 * CHOOSE(CONTROL!$C$32, $C$9, 100%, $E$9)</f>
        <v>31.182400000000001</v>
      </c>
      <c r="K894" s="11">
        <f>31.1866 * CHOOSE(CONTROL!$C$32, $C$9, 100%, $E$9)</f>
        <v>31.186599999999999</v>
      </c>
      <c r="L894" s="11">
        <f>15.1453 * CHOOSE(CONTROL!$C$32, $C$9, 100%, $E$9)</f>
        <v>15.145300000000001</v>
      </c>
      <c r="M894" s="11">
        <f>15.1495 * CHOOSE(CONTROL!$C$32, $C$9, 100%, $E$9)</f>
        <v>15.1495</v>
      </c>
      <c r="N894" s="11">
        <f>15.1453 * CHOOSE(CONTROL!$C$32, $C$9, 100%, $E$9)</f>
        <v>15.145300000000001</v>
      </c>
      <c r="O894" s="11">
        <f>15.1495 * CHOOSE(CONTROL!$C$32, $C$9, 100%, $E$9)</f>
        <v>15.1495</v>
      </c>
    </row>
    <row r="895" spans="1:15" ht="15" x14ac:dyDescent="0.2">
      <c r="A895" s="13">
        <v>68089</v>
      </c>
      <c r="B895" s="9">
        <f>13.1353 * CHOOSE(CONTROL!$C$32, $C$9, 100%, $E$9)</f>
        <v>13.135300000000001</v>
      </c>
      <c r="C895" s="9">
        <f>13.1353 * CHOOSE(CONTROL!$C$32, $C$9, 100%, $E$9)</f>
        <v>13.135300000000001</v>
      </c>
      <c r="D895" s="9">
        <f>13.1366 * CHOOSE(CONTROL!$C$32, $C$9, 100%, $E$9)</f>
        <v>13.1366</v>
      </c>
      <c r="E895" s="11">
        <f>15.0218 * CHOOSE(CONTROL!$C$32, $C$9, 100%, $E$9)</f>
        <v>15.021800000000001</v>
      </c>
      <c r="F895" s="11">
        <f>15.0218 * CHOOSE(CONTROL!$C$32, $C$9, 100%, $E$9)</f>
        <v>15.021800000000001</v>
      </c>
      <c r="G895" s="11">
        <f>15.026 * CHOOSE(CONTROL!$C$32, $C$9, 100%, $E$9)</f>
        <v>15.026</v>
      </c>
      <c r="H895" s="11">
        <f>31.2473 * CHOOSE(CONTROL!$C$32, $C$9, 100%, $E$9)</f>
        <v>31.247299999999999</v>
      </c>
      <c r="I895" s="11">
        <f>31.2515 * CHOOSE(CONTROL!$C$32, $C$9, 100%, $E$9)</f>
        <v>31.2515</v>
      </c>
      <c r="J895" s="11">
        <f>31.2473 * CHOOSE(CONTROL!$C$32, $C$9, 100%, $E$9)</f>
        <v>31.247299999999999</v>
      </c>
      <c r="K895" s="11">
        <f>31.2515 * CHOOSE(CONTROL!$C$32, $C$9, 100%, $E$9)</f>
        <v>31.2515</v>
      </c>
      <c r="L895" s="11">
        <f>15.0218 * CHOOSE(CONTROL!$C$32, $C$9, 100%, $E$9)</f>
        <v>15.021800000000001</v>
      </c>
      <c r="M895" s="11">
        <f>15.026 * CHOOSE(CONTROL!$C$32, $C$9, 100%, $E$9)</f>
        <v>15.026</v>
      </c>
      <c r="N895" s="11">
        <f>15.0218 * CHOOSE(CONTROL!$C$32, $C$9, 100%, $E$9)</f>
        <v>15.021800000000001</v>
      </c>
      <c r="O895" s="11">
        <f>15.026 * CHOOSE(CONTROL!$C$32, $C$9, 100%, $E$9)</f>
        <v>15.026</v>
      </c>
    </row>
    <row r="896" spans="1:15" ht="15" x14ac:dyDescent="0.2">
      <c r="A896" s="13">
        <v>68119</v>
      </c>
      <c r="B896" s="9">
        <f>13.2941 * CHOOSE(CONTROL!$C$32, $C$9, 100%, $E$9)</f>
        <v>13.2941</v>
      </c>
      <c r="C896" s="9">
        <f>13.2941 * CHOOSE(CONTROL!$C$32, $C$9, 100%, $E$9)</f>
        <v>13.2941</v>
      </c>
      <c r="D896" s="9">
        <f>13.2953 * CHOOSE(CONTROL!$C$32, $C$9, 100%, $E$9)</f>
        <v>13.295299999999999</v>
      </c>
      <c r="E896" s="11">
        <f>15.2346 * CHOOSE(CONTROL!$C$32, $C$9, 100%, $E$9)</f>
        <v>15.2346</v>
      </c>
      <c r="F896" s="11">
        <f>15.2346 * CHOOSE(CONTROL!$C$32, $C$9, 100%, $E$9)</f>
        <v>15.2346</v>
      </c>
      <c r="G896" s="11">
        <f>15.2388 * CHOOSE(CONTROL!$C$32, $C$9, 100%, $E$9)</f>
        <v>15.238799999999999</v>
      </c>
      <c r="H896" s="11">
        <f>31.3124 * CHOOSE(CONTROL!$C$32, $C$9, 100%, $E$9)</f>
        <v>31.3124</v>
      </c>
      <c r="I896" s="11">
        <f>31.3166 * CHOOSE(CONTROL!$C$32, $C$9, 100%, $E$9)</f>
        <v>31.316600000000001</v>
      </c>
      <c r="J896" s="11">
        <f>31.3124 * CHOOSE(CONTROL!$C$32, $C$9, 100%, $E$9)</f>
        <v>31.3124</v>
      </c>
      <c r="K896" s="11">
        <f>31.3166 * CHOOSE(CONTROL!$C$32, $C$9, 100%, $E$9)</f>
        <v>31.316600000000001</v>
      </c>
      <c r="L896" s="11">
        <f>15.2346 * CHOOSE(CONTROL!$C$32, $C$9, 100%, $E$9)</f>
        <v>15.2346</v>
      </c>
      <c r="M896" s="11">
        <f>15.2388 * CHOOSE(CONTROL!$C$32, $C$9, 100%, $E$9)</f>
        <v>15.238799999999999</v>
      </c>
      <c r="N896" s="11">
        <f>15.2346 * CHOOSE(CONTROL!$C$32, $C$9, 100%, $E$9)</f>
        <v>15.2346</v>
      </c>
      <c r="O896" s="11">
        <f>15.2388 * CHOOSE(CONTROL!$C$32, $C$9, 100%, $E$9)</f>
        <v>15.238799999999999</v>
      </c>
    </row>
    <row r="897" spans="1:15" ht="15" x14ac:dyDescent="0.2">
      <c r="A897" s="13">
        <v>68150</v>
      </c>
      <c r="B897" s="9">
        <f>13.3008 * CHOOSE(CONTROL!$C$32, $C$9, 100%, $E$9)</f>
        <v>13.300800000000001</v>
      </c>
      <c r="C897" s="9">
        <f>13.3008 * CHOOSE(CONTROL!$C$32, $C$9, 100%, $E$9)</f>
        <v>13.300800000000001</v>
      </c>
      <c r="D897" s="9">
        <f>13.302 * CHOOSE(CONTROL!$C$32, $C$9, 100%, $E$9)</f>
        <v>13.302</v>
      </c>
      <c r="E897" s="11">
        <f>14.8561 * CHOOSE(CONTROL!$C$32, $C$9, 100%, $E$9)</f>
        <v>14.8561</v>
      </c>
      <c r="F897" s="11">
        <f>14.8561 * CHOOSE(CONTROL!$C$32, $C$9, 100%, $E$9)</f>
        <v>14.8561</v>
      </c>
      <c r="G897" s="11">
        <f>14.8603 * CHOOSE(CONTROL!$C$32, $C$9, 100%, $E$9)</f>
        <v>14.860300000000001</v>
      </c>
      <c r="H897" s="11">
        <f>31.3777 * CHOOSE(CONTROL!$C$32, $C$9, 100%, $E$9)</f>
        <v>31.377700000000001</v>
      </c>
      <c r="I897" s="11">
        <f>31.3819 * CHOOSE(CONTROL!$C$32, $C$9, 100%, $E$9)</f>
        <v>31.381900000000002</v>
      </c>
      <c r="J897" s="11">
        <f>31.3777 * CHOOSE(CONTROL!$C$32, $C$9, 100%, $E$9)</f>
        <v>31.377700000000001</v>
      </c>
      <c r="K897" s="11">
        <f>31.3819 * CHOOSE(CONTROL!$C$32, $C$9, 100%, $E$9)</f>
        <v>31.381900000000002</v>
      </c>
      <c r="L897" s="11">
        <f>14.8561 * CHOOSE(CONTROL!$C$32, $C$9, 100%, $E$9)</f>
        <v>14.8561</v>
      </c>
      <c r="M897" s="11">
        <f>14.8603 * CHOOSE(CONTROL!$C$32, $C$9, 100%, $E$9)</f>
        <v>14.860300000000001</v>
      </c>
      <c r="N897" s="11">
        <f>14.8561 * CHOOSE(CONTROL!$C$32, $C$9, 100%, $E$9)</f>
        <v>14.8561</v>
      </c>
      <c r="O897" s="11">
        <f>14.8603 * CHOOSE(CONTROL!$C$32, $C$9, 100%, $E$9)</f>
        <v>14.860300000000001</v>
      </c>
    </row>
    <row r="898" spans="1:15" ht="15" x14ac:dyDescent="0.2">
      <c r="A898" s="13">
        <v>68181</v>
      </c>
      <c r="B898" s="9">
        <f>13.2977 * CHOOSE(CONTROL!$C$32, $C$9, 100%, $E$9)</f>
        <v>13.297700000000001</v>
      </c>
      <c r="C898" s="9">
        <f>13.2977 * CHOOSE(CONTROL!$C$32, $C$9, 100%, $E$9)</f>
        <v>13.297700000000001</v>
      </c>
      <c r="D898" s="9">
        <f>13.299 * CHOOSE(CONTROL!$C$32, $C$9, 100%, $E$9)</f>
        <v>13.298999999999999</v>
      </c>
      <c r="E898" s="11">
        <f>14.8114 * CHOOSE(CONTROL!$C$32, $C$9, 100%, $E$9)</f>
        <v>14.811400000000001</v>
      </c>
      <c r="F898" s="11">
        <f>14.8114 * CHOOSE(CONTROL!$C$32, $C$9, 100%, $E$9)</f>
        <v>14.811400000000001</v>
      </c>
      <c r="G898" s="11">
        <f>14.8156 * CHOOSE(CONTROL!$C$32, $C$9, 100%, $E$9)</f>
        <v>14.8156</v>
      </c>
      <c r="H898" s="11">
        <f>31.443 * CHOOSE(CONTROL!$C$32, $C$9, 100%, $E$9)</f>
        <v>31.443000000000001</v>
      </c>
      <c r="I898" s="11">
        <f>31.4472 * CHOOSE(CONTROL!$C$32, $C$9, 100%, $E$9)</f>
        <v>31.447199999999999</v>
      </c>
      <c r="J898" s="11">
        <f>31.443 * CHOOSE(CONTROL!$C$32, $C$9, 100%, $E$9)</f>
        <v>31.443000000000001</v>
      </c>
      <c r="K898" s="11">
        <f>31.4472 * CHOOSE(CONTROL!$C$32, $C$9, 100%, $E$9)</f>
        <v>31.447199999999999</v>
      </c>
      <c r="L898" s="11">
        <f>14.8114 * CHOOSE(CONTROL!$C$32, $C$9, 100%, $E$9)</f>
        <v>14.811400000000001</v>
      </c>
      <c r="M898" s="11">
        <f>14.8156 * CHOOSE(CONTROL!$C$32, $C$9, 100%, $E$9)</f>
        <v>14.8156</v>
      </c>
      <c r="N898" s="11">
        <f>14.8114 * CHOOSE(CONTROL!$C$32, $C$9, 100%, $E$9)</f>
        <v>14.811400000000001</v>
      </c>
      <c r="O898" s="11">
        <f>14.8156 * CHOOSE(CONTROL!$C$32, $C$9, 100%, $E$9)</f>
        <v>14.8156</v>
      </c>
    </row>
    <row r="899" spans="1:15" ht="15" x14ac:dyDescent="0.2">
      <c r="A899" s="13">
        <v>68211</v>
      </c>
      <c r="B899" s="9">
        <f>13.3275 * CHOOSE(CONTROL!$C$32, $C$9, 100%, $E$9)</f>
        <v>13.327500000000001</v>
      </c>
      <c r="C899" s="9">
        <f>13.3275 * CHOOSE(CONTROL!$C$32, $C$9, 100%, $E$9)</f>
        <v>13.327500000000001</v>
      </c>
      <c r="D899" s="9">
        <f>13.3285 * CHOOSE(CONTROL!$C$32, $C$9, 100%, $E$9)</f>
        <v>13.3285</v>
      </c>
      <c r="E899" s="11">
        <f>14.9683 * CHOOSE(CONTROL!$C$32, $C$9, 100%, $E$9)</f>
        <v>14.968299999999999</v>
      </c>
      <c r="F899" s="11">
        <f>14.9683 * CHOOSE(CONTROL!$C$32, $C$9, 100%, $E$9)</f>
        <v>14.968299999999999</v>
      </c>
      <c r="G899" s="11">
        <f>14.9715 * CHOOSE(CONTROL!$C$32, $C$9, 100%, $E$9)</f>
        <v>14.971500000000001</v>
      </c>
      <c r="H899" s="11">
        <f>31.5085 * CHOOSE(CONTROL!$C$32, $C$9, 100%, $E$9)</f>
        <v>31.508500000000002</v>
      </c>
      <c r="I899" s="11">
        <f>31.5118 * CHOOSE(CONTROL!$C$32, $C$9, 100%, $E$9)</f>
        <v>31.511800000000001</v>
      </c>
      <c r="J899" s="11">
        <f>31.5085 * CHOOSE(CONTROL!$C$32, $C$9, 100%, $E$9)</f>
        <v>31.508500000000002</v>
      </c>
      <c r="K899" s="11">
        <f>31.5118 * CHOOSE(CONTROL!$C$32, $C$9, 100%, $E$9)</f>
        <v>31.511800000000001</v>
      </c>
      <c r="L899" s="11">
        <f>14.9683 * CHOOSE(CONTROL!$C$32, $C$9, 100%, $E$9)</f>
        <v>14.968299999999999</v>
      </c>
      <c r="M899" s="11">
        <f>14.9715 * CHOOSE(CONTROL!$C$32, $C$9, 100%, $E$9)</f>
        <v>14.971500000000001</v>
      </c>
      <c r="N899" s="11">
        <f>14.9683 * CHOOSE(CONTROL!$C$32, $C$9, 100%, $E$9)</f>
        <v>14.968299999999999</v>
      </c>
      <c r="O899" s="11">
        <f>14.9715 * CHOOSE(CONTROL!$C$32, $C$9, 100%, $E$9)</f>
        <v>14.971500000000001</v>
      </c>
    </row>
    <row r="900" spans="1:15" ht="15" x14ac:dyDescent="0.2">
      <c r="A900" s="13">
        <v>68242</v>
      </c>
      <c r="B900" s="9">
        <f>13.3306 * CHOOSE(CONTROL!$C$32, $C$9, 100%, $E$9)</f>
        <v>13.3306</v>
      </c>
      <c r="C900" s="9">
        <f>13.3306 * CHOOSE(CONTROL!$C$32, $C$9, 100%, $E$9)</f>
        <v>13.3306</v>
      </c>
      <c r="D900" s="9">
        <f>13.3315 * CHOOSE(CONTROL!$C$32, $C$9, 100%, $E$9)</f>
        <v>13.3315</v>
      </c>
      <c r="E900" s="11">
        <f>15.0555 * CHOOSE(CONTROL!$C$32, $C$9, 100%, $E$9)</f>
        <v>15.0555</v>
      </c>
      <c r="F900" s="11">
        <f>15.0555 * CHOOSE(CONTROL!$C$32, $C$9, 100%, $E$9)</f>
        <v>15.0555</v>
      </c>
      <c r="G900" s="11">
        <f>15.0588 * CHOOSE(CONTROL!$C$32, $C$9, 100%, $E$9)</f>
        <v>15.0588</v>
      </c>
      <c r="H900" s="11">
        <f>31.5742 * CHOOSE(CONTROL!$C$32, $C$9, 100%, $E$9)</f>
        <v>31.574200000000001</v>
      </c>
      <c r="I900" s="11">
        <f>31.5774 * CHOOSE(CONTROL!$C$32, $C$9, 100%, $E$9)</f>
        <v>31.577400000000001</v>
      </c>
      <c r="J900" s="11">
        <f>31.5742 * CHOOSE(CONTROL!$C$32, $C$9, 100%, $E$9)</f>
        <v>31.574200000000001</v>
      </c>
      <c r="K900" s="11">
        <f>31.5774 * CHOOSE(CONTROL!$C$32, $C$9, 100%, $E$9)</f>
        <v>31.577400000000001</v>
      </c>
      <c r="L900" s="11">
        <f>15.0555 * CHOOSE(CONTROL!$C$32, $C$9, 100%, $E$9)</f>
        <v>15.0555</v>
      </c>
      <c r="M900" s="11">
        <f>15.0588 * CHOOSE(CONTROL!$C$32, $C$9, 100%, $E$9)</f>
        <v>15.0588</v>
      </c>
      <c r="N900" s="11">
        <f>15.0555 * CHOOSE(CONTROL!$C$32, $C$9, 100%, $E$9)</f>
        <v>15.0555</v>
      </c>
      <c r="O900" s="11">
        <f>15.0588 * CHOOSE(CONTROL!$C$32, $C$9, 100%, $E$9)</f>
        <v>15.0588</v>
      </c>
    </row>
    <row r="901" spans="1:15" ht="15" x14ac:dyDescent="0.2">
      <c r="A901" s="13">
        <v>68272</v>
      </c>
      <c r="B901" s="9">
        <f>13.3306 * CHOOSE(CONTROL!$C$32, $C$9, 100%, $E$9)</f>
        <v>13.3306</v>
      </c>
      <c r="C901" s="9">
        <f>13.3306 * CHOOSE(CONTROL!$C$32, $C$9, 100%, $E$9)</f>
        <v>13.3306</v>
      </c>
      <c r="D901" s="9">
        <f>13.3315 * CHOOSE(CONTROL!$C$32, $C$9, 100%, $E$9)</f>
        <v>13.3315</v>
      </c>
      <c r="E901" s="11">
        <f>14.8427 * CHOOSE(CONTROL!$C$32, $C$9, 100%, $E$9)</f>
        <v>14.842700000000001</v>
      </c>
      <c r="F901" s="11">
        <f>14.8427 * CHOOSE(CONTROL!$C$32, $C$9, 100%, $E$9)</f>
        <v>14.842700000000001</v>
      </c>
      <c r="G901" s="11">
        <f>14.8459 * CHOOSE(CONTROL!$C$32, $C$9, 100%, $E$9)</f>
        <v>14.8459</v>
      </c>
      <c r="H901" s="11">
        <f>31.64 * CHOOSE(CONTROL!$C$32, $C$9, 100%, $E$9)</f>
        <v>31.64</v>
      </c>
      <c r="I901" s="11">
        <f>31.6432 * CHOOSE(CONTROL!$C$32, $C$9, 100%, $E$9)</f>
        <v>31.6432</v>
      </c>
      <c r="J901" s="11">
        <f>31.64 * CHOOSE(CONTROL!$C$32, $C$9, 100%, $E$9)</f>
        <v>31.64</v>
      </c>
      <c r="K901" s="11">
        <f>31.6432 * CHOOSE(CONTROL!$C$32, $C$9, 100%, $E$9)</f>
        <v>31.6432</v>
      </c>
      <c r="L901" s="11">
        <f>14.8427 * CHOOSE(CONTROL!$C$32, $C$9, 100%, $E$9)</f>
        <v>14.842700000000001</v>
      </c>
      <c r="M901" s="11">
        <f>14.8459 * CHOOSE(CONTROL!$C$32, $C$9, 100%, $E$9)</f>
        <v>14.8459</v>
      </c>
      <c r="N901" s="11">
        <f>14.8427 * CHOOSE(CONTROL!$C$32, $C$9, 100%, $E$9)</f>
        <v>14.842700000000001</v>
      </c>
      <c r="O901" s="11">
        <f>14.8459 * CHOOSE(CONTROL!$C$32, $C$9, 100%, $E$9)</f>
        <v>14.8459</v>
      </c>
    </row>
    <row r="902" spans="1:15" ht="15" x14ac:dyDescent="0.2">
      <c r="A902" s="13">
        <v>68303</v>
      </c>
      <c r="B902" s="9">
        <f>13.3162 * CHOOSE(CONTROL!$C$32, $C$9, 100%, $E$9)</f>
        <v>13.3162</v>
      </c>
      <c r="C902" s="9">
        <f>13.3162 * CHOOSE(CONTROL!$C$32, $C$9, 100%, $E$9)</f>
        <v>13.3162</v>
      </c>
      <c r="D902" s="9">
        <f>13.3171 * CHOOSE(CONTROL!$C$32, $C$9, 100%, $E$9)</f>
        <v>13.3171</v>
      </c>
      <c r="E902" s="11">
        <f>14.9831 * CHOOSE(CONTROL!$C$32, $C$9, 100%, $E$9)</f>
        <v>14.9831</v>
      </c>
      <c r="F902" s="11">
        <f>14.9831 * CHOOSE(CONTROL!$C$32, $C$9, 100%, $E$9)</f>
        <v>14.9831</v>
      </c>
      <c r="G902" s="11">
        <f>14.9863 * CHOOSE(CONTROL!$C$32, $C$9, 100%, $E$9)</f>
        <v>14.9863</v>
      </c>
      <c r="H902" s="11">
        <f>31.3957 * CHOOSE(CONTROL!$C$32, $C$9, 100%, $E$9)</f>
        <v>31.395700000000001</v>
      </c>
      <c r="I902" s="11">
        <f>31.3989 * CHOOSE(CONTROL!$C$32, $C$9, 100%, $E$9)</f>
        <v>31.398900000000001</v>
      </c>
      <c r="J902" s="11">
        <f>31.3957 * CHOOSE(CONTROL!$C$32, $C$9, 100%, $E$9)</f>
        <v>31.395700000000001</v>
      </c>
      <c r="K902" s="11">
        <f>31.3989 * CHOOSE(CONTROL!$C$32, $C$9, 100%, $E$9)</f>
        <v>31.398900000000001</v>
      </c>
      <c r="L902" s="11">
        <f>14.9831 * CHOOSE(CONTROL!$C$32, $C$9, 100%, $E$9)</f>
        <v>14.9831</v>
      </c>
      <c r="M902" s="11">
        <f>14.9863 * CHOOSE(CONTROL!$C$32, $C$9, 100%, $E$9)</f>
        <v>14.9863</v>
      </c>
      <c r="N902" s="11">
        <f>14.9831 * CHOOSE(CONTROL!$C$32, $C$9, 100%, $E$9)</f>
        <v>14.9831</v>
      </c>
      <c r="O902" s="11">
        <f>14.9863 * CHOOSE(CONTROL!$C$32, $C$9, 100%, $E$9)</f>
        <v>14.9863</v>
      </c>
    </row>
    <row r="903" spans="1:15" ht="15" x14ac:dyDescent="0.2">
      <c r="A903" s="13">
        <v>68334</v>
      </c>
      <c r="B903" s="9">
        <f>13.3131 * CHOOSE(CONTROL!$C$32, $C$9, 100%, $E$9)</f>
        <v>13.3131</v>
      </c>
      <c r="C903" s="9">
        <f>13.3131 * CHOOSE(CONTROL!$C$32, $C$9, 100%, $E$9)</f>
        <v>13.3131</v>
      </c>
      <c r="D903" s="9">
        <f>13.3141 * CHOOSE(CONTROL!$C$32, $C$9, 100%, $E$9)</f>
        <v>13.3141</v>
      </c>
      <c r="E903" s="11">
        <f>14.5716 * CHOOSE(CONTROL!$C$32, $C$9, 100%, $E$9)</f>
        <v>14.5716</v>
      </c>
      <c r="F903" s="11">
        <f>14.5716 * CHOOSE(CONTROL!$C$32, $C$9, 100%, $E$9)</f>
        <v>14.5716</v>
      </c>
      <c r="G903" s="11">
        <f>14.5748 * CHOOSE(CONTROL!$C$32, $C$9, 100%, $E$9)</f>
        <v>14.5748</v>
      </c>
      <c r="H903" s="11">
        <f>31.4611 * CHOOSE(CONTROL!$C$32, $C$9, 100%, $E$9)</f>
        <v>31.461099999999998</v>
      </c>
      <c r="I903" s="11">
        <f>31.4643 * CHOOSE(CONTROL!$C$32, $C$9, 100%, $E$9)</f>
        <v>31.464300000000001</v>
      </c>
      <c r="J903" s="11">
        <f>31.4611 * CHOOSE(CONTROL!$C$32, $C$9, 100%, $E$9)</f>
        <v>31.461099999999998</v>
      </c>
      <c r="K903" s="11">
        <f>31.4643 * CHOOSE(CONTROL!$C$32, $C$9, 100%, $E$9)</f>
        <v>31.464300000000001</v>
      </c>
      <c r="L903" s="11">
        <f>14.5716 * CHOOSE(CONTROL!$C$32, $C$9, 100%, $E$9)</f>
        <v>14.5716</v>
      </c>
      <c r="M903" s="11">
        <f>14.5748 * CHOOSE(CONTROL!$C$32, $C$9, 100%, $E$9)</f>
        <v>14.5748</v>
      </c>
      <c r="N903" s="11">
        <f>14.5716 * CHOOSE(CONTROL!$C$32, $C$9, 100%, $E$9)</f>
        <v>14.5716</v>
      </c>
      <c r="O903" s="11">
        <f>14.5748 * CHOOSE(CONTROL!$C$32, $C$9, 100%, $E$9)</f>
        <v>14.5748</v>
      </c>
    </row>
    <row r="904" spans="1:15" ht="15" x14ac:dyDescent="0.2">
      <c r="A904" s="13">
        <v>68362</v>
      </c>
      <c r="B904" s="9">
        <f>13.3101 * CHOOSE(CONTROL!$C$32, $C$9, 100%, $E$9)</f>
        <v>13.3101</v>
      </c>
      <c r="C904" s="9">
        <f>13.3101 * CHOOSE(CONTROL!$C$32, $C$9, 100%, $E$9)</f>
        <v>13.3101</v>
      </c>
      <c r="D904" s="9">
        <f>13.311 * CHOOSE(CONTROL!$C$32, $C$9, 100%, $E$9)</f>
        <v>13.311</v>
      </c>
      <c r="E904" s="11">
        <f>14.8922 * CHOOSE(CONTROL!$C$32, $C$9, 100%, $E$9)</f>
        <v>14.892200000000001</v>
      </c>
      <c r="F904" s="11">
        <f>14.8922 * CHOOSE(CONTROL!$C$32, $C$9, 100%, $E$9)</f>
        <v>14.892200000000001</v>
      </c>
      <c r="G904" s="11">
        <f>14.8954 * CHOOSE(CONTROL!$C$32, $C$9, 100%, $E$9)</f>
        <v>14.8954</v>
      </c>
      <c r="H904" s="11">
        <f>31.5266 * CHOOSE(CONTROL!$C$32, $C$9, 100%, $E$9)</f>
        <v>31.526599999999998</v>
      </c>
      <c r="I904" s="11">
        <f>31.5298 * CHOOSE(CONTROL!$C$32, $C$9, 100%, $E$9)</f>
        <v>31.529800000000002</v>
      </c>
      <c r="J904" s="11">
        <f>31.5266 * CHOOSE(CONTROL!$C$32, $C$9, 100%, $E$9)</f>
        <v>31.526599999999998</v>
      </c>
      <c r="K904" s="11">
        <f>31.5298 * CHOOSE(CONTROL!$C$32, $C$9, 100%, $E$9)</f>
        <v>31.529800000000002</v>
      </c>
      <c r="L904" s="11">
        <f>14.8922 * CHOOSE(CONTROL!$C$32, $C$9, 100%, $E$9)</f>
        <v>14.892200000000001</v>
      </c>
      <c r="M904" s="11">
        <f>14.8954 * CHOOSE(CONTROL!$C$32, $C$9, 100%, $E$9)</f>
        <v>14.8954</v>
      </c>
      <c r="N904" s="11">
        <f>14.8922 * CHOOSE(CONTROL!$C$32, $C$9, 100%, $E$9)</f>
        <v>14.892200000000001</v>
      </c>
      <c r="O904" s="11">
        <f>14.8954 * CHOOSE(CONTROL!$C$32, $C$9, 100%, $E$9)</f>
        <v>14.8954</v>
      </c>
    </row>
    <row r="905" spans="1:15" ht="15" x14ac:dyDescent="0.2">
      <c r="A905" s="13">
        <v>68393</v>
      </c>
      <c r="B905" s="9">
        <f>13.3168 * CHOOSE(CONTROL!$C$32, $C$9, 100%, $E$9)</f>
        <v>13.316800000000001</v>
      </c>
      <c r="C905" s="9">
        <f>13.3168 * CHOOSE(CONTROL!$C$32, $C$9, 100%, $E$9)</f>
        <v>13.316800000000001</v>
      </c>
      <c r="D905" s="9">
        <f>13.3177 * CHOOSE(CONTROL!$C$32, $C$9, 100%, $E$9)</f>
        <v>13.3177</v>
      </c>
      <c r="E905" s="11">
        <f>15.2346 * CHOOSE(CONTROL!$C$32, $C$9, 100%, $E$9)</f>
        <v>15.2346</v>
      </c>
      <c r="F905" s="11">
        <f>15.2346 * CHOOSE(CONTROL!$C$32, $C$9, 100%, $E$9)</f>
        <v>15.2346</v>
      </c>
      <c r="G905" s="11">
        <f>15.2378 * CHOOSE(CONTROL!$C$32, $C$9, 100%, $E$9)</f>
        <v>15.2378</v>
      </c>
      <c r="H905" s="11">
        <f>31.5923 * CHOOSE(CONTROL!$C$32, $C$9, 100%, $E$9)</f>
        <v>31.592300000000002</v>
      </c>
      <c r="I905" s="11">
        <f>31.5955 * CHOOSE(CONTROL!$C$32, $C$9, 100%, $E$9)</f>
        <v>31.595500000000001</v>
      </c>
      <c r="J905" s="11">
        <f>31.5923 * CHOOSE(CONTROL!$C$32, $C$9, 100%, $E$9)</f>
        <v>31.592300000000002</v>
      </c>
      <c r="K905" s="11">
        <f>31.5955 * CHOOSE(CONTROL!$C$32, $C$9, 100%, $E$9)</f>
        <v>31.595500000000001</v>
      </c>
      <c r="L905" s="11">
        <f>15.2346 * CHOOSE(CONTROL!$C$32, $C$9, 100%, $E$9)</f>
        <v>15.2346</v>
      </c>
      <c r="M905" s="11">
        <f>15.2378 * CHOOSE(CONTROL!$C$32, $C$9, 100%, $E$9)</f>
        <v>15.2378</v>
      </c>
      <c r="N905" s="11">
        <f>15.2346 * CHOOSE(CONTROL!$C$32, $C$9, 100%, $E$9)</f>
        <v>15.2346</v>
      </c>
      <c r="O905" s="11">
        <f>15.2378 * CHOOSE(CONTROL!$C$32, $C$9, 100%, $E$9)</f>
        <v>15.2378</v>
      </c>
    </row>
    <row r="906" spans="1:15" ht="15" x14ac:dyDescent="0.2">
      <c r="A906" s="13">
        <v>68423</v>
      </c>
      <c r="B906" s="9">
        <f>13.3168 * CHOOSE(CONTROL!$C$32, $C$9, 100%, $E$9)</f>
        <v>13.316800000000001</v>
      </c>
      <c r="C906" s="9">
        <f>13.3168 * CHOOSE(CONTROL!$C$32, $C$9, 100%, $E$9)</f>
        <v>13.316800000000001</v>
      </c>
      <c r="D906" s="9">
        <f>13.318 * CHOOSE(CONTROL!$C$32, $C$9, 100%, $E$9)</f>
        <v>13.318</v>
      </c>
      <c r="E906" s="11">
        <f>15.3645 * CHOOSE(CONTROL!$C$32, $C$9, 100%, $E$9)</f>
        <v>15.3645</v>
      </c>
      <c r="F906" s="11">
        <f>15.3645 * CHOOSE(CONTROL!$C$32, $C$9, 100%, $E$9)</f>
        <v>15.3645</v>
      </c>
      <c r="G906" s="11">
        <f>15.3687 * CHOOSE(CONTROL!$C$32, $C$9, 100%, $E$9)</f>
        <v>15.3687</v>
      </c>
      <c r="H906" s="11">
        <f>31.6581 * CHOOSE(CONTROL!$C$32, $C$9, 100%, $E$9)</f>
        <v>31.658100000000001</v>
      </c>
      <c r="I906" s="11">
        <f>31.6623 * CHOOSE(CONTROL!$C$32, $C$9, 100%, $E$9)</f>
        <v>31.662299999999998</v>
      </c>
      <c r="J906" s="11">
        <f>31.6581 * CHOOSE(CONTROL!$C$32, $C$9, 100%, $E$9)</f>
        <v>31.658100000000001</v>
      </c>
      <c r="K906" s="11">
        <f>31.6623 * CHOOSE(CONTROL!$C$32, $C$9, 100%, $E$9)</f>
        <v>31.662299999999998</v>
      </c>
      <c r="L906" s="11">
        <f>15.3645 * CHOOSE(CONTROL!$C$32, $C$9, 100%, $E$9)</f>
        <v>15.3645</v>
      </c>
      <c r="M906" s="11">
        <f>15.3687 * CHOOSE(CONTROL!$C$32, $C$9, 100%, $E$9)</f>
        <v>15.3687</v>
      </c>
      <c r="N906" s="11">
        <f>15.3645 * CHOOSE(CONTROL!$C$32, $C$9, 100%, $E$9)</f>
        <v>15.3645</v>
      </c>
      <c r="O906" s="11">
        <f>15.3687 * CHOOSE(CONTROL!$C$32, $C$9, 100%, $E$9)</f>
        <v>15.3687</v>
      </c>
    </row>
    <row r="907" spans="1:15" ht="15" x14ac:dyDescent="0.2">
      <c r="A907" s="13">
        <v>68454</v>
      </c>
      <c r="B907" s="9">
        <f>13.3229 * CHOOSE(CONTROL!$C$32, $C$9, 100%, $E$9)</f>
        <v>13.322900000000001</v>
      </c>
      <c r="C907" s="9">
        <f>13.3229 * CHOOSE(CONTROL!$C$32, $C$9, 100%, $E$9)</f>
        <v>13.322900000000001</v>
      </c>
      <c r="D907" s="9">
        <f>13.3241 * CHOOSE(CONTROL!$C$32, $C$9, 100%, $E$9)</f>
        <v>13.3241</v>
      </c>
      <c r="E907" s="11">
        <f>15.2388 * CHOOSE(CONTROL!$C$32, $C$9, 100%, $E$9)</f>
        <v>15.238799999999999</v>
      </c>
      <c r="F907" s="11">
        <f>15.2388 * CHOOSE(CONTROL!$C$32, $C$9, 100%, $E$9)</f>
        <v>15.238799999999999</v>
      </c>
      <c r="G907" s="11">
        <f>15.243 * CHOOSE(CONTROL!$C$32, $C$9, 100%, $E$9)</f>
        <v>15.243</v>
      </c>
      <c r="H907" s="11">
        <f>31.7241 * CHOOSE(CONTROL!$C$32, $C$9, 100%, $E$9)</f>
        <v>31.7241</v>
      </c>
      <c r="I907" s="11">
        <f>31.7283 * CHOOSE(CONTROL!$C$32, $C$9, 100%, $E$9)</f>
        <v>31.728300000000001</v>
      </c>
      <c r="J907" s="11">
        <f>31.7241 * CHOOSE(CONTROL!$C$32, $C$9, 100%, $E$9)</f>
        <v>31.7241</v>
      </c>
      <c r="K907" s="11">
        <f>31.7283 * CHOOSE(CONTROL!$C$32, $C$9, 100%, $E$9)</f>
        <v>31.728300000000001</v>
      </c>
      <c r="L907" s="11">
        <f>15.2388 * CHOOSE(CONTROL!$C$32, $C$9, 100%, $E$9)</f>
        <v>15.238799999999999</v>
      </c>
      <c r="M907" s="11">
        <f>15.243 * CHOOSE(CONTROL!$C$32, $C$9, 100%, $E$9)</f>
        <v>15.243</v>
      </c>
      <c r="N907" s="11">
        <f>15.2388 * CHOOSE(CONTROL!$C$32, $C$9, 100%, $E$9)</f>
        <v>15.238799999999999</v>
      </c>
      <c r="O907" s="11">
        <f>15.243 * CHOOSE(CONTROL!$C$32, $C$9, 100%, $E$9)</f>
        <v>15.243</v>
      </c>
    </row>
    <row r="908" spans="1:15" ht="15" x14ac:dyDescent="0.2">
      <c r="A908" s="13">
        <v>68484</v>
      </c>
      <c r="B908" s="9">
        <f>13.4837 * CHOOSE(CONTROL!$C$32, $C$9, 100%, $E$9)</f>
        <v>13.483700000000001</v>
      </c>
      <c r="C908" s="9">
        <f>13.4837 * CHOOSE(CONTROL!$C$32, $C$9, 100%, $E$9)</f>
        <v>13.483700000000001</v>
      </c>
      <c r="D908" s="9">
        <f>13.4849 * CHOOSE(CONTROL!$C$32, $C$9, 100%, $E$9)</f>
        <v>13.4849</v>
      </c>
      <c r="E908" s="11">
        <f>15.4548 * CHOOSE(CONTROL!$C$32, $C$9, 100%, $E$9)</f>
        <v>15.454800000000001</v>
      </c>
      <c r="F908" s="11">
        <f>15.4548 * CHOOSE(CONTROL!$C$32, $C$9, 100%, $E$9)</f>
        <v>15.454800000000001</v>
      </c>
      <c r="G908" s="11">
        <f>15.459 * CHOOSE(CONTROL!$C$32, $C$9, 100%, $E$9)</f>
        <v>15.459</v>
      </c>
      <c r="H908" s="11">
        <f>31.7902 * CHOOSE(CONTROL!$C$32, $C$9, 100%, $E$9)</f>
        <v>31.790199999999999</v>
      </c>
      <c r="I908" s="11">
        <f>31.7944 * CHOOSE(CONTROL!$C$32, $C$9, 100%, $E$9)</f>
        <v>31.7944</v>
      </c>
      <c r="J908" s="11">
        <f>31.7902 * CHOOSE(CONTROL!$C$32, $C$9, 100%, $E$9)</f>
        <v>31.790199999999999</v>
      </c>
      <c r="K908" s="11">
        <f>31.7944 * CHOOSE(CONTROL!$C$32, $C$9, 100%, $E$9)</f>
        <v>31.7944</v>
      </c>
      <c r="L908" s="11">
        <f>15.4548 * CHOOSE(CONTROL!$C$32, $C$9, 100%, $E$9)</f>
        <v>15.454800000000001</v>
      </c>
      <c r="M908" s="11">
        <f>15.459 * CHOOSE(CONTROL!$C$32, $C$9, 100%, $E$9)</f>
        <v>15.459</v>
      </c>
      <c r="N908" s="11">
        <f>15.4548 * CHOOSE(CONTROL!$C$32, $C$9, 100%, $E$9)</f>
        <v>15.454800000000001</v>
      </c>
      <c r="O908" s="11">
        <f>15.459 * CHOOSE(CONTROL!$C$32, $C$9, 100%, $E$9)</f>
        <v>15.459</v>
      </c>
    </row>
    <row r="909" spans="1:15" ht="15" x14ac:dyDescent="0.2">
      <c r="A909" s="13">
        <v>68515</v>
      </c>
      <c r="B909" s="9">
        <f>13.4904 * CHOOSE(CONTROL!$C$32, $C$9, 100%, $E$9)</f>
        <v>13.490399999999999</v>
      </c>
      <c r="C909" s="9">
        <f>13.4904 * CHOOSE(CONTROL!$C$32, $C$9, 100%, $E$9)</f>
        <v>13.490399999999999</v>
      </c>
      <c r="D909" s="9">
        <f>13.4916 * CHOOSE(CONTROL!$C$32, $C$9, 100%, $E$9)</f>
        <v>13.4916</v>
      </c>
      <c r="E909" s="11">
        <f>15.0695 * CHOOSE(CONTROL!$C$32, $C$9, 100%, $E$9)</f>
        <v>15.0695</v>
      </c>
      <c r="F909" s="11">
        <f>15.0695 * CHOOSE(CONTROL!$C$32, $C$9, 100%, $E$9)</f>
        <v>15.0695</v>
      </c>
      <c r="G909" s="11">
        <f>15.0737 * CHOOSE(CONTROL!$C$32, $C$9, 100%, $E$9)</f>
        <v>15.073700000000001</v>
      </c>
      <c r="H909" s="11">
        <f>31.8564 * CHOOSE(CONTROL!$C$32, $C$9, 100%, $E$9)</f>
        <v>31.856400000000001</v>
      </c>
      <c r="I909" s="11">
        <f>31.8606 * CHOOSE(CONTROL!$C$32, $C$9, 100%, $E$9)</f>
        <v>31.860600000000002</v>
      </c>
      <c r="J909" s="11">
        <f>31.8564 * CHOOSE(CONTROL!$C$32, $C$9, 100%, $E$9)</f>
        <v>31.856400000000001</v>
      </c>
      <c r="K909" s="11">
        <f>31.8606 * CHOOSE(CONTROL!$C$32, $C$9, 100%, $E$9)</f>
        <v>31.860600000000002</v>
      </c>
      <c r="L909" s="11">
        <f>15.0695 * CHOOSE(CONTROL!$C$32, $C$9, 100%, $E$9)</f>
        <v>15.0695</v>
      </c>
      <c r="M909" s="11">
        <f>15.0737 * CHOOSE(CONTROL!$C$32, $C$9, 100%, $E$9)</f>
        <v>15.073700000000001</v>
      </c>
      <c r="N909" s="11">
        <f>15.0695 * CHOOSE(CONTROL!$C$32, $C$9, 100%, $E$9)</f>
        <v>15.0695</v>
      </c>
      <c r="O909" s="11">
        <f>15.0737 * CHOOSE(CONTROL!$C$32, $C$9, 100%, $E$9)</f>
        <v>15.073700000000001</v>
      </c>
    </row>
    <row r="910" spans="1:15" ht="15" x14ac:dyDescent="0.2">
      <c r="A910" s="13">
        <v>68546</v>
      </c>
      <c r="B910" s="9">
        <f>13.4873 * CHOOSE(CONTROL!$C$32, $C$9, 100%, $E$9)</f>
        <v>13.487299999999999</v>
      </c>
      <c r="C910" s="9">
        <f>13.4873 * CHOOSE(CONTROL!$C$32, $C$9, 100%, $E$9)</f>
        <v>13.487299999999999</v>
      </c>
      <c r="D910" s="9">
        <f>13.4886 * CHOOSE(CONTROL!$C$32, $C$9, 100%, $E$9)</f>
        <v>13.4886</v>
      </c>
      <c r="E910" s="11">
        <f>15.0241 * CHOOSE(CONTROL!$C$32, $C$9, 100%, $E$9)</f>
        <v>15.024100000000001</v>
      </c>
      <c r="F910" s="11">
        <f>15.0241 * CHOOSE(CONTROL!$C$32, $C$9, 100%, $E$9)</f>
        <v>15.024100000000001</v>
      </c>
      <c r="G910" s="11">
        <f>15.0283 * CHOOSE(CONTROL!$C$32, $C$9, 100%, $E$9)</f>
        <v>15.0283</v>
      </c>
      <c r="H910" s="11">
        <f>31.9227 * CHOOSE(CONTROL!$C$32, $C$9, 100%, $E$9)</f>
        <v>31.922699999999999</v>
      </c>
      <c r="I910" s="11">
        <f>31.9269 * CHOOSE(CONTROL!$C$32, $C$9, 100%, $E$9)</f>
        <v>31.9269</v>
      </c>
      <c r="J910" s="11">
        <f>31.9227 * CHOOSE(CONTROL!$C$32, $C$9, 100%, $E$9)</f>
        <v>31.922699999999999</v>
      </c>
      <c r="K910" s="11">
        <f>31.9269 * CHOOSE(CONTROL!$C$32, $C$9, 100%, $E$9)</f>
        <v>31.9269</v>
      </c>
      <c r="L910" s="11">
        <f>15.0241 * CHOOSE(CONTROL!$C$32, $C$9, 100%, $E$9)</f>
        <v>15.024100000000001</v>
      </c>
      <c r="M910" s="11">
        <f>15.0283 * CHOOSE(CONTROL!$C$32, $C$9, 100%, $E$9)</f>
        <v>15.0283</v>
      </c>
      <c r="N910" s="11">
        <f>15.0241 * CHOOSE(CONTROL!$C$32, $C$9, 100%, $E$9)</f>
        <v>15.024100000000001</v>
      </c>
      <c r="O910" s="11">
        <f>15.0283 * CHOOSE(CONTROL!$C$32, $C$9, 100%, $E$9)</f>
        <v>15.0283</v>
      </c>
    </row>
    <row r="911" spans="1:15" ht="15" x14ac:dyDescent="0.2">
      <c r="A911" s="13">
        <v>68576</v>
      </c>
      <c r="B911" s="9">
        <f>13.5179 * CHOOSE(CONTROL!$C$32, $C$9, 100%, $E$9)</f>
        <v>13.517899999999999</v>
      </c>
      <c r="C911" s="9">
        <f>13.5179 * CHOOSE(CONTROL!$C$32, $C$9, 100%, $E$9)</f>
        <v>13.517899999999999</v>
      </c>
      <c r="D911" s="9">
        <f>13.5188 * CHOOSE(CONTROL!$C$32, $C$9, 100%, $E$9)</f>
        <v>13.518800000000001</v>
      </c>
      <c r="E911" s="11">
        <f>15.1839 * CHOOSE(CONTROL!$C$32, $C$9, 100%, $E$9)</f>
        <v>15.1839</v>
      </c>
      <c r="F911" s="11">
        <f>15.1839 * CHOOSE(CONTROL!$C$32, $C$9, 100%, $E$9)</f>
        <v>15.1839</v>
      </c>
      <c r="G911" s="11">
        <f>15.1872 * CHOOSE(CONTROL!$C$32, $C$9, 100%, $E$9)</f>
        <v>15.187200000000001</v>
      </c>
      <c r="H911" s="11">
        <f>31.9893 * CHOOSE(CONTROL!$C$32, $C$9, 100%, $E$9)</f>
        <v>31.9893</v>
      </c>
      <c r="I911" s="11">
        <f>31.9925 * CHOOSE(CONTROL!$C$32, $C$9, 100%, $E$9)</f>
        <v>31.9925</v>
      </c>
      <c r="J911" s="11">
        <f>31.9893 * CHOOSE(CONTROL!$C$32, $C$9, 100%, $E$9)</f>
        <v>31.9893</v>
      </c>
      <c r="K911" s="11">
        <f>31.9925 * CHOOSE(CONTROL!$C$32, $C$9, 100%, $E$9)</f>
        <v>31.9925</v>
      </c>
      <c r="L911" s="11">
        <f>15.1839 * CHOOSE(CONTROL!$C$32, $C$9, 100%, $E$9)</f>
        <v>15.1839</v>
      </c>
      <c r="M911" s="11">
        <f>15.1872 * CHOOSE(CONTROL!$C$32, $C$9, 100%, $E$9)</f>
        <v>15.187200000000001</v>
      </c>
      <c r="N911" s="11">
        <f>15.1839 * CHOOSE(CONTROL!$C$32, $C$9, 100%, $E$9)</f>
        <v>15.1839</v>
      </c>
      <c r="O911" s="11">
        <f>15.1872 * CHOOSE(CONTROL!$C$32, $C$9, 100%, $E$9)</f>
        <v>15.187200000000001</v>
      </c>
    </row>
    <row r="912" spans="1:15" ht="15" x14ac:dyDescent="0.2">
      <c r="A912" s="13">
        <v>68607</v>
      </c>
      <c r="B912" s="9">
        <f>13.5209 * CHOOSE(CONTROL!$C$32, $C$9, 100%, $E$9)</f>
        <v>13.520899999999999</v>
      </c>
      <c r="C912" s="9">
        <f>13.5209 * CHOOSE(CONTROL!$C$32, $C$9, 100%, $E$9)</f>
        <v>13.520899999999999</v>
      </c>
      <c r="D912" s="9">
        <f>13.5218 * CHOOSE(CONTROL!$C$32, $C$9, 100%, $E$9)</f>
        <v>13.521800000000001</v>
      </c>
      <c r="E912" s="11">
        <f>15.2727 * CHOOSE(CONTROL!$C$32, $C$9, 100%, $E$9)</f>
        <v>15.2727</v>
      </c>
      <c r="F912" s="11">
        <f>15.2727 * CHOOSE(CONTROL!$C$32, $C$9, 100%, $E$9)</f>
        <v>15.2727</v>
      </c>
      <c r="G912" s="11">
        <f>15.2759 * CHOOSE(CONTROL!$C$32, $C$9, 100%, $E$9)</f>
        <v>15.2759</v>
      </c>
      <c r="H912" s="11">
        <f>32.0559 * CHOOSE(CONTROL!$C$32, $C$9, 100%, $E$9)</f>
        <v>32.055900000000001</v>
      </c>
      <c r="I912" s="11">
        <f>32.0591 * CHOOSE(CONTROL!$C$32, $C$9, 100%, $E$9)</f>
        <v>32.059100000000001</v>
      </c>
      <c r="J912" s="11">
        <f>32.0559 * CHOOSE(CONTROL!$C$32, $C$9, 100%, $E$9)</f>
        <v>32.055900000000001</v>
      </c>
      <c r="K912" s="11">
        <f>32.0591 * CHOOSE(CONTROL!$C$32, $C$9, 100%, $E$9)</f>
        <v>32.059100000000001</v>
      </c>
      <c r="L912" s="11">
        <f>15.2727 * CHOOSE(CONTROL!$C$32, $C$9, 100%, $E$9)</f>
        <v>15.2727</v>
      </c>
      <c r="M912" s="11">
        <f>15.2759 * CHOOSE(CONTROL!$C$32, $C$9, 100%, $E$9)</f>
        <v>15.2759</v>
      </c>
      <c r="N912" s="11">
        <f>15.2727 * CHOOSE(CONTROL!$C$32, $C$9, 100%, $E$9)</f>
        <v>15.2727</v>
      </c>
      <c r="O912" s="11">
        <f>15.2759 * CHOOSE(CONTROL!$C$32, $C$9, 100%, $E$9)</f>
        <v>15.2759</v>
      </c>
    </row>
    <row r="913" spans="1:15" ht="15" x14ac:dyDescent="0.2">
      <c r="A913" s="13">
        <v>68637</v>
      </c>
      <c r="B913" s="9">
        <f>13.5209 * CHOOSE(CONTROL!$C$32, $C$9, 100%, $E$9)</f>
        <v>13.520899999999999</v>
      </c>
      <c r="C913" s="9">
        <f>13.5209 * CHOOSE(CONTROL!$C$32, $C$9, 100%, $E$9)</f>
        <v>13.520899999999999</v>
      </c>
      <c r="D913" s="9">
        <f>13.5218 * CHOOSE(CONTROL!$C$32, $C$9, 100%, $E$9)</f>
        <v>13.521800000000001</v>
      </c>
      <c r="E913" s="11">
        <f>15.0561 * CHOOSE(CONTROL!$C$32, $C$9, 100%, $E$9)</f>
        <v>15.056100000000001</v>
      </c>
      <c r="F913" s="11">
        <f>15.0561 * CHOOSE(CONTROL!$C$32, $C$9, 100%, $E$9)</f>
        <v>15.056100000000001</v>
      </c>
      <c r="G913" s="11">
        <f>15.0593 * CHOOSE(CONTROL!$C$32, $C$9, 100%, $E$9)</f>
        <v>15.0593</v>
      </c>
      <c r="H913" s="11">
        <f>32.1227 * CHOOSE(CONTROL!$C$32, $C$9, 100%, $E$9)</f>
        <v>32.122700000000002</v>
      </c>
      <c r="I913" s="11">
        <f>32.1259 * CHOOSE(CONTROL!$C$32, $C$9, 100%, $E$9)</f>
        <v>32.125900000000001</v>
      </c>
      <c r="J913" s="11">
        <f>32.1227 * CHOOSE(CONTROL!$C$32, $C$9, 100%, $E$9)</f>
        <v>32.122700000000002</v>
      </c>
      <c r="K913" s="11">
        <f>32.1259 * CHOOSE(CONTROL!$C$32, $C$9, 100%, $E$9)</f>
        <v>32.125900000000001</v>
      </c>
      <c r="L913" s="11">
        <f>15.0561 * CHOOSE(CONTROL!$C$32, $C$9, 100%, $E$9)</f>
        <v>15.056100000000001</v>
      </c>
      <c r="M913" s="11">
        <f>15.0593 * CHOOSE(CONTROL!$C$32, $C$9, 100%, $E$9)</f>
        <v>15.0593</v>
      </c>
      <c r="N913" s="11">
        <f>15.0561 * CHOOSE(CONTROL!$C$32, $C$9, 100%, $E$9)</f>
        <v>15.056100000000001</v>
      </c>
      <c r="O913" s="11">
        <f>15.0593 * CHOOSE(CONTROL!$C$32, $C$9, 100%, $E$9)</f>
        <v>15.0593</v>
      </c>
    </row>
    <row r="914" spans="1:15" ht="15" x14ac:dyDescent="0.2">
      <c r="A914" s="13">
        <v>68668</v>
      </c>
      <c r="B914" s="9">
        <f>13.5035 * CHOOSE(CONTROL!$C$32, $C$9, 100%, $E$9)</f>
        <v>13.503500000000001</v>
      </c>
      <c r="C914" s="9">
        <f>13.5035 * CHOOSE(CONTROL!$C$32, $C$9, 100%, $E$9)</f>
        <v>13.503500000000001</v>
      </c>
      <c r="D914" s="9">
        <f>13.5045 * CHOOSE(CONTROL!$C$32, $C$9, 100%, $E$9)</f>
        <v>13.5045</v>
      </c>
      <c r="E914" s="11">
        <f>15.1956 * CHOOSE(CONTROL!$C$32, $C$9, 100%, $E$9)</f>
        <v>15.195600000000001</v>
      </c>
      <c r="F914" s="11">
        <f>15.1956 * CHOOSE(CONTROL!$C$32, $C$9, 100%, $E$9)</f>
        <v>15.195600000000001</v>
      </c>
      <c r="G914" s="11">
        <f>15.1988 * CHOOSE(CONTROL!$C$32, $C$9, 100%, $E$9)</f>
        <v>15.1988</v>
      </c>
      <c r="H914" s="11">
        <f>31.8675 * CHOOSE(CONTROL!$C$32, $C$9, 100%, $E$9)</f>
        <v>31.8675</v>
      </c>
      <c r="I914" s="11">
        <f>31.8707 * CHOOSE(CONTROL!$C$32, $C$9, 100%, $E$9)</f>
        <v>31.870699999999999</v>
      </c>
      <c r="J914" s="11">
        <f>31.8675 * CHOOSE(CONTROL!$C$32, $C$9, 100%, $E$9)</f>
        <v>31.8675</v>
      </c>
      <c r="K914" s="11">
        <f>31.8707 * CHOOSE(CONTROL!$C$32, $C$9, 100%, $E$9)</f>
        <v>31.870699999999999</v>
      </c>
      <c r="L914" s="11">
        <f>15.1956 * CHOOSE(CONTROL!$C$32, $C$9, 100%, $E$9)</f>
        <v>15.195600000000001</v>
      </c>
      <c r="M914" s="11">
        <f>15.1988 * CHOOSE(CONTROL!$C$32, $C$9, 100%, $E$9)</f>
        <v>15.1988</v>
      </c>
      <c r="N914" s="11">
        <f>15.1956 * CHOOSE(CONTROL!$C$32, $C$9, 100%, $E$9)</f>
        <v>15.195600000000001</v>
      </c>
      <c r="O914" s="11">
        <f>15.1988 * CHOOSE(CONTROL!$C$32, $C$9, 100%, $E$9)</f>
        <v>15.1988</v>
      </c>
    </row>
    <row r="915" spans="1:15" ht="15" x14ac:dyDescent="0.2">
      <c r="A915" s="13">
        <v>68699</v>
      </c>
      <c r="B915" s="9">
        <f>13.5005 * CHOOSE(CONTROL!$C$32, $C$9, 100%, $E$9)</f>
        <v>13.500500000000001</v>
      </c>
      <c r="C915" s="9">
        <f>13.5005 * CHOOSE(CONTROL!$C$32, $C$9, 100%, $E$9)</f>
        <v>13.500500000000001</v>
      </c>
      <c r="D915" s="9">
        <f>13.5014 * CHOOSE(CONTROL!$C$32, $C$9, 100%, $E$9)</f>
        <v>13.5014</v>
      </c>
      <c r="E915" s="11">
        <f>14.777 * CHOOSE(CONTROL!$C$32, $C$9, 100%, $E$9)</f>
        <v>14.776999999999999</v>
      </c>
      <c r="F915" s="11">
        <f>14.777 * CHOOSE(CONTROL!$C$32, $C$9, 100%, $E$9)</f>
        <v>14.776999999999999</v>
      </c>
      <c r="G915" s="11">
        <f>14.7802 * CHOOSE(CONTROL!$C$32, $C$9, 100%, $E$9)</f>
        <v>14.780200000000001</v>
      </c>
      <c r="H915" s="11">
        <f>31.9339 * CHOOSE(CONTROL!$C$32, $C$9, 100%, $E$9)</f>
        <v>31.933900000000001</v>
      </c>
      <c r="I915" s="11">
        <f>31.9371 * CHOOSE(CONTROL!$C$32, $C$9, 100%, $E$9)</f>
        <v>31.937100000000001</v>
      </c>
      <c r="J915" s="11">
        <f>31.9339 * CHOOSE(CONTROL!$C$32, $C$9, 100%, $E$9)</f>
        <v>31.933900000000001</v>
      </c>
      <c r="K915" s="11">
        <f>31.9371 * CHOOSE(CONTROL!$C$32, $C$9, 100%, $E$9)</f>
        <v>31.937100000000001</v>
      </c>
      <c r="L915" s="11">
        <f>14.777 * CHOOSE(CONTROL!$C$32, $C$9, 100%, $E$9)</f>
        <v>14.776999999999999</v>
      </c>
      <c r="M915" s="11">
        <f>14.7802 * CHOOSE(CONTROL!$C$32, $C$9, 100%, $E$9)</f>
        <v>14.780200000000001</v>
      </c>
      <c r="N915" s="11">
        <f>14.777 * CHOOSE(CONTROL!$C$32, $C$9, 100%, $E$9)</f>
        <v>14.776999999999999</v>
      </c>
      <c r="O915" s="11">
        <f>14.7802 * CHOOSE(CONTROL!$C$32, $C$9, 100%, $E$9)</f>
        <v>14.780200000000001</v>
      </c>
    </row>
    <row r="916" spans="1:15" ht="15" x14ac:dyDescent="0.2">
      <c r="A916" s="13">
        <v>68728</v>
      </c>
      <c r="B916" s="9">
        <f>13.4974 * CHOOSE(CONTROL!$C$32, $C$9, 100%, $E$9)</f>
        <v>13.497400000000001</v>
      </c>
      <c r="C916" s="9">
        <f>13.4974 * CHOOSE(CONTROL!$C$32, $C$9, 100%, $E$9)</f>
        <v>13.497400000000001</v>
      </c>
      <c r="D916" s="9">
        <f>13.4984 * CHOOSE(CONTROL!$C$32, $C$9, 100%, $E$9)</f>
        <v>13.4984</v>
      </c>
      <c r="E916" s="11">
        <f>15.1032 * CHOOSE(CONTROL!$C$32, $C$9, 100%, $E$9)</f>
        <v>15.103199999999999</v>
      </c>
      <c r="F916" s="11">
        <f>15.1032 * CHOOSE(CONTROL!$C$32, $C$9, 100%, $E$9)</f>
        <v>15.103199999999999</v>
      </c>
      <c r="G916" s="11">
        <f>15.1064 * CHOOSE(CONTROL!$C$32, $C$9, 100%, $E$9)</f>
        <v>15.106400000000001</v>
      </c>
      <c r="H916" s="11">
        <f>32.0004 * CHOOSE(CONTROL!$C$32, $C$9, 100%, $E$9)</f>
        <v>32.000399999999999</v>
      </c>
      <c r="I916" s="11">
        <f>32.0036 * CHOOSE(CONTROL!$C$32, $C$9, 100%, $E$9)</f>
        <v>32.003599999999999</v>
      </c>
      <c r="J916" s="11">
        <f>32.0004 * CHOOSE(CONTROL!$C$32, $C$9, 100%, $E$9)</f>
        <v>32.000399999999999</v>
      </c>
      <c r="K916" s="11">
        <f>32.0036 * CHOOSE(CONTROL!$C$32, $C$9, 100%, $E$9)</f>
        <v>32.003599999999999</v>
      </c>
      <c r="L916" s="11">
        <f>15.1032 * CHOOSE(CONTROL!$C$32, $C$9, 100%, $E$9)</f>
        <v>15.103199999999999</v>
      </c>
      <c r="M916" s="11">
        <f>15.1064 * CHOOSE(CONTROL!$C$32, $C$9, 100%, $E$9)</f>
        <v>15.106400000000001</v>
      </c>
      <c r="N916" s="11">
        <f>15.1032 * CHOOSE(CONTROL!$C$32, $C$9, 100%, $E$9)</f>
        <v>15.103199999999999</v>
      </c>
      <c r="O916" s="11">
        <f>15.1064 * CHOOSE(CONTROL!$C$32, $C$9, 100%, $E$9)</f>
        <v>15.106400000000001</v>
      </c>
    </row>
    <row r="917" spans="1:15" ht="15" x14ac:dyDescent="0.2">
      <c r="A917" s="13">
        <v>68759</v>
      </c>
      <c r="B917" s="9">
        <f>13.5043 * CHOOSE(CONTROL!$C$32, $C$9, 100%, $E$9)</f>
        <v>13.504300000000001</v>
      </c>
      <c r="C917" s="9">
        <f>13.5043 * CHOOSE(CONTROL!$C$32, $C$9, 100%, $E$9)</f>
        <v>13.504300000000001</v>
      </c>
      <c r="D917" s="9">
        <f>13.5053 * CHOOSE(CONTROL!$C$32, $C$9, 100%, $E$9)</f>
        <v>13.5053</v>
      </c>
      <c r="E917" s="11">
        <f>15.4516 * CHOOSE(CONTROL!$C$32, $C$9, 100%, $E$9)</f>
        <v>15.451599999999999</v>
      </c>
      <c r="F917" s="11">
        <f>15.4516 * CHOOSE(CONTROL!$C$32, $C$9, 100%, $E$9)</f>
        <v>15.451599999999999</v>
      </c>
      <c r="G917" s="11">
        <f>15.4548 * CHOOSE(CONTROL!$C$32, $C$9, 100%, $E$9)</f>
        <v>15.454800000000001</v>
      </c>
      <c r="H917" s="11">
        <f>32.067 * CHOOSE(CONTROL!$C$32, $C$9, 100%, $E$9)</f>
        <v>32.067</v>
      </c>
      <c r="I917" s="11">
        <f>32.0703 * CHOOSE(CONTROL!$C$32, $C$9, 100%, $E$9)</f>
        <v>32.070300000000003</v>
      </c>
      <c r="J917" s="11">
        <f>32.067 * CHOOSE(CONTROL!$C$32, $C$9, 100%, $E$9)</f>
        <v>32.067</v>
      </c>
      <c r="K917" s="11">
        <f>32.0703 * CHOOSE(CONTROL!$C$32, $C$9, 100%, $E$9)</f>
        <v>32.070300000000003</v>
      </c>
      <c r="L917" s="11">
        <f>15.4516 * CHOOSE(CONTROL!$C$32, $C$9, 100%, $E$9)</f>
        <v>15.451599999999999</v>
      </c>
      <c r="M917" s="11">
        <f>15.4548 * CHOOSE(CONTROL!$C$32, $C$9, 100%, $E$9)</f>
        <v>15.454800000000001</v>
      </c>
      <c r="N917" s="11">
        <f>15.4516 * CHOOSE(CONTROL!$C$32, $C$9, 100%, $E$9)</f>
        <v>15.451599999999999</v>
      </c>
      <c r="O917" s="11">
        <f>15.4548 * CHOOSE(CONTROL!$C$32, $C$9, 100%, $E$9)</f>
        <v>15.454800000000001</v>
      </c>
    </row>
    <row r="918" spans="1:15" ht="15" x14ac:dyDescent="0.2">
      <c r="A918" s="13">
        <v>68789</v>
      </c>
      <c r="B918" s="9">
        <f>13.5043 * CHOOSE(CONTROL!$C$32, $C$9, 100%, $E$9)</f>
        <v>13.504300000000001</v>
      </c>
      <c r="C918" s="9">
        <f>13.5043 * CHOOSE(CONTROL!$C$32, $C$9, 100%, $E$9)</f>
        <v>13.504300000000001</v>
      </c>
      <c r="D918" s="9">
        <f>13.5056 * CHOOSE(CONTROL!$C$32, $C$9, 100%, $E$9)</f>
        <v>13.505599999999999</v>
      </c>
      <c r="E918" s="11">
        <f>15.5838 * CHOOSE(CONTROL!$C$32, $C$9, 100%, $E$9)</f>
        <v>15.5838</v>
      </c>
      <c r="F918" s="11">
        <f>15.5838 * CHOOSE(CONTROL!$C$32, $C$9, 100%, $E$9)</f>
        <v>15.5838</v>
      </c>
      <c r="G918" s="11">
        <f>15.588 * CHOOSE(CONTROL!$C$32, $C$9, 100%, $E$9)</f>
        <v>15.587999999999999</v>
      </c>
      <c r="H918" s="11">
        <f>32.1339 * CHOOSE(CONTROL!$C$32, $C$9, 100%, $E$9)</f>
        <v>32.133899999999997</v>
      </c>
      <c r="I918" s="11">
        <f>32.1381 * CHOOSE(CONTROL!$C$32, $C$9, 100%, $E$9)</f>
        <v>32.138100000000001</v>
      </c>
      <c r="J918" s="11">
        <f>32.1339 * CHOOSE(CONTROL!$C$32, $C$9, 100%, $E$9)</f>
        <v>32.133899999999997</v>
      </c>
      <c r="K918" s="11">
        <f>32.1381 * CHOOSE(CONTROL!$C$32, $C$9, 100%, $E$9)</f>
        <v>32.138100000000001</v>
      </c>
      <c r="L918" s="11">
        <f>15.5838 * CHOOSE(CONTROL!$C$32, $C$9, 100%, $E$9)</f>
        <v>15.5838</v>
      </c>
      <c r="M918" s="11">
        <f>15.588 * CHOOSE(CONTROL!$C$32, $C$9, 100%, $E$9)</f>
        <v>15.587999999999999</v>
      </c>
      <c r="N918" s="11">
        <f>15.5838 * CHOOSE(CONTROL!$C$32, $C$9, 100%, $E$9)</f>
        <v>15.5838</v>
      </c>
      <c r="O918" s="11">
        <f>15.588 * CHOOSE(CONTROL!$C$32, $C$9, 100%, $E$9)</f>
        <v>15.587999999999999</v>
      </c>
    </row>
    <row r="919" spans="1:15" ht="15" x14ac:dyDescent="0.2">
      <c r="A919" s="13">
        <v>68820</v>
      </c>
      <c r="B919" s="9">
        <f>13.5104 * CHOOSE(CONTROL!$C$32, $C$9, 100%, $E$9)</f>
        <v>13.510400000000001</v>
      </c>
      <c r="C919" s="9">
        <f>13.5104 * CHOOSE(CONTROL!$C$32, $C$9, 100%, $E$9)</f>
        <v>13.510400000000001</v>
      </c>
      <c r="D919" s="9">
        <f>13.5116 * CHOOSE(CONTROL!$C$32, $C$9, 100%, $E$9)</f>
        <v>13.5116</v>
      </c>
      <c r="E919" s="11">
        <f>15.4558 * CHOOSE(CONTROL!$C$32, $C$9, 100%, $E$9)</f>
        <v>15.4558</v>
      </c>
      <c r="F919" s="11">
        <f>15.4558 * CHOOSE(CONTROL!$C$32, $C$9, 100%, $E$9)</f>
        <v>15.4558</v>
      </c>
      <c r="G919" s="11">
        <f>15.46 * CHOOSE(CONTROL!$C$32, $C$9, 100%, $E$9)</f>
        <v>15.46</v>
      </c>
      <c r="H919" s="11">
        <f>32.2008 * CHOOSE(CONTROL!$C$32, $C$9, 100%, $E$9)</f>
        <v>32.200800000000001</v>
      </c>
      <c r="I919" s="11">
        <f>32.205 * CHOOSE(CONTROL!$C$32, $C$9, 100%, $E$9)</f>
        <v>32.204999999999998</v>
      </c>
      <c r="J919" s="11">
        <f>32.2008 * CHOOSE(CONTROL!$C$32, $C$9, 100%, $E$9)</f>
        <v>32.200800000000001</v>
      </c>
      <c r="K919" s="11">
        <f>32.205 * CHOOSE(CONTROL!$C$32, $C$9, 100%, $E$9)</f>
        <v>32.204999999999998</v>
      </c>
      <c r="L919" s="11">
        <f>15.4558 * CHOOSE(CONTROL!$C$32, $C$9, 100%, $E$9)</f>
        <v>15.4558</v>
      </c>
      <c r="M919" s="11">
        <f>15.46 * CHOOSE(CONTROL!$C$32, $C$9, 100%, $E$9)</f>
        <v>15.46</v>
      </c>
      <c r="N919" s="11">
        <f>15.4558 * CHOOSE(CONTROL!$C$32, $C$9, 100%, $E$9)</f>
        <v>15.4558</v>
      </c>
      <c r="O919" s="11">
        <f>15.46 * CHOOSE(CONTROL!$C$32, $C$9, 100%, $E$9)</f>
        <v>15.46</v>
      </c>
    </row>
    <row r="920" spans="1:15" ht="15" x14ac:dyDescent="0.2">
      <c r="A920" s="13">
        <v>68850</v>
      </c>
      <c r="B920" s="9">
        <f>13.6733 * CHOOSE(CONTROL!$C$32, $C$9, 100%, $E$9)</f>
        <v>13.673299999999999</v>
      </c>
      <c r="C920" s="9">
        <f>13.6733 * CHOOSE(CONTROL!$C$32, $C$9, 100%, $E$9)</f>
        <v>13.673299999999999</v>
      </c>
      <c r="D920" s="9">
        <f>13.6745 * CHOOSE(CONTROL!$C$32, $C$9, 100%, $E$9)</f>
        <v>13.6745</v>
      </c>
      <c r="E920" s="11">
        <f>15.6749 * CHOOSE(CONTROL!$C$32, $C$9, 100%, $E$9)</f>
        <v>15.674899999999999</v>
      </c>
      <c r="F920" s="11">
        <f>15.6749 * CHOOSE(CONTROL!$C$32, $C$9, 100%, $E$9)</f>
        <v>15.674899999999999</v>
      </c>
      <c r="G920" s="11">
        <f>15.6791 * CHOOSE(CONTROL!$C$32, $C$9, 100%, $E$9)</f>
        <v>15.6791</v>
      </c>
      <c r="H920" s="11">
        <f>32.2679 * CHOOSE(CONTROL!$C$32, $C$9, 100%, $E$9)</f>
        <v>32.267899999999997</v>
      </c>
      <c r="I920" s="11">
        <f>32.2721 * CHOOSE(CONTROL!$C$32, $C$9, 100%, $E$9)</f>
        <v>32.272100000000002</v>
      </c>
      <c r="J920" s="11">
        <f>32.2679 * CHOOSE(CONTROL!$C$32, $C$9, 100%, $E$9)</f>
        <v>32.267899999999997</v>
      </c>
      <c r="K920" s="11">
        <f>32.2721 * CHOOSE(CONTROL!$C$32, $C$9, 100%, $E$9)</f>
        <v>32.272100000000002</v>
      </c>
      <c r="L920" s="11">
        <f>15.6749 * CHOOSE(CONTROL!$C$32, $C$9, 100%, $E$9)</f>
        <v>15.674899999999999</v>
      </c>
      <c r="M920" s="11">
        <f>15.6791 * CHOOSE(CONTROL!$C$32, $C$9, 100%, $E$9)</f>
        <v>15.6791</v>
      </c>
      <c r="N920" s="11">
        <f>15.6749 * CHOOSE(CONTROL!$C$32, $C$9, 100%, $E$9)</f>
        <v>15.674899999999999</v>
      </c>
      <c r="O920" s="11">
        <f>15.6791 * CHOOSE(CONTROL!$C$32, $C$9, 100%, $E$9)</f>
        <v>15.6791</v>
      </c>
    </row>
    <row r="921" spans="1:15" ht="15" x14ac:dyDescent="0.2">
      <c r="A921" s="13">
        <v>68881</v>
      </c>
      <c r="B921" s="9">
        <f>13.68 * CHOOSE(CONTROL!$C$32, $C$9, 100%, $E$9)</f>
        <v>13.68</v>
      </c>
      <c r="C921" s="9">
        <f>13.68 * CHOOSE(CONTROL!$C$32, $C$9, 100%, $E$9)</f>
        <v>13.68</v>
      </c>
      <c r="D921" s="9">
        <f>13.6812 * CHOOSE(CONTROL!$C$32, $C$9, 100%, $E$9)</f>
        <v>13.6812</v>
      </c>
      <c r="E921" s="11">
        <f>15.2829 * CHOOSE(CONTROL!$C$32, $C$9, 100%, $E$9)</f>
        <v>15.2829</v>
      </c>
      <c r="F921" s="11">
        <f>15.2829 * CHOOSE(CONTROL!$C$32, $C$9, 100%, $E$9)</f>
        <v>15.2829</v>
      </c>
      <c r="G921" s="11">
        <f>15.2872 * CHOOSE(CONTROL!$C$32, $C$9, 100%, $E$9)</f>
        <v>15.2872</v>
      </c>
      <c r="H921" s="11">
        <f>32.3351 * CHOOSE(CONTROL!$C$32, $C$9, 100%, $E$9)</f>
        <v>32.335099999999997</v>
      </c>
      <c r="I921" s="11">
        <f>32.3393 * CHOOSE(CONTROL!$C$32, $C$9, 100%, $E$9)</f>
        <v>32.339300000000001</v>
      </c>
      <c r="J921" s="11">
        <f>32.3351 * CHOOSE(CONTROL!$C$32, $C$9, 100%, $E$9)</f>
        <v>32.335099999999997</v>
      </c>
      <c r="K921" s="11">
        <f>32.3393 * CHOOSE(CONTROL!$C$32, $C$9, 100%, $E$9)</f>
        <v>32.339300000000001</v>
      </c>
      <c r="L921" s="11">
        <f>15.2829 * CHOOSE(CONTROL!$C$32, $C$9, 100%, $E$9)</f>
        <v>15.2829</v>
      </c>
      <c r="M921" s="11">
        <f>15.2872 * CHOOSE(CONTROL!$C$32, $C$9, 100%, $E$9)</f>
        <v>15.2872</v>
      </c>
      <c r="N921" s="11">
        <f>15.2829 * CHOOSE(CONTROL!$C$32, $C$9, 100%, $E$9)</f>
        <v>15.2829</v>
      </c>
      <c r="O921" s="11">
        <f>15.2872 * CHOOSE(CONTROL!$C$32, $C$9, 100%, $E$9)</f>
        <v>15.2872</v>
      </c>
    </row>
    <row r="922" spans="1:15" ht="15" x14ac:dyDescent="0.2">
      <c r="A922" s="13">
        <v>68912</v>
      </c>
      <c r="B922" s="9">
        <f>13.6769 * CHOOSE(CONTROL!$C$32, $C$9, 100%, $E$9)</f>
        <v>13.6769</v>
      </c>
      <c r="C922" s="9">
        <f>13.6769 * CHOOSE(CONTROL!$C$32, $C$9, 100%, $E$9)</f>
        <v>13.6769</v>
      </c>
      <c r="D922" s="9">
        <f>13.6782 * CHOOSE(CONTROL!$C$32, $C$9, 100%, $E$9)</f>
        <v>13.6782</v>
      </c>
      <c r="E922" s="11">
        <f>15.2368 * CHOOSE(CONTROL!$C$32, $C$9, 100%, $E$9)</f>
        <v>15.236800000000001</v>
      </c>
      <c r="F922" s="11">
        <f>15.2368 * CHOOSE(CONTROL!$C$32, $C$9, 100%, $E$9)</f>
        <v>15.236800000000001</v>
      </c>
      <c r="G922" s="11">
        <f>15.241 * CHOOSE(CONTROL!$C$32, $C$9, 100%, $E$9)</f>
        <v>15.241</v>
      </c>
      <c r="H922" s="11">
        <f>32.4025 * CHOOSE(CONTROL!$C$32, $C$9, 100%, $E$9)</f>
        <v>32.402500000000003</v>
      </c>
      <c r="I922" s="11">
        <f>32.4067 * CHOOSE(CONTROL!$C$32, $C$9, 100%, $E$9)</f>
        <v>32.406700000000001</v>
      </c>
      <c r="J922" s="11">
        <f>32.4025 * CHOOSE(CONTROL!$C$32, $C$9, 100%, $E$9)</f>
        <v>32.402500000000003</v>
      </c>
      <c r="K922" s="11">
        <f>32.4067 * CHOOSE(CONTROL!$C$32, $C$9, 100%, $E$9)</f>
        <v>32.406700000000001</v>
      </c>
      <c r="L922" s="11">
        <f>15.2368 * CHOOSE(CONTROL!$C$32, $C$9, 100%, $E$9)</f>
        <v>15.236800000000001</v>
      </c>
      <c r="M922" s="11">
        <f>15.241 * CHOOSE(CONTROL!$C$32, $C$9, 100%, $E$9)</f>
        <v>15.241</v>
      </c>
      <c r="N922" s="11">
        <f>15.2368 * CHOOSE(CONTROL!$C$32, $C$9, 100%, $E$9)</f>
        <v>15.236800000000001</v>
      </c>
      <c r="O922" s="11">
        <f>15.241 * CHOOSE(CONTROL!$C$32, $C$9, 100%, $E$9)</f>
        <v>15.241</v>
      </c>
    </row>
    <row r="923" spans="1:15" ht="15" x14ac:dyDescent="0.2">
      <c r="A923" s="13">
        <v>68942</v>
      </c>
      <c r="B923" s="9">
        <f>13.7082 * CHOOSE(CONTROL!$C$32, $C$9, 100%, $E$9)</f>
        <v>13.7082</v>
      </c>
      <c r="C923" s="9">
        <f>13.7082 * CHOOSE(CONTROL!$C$32, $C$9, 100%, $E$9)</f>
        <v>13.7082</v>
      </c>
      <c r="D923" s="9">
        <f>13.7091 * CHOOSE(CONTROL!$C$32, $C$9, 100%, $E$9)</f>
        <v>13.709099999999999</v>
      </c>
      <c r="E923" s="11">
        <f>15.3996 * CHOOSE(CONTROL!$C$32, $C$9, 100%, $E$9)</f>
        <v>15.3996</v>
      </c>
      <c r="F923" s="11">
        <f>15.3996 * CHOOSE(CONTROL!$C$32, $C$9, 100%, $E$9)</f>
        <v>15.3996</v>
      </c>
      <c r="G923" s="11">
        <f>15.4029 * CHOOSE(CONTROL!$C$32, $C$9, 100%, $E$9)</f>
        <v>15.402900000000001</v>
      </c>
      <c r="H923" s="11">
        <f>32.47 * CHOOSE(CONTROL!$C$32, $C$9, 100%, $E$9)</f>
        <v>32.47</v>
      </c>
      <c r="I923" s="11">
        <f>32.4732 * CHOOSE(CONTROL!$C$32, $C$9, 100%, $E$9)</f>
        <v>32.473199999999999</v>
      </c>
      <c r="J923" s="11">
        <f>32.47 * CHOOSE(CONTROL!$C$32, $C$9, 100%, $E$9)</f>
        <v>32.47</v>
      </c>
      <c r="K923" s="11">
        <f>32.4732 * CHOOSE(CONTROL!$C$32, $C$9, 100%, $E$9)</f>
        <v>32.473199999999999</v>
      </c>
      <c r="L923" s="11">
        <f>15.3996 * CHOOSE(CONTROL!$C$32, $C$9, 100%, $E$9)</f>
        <v>15.3996</v>
      </c>
      <c r="M923" s="11">
        <f>15.4029 * CHOOSE(CONTROL!$C$32, $C$9, 100%, $E$9)</f>
        <v>15.402900000000001</v>
      </c>
      <c r="N923" s="11">
        <f>15.3996 * CHOOSE(CONTROL!$C$32, $C$9, 100%, $E$9)</f>
        <v>15.3996</v>
      </c>
      <c r="O923" s="11">
        <f>15.4029 * CHOOSE(CONTROL!$C$32, $C$9, 100%, $E$9)</f>
        <v>15.402900000000001</v>
      </c>
    </row>
    <row r="924" spans="1:15" ht="15" x14ac:dyDescent="0.2">
      <c r="A924" s="13">
        <v>68973</v>
      </c>
      <c r="B924" s="9">
        <f>13.7112 * CHOOSE(CONTROL!$C$32, $C$9, 100%, $E$9)</f>
        <v>13.7112</v>
      </c>
      <c r="C924" s="9">
        <f>13.7112 * CHOOSE(CONTROL!$C$32, $C$9, 100%, $E$9)</f>
        <v>13.7112</v>
      </c>
      <c r="D924" s="9">
        <f>13.7122 * CHOOSE(CONTROL!$C$32, $C$9, 100%, $E$9)</f>
        <v>13.712199999999999</v>
      </c>
      <c r="E924" s="11">
        <f>15.4899 * CHOOSE(CONTROL!$C$32, $C$9, 100%, $E$9)</f>
        <v>15.4899</v>
      </c>
      <c r="F924" s="11">
        <f>15.4899 * CHOOSE(CONTROL!$C$32, $C$9, 100%, $E$9)</f>
        <v>15.4899</v>
      </c>
      <c r="G924" s="11">
        <f>15.4931 * CHOOSE(CONTROL!$C$32, $C$9, 100%, $E$9)</f>
        <v>15.4931</v>
      </c>
      <c r="H924" s="11">
        <f>32.5376 * CHOOSE(CONTROL!$C$32, $C$9, 100%, $E$9)</f>
        <v>32.537599999999998</v>
      </c>
      <c r="I924" s="11">
        <f>32.5409 * CHOOSE(CONTROL!$C$32, $C$9, 100%, $E$9)</f>
        <v>32.540900000000001</v>
      </c>
      <c r="J924" s="11">
        <f>32.5376 * CHOOSE(CONTROL!$C$32, $C$9, 100%, $E$9)</f>
        <v>32.537599999999998</v>
      </c>
      <c r="K924" s="11">
        <f>32.5409 * CHOOSE(CONTROL!$C$32, $C$9, 100%, $E$9)</f>
        <v>32.540900000000001</v>
      </c>
      <c r="L924" s="11">
        <f>15.4899 * CHOOSE(CONTROL!$C$32, $C$9, 100%, $E$9)</f>
        <v>15.4899</v>
      </c>
      <c r="M924" s="11">
        <f>15.4931 * CHOOSE(CONTROL!$C$32, $C$9, 100%, $E$9)</f>
        <v>15.4931</v>
      </c>
      <c r="N924" s="11">
        <f>15.4899 * CHOOSE(CONTROL!$C$32, $C$9, 100%, $E$9)</f>
        <v>15.4899</v>
      </c>
      <c r="O924" s="11">
        <f>15.4931 * CHOOSE(CONTROL!$C$32, $C$9, 100%, $E$9)</f>
        <v>15.4931</v>
      </c>
    </row>
    <row r="925" spans="1:15" ht="15" x14ac:dyDescent="0.2">
      <c r="A925" s="13">
        <v>69003</v>
      </c>
      <c r="B925" s="9">
        <f>13.7112 * CHOOSE(CONTROL!$C$32, $C$9, 100%, $E$9)</f>
        <v>13.7112</v>
      </c>
      <c r="C925" s="9">
        <f>13.7112 * CHOOSE(CONTROL!$C$32, $C$9, 100%, $E$9)</f>
        <v>13.7112</v>
      </c>
      <c r="D925" s="9">
        <f>13.7122 * CHOOSE(CONTROL!$C$32, $C$9, 100%, $E$9)</f>
        <v>13.712199999999999</v>
      </c>
      <c r="E925" s="11">
        <f>15.2695 * CHOOSE(CONTROL!$C$32, $C$9, 100%, $E$9)</f>
        <v>15.269500000000001</v>
      </c>
      <c r="F925" s="11">
        <f>15.2695 * CHOOSE(CONTROL!$C$32, $C$9, 100%, $E$9)</f>
        <v>15.269500000000001</v>
      </c>
      <c r="G925" s="11">
        <f>15.2728 * CHOOSE(CONTROL!$C$32, $C$9, 100%, $E$9)</f>
        <v>15.2728</v>
      </c>
      <c r="H925" s="11">
        <f>32.6054 * CHOOSE(CONTROL!$C$32, $C$9, 100%, $E$9)</f>
        <v>32.605400000000003</v>
      </c>
      <c r="I925" s="11">
        <f>32.6086 * CHOOSE(CONTROL!$C$32, $C$9, 100%, $E$9)</f>
        <v>32.608600000000003</v>
      </c>
      <c r="J925" s="11">
        <f>32.6054 * CHOOSE(CONTROL!$C$32, $C$9, 100%, $E$9)</f>
        <v>32.605400000000003</v>
      </c>
      <c r="K925" s="11">
        <f>32.6086 * CHOOSE(CONTROL!$C$32, $C$9, 100%, $E$9)</f>
        <v>32.608600000000003</v>
      </c>
      <c r="L925" s="11">
        <f>15.2695 * CHOOSE(CONTROL!$C$32, $C$9, 100%, $E$9)</f>
        <v>15.269500000000001</v>
      </c>
      <c r="M925" s="11">
        <f>15.2728 * CHOOSE(CONTROL!$C$32, $C$9, 100%, $E$9)</f>
        <v>15.2728</v>
      </c>
      <c r="N925" s="11">
        <f>15.2695 * CHOOSE(CONTROL!$C$32, $C$9, 100%, $E$9)</f>
        <v>15.269500000000001</v>
      </c>
      <c r="O925" s="11">
        <f>15.2728 * CHOOSE(CONTROL!$C$32, $C$9, 100%, $E$9)</f>
        <v>15.2728</v>
      </c>
    </row>
    <row r="926" spans="1:15" ht="15" x14ac:dyDescent="0.2">
      <c r="A926" s="13">
        <v>69034</v>
      </c>
      <c r="B926" s="9">
        <f>13.6909 * CHOOSE(CONTROL!$C$32, $C$9, 100%, $E$9)</f>
        <v>13.690899999999999</v>
      </c>
      <c r="C926" s="9">
        <f>13.6909 * CHOOSE(CONTROL!$C$32, $C$9, 100%, $E$9)</f>
        <v>13.690899999999999</v>
      </c>
      <c r="D926" s="9">
        <f>13.6918 * CHOOSE(CONTROL!$C$32, $C$9, 100%, $E$9)</f>
        <v>13.691800000000001</v>
      </c>
      <c r="E926" s="11">
        <f>15.4081 * CHOOSE(CONTROL!$C$32, $C$9, 100%, $E$9)</f>
        <v>15.408099999999999</v>
      </c>
      <c r="F926" s="11">
        <f>15.4081 * CHOOSE(CONTROL!$C$32, $C$9, 100%, $E$9)</f>
        <v>15.408099999999999</v>
      </c>
      <c r="G926" s="11">
        <f>15.4113 * CHOOSE(CONTROL!$C$32, $C$9, 100%, $E$9)</f>
        <v>15.411300000000001</v>
      </c>
      <c r="H926" s="11">
        <f>32.3393 * CHOOSE(CONTROL!$C$32, $C$9, 100%, $E$9)</f>
        <v>32.339300000000001</v>
      </c>
      <c r="I926" s="11">
        <f>32.3425 * CHOOSE(CONTROL!$C$32, $C$9, 100%, $E$9)</f>
        <v>32.342500000000001</v>
      </c>
      <c r="J926" s="11">
        <f>32.3393 * CHOOSE(CONTROL!$C$32, $C$9, 100%, $E$9)</f>
        <v>32.339300000000001</v>
      </c>
      <c r="K926" s="11">
        <f>32.3425 * CHOOSE(CONTROL!$C$32, $C$9, 100%, $E$9)</f>
        <v>32.342500000000001</v>
      </c>
      <c r="L926" s="11">
        <f>15.4081 * CHOOSE(CONTROL!$C$32, $C$9, 100%, $E$9)</f>
        <v>15.408099999999999</v>
      </c>
      <c r="M926" s="11">
        <f>15.4113 * CHOOSE(CONTROL!$C$32, $C$9, 100%, $E$9)</f>
        <v>15.411300000000001</v>
      </c>
      <c r="N926" s="11">
        <f>15.4081 * CHOOSE(CONTROL!$C$32, $C$9, 100%, $E$9)</f>
        <v>15.408099999999999</v>
      </c>
      <c r="O926" s="11">
        <f>15.4113 * CHOOSE(CONTROL!$C$32, $C$9, 100%, $E$9)</f>
        <v>15.411300000000001</v>
      </c>
    </row>
    <row r="927" spans="1:15" ht="15" x14ac:dyDescent="0.2">
      <c r="A927" s="13">
        <v>69065</v>
      </c>
      <c r="B927" s="9">
        <f>13.6878 * CHOOSE(CONTROL!$C$32, $C$9, 100%, $E$9)</f>
        <v>13.687799999999999</v>
      </c>
      <c r="C927" s="9">
        <f>13.6878 * CHOOSE(CONTROL!$C$32, $C$9, 100%, $E$9)</f>
        <v>13.687799999999999</v>
      </c>
      <c r="D927" s="9">
        <f>13.6888 * CHOOSE(CONTROL!$C$32, $C$9, 100%, $E$9)</f>
        <v>13.688800000000001</v>
      </c>
      <c r="E927" s="11">
        <f>14.9824 * CHOOSE(CONTROL!$C$32, $C$9, 100%, $E$9)</f>
        <v>14.9824</v>
      </c>
      <c r="F927" s="11">
        <f>14.9824 * CHOOSE(CONTROL!$C$32, $C$9, 100%, $E$9)</f>
        <v>14.9824</v>
      </c>
      <c r="G927" s="11">
        <f>14.9857 * CHOOSE(CONTROL!$C$32, $C$9, 100%, $E$9)</f>
        <v>14.9857</v>
      </c>
      <c r="H927" s="11">
        <f>32.4066 * CHOOSE(CONTROL!$C$32, $C$9, 100%, $E$9)</f>
        <v>32.406599999999997</v>
      </c>
      <c r="I927" s="11">
        <f>32.4099 * CHOOSE(CONTROL!$C$32, $C$9, 100%, $E$9)</f>
        <v>32.4099</v>
      </c>
      <c r="J927" s="11">
        <f>32.4066 * CHOOSE(CONTROL!$C$32, $C$9, 100%, $E$9)</f>
        <v>32.406599999999997</v>
      </c>
      <c r="K927" s="11">
        <f>32.4099 * CHOOSE(CONTROL!$C$32, $C$9, 100%, $E$9)</f>
        <v>32.4099</v>
      </c>
      <c r="L927" s="11">
        <f>14.9824 * CHOOSE(CONTROL!$C$32, $C$9, 100%, $E$9)</f>
        <v>14.9824</v>
      </c>
      <c r="M927" s="11">
        <f>14.9857 * CHOOSE(CONTROL!$C$32, $C$9, 100%, $E$9)</f>
        <v>14.9857</v>
      </c>
      <c r="N927" s="11">
        <f>14.9824 * CHOOSE(CONTROL!$C$32, $C$9, 100%, $E$9)</f>
        <v>14.9824</v>
      </c>
      <c r="O927" s="11">
        <f>14.9857 * CHOOSE(CONTROL!$C$32, $C$9, 100%, $E$9)</f>
        <v>14.9857</v>
      </c>
    </row>
    <row r="928" spans="1:15" ht="15" x14ac:dyDescent="0.2">
      <c r="A928" s="13">
        <v>69093</v>
      </c>
      <c r="B928" s="9">
        <f>13.6848 * CHOOSE(CONTROL!$C$32, $C$9, 100%, $E$9)</f>
        <v>13.684799999999999</v>
      </c>
      <c r="C928" s="9">
        <f>13.6848 * CHOOSE(CONTROL!$C$32, $C$9, 100%, $E$9)</f>
        <v>13.684799999999999</v>
      </c>
      <c r="D928" s="9">
        <f>13.6858 * CHOOSE(CONTROL!$C$32, $C$9, 100%, $E$9)</f>
        <v>13.6858</v>
      </c>
      <c r="E928" s="11">
        <f>15.3142 * CHOOSE(CONTROL!$C$32, $C$9, 100%, $E$9)</f>
        <v>15.3142</v>
      </c>
      <c r="F928" s="11">
        <f>15.3142 * CHOOSE(CONTROL!$C$32, $C$9, 100%, $E$9)</f>
        <v>15.3142</v>
      </c>
      <c r="G928" s="11">
        <f>15.3174 * CHOOSE(CONTROL!$C$32, $C$9, 100%, $E$9)</f>
        <v>15.317399999999999</v>
      </c>
      <c r="H928" s="11">
        <f>32.4742 * CHOOSE(CONTROL!$C$32, $C$9, 100%, $E$9)</f>
        <v>32.474200000000003</v>
      </c>
      <c r="I928" s="11">
        <f>32.4774 * CHOOSE(CONTROL!$C$32, $C$9, 100%, $E$9)</f>
        <v>32.477400000000003</v>
      </c>
      <c r="J928" s="11">
        <f>32.4742 * CHOOSE(CONTROL!$C$32, $C$9, 100%, $E$9)</f>
        <v>32.474200000000003</v>
      </c>
      <c r="K928" s="11">
        <f>32.4774 * CHOOSE(CONTROL!$C$32, $C$9, 100%, $E$9)</f>
        <v>32.477400000000003</v>
      </c>
      <c r="L928" s="11">
        <f>15.3142 * CHOOSE(CONTROL!$C$32, $C$9, 100%, $E$9)</f>
        <v>15.3142</v>
      </c>
      <c r="M928" s="11">
        <f>15.3174 * CHOOSE(CONTROL!$C$32, $C$9, 100%, $E$9)</f>
        <v>15.317399999999999</v>
      </c>
      <c r="N928" s="11">
        <f>15.3142 * CHOOSE(CONTROL!$C$32, $C$9, 100%, $E$9)</f>
        <v>15.3142</v>
      </c>
      <c r="O928" s="11">
        <f>15.3174 * CHOOSE(CONTROL!$C$32, $C$9, 100%, $E$9)</f>
        <v>15.317399999999999</v>
      </c>
    </row>
    <row r="929" spans="1:15" ht="15" x14ac:dyDescent="0.2">
      <c r="A929" s="13">
        <v>69124</v>
      </c>
      <c r="B929" s="9">
        <f>13.6919 * CHOOSE(CONTROL!$C$32, $C$9, 100%, $E$9)</f>
        <v>13.6919</v>
      </c>
      <c r="C929" s="9">
        <f>13.6919 * CHOOSE(CONTROL!$C$32, $C$9, 100%, $E$9)</f>
        <v>13.6919</v>
      </c>
      <c r="D929" s="9">
        <f>13.6928 * CHOOSE(CONTROL!$C$32, $C$9, 100%, $E$9)</f>
        <v>13.6928</v>
      </c>
      <c r="E929" s="11">
        <f>15.6686 * CHOOSE(CONTROL!$C$32, $C$9, 100%, $E$9)</f>
        <v>15.6686</v>
      </c>
      <c r="F929" s="11">
        <f>15.6686 * CHOOSE(CONTROL!$C$32, $C$9, 100%, $E$9)</f>
        <v>15.6686</v>
      </c>
      <c r="G929" s="11">
        <f>15.6718 * CHOOSE(CONTROL!$C$32, $C$9, 100%, $E$9)</f>
        <v>15.671799999999999</v>
      </c>
      <c r="H929" s="11">
        <f>32.5418 * CHOOSE(CONTROL!$C$32, $C$9, 100%, $E$9)</f>
        <v>32.541800000000002</v>
      </c>
      <c r="I929" s="11">
        <f>32.545 * CHOOSE(CONTROL!$C$32, $C$9, 100%, $E$9)</f>
        <v>32.545000000000002</v>
      </c>
      <c r="J929" s="11">
        <f>32.5418 * CHOOSE(CONTROL!$C$32, $C$9, 100%, $E$9)</f>
        <v>32.541800000000002</v>
      </c>
      <c r="K929" s="11">
        <f>32.545 * CHOOSE(CONTROL!$C$32, $C$9, 100%, $E$9)</f>
        <v>32.545000000000002</v>
      </c>
      <c r="L929" s="11">
        <f>15.6686 * CHOOSE(CONTROL!$C$32, $C$9, 100%, $E$9)</f>
        <v>15.6686</v>
      </c>
      <c r="M929" s="11">
        <f>15.6718 * CHOOSE(CONTROL!$C$32, $C$9, 100%, $E$9)</f>
        <v>15.671799999999999</v>
      </c>
      <c r="N929" s="11">
        <f>15.6686 * CHOOSE(CONTROL!$C$32, $C$9, 100%, $E$9)</f>
        <v>15.6686</v>
      </c>
      <c r="O929" s="11">
        <f>15.6718 * CHOOSE(CONTROL!$C$32, $C$9, 100%, $E$9)</f>
        <v>15.671799999999999</v>
      </c>
    </row>
    <row r="930" spans="1:15" ht="15" x14ac:dyDescent="0.2">
      <c r="A930" s="13">
        <v>69154</v>
      </c>
      <c r="B930" s="9">
        <f>13.6919 * CHOOSE(CONTROL!$C$32, $C$9, 100%, $E$9)</f>
        <v>13.6919</v>
      </c>
      <c r="C930" s="9">
        <f>13.6919 * CHOOSE(CONTROL!$C$32, $C$9, 100%, $E$9)</f>
        <v>13.6919</v>
      </c>
      <c r="D930" s="9">
        <f>13.6931 * CHOOSE(CONTROL!$C$32, $C$9, 100%, $E$9)</f>
        <v>13.693099999999999</v>
      </c>
      <c r="E930" s="11">
        <f>15.803 * CHOOSE(CONTROL!$C$32, $C$9, 100%, $E$9)</f>
        <v>15.803000000000001</v>
      </c>
      <c r="F930" s="11">
        <f>15.803 * CHOOSE(CONTROL!$C$32, $C$9, 100%, $E$9)</f>
        <v>15.803000000000001</v>
      </c>
      <c r="G930" s="11">
        <f>15.8072 * CHOOSE(CONTROL!$C$32, $C$9, 100%, $E$9)</f>
        <v>15.8072</v>
      </c>
      <c r="H930" s="11">
        <f>32.6096 * CHOOSE(CONTROL!$C$32, $C$9, 100%, $E$9)</f>
        <v>32.6096</v>
      </c>
      <c r="I930" s="11">
        <f>32.6138 * CHOOSE(CONTROL!$C$32, $C$9, 100%, $E$9)</f>
        <v>32.613799999999998</v>
      </c>
      <c r="J930" s="11">
        <f>32.6096 * CHOOSE(CONTROL!$C$32, $C$9, 100%, $E$9)</f>
        <v>32.6096</v>
      </c>
      <c r="K930" s="11">
        <f>32.6138 * CHOOSE(CONTROL!$C$32, $C$9, 100%, $E$9)</f>
        <v>32.613799999999998</v>
      </c>
      <c r="L930" s="11">
        <f>15.803 * CHOOSE(CONTROL!$C$32, $C$9, 100%, $E$9)</f>
        <v>15.803000000000001</v>
      </c>
      <c r="M930" s="11">
        <f>15.8072 * CHOOSE(CONTROL!$C$32, $C$9, 100%, $E$9)</f>
        <v>15.8072</v>
      </c>
      <c r="N930" s="11">
        <f>15.803 * CHOOSE(CONTROL!$C$32, $C$9, 100%, $E$9)</f>
        <v>15.803000000000001</v>
      </c>
      <c r="O930" s="11">
        <f>15.8072 * CHOOSE(CONTROL!$C$32, $C$9, 100%, $E$9)</f>
        <v>15.8072</v>
      </c>
    </row>
    <row r="931" spans="1:15" ht="15" x14ac:dyDescent="0.2">
      <c r="A931" s="13">
        <v>69185</v>
      </c>
      <c r="B931" s="9">
        <f>13.6979 * CHOOSE(CONTROL!$C$32, $C$9, 100%, $E$9)</f>
        <v>13.697900000000001</v>
      </c>
      <c r="C931" s="9">
        <f>13.6979 * CHOOSE(CONTROL!$C$32, $C$9, 100%, $E$9)</f>
        <v>13.697900000000001</v>
      </c>
      <c r="D931" s="9">
        <f>13.6992 * CHOOSE(CONTROL!$C$32, $C$9, 100%, $E$9)</f>
        <v>13.699199999999999</v>
      </c>
      <c r="E931" s="11">
        <f>15.6728 * CHOOSE(CONTROL!$C$32, $C$9, 100%, $E$9)</f>
        <v>15.672800000000001</v>
      </c>
      <c r="F931" s="11">
        <f>15.6728 * CHOOSE(CONTROL!$C$32, $C$9, 100%, $E$9)</f>
        <v>15.672800000000001</v>
      </c>
      <c r="G931" s="11">
        <f>15.677 * CHOOSE(CONTROL!$C$32, $C$9, 100%, $E$9)</f>
        <v>15.677</v>
      </c>
      <c r="H931" s="11">
        <f>32.6775 * CHOOSE(CONTROL!$C$32, $C$9, 100%, $E$9)</f>
        <v>32.677500000000002</v>
      </c>
      <c r="I931" s="11">
        <f>32.6817 * CHOOSE(CONTROL!$C$32, $C$9, 100%, $E$9)</f>
        <v>32.681699999999999</v>
      </c>
      <c r="J931" s="11">
        <f>32.6775 * CHOOSE(CONTROL!$C$32, $C$9, 100%, $E$9)</f>
        <v>32.677500000000002</v>
      </c>
      <c r="K931" s="11">
        <f>32.6817 * CHOOSE(CONTROL!$C$32, $C$9, 100%, $E$9)</f>
        <v>32.681699999999999</v>
      </c>
      <c r="L931" s="11">
        <f>15.6728 * CHOOSE(CONTROL!$C$32, $C$9, 100%, $E$9)</f>
        <v>15.672800000000001</v>
      </c>
      <c r="M931" s="11">
        <f>15.677 * CHOOSE(CONTROL!$C$32, $C$9, 100%, $E$9)</f>
        <v>15.677</v>
      </c>
      <c r="N931" s="11">
        <f>15.6728 * CHOOSE(CONTROL!$C$32, $C$9, 100%, $E$9)</f>
        <v>15.672800000000001</v>
      </c>
      <c r="O931" s="11">
        <f>15.677 * CHOOSE(CONTROL!$C$32, $C$9, 100%, $E$9)</f>
        <v>15.677</v>
      </c>
    </row>
    <row r="932" spans="1:15" ht="15" x14ac:dyDescent="0.2">
      <c r="A932" s="13">
        <v>69215</v>
      </c>
      <c r="B932" s="9">
        <f>13.8629 * CHOOSE(CONTROL!$C$32, $C$9, 100%, $E$9)</f>
        <v>13.8629</v>
      </c>
      <c r="C932" s="9">
        <f>13.8629 * CHOOSE(CONTROL!$C$32, $C$9, 100%, $E$9)</f>
        <v>13.8629</v>
      </c>
      <c r="D932" s="9">
        <f>13.8641 * CHOOSE(CONTROL!$C$32, $C$9, 100%, $E$9)</f>
        <v>13.864100000000001</v>
      </c>
      <c r="E932" s="11">
        <f>15.8951 * CHOOSE(CONTROL!$C$32, $C$9, 100%, $E$9)</f>
        <v>15.895099999999999</v>
      </c>
      <c r="F932" s="11">
        <f>15.8951 * CHOOSE(CONTROL!$C$32, $C$9, 100%, $E$9)</f>
        <v>15.895099999999999</v>
      </c>
      <c r="G932" s="11">
        <f>15.8993 * CHOOSE(CONTROL!$C$32, $C$9, 100%, $E$9)</f>
        <v>15.8993</v>
      </c>
      <c r="H932" s="11">
        <f>32.7456 * CHOOSE(CONTROL!$C$32, $C$9, 100%, $E$9)</f>
        <v>32.745600000000003</v>
      </c>
      <c r="I932" s="11">
        <f>32.7498 * CHOOSE(CONTROL!$C$32, $C$9, 100%, $E$9)</f>
        <v>32.7498</v>
      </c>
      <c r="J932" s="11">
        <f>32.7456 * CHOOSE(CONTROL!$C$32, $C$9, 100%, $E$9)</f>
        <v>32.745600000000003</v>
      </c>
      <c r="K932" s="11">
        <f>32.7498 * CHOOSE(CONTROL!$C$32, $C$9, 100%, $E$9)</f>
        <v>32.7498</v>
      </c>
      <c r="L932" s="11">
        <f>15.8951 * CHOOSE(CONTROL!$C$32, $C$9, 100%, $E$9)</f>
        <v>15.895099999999999</v>
      </c>
      <c r="M932" s="11">
        <f>15.8993 * CHOOSE(CONTROL!$C$32, $C$9, 100%, $E$9)</f>
        <v>15.8993</v>
      </c>
      <c r="N932" s="11">
        <f>15.8951 * CHOOSE(CONTROL!$C$32, $C$9, 100%, $E$9)</f>
        <v>15.895099999999999</v>
      </c>
      <c r="O932" s="11">
        <f>15.8993 * CHOOSE(CONTROL!$C$32, $C$9, 100%, $E$9)</f>
        <v>15.8993</v>
      </c>
    </row>
    <row r="933" spans="1:15" ht="15" x14ac:dyDescent="0.2">
      <c r="A933" s="13">
        <v>69246</v>
      </c>
      <c r="B933" s="9">
        <f>13.8696 * CHOOSE(CONTROL!$C$32, $C$9, 100%, $E$9)</f>
        <v>13.8696</v>
      </c>
      <c r="C933" s="9">
        <f>13.8696 * CHOOSE(CONTROL!$C$32, $C$9, 100%, $E$9)</f>
        <v>13.8696</v>
      </c>
      <c r="D933" s="9">
        <f>13.8708 * CHOOSE(CONTROL!$C$32, $C$9, 100%, $E$9)</f>
        <v>13.870799999999999</v>
      </c>
      <c r="E933" s="11">
        <f>15.4964 * CHOOSE(CONTROL!$C$32, $C$9, 100%, $E$9)</f>
        <v>15.4964</v>
      </c>
      <c r="F933" s="11">
        <f>15.4964 * CHOOSE(CONTROL!$C$32, $C$9, 100%, $E$9)</f>
        <v>15.4964</v>
      </c>
      <c r="G933" s="11">
        <f>15.5006 * CHOOSE(CONTROL!$C$32, $C$9, 100%, $E$9)</f>
        <v>15.5006</v>
      </c>
      <c r="H933" s="11">
        <f>32.8138 * CHOOSE(CONTROL!$C$32, $C$9, 100%, $E$9)</f>
        <v>32.813800000000001</v>
      </c>
      <c r="I933" s="11">
        <f>32.818 * CHOOSE(CONTROL!$C$32, $C$9, 100%, $E$9)</f>
        <v>32.817999999999998</v>
      </c>
      <c r="J933" s="11">
        <f>32.8138 * CHOOSE(CONTROL!$C$32, $C$9, 100%, $E$9)</f>
        <v>32.813800000000001</v>
      </c>
      <c r="K933" s="11">
        <f>32.818 * CHOOSE(CONTROL!$C$32, $C$9, 100%, $E$9)</f>
        <v>32.817999999999998</v>
      </c>
      <c r="L933" s="11">
        <f>15.4964 * CHOOSE(CONTROL!$C$32, $C$9, 100%, $E$9)</f>
        <v>15.4964</v>
      </c>
      <c r="M933" s="11">
        <f>15.5006 * CHOOSE(CONTROL!$C$32, $C$9, 100%, $E$9)</f>
        <v>15.5006</v>
      </c>
      <c r="N933" s="11">
        <f>15.4964 * CHOOSE(CONTROL!$C$32, $C$9, 100%, $E$9)</f>
        <v>15.4964</v>
      </c>
      <c r="O933" s="11">
        <f>15.5006 * CHOOSE(CONTROL!$C$32, $C$9, 100%, $E$9)</f>
        <v>15.5006</v>
      </c>
    </row>
    <row r="934" spans="1:15" ht="15" x14ac:dyDescent="0.2">
      <c r="A934" s="13">
        <v>69277</v>
      </c>
      <c r="B934" s="9">
        <f>13.8665 * CHOOSE(CONTROL!$C$32, $C$9, 100%, $E$9)</f>
        <v>13.8665</v>
      </c>
      <c r="C934" s="9">
        <f>13.8665 * CHOOSE(CONTROL!$C$32, $C$9, 100%, $E$9)</f>
        <v>13.8665</v>
      </c>
      <c r="D934" s="9">
        <f>13.8678 * CHOOSE(CONTROL!$C$32, $C$9, 100%, $E$9)</f>
        <v>13.867800000000001</v>
      </c>
      <c r="E934" s="11">
        <f>15.4494 * CHOOSE(CONTROL!$C$32, $C$9, 100%, $E$9)</f>
        <v>15.449400000000001</v>
      </c>
      <c r="F934" s="11">
        <f>15.4494 * CHOOSE(CONTROL!$C$32, $C$9, 100%, $E$9)</f>
        <v>15.449400000000001</v>
      </c>
      <c r="G934" s="11">
        <f>15.4536 * CHOOSE(CONTROL!$C$32, $C$9, 100%, $E$9)</f>
        <v>15.4536</v>
      </c>
      <c r="H934" s="11">
        <f>32.8822 * CHOOSE(CONTROL!$C$32, $C$9, 100%, $E$9)</f>
        <v>32.882199999999997</v>
      </c>
      <c r="I934" s="11">
        <f>32.8864 * CHOOSE(CONTROL!$C$32, $C$9, 100%, $E$9)</f>
        <v>32.886400000000002</v>
      </c>
      <c r="J934" s="11">
        <f>32.8822 * CHOOSE(CONTROL!$C$32, $C$9, 100%, $E$9)</f>
        <v>32.882199999999997</v>
      </c>
      <c r="K934" s="11">
        <f>32.8864 * CHOOSE(CONTROL!$C$32, $C$9, 100%, $E$9)</f>
        <v>32.886400000000002</v>
      </c>
      <c r="L934" s="11">
        <f>15.4494 * CHOOSE(CONTROL!$C$32, $C$9, 100%, $E$9)</f>
        <v>15.449400000000001</v>
      </c>
      <c r="M934" s="11">
        <f>15.4536 * CHOOSE(CONTROL!$C$32, $C$9, 100%, $E$9)</f>
        <v>15.4536</v>
      </c>
      <c r="N934" s="11">
        <f>15.4494 * CHOOSE(CONTROL!$C$32, $C$9, 100%, $E$9)</f>
        <v>15.449400000000001</v>
      </c>
      <c r="O934" s="11">
        <f>15.4536 * CHOOSE(CONTROL!$C$32, $C$9, 100%, $E$9)</f>
        <v>15.4536</v>
      </c>
    </row>
    <row r="935" spans="1:15" ht="15" x14ac:dyDescent="0.2">
      <c r="A935" s="13">
        <v>69307</v>
      </c>
      <c r="B935" s="9">
        <f>13.8985 * CHOOSE(CONTROL!$C$32, $C$9, 100%, $E$9)</f>
        <v>13.8985</v>
      </c>
      <c r="C935" s="9">
        <f>13.8985 * CHOOSE(CONTROL!$C$32, $C$9, 100%, $E$9)</f>
        <v>13.8985</v>
      </c>
      <c r="D935" s="9">
        <f>13.8994 * CHOOSE(CONTROL!$C$32, $C$9, 100%, $E$9)</f>
        <v>13.8994</v>
      </c>
      <c r="E935" s="11">
        <f>15.6153 * CHOOSE(CONTROL!$C$32, $C$9, 100%, $E$9)</f>
        <v>15.6153</v>
      </c>
      <c r="F935" s="11">
        <f>15.6153 * CHOOSE(CONTROL!$C$32, $C$9, 100%, $E$9)</f>
        <v>15.6153</v>
      </c>
      <c r="G935" s="11">
        <f>15.6185 * CHOOSE(CONTROL!$C$32, $C$9, 100%, $E$9)</f>
        <v>15.618499999999999</v>
      </c>
      <c r="H935" s="11">
        <f>32.9507 * CHOOSE(CONTROL!$C$32, $C$9, 100%, $E$9)</f>
        <v>32.950699999999998</v>
      </c>
      <c r="I935" s="11">
        <f>32.9539 * CHOOSE(CONTROL!$C$32, $C$9, 100%, $E$9)</f>
        <v>32.953899999999997</v>
      </c>
      <c r="J935" s="11">
        <f>32.9507 * CHOOSE(CONTROL!$C$32, $C$9, 100%, $E$9)</f>
        <v>32.950699999999998</v>
      </c>
      <c r="K935" s="11">
        <f>32.9539 * CHOOSE(CONTROL!$C$32, $C$9, 100%, $E$9)</f>
        <v>32.953899999999997</v>
      </c>
      <c r="L935" s="11">
        <f>15.6153 * CHOOSE(CONTROL!$C$32, $C$9, 100%, $E$9)</f>
        <v>15.6153</v>
      </c>
      <c r="M935" s="11">
        <f>15.6185 * CHOOSE(CONTROL!$C$32, $C$9, 100%, $E$9)</f>
        <v>15.618499999999999</v>
      </c>
      <c r="N935" s="11">
        <f>15.6153 * CHOOSE(CONTROL!$C$32, $C$9, 100%, $E$9)</f>
        <v>15.6153</v>
      </c>
      <c r="O935" s="11">
        <f>15.6185 * CHOOSE(CONTROL!$C$32, $C$9, 100%, $E$9)</f>
        <v>15.618499999999999</v>
      </c>
    </row>
    <row r="936" spans="1:15" ht="15" x14ac:dyDescent="0.2">
      <c r="A936" s="13">
        <v>69338</v>
      </c>
      <c r="B936" s="9">
        <f>13.9015 * CHOOSE(CONTROL!$C$32, $C$9, 100%, $E$9)</f>
        <v>13.9015</v>
      </c>
      <c r="C936" s="9">
        <f>13.9015 * CHOOSE(CONTROL!$C$32, $C$9, 100%, $E$9)</f>
        <v>13.9015</v>
      </c>
      <c r="D936" s="9">
        <f>13.9025 * CHOOSE(CONTROL!$C$32, $C$9, 100%, $E$9)</f>
        <v>13.9025</v>
      </c>
      <c r="E936" s="11">
        <f>15.7071 * CHOOSE(CONTROL!$C$32, $C$9, 100%, $E$9)</f>
        <v>15.707100000000001</v>
      </c>
      <c r="F936" s="11">
        <f>15.7071 * CHOOSE(CONTROL!$C$32, $C$9, 100%, $E$9)</f>
        <v>15.707100000000001</v>
      </c>
      <c r="G936" s="11">
        <f>15.7103 * CHOOSE(CONTROL!$C$32, $C$9, 100%, $E$9)</f>
        <v>15.7103</v>
      </c>
      <c r="H936" s="11">
        <f>33.0194 * CHOOSE(CONTROL!$C$32, $C$9, 100%, $E$9)</f>
        <v>33.019399999999997</v>
      </c>
      <c r="I936" s="11">
        <f>33.0226 * CHOOSE(CONTROL!$C$32, $C$9, 100%, $E$9)</f>
        <v>33.022599999999997</v>
      </c>
      <c r="J936" s="11">
        <f>33.0194 * CHOOSE(CONTROL!$C$32, $C$9, 100%, $E$9)</f>
        <v>33.019399999999997</v>
      </c>
      <c r="K936" s="11">
        <f>33.0226 * CHOOSE(CONTROL!$C$32, $C$9, 100%, $E$9)</f>
        <v>33.022599999999997</v>
      </c>
      <c r="L936" s="11">
        <f>15.7071 * CHOOSE(CONTROL!$C$32, $C$9, 100%, $E$9)</f>
        <v>15.707100000000001</v>
      </c>
      <c r="M936" s="11">
        <f>15.7103 * CHOOSE(CONTROL!$C$32, $C$9, 100%, $E$9)</f>
        <v>15.7103</v>
      </c>
      <c r="N936" s="11">
        <f>15.7071 * CHOOSE(CONTROL!$C$32, $C$9, 100%, $E$9)</f>
        <v>15.707100000000001</v>
      </c>
      <c r="O936" s="11">
        <f>15.7103 * CHOOSE(CONTROL!$C$32, $C$9, 100%, $E$9)</f>
        <v>15.7103</v>
      </c>
    </row>
    <row r="937" spans="1:15" ht="15" x14ac:dyDescent="0.2">
      <c r="A937" s="13">
        <v>69368</v>
      </c>
      <c r="B937" s="9">
        <f>13.9015 * CHOOSE(CONTROL!$C$32, $C$9, 100%, $E$9)</f>
        <v>13.9015</v>
      </c>
      <c r="C937" s="9">
        <f>13.9015 * CHOOSE(CONTROL!$C$32, $C$9, 100%, $E$9)</f>
        <v>13.9015</v>
      </c>
      <c r="D937" s="9">
        <f>13.9025 * CHOOSE(CONTROL!$C$32, $C$9, 100%, $E$9)</f>
        <v>13.9025</v>
      </c>
      <c r="E937" s="11">
        <f>15.483 * CHOOSE(CONTROL!$C$32, $C$9, 100%, $E$9)</f>
        <v>15.483000000000001</v>
      </c>
      <c r="F937" s="11">
        <f>15.483 * CHOOSE(CONTROL!$C$32, $C$9, 100%, $E$9)</f>
        <v>15.483000000000001</v>
      </c>
      <c r="G937" s="11">
        <f>15.4862 * CHOOSE(CONTROL!$C$32, $C$9, 100%, $E$9)</f>
        <v>15.4862</v>
      </c>
      <c r="H937" s="11">
        <f>33.0881 * CHOOSE(CONTROL!$C$32, $C$9, 100%, $E$9)</f>
        <v>33.088099999999997</v>
      </c>
      <c r="I937" s="11">
        <f>33.0914 * CHOOSE(CONTROL!$C$32, $C$9, 100%, $E$9)</f>
        <v>33.0914</v>
      </c>
      <c r="J937" s="11">
        <f>33.0881 * CHOOSE(CONTROL!$C$32, $C$9, 100%, $E$9)</f>
        <v>33.088099999999997</v>
      </c>
      <c r="K937" s="11">
        <f>33.0914 * CHOOSE(CONTROL!$C$32, $C$9, 100%, $E$9)</f>
        <v>33.0914</v>
      </c>
      <c r="L937" s="11">
        <f>15.483 * CHOOSE(CONTROL!$C$32, $C$9, 100%, $E$9)</f>
        <v>15.483000000000001</v>
      </c>
      <c r="M937" s="11">
        <f>15.4862 * CHOOSE(CONTROL!$C$32, $C$9, 100%, $E$9)</f>
        <v>15.4862</v>
      </c>
      <c r="N937" s="11">
        <f>15.483 * CHOOSE(CONTROL!$C$32, $C$9, 100%, $E$9)</f>
        <v>15.483000000000001</v>
      </c>
      <c r="O937" s="11">
        <f>15.4862 * CHOOSE(CONTROL!$C$32, $C$9, 100%, $E$9)</f>
        <v>15.4862</v>
      </c>
    </row>
    <row r="938" spans="1:15" ht="15" x14ac:dyDescent="0.2">
      <c r="A938" s="13">
        <v>69399</v>
      </c>
      <c r="B938" s="9">
        <f>13.8782 * CHOOSE(CONTROL!$C$32, $C$9, 100%, $E$9)</f>
        <v>13.8782</v>
      </c>
      <c r="C938" s="9">
        <f>13.8782 * CHOOSE(CONTROL!$C$32, $C$9, 100%, $E$9)</f>
        <v>13.8782</v>
      </c>
      <c r="D938" s="9">
        <f>13.8792 * CHOOSE(CONTROL!$C$32, $C$9, 100%, $E$9)</f>
        <v>13.879200000000001</v>
      </c>
      <c r="E938" s="11">
        <f>15.6206 * CHOOSE(CONTROL!$C$32, $C$9, 100%, $E$9)</f>
        <v>15.6206</v>
      </c>
      <c r="F938" s="11">
        <f>15.6206 * CHOOSE(CONTROL!$C$32, $C$9, 100%, $E$9)</f>
        <v>15.6206</v>
      </c>
      <c r="G938" s="11">
        <f>15.6238 * CHOOSE(CONTROL!$C$32, $C$9, 100%, $E$9)</f>
        <v>15.623799999999999</v>
      </c>
      <c r="H938" s="11">
        <f>32.8111 * CHOOSE(CONTROL!$C$32, $C$9, 100%, $E$9)</f>
        <v>32.811100000000003</v>
      </c>
      <c r="I938" s="11">
        <f>32.8143 * CHOOSE(CONTROL!$C$32, $C$9, 100%, $E$9)</f>
        <v>32.814300000000003</v>
      </c>
      <c r="J938" s="11">
        <f>32.8111 * CHOOSE(CONTROL!$C$32, $C$9, 100%, $E$9)</f>
        <v>32.811100000000003</v>
      </c>
      <c r="K938" s="11">
        <f>32.8143 * CHOOSE(CONTROL!$C$32, $C$9, 100%, $E$9)</f>
        <v>32.814300000000003</v>
      </c>
      <c r="L938" s="11">
        <f>15.6206 * CHOOSE(CONTROL!$C$32, $C$9, 100%, $E$9)</f>
        <v>15.6206</v>
      </c>
      <c r="M938" s="11">
        <f>15.6238 * CHOOSE(CONTROL!$C$32, $C$9, 100%, $E$9)</f>
        <v>15.623799999999999</v>
      </c>
      <c r="N938" s="11">
        <f>15.6206 * CHOOSE(CONTROL!$C$32, $C$9, 100%, $E$9)</f>
        <v>15.6206</v>
      </c>
      <c r="O938" s="11">
        <f>15.6238 * CHOOSE(CONTROL!$C$32, $C$9, 100%, $E$9)</f>
        <v>15.623799999999999</v>
      </c>
    </row>
    <row r="939" spans="1:15" ht="15" x14ac:dyDescent="0.2">
      <c r="A939" s="13">
        <v>69430</v>
      </c>
      <c r="B939" s="9">
        <f>13.8752 * CHOOSE(CONTROL!$C$32, $C$9, 100%, $E$9)</f>
        <v>13.8752</v>
      </c>
      <c r="C939" s="9">
        <f>13.8752 * CHOOSE(CONTROL!$C$32, $C$9, 100%, $E$9)</f>
        <v>13.8752</v>
      </c>
      <c r="D939" s="9">
        <f>13.8761 * CHOOSE(CONTROL!$C$32, $C$9, 100%, $E$9)</f>
        <v>13.876099999999999</v>
      </c>
      <c r="E939" s="11">
        <f>15.1879 * CHOOSE(CONTROL!$C$32, $C$9, 100%, $E$9)</f>
        <v>15.187900000000001</v>
      </c>
      <c r="F939" s="11">
        <f>15.1879 * CHOOSE(CONTROL!$C$32, $C$9, 100%, $E$9)</f>
        <v>15.187900000000001</v>
      </c>
      <c r="G939" s="11">
        <f>15.1911 * CHOOSE(CONTROL!$C$32, $C$9, 100%, $E$9)</f>
        <v>15.1911</v>
      </c>
      <c r="H939" s="11">
        <f>32.8794 * CHOOSE(CONTROL!$C$32, $C$9, 100%, $E$9)</f>
        <v>32.879399999999997</v>
      </c>
      <c r="I939" s="11">
        <f>32.8827 * CHOOSE(CONTROL!$C$32, $C$9, 100%, $E$9)</f>
        <v>32.8827</v>
      </c>
      <c r="J939" s="11">
        <f>32.8794 * CHOOSE(CONTROL!$C$32, $C$9, 100%, $E$9)</f>
        <v>32.879399999999997</v>
      </c>
      <c r="K939" s="11">
        <f>32.8827 * CHOOSE(CONTROL!$C$32, $C$9, 100%, $E$9)</f>
        <v>32.8827</v>
      </c>
      <c r="L939" s="11">
        <f>15.1879 * CHOOSE(CONTROL!$C$32, $C$9, 100%, $E$9)</f>
        <v>15.187900000000001</v>
      </c>
      <c r="M939" s="11">
        <f>15.1911 * CHOOSE(CONTROL!$C$32, $C$9, 100%, $E$9)</f>
        <v>15.1911</v>
      </c>
      <c r="N939" s="11">
        <f>15.1879 * CHOOSE(CONTROL!$C$32, $C$9, 100%, $E$9)</f>
        <v>15.187900000000001</v>
      </c>
      <c r="O939" s="11">
        <f>15.1911 * CHOOSE(CONTROL!$C$32, $C$9, 100%, $E$9)</f>
        <v>15.1911</v>
      </c>
    </row>
    <row r="940" spans="1:15" ht="15" x14ac:dyDescent="0.2">
      <c r="A940" s="13">
        <v>69458</v>
      </c>
      <c r="B940" s="9">
        <f>13.8722 * CHOOSE(CONTROL!$C$32, $C$9, 100%, $E$9)</f>
        <v>13.872199999999999</v>
      </c>
      <c r="C940" s="9">
        <f>13.8722 * CHOOSE(CONTROL!$C$32, $C$9, 100%, $E$9)</f>
        <v>13.872199999999999</v>
      </c>
      <c r="D940" s="9">
        <f>13.8731 * CHOOSE(CONTROL!$C$32, $C$9, 100%, $E$9)</f>
        <v>13.873100000000001</v>
      </c>
      <c r="E940" s="11">
        <f>15.5252 * CHOOSE(CONTROL!$C$32, $C$9, 100%, $E$9)</f>
        <v>15.5252</v>
      </c>
      <c r="F940" s="11">
        <f>15.5252 * CHOOSE(CONTROL!$C$32, $C$9, 100%, $E$9)</f>
        <v>15.5252</v>
      </c>
      <c r="G940" s="11">
        <f>15.5284 * CHOOSE(CONTROL!$C$32, $C$9, 100%, $E$9)</f>
        <v>15.5284</v>
      </c>
      <c r="H940" s="11">
        <f>32.9479 * CHOOSE(CONTROL!$C$32, $C$9, 100%, $E$9)</f>
        <v>32.947899999999997</v>
      </c>
      <c r="I940" s="11">
        <f>32.9512 * CHOOSE(CONTROL!$C$32, $C$9, 100%, $E$9)</f>
        <v>32.9512</v>
      </c>
      <c r="J940" s="11">
        <f>32.9479 * CHOOSE(CONTROL!$C$32, $C$9, 100%, $E$9)</f>
        <v>32.947899999999997</v>
      </c>
      <c r="K940" s="11">
        <f>32.9512 * CHOOSE(CONTROL!$C$32, $C$9, 100%, $E$9)</f>
        <v>32.9512</v>
      </c>
      <c r="L940" s="11">
        <f>15.5252 * CHOOSE(CONTROL!$C$32, $C$9, 100%, $E$9)</f>
        <v>15.5252</v>
      </c>
      <c r="M940" s="11">
        <f>15.5284 * CHOOSE(CONTROL!$C$32, $C$9, 100%, $E$9)</f>
        <v>15.5284</v>
      </c>
      <c r="N940" s="11">
        <f>15.5252 * CHOOSE(CONTROL!$C$32, $C$9, 100%, $E$9)</f>
        <v>15.5252</v>
      </c>
      <c r="O940" s="11">
        <f>15.5284 * CHOOSE(CONTROL!$C$32, $C$9, 100%, $E$9)</f>
        <v>15.5284</v>
      </c>
    </row>
    <row r="941" spans="1:15" ht="15" x14ac:dyDescent="0.2">
      <c r="A941" s="13">
        <v>69489</v>
      </c>
      <c r="B941" s="9">
        <f>13.8794 * CHOOSE(CONTROL!$C$32, $C$9, 100%, $E$9)</f>
        <v>13.8794</v>
      </c>
      <c r="C941" s="9">
        <f>13.8794 * CHOOSE(CONTROL!$C$32, $C$9, 100%, $E$9)</f>
        <v>13.8794</v>
      </c>
      <c r="D941" s="9">
        <f>13.8803 * CHOOSE(CONTROL!$C$32, $C$9, 100%, $E$9)</f>
        <v>13.8803</v>
      </c>
      <c r="E941" s="11">
        <f>15.8856 * CHOOSE(CONTROL!$C$32, $C$9, 100%, $E$9)</f>
        <v>15.8856</v>
      </c>
      <c r="F941" s="11">
        <f>15.8856 * CHOOSE(CONTROL!$C$32, $C$9, 100%, $E$9)</f>
        <v>15.8856</v>
      </c>
      <c r="G941" s="11">
        <f>15.8888 * CHOOSE(CONTROL!$C$32, $C$9, 100%, $E$9)</f>
        <v>15.8888</v>
      </c>
      <c r="H941" s="11">
        <f>33.0166 * CHOOSE(CONTROL!$C$32, $C$9, 100%, $E$9)</f>
        <v>33.016599999999997</v>
      </c>
      <c r="I941" s="11">
        <f>33.0198 * CHOOSE(CONTROL!$C$32, $C$9, 100%, $E$9)</f>
        <v>33.019799999999996</v>
      </c>
      <c r="J941" s="11">
        <f>33.0166 * CHOOSE(CONTROL!$C$32, $C$9, 100%, $E$9)</f>
        <v>33.016599999999997</v>
      </c>
      <c r="K941" s="11">
        <f>33.0198 * CHOOSE(CONTROL!$C$32, $C$9, 100%, $E$9)</f>
        <v>33.019799999999996</v>
      </c>
      <c r="L941" s="11">
        <f>15.8856 * CHOOSE(CONTROL!$C$32, $C$9, 100%, $E$9)</f>
        <v>15.8856</v>
      </c>
      <c r="M941" s="11">
        <f>15.8888 * CHOOSE(CONTROL!$C$32, $C$9, 100%, $E$9)</f>
        <v>15.8888</v>
      </c>
      <c r="N941" s="11">
        <f>15.8856 * CHOOSE(CONTROL!$C$32, $C$9, 100%, $E$9)</f>
        <v>15.8856</v>
      </c>
      <c r="O941" s="11">
        <f>15.8888 * CHOOSE(CONTROL!$C$32, $C$9, 100%, $E$9)</f>
        <v>15.8888</v>
      </c>
    </row>
    <row r="942" spans="1:15" ht="15" x14ac:dyDescent="0.2">
      <c r="A942" s="13">
        <v>69519</v>
      </c>
      <c r="B942" s="9">
        <f>13.8794 * CHOOSE(CONTROL!$C$32, $C$9, 100%, $E$9)</f>
        <v>13.8794</v>
      </c>
      <c r="C942" s="9">
        <f>13.8794 * CHOOSE(CONTROL!$C$32, $C$9, 100%, $E$9)</f>
        <v>13.8794</v>
      </c>
      <c r="D942" s="9">
        <f>13.8806 * CHOOSE(CONTROL!$C$32, $C$9, 100%, $E$9)</f>
        <v>13.880599999999999</v>
      </c>
      <c r="E942" s="11">
        <f>16.0223 * CHOOSE(CONTROL!$C$32, $C$9, 100%, $E$9)</f>
        <v>16.022300000000001</v>
      </c>
      <c r="F942" s="11">
        <f>16.0223 * CHOOSE(CONTROL!$C$32, $C$9, 100%, $E$9)</f>
        <v>16.022300000000001</v>
      </c>
      <c r="G942" s="11">
        <f>16.0265 * CHOOSE(CONTROL!$C$32, $C$9, 100%, $E$9)</f>
        <v>16.026499999999999</v>
      </c>
      <c r="H942" s="11">
        <f>33.0854 * CHOOSE(CONTROL!$C$32, $C$9, 100%, $E$9)</f>
        <v>33.0854</v>
      </c>
      <c r="I942" s="11">
        <f>33.0896 * CHOOSE(CONTROL!$C$32, $C$9, 100%, $E$9)</f>
        <v>33.089599999999997</v>
      </c>
      <c r="J942" s="11">
        <f>33.0854 * CHOOSE(CONTROL!$C$32, $C$9, 100%, $E$9)</f>
        <v>33.0854</v>
      </c>
      <c r="K942" s="11">
        <f>33.0896 * CHOOSE(CONTROL!$C$32, $C$9, 100%, $E$9)</f>
        <v>33.089599999999997</v>
      </c>
      <c r="L942" s="11">
        <f>16.0223 * CHOOSE(CONTROL!$C$32, $C$9, 100%, $E$9)</f>
        <v>16.022300000000001</v>
      </c>
      <c r="M942" s="11">
        <f>16.0265 * CHOOSE(CONTROL!$C$32, $C$9, 100%, $E$9)</f>
        <v>16.026499999999999</v>
      </c>
      <c r="N942" s="11">
        <f>16.0223 * CHOOSE(CONTROL!$C$32, $C$9, 100%, $E$9)</f>
        <v>16.022300000000001</v>
      </c>
      <c r="O942" s="11">
        <f>16.0265 * CHOOSE(CONTROL!$C$32, $C$9, 100%, $E$9)</f>
        <v>16.026499999999999</v>
      </c>
    </row>
    <row r="943" spans="1:15" ht="15" x14ac:dyDescent="0.2">
      <c r="A943" s="13">
        <v>69550</v>
      </c>
      <c r="B943" s="9">
        <f>13.8855 * CHOOSE(CONTROL!$C$32, $C$9, 100%, $E$9)</f>
        <v>13.8855</v>
      </c>
      <c r="C943" s="9">
        <f>13.8855 * CHOOSE(CONTROL!$C$32, $C$9, 100%, $E$9)</f>
        <v>13.8855</v>
      </c>
      <c r="D943" s="9">
        <f>13.8867 * CHOOSE(CONTROL!$C$32, $C$9, 100%, $E$9)</f>
        <v>13.886699999999999</v>
      </c>
      <c r="E943" s="11">
        <f>15.8898 * CHOOSE(CONTROL!$C$32, $C$9, 100%, $E$9)</f>
        <v>15.889799999999999</v>
      </c>
      <c r="F943" s="11">
        <f>15.8898 * CHOOSE(CONTROL!$C$32, $C$9, 100%, $E$9)</f>
        <v>15.889799999999999</v>
      </c>
      <c r="G943" s="11">
        <f>15.894 * CHOOSE(CONTROL!$C$32, $C$9, 100%, $E$9)</f>
        <v>15.894</v>
      </c>
      <c r="H943" s="11">
        <f>33.1543 * CHOOSE(CONTROL!$C$32, $C$9, 100%, $E$9)</f>
        <v>33.154299999999999</v>
      </c>
      <c r="I943" s="11">
        <f>33.1585 * CHOOSE(CONTROL!$C$32, $C$9, 100%, $E$9)</f>
        <v>33.158499999999997</v>
      </c>
      <c r="J943" s="11">
        <f>33.1543 * CHOOSE(CONTROL!$C$32, $C$9, 100%, $E$9)</f>
        <v>33.154299999999999</v>
      </c>
      <c r="K943" s="11">
        <f>33.1585 * CHOOSE(CONTROL!$C$32, $C$9, 100%, $E$9)</f>
        <v>33.158499999999997</v>
      </c>
      <c r="L943" s="11">
        <f>15.8898 * CHOOSE(CONTROL!$C$32, $C$9, 100%, $E$9)</f>
        <v>15.889799999999999</v>
      </c>
      <c r="M943" s="11">
        <f>15.894 * CHOOSE(CONTROL!$C$32, $C$9, 100%, $E$9)</f>
        <v>15.894</v>
      </c>
      <c r="N943" s="11">
        <f>15.8898 * CHOOSE(CONTROL!$C$32, $C$9, 100%, $E$9)</f>
        <v>15.889799999999999</v>
      </c>
      <c r="O943" s="11">
        <f>15.894 * CHOOSE(CONTROL!$C$32, $C$9, 100%, $E$9)</f>
        <v>15.894</v>
      </c>
    </row>
    <row r="944" spans="1:15" ht="15" x14ac:dyDescent="0.2">
      <c r="A944" s="13">
        <v>69580</v>
      </c>
      <c r="B944" s="9">
        <f>14.0525 * CHOOSE(CONTROL!$C$32, $C$9, 100%, $E$9)</f>
        <v>14.0525</v>
      </c>
      <c r="C944" s="9">
        <f>14.0525 * CHOOSE(CONTROL!$C$32, $C$9, 100%, $E$9)</f>
        <v>14.0525</v>
      </c>
      <c r="D944" s="9">
        <f>14.0537 * CHOOSE(CONTROL!$C$32, $C$9, 100%, $E$9)</f>
        <v>14.053699999999999</v>
      </c>
      <c r="E944" s="11">
        <f>16.1153 * CHOOSE(CONTROL!$C$32, $C$9, 100%, $E$9)</f>
        <v>16.115300000000001</v>
      </c>
      <c r="F944" s="11">
        <f>16.1153 * CHOOSE(CONTROL!$C$32, $C$9, 100%, $E$9)</f>
        <v>16.115300000000001</v>
      </c>
      <c r="G944" s="11">
        <f>16.1195 * CHOOSE(CONTROL!$C$32, $C$9, 100%, $E$9)</f>
        <v>16.119499999999999</v>
      </c>
      <c r="H944" s="11">
        <f>33.2234 * CHOOSE(CONTROL!$C$32, $C$9, 100%, $E$9)</f>
        <v>33.223399999999998</v>
      </c>
      <c r="I944" s="11">
        <f>33.2276 * CHOOSE(CONTROL!$C$32, $C$9, 100%, $E$9)</f>
        <v>33.227600000000002</v>
      </c>
      <c r="J944" s="11">
        <f>33.2234 * CHOOSE(CONTROL!$C$32, $C$9, 100%, $E$9)</f>
        <v>33.223399999999998</v>
      </c>
      <c r="K944" s="11">
        <f>33.2276 * CHOOSE(CONTROL!$C$32, $C$9, 100%, $E$9)</f>
        <v>33.227600000000002</v>
      </c>
      <c r="L944" s="11">
        <f>16.1153 * CHOOSE(CONTROL!$C$32, $C$9, 100%, $E$9)</f>
        <v>16.115300000000001</v>
      </c>
      <c r="M944" s="11">
        <f>16.1195 * CHOOSE(CONTROL!$C$32, $C$9, 100%, $E$9)</f>
        <v>16.119499999999999</v>
      </c>
      <c r="N944" s="11">
        <f>16.1153 * CHOOSE(CONTROL!$C$32, $C$9, 100%, $E$9)</f>
        <v>16.115300000000001</v>
      </c>
      <c r="O944" s="11">
        <f>16.1195 * CHOOSE(CONTROL!$C$32, $C$9, 100%, $E$9)</f>
        <v>16.119499999999999</v>
      </c>
    </row>
    <row r="945" spans="1:15" ht="15" x14ac:dyDescent="0.2">
      <c r="A945" s="13">
        <v>69611</v>
      </c>
      <c r="B945" s="9">
        <f>14.0592 * CHOOSE(CONTROL!$C$32, $C$9, 100%, $E$9)</f>
        <v>14.059200000000001</v>
      </c>
      <c r="C945" s="9">
        <f>14.0592 * CHOOSE(CONTROL!$C$32, $C$9, 100%, $E$9)</f>
        <v>14.059200000000001</v>
      </c>
      <c r="D945" s="9">
        <f>14.0604 * CHOOSE(CONTROL!$C$32, $C$9, 100%, $E$9)</f>
        <v>14.0604</v>
      </c>
      <c r="E945" s="11">
        <f>15.7098 * CHOOSE(CONTROL!$C$32, $C$9, 100%, $E$9)</f>
        <v>15.7098</v>
      </c>
      <c r="F945" s="11">
        <f>15.7098 * CHOOSE(CONTROL!$C$32, $C$9, 100%, $E$9)</f>
        <v>15.7098</v>
      </c>
      <c r="G945" s="11">
        <f>15.714 * CHOOSE(CONTROL!$C$32, $C$9, 100%, $E$9)</f>
        <v>15.714</v>
      </c>
      <c r="H945" s="11">
        <f>33.2926 * CHOOSE(CONTROL!$C$32, $C$9, 100%, $E$9)</f>
        <v>33.2926</v>
      </c>
      <c r="I945" s="11">
        <f>33.2968 * CHOOSE(CONTROL!$C$32, $C$9, 100%, $E$9)</f>
        <v>33.296799999999998</v>
      </c>
      <c r="J945" s="11">
        <f>33.2926 * CHOOSE(CONTROL!$C$32, $C$9, 100%, $E$9)</f>
        <v>33.2926</v>
      </c>
      <c r="K945" s="11">
        <f>33.2968 * CHOOSE(CONTROL!$C$32, $C$9, 100%, $E$9)</f>
        <v>33.296799999999998</v>
      </c>
      <c r="L945" s="11">
        <f>15.7098 * CHOOSE(CONTROL!$C$32, $C$9, 100%, $E$9)</f>
        <v>15.7098</v>
      </c>
      <c r="M945" s="11">
        <f>15.714 * CHOOSE(CONTROL!$C$32, $C$9, 100%, $E$9)</f>
        <v>15.714</v>
      </c>
      <c r="N945" s="11">
        <f>15.7098 * CHOOSE(CONTROL!$C$32, $C$9, 100%, $E$9)</f>
        <v>15.7098</v>
      </c>
      <c r="O945" s="11">
        <f>15.714 * CHOOSE(CONTROL!$C$32, $C$9, 100%, $E$9)</f>
        <v>15.714</v>
      </c>
    </row>
    <row r="946" spans="1:15" ht="15" x14ac:dyDescent="0.2">
      <c r="A946" s="13">
        <v>69642</v>
      </c>
      <c r="B946" s="9">
        <f>14.0561 * CHOOSE(CONTROL!$C$32, $C$9, 100%, $E$9)</f>
        <v>14.056100000000001</v>
      </c>
      <c r="C946" s="9">
        <f>14.0561 * CHOOSE(CONTROL!$C$32, $C$9, 100%, $E$9)</f>
        <v>14.056100000000001</v>
      </c>
      <c r="D946" s="9">
        <f>14.0574 * CHOOSE(CONTROL!$C$32, $C$9, 100%, $E$9)</f>
        <v>14.057399999999999</v>
      </c>
      <c r="E946" s="11">
        <f>15.6621 * CHOOSE(CONTROL!$C$32, $C$9, 100%, $E$9)</f>
        <v>15.662100000000001</v>
      </c>
      <c r="F946" s="11">
        <f>15.6621 * CHOOSE(CONTROL!$C$32, $C$9, 100%, $E$9)</f>
        <v>15.662100000000001</v>
      </c>
      <c r="G946" s="11">
        <f>15.6663 * CHOOSE(CONTROL!$C$32, $C$9, 100%, $E$9)</f>
        <v>15.6663</v>
      </c>
      <c r="H946" s="11">
        <f>33.3619 * CHOOSE(CONTROL!$C$32, $C$9, 100%, $E$9)</f>
        <v>33.361899999999999</v>
      </c>
      <c r="I946" s="11">
        <f>33.3661 * CHOOSE(CONTROL!$C$32, $C$9, 100%, $E$9)</f>
        <v>33.366100000000003</v>
      </c>
      <c r="J946" s="11">
        <f>33.3619 * CHOOSE(CONTROL!$C$32, $C$9, 100%, $E$9)</f>
        <v>33.361899999999999</v>
      </c>
      <c r="K946" s="11">
        <f>33.3661 * CHOOSE(CONTROL!$C$32, $C$9, 100%, $E$9)</f>
        <v>33.366100000000003</v>
      </c>
      <c r="L946" s="11">
        <f>15.6621 * CHOOSE(CONTROL!$C$32, $C$9, 100%, $E$9)</f>
        <v>15.662100000000001</v>
      </c>
      <c r="M946" s="11">
        <f>15.6663 * CHOOSE(CONTROL!$C$32, $C$9, 100%, $E$9)</f>
        <v>15.6663</v>
      </c>
      <c r="N946" s="11">
        <f>15.6621 * CHOOSE(CONTROL!$C$32, $C$9, 100%, $E$9)</f>
        <v>15.662100000000001</v>
      </c>
      <c r="O946" s="11">
        <f>15.6663 * CHOOSE(CONTROL!$C$32, $C$9, 100%, $E$9)</f>
        <v>15.6663</v>
      </c>
    </row>
    <row r="947" spans="1:15" ht="15" x14ac:dyDescent="0.2">
      <c r="A947" s="13">
        <v>69672</v>
      </c>
      <c r="B947" s="9">
        <f>14.0888 * CHOOSE(CONTROL!$C$32, $C$9, 100%, $E$9)</f>
        <v>14.088800000000001</v>
      </c>
      <c r="C947" s="9">
        <f>14.0888 * CHOOSE(CONTROL!$C$32, $C$9, 100%, $E$9)</f>
        <v>14.088800000000001</v>
      </c>
      <c r="D947" s="9">
        <f>14.0897 * CHOOSE(CONTROL!$C$32, $C$9, 100%, $E$9)</f>
        <v>14.089700000000001</v>
      </c>
      <c r="E947" s="11">
        <f>15.831 * CHOOSE(CONTROL!$C$32, $C$9, 100%, $E$9)</f>
        <v>15.831</v>
      </c>
      <c r="F947" s="11">
        <f>15.831 * CHOOSE(CONTROL!$C$32, $C$9, 100%, $E$9)</f>
        <v>15.831</v>
      </c>
      <c r="G947" s="11">
        <f>15.8342 * CHOOSE(CONTROL!$C$32, $C$9, 100%, $E$9)</f>
        <v>15.834199999999999</v>
      </c>
      <c r="H947" s="11">
        <f>33.4314 * CHOOSE(CONTROL!$C$32, $C$9, 100%, $E$9)</f>
        <v>33.431399999999996</v>
      </c>
      <c r="I947" s="11">
        <f>33.4347 * CHOOSE(CONTROL!$C$32, $C$9, 100%, $E$9)</f>
        <v>33.434699999999999</v>
      </c>
      <c r="J947" s="11">
        <f>33.4314 * CHOOSE(CONTROL!$C$32, $C$9, 100%, $E$9)</f>
        <v>33.431399999999996</v>
      </c>
      <c r="K947" s="11">
        <f>33.4347 * CHOOSE(CONTROL!$C$32, $C$9, 100%, $E$9)</f>
        <v>33.434699999999999</v>
      </c>
      <c r="L947" s="11">
        <f>15.831 * CHOOSE(CONTROL!$C$32, $C$9, 100%, $E$9)</f>
        <v>15.831</v>
      </c>
      <c r="M947" s="11">
        <f>15.8342 * CHOOSE(CONTROL!$C$32, $C$9, 100%, $E$9)</f>
        <v>15.834199999999999</v>
      </c>
      <c r="N947" s="11">
        <f>15.831 * CHOOSE(CONTROL!$C$32, $C$9, 100%, $E$9)</f>
        <v>15.831</v>
      </c>
      <c r="O947" s="11">
        <f>15.8342 * CHOOSE(CONTROL!$C$32, $C$9, 100%, $E$9)</f>
        <v>15.834199999999999</v>
      </c>
    </row>
    <row r="948" spans="1:15" ht="15" x14ac:dyDescent="0.2">
      <c r="A948" s="13">
        <v>69703</v>
      </c>
      <c r="B948" s="9">
        <f>14.0918 * CHOOSE(CONTROL!$C$32, $C$9, 100%, $E$9)</f>
        <v>14.091799999999999</v>
      </c>
      <c r="C948" s="9">
        <f>14.0918 * CHOOSE(CONTROL!$C$32, $C$9, 100%, $E$9)</f>
        <v>14.091799999999999</v>
      </c>
      <c r="D948" s="9">
        <f>14.0928 * CHOOSE(CONTROL!$C$32, $C$9, 100%, $E$9)</f>
        <v>14.0928</v>
      </c>
      <c r="E948" s="11">
        <f>15.9243 * CHOOSE(CONTROL!$C$32, $C$9, 100%, $E$9)</f>
        <v>15.924300000000001</v>
      </c>
      <c r="F948" s="11">
        <f>15.9243 * CHOOSE(CONTROL!$C$32, $C$9, 100%, $E$9)</f>
        <v>15.924300000000001</v>
      </c>
      <c r="G948" s="11">
        <f>15.9275 * CHOOSE(CONTROL!$C$32, $C$9, 100%, $E$9)</f>
        <v>15.9275</v>
      </c>
      <c r="H948" s="11">
        <f>33.5011 * CHOOSE(CONTROL!$C$32, $C$9, 100%, $E$9)</f>
        <v>33.501100000000001</v>
      </c>
      <c r="I948" s="11">
        <f>33.5043 * CHOOSE(CONTROL!$C$32, $C$9, 100%, $E$9)</f>
        <v>33.504300000000001</v>
      </c>
      <c r="J948" s="11">
        <f>33.5011 * CHOOSE(CONTROL!$C$32, $C$9, 100%, $E$9)</f>
        <v>33.501100000000001</v>
      </c>
      <c r="K948" s="11">
        <f>33.5043 * CHOOSE(CONTROL!$C$32, $C$9, 100%, $E$9)</f>
        <v>33.504300000000001</v>
      </c>
      <c r="L948" s="11">
        <f>15.9243 * CHOOSE(CONTROL!$C$32, $C$9, 100%, $E$9)</f>
        <v>15.924300000000001</v>
      </c>
      <c r="M948" s="11">
        <f>15.9275 * CHOOSE(CONTROL!$C$32, $C$9, 100%, $E$9)</f>
        <v>15.9275</v>
      </c>
      <c r="N948" s="11">
        <f>15.9243 * CHOOSE(CONTROL!$C$32, $C$9, 100%, $E$9)</f>
        <v>15.924300000000001</v>
      </c>
      <c r="O948" s="11">
        <f>15.9275 * CHOOSE(CONTROL!$C$32, $C$9, 100%, $E$9)</f>
        <v>15.9275</v>
      </c>
    </row>
    <row r="949" spans="1:15" ht="15" x14ac:dyDescent="0.2">
      <c r="A949" s="13">
        <v>69733</v>
      </c>
      <c r="B949" s="9">
        <f>14.0918 * CHOOSE(CONTROL!$C$32, $C$9, 100%, $E$9)</f>
        <v>14.091799999999999</v>
      </c>
      <c r="C949" s="9">
        <f>14.0918 * CHOOSE(CONTROL!$C$32, $C$9, 100%, $E$9)</f>
        <v>14.091799999999999</v>
      </c>
      <c r="D949" s="9">
        <f>14.0928 * CHOOSE(CONTROL!$C$32, $C$9, 100%, $E$9)</f>
        <v>14.0928</v>
      </c>
      <c r="E949" s="11">
        <f>15.6964 * CHOOSE(CONTROL!$C$32, $C$9, 100%, $E$9)</f>
        <v>15.696400000000001</v>
      </c>
      <c r="F949" s="11">
        <f>15.6964 * CHOOSE(CONTROL!$C$32, $C$9, 100%, $E$9)</f>
        <v>15.696400000000001</v>
      </c>
      <c r="G949" s="11">
        <f>15.6996 * CHOOSE(CONTROL!$C$32, $C$9, 100%, $E$9)</f>
        <v>15.6996</v>
      </c>
      <c r="H949" s="11">
        <f>33.5709 * CHOOSE(CONTROL!$C$32, $C$9, 100%, $E$9)</f>
        <v>33.570900000000002</v>
      </c>
      <c r="I949" s="11">
        <f>33.5741 * CHOOSE(CONTROL!$C$32, $C$9, 100%, $E$9)</f>
        <v>33.574100000000001</v>
      </c>
      <c r="J949" s="11">
        <f>33.5709 * CHOOSE(CONTROL!$C$32, $C$9, 100%, $E$9)</f>
        <v>33.570900000000002</v>
      </c>
      <c r="K949" s="11">
        <f>33.5741 * CHOOSE(CONTROL!$C$32, $C$9, 100%, $E$9)</f>
        <v>33.574100000000001</v>
      </c>
      <c r="L949" s="11">
        <f>15.6964 * CHOOSE(CONTROL!$C$32, $C$9, 100%, $E$9)</f>
        <v>15.696400000000001</v>
      </c>
      <c r="M949" s="11">
        <f>15.6996 * CHOOSE(CONTROL!$C$32, $C$9, 100%, $E$9)</f>
        <v>15.6996</v>
      </c>
      <c r="N949" s="11">
        <f>15.6964 * CHOOSE(CONTROL!$C$32, $C$9, 100%, $E$9)</f>
        <v>15.696400000000001</v>
      </c>
      <c r="O949" s="11">
        <f>15.6996 * CHOOSE(CONTROL!$C$32, $C$9, 100%, $E$9)</f>
        <v>15.6996</v>
      </c>
    </row>
    <row r="950" spans="1:15" ht="15" x14ac:dyDescent="0.2">
      <c r="A950" s="13">
        <v>69764</v>
      </c>
      <c r="B950" s="9">
        <f>14.0656 * CHOOSE(CONTROL!$C$32, $C$9, 100%, $E$9)</f>
        <v>14.0656</v>
      </c>
      <c r="C950" s="9">
        <f>14.0656 * CHOOSE(CONTROL!$C$32, $C$9, 100%, $E$9)</f>
        <v>14.0656</v>
      </c>
      <c r="D950" s="9">
        <f>14.0665 * CHOOSE(CONTROL!$C$32, $C$9, 100%, $E$9)</f>
        <v>14.0665</v>
      </c>
      <c r="E950" s="11">
        <f>15.8331 * CHOOSE(CONTROL!$C$32, $C$9, 100%, $E$9)</f>
        <v>15.8331</v>
      </c>
      <c r="F950" s="11">
        <f>15.8331 * CHOOSE(CONTROL!$C$32, $C$9, 100%, $E$9)</f>
        <v>15.8331</v>
      </c>
      <c r="G950" s="11">
        <f>15.8363 * CHOOSE(CONTROL!$C$32, $C$9, 100%, $E$9)</f>
        <v>15.8363</v>
      </c>
      <c r="H950" s="11">
        <f>33.2829 * CHOOSE(CONTROL!$C$32, $C$9, 100%, $E$9)</f>
        <v>33.282899999999998</v>
      </c>
      <c r="I950" s="11">
        <f>33.2861 * CHOOSE(CONTROL!$C$32, $C$9, 100%, $E$9)</f>
        <v>33.286099999999998</v>
      </c>
      <c r="J950" s="11">
        <f>33.2829 * CHOOSE(CONTROL!$C$32, $C$9, 100%, $E$9)</f>
        <v>33.282899999999998</v>
      </c>
      <c r="K950" s="11">
        <f>33.2861 * CHOOSE(CONTROL!$C$32, $C$9, 100%, $E$9)</f>
        <v>33.286099999999998</v>
      </c>
      <c r="L950" s="11">
        <f>15.8331 * CHOOSE(CONTROL!$C$32, $C$9, 100%, $E$9)</f>
        <v>15.8331</v>
      </c>
      <c r="M950" s="11">
        <f>15.8363 * CHOOSE(CONTROL!$C$32, $C$9, 100%, $E$9)</f>
        <v>15.8363</v>
      </c>
      <c r="N950" s="11">
        <f>15.8331 * CHOOSE(CONTROL!$C$32, $C$9, 100%, $E$9)</f>
        <v>15.8331</v>
      </c>
      <c r="O950" s="11">
        <f>15.8363 * CHOOSE(CONTROL!$C$32, $C$9, 100%, $E$9)</f>
        <v>15.8363</v>
      </c>
    </row>
    <row r="951" spans="1:15" ht="15" x14ac:dyDescent="0.2">
      <c r="A951" s="13">
        <v>69795</v>
      </c>
      <c r="B951" s="9">
        <f>14.0626 * CHOOSE(CONTROL!$C$32, $C$9, 100%, $E$9)</f>
        <v>14.0626</v>
      </c>
      <c r="C951" s="9">
        <f>14.0626 * CHOOSE(CONTROL!$C$32, $C$9, 100%, $E$9)</f>
        <v>14.0626</v>
      </c>
      <c r="D951" s="9">
        <f>14.0635 * CHOOSE(CONTROL!$C$32, $C$9, 100%, $E$9)</f>
        <v>14.063499999999999</v>
      </c>
      <c r="E951" s="11">
        <f>15.3933 * CHOOSE(CONTROL!$C$32, $C$9, 100%, $E$9)</f>
        <v>15.3933</v>
      </c>
      <c r="F951" s="11">
        <f>15.3933 * CHOOSE(CONTROL!$C$32, $C$9, 100%, $E$9)</f>
        <v>15.3933</v>
      </c>
      <c r="G951" s="11">
        <f>15.3965 * CHOOSE(CONTROL!$C$32, $C$9, 100%, $E$9)</f>
        <v>15.3965</v>
      </c>
      <c r="H951" s="11">
        <f>33.3522 * CHOOSE(CONTROL!$C$32, $C$9, 100%, $E$9)</f>
        <v>33.352200000000003</v>
      </c>
      <c r="I951" s="11">
        <f>33.3554 * CHOOSE(CONTROL!$C$32, $C$9, 100%, $E$9)</f>
        <v>33.355400000000003</v>
      </c>
      <c r="J951" s="11">
        <f>33.3522 * CHOOSE(CONTROL!$C$32, $C$9, 100%, $E$9)</f>
        <v>33.352200000000003</v>
      </c>
      <c r="K951" s="11">
        <f>33.3554 * CHOOSE(CONTROL!$C$32, $C$9, 100%, $E$9)</f>
        <v>33.355400000000003</v>
      </c>
      <c r="L951" s="11">
        <f>15.3933 * CHOOSE(CONTROL!$C$32, $C$9, 100%, $E$9)</f>
        <v>15.3933</v>
      </c>
      <c r="M951" s="11">
        <f>15.3965 * CHOOSE(CONTROL!$C$32, $C$9, 100%, $E$9)</f>
        <v>15.3965</v>
      </c>
      <c r="N951" s="11">
        <f>15.3933 * CHOOSE(CONTROL!$C$32, $C$9, 100%, $E$9)</f>
        <v>15.3933</v>
      </c>
      <c r="O951" s="11">
        <f>15.3965 * CHOOSE(CONTROL!$C$32, $C$9, 100%, $E$9)</f>
        <v>15.3965</v>
      </c>
    </row>
    <row r="952" spans="1:15" ht="15" x14ac:dyDescent="0.2">
      <c r="A952" s="13">
        <v>69823</v>
      </c>
      <c r="B952" s="9">
        <f>14.0595 * CHOOSE(CONTROL!$C$32, $C$9, 100%, $E$9)</f>
        <v>14.0595</v>
      </c>
      <c r="C952" s="9">
        <f>14.0595 * CHOOSE(CONTROL!$C$32, $C$9, 100%, $E$9)</f>
        <v>14.0595</v>
      </c>
      <c r="D952" s="9">
        <f>14.0605 * CHOOSE(CONTROL!$C$32, $C$9, 100%, $E$9)</f>
        <v>14.060499999999999</v>
      </c>
      <c r="E952" s="11">
        <f>15.7362 * CHOOSE(CONTROL!$C$32, $C$9, 100%, $E$9)</f>
        <v>15.7362</v>
      </c>
      <c r="F952" s="11">
        <f>15.7362 * CHOOSE(CONTROL!$C$32, $C$9, 100%, $E$9)</f>
        <v>15.7362</v>
      </c>
      <c r="G952" s="11">
        <f>15.7394 * CHOOSE(CONTROL!$C$32, $C$9, 100%, $E$9)</f>
        <v>15.7394</v>
      </c>
      <c r="H952" s="11">
        <f>33.4217 * CHOOSE(CONTROL!$C$32, $C$9, 100%, $E$9)</f>
        <v>33.421700000000001</v>
      </c>
      <c r="I952" s="11">
        <f>33.4249 * CHOOSE(CONTROL!$C$32, $C$9, 100%, $E$9)</f>
        <v>33.424900000000001</v>
      </c>
      <c r="J952" s="11">
        <f>33.4217 * CHOOSE(CONTROL!$C$32, $C$9, 100%, $E$9)</f>
        <v>33.421700000000001</v>
      </c>
      <c r="K952" s="11">
        <f>33.4249 * CHOOSE(CONTROL!$C$32, $C$9, 100%, $E$9)</f>
        <v>33.424900000000001</v>
      </c>
      <c r="L952" s="11">
        <f>15.7362 * CHOOSE(CONTROL!$C$32, $C$9, 100%, $E$9)</f>
        <v>15.7362</v>
      </c>
      <c r="M952" s="11">
        <f>15.7394 * CHOOSE(CONTROL!$C$32, $C$9, 100%, $E$9)</f>
        <v>15.7394</v>
      </c>
      <c r="N952" s="11">
        <f>15.7362 * CHOOSE(CONTROL!$C$32, $C$9, 100%, $E$9)</f>
        <v>15.7362</v>
      </c>
      <c r="O952" s="11">
        <f>15.7394 * CHOOSE(CONTROL!$C$32, $C$9, 100%, $E$9)</f>
        <v>15.7394</v>
      </c>
    </row>
    <row r="953" spans="1:15" ht="15" x14ac:dyDescent="0.2">
      <c r="A953" s="13">
        <v>69854</v>
      </c>
      <c r="B953" s="9">
        <f>14.0669 * CHOOSE(CONTROL!$C$32, $C$9, 100%, $E$9)</f>
        <v>14.0669</v>
      </c>
      <c r="C953" s="9">
        <f>14.0669 * CHOOSE(CONTROL!$C$32, $C$9, 100%, $E$9)</f>
        <v>14.0669</v>
      </c>
      <c r="D953" s="9">
        <f>14.0679 * CHOOSE(CONTROL!$C$32, $C$9, 100%, $E$9)</f>
        <v>14.0679</v>
      </c>
      <c r="E953" s="11">
        <f>16.1026 * CHOOSE(CONTROL!$C$32, $C$9, 100%, $E$9)</f>
        <v>16.102599999999999</v>
      </c>
      <c r="F953" s="11">
        <f>16.1026 * CHOOSE(CONTROL!$C$32, $C$9, 100%, $E$9)</f>
        <v>16.102599999999999</v>
      </c>
      <c r="G953" s="11">
        <f>16.1058 * CHOOSE(CONTROL!$C$32, $C$9, 100%, $E$9)</f>
        <v>16.105799999999999</v>
      </c>
      <c r="H953" s="11">
        <f>33.4913 * CHOOSE(CONTROL!$C$32, $C$9, 100%, $E$9)</f>
        <v>33.491300000000003</v>
      </c>
      <c r="I953" s="11">
        <f>33.4946 * CHOOSE(CONTROL!$C$32, $C$9, 100%, $E$9)</f>
        <v>33.494599999999998</v>
      </c>
      <c r="J953" s="11">
        <f>33.4913 * CHOOSE(CONTROL!$C$32, $C$9, 100%, $E$9)</f>
        <v>33.491300000000003</v>
      </c>
      <c r="K953" s="11">
        <f>33.4946 * CHOOSE(CONTROL!$C$32, $C$9, 100%, $E$9)</f>
        <v>33.494599999999998</v>
      </c>
      <c r="L953" s="11">
        <f>16.1026 * CHOOSE(CONTROL!$C$32, $C$9, 100%, $E$9)</f>
        <v>16.102599999999999</v>
      </c>
      <c r="M953" s="11">
        <f>16.1058 * CHOOSE(CONTROL!$C$32, $C$9, 100%, $E$9)</f>
        <v>16.105799999999999</v>
      </c>
      <c r="N953" s="11">
        <f>16.1026 * CHOOSE(CONTROL!$C$32, $C$9, 100%, $E$9)</f>
        <v>16.102599999999999</v>
      </c>
      <c r="O953" s="11">
        <f>16.1058 * CHOOSE(CONTROL!$C$32, $C$9, 100%, $E$9)</f>
        <v>16.105799999999999</v>
      </c>
    </row>
    <row r="954" spans="1:15" ht="15" x14ac:dyDescent="0.2">
      <c r="A954" s="13">
        <v>69884</v>
      </c>
      <c r="B954" s="9">
        <f>14.0669 * CHOOSE(CONTROL!$C$32, $C$9, 100%, $E$9)</f>
        <v>14.0669</v>
      </c>
      <c r="C954" s="9">
        <f>14.0669 * CHOOSE(CONTROL!$C$32, $C$9, 100%, $E$9)</f>
        <v>14.0669</v>
      </c>
      <c r="D954" s="9">
        <f>14.0682 * CHOOSE(CONTROL!$C$32, $C$9, 100%, $E$9)</f>
        <v>14.068199999999999</v>
      </c>
      <c r="E954" s="11">
        <f>16.2415 * CHOOSE(CONTROL!$C$32, $C$9, 100%, $E$9)</f>
        <v>16.241499999999998</v>
      </c>
      <c r="F954" s="11">
        <f>16.2415 * CHOOSE(CONTROL!$C$32, $C$9, 100%, $E$9)</f>
        <v>16.241499999999998</v>
      </c>
      <c r="G954" s="11">
        <f>16.2457 * CHOOSE(CONTROL!$C$32, $C$9, 100%, $E$9)</f>
        <v>16.245699999999999</v>
      </c>
      <c r="H954" s="11">
        <f>33.5611 * CHOOSE(CONTROL!$C$32, $C$9, 100%, $E$9)</f>
        <v>33.561100000000003</v>
      </c>
      <c r="I954" s="11">
        <f>33.5653 * CHOOSE(CONTROL!$C$32, $C$9, 100%, $E$9)</f>
        <v>33.565300000000001</v>
      </c>
      <c r="J954" s="11">
        <f>33.5611 * CHOOSE(CONTROL!$C$32, $C$9, 100%, $E$9)</f>
        <v>33.561100000000003</v>
      </c>
      <c r="K954" s="11">
        <f>33.5653 * CHOOSE(CONTROL!$C$32, $C$9, 100%, $E$9)</f>
        <v>33.565300000000001</v>
      </c>
      <c r="L954" s="11">
        <f>16.2415 * CHOOSE(CONTROL!$C$32, $C$9, 100%, $E$9)</f>
        <v>16.241499999999998</v>
      </c>
      <c r="M954" s="11">
        <f>16.2457 * CHOOSE(CONTROL!$C$32, $C$9, 100%, $E$9)</f>
        <v>16.245699999999999</v>
      </c>
      <c r="N954" s="11">
        <f>16.2415 * CHOOSE(CONTROL!$C$32, $C$9, 100%, $E$9)</f>
        <v>16.241499999999998</v>
      </c>
      <c r="O954" s="11">
        <f>16.2457 * CHOOSE(CONTROL!$C$32, $C$9, 100%, $E$9)</f>
        <v>16.245699999999999</v>
      </c>
    </row>
    <row r="955" spans="1:15" ht="15" x14ac:dyDescent="0.2">
      <c r="A955" s="13">
        <v>69915</v>
      </c>
      <c r="B955" s="9">
        <f>14.073 * CHOOSE(CONTROL!$C$32, $C$9, 100%, $E$9)</f>
        <v>14.073</v>
      </c>
      <c r="C955" s="9">
        <f>14.073 * CHOOSE(CONTROL!$C$32, $C$9, 100%, $E$9)</f>
        <v>14.073</v>
      </c>
      <c r="D955" s="9">
        <f>14.0743 * CHOOSE(CONTROL!$C$32, $C$9, 100%, $E$9)</f>
        <v>14.074299999999999</v>
      </c>
      <c r="E955" s="11">
        <f>16.1068 * CHOOSE(CONTROL!$C$32, $C$9, 100%, $E$9)</f>
        <v>16.1068</v>
      </c>
      <c r="F955" s="11">
        <f>16.1068 * CHOOSE(CONTROL!$C$32, $C$9, 100%, $E$9)</f>
        <v>16.1068</v>
      </c>
      <c r="G955" s="11">
        <f>16.111 * CHOOSE(CONTROL!$C$32, $C$9, 100%, $E$9)</f>
        <v>16.111000000000001</v>
      </c>
      <c r="H955" s="11">
        <f>33.631 * CHOOSE(CONTROL!$C$32, $C$9, 100%, $E$9)</f>
        <v>33.631</v>
      </c>
      <c r="I955" s="11">
        <f>33.6352 * CHOOSE(CONTROL!$C$32, $C$9, 100%, $E$9)</f>
        <v>33.635199999999998</v>
      </c>
      <c r="J955" s="11">
        <f>33.631 * CHOOSE(CONTROL!$C$32, $C$9, 100%, $E$9)</f>
        <v>33.631</v>
      </c>
      <c r="K955" s="11">
        <f>33.6352 * CHOOSE(CONTROL!$C$32, $C$9, 100%, $E$9)</f>
        <v>33.635199999999998</v>
      </c>
      <c r="L955" s="11">
        <f>16.1068 * CHOOSE(CONTROL!$C$32, $C$9, 100%, $E$9)</f>
        <v>16.1068</v>
      </c>
      <c r="M955" s="11">
        <f>16.111 * CHOOSE(CONTROL!$C$32, $C$9, 100%, $E$9)</f>
        <v>16.111000000000001</v>
      </c>
      <c r="N955" s="11">
        <f>16.1068 * CHOOSE(CONTROL!$C$32, $C$9, 100%, $E$9)</f>
        <v>16.1068</v>
      </c>
      <c r="O955" s="11">
        <f>16.111 * CHOOSE(CONTROL!$C$32, $C$9, 100%, $E$9)</f>
        <v>16.111000000000001</v>
      </c>
    </row>
    <row r="956" spans="1:15" ht="15" x14ac:dyDescent="0.2">
      <c r="A956" s="13">
        <v>69945</v>
      </c>
      <c r="B956" s="9">
        <f>14.2421 * CHOOSE(CONTROL!$C$32, $C$9, 100%, $E$9)</f>
        <v>14.242100000000001</v>
      </c>
      <c r="C956" s="9">
        <f>14.2421 * CHOOSE(CONTROL!$C$32, $C$9, 100%, $E$9)</f>
        <v>14.242100000000001</v>
      </c>
      <c r="D956" s="9">
        <f>14.2433 * CHOOSE(CONTROL!$C$32, $C$9, 100%, $E$9)</f>
        <v>14.2433</v>
      </c>
      <c r="E956" s="11">
        <f>16.3355 * CHOOSE(CONTROL!$C$32, $C$9, 100%, $E$9)</f>
        <v>16.3355</v>
      </c>
      <c r="F956" s="11">
        <f>16.3355 * CHOOSE(CONTROL!$C$32, $C$9, 100%, $E$9)</f>
        <v>16.3355</v>
      </c>
      <c r="G956" s="11">
        <f>16.3397 * CHOOSE(CONTROL!$C$32, $C$9, 100%, $E$9)</f>
        <v>16.339700000000001</v>
      </c>
      <c r="H956" s="11">
        <f>33.7011 * CHOOSE(CONTROL!$C$32, $C$9, 100%, $E$9)</f>
        <v>33.701099999999997</v>
      </c>
      <c r="I956" s="11">
        <f>33.7053 * CHOOSE(CONTROL!$C$32, $C$9, 100%, $E$9)</f>
        <v>33.705300000000001</v>
      </c>
      <c r="J956" s="11">
        <f>33.7011 * CHOOSE(CONTROL!$C$32, $C$9, 100%, $E$9)</f>
        <v>33.701099999999997</v>
      </c>
      <c r="K956" s="11">
        <f>33.7053 * CHOOSE(CONTROL!$C$32, $C$9, 100%, $E$9)</f>
        <v>33.705300000000001</v>
      </c>
      <c r="L956" s="11">
        <f>16.3355 * CHOOSE(CONTROL!$C$32, $C$9, 100%, $E$9)</f>
        <v>16.3355</v>
      </c>
      <c r="M956" s="11">
        <f>16.3397 * CHOOSE(CONTROL!$C$32, $C$9, 100%, $E$9)</f>
        <v>16.339700000000001</v>
      </c>
      <c r="N956" s="11">
        <f>16.3355 * CHOOSE(CONTROL!$C$32, $C$9, 100%, $E$9)</f>
        <v>16.3355</v>
      </c>
      <c r="O956" s="11">
        <f>16.3397 * CHOOSE(CONTROL!$C$32, $C$9, 100%, $E$9)</f>
        <v>16.339700000000001</v>
      </c>
    </row>
    <row r="957" spans="1:15" ht="15" x14ac:dyDescent="0.2">
      <c r="A957" s="13">
        <v>69976</v>
      </c>
      <c r="B957" s="9">
        <f>14.2488 * CHOOSE(CONTROL!$C$32, $C$9, 100%, $E$9)</f>
        <v>14.248799999999999</v>
      </c>
      <c r="C957" s="9">
        <f>14.2488 * CHOOSE(CONTROL!$C$32, $C$9, 100%, $E$9)</f>
        <v>14.248799999999999</v>
      </c>
      <c r="D957" s="9">
        <f>14.25 * CHOOSE(CONTROL!$C$32, $C$9, 100%, $E$9)</f>
        <v>14.25</v>
      </c>
      <c r="E957" s="11">
        <f>15.9232 * CHOOSE(CONTROL!$C$32, $C$9, 100%, $E$9)</f>
        <v>15.9232</v>
      </c>
      <c r="F957" s="11">
        <f>15.9232 * CHOOSE(CONTROL!$C$32, $C$9, 100%, $E$9)</f>
        <v>15.9232</v>
      </c>
      <c r="G957" s="11">
        <f>15.9274 * CHOOSE(CONTROL!$C$32, $C$9, 100%, $E$9)</f>
        <v>15.9274</v>
      </c>
      <c r="H957" s="11">
        <f>33.7713 * CHOOSE(CONTROL!$C$32, $C$9, 100%, $E$9)</f>
        <v>33.771299999999997</v>
      </c>
      <c r="I957" s="11">
        <f>33.7755 * CHOOSE(CONTROL!$C$32, $C$9, 100%, $E$9)</f>
        <v>33.775500000000001</v>
      </c>
      <c r="J957" s="11">
        <f>33.7713 * CHOOSE(CONTROL!$C$32, $C$9, 100%, $E$9)</f>
        <v>33.771299999999997</v>
      </c>
      <c r="K957" s="11">
        <f>33.7755 * CHOOSE(CONTROL!$C$32, $C$9, 100%, $E$9)</f>
        <v>33.775500000000001</v>
      </c>
      <c r="L957" s="11">
        <f>15.9232 * CHOOSE(CONTROL!$C$32, $C$9, 100%, $E$9)</f>
        <v>15.9232</v>
      </c>
      <c r="M957" s="11">
        <f>15.9274 * CHOOSE(CONTROL!$C$32, $C$9, 100%, $E$9)</f>
        <v>15.9274</v>
      </c>
      <c r="N957" s="11">
        <f>15.9232 * CHOOSE(CONTROL!$C$32, $C$9, 100%, $E$9)</f>
        <v>15.9232</v>
      </c>
      <c r="O957" s="11">
        <f>15.9274 * CHOOSE(CONTROL!$C$32, $C$9, 100%, $E$9)</f>
        <v>15.9274</v>
      </c>
    </row>
    <row r="958" spans="1:15" ht="15" x14ac:dyDescent="0.2">
      <c r="A958" s="13">
        <v>70007</v>
      </c>
      <c r="B958" s="9">
        <f>14.2457 * CHOOSE(CONTROL!$C$32, $C$9, 100%, $E$9)</f>
        <v>14.245699999999999</v>
      </c>
      <c r="C958" s="9">
        <f>14.2457 * CHOOSE(CONTROL!$C$32, $C$9, 100%, $E$9)</f>
        <v>14.245699999999999</v>
      </c>
      <c r="D958" s="9">
        <f>14.247 * CHOOSE(CONTROL!$C$32, $C$9, 100%, $E$9)</f>
        <v>14.247</v>
      </c>
      <c r="E958" s="11">
        <f>15.8748 * CHOOSE(CONTROL!$C$32, $C$9, 100%, $E$9)</f>
        <v>15.8748</v>
      </c>
      <c r="F958" s="11">
        <f>15.8748 * CHOOSE(CONTROL!$C$32, $C$9, 100%, $E$9)</f>
        <v>15.8748</v>
      </c>
      <c r="G958" s="11">
        <f>15.879 * CHOOSE(CONTROL!$C$32, $C$9, 100%, $E$9)</f>
        <v>15.879</v>
      </c>
      <c r="H958" s="11">
        <f>33.8417 * CHOOSE(CONTROL!$C$32, $C$9, 100%, $E$9)</f>
        <v>33.841700000000003</v>
      </c>
      <c r="I958" s="11">
        <f>33.8459 * CHOOSE(CONTROL!$C$32, $C$9, 100%, $E$9)</f>
        <v>33.8459</v>
      </c>
      <c r="J958" s="11">
        <f>33.8417 * CHOOSE(CONTROL!$C$32, $C$9, 100%, $E$9)</f>
        <v>33.841700000000003</v>
      </c>
      <c r="K958" s="11">
        <f>33.8459 * CHOOSE(CONTROL!$C$32, $C$9, 100%, $E$9)</f>
        <v>33.8459</v>
      </c>
      <c r="L958" s="11">
        <f>15.8748 * CHOOSE(CONTROL!$C$32, $C$9, 100%, $E$9)</f>
        <v>15.8748</v>
      </c>
      <c r="M958" s="11">
        <f>15.879 * CHOOSE(CONTROL!$C$32, $C$9, 100%, $E$9)</f>
        <v>15.879</v>
      </c>
      <c r="N958" s="11">
        <f>15.8748 * CHOOSE(CONTROL!$C$32, $C$9, 100%, $E$9)</f>
        <v>15.8748</v>
      </c>
      <c r="O958" s="11">
        <f>15.879 * CHOOSE(CONTROL!$C$32, $C$9, 100%, $E$9)</f>
        <v>15.879</v>
      </c>
    </row>
    <row r="959" spans="1:15" ht="15" x14ac:dyDescent="0.2">
      <c r="A959" s="13">
        <v>70037</v>
      </c>
      <c r="B959" s="9">
        <f>14.2791 * CHOOSE(CONTROL!$C$32, $C$9, 100%, $E$9)</f>
        <v>14.2791</v>
      </c>
      <c r="C959" s="9">
        <f>14.2791 * CHOOSE(CONTROL!$C$32, $C$9, 100%, $E$9)</f>
        <v>14.2791</v>
      </c>
      <c r="D959" s="9">
        <f>14.28 * CHOOSE(CONTROL!$C$32, $C$9, 100%, $E$9)</f>
        <v>14.28</v>
      </c>
      <c r="E959" s="11">
        <f>16.0467 * CHOOSE(CONTROL!$C$32, $C$9, 100%, $E$9)</f>
        <v>16.046700000000001</v>
      </c>
      <c r="F959" s="11">
        <f>16.0467 * CHOOSE(CONTROL!$C$32, $C$9, 100%, $E$9)</f>
        <v>16.046700000000001</v>
      </c>
      <c r="G959" s="11">
        <f>16.0499 * CHOOSE(CONTROL!$C$32, $C$9, 100%, $E$9)</f>
        <v>16.049900000000001</v>
      </c>
      <c r="H959" s="11">
        <f>33.9122 * CHOOSE(CONTROL!$C$32, $C$9, 100%, $E$9)</f>
        <v>33.912199999999999</v>
      </c>
      <c r="I959" s="11">
        <f>33.9154 * CHOOSE(CONTROL!$C$32, $C$9, 100%, $E$9)</f>
        <v>33.915399999999998</v>
      </c>
      <c r="J959" s="11">
        <f>33.9122 * CHOOSE(CONTROL!$C$32, $C$9, 100%, $E$9)</f>
        <v>33.912199999999999</v>
      </c>
      <c r="K959" s="11">
        <f>33.9154 * CHOOSE(CONTROL!$C$32, $C$9, 100%, $E$9)</f>
        <v>33.915399999999998</v>
      </c>
      <c r="L959" s="11">
        <f>16.0467 * CHOOSE(CONTROL!$C$32, $C$9, 100%, $E$9)</f>
        <v>16.046700000000001</v>
      </c>
      <c r="M959" s="11">
        <f>16.0499 * CHOOSE(CONTROL!$C$32, $C$9, 100%, $E$9)</f>
        <v>16.049900000000001</v>
      </c>
      <c r="N959" s="11">
        <f>16.0467 * CHOOSE(CONTROL!$C$32, $C$9, 100%, $E$9)</f>
        <v>16.046700000000001</v>
      </c>
      <c r="O959" s="11">
        <f>16.0499 * CHOOSE(CONTROL!$C$32, $C$9, 100%, $E$9)</f>
        <v>16.049900000000001</v>
      </c>
    </row>
    <row r="960" spans="1:15" ht="15" x14ac:dyDescent="0.2">
      <c r="A960" s="13">
        <v>70068</v>
      </c>
      <c r="B960" s="9">
        <f>14.2821 * CHOOSE(CONTROL!$C$32, $C$9, 100%, $E$9)</f>
        <v>14.2821</v>
      </c>
      <c r="C960" s="9">
        <f>14.2821 * CHOOSE(CONTROL!$C$32, $C$9, 100%, $E$9)</f>
        <v>14.2821</v>
      </c>
      <c r="D960" s="9">
        <f>14.2831 * CHOOSE(CONTROL!$C$32, $C$9, 100%, $E$9)</f>
        <v>14.283099999999999</v>
      </c>
      <c r="E960" s="11">
        <f>16.1414 * CHOOSE(CONTROL!$C$32, $C$9, 100%, $E$9)</f>
        <v>16.141400000000001</v>
      </c>
      <c r="F960" s="11">
        <f>16.1414 * CHOOSE(CONTROL!$C$32, $C$9, 100%, $E$9)</f>
        <v>16.141400000000001</v>
      </c>
      <c r="G960" s="11">
        <f>16.1447 * CHOOSE(CONTROL!$C$32, $C$9, 100%, $E$9)</f>
        <v>16.1447</v>
      </c>
      <c r="H960" s="11">
        <f>33.9828 * CHOOSE(CONTROL!$C$32, $C$9, 100%, $E$9)</f>
        <v>33.982799999999997</v>
      </c>
      <c r="I960" s="11">
        <f>33.986 * CHOOSE(CONTROL!$C$32, $C$9, 100%, $E$9)</f>
        <v>33.985999999999997</v>
      </c>
      <c r="J960" s="11">
        <f>33.9828 * CHOOSE(CONTROL!$C$32, $C$9, 100%, $E$9)</f>
        <v>33.982799999999997</v>
      </c>
      <c r="K960" s="11">
        <f>33.986 * CHOOSE(CONTROL!$C$32, $C$9, 100%, $E$9)</f>
        <v>33.985999999999997</v>
      </c>
      <c r="L960" s="11">
        <f>16.1414 * CHOOSE(CONTROL!$C$32, $C$9, 100%, $E$9)</f>
        <v>16.141400000000001</v>
      </c>
      <c r="M960" s="11">
        <f>16.1447 * CHOOSE(CONTROL!$C$32, $C$9, 100%, $E$9)</f>
        <v>16.1447</v>
      </c>
      <c r="N960" s="11">
        <f>16.1414 * CHOOSE(CONTROL!$C$32, $C$9, 100%, $E$9)</f>
        <v>16.141400000000001</v>
      </c>
      <c r="O960" s="11">
        <f>16.1447 * CHOOSE(CONTROL!$C$32, $C$9, 100%, $E$9)</f>
        <v>16.1447</v>
      </c>
    </row>
    <row r="961" spans="1:15" ht="15" x14ac:dyDescent="0.2">
      <c r="A961" s="13">
        <v>70098</v>
      </c>
      <c r="B961" s="9">
        <f>14.2821 * CHOOSE(CONTROL!$C$32, $C$9, 100%, $E$9)</f>
        <v>14.2821</v>
      </c>
      <c r="C961" s="9">
        <f>14.2821 * CHOOSE(CONTROL!$C$32, $C$9, 100%, $E$9)</f>
        <v>14.2821</v>
      </c>
      <c r="D961" s="9">
        <f>14.2831 * CHOOSE(CONTROL!$C$32, $C$9, 100%, $E$9)</f>
        <v>14.283099999999999</v>
      </c>
      <c r="E961" s="11">
        <f>15.9098 * CHOOSE(CONTROL!$C$32, $C$9, 100%, $E$9)</f>
        <v>15.909800000000001</v>
      </c>
      <c r="F961" s="11">
        <f>15.9098 * CHOOSE(CONTROL!$C$32, $C$9, 100%, $E$9)</f>
        <v>15.909800000000001</v>
      </c>
      <c r="G961" s="11">
        <f>15.9131 * CHOOSE(CONTROL!$C$32, $C$9, 100%, $E$9)</f>
        <v>15.9131</v>
      </c>
      <c r="H961" s="11">
        <f>34.0536 * CHOOSE(CONTROL!$C$32, $C$9, 100%, $E$9)</f>
        <v>34.053600000000003</v>
      </c>
      <c r="I961" s="11">
        <f>34.0568 * CHOOSE(CONTROL!$C$32, $C$9, 100%, $E$9)</f>
        <v>34.056800000000003</v>
      </c>
      <c r="J961" s="11">
        <f>34.0536 * CHOOSE(CONTROL!$C$32, $C$9, 100%, $E$9)</f>
        <v>34.053600000000003</v>
      </c>
      <c r="K961" s="11">
        <f>34.0568 * CHOOSE(CONTROL!$C$32, $C$9, 100%, $E$9)</f>
        <v>34.056800000000003</v>
      </c>
      <c r="L961" s="11">
        <f>15.9098 * CHOOSE(CONTROL!$C$32, $C$9, 100%, $E$9)</f>
        <v>15.909800000000001</v>
      </c>
      <c r="M961" s="11">
        <f>15.9131 * CHOOSE(CONTROL!$C$32, $C$9, 100%, $E$9)</f>
        <v>15.9131</v>
      </c>
      <c r="N961" s="11">
        <f>15.9098 * CHOOSE(CONTROL!$C$32, $C$9, 100%, $E$9)</f>
        <v>15.909800000000001</v>
      </c>
      <c r="O961" s="11">
        <f>15.9131 * CHOOSE(CONTROL!$C$32, $C$9, 100%, $E$9)</f>
        <v>15.9131</v>
      </c>
    </row>
    <row r="962" spans="1:15" ht="15" x14ac:dyDescent="0.2">
      <c r="A962" s="13">
        <v>70129</v>
      </c>
      <c r="B962" s="9">
        <f>14.253 * CHOOSE(CONTROL!$C$32, $C$9, 100%, $E$9)</f>
        <v>14.253</v>
      </c>
      <c r="C962" s="9">
        <f>14.253 * CHOOSE(CONTROL!$C$32, $C$9, 100%, $E$9)</f>
        <v>14.253</v>
      </c>
      <c r="D962" s="9">
        <f>14.2539 * CHOOSE(CONTROL!$C$32, $C$9, 100%, $E$9)</f>
        <v>14.2539</v>
      </c>
      <c r="E962" s="11">
        <f>16.0456 * CHOOSE(CONTROL!$C$32, $C$9, 100%, $E$9)</f>
        <v>16.0456</v>
      </c>
      <c r="F962" s="11">
        <f>16.0456 * CHOOSE(CONTROL!$C$32, $C$9, 100%, $E$9)</f>
        <v>16.0456</v>
      </c>
      <c r="G962" s="11">
        <f>16.0488 * CHOOSE(CONTROL!$C$32, $C$9, 100%, $E$9)</f>
        <v>16.0488</v>
      </c>
      <c r="H962" s="11">
        <f>33.7547 * CHOOSE(CONTROL!$C$32, $C$9, 100%, $E$9)</f>
        <v>33.7547</v>
      </c>
      <c r="I962" s="11">
        <f>33.7579 * CHOOSE(CONTROL!$C$32, $C$9, 100%, $E$9)</f>
        <v>33.757899999999999</v>
      </c>
      <c r="J962" s="11">
        <f>33.7547 * CHOOSE(CONTROL!$C$32, $C$9, 100%, $E$9)</f>
        <v>33.7547</v>
      </c>
      <c r="K962" s="11">
        <f>33.7579 * CHOOSE(CONTROL!$C$32, $C$9, 100%, $E$9)</f>
        <v>33.757899999999999</v>
      </c>
      <c r="L962" s="11">
        <f>16.0456 * CHOOSE(CONTROL!$C$32, $C$9, 100%, $E$9)</f>
        <v>16.0456</v>
      </c>
      <c r="M962" s="11">
        <f>16.0488 * CHOOSE(CONTROL!$C$32, $C$9, 100%, $E$9)</f>
        <v>16.0488</v>
      </c>
      <c r="N962" s="11">
        <f>16.0456 * CHOOSE(CONTROL!$C$32, $C$9, 100%, $E$9)</f>
        <v>16.0456</v>
      </c>
      <c r="O962" s="11">
        <f>16.0488 * CHOOSE(CONTROL!$C$32, $C$9, 100%, $E$9)</f>
        <v>16.0488</v>
      </c>
    </row>
    <row r="963" spans="1:15" ht="15" x14ac:dyDescent="0.2">
      <c r="A963" s="13">
        <v>70160</v>
      </c>
      <c r="B963" s="9">
        <f>14.2499 * CHOOSE(CONTROL!$C$32, $C$9, 100%, $E$9)</f>
        <v>14.2499</v>
      </c>
      <c r="C963" s="9">
        <f>14.2499 * CHOOSE(CONTROL!$C$32, $C$9, 100%, $E$9)</f>
        <v>14.2499</v>
      </c>
      <c r="D963" s="9">
        <f>14.2509 * CHOOSE(CONTROL!$C$32, $C$9, 100%, $E$9)</f>
        <v>14.2509</v>
      </c>
      <c r="E963" s="11">
        <f>15.5987 * CHOOSE(CONTROL!$C$32, $C$9, 100%, $E$9)</f>
        <v>15.598699999999999</v>
      </c>
      <c r="F963" s="11">
        <f>15.5987 * CHOOSE(CONTROL!$C$32, $C$9, 100%, $E$9)</f>
        <v>15.598699999999999</v>
      </c>
      <c r="G963" s="11">
        <f>15.6019 * CHOOSE(CONTROL!$C$32, $C$9, 100%, $E$9)</f>
        <v>15.601900000000001</v>
      </c>
      <c r="H963" s="11">
        <f>33.825 * CHOOSE(CONTROL!$C$32, $C$9, 100%, $E$9)</f>
        <v>33.825000000000003</v>
      </c>
      <c r="I963" s="11">
        <f>33.8282 * CHOOSE(CONTROL!$C$32, $C$9, 100%, $E$9)</f>
        <v>33.828200000000002</v>
      </c>
      <c r="J963" s="11">
        <f>33.825 * CHOOSE(CONTROL!$C$32, $C$9, 100%, $E$9)</f>
        <v>33.825000000000003</v>
      </c>
      <c r="K963" s="11">
        <f>33.8282 * CHOOSE(CONTROL!$C$32, $C$9, 100%, $E$9)</f>
        <v>33.828200000000002</v>
      </c>
      <c r="L963" s="11">
        <f>15.5987 * CHOOSE(CONTROL!$C$32, $C$9, 100%, $E$9)</f>
        <v>15.598699999999999</v>
      </c>
      <c r="M963" s="11">
        <f>15.6019 * CHOOSE(CONTROL!$C$32, $C$9, 100%, $E$9)</f>
        <v>15.601900000000001</v>
      </c>
      <c r="N963" s="11">
        <f>15.5987 * CHOOSE(CONTROL!$C$32, $C$9, 100%, $E$9)</f>
        <v>15.598699999999999</v>
      </c>
      <c r="O963" s="11">
        <f>15.6019 * CHOOSE(CONTROL!$C$32, $C$9, 100%, $E$9)</f>
        <v>15.601900000000001</v>
      </c>
    </row>
    <row r="964" spans="1:15" ht="15" x14ac:dyDescent="0.2">
      <c r="A964" s="13">
        <v>70189</v>
      </c>
      <c r="B964" s="9">
        <f>14.2469 * CHOOSE(CONTROL!$C$32, $C$9, 100%, $E$9)</f>
        <v>14.2469</v>
      </c>
      <c r="C964" s="9">
        <f>14.2469 * CHOOSE(CONTROL!$C$32, $C$9, 100%, $E$9)</f>
        <v>14.2469</v>
      </c>
      <c r="D964" s="9">
        <f>14.2478 * CHOOSE(CONTROL!$C$32, $C$9, 100%, $E$9)</f>
        <v>14.2478</v>
      </c>
      <c r="E964" s="11">
        <f>15.9472 * CHOOSE(CONTROL!$C$32, $C$9, 100%, $E$9)</f>
        <v>15.9472</v>
      </c>
      <c r="F964" s="11">
        <f>15.9472 * CHOOSE(CONTROL!$C$32, $C$9, 100%, $E$9)</f>
        <v>15.9472</v>
      </c>
      <c r="G964" s="11">
        <f>15.9505 * CHOOSE(CONTROL!$C$32, $C$9, 100%, $E$9)</f>
        <v>15.9505</v>
      </c>
      <c r="H964" s="11">
        <f>33.8955 * CHOOSE(CONTROL!$C$32, $C$9, 100%, $E$9)</f>
        <v>33.895499999999998</v>
      </c>
      <c r="I964" s="11">
        <f>33.8987 * CHOOSE(CONTROL!$C$32, $C$9, 100%, $E$9)</f>
        <v>33.898699999999998</v>
      </c>
      <c r="J964" s="11">
        <f>33.8955 * CHOOSE(CONTROL!$C$32, $C$9, 100%, $E$9)</f>
        <v>33.895499999999998</v>
      </c>
      <c r="K964" s="11">
        <f>33.8987 * CHOOSE(CONTROL!$C$32, $C$9, 100%, $E$9)</f>
        <v>33.898699999999998</v>
      </c>
      <c r="L964" s="11">
        <f>15.9472 * CHOOSE(CONTROL!$C$32, $C$9, 100%, $E$9)</f>
        <v>15.9472</v>
      </c>
      <c r="M964" s="11">
        <f>15.9505 * CHOOSE(CONTROL!$C$32, $C$9, 100%, $E$9)</f>
        <v>15.9505</v>
      </c>
      <c r="N964" s="11">
        <f>15.9472 * CHOOSE(CONTROL!$C$32, $C$9, 100%, $E$9)</f>
        <v>15.9472</v>
      </c>
      <c r="O964" s="11">
        <f>15.9505 * CHOOSE(CONTROL!$C$32, $C$9, 100%, $E$9)</f>
        <v>15.9505</v>
      </c>
    </row>
    <row r="965" spans="1:15" ht="15" x14ac:dyDescent="0.2">
      <c r="A965" s="13">
        <v>70220</v>
      </c>
      <c r="B965" s="9">
        <f>14.2545 * CHOOSE(CONTROL!$C$32, $C$9, 100%, $E$9)</f>
        <v>14.2545</v>
      </c>
      <c r="C965" s="9">
        <f>14.2545 * CHOOSE(CONTROL!$C$32, $C$9, 100%, $E$9)</f>
        <v>14.2545</v>
      </c>
      <c r="D965" s="9">
        <f>14.2554 * CHOOSE(CONTROL!$C$32, $C$9, 100%, $E$9)</f>
        <v>14.2554</v>
      </c>
      <c r="E965" s="11">
        <f>16.3196 * CHOOSE(CONTROL!$C$32, $C$9, 100%, $E$9)</f>
        <v>16.319600000000001</v>
      </c>
      <c r="F965" s="11">
        <f>16.3196 * CHOOSE(CONTROL!$C$32, $C$9, 100%, $E$9)</f>
        <v>16.319600000000001</v>
      </c>
      <c r="G965" s="11">
        <f>16.3228 * CHOOSE(CONTROL!$C$32, $C$9, 100%, $E$9)</f>
        <v>16.322800000000001</v>
      </c>
      <c r="H965" s="11">
        <f>33.9661 * CHOOSE(CONTROL!$C$32, $C$9, 100%, $E$9)</f>
        <v>33.966099999999997</v>
      </c>
      <c r="I965" s="11">
        <f>33.9693 * CHOOSE(CONTROL!$C$32, $C$9, 100%, $E$9)</f>
        <v>33.969299999999997</v>
      </c>
      <c r="J965" s="11">
        <f>33.9661 * CHOOSE(CONTROL!$C$32, $C$9, 100%, $E$9)</f>
        <v>33.966099999999997</v>
      </c>
      <c r="K965" s="11">
        <f>33.9693 * CHOOSE(CONTROL!$C$32, $C$9, 100%, $E$9)</f>
        <v>33.969299999999997</v>
      </c>
      <c r="L965" s="11">
        <f>16.3196 * CHOOSE(CONTROL!$C$32, $C$9, 100%, $E$9)</f>
        <v>16.319600000000001</v>
      </c>
      <c r="M965" s="11">
        <f>16.3228 * CHOOSE(CONTROL!$C$32, $C$9, 100%, $E$9)</f>
        <v>16.322800000000001</v>
      </c>
      <c r="N965" s="11">
        <f>16.3196 * CHOOSE(CONTROL!$C$32, $C$9, 100%, $E$9)</f>
        <v>16.319600000000001</v>
      </c>
      <c r="O965" s="11">
        <f>16.3228 * CHOOSE(CONTROL!$C$32, $C$9, 100%, $E$9)</f>
        <v>16.322800000000001</v>
      </c>
    </row>
    <row r="966" spans="1:15" ht="15" x14ac:dyDescent="0.2">
      <c r="A966" s="13">
        <v>70250</v>
      </c>
      <c r="B966" s="9">
        <f>14.2545 * CHOOSE(CONTROL!$C$32, $C$9, 100%, $E$9)</f>
        <v>14.2545</v>
      </c>
      <c r="C966" s="9">
        <f>14.2545 * CHOOSE(CONTROL!$C$32, $C$9, 100%, $E$9)</f>
        <v>14.2545</v>
      </c>
      <c r="D966" s="9">
        <f>14.2557 * CHOOSE(CONTROL!$C$32, $C$9, 100%, $E$9)</f>
        <v>14.255699999999999</v>
      </c>
      <c r="E966" s="11">
        <f>16.4608 * CHOOSE(CONTROL!$C$32, $C$9, 100%, $E$9)</f>
        <v>16.460799999999999</v>
      </c>
      <c r="F966" s="11">
        <f>16.4608 * CHOOSE(CONTROL!$C$32, $C$9, 100%, $E$9)</f>
        <v>16.460799999999999</v>
      </c>
      <c r="G966" s="11">
        <f>16.465 * CHOOSE(CONTROL!$C$32, $C$9, 100%, $E$9)</f>
        <v>16.465</v>
      </c>
      <c r="H966" s="11">
        <f>34.0368 * CHOOSE(CONTROL!$C$32, $C$9, 100%, $E$9)</f>
        <v>34.036799999999999</v>
      </c>
      <c r="I966" s="11">
        <f>34.0411 * CHOOSE(CONTROL!$C$32, $C$9, 100%, $E$9)</f>
        <v>34.0411</v>
      </c>
      <c r="J966" s="11">
        <f>34.0368 * CHOOSE(CONTROL!$C$32, $C$9, 100%, $E$9)</f>
        <v>34.036799999999999</v>
      </c>
      <c r="K966" s="11">
        <f>34.0411 * CHOOSE(CONTROL!$C$32, $C$9, 100%, $E$9)</f>
        <v>34.0411</v>
      </c>
      <c r="L966" s="11">
        <f>16.4608 * CHOOSE(CONTROL!$C$32, $C$9, 100%, $E$9)</f>
        <v>16.460799999999999</v>
      </c>
      <c r="M966" s="11">
        <f>16.465 * CHOOSE(CONTROL!$C$32, $C$9, 100%, $E$9)</f>
        <v>16.465</v>
      </c>
      <c r="N966" s="11">
        <f>16.4608 * CHOOSE(CONTROL!$C$32, $C$9, 100%, $E$9)</f>
        <v>16.460799999999999</v>
      </c>
      <c r="O966" s="11">
        <f>16.465 * CHOOSE(CONTROL!$C$32, $C$9, 100%, $E$9)</f>
        <v>16.465</v>
      </c>
    </row>
    <row r="967" spans="1:15" ht="15" x14ac:dyDescent="0.2">
      <c r="A967" s="13">
        <v>70281</v>
      </c>
      <c r="B967" s="9">
        <f>14.2606 * CHOOSE(CONTROL!$C$32, $C$9, 100%, $E$9)</f>
        <v>14.2606</v>
      </c>
      <c r="C967" s="9">
        <f>14.2606 * CHOOSE(CONTROL!$C$32, $C$9, 100%, $E$9)</f>
        <v>14.2606</v>
      </c>
      <c r="D967" s="9">
        <f>14.2618 * CHOOSE(CONTROL!$C$32, $C$9, 100%, $E$9)</f>
        <v>14.261799999999999</v>
      </c>
      <c r="E967" s="11">
        <f>16.3238 * CHOOSE(CONTROL!$C$32, $C$9, 100%, $E$9)</f>
        <v>16.323799999999999</v>
      </c>
      <c r="F967" s="11">
        <f>16.3238 * CHOOSE(CONTROL!$C$32, $C$9, 100%, $E$9)</f>
        <v>16.323799999999999</v>
      </c>
      <c r="G967" s="11">
        <f>16.328 * CHOOSE(CONTROL!$C$32, $C$9, 100%, $E$9)</f>
        <v>16.327999999999999</v>
      </c>
      <c r="H967" s="11">
        <f>34.1078 * CHOOSE(CONTROL!$C$32, $C$9, 100%, $E$9)</f>
        <v>34.107799999999997</v>
      </c>
      <c r="I967" s="11">
        <f>34.112 * CHOOSE(CONTROL!$C$32, $C$9, 100%, $E$9)</f>
        <v>34.112000000000002</v>
      </c>
      <c r="J967" s="11">
        <f>34.1078 * CHOOSE(CONTROL!$C$32, $C$9, 100%, $E$9)</f>
        <v>34.107799999999997</v>
      </c>
      <c r="K967" s="11">
        <f>34.112 * CHOOSE(CONTROL!$C$32, $C$9, 100%, $E$9)</f>
        <v>34.112000000000002</v>
      </c>
      <c r="L967" s="11">
        <f>16.3238 * CHOOSE(CONTROL!$C$32, $C$9, 100%, $E$9)</f>
        <v>16.323799999999999</v>
      </c>
      <c r="M967" s="11">
        <f>16.328 * CHOOSE(CONTROL!$C$32, $C$9, 100%, $E$9)</f>
        <v>16.327999999999999</v>
      </c>
      <c r="N967" s="11">
        <f>16.3238 * CHOOSE(CONTROL!$C$32, $C$9, 100%, $E$9)</f>
        <v>16.323799999999999</v>
      </c>
      <c r="O967" s="11">
        <f>16.328 * CHOOSE(CONTROL!$C$32, $C$9, 100%, $E$9)</f>
        <v>16.327999999999999</v>
      </c>
    </row>
    <row r="968" spans="1:15" ht="15" x14ac:dyDescent="0.2">
      <c r="A968" s="13">
        <v>70311</v>
      </c>
      <c r="B968" s="9">
        <f>14.4317 * CHOOSE(CONTROL!$C$32, $C$9, 100%, $E$9)</f>
        <v>14.431699999999999</v>
      </c>
      <c r="C968" s="9">
        <f>14.4317 * CHOOSE(CONTROL!$C$32, $C$9, 100%, $E$9)</f>
        <v>14.431699999999999</v>
      </c>
      <c r="D968" s="9">
        <f>14.4329 * CHOOSE(CONTROL!$C$32, $C$9, 100%, $E$9)</f>
        <v>14.4329</v>
      </c>
      <c r="E968" s="11">
        <f>16.5557 * CHOOSE(CONTROL!$C$32, $C$9, 100%, $E$9)</f>
        <v>16.555700000000002</v>
      </c>
      <c r="F968" s="11">
        <f>16.5557 * CHOOSE(CONTROL!$C$32, $C$9, 100%, $E$9)</f>
        <v>16.555700000000002</v>
      </c>
      <c r="G968" s="11">
        <f>16.5599 * CHOOSE(CONTROL!$C$32, $C$9, 100%, $E$9)</f>
        <v>16.559899999999999</v>
      </c>
      <c r="H968" s="11">
        <f>34.1788 * CHOOSE(CONTROL!$C$32, $C$9, 100%, $E$9)</f>
        <v>34.178800000000003</v>
      </c>
      <c r="I968" s="11">
        <f>34.183 * CHOOSE(CONTROL!$C$32, $C$9, 100%, $E$9)</f>
        <v>34.183</v>
      </c>
      <c r="J968" s="11">
        <f>34.1788 * CHOOSE(CONTROL!$C$32, $C$9, 100%, $E$9)</f>
        <v>34.178800000000003</v>
      </c>
      <c r="K968" s="11">
        <f>34.183 * CHOOSE(CONTROL!$C$32, $C$9, 100%, $E$9)</f>
        <v>34.183</v>
      </c>
      <c r="L968" s="11">
        <f>16.5557 * CHOOSE(CONTROL!$C$32, $C$9, 100%, $E$9)</f>
        <v>16.555700000000002</v>
      </c>
      <c r="M968" s="11">
        <f>16.5599 * CHOOSE(CONTROL!$C$32, $C$9, 100%, $E$9)</f>
        <v>16.559899999999999</v>
      </c>
      <c r="N968" s="11">
        <f>16.5557 * CHOOSE(CONTROL!$C$32, $C$9, 100%, $E$9)</f>
        <v>16.555700000000002</v>
      </c>
      <c r="O968" s="11">
        <f>16.5599 * CHOOSE(CONTROL!$C$32, $C$9, 100%, $E$9)</f>
        <v>16.559899999999999</v>
      </c>
    </row>
    <row r="969" spans="1:15" ht="15" x14ac:dyDescent="0.2">
      <c r="A969" s="13">
        <v>70342</v>
      </c>
      <c r="B969" s="9">
        <f>14.4384 * CHOOSE(CONTROL!$C$32, $C$9, 100%, $E$9)</f>
        <v>14.4384</v>
      </c>
      <c r="C969" s="9">
        <f>14.4384 * CHOOSE(CONTROL!$C$32, $C$9, 100%, $E$9)</f>
        <v>14.4384</v>
      </c>
      <c r="D969" s="9">
        <f>14.4396 * CHOOSE(CONTROL!$C$32, $C$9, 100%, $E$9)</f>
        <v>14.4396</v>
      </c>
      <c r="E969" s="11">
        <f>16.1367 * CHOOSE(CONTROL!$C$32, $C$9, 100%, $E$9)</f>
        <v>16.136700000000001</v>
      </c>
      <c r="F969" s="11">
        <f>16.1367 * CHOOSE(CONTROL!$C$32, $C$9, 100%, $E$9)</f>
        <v>16.136700000000001</v>
      </c>
      <c r="G969" s="11">
        <f>16.1409 * CHOOSE(CONTROL!$C$32, $C$9, 100%, $E$9)</f>
        <v>16.140899999999998</v>
      </c>
      <c r="H969" s="11">
        <f>34.25 * CHOOSE(CONTROL!$C$32, $C$9, 100%, $E$9)</f>
        <v>34.25</v>
      </c>
      <c r="I969" s="11">
        <f>34.2542 * CHOOSE(CONTROL!$C$32, $C$9, 100%, $E$9)</f>
        <v>34.254199999999997</v>
      </c>
      <c r="J969" s="11">
        <f>34.25 * CHOOSE(CONTROL!$C$32, $C$9, 100%, $E$9)</f>
        <v>34.25</v>
      </c>
      <c r="K969" s="11">
        <f>34.2542 * CHOOSE(CONTROL!$C$32, $C$9, 100%, $E$9)</f>
        <v>34.254199999999997</v>
      </c>
      <c r="L969" s="11">
        <f>16.1367 * CHOOSE(CONTROL!$C$32, $C$9, 100%, $E$9)</f>
        <v>16.136700000000001</v>
      </c>
      <c r="M969" s="11">
        <f>16.1409 * CHOOSE(CONTROL!$C$32, $C$9, 100%, $E$9)</f>
        <v>16.140899999999998</v>
      </c>
      <c r="N969" s="11">
        <f>16.1367 * CHOOSE(CONTROL!$C$32, $C$9, 100%, $E$9)</f>
        <v>16.136700000000001</v>
      </c>
      <c r="O969" s="11">
        <f>16.1409 * CHOOSE(CONTROL!$C$32, $C$9, 100%, $E$9)</f>
        <v>16.140899999999998</v>
      </c>
    </row>
    <row r="970" spans="1:15" ht="15" x14ac:dyDescent="0.2">
      <c r="A970" s="13">
        <v>70373</v>
      </c>
      <c r="B970" s="9">
        <f>14.4353 * CHOOSE(CONTROL!$C$32, $C$9, 100%, $E$9)</f>
        <v>14.4353</v>
      </c>
      <c r="C970" s="9">
        <f>14.4353 * CHOOSE(CONTROL!$C$32, $C$9, 100%, $E$9)</f>
        <v>14.4353</v>
      </c>
      <c r="D970" s="9">
        <f>14.4366 * CHOOSE(CONTROL!$C$32, $C$9, 100%, $E$9)</f>
        <v>14.4366</v>
      </c>
      <c r="E970" s="11">
        <f>16.0875 * CHOOSE(CONTROL!$C$32, $C$9, 100%, $E$9)</f>
        <v>16.087499999999999</v>
      </c>
      <c r="F970" s="11">
        <f>16.0875 * CHOOSE(CONTROL!$C$32, $C$9, 100%, $E$9)</f>
        <v>16.087499999999999</v>
      </c>
      <c r="G970" s="11">
        <f>16.0917 * CHOOSE(CONTROL!$C$32, $C$9, 100%, $E$9)</f>
        <v>16.091699999999999</v>
      </c>
      <c r="H970" s="11">
        <f>34.3214 * CHOOSE(CONTROL!$C$32, $C$9, 100%, $E$9)</f>
        <v>34.321399999999997</v>
      </c>
      <c r="I970" s="11">
        <f>34.3256 * CHOOSE(CONTROL!$C$32, $C$9, 100%, $E$9)</f>
        <v>34.325600000000001</v>
      </c>
      <c r="J970" s="11">
        <f>34.3214 * CHOOSE(CONTROL!$C$32, $C$9, 100%, $E$9)</f>
        <v>34.321399999999997</v>
      </c>
      <c r="K970" s="11">
        <f>34.3256 * CHOOSE(CONTROL!$C$32, $C$9, 100%, $E$9)</f>
        <v>34.325600000000001</v>
      </c>
      <c r="L970" s="11">
        <f>16.0875 * CHOOSE(CONTROL!$C$32, $C$9, 100%, $E$9)</f>
        <v>16.087499999999999</v>
      </c>
      <c r="M970" s="11">
        <f>16.0917 * CHOOSE(CONTROL!$C$32, $C$9, 100%, $E$9)</f>
        <v>16.091699999999999</v>
      </c>
      <c r="N970" s="11">
        <f>16.0875 * CHOOSE(CONTROL!$C$32, $C$9, 100%, $E$9)</f>
        <v>16.087499999999999</v>
      </c>
      <c r="O970" s="11">
        <f>16.0917 * CHOOSE(CONTROL!$C$32, $C$9, 100%, $E$9)</f>
        <v>16.091699999999999</v>
      </c>
    </row>
    <row r="971" spans="1:15" ht="15" x14ac:dyDescent="0.2">
      <c r="A971" s="13">
        <v>70403</v>
      </c>
      <c r="B971" s="9">
        <f>14.4694 * CHOOSE(CONTROL!$C$32, $C$9, 100%, $E$9)</f>
        <v>14.4694</v>
      </c>
      <c r="C971" s="9">
        <f>14.4694 * CHOOSE(CONTROL!$C$32, $C$9, 100%, $E$9)</f>
        <v>14.4694</v>
      </c>
      <c r="D971" s="9">
        <f>14.4704 * CHOOSE(CONTROL!$C$32, $C$9, 100%, $E$9)</f>
        <v>14.4704</v>
      </c>
      <c r="E971" s="11">
        <f>16.2624 * CHOOSE(CONTROL!$C$32, $C$9, 100%, $E$9)</f>
        <v>16.2624</v>
      </c>
      <c r="F971" s="11">
        <f>16.2624 * CHOOSE(CONTROL!$C$32, $C$9, 100%, $E$9)</f>
        <v>16.2624</v>
      </c>
      <c r="G971" s="11">
        <f>16.2656 * CHOOSE(CONTROL!$C$32, $C$9, 100%, $E$9)</f>
        <v>16.265599999999999</v>
      </c>
      <c r="H971" s="11">
        <f>34.3929 * CHOOSE(CONTROL!$C$32, $C$9, 100%, $E$9)</f>
        <v>34.392899999999997</v>
      </c>
      <c r="I971" s="11">
        <f>34.3961 * CHOOSE(CONTROL!$C$32, $C$9, 100%, $E$9)</f>
        <v>34.396099999999997</v>
      </c>
      <c r="J971" s="11">
        <f>34.3929 * CHOOSE(CONTROL!$C$32, $C$9, 100%, $E$9)</f>
        <v>34.392899999999997</v>
      </c>
      <c r="K971" s="11">
        <f>34.3961 * CHOOSE(CONTROL!$C$32, $C$9, 100%, $E$9)</f>
        <v>34.396099999999997</v>
      </c>
      <c r="L971" s="11">
        <f>16.2624 * CHOOSE(CONTROL!$C$32, $C$9, 100%, $E$9)</f>
        <v>16.2624</v>
      </c>
      <c r="M971" s="11">
        <f>16.2656 * CHOOSE(CONTROL!$C$32, $C$9, 100%, $E$9)</f>
        <v>16.265599999999999</v>
      </c>
      <c r="N971" s="11">
        <f>16.2624 * CHOOSE(CONTROL!$C$32, $C$9, 100%, $E$9)</f>
        <v>16.2624</v>
      </c>
      <c r="O971" s="11">
        <f>16.2656 * CHOOSE(CONTROL!$C$32, $C$9, 100%, $E$9)</f>
        <v>16.265599999999999</v>
      </c>
    </row>
    <row r="972" spans="1:15" ht="15" x14ac:dyDescent="0.2">
      <c r="A972" s="13">
        <v>70434</v>
      </c>
      <c r="B972" s="9">
        <f>14.4724 * CHOOSE(CONTROL!$C$32, $C$9, 100%, $E$9)</f>
        <v>14.4724</v>
      </c>
      <c r="C972" s="9">
        <f>14.4724 * CHOOSE(CONTROL!$C$32, $C$9, 100%, $E$9)</f>
        <v>14.4724</v>
      </c>
      <c r="D972" s="9">
        <f>14.4734 * CHOOSE(CONTROL!$C$32, $C$9, 100%, $E$9)</f>
        <v>14.4734</v>
      </c>
      <c r="E972" s="11">
        <f>16.3586 * CHOOSE(CONTROL!$C$32, $C$9, 100%, $E$9)</f>
        <v>16.358599999999999</v>
      </c>
      <c r="F972" s="11">
        <f>16.3586 * CHOOSE(CONTROL!$C$32, $C$9, 100%, $E$9)</f>
        <v>16.358599999999999</v>
      </c>
      <c r="G972" s="11">
        <f>16.3619 * CHOOSE(CONTROL!$C$32, $C$9, 100%, $E$9)</f>
        <v>16.361899999999999</v>
      </c>
      <c r="H972" s="11">
        <f>34.4645 * CHOOSE(CONTROL!$C$32, $C$9, 100%, $E$9)</f>
        <v>34.464500000000001</v>
      </c>
      <c r="I972" s="11">
        <f>34.4678 * CHOOSE(CONTROL!$C$32, $C$9, 100%, $E$9)</f>
        <v>34.467799999999997</v>
      </c>
      <c r="J972" s="11">
        <f>34.4645 * CHOOSE(CONTROL!$C$32, $C$9, 100%, $E$9)</f>
        <v>34.464500000000001</v>
      </c>
      <c r="K972" s="11">
        <f>34.4678 * CHOOSE(CONTROL!$C$32, $C$9, 100%, $E$9)</f>
        <v>34.467799999999997</v>
      </c>
      <c r="L972" s="11">
        <f>16.3586 * CHOOSE(CONTROL!$C$32, $C$9, 100%, $E$9)</f>
        <v>16.358599999999999</v>
      </c>
      <c r="M972" s="11">
        <f>16.3619 * CHOOSE(CONTROL!$C$32, $C$9, 100%, $E$9)</f>
        <v>16.361899999999999</v>
      </c>
      <c r="N972" s="11">
        <f>16.3586 * CHOOSE(CONTROL!$C$32, $C$9, 100%, $E$9)</f>
        <v>16.358599999999999</v>
      </c>
      <c r="O972" s="11">
        <f>16.3619 * CHOOSE(CONTROL!$C$32, $C$9, 100%, $E$9)</f>
        <v>16.361899999999999</v>
      </c>
    </row>
    <row r="973" spans="1:15" ht="15" x14ac:dyDescent="0.2">
      <c r="A973" s="13">
        <v>70464</v>
      </c>
      <c r="B973" s="9">
        <f>14.4724 * CHOOSE(CONTROL!$C$32, $C$9, 100%, $E$9)</f>
        <v>14.4724</v>
      </c>
      <c r="C973" s="9">
        <f>14.4724 * CHOOSE(CONTROL!$C$32, $C$9, 100%, $E$9)</f>
        <v>14.4724</v>
      </c>
      <c r="D973" s="9">
        <f>14.4734 * CHOOSE(CONTROL!$C$32, $C$9, 100%, $E$9)</f>
        <v>14.4734</v>
      </c>
      <c r="E973" s="11">
        <f>16.1233 * CHOOSE(CONTROL!$C$32, $C$9, 100%, $E$9)</f>
        <v>16.1233</v>
      </c>
      <c r="F973" s="11">
        <f>16.1233 * CHOOSE(CONTROL!$C$32, $C$9, 100%, $E$9)</f>
        <v>16.1233</v>
      </c>
      <c r="G973" s="11">
        <f>16.1265 * CHOOSE(CONTROL!$C$32, $C$9, 100%, $E$9)</f>
        <v>16.1265</v>
      </c>
      <c r="H973" s="11">
        <f>34.5363 * CHOOSE(CONTROL!$C$32, $C$9, 100%, $E$9)</f>
        <v>34.536299999999997</v>
      </c>
      <c r="I973" s="11">
        <f>34.5396 * CHOOSE(CONTROL!$C$32, $C$9, 100%, $E$9)</f>
        <v>34.5396</v>
      </c>
      <c r="J973" s="11">
        <f>34.5363 * CHOOSE(CONTROL!$C$32, $C$9, 100%, $E$9)</f>
        <v>34.536299999999997</v>
      </c>
      <c r="K973" s="11">
        <f>34.5396 * CHOOSE(CONTROL!$C$32, $C$9, 100%, $E$9)</f>
        <v>34.5396</v>
      </c>
      <c r="L973" s="11">
        <f>16.1233 * CHOOSE(CONTROL!$C$32, $C$9, 100%, $E$9)</f>
        <v>16.1233</v>
      </c>
      <c r="M973" s="11">
        <f>16.1265 * CHOOSE(CONTROL!$C$32, $C$9, 100%, $E$9)</f>
        <v>16.1265</v>
      </c>
      <c r="N973" s="11">
        <f>16.1233 * CHOOSE(CONTROL!$C$32, $C$9, 100%, $E$9)</f>
        <v>16.1233</v>
      </c>
      <c r="O973" s="11">
        <f>16.1265 * CHOOSE(CONTROL!$C$32, $C$9, 100%, $E$9)</f>
        <v>16.1265</v>
      </c>
    </row>
    <row r="974" spans="1:15" ht="15" x14ac:dyDescent="0.2">
      <c r="A974" s="13">
        <v>70495</v>
      </c>
      <c r="B974" s="9">
        <f>14.4403 * CHOOSE(CONTROL!$C$32, $C$9, 100%, $E$9)</f>
        <v>14.440300000000001</v>
      </c>
      <c r="C974" s="9">
        <f>14.4403 * CHOOSE(CONTROL!$C$32, $C$9, 100%, $E$9)</f>
        <v>14.440300000000001</v>
      </c>
      <c r="D974" s="9">
        <f>14.4413 * CHOOSE(CONTROL!$C$32, $C$9, 100%, $E$9)</f>
        <v>14.4413</v>
      </c>
      <c r="E974" s="11">
        <f>16.2581 * CHOOSE(CONTROL!$C$32, $C$9, 100%, $E$9)</f>
        <v>16.258099999999999</v>
      </c>
      <c r="F974" s="11">
        <f>16.2581 * CHOOSE(CONTROL!$C$32, $C$9, 100%, $E$9)</f>
        <v>16.258099999999999</v>
      </c>
      <c r="G974" s="11">
        <f>16.2613 * CHOOSE(CONTROL!$C$32, $C$9, 100%, $E$9)</f>
        <v>16.261299999999999</v>
      </c>
      <c r="H974" s="11">
        <f>34.2265 * CHOOSE(CONTROL!$C$32, $C$9, 100%, $E$9)</f>
        <v>34.226500000000001</v>
      </c>
      <c r="I974" s="11">
        <f>34.2297 * CHOOSE(CONTROL!$C$32, $C$9, 100%, $E$9)</f>
        <v>34.229700000000001</v>
      </c>
      <c r="J974" s="11">
        <f>34.2265 * CHOOSE(CONTROL!$C$32, $C$9, 100%, $E$9)</f>
        <v>34.226500000000001</v>
      </c>
      <c r="K974" s="11">
        <f>34.2297 * CHOOSE(CONTROL!$C$32, $C$9, 100%, $E$9)</f>
        <v>34.229700000000001</v>
      </c>
      <c r="L974" s="11">
        <f>16.2581 * CHOOSE(CONTROL!$C$32, $C$9, 100%, $E$9)</f>
        <v>16.258099999999999</v>
      </c>
      <c r="M974" s="11">
        <f>16.2613 * CHOOSE(CONTROL!$C$32, $C$9, 100%, $E$9)</f>
        <v>16.261299999999999</v>
      </c>
      <c r="N974" s="11">
        <f>16.2581 * CHOOSE(CONTROL!$C$32, $C$9, 100%, $E$9)</f>
        <v>16.258099999999999</v>
      </c>
      <c r="O974" s="11">
        <f>16.2613 * CHOOSE(CONTROL!$C$32, $C$9, 100%, $E$9)</f>
        <v>16.261299999999999</v>
      </c>
    </row>
    <row r="975" spans="1:15" ht="15" x14ac:dyDescent="0.2">
      <c r="A975" s="13">
        <v>70526</v>
      </c>
      <c r="B975" s="9">
        <f>14.4373 * CHOOSE(CONTROL!$C$32, $C$9, 100%, $E$9)</f>
        <v>14.4373</v>
      </c>
      <c r="C975" s="9">
        <f>14.4373 * CHOOSE(CONTROL!$C$32, $C$9, 100%, $E$9)</f>
        <v>14.4373</v>
      </c>
      <c r="D975" s="9">
        <f>14.4382 * CHOOSE(CONTROL!$C$32, $C$9, 100%, $E$9)</f>
        <v>14.4382</v>
      </c>
      <c r="E975" s="11">
        <f>15.8041 * CHOOSE(CONTROL!$C$32, $C$9, 100%, $E$9)</f>
        <v>15.8041</v>
      </c>
      <c r="F975" s="11">
        <f>15.8041 * CHOOSE(CONTROL!$C$32, $C$9, 100%, $E$9)</f>
        <v>15.8041</v>
      </c>
      <c r="G975" s="11">
        <f>15.8073 * CHOOSE(CONTROL!$C$32, $C$9, 100%, $E$9)</f>
        <v>15.8073</v>
      </c>
      <c r="H975" s="11">
        <f>34.2978 * CHOOSE(CONTROL!$C$32, $C$9, 100%, $E$9)</f>
        <v>34.297800000000002</v>
      </c>
      <c r="I975" s="11">
        <f>34.301 * CHOOSE(CONTROL!$C$32, $C$9, 100%, $E$9)</f>
        <v>34.301000000000002</v>
      </c>
      <c r="J975" s="11">
        <f>34.2978 * CHOOSE(CONTROL!$C$32, $C$9, 100%, $E$9)</f>
        <v>34.297800000000002</v>
      </c>
      <c r="K975" s="11">
        <f>34.301 * CHOOSE(CONTROL!$C$32, $C$9, 100%, $E$9)</f>
        <v>34.301000000000002</v>
      </c>
      <c r="L975" s="11">
        <f>15.8041 * CHOOSE(CONTROL!$C$32, $C$9, 100%, $E$9)</f>
        <v>15.8041</v>
      </c>
      <c r="M975" s="11">
        <f>15.8073 * CHOOSE(CONTROL!$C$32, $C$9, 100%, $E$9)</f>
        <v>15.8073</v>
      </c>
      <c r="N975" s="11">
        <f>15.8041 * CHOOSE(CONTROL!$C$32, $C$9, 100%, $E$9)</f>
        <v>15.8041</v>
      </c>
      <c r="O975" s="11">
        <f>15.8073 * CHOOSE(CONTROL!$C$32, $C$9, 100%, $E$9)</f>
        <v>15.8073</v>
      </c>
    </row>
    <row r="976" spans="1:15" ht="15" x14ac:dyDescent="0.2">
      <c r="A976" s="13">
        <v>70554</v>
      </c>
      <c r="B976" s="9">
        <f>14.4342 * CHOOSE(CONTROL!$C$32, $C$9, 100%, $E$9)</f>
        <v>14.434200000000001</v>
      </c>
      <c r="C976" s="9">
        <f>14.4342 * CHOOSE(CONTROL!$C$32, $C$9, 100%, $E$9)</f>
        <v>14.434200000000001</v>
      </c>
      <c r="D976" s="9">
        <f>14.4352 * CHOOSE(CONTROL!$C$32, $C$9, 100%, $E$9)</f>
        <v>14.4352</v>
      </c>
      <c r="E976" s="11">
        <f>16.1582 * CHOOSE(CONTROL!$C$32, $C$9, 100%, $E$9)</f>
        <v>16.158200000000001</v>
      </c>
      <c r="F976" s="11">
        <f>16.1582 * CHOOSE(CONTROL!$C$32, $C$9, 100%, $E$9)</f>
        <v>16.158200000000001</v>
      </c>
      <c r="G976" s="11">
        <f>16.1615 * CHOOSE(CONTROL!$C$32, $C$9, 100%, $E$9)</f>
        <v>16.1615</v>
      </c>
      <c r="H976" s="11">
        <f>34.3692 * CHOOSE(CONTROL!$C$32, $C$9, 100%, $E$9)</f>
        <v>34.369199999999999</v>
      </c>
      <c r="I976" s="11">
        <f>34.3725 * CHOOSE(CONTROL!$C$32, $C$9, 100%, $E$9)</f>
        <v>34.372500000000002</v>
      </c>
      <c r="J976" s="11">
        <f>34.3692 * CHOOSE(CONTROL!$C$32, $C$9, 100%, $E$9)</f>
        <v>34.369199999999999</v>
      </c>
      <c r="K976" s="11">
        <f>34.3725 * CHOOSE(CONTROL!$C$32, $C$9, 100%, $E$9)</f>
        <v>34.372500000000002</v>
      </c>
      <c r="L976" s="11">
        <f>16.1582 * CHOOSE(CONTROL!$C$32, $C$9, 100%, $E$9)</f>
        <v>16.158200000000001</v>
      </c>
      <c r="M976" s="11">
        <f>16.1615 * CHOOSE(CONTROL!$C$32, $C$9, 100%, $E$9)</f>
        <v>16.1615</v>
      </c>
      <c r="N976" s="11">
        <f>16.1582 * CHOOSE(CONTROL!$C$32, $C$9, 100%, $E$9)</f>
        <v>16.158200000000001</v>
      </c>
      <c r="O976" s="11">
        <f>16.1615 * CHOOSE(CONTROL!$C$32, $C$9, 100%, $E$9)</f>
        <v>16.1615</v>
      </c>
    </row>
    <row r="977" spans="1:15" ht="15" x14ac:dyDescent="0.2">
      <c r="A977" s="13">
        <v>70585</v>
      </c>
      <c r="B977" s="9">
        <f>14.442 * CHOOSE(CONTROL!$C$32, $C$9, 100%, $E$9)</f>
        <v>14.442</v>
      </c>
      <c r="C977" s="9">
        <f>14.442 * CHOOSE(CONTROL!$C$32, $C$9, 100%, $E$9)</f>
        <v>14.442</v>
      </c>
      <c r="D977" s="9">
        <f>14.443 * CHOOSE(CONTROL!$C$32, $C$9, 100%, $E$9)</f>
        <v>14.443</v>
      </c>
      <c r="E977" s="11">
        <f>16.5366 * CHOOSE(CONTROL!$C$32, $C$9, 100%, $E$9)</f>
        <v>16.5366</v>
      </c>
      <c r="F977" s="11">
        <f>16.5366 * CHOOSE(CONTROL!$C$32, $C$9, 100%, $E$9)</f>
        <v>16.5366</v>
      </c>
      <c r="G977" s="11">
        <f>16.5398 * CHOOSE(CONTROL!$C$32, $C$9, 100%, $E$9)</f>
        <v>16.5398</v>
      </c>
      <c r="H977" s="11">
        <f>34.4408 * CHOOSE(CONTROL!$C$32, $C$9, 100%, $E$9)</f>
        <v>34.440800000000003</v>
      </c>
      <c r="I977" s="11">
        <f>34.4441 * CHOOSE(CONTROL!$C$32, $C$9, 100%, $E$9)</f>
        <v>34.444099999999999</v>
      </c>
      <c r="J977" s="11">
        <f>34.4408 * CHOOSE(CONTROL!$C$32, $C$9, 100%, $E$9)</f>
        <v>34.440800000000003</v>
      </c>
      <c r="K977" s="11">
        <f>34.4441 * CHOOSE(CONTROL!$C$32, $C$9, 100%, $E$9)</f>
        <v>34.444099999999999</v>
      </c>
      <c r="L977" s="11">
        <f>16.5366 * CHOOSE(CONTROL!$C$32, $C$9, 100%, $E$9)</f>
        <v>16.5366</v>
      </c>
      <c r="M977" s="11">
        <f>16.5398 * CHOOSE(CONTROL!$C$32, $C$9, 100%, $E$9)</f>
        <v>16.5398</v>
      </c>
      <c r="N977" s="11">
        <f>16.5366 * CHOOSE(CONTROL!$C$32, $C$9, 100%, $E$9)</f>
        <v>16.5366</v>
      </c>
      <c r="O977" s="11">
        <f>16.5398 * CHOOSE(CONTROL!$C$32, $C$9, 100%, $E$9)</f>
        <v>16.5398</v>
      </c>
    </row>
    <row r="978" spans="1:15" ht="15" x14ac:dyDescent="0.2">
      <c r="A978" s="13">
        <v>70615</v>
      </c>
      <c r="B978" s="9">
        <f>14.442 * CHOOSE(CONTROL!$C$32, $C$9, 100%, $E$9)</f>
        <v>14.442</v>
      </c>
      <c r="C978" s="9">
        <f>14.442 * CHOOSE(CONTROL!$C$32, $C$9, 100%, $E$9)</f>
        <v>14.442</v>
      </c>
      <c r="D978" s="9">
        <f>14.4433 * CHOOSE(CONTROL!$C$32, $C$9, 100%, $E$9)</f>
        <v>14.443300000000001</v>
      </c>
      <c r="E978" s="11">
        <f>16.68 * CHOOSE(CONTROL!$C$32, $C$9, 100%, $E$9)</f>
        <v>16.68</v>
      </c>
      <c r="F978" s="11">
        <f>16.68 * CHOOSE(CONTROL!$C$32, $C$9, 100%, $E$9)</f>
        <v>16.68</v>
      </c>
      <c r="G978" s="11">
        <f>16.6842 * CHOOSE(CONTROL!$C$32, $C$9, 100%, $E$9)</f>
        <v>16.684200000000001</v>
      </c>
      <c r="H978" s="11">
        <f>34.5126 * CHOOSE(CONTROL!$C$32, $C$9, 100%, $E$9)</f>
        <v>34.512599999999999</v>
      </c>
      <c r="I978" s="11">
        <f>34.5168 * CHOOSE(CONTROL!$C$32, $C$9, 100%, $E$9)</f>
        <v>34.516800000000003</v>
      </c>
      <c r="J978" s="11">
        <f>34.5126 * CHOOSE(CONTROL!$C$32, $C$9, 100%, $E$9)</f>
        <v>34.512599999999999</v>
      </c>
      <c r="K978" s="11">
        <f>34.5168 * CHOOSE(CONTROL!$C$32, $C$9, 100%, $E$9)</f>
        <v>34.516800000000003</v>
      </c>
      <c r="L978" s="11">
        <f>16.68 * CHOOSE(CONTROL!$C$32, $C$9, 100%, $E$9)</f>
        <v>16.68</v>
      </c>
      <c r="M978" s="11">
        <f>16.6842 * CHOOSE(CONTROL!$C$32, $C$9, 100%, $E$9)</f>
        <v>16.684200000000001</v>
      </c>
      <c r="N978" s="11">
        <f>16.68 * CHOOSE(CONTROL!$C$32, $C$9, 100%, $E$9)</f>
        <v>16.68</v>
      </c>
      <c r="O978" s="11">
        <f>16.6842 * CHOOSE(CONTROL!$C$32, $C$9, 100%, $E$9)</f>
        <v>16.684200000000001</v>
      </c>
    </row>
    <row r="979" spans="1:15" ht="15" x14ac:dyDescent="0.2">
      <c r="A979" s="13">
        <v>70646</v>
      </c>
      <c r="B979" s="9">
        <f>14.4481 * CHOOSE(CONTROL!$C$32, $C$9, 100%, $E$9)</f>
        <v>14.4481</v>
      </c>
      <c r="C979" s="9">
        <f>14.4481 * CHOOSE(CONTROL!$C$32, $C$9, 100%, $E$9)</f>
        <v>14.4481</v>
      </c>
      <c r="D979" s="9">
        <f>14.4493 * CHOOSE(CONTROL!$C$32, $C$9, 100%, $E$9)</f>
        <v>14.449299999999999</v>
      </c>
      <c r="E979" s="11">
        <f>16.5408 * CHOOSE(CONTROL!$C$32, $C$9, 100%, $E$9)</f>
        <v>16.540800000000001</v>
      </c>
      <c r="F979" s="11">
        <f>16.5408 * CHOOSE(CONTROL!$C$32, $C$9, 100%, $E$9)</f>
        <v>16.540800000000001</v>
      </c>
      <c r="G979" s="11">
        <f>16.545 * CHOOSE(CONTROL!$C$32, $C$9, 100%, $E$9)</f>
        <v>16.545000000000002</v>
      </c>
      <c r="H979" s="11">
        <f>34.5845 * CHOOSE(CONTROL!$C$32, $C$9, 100%, $E$9)</f>
        <v>34.584499999999998</v>
      </c>
      <c r="I979" s="11">
        <f>34.5887 * CHOOSE(CONTROL!$C$32, $C$9, 100%, $E$9)</f>
        <v>34.588700000000003</v>
      </c>
      <c r="J979" s="11">
        <f>34.5845 * CHOOSE(CONTROL!$C$32, $C$9, 100%, $E$9)</f>
        <v>34.584499999999998</v>
      </c>
      <c r="K979" s="11">
        <f>34.5887 * CHOOSE(CONTROL!$C$32, $C$9, 100%, $E$9)</f>
        <v>34.588700000000003</v>
      </c>
      <c r="L979" s="11">
        <f>16.5408 * CHOOSE(CONTROL!$C$32, $C$9, 100%, $E$9)</f>
        <v>16.540800000000001</v>
      </c>
      <c r="M979" s="11">
        <f>16.545 * CHOOSE(CONTROL!$C$32, $C$9, 100%, $E$9)</f>
        <v>16.545000000000002</v>
      </c>
      <c r="N979" s="11">
        <f>16.5408 * CHOOSE(CONTROL!$C$32, $C$9, 100%, $E$9)</f>
        <v>16.540800000000001</v>
      </c>
      <c r="O979" s="11">
        <f>16.545 * CHOOSE(CONTROL!$C$32, $C$9, 100%, $E$9)</f>
        <v>16.545000000000002</v>
      </c>
    </row>
    <row r="980" spans="1:15" ht="15" x14ac:dyDescent="0.2">
      <c r="A980" s="13">
        <v>70676</v>
      </c>
      <c r="B980" s="9">
        <f>14.6213 * CHOOSE(CONTROL!$C$32, $C$9, 100%, $E$9)</f>
        <v>14.6213</v>
      </c>
      <c r="C980" s="9">
        <f>14.6213 * CHOOSE(CONTROL!$C$32, $C$9, 100%, $E$9)</f>
        <v>14.6213</v>
      </c>
      <c r="D980" s="9">
        <f>14.6225 * CHOOSE(CONTROL!$C$32, $C$9, 100%, $E$9)</f>
        <v>14.6225</v>
      </c>
      <c r="E980" s="11">
        <f>16.7759 * CHOOSE(CONTROL!$C$32, $C$9, 100%, $E$9)</f>
        <v>16.7759</v>
      </c>
      <c r="F980" s="11">
        <f>16.7759 * CHOOSE(CONTROL!$C$32, $C$9, 100%, $E$9)</f>
        <v>16.7759</v>
      </c>
      <c r="G980" s="11">
        <f>16.7801 * CHOOSE(CONTROL!$C$32, $C$9, 100%, $E$9)</f>
        <v>16.780100000000001</v>
      </c>
      <c r="H980" s="11">
        <f>34.6565 * CHOOSE(CONTROL!$C$32, $C$9, 100%, $E$9)</f>
        <v>34.656500000000001</v>
      </c>
      <c r="I980" s="11">
        <f>34.6608 * CHOOSE(CONTROL!$C$32, $C$9, 100%, $E$9)</f>
        <v>34.660800000000002</v>
      </c>
      <c r="J980" s="11">
        <f>34.6565 * CHOOSE(CONTROL!$C$32, $C$9, 100%, $E$9)</f>
        <v>34.656500000000001</v>
      </c>
      <c r="K980" s="11">
        <f>34.6608 * CHOOSE(CONTROL!$C$32, $C$9, 100%, $E$9)</f>
        <v>34.660800000000002</v>
      </c>
      <c r="L980" s="11">
        <f>16.7759 * CHOOSE(CONTROL!$C$32, $C$9, 100%, $E$9)</f>
        <v>16.7759</v>
      </c>
      <c r="M980" s="11">
        <f>16.7801 * CHOOSE(CONTROL!$C$32, $C$9, 100%, $E$9)</f>
        <v>16.780100000000001</v>
      </c>
      <c r="N980" s="11">
        <f>16.7759 * CHOOSE(CONTROL!$C$32, $C$9, 100%, $E$9)</f>
        <v>16.7759</v>
      </c>
      <c r="O980" s="11">
        <f>16.7801 * CHOOSE(CONTROL!$C$32, $C$9, 100%, $E$9)</f>
        <v>16.780100000000001</v>
      </c>
    </row>
    <row r="981" spans="1:15" ht="15" x14ac:dyDescent="0.2">
      <c r="A981" s="13">
        <v>70707</v>
      </c>
      <c r="B981" s="9">
        <f>14.6279 * CHOOSE(CONTROL!$C$32, $C$9, 100%, $E$9)</f>
        <v>14.6279</v>
      </c>
      <c r="C981" s="9">
        <f>14.6279 * CHOOSE(CONTROL!$C$32, $C$9, 100%, $E$9)</f>
        <v>14.6279</v>
      </c>
      <c r="D981" s="9">
        <f>14.6292 * CHOOSE(CONTROL!$C$32, $C$9, 100%, $E$9)</f>
        <v>14.629200000000001</v>
      </c>
      <c r="E981" s="11">
        <f>16.3501 * CHOOSE(CONTROL!$C$32, $C$9, 100%, $E$9)</f>
        <v>16.350100000000001</v>
      </c>
      <c r="F981" s="11">
        <f>16.3501 * CHOOSE(CONTROL!$C$32, $C$9, 100%, $E$9)</f>
        <v>16.350100000000001</v>
      </c>
      <c r="G981" s="11">
        <f>16.3543 * CHOOSE(CONTROL!$C$32, $C$9, 100%, $E$9)</f>
        <v>16.354299999999999</v>
      </c>
      <c r="H981" s="11">
        <f>34.7288 * CHOOSE(CONTROL!$C$32, $C$9, 100%, $E$9)</f>
        <v>34.7288</v>
      </c>
      <c r="I981" s="11">
        <f>34.733 * CHOOSE(CONTROL!$C$32, $C$9, 100%, $E$9)</f>
        <v>34.732999999999997</v>
      </c>
      <c r="J981" s="11">
        <f>34.7288 * CHOOSE(CONTROL!$C$32, $C$9, 100%, $E$9)</f>
        <v>34.7288</v>
      </c>
      <c r="K981" s="11">
        <f>34.733 * CHOOSE(CONTROL!$C$32, $C$9, 100%, $E$9)</f>
        <v>34.732999999999997</v>
      </c>
      <c r="L981" s="11">
        <f>16.3501 * CHOOSE(CONTROL!$C$32, $C$9, 100%, $E$9)</f>
        <v>16.350100000000001</v>
      </c>
      <c r="M981" s="11">
        <f>16.3543 * CHOOSE(CONTROL!$C$32, $C$9, 100%, $E$9)</f>
        <v>16.354299999999999</v>
      </c>
      <c r="N981" s="11">
        <f>16.3501 * CHOOSE(CONTROL!$C$32, $C$9, 100%, $E$9)</f>
        <v>16.350100000000001</v>
      </c>
      <c r="O981" s="11">
        <f>16.3543 * CHOOSE(CONTROL!$C$32, $C$9, 100%, $E$9)</f>
        <v>16.354299999999999</v>
      </c>
    </row>
    <row r="982" spans="1:15" ht="15" x14ac:dyDescent="0.2">
      <c r="A982" s="13">
        <v>70738</v>
      </c>
      <c r="B982" s="9">
        <f>14.6249 * CHOOSE(CONTROL!$C$32, $C$9, 100%, $E$9)</f>
        <v>14.6249</v>
      </c>
      <c r="C982" s="9">
        <f>14.6249 * CHOOSE(CONTROL!$C$32, $C$9, 100%, $E$9)</f>
        <v>14.6249</v>
      </c>
      <c r="D982" s="9">
        <f>14.6262 * CHOOSE(CONTROL!$C$32, $C$9, 100%, $E$9)</f>
        <v>14.626200000000001</v>
      </c>
      <c r="E982" s="11">
        <f>16.3002 * CHOOSE(CONTROL!$C$32, $C$9, 100%, $E$9)</f>
        <v>16.3002</v>
      </c>
      <c r="F982" s="11">
        <f>16.3002 * CHOOSE(CONTROL!$C$32, $C$9, 100%, $E$9)</f>
        <v>16.3002</v>
      </c>
      <c r="G982" s="11">
        <f>16.3044 * CHOOSE(CONTROL!$C$32, $C$9, 100%, $E$9)</f>
        <v>16.304400000000001</v>
      </c>
      <c r="H982" s="11">
        <f>34.8011 * CHOOSE(CONTROL!$C$32, $C$9, 100%, $E$9)</f>
        <v>34.801099999999998</v>
      </c>
      <c r="I982" s="11">
        <f>34.8053 * CHOOSE(CONTROL!$C$32, $C$9, 100%, $E$9)</f>
        <v>34.805300000000003</v>
      </c>
      <c r="J982" s="11">
        <f>34.8011 * CHOOSE(CONTROL!$C$32, $C$9, 100%, $E$9)</f>
        <v>34.801099999999998</v>
      </c>
      <c r="K982" s="11">
        <f>34.8053 * CHOOSE(CONTROL!$C$32, $C$9, 100%, $E$9)</f>
        <v>34.805300000000003</v>
      </c>
      <c r="L982" s="11">
        <f>16.3002 * CHOOSE(CONTROL!$C$32, $C$9, 100%, $E$9)</f>
        <v>16.3002</v>
      </c>
      <c r="M982" s="11">
        <f>16.3044 * CHOOSE(CONTROL!$C$32, $C$9, 100%, $E$9)</f>
        <v>16.304400000000001</v>
      </c>
      <c r="N982" s="11">
        <f>16.3002 * CHOOSE(CONTROL!$C$32, $C$9, 100%, $E$9)</f>
        <v>16.3002</v>
      </c>
      <c r="O982" s="11">
        <f>16.3044 * CHOOSE(CONTROL!$C$32, $C$9, 100%, $E$9)</f>
        <v>16.304400000000001</v>
      </c>
    </row>
    <row r="983" spans="1:15" ht="15" x14ac:dyDescent="0.2">
      <c r="A983" s="13">
        <v>70768</v>
      </c>
      <c r="B983" s="9">
        <f>14.6597 * CHOOSE(CONTROL!$C$32, $C$9, 100%, $E$9)</f>
        <v>14.659700000000001</v>
      </c>
      <c r="C983" s="9">
        <f>14.6597 * CHOOSE(CONTROL!$C$32, $C$9, 100%, $E$9)</f>
        <v>14.659700000000001</v>
      </c>
      <c r="D983" s="9">
        <f>14.6607 * CHOOSE(CONTROL!$C$32, $C$9, 100%, $E$9)</f>
        <v>14.6607</v>
      </c>
      <c r="E983" s="11">
        <f>16.478 * CHOOSE(CONTROL!$C$32, $C$9, 100%, $E$9)</f>
        <v>16.478000000000002</v>
      </c>
      <c r="F983" s="11">
        <f>16.478 * CHOOSE(CONTROL!$C$32, $C$9, 100%, $E$9)</f>
        <v>16.478000000000002</v>
      </c>
      <c r="G983" s="11">
        <f>16.4813 * CHOOSE(CONTROL!$C$32, $C$9, 100%, $E$9)</f>
        <v>16.481300000000001</v>
      </c>
      <c r="H983" s="11">
        <f>34.8736 * CHOOSE(CONTROL!$C$32, $C$9, 100%, $E$9)</f>
        <v>34.873600000000003</v>
      </c>
      <c r="I983" s="11">
        <f>34.8768 * CHOOSE(CONTROL!$C$32, $C$9, 100%, $E$9)</f>
        <v>34.876800000000003</v>
      </c>
      <c r="J983" s="11">
        <f>34.8736 * CHOOSE(CONTROL!$C$32, $C$9, 100%, $E$9)</f>
        <v>34.873600000000003</v>
      </c>
      <c r="K983" s="11">
        <f>34.8768 * CHOOSE(CONTROL!$C$32, $C$9, 100%, $E$9)</f>
        <v>34.876800000000003</v>
      </c>
      <c r="L983" s="11">
        <f>16.478 * CHOOSE(CONTROL!$C$32, $C$9, 100%, $E$9)</f>
        <v>16.478000000000002</v>
      </c>
      <c r="M983" s="11">
        <f>16.4813 * CHOOSE(CONTROL!$C$32, $C$9, 100%, $E$9)</f>
        <v>16.481300000000001</v>
      </c>
      <c r="N983" s="11">
        <f>16.478 * CHOOSE(CONTROL!$C$32, $C$9, 100%, $E$9)</f>
        <v>16.478000000000002</v>
      </c>
      <c r="O983" s="11">
        <f>16.4813 * CHOOSE(CONTROL!$C$32, $C$9, 100%, $E$9)</f>
        <v>16.481300000000001</v>
      </c>
    </row>
    <row r="984" spans="1:15" ht="15" x14ac:dyDescent="0.2">
      <c r="A984" s="13">
        <v>70799</v>
      </c>
      <c r="B984" s="9">
        <f>14.6627 * CHOOSE(CONTROL!$C$32, $C$9, 100%, $E$9)</f>
        <v>14.662699999999999</v>
      </c>
      <c r="C984" s="9">
        <f>14.6627 * CHOOSE(CONTROL!$C$32, $C$9, 100%, $E$9)</f>
        <v>14.662699999999999</v>
      </c>
      <c r="D984" s="9">
        <f>14.6637 * CHOOSE(CONTROL!$C$32, $C$9, 100%, $E$9)</f>
        <v>14.6637</v>
      </c>
      <c r="E984" s="11">
        <f>16.5758 * CHOOSE(CONTROL!$C$32, $C$9, 100%, $E$9)</f>
        <v>16.575800000000001</v>
      </c>
      <c r="F984" s="11">
        <f>16.5758 * CHOOSE(CONTROL!$C$32, $C$9, 100%, $E$9)</f>
        <v>16.575800000000001</v>
      </c>
      <c r="G984" s="11">
        <f>16.579 * CHOOSE(CONTROL!$C$32, $C$9, 100%, $E$9)</f>
        <v>16.579000000000001</v>
      </c>
      <c r="H984" s="11">
        <f>34.9463 * CHOOSE(CONTROL!$C$32, $C$9, 100%, $E$9)</f>
        <v>34.946300000000001</v>
      </c>
      <c r="I984" s="11">
        <f>34.9495 * CHOOSE(CONTROL!$C$32, $C$9, 100%, $E$9)</f>
        <v>34.9495</v>
      </c>
      <c r="J984" s="11">
        <f>34.9463 * CHOOSE(CONTROL!$C$32, $C$9, 100%, $E$9)</f>
        <v>34.946300000000001</v>
      </c>
      <c r="K984" s="11">
        <f>34.9495 * CHOOSE(CONTROL!$C$32, $C$9, 100%, $E$9)</f>
        <v>34.9495</v>
      </c>
      <c r="L984" s="11">
        <f>16.5758 * CHOOSE(CONTROL!$C$32, $C$9, 100%, $E$9)</f>
        <v>16.575800000000001</v>
      </c>
      <c r="M984" s="11">
        <f>16.579 * CHOOSE(CONTROL!$C$32, $C$9, 100%, $E$9)</f>
        <v>16.579000000000001</v>
      </c>
      <c r="N984" s="11">
        <f>16.5758 * CHOOSE(CONTROL!$C$32, $C$9, 100%, $E$9)</f>
        <v>16.575800000000001</v>
      </c>
      <c r="O984" s="11">
        <f>16.579 * CHOOSE(CONTROL!$C$32, $C$9, 100%, $E$9)</f>
        <v>16.579000000000001</v>
      </c>
    </row>
    <row r="985" spans="1:15" ht="15" x14ac:dyDescent="0.2">
      <c r="A985" s="13">
        <v>70829</v>
      </c>
      <c r="B985" s="9">
        <f>14.6627 * CHOOSE(CONTROL!$C$32, $C$9, 100%, $E$9)</f>
        <v>14.662699999999999</v>
      </c>
      <c r="C985" s="9">
        <f>14.6627 * CHOOSE(CONTROL!$C$32, $C$9, 100%, $E$9)</f>
        <v>14.662699999999999</v>
      </c>
      <c r="D985" s="9">
        <f>14.6637 * CHOOSE(CONTROL!$C$32, $C$9, 100%, $E$9)</f>
        <v>14.6637</v>
      </c>
      <c r="E985" s="11">
        <f>16.3367 * CHOOSE(CONTROL!$C$32, $C$9, 100%, $E$9)</f>
        <v>16.3367</v>
      </c>
      <c r="F985" s="11">
        <f>16.3367 * CHOOSE(CONTROL!$C$32, $C$9, 100%, $E$9)</f>
        <v>16.3367</v>
      </c>
      <c r="G985" s="11">
        <f>16.3399 * CHOOSE(CONTROL!$C$32, $C$9, 100%, $E$9)</f>
        <v>16.3399</v>
      </c>
      <c r="H985" s="11">
        <f>35.0191 * CHOOSE(CONTROL!$C$32, $C$9, 100%, $E$9)</f>
        <v>35.019100000000002</v>
      </c>
      <c r="I985" s="11">
        <f>35.0223 * CHOOSE(CONTROL!$C$32, $C$9, 100%, $E$9)</f>
        <v>35.022300000000001</v>
      </c>
      <c r="J985" s="11">
        <f>35.0191 * CHOOSE(CONTROL!$C$32, $C$9, 100%, $E$9)</f>
        <v>35.019100000000002</v>
      </c>
      <c r="K985" s="11">
        <f>35.0223 * CHOOSE(CONTROL!$C$32, $C$9, 100%, $E$9)</f>
        <v>35.022300000000001</v>
      </c>
      <c r="L985" s="11">
        <f>16.3367 * CHOOSE(CONTROL!$C$32, $C$9, 100%, $E$9)</f>
        <v>16.3367</v>
      </c>
      <c r="M985" s="11">
        <f>16.3399 * CHOOSE(CONTROL!$C$32, $C$9, 100%, $E$9)</f>
        <v>16.3399</v>
      </c>
      <c r="N985" s="11">
        <f>16.3367 * CHOOSE(CONTROL!$C$32, $C$9, 100%, $E$9)</f>
        <v>16.3367</v>
      </c>
      <c r="O985" s="11">
        <f>16.3399 * CHOOSE(CONTROL!$C$32, $C$9, 100%, $E$9)</f>
        <v>16.3399</v>
      </c>
    </row>
    <row r="986" spans="1:15" ht="15" x14ac:dyDescent="0.2">
      <c r="A986" s="13">
        <v>70860</v>
      </c>
      <c r="B986" s="9">
        <f>14.6277 * CHOOSE(CONTROL!$C$32, $C$9, 100%, $E$9)</f>
        <v>14.627700000000001</v>
      </c>
      <c r="C986" s="9">
        <f>14.6277 * CHOOSE(CONTROL!$C$32, $C$9, 100%, $E$9)</f>
        <v>14.627700000000001</v>
      </c>
      <c r="D986" s="9">
        <f>14.6286 * CHOOSE(CONTROL!$C$32, $C$9, 100%, $E$9)</f>
        <v>14.6286</v>
      </c>
      <c r="E986" s="11">
        <f>16.4706 * CHOOSE(CONTROL!$C$32, $C$9, 100%, $E$9)</f>
        <v>16.470600000000001</v>
      </c>
      <c r="F986" s="11">
        <f>16.4706 * CHOOSE(CONTROL!$C$32, $C$9, 100%, $E$9)</f>
        <v>16.470600000000001</v>
      </c>
      <c r="G986" s="11">
        <f>16.4738 * CHOOSE(CONTROL!$C$32, $C$9, 100%, $E$9)</f>
        <v>16.473800000000001</v>
      </c>
      <c r="H986" s="11">
        <f>34.6983 * CHOOSE(CONTROL!$C$32, $C$9, 100%, $E$9)</f>
        <v>34.698300000000003</v>
      </c>
      <c r="I986" s="11">
        <f>34.7015 * CHOOSE(CONTROL!$C$32, $C$9, 100%, $E$9)</f>
        <v>34.701500000000003</v>
      </c>
      <c r="J986" s="11">
        <f>34.6983 * CHOOSE(CONTROL!$C$32, $C$9, 100%, $E$9)</f>
        <v>34.698300000000003</v>
      </c>
      <c r="K986" s="11">
        <f>34.7015 * CHOOSE(CONTROL!$C$32, $C$9, 100%, $E$9)</f>
        <v>34.701500000000003</v>
      </c>
      <c r="L986" s="11">
        <f>16.4706 * CHOOSE(CONTROL!$C$32, $C$9, 100%, $E$9)</f>
        <v>16.470600000000001</v>
      </c>
      <c r="M986" s="11">
        <f>16.4738 * CHOOSE(CONTROL!$C$32, $C$9, 100%, $E$9)</f>
        <v>16.473800000000001</v>
      </c>
      <c r="N986" s="11">
        <f>16.4706 * CHOOSE(CONTROL!$C$32, $C$9, 100%, $E$9)</f>
        <v>16.470600000000001</v>
      </c>
      <c r="O986" s="11">
        <f>16.4738 * CHOOSE(CONTROL!$C$32, $C$9, 100%, $E$9)</f>
        <v>16.473800000000001</v>
      </c>
    </row>
    <row r="987" spans="1:15" ht="15" x14ac:dyDescent="0.2">
      <c r="A987" s="13">
        <v>70891</v>
      </c>
      <c r="B987" s="9">
        <f>14.6246 * CHOOSE(CONTROL!$C$32, $C$9, 100%, $E$9)</f>
        <v>14.624599999999999</v>
      </c>
      <c r="C987" s="9">
        <f>14.6246 * CHOOSE(CONTROL!$C$32, $C$9, 100%, $E$9)</f>
        <v>14.624599999999999</v>
      </c>
      <c r="D987" s="9">
        <f>14.6256 * CHOOSE(CONTROL!$C$32, $C$9, 100%, $E$9)</f>
        <v>14.6256</v>
      </c>
      <c r="E987" s="11">
        <f>16.0095 * CHOOSE(CONTROL!$C$32, $C$9, 100%, $E$9)</f>
        <v>16.009499999999999</v>
      </c>
      <c r="F987" s="11">
        <f>16.0095 * CHOOSE(CONTROL!$C$32, $C$9, 100%, $E$9)</f>
        <v>16.009499999999999</v>
      </c>
      <c r="G987" s="11">
        <f>16.0128 * CHOOSE(CONTROL!$C$32, $C$9, 100%, $E$9)</f>
        <v>16.012799999999999</v>
      </c>
      <c r="H987" s="11">
        <f>34.7706 * CHOOSE(CONTROL!$C$32, $C$9, 100%, $E$9)</f>
        <v>34.770600000000002</v>
      </c>
      <c r="I987" s="11">
        <f>34.7738 * CHOOSE(CONTROL!$C$32, $C$9, 100%, $E$9)</f>
        <v>34.773800000000001</v>
      </c>
      <c r="J987" s="11">
        <f>34.7706 * CHOOSE(CONTROL!$C$32, $C$9, 100%, $E$9)</f>
        <v>34.770600000000002</v>
      </c>
      <c r="K987" s="11">
        <f>34.7738 * CHOOSE(CONTROL!$C$32, $C$9, 100%, $E$9)</f>
        <v>34.773800000000001</v>
      </c>
      <c r="L987" s="11">
        <f>16.0095 * CHOOSE(CONTROL!$C$32, $C$9, 100%, $E$9)</f>
        <v>16.009499999999999</v>
      </c>
      <c r="M987" s="11">
        <f>16.0128 * CHOOSE(CONTROL!$C$32, $C$9, 100%, $E$9)</f>
        <v>16.012799999999999</v>
      </c>
      <c r="N987" s="11">
        <f>16.0095 * CHOOSE(CONTROL!$C$32, $C$9, 100%, $E$9)</f>
        <v>16.009499999999999</v>
      </c>
      <c r="O987" s="11">
        <f>16.0128 * CHOOSE(CONTROL!$C$32, $C$9, 100%, $E$9)</f>
        <v>16.012799999999999</v>
      </c>
    </row>
    <row r="988" spans="1:15" ht="15" x14ac:dyDescent="0.2">
      <c r="A988" s="13">
        <v>70919</v>
      </c>
      <c r="B988" s="9">
        <f>14.6216 * CHOOSE(CONTROL!$C$32, $C$9, 100%, $E$9)</f>
        <v>14.621600000000001</v>
      </c>
      <c r="C988" s="9">
        <f>14.6216 * CHOOSE(CONTROL!$C$32, $C$9, 100%, $E$9)</f>
        <v>14.621600000000001</v>
      </c>
      <c r="D988" s="9">
        <f>14.6225 * CHOOSE(CONTROL!$C$32, $C$9, 100%, $E$9)</f>
        <v>14.6225</v>
      </c>
      <c r="E988" s="11">
        <f>16.3692 * CHOOSE(CONTROL!$C$32, $C$9, 100%, $E$9)</f>
        <v>16.369199999999999</v>
      </c>
      <c r="F988" s="11">
        <f>16.3692 * CHOOSE(CONTROL!$C$32, $C$9, 100%, $E$9)</f>
        <v>16.369199999999999</v>
      </c>
      <c r="G988" s="11">
        <f>16.3725 * CHOOSE(CONTROL!$C$32, $C$9, 100%, $E$9)</f>
        <v>16.372499999999999</v>
      </c>
      <c r="H988" s="11">
        <f>34.843 * CHOOSE(CONTROL!$C$32, $C$9, 100%, $E$9)</f>
        <v>34.843000000000004</v>
      </c>
      <c r="I988" s="11">
        <f>34.8462 * CHOOSE(CONTROL!$C$32, $C$9, 100%, $E$9)</f>
        <v>34.846200000000003</v>
      </c>
      <c r="J988" s="11">
        <f>34.843 * CHOOSE(CONTROL!$C$32, $C$9, 100%, $E$9)</f>
        <v>34.843000000000004</v>
      </c>
      <c r="K988" s="11">
        <f>34.8462 * CHOOSE(CONTROL!$C$32, $C$9, 100%, $E$9)</f>
        <v>34.846200000000003</v>
      </c>
      <c r="L988" s="11">
        <f>16.3692 * CHOOSE(CONTROL!$C$32, $C$9, 100%, $E$9)</f>
        <v>16.369199999999999</v>
      </c>
      <c r="M988" s="11">
        <f>16.3725 * CHOOSE(CONTROL!$C$32, $C$9, 100%, $E$9)</f>
        <v>16.372499999999999</v>
      </c>
      <c r="N988" s="11">
        <f>16.3692 * CHOOSE(CONTROL!$C$32, $C$9, 100%, $E$9)</f>
        <v>16.369199999999999</v>
      </c>
      <c r="O988" s="11">
        <f>16.3725 * CHOOSE(CONTROL!$C$32, $C$9, 100%, $E$9)</f>
        <v>16.372499999999999</v>
      </c>
    </row>
    <row r="989" spans="1:15" ht="15" x14ac:dyDescent="0.2">
      <c r="A989" s="13">
        <v>70950</v>
      </c>
      <c r="B989" s="9">
        <f>14.6296 * CHOOSE(CONTROL!$C$32, $C$9, 100%, $E$9)</f>
        <v>14.6296</v>
      </c>
      <c r="C989" s="9">
        <f>14.6296 * CHOOSE(CONTROL!$C$32, $C$9, 100%, $E$9)</f>
        <v>14.6296</v>
      </c>
      <c r="D989" s="9">
        <f>14.6305 * CHOOSE(CONTROL!$C$32, $C$9, 100%, $E$9)</f>
        <v>14.6305</v>
      </c>
      <c r="E989" s="11">
        <f>16.7536 * CHOOSE(CONTROL!$C$32, $C$9, 100%, $E$9)</f>
        <v>16.753599999999999</v>
      </c>
      <c r="F989" s="11">
        <f>16.7536 * CHOOSE(CONTROL!$C$32, $C$9, 100%, $E$9)</f>
        <v>16.753599999999999</v>
      </c>
      <c r="G989" s="11">
        <f>16.7568 * CHOOSE(CONTROL!$C$32, $C$9, 100%, $E$9)</f>
        <v>16.756799999999998</v>
      </c>
      <c r="H989" s="11">
        <f>34.9156 * CHOOSE(CONTROL!$C$32, $C$9, 100%, $E$9)</f>
        <v>34.915599999999998</v>
      </c>
      <c r="I989" s="11">
        <f>34.9188 * CHOOSE(CONTROL!$C$32, $C$9, 100%, $E$9)</f>
        <v>34.918799999999997</v>
      </c>
      <c r="J989" s="11">
        <f>34.9156 * CHOOSE(CONTROL!$C$32, $C$9, 100%, $E$9)</f>
        <v>34.915599999999998</v>
      </c>
      <c r="K989" s="11">
        <f>34.9188 * CHOOSE(CONTROL!$C$32, $C$9, 100%, $E$9)</f>
        <v>34.918799999999997</v>
      </c>
      <c r="L989" s="11">
        <f>16.7536 * CHOOSE(CONTROL!$C$32, $C$9, 100%, $E$9)</f>
        <v>16.753599999999999</v>
      </c>
      <c r="M989" s="11">
        <f>16.7568 * CHOOSE(CONTROL!$C$32, $C$9, 100%, $E$9)</f>
        <v>16.756799999999998</v>
      </c>
      <c r="N989" s="11">
        <f>16.7536 * CHOOSE(CONTROL!$C$32, $C$9, 100%, $E$9)</f>
        <v>16.753599999999999</v>
      </c>
      <c r="O989" s="11">
        <f>16.7568 * CHOOSE(CONTROL!$C$32, $C$9, 100%, $E$9)</f>
        <v>16.756799999999998</v>
      </c>
    </row>
    <row r="990" spans="1:15" ht="15" x14ac:dyDescent="0.2">
      <c r="A990" s="13">
        <v>70980</v>
      </c>
      <c r="B990" s="9">
        <f>14.6296 * CHOOSE(CONTROL!$C$32, $C$9, 100%, $E$9)</f>
        <v>14.6296</v>
      </c>
      <c r="C990" s="9">
        <f>14.6296 * CHOOSE(CONTROL!$C$32, $C$9, 100%, $E$9)</f>
        <v>14.6296</v>
      </c>
      <c r="D990" s="9">
        <f>14.6308 * CHOOSE(CONTROL!$C$32, $C$9, 100%, $E$9)</f>
        <v>14.630800000000001</v>
      </c>
      <c r="E990" s="11">
        <f>16.8993 * CHOOSE(CONTROL!$C$32, $C$9, 100%, $E$9)</f>
        <v>16.8993</v>
      </c>
      <c r="F990" s="11">
        <f>16.8993 * CHOOSE(CONTROL!$C$32, $C$9, 100%, $E$9)</f>
        <v>16.8993</v>
      </c>
      <c r="G990" s="11">
        <f>16.9035 * CHOOSE(CONTROL!$C$32, $C$9, 100%, $E$9)</f>
        <v>16.903500000000001</v>
      </c>
      <c r="H990" s="11">
        <f>34.9883 * CHOOSE(CONTROL!$C$32, $C$9, 100%, $E$9)</f>
        <v>34.988300000000002</v>
      </c>
      <c r="I990" s="11">
        <f>34.9925 * CHOOSE(CONTROL!$C$32, $C$9, 100%, $E$9)</f>
        <v>34.9925</v>
      </c>
      <c r="J990" s="11">
        <f>34.9883 * CHOOSE(CONTROL!$C$32, $C$9, 100%, $E$9)</f>
        <v>34.988300000000002</v>
      </c>
      <c r="K990" s="11">
        <f>34.9925 * CHOOSE(CONTROL!$C$32, $C$9, 100%, $E$9)</f>
        <v>34.9925</v>
      </c>
      <c r="L990" s="11">
        <f>16.8993 * CHOOSE(CONTROL!$C$32, $C$9, 100%, $E$9)</f>
        <v>16.8993</v>
      </c>
      <c r="M990" s="11">
        <f>16.9035 * CHOOSE(CONTROL!$C$32, $C$9, 100%, $E$9)</f>
        <v>16.903500000000001</v>
      </c>
      <c r="N990" s="11">
        <f>16.8993 * CHOOSE(CONTROL!$C$32, $C$9, 100%, $E$9)</f>
        <v>16.8993</v>
      </c>
      <c r="O990" s="11">
        <f>16.9035 * CHOOSE(CONTROL!$C$32, $C$9, 100%, $E$9)</f>
        <v>16.903500000000001</v>
      </c>
    </row>
    <row r="991" spans="1:15" ht="15" x14ac:dyDescent="0.2">
      <c r="A991" s="13">
        <v>71011</v>
      </c>
      <c r="B991" s="9">
        <f>14.6356 * CHOOSE(CONTROL!$C$32, $C$9, 100%, $E$9)</f>
        <v>14.6356</v>
      </c>
      <c r="C991" s="9">
        <f>14.6356 * CHOOSE(CONTROL!$C$32, $C$9, 100%, $E$9)</f>
        <v>14.6356</v>
      </c>
      <c r="D991" s="9">
        <f>14.6369 * CHOOSE(CONTROL!$C$32, $C$9, 100%, $E$9)</f>
        <v>14.636900000000001</v>
      </c>
      <c r="E991" s="11">
        <f>16.7578 * CHOOSE(CONTROL!$C$32, $C$9, 100%, $E$9)</f>
        <v>16.7578</v>
      </c>
      <c r="F991" s="11">
        <f>16.7578 * CHOOSE(CONTROL!$C$32, $C$9, 100%, $E$9)</f>
        <v>16.7578</v>
      </c>
      <c r="G991" s="11">
        <f>16.762 * CHOOSE(CONTROL!$C$32, $C$9, 100%, $E$9)</f>
        <v>16.762</v>
      </c>
      <c r="H991" s="11">
        <f>35.0612 * CHOOSE(CONTROL!$C$32, $C$9, 100%, $E$9)</f>
        <v>35.061199999999999</v>
      </c>
      <c r="I991" s="11">
        <f>35.0654 * CHOOSE(CONTROL!$C$32, $C$9, 100%, $E$9)</f>
        <v>35.065399999999997</v>
      </c>
      <c r="J991" s="11">
        <f>35.0612 * CHOOSE(CONTROL!$C$32, $C$9, 100%, $E$9)</f>
        <v>35.061199999999999</v>
      </c>
      <c r="K991" s="11">
        <f>35.0654 * CHOOSE(CONTROL!$C$32, $C$9, 100%, $E$9)</f>
        <v>35.065399999999997</v>
      </c>
      <c r="L991" s="11">
        <f>16.7578 * CHOOSE(CONTROL!$C$32, $C$9, 100%, $E$9)</f>
        <v>16.7578</v>
      </c>
      <c r="M991" s="11">
        <f>16.762 * CHOOSE(CONTROL!$C$32, $C$9, 100%, $E$9)</f>
        <v>16.762</v>
      </c>
      <c r="N991" s="11">
        <f>16.7578 * CHOOSE(CONTROL!$C$32, $C$9, 100%, $E$9)</f>
        <v>16.7578</v>
      </c>
      <c r="O991" s="11">
        <f>16.762 * CHOOSE(CONTROL!$C$32, $C$9, 100%, $E$9)</f>
        <v>16.762</v>
      </c>
    </row>
    <row r="992" spans="1:15" ht="15" x14ac:dyDescent="0.2">
      <c r="A992" s="13">
        <v>71041</v>
      </c>
      <c r="B992" s="9">
        <f>14.8109 * CHOOSE(CONTROL!$C$32, $C$9, 100%, $E$9)</f>
        <v>14.8109</v>
      </c>
      <c r="C992" s="9">
        <f>14.8109 * CHOOSE(CONTROL!$C$32, $C$9, 100%, $E$9)</f>
        <v>14.8109</v>
      </c>
      <c r="D992" s="9">
        <f>14.8121 * CHOOSE(CONTROL!$C$32, $C$9, 100%, $E$9)</f>
        <v>14.812099999999999</v>
      </c>
      <c r="E992" s="11">
        <f>16.996 * CHOOSE(CONTROL!$C$32, $C$9, 100%, $E$9)</f>
        <v>16.995999999999999</v>
      </c>
      <c r="F992" s="11">
        <f>16.996 * CHOOSE(CONTROL!$C$32, $C$9, 100%, $E$9)</f>
        <v>16.995999999999999</v>
      </c>
      <c r="G992" s="11">
        <f>17.0002 * CHOOSE(CONTROL!$C$32, $C$9, 100%, $E$9)</f>
        <v>17.0002</v>
      </c>
      <c r="H992" s="11">
        <f>35.1343 * CHOOSE(CONTROL!$C$32, $C$9, 100%, $E$9)</f>
        <v>35.134300000000003</v>
      </c>
      <c r="I992" s="11">
        <f>35.1385 * CHOOSE(CONTROL!$C$32, $C$9, 100%, $E$9)</f>
        <v>35.138500000000001</v>
      </c>
      <c r="J992" s="11">
        <f>35.1343 * CHOOSE(CONTROL!$C$32, $C$9, 100%, $E$9)</f>
        <v>35.134300000000003</v>
      </c>
      <c r="K992" s="11">
        <f>35.1385 * CHOOSE(CONTROL!$C$32, $C$9, 100%, $E$9)</f>
        <v>35.138500000000001</v>
      </c>
      <c r="L992" s="11">
        <f>16.996 * CHOOSE(CONTROL!$C$32, $C$9, 100%, $E$9)</f>
        <v>16.995999999999999</v>
      </c>
      <c r="M992" s="11">
        <f>17.0002 * CHOOSE(CONTROL!$C$32, $C$9, 100%, $E$9)</f>
        <v>17.0002</v>
      </c>
      <c r="N992" s="11">
        <f>16.996 * CHOOSE(CONTROL!$C$32, $C$9, 100%, $E$9)</f>
        <v>16.995999999999999</v>
      </c>
      <c r="O992" s="11">
        <f>17.0002 * CHOOSE(CONTROL!$C$32, $C$9, 100%, $E$9)</f>
        <v>17.0002</v>
      </c>
    </row>
    <row r="993" spans="1:15" ht="15" x14ac:dyDescent="0.2">
      <c r="A993" s="13">
        <v>71072</v>
      </c>
      <c r="B993" s="9">
        <f>14.8175 * CHOOSE(CONTROL!$C$32, $C$9, 100%, $E$9)</f>
        <v>14.817500000000001</v>
      </c>
      <c r="C993" s="9">
        <f>14.8175 * CHOOSE(CONTROL!$C$32, $C$9, 100%, $E$9)</f>
        <v>14.817500000000001</v>
      </c>
      <c r="D993" s="9">
        <f>14.8188 * CHOOSE(CONTROL!$C$32, $C$9, 100%, $E$9)</f>
        <v>14.8188</v>
      </c>
      <c r="E993" s="11">
        <f>16.5635 * CHOOSE(CONTROL!$C$32, $C$9, 100%, $E$9)</f>
        <v>16.563500000000001</v>
      </c>
      <c r="F993" s="11">
        <f>16.5635 * CHOOSE(CONTROL!$C$32, $C$9, 100%, $E$9)</f>
        <v>16.563500000000001</v>
      </c>
      <c r="G993" s="11">
        <f>16.5677 * CHOOSE(CONTROL!$C$32, $C$9, 100%, $E$9)</f>
        <v>16.567699999999999</v>
      </c>
      <c r="H993" s="11">
        <f>35.2075 * CHOOSE(CONTROL!$C$32, $C$9, 100%, $E$9)</f>
        <v>35.207500000000003</v>
      </c>
      <c r="I993" s="11">
        <f>35.2117 * CHOOSE(CONTROL!$C$32, $C$9, 100%, $E$9)</f>
        <v>35.2117</v>
      </c>
      <c r="J993" s="11">
        <f>35.2075 * CHOOSE(CONTROL!$C$32, $C$9, 100%, $E$9)</f>
        <v>35.207500000000003</v>
      </c>
      <c r="K993" s="11">
        <f>35.2117 * CHOOSE(CONTROL!$C$32, $C$9, 100%, $E$9)</f>
        <v>35.2117</v>
      </c>
      <c r="L993" s="11">
        <f>16.5635 * CHOOSE(CONTROL!$C$32, $C$9, 100%, $E$9)</f>
        <v>16.563500000000001</v>
      </c>
      <c r="M993" s="11">
        <f>16.5677 * CHOOSE(CONTROL!$C$32, $C$9, 100%, $E$9)</f>
        <v>16.567699999999999</v>
      </c>
      <c r="N993" s="11">
        <f>16.5635 * CHOOSE(CONTROL!$C$32, $C$9, 100%, $E$9)</f>
        <v>16.563500000000001</v>
      </c>
      <c r="O993" s="11">
        <f>16.5677 * CHOOSE(CONTROL!$C$32, $C$9, 100%, $E$9)</f>
        <v>16.567699999999999</v>
      </c>
    </row>
    <row r="994" spans="1:15" ht="15" x14ac:dyDescent="0.2">
      <c r="A994" s="13">
        <v>71103</v>
      </c>
      <c r="B994" s="9">
        <f>14.8145 * CHOOSE(CONTROL!$C$32, $C$9, 100%, $E$9)</f>
        <v>14.814500000000001</v>
      </c>
      <c r="C994" s="9">
        <f>14.8145 * CHOOSE(CONTROL!$C$32, $C$9, 100%, $E$9)</f>
        <v>14.814500000000001</v>
      </c>
      <c r="D994" s="9">
        <f>14.8158 * CHOOSE(CONTROL!$C$32, $C$9, 100%, $E$9)</f>
        <v>14.815799999999999</v>
      </c>
      <c r="E994" s="11">
        <f>16.5129 * CHOOSE(CONTROL!$C$32, $C$9, 100%, $E$9)</f>
        <v>16.512899999999998</v>
      </c>
      <c r="F994" s="11">
        <f>16.5129 * CHOOSE(CONTROL!$C$32, $C$9, 100%, $E$9)</f>
        <v>16.512899999999998</v>
      </c>
      <c r="G994" s="11">
        <f>16.5171 * CHOOSE(CONTROL!$C$32, $C$9, 100%, $E$9)</f>
        <v>16.517099999999999</v>
      </c>
      <c r="H994" s="11">
        <f>35.2808 * CHOOSE(CONTROL!$C$32, $C$9, 100%, $E$9)</f>
        <v>35.280799999999999</v>
      </c>
      <c r="I994" s="11">
        <f>35.285 * CHOOSE(CONTROL!$C$32, $C$9, 100%, $E$9)</f>
        <v>35.284999999999997</v>
      </c>
      <c r="J994" s="11">
        <f>35.2808 * CHOOSE(CONTROL!$C$32, $C$9, 100%, $E$9)</f>
        <v>35.280799999999999</v>
      </c>
      <c r="K994" s="11">
        <f>35.285 * CHOOSE(CONTROL!$C$32, $C$9, 100%, $E$9)</f>
        <v>35.284999999999997</v>
      </c>
      <c r="L994" s="11">
        <f>16.5129 * CHOOSE(CONTROL!$C$32, $C$9, 100%, $E$9)</f>
        <v>16.512899999999998</v>
      </c>
      <c r="M994" s="11">
        <f>16.5171 * CHOOSE(CONTROL!$C$32, $C$9, 100%, $E$9)</f>
        <v>16.517099999999999</v>
      </c>
      <c r="N994" s="11">
        <f>16.5129 * CHOOSE(CONTROL!$C$32, $C$9, 100%, $E$9)</f>
        <v>16.512899999999998</v>
      </c>
      <c r="O994" s="11">
        <f>16.5171 * CHOOSE(CONTROL!$C$32, $C$9, 100%, $E$9)</f>
        <v>16.517099999999999</v>
      </c>
    </row>
    <row r="995" spans="1:15" ht="15" x14ac:dyDescent="0.2">
      <c r="A995" s="13">
        <v>71133</v>
      </c>
      <c r="B995" s="9">
        <f>14.85 * CHOOSE(CONTROL!$C$32, $C$9, 100%, $E$9)</f>
        <v>14.85</v>
      </c>
      <c r="C995" s="9">
        <f>14.85 * CHOOSE(CONTROL!$C$32, $C$9, 100%, $E$9)</f>
        <v>14.85</v>
      </c>
      <c r="D995" s="9">
        <f>14.851 * CHOOSE(CONTROL!$C$32, $C$9, 100%, $E$9)</f>
        <v>14.851000000000001</v>
      </c>
      <c r="E995" s="11">
        <f>16.6937 * CHOOSE(CONTROL!$C$32, $C$9, 100%, $E$9)</f>
        <v>16.6937</v>
      </c>
      <c r="F995" s="11">
        <f>16.6937 * CHOOSE(CONTROL!$C$32, $C$9, 100%, $E$9)</f>
        <v>16.6937</v>
      </c>
      <c r="G995" s="11">
        <f>16.697 * CHOOSE(CONTROL!$C$32, $C$9, 100%, $E$9)</f>
        <v>16.696999999999999</v>
      </c>
      <c r="H995" s="11">
        <f>35.3543 * CHOOSE(CONTROL!$C$32, $C$9, 100%, $E$9)</f>
        <v>35.354300000000002</v>
      </c>
      <c r="I995" s="11">
        <f>35.3576 * CHOOSE(CONTROL!$C$32, $C$9, 100%, $E$9)</f>
        <v>35.357599999999998</v>
      </c>
      <c r="J995" s="11">
        <f>35.3543 * CHOOSE(CONTROL!$C$32, $C$9, 100%, $E$9)</f>
        <v>35.354300000000002</v>
      </c>
      <c r="K995" s="11">
        <f>35.3576 * CHOOSE(CONTROL!$C$32, $C$9, 100%, $E$9)</f>
        <v>35.357599999999998</v>
      </c>
      <c r="L995" s="11">
        <f>16.6937 * CHOOSE(CONTROL!$C$32, $C$9, 100%, $E$9)</f>
        <v>16.6937</v>
      </c>
      <c r="M995" s="11">
        <f>16.697 * CHOOSE(CONTROL!$C$32, $C$9, 100%, $E$9)</f>
        <v>16.696999999999999</v>
      </c>
      <c r="N995" s="11">
        <f>16.6937 * CHOOSE(CONTROL!$C$32, $C$9, 100%, $E$9)</f>
        <v>16.6937</v>
      </c>
      <c r="O995" s="11">
        <f>16.697 * CHOOSE(CONTROL!$C$32, $C$9, 100%, $E$9)</f>
        <v>16.696999999999999</v>
      </c>
    </row>
    <row r="996" spans="1:15" ht="15" x14ac:dyDescent="0.2">
      <c r="A996" s="13">
        <v>71164</v>
      </c>
      <c r="B996" s="9">
        <f>14.8531 * CHOOSE(CONTROL!$C$32, $C$9, 100%, $E$9)</f>
        <v>14.8531</v>
      </c>
      <c r="C996" s="9">
        <f>14.8531 * CHOOSE(CONTROL!$C$32, $C$9, 100%, $E$9)</f>
        <v>14.8531</v>
      </c>
      <c r="D996" s="9">
        <f>14.854 * CHOOSE(CONTROL!$C$32, $C$9, 100%, $E$9)</f>
        <v>14.853999999999999</v>
      </c>
      <c r="E996" s="11">
        <f>16.793 * CHOOSE(CONTROL!$C$32, $C$9, 100%, $E$9)</f>
        <v>16.792999999999999</v>
      </c>
      <c r="F996" s="11">
        <f>16.793 * CHOOSE(CONTROL!$C$32, $C$9, 100%, $E$9)</f>
        <v>16.792999999999999</v>
      </c>
      <c r="G996" s="11">
        <f>16.7962 * CHOOSE(CONTROL!$C$32, $C$9, 100%, $E$9)</f>
        <v>16.796199999999999</v>
      </c>
      <c r="H996" s="11">
        <f>35.428 * CHOOSE(CONTROL!$C$32, $C$9, 100%, $E$9)</f>
        <v>35.427999999999997</v>
      </c>
      <c r="I996" s="11">
        <f>35.4312 * CHOOSE(CONTROL!$C$32, $C$9, 100%, $E$9)</f>
        <v>35.431199999999997</v>
      </c>
      <c r="J996" s="11">
        <f>35.428 * CHOOSE(CONTROL!$C$32, $C$9, 100%, $E$9)</f>
        <v>35.427999999999997</v>
      </c>
      <c r="K996" s="11">
        <f>35.4312 * CHOOSE(CONTROL!$C$32, $C$9, 100%, $E$9)</f>
        <v>35.431199999999997</v>
      </c>
      <c r="L996" s="11">
        <f>16.793 * CHOOSE(CONTROL!$C$32, $C$9, 100%, $E$9)</f>
        <v>16.792999999999999</v>
      </c>
      <c r="M996" s="11">
        <f>16.7962 * CHOOSE(CONTROL!$C$32, $C$9, 100%, $E$9)</f>
        <v>16.796199999999999</v>
      </c>
      <c r="N996" s="11">
        <f>16.793 * CHOOSE(CONTROL!$C$32, $C$9, 100%, $E$9)</f>
        <v>16.792999999999999</v>
      </c>
      <c r="O996" s="11">
        <f>16.7962 * CHOOSE(CONTROL!$C$32, $C$9, 100%, $E$9)</f>
        <v>16.796199999999999</v>
      </c>
    </row>
    <row r="997" spans="1:15" ht="15" x14ac:dyDescent="0.2">
      <c r="A997" s="13">
        <v>71194</v>
      </c>
      <c r="B997" s="9">
        <f>14.8531 * CHOOSE(CONTROL!$C$32, $C$9, 100%, $E$9)</f>
        <v>14.8531</v>
      </c>
      <c r="C997" s="9">
        <f>14.8531 * CHOOSE(CONTROL!$C$32, $C$9, 100%, $E$9)</f>
        <v>14.8531</v>
      </c>
      <c r="D997" s="9">
        <f>14.854 * CHOOSE(CONTROL!$C$32, $C$9, 100%, $E$9)</f>
        <v>14.853999999999999</v>
      </c>
      <c r="E997" s="11">
        <f>16.5501 * CHOOSE(CONTROL!$C$32, $C$9, 100%, $E$9)</f>
        <v>16.5501</v>
      </c>
      <c r="F997" s="11">
        <f>16.5501 * CHOOSE(CONTROL!$C$32, $C$9, 100%, $E$9)</f>
        <v>16.5501</v>
      </c>
      <c r="G997" s="11">
        <f>16.5534 * CHOOSE(CONTROL!$C$32, $C$9, 100%, $E$9)</f>
        <v>16.5534</v>
      </c>
      <c r="H997" s="11">
        <f>35.5018 * CHOOSE(CONTROL!$C$32, $C$9, 100%, $E$9)</f>
        <v>35.501800000000003</v>
      </c>
      <c r="I997" s="11">
        <f>35.505 * CHOOSE(CONTROL!$C$32, $C$9, 100%, $E$9)</f>
        <v>35.505000000000003</v>
      </c>
      <c r="J997" s="11">
        <f>35.5018 * CHOOSE(CONTROL!$C$32, $C$9, 100%, $E$9)</f>
        <v>35.501800000000003</v>
      </c>
      <c r="K997" s="11">
        <f>35.505 * CHOOSE(CONTROL!$C$32, $C$9, 100%, $E$9)</f>
        <v>35.505000000000003</v>
      </c>
      <c r="L997" s="11">
        <f>16.5501 * CHOOSE(CONTROL!$C$32, $C$9, 100%, $E$9)</f>
        <v>16.5501</v>
      </c>
      <c r="M997" s="11">
        <f>16.5534 * CHOOSE(CONTROL!$C$32, $C$9, 100%, $E$9)</f>
        <v>16.5534</v>
      </c>
      <c r="N997" s="11">
        <f>16.5501 * CHOOSE(CONTROL!$C$32, $C$9, 100%, $E$9)</f>
        <v>16.5501</v>
      </c>
      <c r="O997" s="11">
        <f>16.5534 * CHOOSE(CONTROL!$C$32, $C$9, 100%, $E$9)</f>
        <v>16.5534</v>
      </c>
    </row>
    <row r="998" spans="1:15" ht="15" x14ac:dyDescent="0.2">
      <c r="A998" s="13">
        <v>71225</v>
      </c>
      <c r="B998" s="9">
        <f>14.815 * CHOOSE(CONTROL!$C$32, $C$9, 100%, $E$9)</f>
        <v>14.815</v>
      </c>
      <c r="C998" s="9">
        <f>14.815 * CHOOSE(CONTROL!$C$32, $C$9, 100%, $E$9)</f>
        <v>14.815</v>
      </c>
      <c r="D998" s="9">
        <f>14.816 * CHOOSE(CONTROL!$C$32, $C$9, 100%, $E$9)</f>
        <v>14.816000000000001</v>
      </c>
      <c r="E998" s="11">
        <f>16.6831 * CHOOSE(CONTROL!$C$32, $C$9, 100%, $E$9)</f>
        <v>16.6831</v>
      </c>
      <c r="F998" s="11">
        <f>16.6831 * CHOOSE(CONTROL!$C$32, $C$9, 100%, $E$9)</f>
        <v>16.6831</v>
      </c>
      <c r="G998" s="11">
        <f>16.6863 * CHOOSE(CONTROL!$C$32, $C$9, 100%, $E$9)</f>
        <v>16.686299999999999</v>
      </c>
      <c r="H998" s="11">
        <f>35.1701 * CHOOSE(CONTROL!$C$32, $C$9, 100%, $E$9)</f>
        <v>35.170099999999998</v>
      </c>
      <c r="I998" s="11">
        <f>35.1733 * CHOOSE(CONTROL!$C$32, $C$9, 100%, $E$9)</f>
        <v>35.173299999999998</v>
      </c>
      <c r="J998" s="11">
        <f>35.1701 * CHOOSE(CONTROL!$C$32, $C$9, 100%, $E$9)</f>
        <v>35.170099999999998</v>
      </c>
      <c r="K998" s="11">
        <f>35.1733 * CHOOSE(CONTROL!$C$32, $C$9, 100%, $E$9)</f>
        <v>35.173299999999998</v>
      </c>
      <c r="L998" s="11">
        <f>16.6831 * CHOOSE(CONTROL!$C$32, $C$9, 100%, $E$9)</f>
        <v>16.6831</v>
      </c>
      <c r="M998" s="11">
        <f>16.6863 * CHOOSE(CONTROL!$C$32, $C$9, 100%, $E$9)</f>
        <v>16.686299999999999</v>
      </c>
      <c r="N998" s="11">
        <f>16.6831 * CHOOSE(CONTROL!$C$32, $C$9, 100%, $E$9)</f>
        <v>16.6831</v>
      </c>
      <c r="O998" s="11">
        <f>16.6863 * CHOOSE(CONTROL!$C$32, $C$9, 100%, $E$9)</f>
        <v>16.686299999999999</v>
      </c>
    </row>
    <row r="999" spans="1:15" ht="15" x14ac:dyDescent="0.2">
      <c r="A999" s="13">
        <v>71256</v>
      </c>
      <c r="B999" s="9">
        <f>14.812 * CHOOSE(CONTROL!$C$32, $C$9, 100%, $E$9)</f>
        <v>14.811999999999999</v>
      </c>
      <c r="C999" s="9">
        <f>14.812 * CHOOSE(CONTROL!$C$32, $C$9, 100%, $E$9)</f>
        <v>14.811999999999999</v>
      </c>
      <c r="D999" s="9">
        <f>14.8129 * CHOOSE(CONTROL!$C$32, $C$9, 100%, $E$9)</f>
        <v>14.812900000000001</v>
      </c>
      <c r="E999" s="11">
        <f>16.215 * CHOOSE(CONTROL!$C$32, $C$9, 100%, $E$9)</f>
        <v>16.215</v>
      </c>
      <c r="F999" s="11">
        <f>16.215 * CHOOSE(CONTROL!$C$32, $C$9, 100%, $E$9)</f>
        <v>16.215</v>
      </c>
      <c r="G999" s="11">
        <f>16.2182 * CHOOSE(CONTROL!$C$32, $C$9, 100%, $E$9)</f>
        <v>16.2182</v>
      </c>
      <c r="H999" s="11">
        <f>35.2434 * CHOOSE(CONTROL!$C$32, $C$9, 100%, $E$9)</f>
        <v>35.243400000000001</v>
      </c>
      <c r="I999" s="11">
        <f>35.2466 * CHOOSE(CONTROL!$C$32, $C$9, 100%, $E$9)</f>
        <v>35.246600000000001</v>
      </c>
      <c r="J999" s="11">
        <f>35.2434 * CHOOSE(CONTROL!$C$32, $C$9, 100%, $E$9)</f>
        <v>35.243400000000001</v>
      </c>
      <c r="K999" s="11">
        <f>35.2466 * CHOOSE(CONTROL!$C$32, $C$9, 100%, $E$9)</f>
        <v>35.246600000000001</v>
      </c>
      <c r="L999" s="11">
        <f>16.215 * CHOOSE(CONTROL!$C$32, $C$9, 100%, $E$9)</f>
        <v>16.215</v>
      </c>
      <c r="M999" s="11">
        <f>16.2182 * CHOOSE(CONTROL!$C$32, $C$9, 100%, $E$9)</f>
        <v>16.2182</v>
      </c>
      <c r="N999" s="11">
        <f>16.215 * CHOOSE(CONTROL!$C$32, $C$9, 100%, $E$9)</f>
        <v>16.215</v>
      </c>
      <c r="O999" s="11">
        <f>16.2182 * CHOOSE(CONTROL!$C$32, $C$9, 100%, $E$9)</f>
        <v>16.2182</v>
      </c>
    </row>
    <row r="1000" spans="1:15" ht="15" x14ac:dyDescent="0.2">
      <c r="A1000" s="13">
        <v>71284</v>
      </c>
      <c r="B1000" s="9">
        <f>14.8089 * CHOOSE(CONTROL!$C$32, $C$9, 100%, $E$9)</f>
        <v>14.8089</v>
      </c>
      <c r="C1000" s="9">
        <f>14.8089 * CHOOSE(CONTROL!$C$32, $C$9, 100%, $E$9)</f>
        <v>14.8089</v>
      </c>
      <c r="D1000" s="9">
        <f>14.8099 * CHOOSE(CONTROL!$C$32, $C$9, 100%, $E$9)</f>
        <v>14.809900000000001</v>
      </c>
      <c r="E1000" s="11">
        <f>16.5802 * CHOOSE(CONTROL!$C$32, $C$9, 100%, $E$9)</f>
        <v>16.580200000000001</v>
      </c>
      <c r="F1000" s="11">
        <f>16.5802 * CHOOSE(CONTROL!$C$32, $C$9, 100%, $E$9)</f>
        <v>16.580200000000001</v>
      </c>
      <c r="G1000" s="11">
        <f>16.5835 * CHOOSE(CONTROL!$C$32, $C$9, 100%, $E$9)</f>
        <v>16.583500000000001</v>
      </c>
      <c r="H1000" s="11">
        <f>35.3168 * CHOOSE(CONTROL!$C$32, $C$9, 100%, $E$9)</f>
        <v>35.316800000000001</v>
      </c>
      <c r="I1000" s="11">
        <f>35.32 * CHOOSE(CONTROL!$C$32, $C$9, 100%, $E$9)</f>
        <v>35.32</v>
      </c>
      <c r="J1000" s="11">
        <f>35.3168 * CHOOSE(CONTROL!$C$32, $C$9, 100%, $E$9)</f>
        <v>35.316800000000001</v>
      </c>
      <c r="K1000" s="11">
        <f>35.32 * CHOOSE(CONTROL!$C$32, $C$9, 100%, $E$9)</f>
        <v>35.32</v>
      </c>
      <c r="L1000" s="11">
        <f>16.5802 * CHOOSE(CONTROL!$C$32, $C$9, 100%, $E$9)</f>
        <v>16.580200000000001</v>
      </c>
      <c r="M1000" s="11">
        <f>16.5835 * CHOOSE(CONTROL!$C$32, $C$9, 100%, $E$9)</f>
        <v>16.583500000000001</v>
      </c>
      <c r="N1000" s="11">
        <f>16.5802 * CHOOSE(CONTROL!$C$32, $C$9, 100%, $E$9)</f>
        <v>16.580200000000001</v>
      </c>
      <c r="O1000" s="11">
        <f>16.5835 * CHOOSE(CONTROL!$C$32, $C$9, 100%, $E$9)</f>
        <v>16.583500000000001</v>
      </c>
    </row>
    <row r="1001" spans="1:15" ht="15" x14ac:dyDescent="0.2">
      <c r="A1001" s="13">
        <v>71315</v>
      </c>
      <c r="B1001" s="9">
        <f>14.8171 * CHOOSE(CONTROL!$C$32, $C$9, 100%, $E$9)</f>
        <v>14.8171</v>
      </c>
      <c r="C1001" s="9">
        <f>14.8171 * CHOOSE(CONTROL!$C$32, $C$9, 100%, $E$9)</f>
        <v>14.8171</v>
      </c>
      <c r="D1001" s="9">
        <f>14.8181 * CHOOSE(CONTROL!$C$32, $C$9, 100%, $E$9)</f>
        <v>14.818099999999999</v>
      </c>
      <c r="E1001" s="11">
        <f>16.9706 * CHOOSE(CONTROL!$C$32, $C$9, 100%, $E$9)</f>
        <v>16.970600000000001</v>
      </c>
      <c r="F1001" s="11">
        <f>16.9706 * CHOOSE(CONTROL!$C$32, $C$9, 100%, $E$9)</f>
        <v>16.970600000000001</v>
      </c>
      <c r="G1001" s="11">
        <f>16.9738 * CHOOSE(CONTROL!$C$32, $C$9, 100%, $E$9)</f>
        <v>16.973800000000001</v>
      </c>
      <c r="H1001" s="11">
        <f>35.3904 * CHOOSE(CONTROL!$C$32, $C$9, 100%, $E$9)</f>
        <v>35.3904</v>
      </c>
      <c r="I1001" s="11">
        <f>35.3936 * CHOOSE(CONTROL!$C$32, $C$9, 100%, $E$9)</f>
        <v>35.393599999999999</v>
      </c>
      <c r="J1001" s="11">
        <f>35.3904 * CHOOSE(CONTROL!$C$32, $C$9, 100%, $E$9)</f>
        <v>35.3904</v>
      </c>
      <c r="K1001" s="11">
        <f>35.3936 * CHOOSE(CONTROL!$C$32, $C$9, 100%, $E$9)</f>
        <v>35.393599999999999</v>
      </c>
      <c r="L1001" s="11">
        <f>16.9706 * CHOOSE(CONTROL!$C$32, $C$9, 100%, $E$9)</f>
        <v>16.970600000000001</v>
      </c>
      <c r="M1001" s="11">
        <f>16.9738 * CHOOSE(CONTROL!$C$32, $C$9, 100%, $E$9)</f>
        <v>16.973800000000001</v>
      </c>
      <c r="N1001" s="11">
        <f>16.9706 * CHOOSE(CONTROL!$C$32, $C$9, 100%, $E$9)</f>
        <v>16.970600000000001</v>
      </c>
      <c r="O1001" s="11">
        <f>16.9738 * CHOOSE(CONTROL!$C$32, $C$9, 100%, $E$9)</f>
        <v>16.973800000000001</v>
      </c>
    </row>
    <row r="1002" spans="1:15" ht="15" x14ac:dyDescent="0.2">
      <c r="A1002" s="13">
        <v>71345</v>
      </c>
      <c r="B1002" s="9">
        <f>14.8171 * CHOOSE(CONTROL!$C$32, $C$9, 100%, $E$9)</f>
        <v>14.8171</v>
      </c>
      <c r="C1002" s="9">
        <f>14.8171 * CHOOSE(CONTROL!$C$32, $C$9, 100%, $E$9)</f>
        <v>14.8171</v>
      </c>
      <c r="D1002" s="9">
        <f>14.8183 * CHOOSE(CONTROL!$C$32, $C$9, 100%, $E$9)</f>
        <v>14.818300000000001</v>
      </c>
      <c r="E1002" s="11">
        <f>17.1185 * CHOOSE(CONTROL!$C$32, $C$9, 100%, $E$9)</f>
        <v>17.118500000000001</v>
      </c>
      <c r="F1002" s="11">
        <f>17.1185 * CHOOSE(CONTROL!$C$32, $C$9, 100%, $E$9)</f>
        <v>17.118500000000001</v>
      </c>
      <c r="G1002" s="11">
        <f>17.1228 * CHOOSE(CONTROL!$C$32, $C$9, 100%, $E$9)</f>
        <v>17.122800000000002</v>
      </c>
      <c r="H1002" s="11">
        <f>35.4641 * CHOOSE(CONTROL!$C$32, $C$9, 100%, $E$9)</f>
        <v>35.464100000000002</v>
      </c>
      <c r="I1002" s="11">
        <f>35.4683 * CHOOSE(CONTROL!$C$32, $C$9, 100%, $E$9)</f>
        <v>35.468299999999999</v>
      </c>
      <c r="J1002" s="11">
        <f>35.4641 * CHOOSE(CONTROL!$C$32, $C$9, 100%, $E$9)</f>
        <v>35.464100000000002</v>
      </c>
      <c r="K1002" s="11">
        <f>35.4683 * CHOOSE(CONTROL!$C$32, $C$9, 100%, $E$9)</f>
        <v>35.468299999999999</v>
      </c>
      <c r="L1002" s="11">
        <f>17.1185 * CHOOSE(CONTROL!$C$32, $C$9, 100%, $E$9)</f>
        <v>17.118500000000001</v>
      </c>
      <c r="M1002" s="11">
        <f>17.1228 * CHOOSE(CONTROL!$C$32, $C$9, 100%, $E$9)</f>
        <v>17.122800000000002</v>
      </c>
      <c r="N1002" s="11">
        <f>17.1185 * CHOOSE(CONTROL!$C$32, $C$9, 100%, $E$9)</f>
        <v>17.118500000000001</v>
      </c>
      <c r="O1002" s="11">
        <f>17.1228 * CHOOSE(CONTROL!$C$32, $C$9, 100%, $E$9)</f>
        <v>17.122800000000002</v>
      </c>
    </row>
    <row r="1003" spans="1:15" ht="15" x14ac:dyDescent="0.2">
      <c r="A1003" s="13">
        <v>71376</v>
      </c>
      <c r="B1003" s="9">
        <f>14.8232 * CHOOSE(CONTROL!$C$32, $C$9, 100%, $E$9)</f>
        <v>14.8232</v>
      </c>
      <c r="C1003" s="9">
        <f>14.8232 * CHOOSE(CONTROL!$C$32, $C$9, 100%, $E$9)</f>
        <v>14.8232</v>
      </c>
      <c r="D1003" s="9">
        <f>14.8244 * CHOOSE(CONTROL!$C$32, $C$9, 100%, $E$9)</f>
        <v>14.824400000000001</v>
      </c>
      <c r="E1003" s="11">
        <f>16.9748 * CHOOSE(CONTROL!$C$32, $C$9, 100%, $E$9)</f>
        <v>16.974799999999998</v>
      </c>
      <c r="F1003" s="11">
        <f>16.9748 * CHOOSE(CONTROL!$C$32, $C$9, 100%, $E$9)</f>
        <v>16.974799999999998</v>
      </c>
      <c r="G1003" s="11">
        <f>16.979 * CHOOSE(CONTROL!$C$32, $C$9, 100%, $E$9)</f>
        <v>16.978999999999999</v>
      </c>
      <c r="H1003" s="11">
        <f>35.538 * CHOOSE(CONTROL!$C$32, $C$9, 100%, $E$9)</f>
        <v>35.537999999999997</v>
      </c>
      <c r="I1003" s="11">
        <f>35.5422 * CHOOSE(CONTROL!$C$32, $C$9, 100%, $E$9)</f>
        <v>35.542200000000001</v>
      </c>
      <c r="J1003" s="11">
        <f>35.538 * CHOOSE(CONTROL!$C$32, $C$9, 100%, $E$9)</f>
        <v>35.537999999999997</v>
      </c>
      <c r="K1003" s="11">
        <f>35.5422 * CHOOSE(CONTROL!$C$32, $C$9, 100%, $E$9)</f>
        <v>35.542200000000001</v>
      </c>
      <c r="L1003" s="11">
        <f>16.9748 * CHOOSE(CONTROL!$C$32, $C$9, 100%, $E$9)</f>
        <v>16.974799999999998</v>
      </c>
      <c r="M1003" s="11">
        <f>16.979 * CHOOSE(CONTROL!$C$32, $C$9, 100%, $E$9)</f>
        <v>16.978999999999999</v>
      </c>
      <c r="N1003" s="11">
        <f>16.9748 * CHOOSE(CONTROL!$C$32, $C$9, 100%, $E$9)</f>
        <v>16.974799999999998</v>
      </c>
      <c r="O1003" s="11">
        <f>16.979 * CHOOSE(CONTROL!$C$32, $C$9, 100%, $E$9)</f>
        <v>16.978999999999999</v>
      </c>
    </row>
    <row r="1004" spans="1:15" ht="15" x14ac:dyDescent="0.2">
      <c r="A1004" s="13">
        <v>71406</v>
      </c>
      <c r="B1004" s="9">
        <f>15.0005 * CHOOSE(CONTROL!$C$32, $C$9, 100%, $E$9)</f>
        <v>15.000500000000001</v>
      </c>
      <c r="C1004" s="9">
        <f>15.0005 * CHOOSE(CONTROL!$C$32, $C$9, 100%, $E$9)</f>
        <v>15.000500000000001</v>
      </c>
      <c r="D1004" s="9">
        <f>15.0017 * CHOOSE(CONTROL!$C$32, $C$9, 100%, $E$9)</f>
        <v>15.0017</v>
      </c>
      <c r="E1004" s="11">
        <f>17.2162 * CHOOSE(CONTROL!$C$32, $C$9, 100%, $E$9)</f>
        <v>17.216200000000001</v>
      </c>
      <c r="F1004" s="11">
        <f>17.2162 * CHOOSE(CONTROL!$C$32, $C$9, 100%, $E$9)</f>
        <v>17.216200000000001</v>
      </c>
      <c r="G1004" s="11">
        <f>17.2204 * CHOOSE(CONTROL!$C$32, $C$9, 100%, $E$9)</f>
        <v>17.220400000000001</v>
      </c>
      <c r="H1004" s="11">
        <f>35.612 * CHOOSE(CONTROL!$C$32, $C$9, 100%, $E$9)</f>
        <v>35.612000000000002</v>
      </c>
      <c r="I1004" s="11">
        <f>35.6162 * CHOOSE(CONTROL!$C$32, $C$9, 100%, $E$9)</f>
        <v>35.616199999999999</v>
      </c>
      <c r="J1004" s="11">
        <f>35.612 * CHOOSE(CONTROL!$C$32, $C$9, 100%, $E$9)</f>
        <v>35.612000000000002</v>
      </c>
      <c r="K1004" s="11">
        <f>35.6162 * CHOOSE(CONTROL!$C$32, $C$9, 100%, $E$9)</f>
        <v>35.616199999999999</v>
      </c>
      <c r="L1004" s="11">
        <f>17.2162 * CHOOSE(CONTROL!$C$32, $C$9, 100%, $E$9)</f>
        <v>17.216200000000001</v>
      </c>
      <c r="M1004" s="11">
        <f>17.2204 * CHOOSE(CONTROL!$C$32, $C$9, 100%, $E$9)</f>
        <v>17.220400000000001</v>
      </c>
      <c r="N1004" s="11">
        <f>17.2162 * CHOOSE(CONTROL!$C$32, $C$9, 100%, $E$9)</f>
        <v>17.216200000000001</v>
      </c>
      <c r="O1004" s="11">
        <f>17.2204 * CHOOSE(CONTROL!$C$32, $C$9, 100%, $E$9)</f>
        <v>17.220400000000001</v>
      </c>
    </row>
    <row r="1005" spans="1:15" ht="15" x14ac:dyDescent="0.2">
      <c r="A1005" s="13">
        <v>71437</v>
      </c>
      <c r="B1005" s="9">
        <f>15.0071 * CHOOSE(CONTROL!$C$32, $C$9, 100%, $E$9)</f>
        <v>15.007099999999999</v>
      </c>
      <c r="C1005" s="9">
        <f>15.0071 * CHOOSE(CONTROL!$C$32, $C$9, 100%, $E$9)</f>
        <v>15.007099999999999</v>
      </c>
      <c r="D1005" s="9">
        <f>15.0084 * CHOOSE(CONTROL!$C$32, $C$9, 100%, $E$9)</f>
        <v>15.0084</v>
      </c>
      <c r="E1005" s="11">
        <f>16.777 * CHOOSE(CONTROL!$C$32, $C$9, 100%, $E$9)</f>
        <v>16.777000000000001</v>
      </c>
      <c r="F1005" s="11">
        <f>16.777 * CHOOSE(CONTROL!$C$32, $C$9, 100%, $E$9)</f>
        <v>16.777000000000001</v>
      </c>
      <c r="G1005" s="11">
        <f>16.7812 * CHOOSE(CONTROL!$C$32, $C$9, 100%, $E$9)</f>
        <v>16.781199999999998</v>
      </c>
      <c r="H1005" s="11">
        <f>35.6862 * CHOOSE(CONTROL!$C$32, $C$9, 100%, $E$9)</f>
        <v>35.686199999999999</v>
      </c>
      <c r="I1005" s="11">
        <f>35.6904 * CHOOSE(CONTROL!$C$32, $C$9, 100%, $E$9)</f>
        <v>35.690399999999997</v>
      </c>
      <c r="J1005" s="11">
        <f>35.6862 * CHOOSE(CONTROL!$C$32, $C$9, 100%, $E$9)</f>
        <v>35.686199999999999</v>
      </c>
      <c r="K1005" s="11">
        <f>35.6904 * CHOOSE(CONTROL!$C$32, $C$9, 100%, $E$9)</f>
        <v>35.690399999999997</v>
      </c>
      <c r="L1005" s="11">
        <f>16.777 * CHOOSE(CONTROL!$C$32, $C$9, 100%, $E$9)</f>
        <v>16.777000000000001</v>
      </c>
      <c r="M1005" s="11">
        <f>16.7812 * CHOOSE(CONTROL!$C$32, $C$9, 100%, $E$9)</f>
        <v>16.781199999999998</v>
      </c>
      <c r="N1005" s="11">
        <f>16.777 * CHOOSE(CONTROL!$C$32, $C$9, 100%, $E$9)</f>
        <v>16.777000000000001</v>
      </c>
      <c r="O1005" s="11">
        <f>16.7812 * CHOOSE(CONTROL!$C$32, $C$9, 100%, $E$9)</f>
        <v>16.781199999999998</v>
      </c>
    </row>
    <row r="1006" spans="1:15" ht="15" x14ac:dyDescent="0.2">
      <c r="A1006" s="13">
        <v>71468</v>
      </c>
      <c r="B1006" s="9">
        <f>15.0041 * CHOOSE(CONTROL!$C$32, $C$9, 100%, $E$9)</f>
        <v>15.004099999999999</v>
      </c>
      <c r="C1006" s="9">
        <f>15.0041 * CHOOSE(CONTROL!$C$32, $C$9, 100%, $E$9)</f>
        <v>15.004099999999999</v>
      </c>
      <c r="D1006" s="9">
        <f>15.0054 * CHOOSE(CONTROL!$C$32, $C$9, 100%, $E$9)</f>
        <v>15.0054</v>
      </c>
      <c r="E1006" s="11">
        <f>16.7255 * CHOOSE(CONTROL!$C$32, $C$9, 100%, $E$9)</f>
        <v>16.7255</v>
      </c>
      <c r="F1006" s="11">
        <f>16.7255 * CHOOSE(CONTROL!$C$32, $C$9, 100%, $E$9)</f>
        <v>16.7255</v>
      </c>
      <c r="G1006" s="11">
        <f>16.7297 * CHOOSE(CONTROL!$C$32, $C$9, 100%, $E$9)</f>
        <v>16.729700000000001</v>
      </c>
      <c r="H1006" s="11">
        <f>35.7606 * CHOOSE(CONTROL!$C$32, $C$9, 100%, $E$9)</f>
        <v>35.760599999999997</v>
      </c>
      <c r="I1006" s="11">
        <f>35.7648 * CHOOSE(CONTROL!$C$32, $C$9, 100%, $E$9)</f>
        <v>35.764800000000001</v>
      </c>
      <c r="J1006" s="11">
        <f>35.7606 * CHOOSE(CONTROL!$C$32, $C$9, 100%, $E$9)</f>
        <v>35.760599999999997</v>
      </c>
      <c r="K1006" s="11">
        <f>35.7648 * CHOOSE(CONTROL!$C$32, $C$9, 100%, $E$9)</f>
        <v>35.764800000000001</v>
      </c>
      <c r="L1006" s="11">
        <f>16.7255 * CHOOSE(CONTROL!$C$32, $C$9, 100%, $E$9)</f>
        <v>16.7255</v>
      </c>
      <c r="M1006" s="11">
        <f>16.7297 * CHOOSE(CONTROL!$C$32, $C$9, 100%, $E$9)</f>
        <v>16.729700000000001</v>
      </c>
      <c r="N1006" s="11">
        <f>16.7255 * CHOOSE(CONTROL!$C$32, $C$9, 100%, $E$9)</f>
        <v>16.7255</v>
      </c>
      <c r="O1006" s="11">
        <f>16.7297 * CHOOSE(CONTROL!$C$32, $C$9, 100%, $E$9)</f>
        <v>16.729700000000001</v>
      </c>
    </row>
    <row r="1007" spans="1:15" ht="15" x14ac:dyDescent="0.2">
      <c r="A1007" s="13">
        <v>71498</v>
      </c>
      <c r="B1007" s="9">
        <f>15.0403 * CHOOSE(CONTROL!$C$32, $C$9, 100%, $E$9)</f>
        <v>15.0403</v>
      </c>
      <c r="C1007" s="9">
        <f>15.0403 * CHOOSE(CONTROL!$C$32, $C$9, 100%, $E$9)</f>
        <v>15.0403</v>
      </c>
      <c r="D1007" s="9">
        <f>15.0413 * CHOOSE(CONTROL!$C$32, $C$9, 100%, $E$9)</f>
        <v>15.0413</v>
      </c>
      <c r="E1007" s="11">
        <f>16.9094 * CHOOSE(CONTROL!$C$32, $C$9, 100%, $E$9)</f>
        <v>16.909400000000002</v>
      </c>
      <c r="F1007" s="11">
        <f>16.9094 * CHOOSE(CONTROL!$C$32, $C$9, 100%, $E$9)</f>
        <v>16.909400000000002</v>
      </c>
      <c r="G1007" s="11">
        <f>16.9126 * CHOOSE(CONTROL!$C$32, $C$9, 100%, $E$9)</f>
        <v>16.912600000000001</v>
      </c>
      <c r="H1007" s="11">
        <f>35.8351 * CHOOSE(CONTROL!$C$32, $C$9, 100%, $E$9)</f>
        <v>35.835099999999997</v>
      </c>
      <c r="I1007" s="11">
        <f>35.8383 * CHOOSE(CONTROL!$C$32, $C$9, 100%, $E$9)</f>
        <v>35.838299999999997</v>
      </c>
      <c r="J1007" s="11">
        <f>35.8351 * CHOOSE(CONTROL!$C$32, $C$9, 100%, $E$9)</f>
        <v>35.835099999999997</v>
      </c>
      <c r="K1007" s="11">
        <f>35.8383 * CHOOSE(CONTROL!$C$32, $C$9, 100%, $E$9)</f>
        <v>35.838299999999997</v>
      </c>
      <c r="L1007" s="11">
        <f>16.9094 * CHOOSE(CONTROL!$C$32, $C$9, 100%, $E$9)</f>
        <v>16.909400000000002</v>
      </c>
      <c r="M1007" s="11">
        <f>16.9126 * CHOOSE(CONTROL!$C$32, $C$9, 100%, $E$9)</f>
        <v>16.912600000000001</v>
      </c>
      <c r="N1007" s="11">
        <f>16.9094 * CHOOSE(CONTROL!$C$32, $C$9, 100%, $E$9)</f>
        <v>16.909400000000002</v>
      </c>
      <c r="O1007" s="11">
        <f>16.9126 * CHOOSE(CONTROL!$C$32, $C$9, 100%, $E$9)</f>
        <v>16.912600000000001</v>
      </c>
    </row>
    <row r="1008" spans="1:15" ht="15" x14ac:dyDescent="0.2">
      <c r="A1008" s="13">
        <v>71529</v>
      </c>
      <c r="B1008" s="9">
        <f>15.0434 * CHOOSE(CONTROL!$C$32, $C$9, 100%, $E$9)</f>
        <v>15.0434</v>
      </c>
      <c r="C1008" s="9">
        <f>15.0434 * CHOOSE(CONTROL!$C$32, $C$9, 100%, $E$9)</f>
        <v>15.0434</v>
      </c>
      <c r="D1008" s="9">
        <f>15.0443 * CHOOSE(CONTROL!$C$32, $C$9, 100%, $E$9)</f>
        <v>15.0443</v>
      </c>
      <c r="E1008" s="11">
        <f>17.0102 * CHOOSE(CONTROL!$C$32, $C$9, 100%, $E$9)</f>
        <v>17.010200000000001</v>
      </c>
      <c r="F1008" s="11">
        <f>17.0102 * CHOOSE(CONTROL!$C$32, $C$9, 100%, $E$9)</f>
        <v>17.010200000000001</v>
      </c>
      <c r="G1008" s="11">
        <f>17.0134 * CHOOSE(CONTROL!$C$32, $C$9, 100%, $E$9)</f>
        <v>17.013400000000001</v>
      </c>
      <c r="H1008" s="11">
        <f>35.9097 * CHOOSE(CONTROL!$C$32, $C$9, 100%, $E$9)</f>
        <v>35.909700000000001</v>
      </c>
      <c r="I1008" s="11">
        <f>35.9129 * CHOOSE(CONTROL!$C$32, $C$9, 100%, $E$9)</f>
        <v>35.9129</v>
      </c>
      <c r="J1008" s="11">
        <f>35.9097 * CHOOSE(CONTROL!$C$32, $C$9, 100%, $E$9)</f>
        <v>35.909700000000001</v>
      </c>
      <c r="K1008" s="11">
        <f>35.9129 * CHOOSE(CONTROL!$C$32, $C$9, 100%, $E$9)</f>
        <v>35.9129</v>
      </c>
      <c r="L1008" s="11">
        <f>17.0102 * CHOOSE(CONTROL!$C$32, $C$9, 100%, $E$9)</f>
        <v>17.010200000000001</v>
      </c>
      <c r="M1008" s="11">
        <f>17.0134 * CHOOSE(CONTROL!$C$32, $C$9, 100%, $E$9)</f>
        <v>17.013400000000001</v>
      </c>
      <c r="N1008" s="11">
        <f>17.0102 * CHOOSE(CONTROL!$C$32, $C$9, 100%, $E$9)</f>
        <v>17.010200000000001</v>
      </c>
      <c r="O1008" s="11">
        <f>17.0134 * CHOOSE(CONTROL!$C$32, $C$9, 100%, $E$9)</f>
        <v>17.013400000000001</v>
      </c>
    </row>
    <row r="1009" spans="1:15" ht="15" x14ac:dyDescent="0.2">
      <c r="A1009" s="13">
        <v>71559</v>
      </c>
      <c r="B1009" s="9">
        <f>15.0434 * CHOOSE(CONTROL!$C$32, $C$9, 100%, $E$9)</f>
        <v>15.0434</v>
      </c>
      <c r="C1009" s="9">
        <f>15.0434 * CHOOSE(CONTROL!$C$32, $C$9, 100%, $E$9)</f>
        <v>15.0434</v>
      </c>
      <c r="D1009" s="9">
        <f>15.0443 * CHOOSE(CONTROL!$C$32, $C$9, 100%, $E$9)</f>
        <v>15.0443</v>
      </c>
      <c r="E1009" s="11">
        <f>16.7636 * CHOOSE(CONTROL!$C$32, $C$9, 100%, $E$9)</f>
        <v>16.7636</v>
      </c>
      <c r="F1009" s="11">
        <f>16.7636 * CHOOSE(CONTROL!$C$32, $C$9, 100%, $E$9)</f>
        <v>16.7636</v>
      </c>
      <c r="G1009" s="11">
        <f>16.7668 * CHOOSE(CONTROL!$C$32, $C$9, 100%, $E$9)</f>
        <v>16.7668</v>
      </c>
      <c r="H1009" s="11">
        <f>35.9845 * CHOOSE(CONTROL!$C$32, $C$9, 100%, $E$9)</f>
        <v>35.984499999999997</v>
      </c>
      <c r="I1009" s="11">
        <f>35.9878 * CHOOSE(CONTROL!$C$32, $C$9, 100%, $E$9)</f>
        <v>35.9878</v>
      </c>
      <c r="J1009" s="11">
        <f>35.9845 * CHOOSE(CONTROL!$C$32, $C$9, 100%, $E$9)</f>
        <v>35.984499999999997</v>
      </c>
      <c r="K1009" s="11">
        <f>35.9878 * CHOOSE(CONTROL!$C$32, $C$9, 100%, $E$9)</f>
        <v>35.9878</v>
      </c>
      <c r="L1009" s="11">
        <f>16.7636 * CHOOSE(CONTROL!$C$32, $C$9, 100%, $E$9)</f>
        <v>16.7636</v>
      </c>
      <c r="M1009" s="11">
        <f>16.7668 * CHOOSE(CONTROL!$C$32, $C$9, 100%, $E$9)</f>
        <v>16.7668</v>
      </c>
      <c r="N1009" s="11">
        <f>16.7636 * CHOOSE(CONTROL!$C$32, $C$9, 100%, $E$9)</f>
        <v>16.7636</v>
      </c>
      <c r="O1009" s="11">
        <f>16.7668 * CHOOSE(CONTROL!$C$32, $C$9, 100%, $E$9)</f>
        <v>16.7668</v>
      </c>
    </row>
    <row r="1010" spans="1:15" ht="15" x14ac:dyDescent="0.2">
      <c r="A1010" s="13">
        <v>71590</v>
      </c>
      <c r="B1010" s="9">
        <f>15.0024 * CHOOSE(CONTROL!$C$32, $C$9, 100%, $E$9)</f>
        <v>15.0024</v>
      </c>
      <c r="C1010" s="9">
        <f>15.0024 * CHOOSE(CONTROL!$C$32, $C$9, 100%, $E$9)</f>
        <v>15.0024</v>
      </c>
      <c r="D1010" s="9">
        <f>15.0033 * CHOOSE(CONTROL!$C$32, $C$9, 100%, $E$9)</f>
        <v>15.003299999999999</v>
      </c>
      <c r="E1010" s="11">
        <f>16.8956 * CHOOSE(CONTROL!$C$32, $C$9, 100%, $E$9)</f>
        <v>16.895600000000002</v>
      </c>
      <c r="F1010" s="11">
        <f>16.8956 * CHOOSE(CONTROL!$C$32, $C$9, 100%, $E$9)</f>
        <v>16.895600000000002</v>
      </c>
      <c r="G1010" s="11">
        <f>16.8989 * CHOOSE(CONTROL!$C$32, $C$9, 100%, $E$9)</f>
        <v>16.898900000000001</v>
      </c>
      <c r="H1010" s="11">
        <f>35.6419 * CHOOSE(CONTROL!$C$32, $C$9, 100%, $E$9)</f>
        <v>35.6419</v>
      </c>
      <c r="I1010" s="11">
        <f>35.6451 * CHOOSE(CONTROL!$C$32, $C$9, 100%, $E$9)</f>
        <v>35.645099999999999</v>
      </c>
      <c r="J1010" s="11">
        <f>35.6419 * CHOOSE(CONTROL!$C$32, $C$9, 100%, $E$9)</f>
        <v>35.6419</v>
      </c>
      <c r="K1010" s="11">
        <f>35.6451 * CHOOSE(CONTROL!$C$32, $C$9, 100%, $E$9)</f>
        <v>35.645099999999999</v>
      </c>
      <c r="L1010" s="11">
        <f>16.8956 * CHOOSE(CONTROL!$C$32, $C$9, 100%, $E$9)</f>
        <v>16.895600000000002</v>
      </c>
      <c r="M1010" s="11">
        <f>16.8989 * CHOOSE(CONTROL!$C$32, $C$9, 100%, $E$9)</f>
        <v>16.898900000000001</v>
      </c>
      <c r="N1010" s="11">
        <f>16.8956 * CHOOSE(CONTROL!$C$32, $C$9, 100%, $E$9)</f>
        <v>16.895600000000002</v>
      </c>
      <c r="O1010" s="11">
        <f>16.8989 * CHOOSE(CONTROL!$C$32, $C$9, 100%, $E$9)</f>
        <v>16.898900000000001</v>
      </c>
    </row>
    <row r="1011" spans="1:15" ht="15" x14ac:dyDescent="0.2">
      <c r="A1011" s="13">
        <v>71621</v>
      </c>
      <c r="B1011" s="9">
        <f>14.9993 * CHOOSE(CONTROL!$C$32, $C$9, 100%, $E$9)</f>
        <v>14.9993</v>
      </c>
      <c r="C1011" s="9">
        <f>14.9993 * CHOOSE(CONTROL!$C$32, $C$9, 100%, $E$9)</f>
        <v>14.9993</v>
      </c>
      <c r="D1011" s="9">
        <f>15.0003 * CHOOSE(CONTROL!$C$32, $C$9, 100%, $E$9)</f>
        <v>15.000299999999999</v>
      </c>
      <c r="E1011" s="11">
        <f>16.4204 * CHOOSE(CONTROL!$C$32, $C$9, 100%, $E$9)</f>
        <v>16.420400000000001</v>
      </c>
      <c r="F1011" s="11">
        <f>16.4204 * CHOOSE(CONTROL!$C$32, $C$9, 100%, $E$9)</f>
        <v>16.420400000000001</v>
      </c>
      <c r="G1011" s="11">
        <f>16.4236 * CHOOSE(CONTROL!$C$32, $C$9, 100%, $E$9)</f>
        <v>16.4236</v>
      </c>
      <c r="H1011" s="11">
        <f>35.7162 * CHOOSE(CONTROL!$C$32, $C$9, 100%, $E$9)</f>
        <v>35.716200000000001</v>
      </c>
      <c r="I1011" s="11">
        <f>35.7194 * CHOOSE(CONTROL!$C$32, $C$9, 100%, $E$9)</f>
        <v>35.7194</v>
      </c>
      <c r="J1011" s="11">
        <f>35.7162 * CHOOSE(CONTROL!$C$32, $C$9, 100%, $E$9)</f>
        <v>35.716200000000001</v>
      </c>
      <c r="K1011" s="11">
        <f>35.7194 * CHOOSE(CONTROL!$C$32, $C$9, 100%, $E$9)</f>
        <v>35.7194</v>
      </c>
      <c r="L1011" s="11">
        <f>16.4204 * CHOOSE(CONTROL!$C$32, $C$9, 100%, $E$9)</f>
        <v>16.420400000000001</v>
      </c>
      <c r="M1011" s="11">
        <f>16.4236 * CHOOSE(CONTROL!$C$32, $C$9, 100%, $E$9)</f>
        <v>16.4236</v>
      </c>
      <c r="N1011" s="11">
        <f>16.4204 * CHOOSE(CONTROL!$C$32, $C$9, 100%, $E$9)</f>
        <v>16.420400000000001</v>
      </c>
      <c r="O1011" s="11">
        <f>16.4236 * CHOOSE(CONTROL!$C$32, $C$9, 100%, $E$9)</f>
        <v>16.4236</v>
      </c>
    </row>
    <row r="1012" spans="1:15" ht="15" x14ac:dyDescent="0.2">
      <c r="A1012" s="13">
        <v>71650</v>
      </c>
      <c r="B1012" s="9">
        <f>14.9963 * CHOOSE(CONTROL!$C$32, $C$9, 100%, $E$9)</f>
        <v>14.9963</v>
      </c>
      <c r="C1012" s="9">
        <f>14.9963 * CHOOSE(CONTROL!$C$32, $C$9, 100%, $E$9)</f>
        <v>14.9963</v>
      </c>
      <c r="D1012" s="9">
        <f>14.9973 * CHOOSE(CONTROL!$C$32, $C$9, 100%, $E$9)</f>
        <v>14.997299999999999</v>
      </c>
      <c r="E1012" s="11">
        <f>16.7912 * CHOOSE(CONTROL!$C$32, $C$9, 100%, $E$9)</f>
        <v>16.7912</v>
      </c>
      <c r="F1012" s="11">
        <f>16.7912 * CHOOSE(CONTROL!$C$32, $C$9, 100%, $E$9)</f>
        <v>16.7912</v>
      </c>
      <c r="G1012" s="11">
        <f>16.7945 * CHOOSE(CONTROL!$C$32, $C$9, 100%, $E$9)</f>
        <v>16.794499999999999</v>
      </c>
      <c r="H1012" s="11">
        <f>35.7906 * CHOOSE(CONTROL!$C$32, $C$9, 100%, $E$9)</f>
        <v>35.790599999999998</v>
      </c>
      <c r="I1012" s="11">
        <f>35.7938 * CHOOSE(CONTROL!$C$32, $C$9, 100%, $E$9)</f>
        <v>35.793799999999997</v>
      </c>
      <c r="J1012" s="11">
        <f>35.7906 * CHOOSE(CONTROL!$C$32, $C$9, 100%, $E$9)</f>
        <v>35.790599999999998</v>
      </c>
      <c r="K1012" s="11">
        <f>35.7938 * CHOOSE(CONTROL!$C$32, $C$9, 100%, $E$9)</f>
        <v>35.793799999999997</v>
      </c>
      <c r="L1012" s="11">
        <f>16.7912 * CHOOSE(CONTROL!$C$32, $C$9, 100%, $E$9)</f>
        <v>16.7912</v>
      </c>
      <c r="M1012" s="11">
        <f>16.7945 * CHOOSE(CONTROL!$C$32, $C$9, 100%, $E$9)</f>
        <v>16.794499999999999</v>
      </c>
      <c r="N1012" s="11">
        <f>16.7912 * CHOOSE(CONTROL!$C$32, $C$9, 100%, $E$9)</f>
        <v>16.7912</v>
      </c>
      <c r="O1012" s="11">
        <f>16.7945 * CHOOSE(CONTROL!$C$32, $C$9, 100%, $E$9)</f>
        <v>16.794499999999999</v>
      </c>
    </row>
    <row r="1013" spans="1:15" ht="15" x14ac:dyDescent="0.2">
      <c r="A1013" s="13">
        <v>71681</v>
      </c>
      <c r="B1013" s="9">
        <f>15.0046 * CHOOSE(CONTROL!$C$32, $C$9, 100%, $E$9)</f>
        <v>15.0046</v>
      </c>
      <c r="C1013" s="9">
        <f>15.0046 * CHOOSE(CONTROL!$C$32, $C$9, 100%, $E$9)</f>
        <v>15.0046</v>
      </c>
      <c r="D1013" s="9">
        <f>15.0056 * CHOOSE(CONTROL!$C$32, $C$9, 100%, $E$9)</f>
        <v>15.005599999999999</v>
      </c>
      <c r="E1013" s="11">
        <f>17.1876 * CHOOSE(CONTROL!$C$32, $C$9, 100%, $E$9)</f>
        <v>17.1876</v>
      </c>
      <c r="F1013" s="11">
        <f>17.1876 * CHOOSE(CONTROL!$C$32, $C$9, 100%, $E$9)</f>
        <v>17.1876</v>
      </c>
      <c r="G1013" s="11">
        <f>17.1908 * CHOOSE(CONTROL!$C$32, $C$9, 100%, $E$9)</f>
        <v>17.190799999999999</v>
      </c>
      <c r="H1013" s="11">
        <f>35.8651 * CHOOSE(CONTROL!$C$32, $C$9, 100%, $E$9)</f>
        <v>35.865099999999998</v>
      </c>
      <c r="I1013" s="11">
        <f>35.8684 * CHOOSE(CONTROL!$C$32, $C$9, 100%, $E$9)</f>
        <v>35.868400000000001</v>
      </c>
      <c r="J1013" s="11">
        <f>35.8651 * CHOOSE(CONTROL!$C$32, $C$9, 100%, $E$9)</f>
        <v>35.865099999999998</v>
      </c>
      <c r="K1013" s="11">
        <f>35.8684 * CHOOSE(CONTROL!$C$32, $C$9, 100%, $E$9)</f>
        <v>35.868400000000001</v>
      </c>
      <c r="L1013" s="11">
        <f>17.1876 * CHOOSE(CONTROL!$C$32, $C$9, 100%, $E$9)</f>
        <v>17.1876</v>
      </c>
      <c r="M1013" s="11">
        <f>17.1908 * CHOOSE(CONTROL!$C$32, $C$9, 100%, $E$9)</f>
        <v>17.190799999999999</v>
      </c>
      <c r="N1013" s="11">
        <f>17.1876 * CHOOSE(CONTROL!$C$32, $C$9, 100%, $E$9)</f>
        <v>17.1876</v>
      </c>
      <c r="O1013" s="11">
        <f>17.1908 * CHOOSE(CONTROL!$C$32, $C$9, 100%, $E$9)</f>
        <v>17.190799999999999</v>
      </c>
    </row>
    <row r="1014" spans="1:15" ht="15" x14ac:dyDescent="0.2">
      <c r="A1014" s="13">
        <v>71711</v>
      </c>
      <c r="B1014" s="9">
        <f>15.0046 * CHOOSE(CONTROL!$C$32, $C$9, 100%, $E$9)</f>
        <v>15.0046</v>
      </c>
      <c r="C1014" s="9">
        <f>15.0046 * CHOOSE(CONTROL!$C$32, $C$9, 100%, $E$9)</f>
        <v>15.0046</v>
      </c>
      <c r="D1014" s="9">
        <f>15.0059 * CHOOSE(CONTROL!$C$32, $C$9, 100%, $E$9)</f>
        <v>15.0059</v>
      </c>
      <c r="E1014" s="11">
        <f>17.3378 * CHOOSE(CONTROL!$C$32, $C$9, 100%, $E$9)</f>
        <v>17.337800000000001</v>
      </c>
      <c r="F1014" s="11">
        <f>17.3378 * CHOOSE(CONTROL!$C$32, $C$9, 100%, $E$9)</f>
        <v>17.337800000000001</v>
      </c>
      <c r="G1014" s="11">
        <f>17.342 * CHOOSE(CONTROL!$C$32, $C$9, 100%, $E$9)</f>
        <v>17.341999999999999</v>
      </c>
      <c r="H1014" s="11">
        <f>35.9398 * CHOOSE(CONTROL!$C$32, $C$9, 100%, $E$9)</f>
        <v>35.939799999999998</v>
      </c>
      <c r="I1014" s="11">
        <f>35.944 * CHOOSE(CONTROL!$C$32, $C$9, 100%, $E$9)</f>
        <v>35.944000000000003</v>
      </c>
      <c r="J1014" s="11">
        <f>35.9398 * CHOOSE(CONTROL!$C$32, $C$9, 100%, $E$9)</f>
        <v>35.939799999999998</v>
      </c>
      <c r="K1014" s="11">
        <f>35.944 * CHOOSE(CONTROL!$C$32, $C$9, 100%, $E$9)</f>
        <v>35.944000000000003</v>
      </c>
      <c r="L1014" s="11">
        <f>17.3378 * CHOOSE(CONTROL!$C$32, $C$9, 100%, $E$9)</f>
        <v>17.337800000000001</v>
      </c>
      <c r="M1014" s="11">
        <f>17.342 * CHOOSE(CONTROL!$C$32, $C$9, 100%, $E$9)</f>
        <v>17.341999999999999</v>
      </c>
      <c r="N1014" s="11">
        <f>17.3378 * CHOOSE(CONTROL!$C$32, $C$9, 100%, $E$9)</f>
        <v>17.337800000000001</v>
      </c>
      <c r="O1014" s="11">
        <f>17.342 * CHOOSE(CONTROL!$C$32, $C$9, 100%, $E$9)</f>
        <v>17.341999999999999</v>
      </c>
    </row>
    <row r="1015" spans="1:15" ht="15" x14ac:dyDescent="0.2">
      <c r="A1015" s="13">
        <v>71742</v>
      </c>
      <c r="B1015" s="9">
        <f>15.0107 * CHOOSE(CONTROL!$C$32, $C$9, 100%, $E$9)</f>
        <v>15.0107</v>
      </c>
      <c r="C1015" s="9">
        <f>15.0107 * CHOOSE(CONTROL!$C$32, $C$9, 100%, $E$9)</f>
        <v>15.0107</v>
      </c>
      <c r="D1015" s="9">
        <f>15.012 * CHOOSE(CONTROL!$C$32, $C$9, 100%, $E$9)</f>
        <v>15.012</v>
      </c>
      <c r="E1015" s="11">
        <f>17.1918 * CHOOSE(CONTROL!$C$32, $C$9, 100%, $E$9)</f>
        <v>17.191800000000001</v>
      </c>
      <c r="F1015" s="11">
        <f>17.1918 * CHOOSE(CONTROL!$C$32, $C$9, 100%, $E$9)</f>
        <v>17.191800000000001</v>
      </c>
      <c r="G1015" s="11">
        <f>17.196 * CHOOSE(CONTROL!$C$32, $C$9, 100%, $E$9)</f>
        <v>17.196000000000002</v>
      </c>
      <c r="H1015" s="11">
        <f>36.0147 * CHOOSE(CONTROL!$C$32, $C$9, 100%, $E$9)</f>
        <v>36.014699999999998</v>
      </c>
      <c r="I1015" s="11">
        <f>36.0189 * CHOOSE(CONTROL!$C$32, $C$9, 100%, $E$9)</f>
        <v>36.018900000000002</v>
      </c>
      <c r="J1015" s="11">
        <f>36.0147 * CHOOSE(CONTROL!$C$32, $C$9, 100%, $E$9)</f>
        <v>36.014699999999998</v>
      </c>
      <c r="K1015" s="11">
        <f>36.0189 * CHOOSE(CONTROL!$C$32, $C$9, 100%, $E$9)</f>
        <v>36.018900000000002</v>
      </c>
      <c r="L1015" s="11">
        <f>17.1918 * CHOOSE(CONTROL!$C$32, $C$9, 100%, $E$9)</f>
        <v>17.191800000000001</v>
      </c>
      <c r="M1015" s="11">
        <f>17.196 * CHOOSE(CONTROL!$C$32, $C$9, 100%, $E$9)</f>
        <v>17.196000000000002</v>
      </c>
      <c r="N1015" s="11">
        <f>17.1918 * CHOOSE(CONTROL!$C$32, $C$9, 100%, $E$9)</f>
        <v>17.191800000000001</v>
      </c>
      <c r="O1015" s="11">
        <f>17.196 * CHOOSE(CONTROL!$C$32, $C$9, 100%, $E$9)</f>
        <v>17.196000000000002</v>
      </c>
    </row>
    <row r="1016" spans="1:15" ht="15" x14ac:dyDescent="0.2">
      <c r="A1016" s="13">
        <v>71772</v>
      </c>
      <c r="B1016" s="9">
        <f>15.1901 * CHOOSE(CONTROL!$C$32, $C$9, 100%, $E$9)</f>
        <v>15.190099999999999</v>
      </c>
      <c r="C1016" s="9">
        <f>15.1901 * CHOOSE(CONTROL!$C$32, $C$9, 100%, $E$9)</f>
        <v>15.190099999999999</v>
      </c>
      <c r="D1016" s="9">
        <f>15.1913 * CHOOSE(CONTROL!$C$32, $C$9, 100%, $E$9)</f>
        <v>15.1913</v>
      </c>
      <c r="E1016" s="11">
        <f>17.4364 * CHOOSE(CONTROL!$C$32, $C$9, 100%, $E$9)</f>
        <v>17.436399999999999</v>
      </c>
      <c r="F1016" s="11">
        <f>17.4364 * CHOOSE(CONTROL!$C$32, $C$9, 100%, $E$9)</f>
        <v>17.436399999999999</v>
      </c>
      <c r="G1016" s="11">
        <f>17.4406 * CHOOSE(CONTROL!$C$32, $C$9, 100%, $E$9)</f>
        <v>17.4406</v>
      </c>
      <c r="H1016" s="11">
        <f>36.0897 * CHOOSE(CONTROL!$C$32, $C$9, 100%, $E$9)</f>
        <v>36.089700000000001</v>
      </c>
      <c r="I1016" s="11">
        <f>36.094 * CHOOSE(CONTROL!$C$32, $C$9, 100%, $E$9)</f>
        <v>36.094000000000001</v>
      </c>
      <c r="J1016" s="11">
        <f>36.0897 * CHOOSE(CONTROL!$C$32, $C$9, 100%, $E$9)</f>
        <v>36.089700000000001</v>
      </c>
      <c r="K1016" s="11">
        <f>36.094 * CHOOSE(CONTROL!$C$32, $C$9, 100%, $E$9)</f>
        <v>36.094000000000001</v>
      </c>
      <c r="L1016" s="11">
        <f>17.4364 * CHOOSE(CONTROL!$C$32, $C$9, 100%, $E$9)</f>
        <v>17.436399999999999</v>
      </c>
      <c r="M1016" s="11">
        <f>17.4406 * CHOOSE(CONTROL!$C$32, $C$9, 100%, $E$9)</f>
        <v>17.4406</v>
      </c>
      <c r="N1016" s="11">
        <f>17.4364 * CHOOSE(CONTROL!$C$32, $C$9, 100%, $E$9)</f>
        <v>17.436399999999999</v>
      </c>
      <c r="O1016" s="11">
        <f>17.4406 * CHOOSE(CONTROL!$C$32, $C$9, 100%, $E$9)</f>
        <v>17.4406</v>
      </c>
    </row>
    <row r="1017" spans="1:15" ht="15" x14ac:dyDescent="0.2">
      <c r="A1017" s="13">
        <v>71803</v>
      </c>
      <c r="B1017" s="9">
        <f>15.1967 * CHOOSE(CONTROL!$C$32, $C$9, 100%, $E$9)</f>
        <v>15.1967</v>
      </c>
      <c r="C1017" s="9">
        <f>15.1967 * CHOOSE(CONTROL!$C$32, $C$9, 100%, $E$9)</f>
        <v>15.1967</v>
      </c>
      <c r="D1017" s="9">
        <f>15.198 * CHOOSE(CONTROL!$C$32, $C$9, 100%, $E$9)</f>
        <v>15.198</v>
      </c>
      <c r="E1017" s="11">
        <f>16.9904 * CHOOSE(CONTROL!$C$32, $C$9, 100%, $E$9)</f>
        <v>16.990400000000001</v>
      </c>
      <c r="F1017" s="11">
        <f>16.9904 * CHOOSE(CONTROL!$C$32, $C$9, 100%, $E$9)</f>
        <v>16.990400000000001</v>
      </c>
      <c r="G1017" s="11">
        <f>16.9946 * CHOOSE(CONTROL!$C$32, $C$9, 100%, $E$9)</f>
        <v>16.994599999999998</v>
      </c>
      <c r="H1017" s="11">
        <f>36.1649 * CHOOSE(CONTROL!$C$32, $C$9, 100%, $E$9)</f>
        <v>36.164900000000003</v>
      </c>
      <c r="I1017" s="11">
        <f>36.1691 * CHOOSE(CONTROL!$C$32, $C$9, 100%, $E$9)</f>
        <v>36.1691</v>
      </c>
      <c r="J1017" s="11">
        <f>36.1649 * CHOOSE(CONTROL!$C$32, $C$9, 100%, $E$9)</f>
        <v>36.164900000000003</v>
      </c>
      <c r="K1017" s="11">
        <f>36.1691 * CHOOSE(CONTROL!$C$32, $C$9, 100%, $E$9)</f>
        <v>36.1691</v>
      </c>
      <c r="L1017" s="11">
        <f>16.9904 * CHOOSE(CONTROL!$C$32, $C$9, 100%, $E$9)</f>
        <v>16.990400000000001</v>
      </c>
      <c r="M1017" s="11">
        <f>16.9946 * CHOOSE(CONTROL!$C$32, $C$9, 100%, $E$9)</f>
        <v>16.994599999999998</v>
      </c>
      <c r="N1017" s="11">
        <f>16.9904 * CHOOSE(CONTROL!$C$32, $C$9, 100%, $E$9)</f>
        <v>16.990400000000001</v>
      </c>
      <c r="O1017" s="11">
        <f>16.9946 * CHOOSE(CONTROL!$C$32, $C$9, 100%, $E$9)</f>
        <v>16.994599999999998</v>
      </c>
    </row>
    <row r="1018" spans="1:15" ht="15" x14ac:dyDescent="0.2">
      <c r="A1018" s="13">
        <v>71834</v>
      </c>
      <c r="B1018" s="9">
        <f>15.1937 * CHOOSE(CONTROL!$C$32, $C$9, 100%, $E$9)</f>
        <v>15.1937</v>
      </c>
      <c r="C1018" s="9">
        <f>15.1937 * CHOOSE(CONTROL!$C$32, $C$9, 100%, $E$9)</f>
        <v>15.1937</v>
      </c>
      <c r="D1018" s="9">
        <f>15.1949 * CHOOSE(CONTROL!$C$32, $C$9, 100%, $E$9)</f>
        <v>15.194900000000001</v>
      </c>
      <c r="E1018" s="11">
        <f>16.9382 * CHOOSE(CONTROL!$C$32, $C$9, 100%, $E$9)</f>
        <v>16.938199999999998</v>
      </c>
      <c r="F1018" s="11">
        <f>16.9382 * CHOOSE(CONTROL!$C$32, $C$9, 100%, $E$9)</f>
        <v>16.938199999999998</v>
      </c>
      <c r="G1018" s="11">
        <f>16.9424 * CHOOSE(CONTROL!$C$32, $C$9, 100%, $E$9)</f>
        <v>16.942399999999999</v>
      </c>
      <c r="H1018" s="11">
        <f>36.2403 * CHOOSE(CONTROL!$C$32, $C$9, 100%, $E$9)</f>
        <v>36.240299999999998</v>
      </c>
      <c r="I1018" s="11">
        <f>36.2445 * CHOOSE(CONTROL!$C$32, $C$9, 100%, $E$9)</f>
        <v>36.244500000000002</v>
      </c>
      <c r="J1018" s="11">
        <f>36.2403 * CHOOSE(CONTROL!$C$32, $C$9, 100%, $E$9)</f>
        <v>36.240299999999998</v>
      </c>
      <c r="K1018" s="11">
        <f>36.2445 * CHOOSE(CONTROL!$C$32, $C$9, 100%, $E$9)</f>
        <v>36.244500000000002</v>
      </c>
      <c r="L1018" s="11">
        <f>16.9382 * CHOOSE(CONTROL!$C$32, $C$9, 100%, $E$9)</f>
        <v>16.938199999999998</v>
      </c>
      <c r="M1018" s="11">
        <f>16.9424 * CHOOSE(CONTROL!$C$32, $C$9, 100%, $E$9)</f>
        <v>16.942399999999999</v>
      </c>
      <c r="N1018" s="11">
        <f>16.9382 * CHOOSE(CONTROL!$C$32, $C$9, 100%, $E$9)</f>
        <v>16.938199999999998</v>
      </c>
      <c r="O1018" s="11">
        <f>16.9424 * CHOOSE(CONTROL!$C$32, $C$9, 100%, $E$9)</f>
        <v>16.942399999999999</v>
      </c>
    </row>
    <row r="1019" spans="1:15" ht="15" x14ac:dyDescent="0.2">
      <c r="A1019" s="13">
        <v>71864</v>
      </c>
      <c r="B1019" s="9">
        <f>15.2306 * CHOOSE(CONTROL!$C$32, $C$9, 100%, $E$9)</f>
        <v>15.230600000000001</v>
      </c>
      <c r="C1019" s="9">
        <f>15.2306 * CHOOSE(CONTROL!$C$32, $C$9, 100%, $E$9)</f>
        <v>15.230600000000001</v>
      </c>
      <c r="D1019" s="9">
        <f>15.2316 * CHOOSE(CONTROL!$C$32, $C$9, 100%, $E$9)</f>
        <v>15.2316</v>
      </c>
      <c r="E1019" s="11">
        <f>17.1251 * CHOOSE(CONTROL!$C$32, $C$9, 100%, $E$9)</f>
        <v>17.1251</v>
      </c>
      <c r="F1019" s="11">
        <f>17.1251 * CHOOSE(CONTROL!$C$32, $C$9, 100%, $E$9)</f>
        <v>17.1251</v>
      </c>
      <c r="G1019" s="11">
        <f>17.1283 * CHOOSE(CONTROL!$C$32, $C$9, 100%, $E$9)</f>
        <v>17.128299999999999</v>
      </c>
      <c r="H1019" s="11">
        <f>36.3158 * CHOOSE(CONTROL!$C$32, $C$9, 100%, $E$9)</f>
        <v>36.315800000000003</v>
      </c>
      <c r="I1019" s="11">
        <f>36.319 * CHOOSE(CONTROL!$C$32, $C$9, 100%, $E$9)</f>
        <v>36.319000000000003</v>
      </c>
      <c r="J1019" s="11">
        <f>36.3158 * CHOOSE(CONTROL!$C$32, $C$9, 100%, $E$9)</f>
        <v>36.315800000000003</v>
      </c>
      <c r="K1019" s="11">
        <f>36.319 * CHOOSE(CONTROL!$C$32, $C$9, 100%, $E$9)</f>
        <v>36.319000000000003</v>
      </c>
      <c r="L1019" s="11">
        <f>17.1251 * CHOOSE(CONTROL!$C$32, $C$9, 100%, $E$9)</f>
        <v>17.1251</v>
      </c>
      <c r="M1019" s="11">
        <f>17.1283 * CHOOSE(CONTROL!$C$32, $C$9, 100%, $E$9)</f>
        <v>17.128299999999999</v>
      </c>
      <c r="N1019" s="11">
        <f>17.1251 * CHOOSE(CONTROL!$C$32, $C$9, 100%, $E$9)</f>
        <v>17.1251</v>
      </c>
      <c r="O1019" s="11">
        <f>17.1283 * CHOOSE(CONTROL!$C$32, $C$9, 100%, $E$9)</f>
        <v>17.128299999999999</v>
      </c>
    </row>
    <row r="1020" spans="1:15" ht="15" x14ac:dyDescent="0.2">
      <c r="A1020" s="13">
        <v>71895</v>
      </c>
      <c r="B1020" s="9">
        <f>15.2337 * CHOOSE(CONTROL!$C$32, $C$9, 100%, $E$9)</f>
        <v>15.233700000000001</v>
      </c>
      <c r="C1020" s="9">
        <f>15.2337 * CHOOSE(CONTROL!$C$32, $C$9, 100%, $E$9)</f>
        <v>15.233700000000001</v>
      </c>
      <c r="D1020" s="9">
        <f>15.2346 * CHOOSE(CONTROL!$C$32, $C$9, 100%, $E$9)</f>
        <v>15.2346</v>
      </c>
      <c r="E1020" s="11">
        <f>17.2274 * CHOOSE(CONTROL!$C$32, $C$9, 100%, $E$9)</f>
        <v>17.227399999999999</v>
      </c>
      <c r="F1020" s="11">
        <f>17.2274 * CHOOSE(CONTROL!$C$32, $C$9, 100%, $E$9)</f>
        <v>17.227399999999999</v>
      </c>
      <c r="G1020" s="11">
        <f>17.2306 * CHOOSE(CONTROL!$C$32, $C$9, 100%, $E$9)</f>
        <v>17.230599999999999</v>
      </c>
      <c r="H1020" s="11">
        <f>36.3914 * CHOOSE(CONTROL!$C$32, $C$9, 100%, $E$9)</f>
        <v>36.391399999999997</v>
      </c>
      <c r="I1020" s="11">
        <f>36.3947 * CHOOSE(CONTROL!$C$32, $C$9, 100%, $E$9)</f>
        <v>36.3947</v>
      </c>
      <c r="J1020" s="11">
        <f>36.3914 * CHOOSE(CONTROL!$C$32, $C$9, 100%, $E$9)</f>
        <v>36.391399999999997</v>
      </c>
      <c r="K1020" s="11">
        <f>36.3947 * CHOOSE(CONTROL!$C$32, $C$9, 100%, $E$9)</f>
        <v>36.3947</v>
      </c>
      <c r="L1020" s="11">
        <f>17.2274 * CHOOSE(CONTROL!$C$32, $C$9, 100%, $E$9)</f>
        <v>17.227399999999999</v>
      </c>
      <c r="M1020" s="11">
        <f>17.2306 * CHOOSE(CONTROL!$C$32, $C$9, 100%, $E$9)</f>
        <v>17.230599999999999</v>
      </c>
      <c r="N1020" s="11">
        <f>17.2274 * CHOOSE(CONTROL!$C$32, $C$9, 100%, $E$9)</f>
        <v>17.227399999999999</v>
      </c>
      <c r="O1020" s="11">
        <f>17.2306 * CHOOSE(CONTROL!$C$32, $C$9, 100%, $E$9)</f>
        <v>17.230599999999999</v>
      </c>
    </row>
    <row r="1021" spans="1:15" ht="15" x14ac:dyDescent="0.2">
      <c r="A1021" s="13">
        <v>71925</v>
      </c>
      <c r="B1021" s="9">
        <f>15.2337 * CHOOSE(CONTROL!$C$32, $C$9, 100%, $E$9)</f>
        <v>15.233700000000001</v>
      </c>
      <c r="C1021" s="9">
        <f>15.2337 * CHOOSE(CONTROL!$C$32, $C$9, 100%, $E$9)</f>
        <v>15.233700000000001</v>
      </c>
      <c r="D1021" s="9">
        <f>15.2346 * CHOOSE(CONTROL!$C$32, $C$9, 100%, $E$9)</f>
        <v>15.2346</v>
      </c>
      <c r="E1021" s="11">
        <f>16.977 * CHOOSE(CONTROL!$C$32, $C$9, 100%, $E$9)</f>
        <v>16.977</v>
      </c>
      <c r="F1021" s="11">
        <f>16.977 * CHOOSE(CONTROL!$C$32, $C$9, 100%, $E$9)</f>
        <v>16.977</v>
      </c>
      <c r="G1021" s="11">
        <f>16.9802 * CHOOSE(CONTROL!$C$32, $C$9, 100%, $E$9)</f>
        <v>16.9802</v>
      </c>
      <c r="H1021" s="11">
        <f>36.4673 * CHOOSE(CONTROL!$C$32, $C$9, 100%, $E$9)</f>
        <v>36.467300000000002</v>
      </c>
      <c r="I1021" s="11">
        <f>36.4705 * CHOOSE(CONTROL!$C$32, $C$9, 100%, $E$9)</f>
        <v>36.470500000000001</v>
      </c>
      <c r="J1021" s="11">
        <f>36.4673 * CHOOSE(CONTROL!$C$32, $C$9, 100%, $E$9)</f>
        <v>36.467300000000002</v>
      </c>
      <c r="K1021" s="11">
        <f>36.4705 * CHOOSE(CONTROL!$C$32, $C$9, 100%, $E$9)</f>
        <v>36.470500000000001</v>
      </c>
      <c r="L1021" s="11">
        <f>16.977 * CHOOSE(CONTROL!$C$32, $C$9, 100%, $E$9)</f>
        <v>16.977</v>
      </c>
      <c r="M1021" s="11">
        <f>16.9802 * CHOOSE(CONTROL!$C$32, $C$9, 100%, $E$9)</f>
        <v>16.9802</v>
      </c>
      <c r="N1021" s="11">
        <f>16.977 * CHOOSE(CONTROL!$C$32, $C$9, 100%, $E$9)</f>
        <v>16.977</v>
      </c>
      <c r="O1021" s="11">
        <f>16.9802 * CHOOSE(CONTROL!$C$32, $C$9, 100%, $E$9)</f>
        <v>16.9802</v>
      </c>
    </row>
    <row r="1022" spans="1:15" ht="15" x14ac:dyDescent="0.2">
      <c r="A1022" s="13">
        <v>71956</v>
      </c>
      <c r="B1022" s="9">
        <f>15.1897 * CHOOSE(CONTROL!$C$32, $C$9, 100%, $E$9)</f>
        <v>15.1897</v>
      </c>
      <c r="C1022" s="9">
        <f>15.1897 * CHOOSE(CONTROL!$C$32, $C$9, 100%, $E$9)</f>
        <v>15.1897</v>
      </c>
      <c r="D1022" s="9">
        <f>15.1907 * CHOOSE(CONTROL!$C$32, $C$9, 100%, $E$9)</f>
        <v>15.1907</v>
      </c>
      <c r="E1022" s="11">
        <f>17.1081 * CHOOSE(CONTROL!$C$32, $C$9, 100%, $E$9)</f>
        <v>17.1081</v>
      </c>
      <c r="F1022" s="11">
        <f>17.1081 * CHOOSE(CONTROL!$C$32, $C$9, 100%, $E$9)</f>
        <v>17.1081</v>
      </c>
      <c r="G1022" s="11">
        <f>17.1114 * CHOOSE(CONTROL!$C$32, $C$9, 100%, $E$9)</f>
        <v>17.1114</v>
      </c>
      <c r="H1022" s="11">
        <f>36.1137 * CHOOSE(CONTROL!$C$32, $C$9, 100%, $E$9)</f>
        <v>36.113700000000001</v>
      </c>
      <c r="I1022" s="11">
        <f>36.1169 * CHOOSE(CONTROL!$C$32, $C$9, 100%, $E$9)</f>
        <v>36.116900000000001</v>
      </c>
      <c r="J1022" s="11">
        <f>36.1137 * CHOOSE(CONTROL!$C$32, $C$9, 100%, $E$9)</f>
        <v>36.113700000000001</v>
      </c>
      <c r="K1022" s="11">
        <f>36.1169 * CHOOSE(CONTROL!$C$32, $C$9, 100%, $E$9)</f>
        <v>36.116900000000001</v>
      </c>
      <c r="L1022" s="11">
        <f>17.1081 * CHOOSE(CONTROL!$C$32, $C$9, 100%, $E$9)</f>
        <v>17.1081</v>
      </c>
      <c r="M1022" s="11">
        <f>17.1114 * CHOOSE(CONTROL!$C$32, $C$9, 100%, $E$9)</f>
        <v>17.1114</v>
      </c>
      <c r="N1022" s="11">
        <f>17.1081 * CHOOSE(CONTROL!$C$32, $C$9, 100%, $E$9)</f>
        <v>17.1081</v>
      </c>
      <c r="O1022" s="11">
        <f>17.1114 * CHOOSE(CONTROL!$C$32, $C$9, 100%, $E$9)</f>
        <v>17.1114</v>
      </c>
    </row>
    <row r="1023" spans="1:15" ht="15" x14ac:dyDescent="0.2">
      <c r="A1023" s="13">
        <v>71987</v>
      </c>
      <c r="B1023" s="9">
        <f>15.1867 * CHOOSE(CONTROL!$C$32, $C$9, 100%, $E$9)</f>
        <v>15.1867</v>
      </c>
      <c r="C1023" s="9">
        <f>15.1867 * CHOOSE(CONTROL!$C$32, $C$9, 100%, $E$9)</f>
        <v>15.1867</v>
      </c>
      <c r="D1023" s="9">
        <f>15.1877 * CHOOSE(CONTROL!$C$32, $C$9, 100%, $E$9)</f>
        <v>15.1877</v>
      </c>
      <c r="E1023" s="11">
        <f>16.6258 * CHOOSE(CONTROL!$C$32, $C$9, 100%, $E$9)</f>
        <v>16.625800000000002</v>
      </c>
      <c r="F1023" s="11">
        <f>16.6258 * CHOOSE(CONTROL!$C$32, $C$9, 100%, $E$9)</f>
        <v>16.625800000000002</v>
      </c>
      <c r="G1023" s="11">
        <f>16.629 * CHOOSE(CONTROL!$C$32, $C$9, 100%, $E$9)</f>
        <v>16.629000000000001</v>
      </c>
      <c r="H1023" s="11">
        <f>36.1889 * CHOOSE(CONTROL!$C$32, $C$9, 100%, $E$9)</f>
        <v>36.188899999999997</v>
      </c>
      <c r="I1023" s="11">
        <f>36.1922 * CHOOSE(CONTROL!$C$32, $C$9, 100%, $E$9)</f>
        <v>36.1922</v>
      </c>
      <c r="J1023" s="11">
        <f>36.1889 * CHOOSE(CONTROL!$C$32, $C$9, 100%, $E$9)</f>
        <v>36.188899999999997</v>
      </c>
      <c r="K1023" s="11">
        <f>36.1922 * CHOOSE(CONTROL!$C$32, $C$9, 100%, $E$9)</f>
        <v>36.1922</v>
      </c>
      <c r="L1023" s="11">
        <f>16.6258 * CHOOSE(CONTROL!$C$32, $C$9, 100%, $E$9)</f>
        <v>16.625800000000002</v>
      </c>
      <c r="M1023" s="11">
        <f>16.629 * CHOOSE(CONTROL!$C$32, $C$9, 100%, $E$9)</f>
        <v>16.629000000000001</v>
      </c>
      <c r="N1023" s="11">
        <f>16.6258 * CHOOSE(CONTROL!$C$32, $C$9, 100%, $E$9)</f>
        <v>16.625800000000002</v>
      </c>
      <c r="O1023" s="11">
        <f>16.629 * CHOOSE(CONTROL!$C$32, $C$9, 100%, $E$9)</f>
        <v>16.629000000000001</v>
      </c>
    </row>
    <row r="1024" spans="1:15" ht="15" x14ac:dyDescent="0.2">
      <c r="A1024" s="13">
        <v>72015</v>
      </c>
      <c r="B1024" s="9">
        <f>15.1837 * CHOOSE(CONTROL!$C$32, $C$9, 100%, $E$9)</f>
        <v>15.1837</v>
      </c>
      <c r="C1024" s="9">
        <f>15.1837 * CHOOSE(CONTROL!$C$32, $C$9, 100%, $E$9)</f>
        <v>15.1837</v>
      </c>
      <c r="D1024" s="9">
        <f>15.1846 * CHOOSE(CONTROL!$C$32, $C$9, 100%, $E$9)</f>
        <v>15.1846</v>
      </c>
      <c r="E1024" s="11">
        <f>17.0022 * CHOOSE(CONTROL!$C$32, $C$9, 100%, $E$9)</f>
        <v>17.002199999999998</v>
      </c>
      <c r="F1024" s="11">
        <f>17.0022 * CHOOSE(CONTROL!$C$32, $C$9, 100%, $E$9)</f>
        <v>17.002199999999998</v>
      </c>
      <c r="G1024" s="11">
        <f>17.0055 * CHOOSE(CONTROL!$C$32, $C$9, 100%, $E$9)</f>
        <v>17.005500000000001</v>
      </c>
      <c r="H1024" s="11">
        <f>36.2643 * CHOOSE(CONTROL!$C$32, $C$9, 100%, $E$9)</f>
        <v>36.264299999999999</v>
      </c>
      <c r="I1024" s="11">
        <f>36.2676 * CHOOSE(CONTROL!$C$32, $C$9, 100%, $E$9)</f>
        <v>36.267600000000002</v>
      </c>
      <c r="J1024" s="11">
        <f>36.2643 * CHOOSE(CONTROL!$C$32, $C$9, 100%, $E$9)</f>
        <v>36.264299999999999</v>
      </c>
      <c r="K1024" s="11">
        <f>36.2676 * CHOOSE(CONTROL!$C$32, $C$9, 100%, $E$9)</f>
        <v>36.267600000000002</v>
      </c>
      <c r="L1024" s="11">
        <f>17.0022 * CHOOSE(CONTROL!$C$32, $C$9, 100%, $E$9)</f>
        <v>17.002199999999998</v>
      </c>
      <c r="M1024" s="11">
        <f>17.0055 * CHOOSE(CONTROL!$C$32, $C$9, 100%, $E$9)</f>
        <v>17.005500000000001</v>
      </c>
      <c r="N1024" s="11">
        <f>17.0022 * CHOOSE(CONTROL!$C$32, $C$9, 100%, $E$9)</f>
        <v>17.002199999999998</v>
      </c>
      <c r="O1024" s="11">
        <f>17.0055 * CHOOSE(CONTROL!$C$32, $C$9, 100%, $E$9)</f>
        <v>17.005500000000001</v>
      </c>
    </row>
    <row r="1025" spans="1:15" ht="15" x14ac:dyDescent="0.2">
      <c r="A1025" s="13">
        <v>72046</v>
      </c>
      <c r="B1025" s="9">
        <f>15.1922 * CHOOSE(CONTROL!$C$32, $C$9, 100%, $E$9)</f>
        <v>15.1922</v>
      </c>
      <c r="C1025" s="9">
        <f>15.1922 * CHOOSE(CONTROL!$C$32, $C$9, 100%, $E$9)</f>
        <v>15.1922</v>
      </c>
      <c r="D1025" s="9">
        <f>15.1931 * CHOOSE(CONTROL!$C$32, $C$9, 100%, $E$9)</f>
        <v>15.193099999999999</v>
      </c>
      <c r="E1025" s="11">
        <f>17.4046 * CHOOSE(CONTROL!$C$32, $C$9, 100%, $E$9)</f>
        <v>17.404599999999999</v>
      </c>
      <c r="F1025" s="11">
        <f>17.4046 * CHOOSE(CONTROL!$C$32, $C$9, 100%, $E$9)</f>
        <v>17.404599999999999</v>
      </c>
      <c r="G1025" s="11">
        <f>17.4078 * CHOOSE(CONTROL!$C$32, $C$9, 100%, $E$9)</f>
        <v>17.407800000000002</v>
      </c>
      <c r="H1025" s="11">
        <f>36.3399 * CHOOSE(CONTROL!$C$32, $C$9, 100%, $E$9)</f>
        <v>36.3399</v>
      </c>
      <c r="I1025" s="11">
        <f>36.3431 * CHOOSE(CONTROL!$C$32, $C$9, 100%, $E$9)</f>
        <v>36.3431</v>
      </c>
      <c r="J1025" s="11">
        <f>36.3399 * CHOOSE(CONTROL!$C$32, $C$9, 100%, $E$9)</f>
        <v>36.3399</v>
      </c>
      <c r="K1025" s="11">
        <f>36.3431 * CHOOSE(CONTROL!$C$32, $C$9, 100%, $E$9)</f>
        <v>36.3431</v>
      </c>
      <c r="L1025" s="11">
        <f>17.4046 * CHOOSE(CONTROL!$C$32, $C$9, 100%, $E$9)</f>
        <v>17.404599999999999</v>
      </c>
      <c r="M1025" s="11">
        <f>17.4078 * CHOOSE(CONTROL!$C$32, $C$9, 100%, $E$9)</f>
        <v>17.407800000000002</v>
      </c>
      <c r="N1025" s="11">
        <f>17.4046 * CHOOSE(CONTROL!$C$32, $C$9, 100%, $E$9)</f>
        <v>17.404599999999999</v>
      </c>
      <c r="O1025" s="11">
        <f>17.4078 * CHOOSE(CONTROL!$C$32, $C$9, 100%, $E$9)</f>
        <v>17.407800000000002</v>
      </c>
    </row>
    <row r="1026" spans="1:15" ht="15" x14ac:dyDescent="0.2">
      <c r="A1026" s="13">
        <v>72076</v>
      </c>
      <c r="B1026" s="9">
        <f>15.1922 * CHOOSE(CONTROL!$C$32, $C$9, 100%, $E$9)</f>
        <v>15.1922</v>
      </c>
      <c r="C1026" s="9">
        <f>15.1922 * CHOOSE(CONTROL!$C$32, $C$9, 100%, $E$9)</f>
        <v>15.1922</v>
      </c>
      <c r="D1026" s="9">
        <f>15.1934 * CHOOSE(CONTROL!$C$32, $C$9, 100%, $E$9)</f>
        <v>15.1934</v>
      </c>
      <c r="E1026" s="11">
        <f>17.5571 * CHOOSE(CONTROL!$C$32, $C$9, 100%, $E$9)</f>
        <v>17.557099999999998</v>
      </c>
      <c r="F1026" s="11">
        <f>17.5571 * CHOOSE(CONTROL!$C$32, $C$9, 100%, $E$9)</f>
        <v>17.557099999999998</v>
      </c>
      <c r="G1026" s="11">
        <f>17.5613 * CHOOSE(CONTROL!$C$32, $C$9, 100%, $E$9)</f>
        <v>17.561299999999999</v>
      </c>
      <c r="H1026" s="11">
        <f>36.4156 * CHOOSE(CONTROL!$C$32, $C$9, 100%, $E$9)</f>
        <v>36.415599999999998</v>
      </c>
      <c r="I1026" s="11">
        <f>36.4198 * CHOOSE(CONTROL!$C$32, $C$9, 100%, $E$9)</f>
        <v>36.419800000000002</v>
      </c>
      <c r="J1026" s="11">
        <f>36.4156 * CHOOSE(CONTROL!$C$32, $C$9, 100%, $E$9)</f>
        <v>36.415599999999998</v>
      </c>
      <c r="K1026" s="11">
        <f>36.4198 * CHOOSE(CONTROL!$C$32, $C$9, 100%, $E$9)</f>
        <v>36.419800000000002</v>
      </c>
      <c r="L1026" s="11">
        <f>17.5571 * CHOOSE(CONTROL!$C$32, $C$9, 100%, $E$9)</f>
        <v>17.557099999999998</v>
      </c>
      <c r="M1026" s="11">
        <f>17.5613 * CHOOSE(CONTROL!$C$32, $C$9, 100%, $E$9)</f>
        <v>17.561299999999999</v>
      </c>
      <c r="N1026" s="11">
        <f>17.5571 * CHOOSE(CONTROL!$C$32, $C$9, 100%, $E$9)</f>
        <v>17.557099999999998</v>
      </c>
      <c r="O1026" s="11">
        <f>17.5613 * CHOOSE(CONTROL!$C$32, $C$9, 100%, $E$9)</f>
        <v>17.561299999999999</v>
      </c>
    </row>
    <row r="1027" spans="1:15" ht="15" x14ac:dyDescent="0.2">
      <c r="A1027" s="13">
        <v>72107</v>
      </c>
      <c r="B1027" s="9">
        <f>15.1983 * CHOOSE(CONTROL!$C$32, $C$9, 100%, $E$9)</f>
        <v>15.1983</v>
      </c>
      <c r="C1027" s="9">
        <f>15.1983 * CHOOSE(CONTROL!$C$32, $C$9, 100%, $E$9)</f>
        <v>15.1983</v>
      </c>
      <c r="D1027" s="9">
        <f>15.1995 * CHOOSE(CONTROL!$C$32, $C$9, 100%, $E$9)</f>
        <v>15.1995</v>
      </c>
      <c r="E1027" s="11">
        <f>17.4088 * CHOOSE(CONTROL!$C$32, $C$9, 100%, $E$9)</f>
        <v>17.408799999999999</v>
      </c>
      <c r="F1027" s="11">
        <f>17.4088 * CHOOSE(CONTROL!$C$32, $C$9, 100%, $E$9)</f>
        <v>17.408799999999999</v>
      </c>
      <c r="G1027" s="11">
        <f>17.413 * CHOOSE(CONTROL!$C$32, $C$9, 100%, $E$9)</f>
        <v>17.413</v>
      </c>
      <c r="H1027" s="11">
        <f>36.4915 * CHOOSE(CONTROL!$C$32, $C$9, 100%, $E$9)</f>
        <v>36.491500000000002</v>
      </c>
      <c r="I1027" s="11">
        <f>36.4957 * CHOOSE(CONTROL!$C$32, $C$9, 100%, $E$9)</f>
        <v>36.495699999999999</v>
      </c>
      <c r="J1027" s="11">
        <f>36.4915 * CHOOSE(CONTROL!$C$32, $C$9, 100%, $E$9)</f>
        <v>36.491500000000002</v>
      </c>
      <c r="K1027" s="11">
        <f>36.4957 * CHOOSE(CONTROL!$C$32, $C$9, 100%, $E$9)</f>
        <v>36.495699999999999</v>
      </c>
      <c r="L1027" s="11">
        <f>17.4088 * CHOOSE(CONTROL!$C$32, $C$9, 100%, $E$9)</f>
        <v>17.408799999999999</v>
      </c>
      <c r="M1027" s="11">
        <f>17.413 * CHOOSE(CONTROL!$C$32, $C$9, 100%, $E$9)</f>
        <v>17.413</v>
      </c>
      <c r="N1027" s="11">
        <f>17.4088 * CHOOSE(CONTROL!$C$32, $C$9, 100%, $E$9)</f>
        <v>17.408799999999999</v>
      </c>
      <c r="O1027" s="11">
        <f>17.413 * CHOOSE(CONTROL!$C$32, $C$9, 100%, $E$9)</f>
        <v>17.413</v>
      </c>
    </row>
    <row r="1028" spans="1:15" ht="15" x14ac:dyDescent="0.2">
      <c r="A1028" s="13">
        <v>72137</v>
      </c>
      <c r="B1028" s="9">
        <f>15.3797 * CHOOSE(CONTROL!$C$32, $C$9, 100%, $E$9)</f>
        <v>15.3797</v>
      </c>
      <c r="C1028" s="9">
        <f>15.3797 * CHOOSE(CONTROL!$C$32, $C$9, 100%, $E$9)</f>
        <v>15.3797</v>
      </c>
      <c r="D1028" s="9">
        <f>15.3809 * CHOOSE(CONTROL!$C$32, $C$9, 100%, $E$9)</f>
        <v>15.3809</v>
      </c>
      <c r="E1028" s="11">
        <f>17.6566 * CHOOSE(CONTROL!$C$32, $C$9, 100%, $E$9)</f>
        <v>17.656600000000001</v>
      </c>
      <c r="F1028" s="11">
        <f>17.6566 * CHOOSE(CONTROL!$C$32, $C$9, 100%, $E$9)</f>
        <v>17.656600000000001</v>
      </c>
      <c r="G1028" s="11">
        <f>17.6608 * CHOOSE(CONTROL!$C$32, $C$9, 100%, $E$9)</f>
        <v>17.660799999999998</v>
      </c>
      <c r="H1028" s="11">
        <f>36.5675 * CHOOSE(CONTROL!$C$32, $C$9, 100%, $E$9)</f>
        <v>36.567500000000003</v>
      </c>
      <c r="I1028" s="11">
        <f>36.5717 * CHOOSE(CONTROL!$C$32, $C$9, 100%, $E$9)</f>
        <v>36.5717</v>
      </c>
      <c r="J1028" s="11">
        <f>36.5675 * CHOOSE(CONTROL!$C$32, $C$9, 100%, $E$9)</f>
        <v>36.567500000000003</v>
      </c>
      <c r="K1028" s="11">
        <f>36.5717 * CHOOSE(CONTROL!$C$32, $C$9, 100%, $E$9)</f>
        <v>36.5717</v>
      </c>
      <c r="L1028" s="11">
        <f>17.6566 * CHOOSE(CONTROL!$C$32, $C$9, 100%, $E$9)</f>
        <v>17.656600000000001</v>
      </c>
      <c r="M1028" s="11">
        <f>17.6608 * CHOOSE(CONTROL!$C$32, $C$9, 100%, $E$9)</f>
        <v>17.660799999999998</v>
      </c>
      <c r="N1028" s="11">
        <f>17.6566 * CHOOSE(CONTROL!$C$32, $C$9, 100%, $E$9)</f>
        <v>17.656600000000001</v>
      </c>
      <c r="O1028" s="11">
        <f>17.6608 * CHOOSE(CONTROL!$C$32, $C$9, 100%, $E$9)</f>
        <v>17.660799999999998</v>
      </c>
    </row>
    <row r="1029" spans="1:15" ht="15" x14ac:dyDescent="0.2">
      <c r="A1029" s="13">
        <v>72168</v>
      </c>
      <c r="B1029" s="9">
        <f>15.3863 * CHOOSE(CONTROL!$C$32, $C$9, 100%, $E$9)</f>
        <v>15.3863</v>
      </c>
      <c r="C1029" s="9">
        <f>15.3863 * CHOOSE(CONTROL!$C$32, $C$9, 100%, $E$9)</f>
        <v>15.3863</v>
      </c>
      <c r="D1029" s="9">
        <f>15.3876 * CHOOSE(CONTROL!$C$32, $C$9, 100%, $E$9)</f>
        <v>15.387600000000001</v>
      </c>
      <c r="E1029" s="11">
        <f>17.2038 * CHOOSE(CONTROL!$C$32, $C$9, 100%, $E$9)</f>
        <v>17.203800000000001</v>
      </c>
      <c r="F1029" s="11">
        <f>17.2038 * CHOOSE(CONTROL!$C$32, $C$9, 100%, $E$9)</f>
        <v>17.203800000000001</v>
      </c>
      <c r="G1029" s="11">
        <f>17.208 * CHOOSE(CONTROL!$C$32, $C$9, 100%, $E$9)</f>
        <v>17.207999999999998</v>
      </c>
      <c r="H1029" s="11">
        <f>36.6437 * CHOOSE(CONTROL!$C$32, $C$9, 100%, $E$9)</f>
        <v>36.643700000000003</v>
      </c>
      <c r="I1029" s="11">
        <f>36.6479 * CHOOSE(CONTROL!$C$32, $C$9, 100%, $E$9)</f>
        <v>36.6479</v>
      </c>
      <c r="J1029" s="11">
        <f>36.6437 * CHOOSE(CONTROL!$C$32, $C$9, 100%, $E$9)</f>
        <v>36.643700000000003</v>
      </c>
      <c r="K1029" s="11">
        <f>36.6479 * CHOOSE(CONTROL!$C$32, $C$9, 100%, $E$9)</f>
        <v>36.6479</v>
      </c>
      <c r="L1029" s="11">
        <f>17.2038 * CHOOSE(CONTROL!$C$32, $C$9, 100%, $E$9)</f>
        <v>17.203800000000001</v>
      </c>
      <c r="M1029" s="11">
        <f>17.208 * CHOOSE(CONTROL!$C$32, $C$9, 100%, $E$9)</f>
        <v>17.207999999999998</v>
      </c>
      <c r="N1029" s="11">
        <f>17.2038 * CHOOSE(CONTROL!$C$32, $C$9, 100%, $E$9)</f>
        <v>17.203800000000001</v>
      </c>
      <c r="O1029" s="11">
        <f>17.208 * CHOOSE(CONTROL!$C$32, $C$9, 100%, $E$9)</f>
        <v>17.207999999999998</v>
      </c>
    </row>
    <row r="1030" spans="1:15" ht="15" x14ac:dyDescent="0.2">
      <c r="A1030" s="13">
        <v>72199</v>
      </c>
      <c r="B1030" s="9">
        <f>15.3833 * CHOOSE(CONTROL!$C$32, $C$9, 100%, $E$9)</f>
        <v>15.3833</v>
      </c>
      <c r="C1030" s="9">
        <f>15.3833 * CHOOSE(CONTROL!$C$32, $C$9, 100%, $E$9)</f>
        <v>15.3833</v>
      </c>
      <c r="D1030" s="9">
        <f>15.3845 * CHOOSE(CONTROL!$C$32, $C$9, 100%, $E$9)</f>
        <v>15.384499999999999</v>
      </c>
      <c r="E1030" s="11">
        <f>17.1509 * CHOOSE(CONTROL!$C$32, $C$9, 100%, $E$9)</f>
        <v>17.1509</v>
      </c>
      <c r="F1030" s="11">
        <f>17.1509 * CHOOSE(CONTROL!$C$32, $C$9, 100%, $E$9)</f>
        <v>17.1509</v>
      </c>
      <c r="G1030" s="11">
        <f>17.1551 * CHOOSE(CONTROL!$C$32, $C$9, 100%, $E$9)</f>
        <v>17.155100000000001</v>
      </c>
      <c r="H1030" s="11">
        <f>36.72 * CHOOSE(CONTROL!$C$32, $C$9, 100%, $E$9)</f>
        <v>36.72</v>
      </c>
      <c r="I1030" s="11">
        <f>36.7242 * CHOOSE(CONTROL!$C$32, $C$9, 100%, $E$9)</f>
        <v>36.724200000000003</v>
      </c>
      <c r="J1030" s="11">
        <f>36.72 * CHOOSE(CONTROL!$C$32, $C$9, 100%, $E$9)</f>
        <v>36.72</v>
      </c>
      <c r="K1030" s="11">
        <f>36.7242 * CHOOSE(CONTROL!$C$32, $C$9, 100%, $E$9)</f>
        <v>36.724200000000003</v>
      </c>
      <c r="L1030" s="11">
        <f>17.1509 * CHOOSE(CONTROL!$C$32, $C$9, 100%, $E$9)</f>
        <v>17.1509</v>
      </c>
      <c r="M1030" s="11">
        <f>17.1551 * CHOOSE(CONTROL!$C$32, $C$9, 100%, $E$9)</f>
        <v>17.155100000000001</v>
      </c>
      <c r="N1030" s="11">
        <f>17.1509 * CHOOSE(CONTROL!$C$32, $C$9, 100%, $E$9)</f>
        <v>17.1509</v>
      </c>
      <c r="O1030" s="11">
        <f>17.1551 * CHOOSE(CONTROL!$C$32, $C$9, 100%, $E$9)</f>
        <v>17.155100000000001</v>
      </c>
    </row>
    <row r="1031" spans="1:15" ht="15" x14ac:dyDescent="0.2">
      <c r="A1031" s="13">
        <v>72229</v>
      </c>
      <c r="B1031" s="9">
        <f>15.4209 * CHOOSE(CONTROL!$C$32, $C$9, 100%, $E$9)</f>
        <v>15.4209</v>
      </c>
      <c r="C1031" s="9">
        <f>15.4209 * CHOOSE(CONTROL!$C$32, $C$9, 100%, $E$9)</f>
        <v>15.4209</v>
      </c>
      <c r="D1031" s="9">
        <f>15.4219 * CHOOSE(CONTROL!$C$32, $C$9, 100%, $E$9)</f>
        <v>15.421900000000001</v>
      </c>
      <c r="E1031" s="11">
        <f>17.3408 * CHOOSE(CONTROL!$C$32, $C$9, 100%, $E$9)</f>
        <v>17.340800000000002</v>
      </c>
      <c r="F1031" s="11">
        <f>17.3408 * CHOOSE(CONTROL!$C$32, $C$9, 100%, $E$9)</f>
        <v>17.340800000000002</v>
      </c>
      <c r="G1031" s="11">
        <f>17.344 * CHOOSE(CONTROL!$C$32, $C$9, 100%, $E$9)</f>
        <v>17.344000000000001</v>
      </c>
      <c r="H1031" s="11">
        <f>36.7965 * CHOOSE(CONTROL!$C$32, $C$9, 100%, $E$9)</f>
        <v>36.796500000000002</v>
      </c>
      <c r="I1031" s="11">
        <f>36.7997 * CHOOSE(CONTROL!$C$32, $C$9, 100%, $E$9)</f>
        <v>36.799700000000001</v>
      </c>
      <c r="J1031" s="11">
        <f>36.7965 * CHOOSE(CONTROL!$C$32, $C$9, 100%, $E$9)</f>
        <v>36.796500000000002</v>
      </c>
      <c r="K1031" s="11">
        <f>36.7997 * CHOOSE(CONTROL!$C$32, $C$9, 100%, $E$9)</f>
        <v>36.799700000000001</v>
      </c>
      <c r="L1031" s="11">
        <f>17.3408 * CHOOSE(CONTROL!$C$32, $C$9, 100%, $E$9)</f>
        <v>17.340800000000002</v>
      </c>
      <c r="M1031" s="11">
        <f>17.344 * CHOOSE(CONTROL!$C$32, $C$9, 100%, $E$9)</f>
        <v>17.344000000000001</v>
      </c>
      <c r="N1031" s="11">
        <f>17.3408 * CHOOSE(CONTROL!$C$32, $C$9, 100%, $E$9)</f>
        <v>17.340800000000002</v>
      </c>
      <c r="O1031" s="11">
        <f>17.344 * CHOOSE(CONTROL!$C$32, $C$9, 100%, $E$9)</f>
        <v>17.344000000000001</v>
      </c>
    </row>
    <row r="1032" spans="1:15" ht="15" x14ac:dyDescent="0.2">
      <c r="A1032" s="13">
        <v>72260</v>
      </c>
      <c r="B1032" s="9">
        <f>15.424 * CHOOSE(CONTROL!$C$32, $C$9, 100%, $E$9)</f>
        <v>15.423999999999999</v>
      </c>
      <c r="C1032" s="9">
        <f>15.424 * CHOOSE(CONTROL!$C$32, $C$9, 100%, $E$9)</f>
        <v>15.423999999999999</v>
      </c>
      <c r="D1032" s="9">
        <f>15.4249 * CHOOSE(CONTROL!$C$32, $C$9, 100%, $E$9)</f>
        <v>15.424899999999999</v>
      </c>
      <c r="E1032" s="11">
        <f>17.4445 * CHOOSE(CONTROL!$C$32, $C$9, 100%, $E$9)</f>
        <v>17.444500000000001</v>
      </c>
      <c r="F1032" s="11">
        <f>17.4445 * CHOOSE(CONTROL!$C$32, $C$9, 100%, $E$9)</f>
        <v>17.444500000000001</v>
      </c>
      <c r="G1032" s="11">
        <f>17.4478 * CHOOSE(CONTROL!$C$32, $C$9, 100%, $E$9)</f>
        <v>17.447800000000001</v>
      </c>
      <c r="H1032" s="11">
        <f>36.8732 * CHOOSE(CONTROL!$C$32, $C$9, 100%, $E$9)</f>
        <v>36.873199999999997</v>
      </c>
      <c r="I1032" s="11">
        <f>36.8764 * CHOOSE(CONTROL!$C$32, $C$9, 100%, $E$9)</f>
        <v>36.876399999999997</v>
      </c>
      <c r="J1032" s="11">
        <f>36.8732 * CHOOSE(CONTROL!$C$32, $C$9, 100%, $E$9)</f>
        <v>36.873199999999997</v>
      </c>
      <c r="K1032" s="11">
        <f>36.8764 * CHOOSE(CONTROL!$C$32, $C$9, 100%, $E$9)</f>
        <v>36.876399999999997</v>
      </c>
      <c r="L1032" s="11">
        <f>17.4445 * CHOOSE(CONTROL!$C$32, $C$9, 100%, $E$9)</f>
        <v>17.444500000000001</v>
      </c>
      <c r="M1032" s="11">
        <f>17.4478 * CHOOSE(CONTROL!$C$32, $C$9, 100%, $E$9)</f>
        <v>17.447800000000001</v>
      </c>
      <c r="N1032" s="11">
        <f>17.4445 * CHOOSE(CONTROL!$C$32, $C$9, 100%, $E$9)</f>
        <v>17.444500000000001</v>
      </c>
      <c r="O1032" s="11">
        <f>17.4478 * CHOOSE(CONTROL!$C$32, $C$9, 100%, $E$9)</f>
        <v>17.447800000000001</v>
      </c>
    </row>
    <row r="1033" spans="1:15" ht="15" x14ac:dyDescent="0.2">
      <c r="A1033" s="13">
        <v>72290</v>
      </c>
      <c r="B1033" s="9">
        <f>15.424 * CHOOSE(CONTROL!$C$32, $C$9, 100%, $E$9)</f>
        <v>15.423999999999999</v>
      </c>
      <c r="C1033" s="9">
        <f>15.424 * CHOOSE(CONTROL!$C$32, $C$9, 100%, $E$9)</f>
        <v>15.423999999999999</v>
      </c>
      <c r="D1033" s="9">
        <f>15.4249 * CHOOSE(CONTROL!$C$32, $C$9, 100%, $E$9)</f>
        <v>15.424899999999999</v>
      </c>
      <c r="E1033" s="11">
        <f>17.1904 * CHOOSE(CONTROL!$C$32, $C$9, 100%, $E$9)</f>
        <v>17.1904</v>
      </c>
      <c r="F1033" s="11">
        <f>17.1904 * CHOOSE(CONTROL!$C$32, $C$9, 100%, $E$9)</f>
        <v>17.1904</v>
      </c>
      <c r="G1033" s="11">
        <f>17.1937 * CHOOSE(CONTROL!$C$32, $C$9, 100%, $E$9)</f>
        <v>17.1937</v>
      </c>
      <c r="H1033" s="11">
        <f>36.95 * CHOOSE(CONTROL!$C$32, $C$9, 100%, $E$9)</f>
        <v>36.950000000000003</v>
      </c>
      <c r="I1033" s="11">
        <f>36.9532 * CHOOSE(CONTROL!$C$32, $C$9, 100%, $E$9)</f>
        <v>36.953200000000002</v>
      </c>
      <c r="J1033" s="11">
        <f>36.95 * CHOOSE(CONTROL!$C$32, $C$9, 100%, $E$9)</f>
        <v>36.950000000000003</v>
      </c>
      <c r="K1033" s="11">
        <f>36.9532 * CHOOSE(CONTROL!$C$32, $C$9, 100%, $E$9)</f>
        <v>36.953200000000002</v>
      </c>
      <c r="L1033" s="11">
        <f>17.1904 * CHOOSE(CONTROL!$C$32, $C$9, 100%, $E$9)</f>
        <v>17.1904</v>
      </c>
      <c r="M1033" s="11">
        <f>17.1937 * CHOOSE(CONTROL!$C$32, $C$9, 100%, $E$9)</f>
        <v>17.1937</v>
      </c>
      <c r="N1033" s="11">
        <f>17.1904 * CHOOSE(CONTROL!$C$32, $C$9, 100%, $E$9)</f>
        <v>17.1904</v>
      </c>
      <c r="O1033" s="11">
        <f>17.1937 * CHOOSE(CONTROL!$C$32, $C$9, 100%, $E$9)</f>
        <v>17.1937</v>
      </c>
    </row>
    <row r="1034" spans="1:15" ht="15" x14ac:dyDescent="0.2">
      <c r="A1034" s="13">
        <v>72321</v>
      </c>
      <c r="B1034" s="9">
        <f>15.3771 * CHOOSE(CONTROL!$C$32, $C$9, 100%, $E$9)</f>
        <v>15.3771</v>
      </c>
      <c r="C1034" s="9">
        <f>15.3771 * CHOOSE(CONTROL!$C$32, $C$9, 100%, $E$9)</f>
        <v>15.3771</v>
      </c>
      <c r="D1034" s="9">
        <f>15.3781 * CHOOSE(CONTROL!$C$32, $C$9, 100%, $E$9)</f>
        <v>15.3781</v>
      </c>
      <c r="E1034" s="11">
        <f>17.3206 * CHOOSE(CONTROL!$C$32, $C$9, 100%, $E$9)</f>
        <v>17.320599999999999</v>
      </c>
      <c r="F1034" s="11">
        <f>17.3206 * CHOOSE(CONTROL!$C$32, $C$9, 100%, $E$9)</f>
        <v>17.320599999999999</v>
      </c>
      <c r="G1034" s="11">
        <f>17.3239 * CHOOSE(CONTROL!$C$32, $C$9, 100%, $E$9)</f>
        <v>17.323899999999998</v>
      </c>
      <c r="H1034" s="11">
        <f>36.5855 * CHOOSE(CONTROL!$C$32, $C$9, 100%, $E$9)</f>
        <v>36.585500000000003</v>
      </c>
      <c r="I1034" s="11">
        <f>36.5887 * CHOOSE(CONTROL!$C$32, $C$9, 100%, $E$9)</f>
        <v>36.588700000000003</v>
      </c>
      <c r="J1034" s="11">
        <f>36.5855 * CHOOSE(CONTROL!$C$32, $C$9, 100%, $E$9)</f>
        <v>36.585500000000003</v>
      </c>
      <c r="K1034" s="11">
        <f>36.5887 * CHOOSE(CONTROL!$C$32, $C$9, 100%, $E$9)</f>
        <v>36.588700000000003</v>
      </c>
      <c r="L1034" s="11">
        <f>17.3206 * CHOOSE(CONTROL!$C$32, $C$9, 100%, $E$9)</f>
        <v>17.320599999999999</v>
      </c>
      <c r="M1034" s="11">
        <f>17.3239 * CHOOSE(CONTROL!$C$32, $C$9, 100%, $E$9)</f>
        <v>17.323899999999998</v>
      </c>
      <c r="N1034" s="11">
        <f>17.3206 * CHOOSE(CONTROL!$C$32, $C$9, 100%, $E$9)</f>
        <v>17.320599999999999</v>
      </c>
      <c r="O1034" s="11">
        <f>17.3239 * CHOOSE(CONTROL!$C$32, $C$9, 100%, $E$9)</f>
        <v>17.323899999999998</v>
      </c>
    </row>
    <row r="1035" spans="1:15" ht="15" x14ac:dyDescent="0.2">
      <c r="A1035" s="13">
        <v>72352</v>
      </c>
      <c r="B1035" s="9">
        <f>15.3741 * CHOOSE(CONTROL!$C$32, $C$9, 100%, $E$9)</f>
        <v>15.3741</v>
      </c>
      <c r="C1035" s="9">
        <f>15.3741 * CHOOSE(CONTROL!$C$32, $C$9, 100%, $E$9)</f>
        <v>15.3741</v>
      </c>
      <c r="D1035" s="9">
        <f>15.375 * CHOOSE(CONTROL!$C$32, $C$9, 100%, $E$9)</f>
        <v>15.375</v>
      </c>
      <c r="E1035" s="11">
        <f>16.8312 * CHOOSE(CONTROL!$C$32, $C$9, 100%, $E$9)</f>
        <v>16.831199999999999</v>
      </c>
      <c r="F1035" s="11">
        <f>16.8312 * CHOOSE(CONTROL!$C$32, $C$9, 100%, $E$9)</f>
        <v>16.831199999999999</v>
      </c>
      <c r="G1035" s="11">
        <f>16.8344 * CHOOSE(CONTROL!$C$32, $C$9, 100%, $E$9)</f>
        <v>16.834399999999999</v>
      </c>
      <c r="H1035" s="11">
        <f>36.6617 * CHOOSE(CONTROL!$C$32, $C$9, 100%, $E$9)</f>
        <v>36.661700000000003</v>
      </c>
      <c r="I1035" s="11">
        <f>36.665 * CHOOSE(CONTROL!$C$32, $C$9, 100%, $E$9)</f>
        <v>36.664999999999999</v>
      </c>
      <c r="J1035" s="11">
        <f>36.6617 * CHOOSE(CONTROL!$C$32, $C$9, 100%, $E$9)</f>
        <v>36.661700000000003</v>
      </c>
      <c r="K1035" s="11">
        <f>36.665 * CHOOSE(CONTROL!$C$32, $C$9, 100%, $E$9)</f>
        <v>36.664999999999999</v>
      </c>
      <c r="L1035" s="11">
        <f>16.8312 * CHOOSE(CONTROL!$C$32, $C$9, 100%, $E$9)</f>
        <v>16.831199999999999</v>
      </c>
      <c r="M1035" s="11">
        <f>16.8344 * CHOOSE(CONTROL!$C$32, $C$9, 100%, $E$9)</f>
        <v>16.834399999999999</v>
      </c>
      <c r="N1035" s="11">
        <f>16.8312 * CHOOSE(CONTROL!$C$32, $C$9, 100%, $E$9)</f>
        <v>16.831199999999999</v>
      </c>
      <c r="O1035" s="11">
        <f>16.8344 * CHOOSE(CONTROL!$C$32, $C$9, 100%, $E$9)</f>
        <v>16.834399999999999</v>
      </c>
    </row>
    <row r="1036" spans="1:15" ht="15" x14ac:dyDescent="0.2">
      <c r="A1036" s="13">
        <v>72380</v>
      </c>
      <c r="B1036" s="9">
        <f>15.371 * CHOOSE(CONTROL!$C$32, $C$9, 100%, $E$9)</f>
        <v>15.371</v>
      </c>
      <c r="C1036" s="9">
        <f>15.371 * CHOOSE(CONTROL!$C$32, $C$9, 100%, $E$9)</f>
        <v>15.371</v>
      </c>
      <c r="D1036" s="9">
        <f>15.372 * CHOOSE(CONTROL!$C$32, $C$9, 100%, $E$9)</f>
        <v>15.372</v>
      </c>
      <c r="E1036" s="11">
        <f>17.2133 * CHOOSE(CONTROL!$C$32, $C$9, 100%, $E$9)</f>
        <v>17.2133</v>
      </c>
      <c r="F1036" s="11">
        <f>17.2133 * CHOOSE(CONTROL!$C$32, $C$9, 100%, $E$9)</f>
        <v>17.2133</v>
      </c>
      <c r="G1036" s="11">
        <f>17.2165 * CHOOSE(CONTROL!$C$32, $C$9, 100%, $E$9)</f>
        <v>17.2165</v>
      </c>
      <c r="H1036" s="11">
        <f>36.7381 * CHOOSE(CONTROL!$C$32, $C$9, 100%, $E$9)</f>
        <v>36.738100000000003</v>
      </c>
      <c r="I1036" s="11">
        <f>36.7413 * CHOOSE(CONTROL!$C$32, $C$9, 100%, $E$9)</f>
        <v>36.741300000000003</v>
      </c>
      <c r="J1036" s="11">
        <f>36.7381 * CHOOSE(CONTROL!$C$32, $C$9, 100%, $E$9)</f>
        <v>36.738100000000003</v>
      </c>
      <c r="K1036" s="11">
        <f>36.7413 * CHOOSE(CONTROL!$C$32, $C$9, 100%, $E$9)</f>
        <v>36.741300000000003</v>
      </c>
      <c r="L1036" s="11">
        <f>17.2133 * CHOOSE(CONTROL!$C$32, $C$9, 100%, $E$9)</f>
        <v>17.2133</v>
      </c>
      <c r="M1036" s="11">
        <f>17.2165 * CHOOSE(CONTROL!$C$32, $C$9, 100%, $E$9)</f>
        <v>17.2165</v>
      </c>
      <c r="N1036" s="11">
        <f>17.2133 * CHOOSE(CONTROL!$C$32, $C$9, 100%, $E$9)</f>
        <v>17.2133</v>
      </c>
      <c r="O1036" s="11">
        <f>17.2165 * CHOOSE(CONTROL!$C$32, $C$9, 100%, $E$9)</f>
        <v>17.2165</v>
      </c>
    </row>
    <row r="1037" spans="1:15" ht="15" x14ac:dyDescent="0.2">
      <c r="A1037" s="13">
        <v>72411</v>
      </c>
      <c r="B1037" s="9">
        <f>15.3797 * CHOOSE(CONTROL!$C$32, $C$9, 100%, $E$9)</f>
        <v>15.3797</v>
      </c>
      <c r="C1037" s="9">
        <f>15.3797 * CHOOSE(CONTROL!$C$32, $C$9, 100%, $E$9)</f>
        <v>15.3797</v>
      </c>
      <c r="D1037" s="9">
        <f>15.3807 * CHOOSE(CONTROL!$C$32, $C$9, 100%, $E$9)</f>
        <v>15.380699999999999</v>
      </c>
      <c r="E1037" s="11">
        <f>17.6216 * CHOOSE(CONTROL!$C$32, $C$9, 100%, $E$9)</f>
        <v>17.621600000000001</v>
      </c>
      <c r="F1037" s="11">
        <f>17.6216 * CHOOSE(CONTROL!$C$32, $C$9, 100%, $E$9)</f>
        <v>17.621600000000001</v>
      </c>
      <c r="G1037" s="11">
        <f>17.6248 * CHOOSE(CONTROL!$C$32, $C$9, 100%, $E$9)</f>
        <v>17.6248</v>
      </c>
      <c r="H1037" s="11">
        <f>36.8146 * CHOOSE(CONTROL!$C$32, $C$9, 100%, $E$9)</f>
        <v>36.814599999999999</v>
      </c>
      <c r="I1037" s="11">
        <f>36.8179 * CHOOSE(CONTROL!$C$32, $C$9, 100%, $E$9)</f>
        <v>36.817900000000002</v>
      </c>
      <c r="J1037" s="11">
        <f>36.8146 * CHOOSE(CONTROL!$C$32, $C$9, 100%, $E$9)</f>
        <v>36.814599999999999</v>
      </c>
      <c r="K1037" s="11">
        <f>36.8179 * CHOOSE(CONTROL!$C$32, $C$9, 100%, $E$9)</f>
        <v>36.817900000000002</v>
      </c>
      <c r="L1037" s="11">
        <f>17.6216 * CHOOSE(CONTROL!$C$32, $C$9, 100%, $E$9)</f>
        <v>17.621600000000001</v>
      </c>
      <c r="M1037" s="11">
        <f>17.6248 * CHOOSE(CONTROL!$C$32, $C$9, 100%, $E$9)</f>
        <v>17.6248</v>
      </c>
      <c r="N1037" s="11">
        <f>17.6216 * CHOOSE(CONTROL!$C$32, $C$9, 100%, $E$9)</f>
        <v>17.621600000000001</v>
      </c>
      <c r="O1037" s="11">
        <f>17.6248 * CHOOSE(CONTROL!$C$32, $C$9, 100%, $E$9)</f>
        <v>17.6248</v>
      </c>
    </row>
    <row r="1038" spans="1:15" ht="15" x14ac:dyDescent="0.2">
      <c r="A1038" s="13">
        <v>72441</v>
      </c>
      <c r="B1038" s="9">
        <f>15.3797 * CHOOSE(CONTROL!$C$32, $C$9, 100%, $E$9)</f>
        <v>15.3797</v>
      </c>
      <c r="C1038" s="9">
        <f>15.3797 * CHOOSE(CONTROL!$C$32, $C$9, 100%, $E$9)</f>
        <v>15.3797</v>
      </c>
      <c r="D1038" s="9">
        <f>15.381 * CHOOSE(CONTROL!$C$32, $C$9, 100%, $E$9)</f>
        <v>15.381</v>
      </c>
      <c r="E1038" s="11">
        <f>17.7763 * CHOOSE(CONTROL!$C$32, $C$9, 100%, $E$9)</f>
        <v>17.776299999999999</v>
      </c>
      <c r="F1038" s="11">
        <f>17.7763 * CHOOSE(CONTROL!$C$32, $C$9, 100%, $E$9)</f>
        <v>17.776299999999999</v>
      </c>
      <c r="G1038" s="11">
        <f>17.7805 * CHOOSE(CONTROL!$C$32, $C$9, 100%, $E$9)</f>
        <v>17.7805</v>
      </c>
      <c r="H1038" s="11">
        <f>36.8913 * CHOOSE(CONTROL!$C$32, $C$9, 100%, $E$9)</f>
        <v>36.891300000000001</v>
      </c>
      <c r="I1038" s="11">
        <f>36.8955 * CHOOSE(CONTROL!$C$32, $C$9, 100%, $E$9)</f>
        <v>36.895499999999998</v>
      </c>
      <c r="J1038" s="11">
        <f>36.8913 * CHOOSE(CONTROL!$C$32, $C$9, 100%, $E$9)</f>
        <v>36.891300000000001</v>
      </c>
      <c r="K1038" s="11">
        <f>36.8955 * CHOOSE(CONTROL!$C$32, $C$9, 100%, $E$9)</f>
        <v>36.895499999999998</v>
      </c>
      <c r="L1038" s="11">
        <f>17.7763 * CHOOSE(CONTROL!$C$32, $C$9, 100%, $E$9)</f>
        <v>17.776299999999999</v>
      </c>
      <c r="M1038" s="11">
        <f>17.7805 * CHOOSE(CONTROL!$C$32, $C$9, 100%, $E$9)</f>
        <v>17.7805</v>
      </c>
      <c r="N1038" s="11">
        <f>17.7763 * CHOOSE(CONTROL!$C$32, $C$9, 100%, $E$9)</f>
        <v>17.776299999999999</v>
      </c>
      <c r="O1038" s="11">
        <f>17.7805 * CHOOSE(CONTROL!$C$32, $C$9, 100%, $E$9)</f>
        <v>17.7805</v>
      </c>
    </row>
    <row r="1039" spans="1:15" ht="15" x14ac:dyDescent="0.2">
      <c r="A1039" s="13">
        <v>72472</v>
      </c>
      <c r="B1039" s="9">
        <f>15.3858 * CHOOSE(CONTROL!$C$32, $C$9, 100%, $E$9)</f>
        <v>15.3858</v>
      </c>
      <c r="C1039" s="9">
        <f>15.3858 * CHOOSE(CONTROL!$C$32, $C$9, 100%, $E$9)</f>
        <v>15.3858</v>
      </c>
      <c r="D1039" s="9">
        <f>15.387 * CHOOSE(CONTROL!$C$32, $C$9, 100%, $E$9)</f>
        <v>15.387</v>
      </c>
      <c r="E1039" s="11">
        <f>17.6258 * CHOOSE(CONTROL!$C$32, $C$9, 100%, $E$9)</f>
        <v>17.625800000000002</v>
      </c>
      <c r="F1039" s="11">
        <f>17.6258 * CHOOSE(CONTROL!$C$32, $C$9, 100%, $E$9)</f>
        <v>17.625800000000002</v>
      </c>
      <c r="G1039" s="11">
        <f>17.63 * CHOOSE(CONTROL!$C$32, $C$9, 100%, $E$9)</f>
        <v>17.63</v>
      </c>
      <c r="H1039" s="11">
        <f>36.9682 * CHOOSE(CONTROL!$C$32, $C$9, 100%, $E$9)</f>
        <v>36.968200000000003</v>
      </c>
      <c r="I1039" s="11">
        <f>36.9724 * CHOOSE(CONTROL!$C$32, $C$9, 100%, $E$9)</f>
        <v>36.9724</v>
      </c>
      <c r="J1039" s="11">
        <f>36.9682 * CHOOSE(CONTROL!$C$32, $C$9, 100%, $E$9)</f>
        <v>36.968200000000003</v>
      </c>
      <c r="K1039" s="11">
        <f>36.9724 * CHOOSE(CONTROL!$C$32, $C$9, 100%, $E$9)</f>
        <v>36.9724</v>
      </c>
      <c r="L1039" s="11">
        <f>17.6258 * CHOOSE(CONTROL!$C$32, $C$9, 100%, $E$9)</f>
        <v>17.625800000000002</v>
      </c>
      <c r="M1039" s="11">
        <f>17.63 * CHOOSE(CONTROL!$C$32, $C$9, 100%, $E$9)</f>
        <v>17.63</v>
      </c>
      <c r="N1039" s="11">
        <f>17.6258 * CHOOSE(CONTROL!$C$32, $C$9, 100%, $E$9)</f>
        <v>17.625800000000002</v>
      </c>
      <c r="O1039" s="11">
        <f>17.63 * CHOOSE(CONTROL!$C$32, $C$9, 100%, $E$9)</f>
        <v>17.63</v>
      </c>
    </row>
    <row r="1040" spans="1:15" ht="15" x14ac:dyDescent="0.2">
      <c r="A1040" s="13">
        <v>72502</v>
      </c>
      <c r="B1040" s="9">
        <f>15.5692 * CHOOSE(CONTROL!$C$32, $C$9, 100%, $E$9)</f>
        <v>15.5692</v>
      </c>
      <c r="C1040" s="9">
        <f>15.5692 * CHOOSE(CONTROL!$C$32, $C$9, 100%, $E$9)</f>
        <v>15.5692</v>
      </c>
      <c r="D1040" s="9">
        <f>15.5705 * CHOOSE(CONTROL!$C$32, $C$9, 100%, $E$9)</f>
        <v>15.570499999999999</v>
      </c>
      <c r="E1040" s="11">
        <f>17.8768 * CHOOSE(CONTROL!$C$32, $C$9, 100%, $E$9)</f>
        <v>17.876799999999999</v>
      </c>
      <c r="F1040" s="11">
        <f>17.8768 * CHOOSE(CONTROL!$C$32, $C$9, 100%, $E$9)</f>
        <v>17.876799999999999</v>
      </c>
      <c r="G1040" s="11">
        <f>17.881 * CHOOSE(CONTROL!$C$32, $C$9, 100%, $E$9)</f>
        <v>17.881</v>
      </c>
      <c r="H1040" s="11">
        <f>37.0452 * CHOOSE(CONTROL!$C$32, $C$9, 100%, $E$9)</f>
        <v>37.045200000000001</v>
      </c>
      <c r="I1040" s="11">
        <f>37.0494 * CHOOSE(CONTROL!$C$32, $C$9, 100%, $E$9)</f>
        <v>37.049399999999999</v>
      </c>
      <c r="J1040" s="11">
        <f>37.0452 * CHOOSE(CONTROL!$C$32, $C$9, 100%, $E$9)</f>
        <v>37.045200000000001</v>
      </c>
      <c r="K1040" s="11">
        <f>37.0494 * CHOOSE(CONTROL!$C$32, $C$9, 100%, $E$9)</f>
        <v>37.049399999999999</v>
      </c>
      <c r="L1040" s="11">
        <f>17.8768 * CHOOSE(CONTROL!$C$32, $C$9, 100%, $E$9)</f>
        <v>17.876799999999999</v>
      </c>
      <c r="M1040" s="11">
        <f>17.881 * CHOOSE(CONTROL!$C$32, $C$9, 100%, $E$9)</f>
        <v>17.881</v>
      </c>
      <c r="N1040" s="11">
        <f>17.8768 * CHOOSE(CONTROL!$C$32, $C$9, 100%, $E$9)</f>
        <v>17.876799999999999</v>
      </c>
      <c r="O1040" s="11">
        <f>17.881 * CHOOSE(CONTROL!$C$32, $C$9, 100%, $E$9)</f>
        <v>17.881</v>
      </c>
    </row>
    <row r="1041" spans="1:15" ht="15" x14ac:dyDescent="0.2">
      <c r="A1041" s="13">
        <v>72533</v>
      </c>
      <c r="B1041" s="9">
        <f>15.5759 * CHOOSE(CONTROL!$C$32, $C$9, 100%, $E$9)</f>
        <v>15.575900000000001</v>
      </c>
      <c r="C1041" s="9">
        <f>15.5759 * CHOOSE(CONTROL!$C$32, $C$9, 100%, $E$9)</f>
        <v>15.575900000000001</v>
      </c>
      <c r="D1041" s="9">
        <f>15.5772 * CHOOSE(CONTROL!$C$32, $C$9, 100%, $E$9)</f>
        <v>15.577199999999999</v>
      </c>
      <c r="E1041" s="11">
        <f>17.4173 * CHOOSE(CONTROL!$C$32, $C$9, 100%, $E$9)</f>
        <v>17.417300000000001</v>
      </c>
      <c r="F1041" s="11">
        <f>17.4173 * CHOOSE(CONTROL!$C$32, $C$9, 100%, $E$9)</f>
        <v>17.417300000000001</v>
      </c>
      <c r="G1041" s="11">
        <f>17.4215 * CHOOSE(CONTROL!$C$32, $C$9, 100%, $E$9)</f>
        <v>17.421500000000002</v>
      </c>
      <c r="H1041" s="11">
        <f>37.1224 * CHOOSE(CONTROL!$C$32, $C$9, 100%, $E$9)</f>
        <v>37.122399999999999</v>
      </c>
      <c r="I1041" s="11">
        <f>37.1266 * CHOOSE(CONTROL!$C$32, $C$9, 100%, $E$9)</f>
        <v>37.126600000000003</v>
      </c>
      <c r="J1041" s="11">
        <f>37.1224 * CHOOSE(CONTROL!$C$32, $C$9, 100%, $E$9)</f>
        <v>37.122399999999999</v>
      </c>
      <c r="K1041" s="11">
        <f>37.1266 * CHOOSE(CONTROL!$C$32, $C$9, 100%, $E$9)</f>
        <v>37.126600000000003</v>
      </c>
      <c r="L1041" s="11">
        <f>17.4173 * CHOOSE(CONTROL!$C$32, $C$9, 100%, $E$9)</f>
        <v>17.417300000000001</v>
      </c>
      <c r="M1041" s="11">
        <f>17.4215 * CHOOSE(CONTROL!$C$32, $C$9, 100%, $E$9)</f>
        <v>17.421500000000002</v>
      </c>
      <c r="N1041" s="11">
        <f>17.4173 * CHOOSE(CONTROL!$C$32, $C$9, 100%, $E$9)</f>
        <v>17.417300000000001</v>
      </c>
      <c r="O1041" s="11">
        <f>17.4215 * CHOOSE(CONTROL!$C$32, $C$9, 100%, $E$9)</f>
        <v>17.421500000000002</v>
      </c>
    </row>
    <row r="1042" spans="1:15" ht="15" x14ac:dyDescent="0.2">
      <c r="A1042" s="13">
        <v>72564</v>
      </c>
      <c r="B1042" s="9">
        <f>15.5729 * CHOOSE(CONTROL!$C$32, $C$9, 100%, $E$9)</f>
        <v>15.572900000000001</v>
      </c>
      <c r="C1042" s="9">
        <f>15.5729 * CHOOSE(CONTROL!$C$32, $C$9, 100%, $E$9)</f>
        <v>15.572900000000001</v>
      </c>
      <c r="D1042" s="9">
        <f>15.5741 * CHOOSE(CONTROL!$C$32, $C$9, 100%, $E$9)</f>
        <v>15.5741</v>
      </c>
      <c r="E1042" s="11">
        <f>17.3636 * CHOOSE(CONTROL!$C$32, $C$9, 100%, $E$9)</f>
        <v>17.363600000000002</v>
      </c>
      <c r="F1042" s="11">
        <f>17.3636 * CHOOSE(CONTROL!$C$32, $C$9, 100%, $E$9)</f>
        <v>17.363600000000002</v>
      </c>
      <c r="G1042" s="11">
        <f>17.3678 * CHOOSE(CONTROL!$C$32, $C$9, 100%, $E$9)</f>
        <v>17.367799999999999</v>
      </c>
      <c r="H1042" s="11">
        <f>37.1997 * CHOOSE(CONTROL!$C$32, $C$9, 100%, $E$9)</f>
        <v>37.1997</v>
      </c>
      <c r="I1042" s="11">
        <f>37.2039 * CHOOSE(CONTROL!$C$32, $C$9, 100%, $E$9)</f>
        <v>37.203899999999997</v>
      </c>
      <c r="J1042" s="11">
        <f>37.1997 * CHOOSE(CONTROL!$C$32, $C$9, 100%, $E$9)</f>
        <v>37.1997</v>
      </c>
      <c r="K1042" s="11">
        <f>37.2039 * CHOOSE(CONTROL!$C$32, $C$9, 100%, $E$9)</f>
        <v>37.203899999999997</v>
      </c>
      <c r="L1042" s="11">
        <f>17.3636 * CHOOSE(CONTROL!$C$32, $C$9, 100%, $E$9)</f>
        <v>17.363600000000002</v>
      </c>
      <c r="M1042" s="11">
        <f>17.3678 * CHOOSE(CONTROL!$C$32, $C$9, 100%, $E$9)</f>
        <v>17.367799999999999</v>
      </c>
      <c r="N1042" s="11">
        <f>17.3636 * CHOOSE(CONTROL!$C$32, $C$9, 100%, $E$9)</f>
        <v>17.363600000000002</v>
      </c>
      <c r="O1042" s="11">
        <f>17.3678 * CHOOSE(CONTROL!$C$32, $C$9, 100%, $E$9)</f>
        <v>17.367799999999999</v>
      </c>
    </row>
    <row r="1043" spans="1:15" ht="15" x14ac:dyDescent="0.2">
      <c r="A1043" s="13">
        <v>72594</v>
      </c>
      <c r="B1043" s="9">
        <f>15.6112 * CHOOSE(CONTROL!$C$32, $C$9, 100%, $E$9)</f>
        <v>15.6112</v>
      </c>
      <c r="C1043" s="9">
        <f>15.6112 * CHOOSE(CONTROL!$C$32, $C$9, 100%, $E$9)</f>
        <v>15.6112</v>
      </c>
      <c r="D1043" s="9">
        <f>15.6122 * CHOOSE(CONTROL!$C$32, $C$9, 100%, $E$9)</f>
        <v>15.6122</v>
      </c>
      <c r="E1043" s="11">
        <f>17.5565 * CHOOSE(CONTROL!$C$32, $C$9, 100%, $E$9)</f>
        <v>17.5565</v>
      </c>
      <c r="F1043" s="11">
        <f>17.5565 * CHOOSE(CONTROL!$C$32, $C$9, 100%, $E$9)</f>
        <v>17.5565</v>
      </c>
      <c r="G1043" s="11">
        <f>17.5597 * CHOOSE(CONTROL!$C$32, $C$9, 100%, $E$9)</f>
        <v>17.559699999999999</v>
      </c>
      <c r="H1043" s="11">
        <f>37.2772 * CHOOSE(CONTROL!$C$32, $C$9, 100%, $E$9)</f>
        <v>37.277200000000001</v>
      </c>
      <c r="I1043" s="11">
        <f>37.2805 * CHOOSE(CONTROL!$C$32, $C$9, 100%, $E$9)</f>
        <v>37.280500000000004</v>
      </c>
      <c r="J1043" s="11">
        <f>37.2772 * CHOOSE(CONTROL!$C$32, $C$9, 100%, $E$9)</f>
        <v>37.277200000000001</v>
      </c>
      <c r="K1043" s="11">
        <f>37.2805 * CHOOSE(CONTROL!$C$32, $C$9, 100%, $E$9)</f>
        <v>37.280500000000004</v>
      </c>
      <c r="L1043" s="11">
        <f>17.5565 * CHOOSE(CONTROL!$C$32, $C$9, 100%, $E$9)</f>
        <v>17.5565</v>
      </c>
      <c r="M1043" s="11">
        <f>17.5597 * CHOOSE(CONTROL!$C$32, $C$9, 100%, $E$9)</f>
        <v>17.559699999999999</v>
      </c>
      <c r="N1043" s="11">
        <f>17.5565 * CHOOSE(CONTROL!$C$32, $C$9, 100%, $E$9)</f>
        <v>17.5565</v>
      </c>
      <c r="O1043" s="11">
        <f>17.5597 * CHOOSE(CONTROL!$C$32, $C$9, 100%, $E$9)</f>
        <v>17.559699999999999</v>
      </c>
    </row>
    <row r="1044" spans="1:15" ht="15" x14ac:dyDescent="0.2">
      <c r="A1044" s="13">
        <v>72625</v>
      </c>
      <c r="B1044" s="9">
        <f>15.6143 * CHOOSE(CONTROL!$C$32, $C$9, 100%, $E$9)</f>
        <v>15.6143</v>
      </c>
      <c r="C1044" s="9">
        <f>15.6143 * CHOOSE(CONTROL!$C$32, $C$9, 100%, $E$9)</f>
        <v>15.6143</v>
      </c>
      <c r="D1044" s="9">
        <f>15.6152 * CHOOSE(CONTROL!$C$32, $C$9, 100%, $E$9)</f>
        <v>15.6152</v>
      </c>
      <c r="E1044" s="11">
        <f>17.6617 * CHOOSE(CONTROL!$C$32, $C$9, 100%, $E$9)</f>
        <v>17.6617</v>
      </c>
      <c r="F1044" s="11">
        <f>17.6617 * CHOOSE(CONTROL!$C$32, $C$9, 100%, $E$9)</f>
        <v>17.6617</v>
      </c>
      <c r="G1044" s="11">
        <f>17.6649 * CHOOSE(CONTROL!$C$32, $C$9, 100%, $E$9)</f>
        <v>17.664899999999999</v>
      </c>
      <c r="H1044" s="11">
        <f>37.3549 * CHOOSE(CONTROL!$C$32, $C$9, 100%, $E$9)</f>
        <v>37.354900000000001</v>
      </c>
      <c r="I1044" s="11">
        <f>37.3581 * CHOOSE(CONTROL!$C$32, $C$9, 100%, $E$9)</f>
        <v>37.3581</v>
      </c>
      <c r="J1044" s="11">
        <f>37.3549 * CHOOSE(CONTROL!$C$32, $C$9, 100%, $E$9)</f>
        <v>37.354900000000001</v>
      </c>
      <c r="K1044" s="11">
        <f>37.3581 * CHOOSE(CONTROL!$C$32, $C$9, 100%, $E$9)</f>
        <v>37.3581</v>
      </c>
      <c r="L1044" s="11">
        <f>17.6617 * CHOOSE(CONTROL!$C$32, $C$9, 100%, $E$9)</f>
        <v>17.6617</v>
      </c>
      <c r="M1044" s="11">
        <f>17.6649 * CHOOSE(CONTROL!$C$32, $C$9, 100%, $E$9)</f>
        <v>17.664899999999999</v>
      </c>
      <c r="N1044" s="11">
        <f>17.6617 * CHOOSE(CONTROL!$C$32, $C$9, 100%, $E$9)</f>
        <v>17.6617</v>
      </c>
      <c r="O1044" s="11">
        <f>17.6649 * CHOOSE(CONTROL!$C$32, $C$9, 100%, $E$9)</f>
        <v>17.664899999999999</v>
      </c>
    </row>
    <row r="1045" spans="1:15" ht="15" x14ac:dyDescent="0.2">
      <c r="A1045" s="13">
        <v>72655</v>
      </c>
      <c r="B1045" s="9">
        <f>15.6143 * CHOOSE(CONTROL!$C$32, $C$9, 100%, $E$9)</f>
        <v>15.6143</v>
      </c>
      <c r="C1045" s="9">
        <f>15.6143 * CHOOSE(CONTROL!$C$32, $C$9, 100%, $E$9)</f>
        <v>15.6143</v>
      </c>
      <c r="D1045" s="9">
        <f>15.6152 * CHOOSE(CONTROL!$C$32, $C$9, 100%, $E$9)</f>
        <v>15.6152</v>
      </c>
      <c r="E1045" s="11">
        <f>17.4039 * CHOOSE(CONTROL!$C$32, $C$9, 100%, $E$9)</f>
        <v>17.4039</v>
      </c>
      <c r="F1045" s="11">
        <f>17.4039 * CHOOSE(CONTROL!$C$32, $C$9, 100%, $E$9)</f>
        <v>17.4039</v>
      </c>
      <c r="G1045" s="11">
        <f>17.4071 * CHOOSE(CONTROL!$C$32, $C$9, 100%, $E$9)</f>
        <v>17.4071</v>
      </c>
      <c r="H1045" s="11">
        <f>37.4327 * CHOOSE(CONTROL!$C$32, $C$9, 100%, $E$9)</f>
        <v>37.432699999999997</v>
      </c>
      <c r="I1045" s="11">
        <f>37.4359 * CHOOSE(CONTROL!$C$32, $C$9, 100%, $E$9)</f>
        <v>37.435899999999997</v>
      </c>
      <c r="J1045" s="11">
        <f>37.4327 * CHOOSE(CONTROL!$C$32, $C$9, 100%, $E$9)</f>
        <v>37.432699999999997</v>
      </c>
      <c r="K1045" s="11">
        <f>37.4359 * CHOOSE(CONTROL!$C$32, $C$9, 100%, $E$9)</f>
        <v>37.435899999999997</v>
      </c>
      <c r="L1045" s="11">
        <f>17.4039 * CHOOSE(CONTROL!$C$32, $C$9, 100%, $E$9)</f>
        <v>17.4039</v>
      </c>
      <c r="M1045" s="11">
        <f>17.4071 * CHOOSE(CONTROL!$C$32, $C$9, 100%, $E$9)</f>
        <v>17.4071</v>
      </c>
      <c r="N1045" s="11">
        <f>17.4039 * CHOOSE(CONTROL!$C$32, $C$9, 100%, $E$9)</f>
        <v>17.4039</v>
      </c>
      <c r="O1045" s="11">
        <f>17.4071 * CHOOSE(CONTROL!$C$32, $C$9, 100%, $E$9)</f>
        <v>17.4071</v>
      </c>
    </row>
    <row r="1046" spans="1:15" ht="15" x14ac:dyDescent="0.2">
      <c r="A1046" s="13">
        <v>72686</v>
      </c>
      <c r="B1046" s="9">
        <f>15.5645 * CHOOSE(CONTROL!$C$32, $C$9, 100%, $E$9)</f>
        <v>15.564500000000001</v>
      </c>
      <c r="C1046" s="9">
        <f>15.5645 * CHOOSE(CONTROL!$C$32, $C$9, 100%, $E$9)</f>
        <v>15.564500000000001</v>
      </c>
      <c r="D1046" s="9">
        <f>15.5654 * CHOOSE(CONTROL!$C$32, $C$9, 100%, $E$9)</f>
        <v>15.5654</v>
      </c>
      <c r="E1046" s="11">
        <f>17.5331 * CHOOSE(CONTROL!$C$32, $C$9, 100%, $E$9)</f>
        <v>17.533100000000001</v>
      </c>
      <c r="F1046" s="11">
        <f>17.5331 * CHOOSE(CONTROL!$C$32, $C$9, 100%, $E$9)</f>
        <v>17.533100000000001</v>
      </c>
      <c r="G1046" s="11">
        <f>17.5364 * CHOOSE(CONTROL!$C$32, $C$9, 100%, $E$9)</f>
        <v>17.5364</v>
      </c>
      <c r="H1046" s="11">
        <f>37.0573 * CHOOSE(CONTROL!$C$32, $C$9, 100%, $E$9)</f>
        <v>37.057299999999998</v>
      </c>
      <c r="I1046" s="11">
        <f>37.0605 * CHOOSE(CONTROL!$C$32, $C$9, 100%, $E$9)</f>
        <v>37.060499999999998</v>
      </c>
      <c r="J1046" s="11">
        <f>37.0573 * CHOOSE(CONTROL!$C$32, $C$9, 100%, $E$9)</f>
        <v>37.057299999999998</v>
      </c>
      <c r="K1046" s="11">
        <f>37.0605 * CHOOSE(CONTROL!$C$32, $C$9, 100%, $E$9)</f>
        <v>37.060499999999998</v>
      </c>
      <c r="L1046" s="11">
        <f>17.5331 * CHOOSE(CONTROL!$C$32, $C$9, 100%, $E$9)</f>
        <v>17.533100000000001</v>
      </c>
      <c r="M1046" s="11">
        <f>17.5364 * CHOOSE(CONTROL!$C$32, $C$9, 100%, $E$9)</f>
        <v>17.5364</v>
      </c>
      <c r="N1046" s="11">
        <f>17.5331 * CHOOSE(CONTROL!$C$32, $C$9, 100%, $E$9)</f>
        <v>17.533100000000001</v>
      </c>
      <c r="O1046" s="11">
        <f>17.5364 * CHOOSE(CONTROL!$C$32, $C$9, 100%, $E$9)</f>
        <v>17.5364</v>
      </c>
    </row>
    <row r="1047" spans="1:15" ht="15" x14ac:dyDescent="0.2">
      <c r="A1047" s="13">
        <v>72717</v>
      </c>
      <c r="B1047" s="9">
        <f>15.5614 * CHOOSE(CONTROL!$C$32, $C$9, 100%, $E$9)</f>
        <v>15.561400000000001</v>
      </c>
      <c r="C1047" s="9">
        <f>15.5614 * CHOOSE(CONTROL!$C$32, $C$9, 100%, $E$9)</f>
        <v>15.561400000000001</v>
      </c>
      <c r="D1047" s="9">
        <f>15.5624 * CHOOSE(CONTROL!$C$32, $C$9, 100%, $E$9)</f>
        <v>15.5624</v>
      </c>
      <c r="E1047" s="11">
        <f>17.0366 * CHOOSE(CONTROL!$C$32, $C$9, 100%, $E$9)</f>
        <v>17.0366</v>
      </c>
      <c r="F1047" s="11">
        <f>17.0366 * CHOOSE(CONTROL!$C$32, $C$9, 100%, $E$9)</f>
        <v>17.0366</v>
      </c>
      <c r="G1047" s="11">
        <f>17.0399 * CHOOSE(CONTROL!$C$32, $C$9, 100%, $E$9)</f>
        <v>17.039899999999999</v>
      </c>
      <c r="H1047" s="11">
        <f>37.1345 * CHOOSE(CONTROL!$C$32, $C$9, 100%, $E$9)</f>
        <v>37.134500000000003</v>
      </c>
      <c r="I1047" s="11">
        <f>37.1377 * CHOOSE(CONTROL!$C$32, $C$9, 100%, $E$9)</f>
        <v>37.137700000000002</v>
      </c>
      <c r="J1047" s="11">
        <f>37.1345 * CHOOSE(CONTROL!$C$32, $C$9, 100%, $E$9)</f>
        <v>37.134500000000003</v>
      </c>
      <c r="K1047" s="11">
        <f>37.1377 * CHOOSE(CONTROL!$C$32, $C$9, 100%, $E$9)</f>
        <v>37.137700000000002</v>
      </c>
      <c r="L1047" s="11">
        <f>17.0366 * CHOOSE(CONTROL!$C$32, $C$9, 100%, $E$9)</f>
        <v>17.0366</v>
      </c>
      <c r="M1047" s="11">
        <f>17.0399 * CHOOSE(CONTROL!$C$32, $C$9, 100%, $E$9)</f>
        <v>17.039899999999999</v>
      </c>
      <c r="N1047" s="11">
        <f>17.0366 * CHOOSE(CONTROL!$C$32, $C$9, 100%, $E$9)</f>
        <v>17.0366</v>
      </c>
      <c r="O1047" s="11">
        <f>17.0399 * CHOOSE(CONTROL!$C$32, $C$9, 100%, $E$9)</f>
        <v>17.039899999999999</v>
      </c>
    </row>
    <row r="1048" spans="1:15" ht="15" x14ac:dyDescent="0.2">
      <c r="A1048" s="13">
        <v>72745</v>
      </c>
      <c r="B1048" s="9">
        <f>15.5584 * CHOOSE(CONTROL!$C$32, $C$9, 100%, $E$9)</f>
        <v>15.558400000000001</v>
      </c>
      <c r="C1048" s="9">
        <f>15.5584 * CHOOSE(CONTROL!$C$32, $C$9, 100%, $E$9)</f>
        <v>15.558400000000001</v>
      </c>
      <c r="D1048" s="9">
        <f>15.5593 * CHOOSE(CONTROL!$C$32, $C$9, 100%, $E$9)</f>
        <v>15.5593</v>
      </c>
      <c r="E1048" s="11">
        <f>17.4243 * CHOOSE(CONTROL!$C$32, $C$9, 100%, $E$9)</f>
        <v>17.424299999999999</v>
      </c>
      <c r="F1048" s="11">
        <f>17.4243 * CHOOSE(CONTROL!$C$32, $C$9, 100%, $E$9)</f>
        <v>17.424299999999999</v>
      </c>
      <c r="G1048" s="11">
        <f>17.4275 * CHOOSE(CONTROL!$C$32, $C$9, 100%, $E$9)</f>
        <v>17.427499999999998</v>
      </c>
      <c r="H1048" s="11">
        <f>37.2119 * CHOOSE(CONTROL!$C$32, $C$9, 100%, $E$9)</f>
        <v>37.2119</v>
      </c>
      <c r="I1048" s="11">
        <f>37.2151 * CHOOSE(CONTROL!$C$32, $C$9, 100%, $E$9)</f>
        <v>37.2151</v>
      </c>
      <c r="J1048" s="11">
        <f>37.2119 * CHOOSE(CONTROL!$C$32, $C$9, 100%, $E$9)</f>
        <v>37.2119</v>
      </c>
      <c r="K1048" s="11">
        <f>37.2151 * CHOOSE(CONTROL!$C$32, $C$9, 100%, $E$9)</f>
        <v>37.2151</v>
      </c>
      <c r="L1048" s="11">
        <f>17.4243 * CHOOSE(CONTROL!$C$32, $C$9, 100%, $E$9)</f>
        <v>17.424299999999999</v>
      </c>
      <c r="M1048" s="11">
        <f>17.4275 * CHOOSE(CONTROL!$C$32, $C$9, 100%, $E$9)</f>
        <v>17.427499999999998</v>
      </c>
      <c r="N1048" s="11">
        <f>17.4243 * CHOOSE(CONTROL!$C$32, $C$9, 100%, $E$9)</f>
        <v>17.424299999999999</v>
      </c>
      <c r="O1048" s="11">
        <f>17.4275 * CHOOSE(CONTROL!$C$32, $C$9, 100%, $E$9)</f>
        <v>17.427499999999998</v>
      </c>
    </row>
    <row r="1049" spans="1:15" ht="15" x14ac:dyDescent="0.2">
      <c r="A1049" s="13">
        <v>72776</v>
      </c>
      <c r="B1049" s="9">
        <f>15.5673 * CHOOSE(CONTROL!$C$32, $C$9, 100%, $E$9)</f>
        <v>15.567299999999999</v>
      </c>
      <c r="C1049" s="9">
        <f>15.5673 * CHOOSE(CONTROL!$C$32, $C$9, 100%, $E$9)</f>
        <v>15.567299999999999</v>
      </c>
      <c r="D1049" s="9">
        <f>15.5682 * CHOOSE(CONTROL!$C$32, $C$9, 100%, $E$9)</f>
        <v>15.568199999999999</v>
      </c>
      <c r="E1049" s="11">
        <f>17.8386 * CHOOSE(CONTROL!$C$32, $C$9, 100%, $E$9)</f>
        <v>17.8386</v>
      </c>
      <c r="F1049" s="11">
        <f>17.8386 * CHOOSE(CONTROL!$C$32, $C$9, 100%, $E$9)</f>
        <v>17.8386</v>
      </c>
      <c r="G1049" s="11">
        <f>17.8418 * CHOOSE(CONTROL!$C$32, $C$9, 100%, $E$9)</f>
        <v>17.841799999999999</v>
      </c>
      <c r="H1049" s="11">
        <f>37.2894 * CHOOSE(CONTROL!$C$32, $C$9, 100%, $E$9)</f>
        <v>37.289400000000001</v>
      </c>
      <c r="I1049" s="11">
        <f>37.2926 * CHOOSE(CONTROL!$C$32, $C$9, 100%, $E$9)</f>
        <v>37.2926</v>
      </c>
      <c r="J1049" s="11">
        <f>37.2894 * CHOOSE(CONTROL!$C$32, $C$9, 100%, $E$9)</f>
        <v>37.289400000000001</v>
      </c>
      <c r="K1049" s="11">
        <f>37.2926 * CHOOSE(CONTROL!$C$32, $C$9, 100%, $E$9)</f>
        <v>37.2926</v>
      </c>
      <c r="L1049" s="11">
        <f>17.8386 * CHOOSE(CONTROL!$C$32, $C$9, 100%, $E$9)</f>
        <v>17.8386</v>
      </c>
      <c r="M1049" s="11">
        <f>17.8418 * CHOOSE(CONTROL!$C$32, $C$9, 100%, $E$9)</f>
        <v>17.841799999999999</v>
      </c>
      <c r="N1049" s="11">
        <f>17.8386 * CHOOSE(CONTROL!$C$32, $C$9, 100%, $E$9)</f>
        <v>17.8386</v>
      </c>
      <c r="O1049" s="11">
        <f>17.8418 * CHOOSE(CONTROL!$C$32, $C$9, 100%, $E$9)</f>
        <v>17.841799999999999</v>
      </c>
    </row>
    <row r="1050" spans="1:15" ht="15" x14ac:dyDescent="0.2">
      <c r="A1050" s="13">
        <v>72806</v>
      </c>
      <c r="B1050" s="9">
        <f>15.5673 * CHOOSE(CONTROL!$C$32, $C$9, 100%, $E$9)</f>
        <v>15.567299999999999</v>
      </c>
      <c r="C1050" s="9">
        <f>15.5673 * CHOOSE(CONTROL!$C$32, $C$9, 100%, $E$9)</f>
        <v>15.567299999999999</v>
      </c>
      <c r="D1050" s="9">
        <f>15.5685 * CHOOSE(CONTROL!$C$32, $C$9, 100%, $E$9)</f>
        <v>15.5685</v>
      </c>
      <c r="E1050" s="11">
        <f>17.9956 * CHOOSE(CONTROL!$C$32, $C$9, 100%, $E$9)</f>
        <v>17.9956</v>
      </c>
      <c r="F1050" s="11">
        <f>17.9956 * CHOOSE(CONTROL!$C$32, $C$9, 100%, $E$9)</f>
        <v>17.9956</v>
      </c>
      <c r="G1050" s="11">
        <f>17.9998 * CHOOSE(CONTROL!$C$32, $C$9, 100%, $E$9)</f>
        <v>17.9998</v>
      </c>
      <c r="H1050" s="11">
        <f>37.3671 * CHOOSE(CONTROL!$C$32, $C$9, 100%, $E$9)</f>
        <v>37.367100000000001</v>
      </c>
      <c r="I1050" s="11">
        <f>37.3713 * CHOOSE(CONTROL!$C$32, $C$9, 100%, $E$9)</f>
        <v>37.371299999999998</v>
      </c>
      <c r="J1050" s="11">
        <f>37.3671 * CHOOSE(CONTROL!$C$32, $C$9, 100%, $E$9)</f>
        <v>37.367100000000001</v>
      </c>
      <c r="K1050" s="11">
        <f>37.3713 * CHOOSE(CONTROL!$C$32, $C$9, 100%, $E$9)</f>
        <v>37.371299999999998</v>
      </c>
      <c r="L1050" s="11">
        <f>17.9956 * CHOOSE(CONTROL!$C$32, $C$9, 100%, $E$9)</f>
        <v>17.9956</v>
      </c>
      <c r="M1050" s="11">
        <f>17.9998 * CHOOSE(CONTROL!$C$32, $C$9, 100%, $E$9)</f>
        <v>17.9998</v>
      </c>
      <c r="N1050" s="11">
        <f>17.9956 * CHOOSE(CONTROL!$C$32, $C$9, 100%, $E$9)</f>
        <v>17.9956</v>
      </c>
      <c r="O1050" s="11">
        <f>17.9998 * CHOOSE(CONTROL!$C$32, $C$9, 100%, $E$9)</f>
        <v>17.9998</v>
      </c>
    </row>
    <row r="1051" spans="1:15" ht="15" x14ac:dyDescent="0.2">
      <c r="A1051" s="13">
        <v>72837</v>
      </c>
      <c r="B1051" s="9">
        <f>15.5733 * CHOOSE(CONTROL!$C$32, $C$9, 100%, $E$9)</f>
        <v>15.5733</v>
      </c>
      <c r="C1051" s="9">
        <f>15.5733 * CHOOSE(CONTROL!$C$32, $C$9, 100%, $E$9)</f>
        <v>15.5733</v>
      </c>
      <c r="D1051" s="9">
        <f>15.5746 * CHOOSE(CONTROL!$C$32, $C$9, 100%, $E$9)</f>
        <v>15.5746</v>
      </c>
      <c r="E1051" s="11">
        <f>17.8428 * CHOOSE(CONTROL!$C$32, $C$9, 100%, $E$9)</f>
        <v>17.8428</v>
      </c>
      <c r="F1051" s="11">
        <f>17.8428 * CHOOSE(CONTROL!$C$32, $C$9, 100%, $E$9)</f>
        <v>17.8428</v>
      </c>
      <c r="G1051" s="11">
        <f>17.847 * CHOOSE(CONTROL!$C$32, $C$9, 100%, $E$9)</f>
        <v>17.847000000000001</v>
      </c>
      <c r="H1051" s="11">
        <f>37.4449 * CHOOSE(CONTROL!$C$32, $C$9, 100%, $E$9)</f>
        <v>37.444899999999997</v>
      </c>
      <c r="I1051" s="11">
        <f>37.4491 * CHOOSE(CONTROL!$C$32, $C$9, 100%, $E$9)</f>
        <v>37.449100000000001</v>
      </c>
      <c r="J1051" s="11">
        <f>37.4449 * CHOOSE(CONTROL!$C$32, $C$9, 100%, $E$9)</f>
        <v>37.444899999999997</v>
      </c>
      <c r="K1051" s="11">
        <f>37.4491 * CHOOSE(CONTROL!$C$32, $C$9, 100%, $E$9)</f>
        <v>37.449100000000001</v>
      </c>
      <c r="L1051" s="11">
        <f>17.8428 * CHOOSE(CONTROL!$C$32, $C$9, 100%, $E$9)</f>
        <v>17.8428</v>
      </c>
      <c r="M1051" s="11">
        <f>17.847 * CHOOSE(CONTROL!$C$32, $C$9, 100%, $E$9)</f>
        <v>17.847000000000001</v>
      </c>
      <c r="N1051" s="11">
        <f>17.8428 * CHOOSE(CONTROL!$C$32, $C$9, 100%, $E$9)</f>
        <v>17.8428</v>
      </c>
      <c r="O1051" s="11">
        <f>17.847 * CHOOSE(CONTROL!$C$32, $C$9, 100%, $E$9)</f>
        <v>17.847000000000001</v>
      </c>
    </row>
    <row r="1052" spans="1:15" ht="15" x14ac:dyDescent="0.2">
      <c r="A1052" s="13">
        <v>72867</v>
      </c>
      <c r="B1052" s="9">
        <f>15.7588 * CHOOSE(CONTROL!$C$32, $C$9, 100%, $E$9)</f>
        <v>15.758800000000001</v>
      </c>
      <c r="C1052" s="9">
        <f>15.7588 * CHOOSE(CONTROL!$C$32, $C$9, 100%, $E$9)</f>
        <v>15.758800000000001</v>
      </c>
      <c r="D1052" s="9">
        <f>15.7601 * CHOOSE(CONTROL!$C$32, $C$9, 100%, $E$9)</f>
        <v>15.7601</v>
      </c>
      <c r="E1052" s="11">
        <f>18.0969 * CHOOSE(CONTROL!$C$32, $C$9, 100%, $E$9)</f>
        <v>18.096900000000002</v>
      </c>
      <c r="F1052" s="11">
        <f>18.0969 * CHOOSE(CONTROL!$C$32, $C$9, 100%, $E$9)</f>
        <v>18.096900000000002</v>
      </c>
      <c r="G1052" s="11">
        <f>18.1011 * CHOOSE(CONTROL!$C$32, $C$9, 100%, $E$9)</f>
        <v>18.101099999999999</v>
      </c>
      <c r="H1052" s="11">
        <f>37.5229 * CHOOSE(CONTROL!$C$32, $C$9, 100%, $E$9)</f>
        <v>37.5229</v>
      </c>
      <c r="I1052" s="11">
        <f>37.5272 * CHOOSE(CONTROL!$C$32, $C$9, 100%, $E$9)</f>
        <v>37.527200000000001</v>
      </c>
      <c r="J1052" s="11">
        <f>37.5229 * CHOOSE(CONTROL!$C$32, $C$9, 100%, $E$9)</f>
        <v>37.5229</v>
      </c>
      <c r="K1052" s="11">
        <f>37.5272 * CHOOSE(CONTROL!$C$32, $C$9, 100%, $E$9)</f>
        <v>37.527200000000001</v>
      </c>
      <c r="L1052" s="11">
        <f>18.0969 * CHOOSE(CONTROL!$C$32, $C$9, 100%, $E$9)</f>
        <v>18.096900000000002</v>
      </c>
      <c r="M1052" s="11">
        <f>18.1011 * CHOOSE(CONTROL!$C$32, $C$9, 100%, $E$9)</f>
        <v>18.101099999999999</v>
      </c>
      <c r="N1052" s="11">
        <f>18.0969 * CHOOSE(CONTROL!$C$32, $C$9, 100%, $E$9)</f>
        <v>18.096900000000002</v>
      </c>
      <c r="O1052" s="11">
        <f>18.1011 * CHOOSE(CONTROL!$C$32, $C$9, 100%, $E$9)</f>
        <v>18.101099999999999</v>
      </c>
    </row>
    <row r="1053" spans="1:15" ht="15" x14ac:dyDescent="0.2">
      <c r="A1053" s="13">
        <v>72898</v>
      </c>
      <c r="B1053" s="9">
        <f>15.7655 * CHOOSE(CONTROL!$C$32, $C$9, 100%, $E$9)</f>
        <v>15.765499999999999</v>
      </c>
      <c r="C1053" s="9">
        <f>15.7655 * CHOOSE(CONTROL!$C$32, $C$9, 100%, $E$9)</f>
        <v>15.765499999999999</v>
      </c>
      <c r="D1053" s="9">
        <f>15.7668 * CHOOSE(CONTROL!$C$32, $C$9, 100%, $E$9)</f>
        <v>15.7668</v>
      </c>
      <c r="E1053" s="11">
        <f>17.6307 * CHOOSE(CONTROL!$C$32, $C$9, 100%, $E$9)</f>
        <v>17.630700000000001</v>
      </c>
      <c r="F1053" s="11">
        <f>17.6307 * CHOOSE(CONTROL!$C$32, $C$9, 100%, $E$9)</f>
        <v>17.630700000000001</v>
      </c>
      <c r="G1053" s="11">
        <f>17.6349 * CHOOSE(CONTROL!$C$32, $C$9, 100%, $E$9)</f>
        <v>17.634899999999998</v>
      </c>
      <c r="H1053" s="11">
        <f>37.6011 * CHOOSE(CONTROL!$C$32, $C$9, 100%, $E$9)</f>
        <v>37.601100000000002</v>
      </c>
      <c r="I1053" s="11">
        <f>37.6053 * CHOOSE(CONTROL!$C$32, $C$9, 100%, $E$9)</f>
        <v>37.6053</v>
      </c>
      <c r="J1053" s="11">
        <f>37.6011 * CHOOSE(CONTROL!$C$32, $C$9, 100%, $E$9)</f>
        <v>37.601100000000002</v>
      </c>
      <c r="K1053" s="11">
        <f>37.6053 * CHOOSE(CONTROL!$C$32, $C$9, 100%, $E$9)</f>
        <v>37.6053</v>
      </c>
      <c r="L1053" s="11">
        <f>17.6307 * CHOOSE(CONTROL!$C$32, $C$9, 100%, $E$9)</f>
        <v>17.630700000000001</v>
      </c>
      <c r="M1053" s="11">
        <f>17.6349 * CHOOSE(CONTROL!$C$32, $C$9, 100%, $E$9)</f>
        <v>17.634899999999998</v>
      </c>
      <c r="N1053" s="11">
        <f>17.6307 * CHOOSE(CONTROL!$C$32, $C$9, 100%, $E$9)</f>
        <v>17.630700000000001</v>
      </c>
      <c r="O1053" s="11">
        <f>17.6349 * CHOOSE(CONTROL!$C$32, $C$9, 100%, $E$9)</f>
        <v>17.634899999999998</v>
      </c>
    </row>
    <row r="1054" spans="1:15" ht="15" x14ac:dyDescent="0.2">
      <c r="A1054" s="13">
        <v>72929</v>
      </c>
      <c r="B1054" s="9">
        <f>15.7625 * CHOOSE(CONTROL!$C$32, $C$9, 100%, $E$9)</f>
        <v>15.762499999999999</v>
      </c>
      <c r="C1054" s="9">
        <f>15.7625 * CHOOSE(CONTROL!$C$32, $C$9, 100%, $E$9)</f>
        <v>15.762499999999999</v>
      </c>
      <c r="D1054" s="9">
        <f>15.7637 * CHOOSE(CONTROL!$C$32, $C$9, 100%, $E$9)</f>
        <v>15.7637</v>
      </c>
      <c r="E1054" s="11">
        <f>17.5763 * CHOOSE(CONTROL!$C$32, $C$9, 100%, $E$9)</f>
        <v>17.5763</v>
      </c>
      <c r="F1054" s="11">
        <f>17.5763 * CHOOSE(CONTROL!$C$32, $C$9, 100%, $E$9)</f>
        <v>17.5763</v>
      </c>
      <c r="G1054" s="11">
        <f>17.5805 * CHOOSE(CONTROL!$C$32, $C$9, 100%, $E$9)</f>
        <v>17.580500000000001</v>
      </c>
      <c r="H1054" s="11">
        <f>37.6795 * CHOOSE(CONTROL!$C$32, $C$9, 100%, $E$9)</f>
        <v>37.679499999999997</v>
      </c>
      <c r="I1054" s="11">
        <f>37.6837 * CHOOSE(CONTROL!$C$32, $C$9, 100%, $E$9)</f>
        <v>37.683700000000002</v>
      </c>
      <c r="J1054" s="11">
        <f>37.6795 * CHOOSE(CONTROL!$C$32, $C$9, 100%, $E$9)</f>
        <v>37.679499999999997</v>
      </c>
      <c r="K1054" s="11">
        <f>37.6837 * CHOOSE(CONTROL!$C$32, $C$9, 100%, $E$9)</f>
        <v>37.683700000000002</v>
      </c>
      <c r="L1054" s="11">
        <f>17.5763 * CHOOSE(CONTROL!$C$32, $C$9, 100%, $E$9)</f>
        <v>17.5763</v>
      </c>
      <c r="M1054" s="11">
        <f>17.5805 * CHOOSE(CONTROL!$C$32, $C$9, 100%, $E$9)</f>
        <v>17.580500000000001</v>
      </c>
      <c r="N1054" s="11">
        <f>17.5763 * CHOOSE(CONTROL!$C$32, $C$9, 100%, $E$9)</f>
        <v>17.5763</v>
      </c>
      <c r="O1054" s="11">
        <f>17.5805 * CHOOSE(CONTROL!$C$32, $C$9, 100%, $E$9)</f>
        <v>17.580500000000001</v>
      </c>
    </row>
    <row r="1055" spans="1:15" ht="15" x14ac:dyDescent="0.2">
      <c r="A1055" s="13">
        <v>72959</v>
      </c>
      <c r="B1055" s="9">
        <f>15.8016 * CHOOSE(CONTROL!$C$32, $C$9, 100%, $E$9)</f>
        <v>15.801600000000001</v>
      </c>
      <c r="C1055" s="9">
        <f>15.8016 * CHOOSE(CONTROL!$C$32, $C$9, 100%, $E$9)</f>
        <v>15.801600000000001</v>
      </c>
      <c r="D1055" s="9">
        <f>15.8025 * CHOOSE(CONTROL!$C$32, $C$9, 100%, $E$9)</f>
        <v>15.8025</v>
      </c>
      <c r="E1055" s="11">
        <f>17.7721 * CHOOSE(CONTROL!$C$32, $C$9, 100%, $E$9)</f>
        <v>17.772099999999998</v>
      </c>
      <c r="F1055" s="11">
        <f>17.7721 * CHOOSE(CONTROL!$C$32, $C$9, 100%, $E$9)</f>
        <v>17.772099999999998</v>
      </c>
      <c r="G1055" s="11">
        <f>17.7754 * CHOOSE(CONTROL!$C$32, $C$9, 100%, $E$9)</f>
        <v>17.775400000000001</v>
      </c>
      <c r="H1055" s="11">
        <f>37.758 * CHOOSE(CONTROL!$C$32, $C$9, 100%, $E$9)</f>
        <v>37.758000000000003</v>
      </c>
      <c r="I1055" s="11">
        <f>37.7612 * CHOOSE(CONTROL!$C$32, $C$9, 100%, $E$9)</f>
        <v>37.761200000000002</v>
      </c>
      <c r="J1055" s="11">
        <f>37.758 * CHOOSE(CONTROL!$C$32, $C$9, 100%, $E$9)</f>
        <v>37.758000000000003</v>
      </c>
      <c r="K1055" s="11">
        <f>37.7612 * CHOOSE(CONTROL!$C$32, $C$9, 100%, $E$9)</f>
        <v>37.761200000000002</v>
      </c>
      <c r="L1055" s="11">
        <f>17.7721 * CHOOSE(CONTROL!$C$32, $C$9, 100%, $E$9)</f>
        <v>17.772099999999998</v>
      </c>
      <c r="M1055" s="11">
        <f>17.7754 * CHOOSE(CONTROL!$C$32, $C$9, 100%, $E$9)</f>
        <v>17.775400000000001</v>
      </c>
      <c r="N1055" s="11">
        <f>17.7721 * CHOOSE(CONTROL!$C$32, $C$9, 100%, $E$9)</f>
        <v>17.772099999999998</v>
      </c>
      <c r="O1055" s="11">
        <f>17.7754 * CHOOSE(CONTROL!$C$32, $C$9, 100%, $E$9)</f>
        <v>17.775400000000001</v>
      </c>
    </row>
    <row r="1056" spans="1:15" ht="15" x14ac:dyDescent="0.2">
      <c r="A1056" s="13">
        <v>72990</v>
      </c>
      <c r="B1056" s="9">
        <f>15.8046 * CHOOSE(CONTROL!$C$32, $C$9, 100%, $E$9)</f>
        <v>15.804600000000001</v>
      </c>
      <c r="C1056" s="9">
        <f>15.8046 * CHOOSE(CONTROL!$C$32, $C$9, 100%, $E$9)</f>
        <v>15.804600000000001</v>
      </c>
      <c r="D1056" s="9">
        <f>15.8055 * CHOOSE(CONTROL!$C$32, $C$9, 100%, $E$9)</f>
        <v>15.8055</v>
      </c>
      <c r="E1056" s="11">
        <f>17.8789 * CHOOSE(CONTROL!$C$32, $C$9, 100%, $E$9)</f>
        <v>17.878900000000002</v>
      </c>
      <c r="F1056" s="11">
        <f>17.8789 * CHOOSE(CONTROL!$C$32, $C$9, 100%, $E$9)</f>
        <v>17.878900000000002</v>
      </c>
      <c r="G1056" s="11">
        <f>17.8821 * CHOOSE(CONTROL!$C$32, $C$9, 100%, $E$9)</f>
        <v>17.882100000000001</v>
      </c>
      <c r="H1056" s="11">
        <f>37.8366 * CHOOSE(CONTROL!$C$32, $C$9, 100%, $E$9)</f>
        <v>37.836599999999997</v>
      </c>
      <c r="I1056" s="11">
        <f>37.8398 * CHOOSE(CONTROL!$C$32, $C$9, 100%, $E$9)</f>
        <v>37.839799999999997</v>
      </c>
      <c r="J1056" s="11">
        <f>37.8366 * CHOOSE(CONTROL!$C$32, $C$9, 100%, $E$9)</f>
        <v>37.836599999999997</v>
      </c>
      <c r="K1056" s="11">
        <f>37.8398 * CHOOSE(CONTROL!$C$32, $C$9, 100%, $E$9)</f>
        <v>37.839799999999997</v>
      </c>
      <c r="L1056" s="11">
        <f>17.8789 * CHOOSE(CONTROL!$C$32, $C$9, 100%, $E$9)</f>
        <v>17.878900000000002</v>
      </c>
      <c r="M1056" s="11">
        <f>17.8821 * CHOOSE(CONTROL!$C$32, $C$9, 100%, $E$9)</f>
        <v>17.882100000000001</v>
      </c>
      <c r="N1056" s="11">
        <f>17.8789 * CHOOSE(CONTROL!$C$32, $C$9, 100%, $E$9)</f>
        <v>17.878900000000002</v>
      </c>
      <c r="O1056" s="11">
        <f>17.8821 * CHOOSE(CONTROL!$C$32, $C$9, 100%, $E$9)</f>
        <v>17.882100000000001</v>
      </c>
    </row>
    <row r="1057" spans="1:15" ht="15" x14ac:dyDescent="0.2">
      <c r="A1057" s="13">
        <v>73020</v>
      </c>
      <c r="B1057" s="9">
        <f>15.8046 * CHOOSE(CONTROL!$C$32, $C$9, 100%, $E$9)</f>
        <v>15.804600000000001</v>
      </c>
      <c r="C1057" s="9">
        <f>15.8046 * CHOOSE(CONTROL!$C$32, $C$9, 100%, $E$9)</f>
        <v>15.804600000000001</v>
      </c>
      <c r="D1057" s="9">
        <f>15.8055 * CHOOSE(CONTROL!$C$32, $C$9, 100%, $E$9)</f>
        <v>15.8055</v>
      </c>
      <c r="E1057" s="11">
        <f>17.6173 * CHOOSE(CONTROL!$C$32, $C$9, 100%, $E$9)</f>
        <v>17.6173</v>
      </c>
      <c r="F1057" s="11">
        <f>17.6173 * CHOOSE(CONTROL!$C$32, $C$9, 100%, $E$9)</f>
        <v>17.6173</v>
      </c>
      <c r="G1057" s="11">
        <f>17.6205 * CHOOSE(CONTROL!$C$32, $C$9, 100%, $E$9)</f>
        <v>17.6205</v>
      </c>
      <c r="H1057" s="11">
        <f>37.9154 * CHOOSE(CONTROL!$C$32, $C$9, 100%, $E$9)</f>
        <v>37.915399999999998</v>
      </c>
      <c r="I1057" s="11">
        <f>37.9187 * CHOOSE(CONTROL!$C$32, $C$9, 100%, $E$9)</f>
        <v>37.918700000000001</v>
      </c>
      <c r="J1057" s="11">
        <f>37.9154 * CHOOSE(CONTROL!$C$32, $C$9, 100%, $E$9)</f>
        <v>37.915399999999998</v>
      </c>
      <c r="K1057" s="11">
        <f>37.9187 * CHOOSE(CONTROL!$C$32, $C$9, 100%, $E$9)</f>
        <v>37.918700000000001</v>
      </c>
      <c r="L1057" s="11">
        <f>17.6173 * CHOOSE(CONTROL!$C$32, $C$9, 100%, $E$9)</f>
        <v>17.6173</v>
      </c>
      <c r="M1057" s="11">
        <f>17.6205 * CHOOSE(CONTROL!$C$32, $C$9, 100%, $E$9)</f>
        <v>17.6205</v>
      </c>
      <c r="N1057" s="11">
        <f>17.6173 * CHOOSE(CONTROL!$C$32, $C$9, 100%, $E$9)</f>
        <v>17.6173</v>
      </c>
      <c r="O1057" s="11">
        <f>17.6205 * CHOOSE(CONTROL!$C$32, $C$9, 100%, $E$9)</f>
        <v>17.6205</v>
      </c>
    </row>
    <row r="1058" spans="1:15" ht="15" x14ac:dyDescent="0.2">
      <c r="A1058" s="13">
        <v>73051</v>
      </c>
      <c r="B1058" s="9">
        <f>15.7518 * CHOOSE(CONTROL!$C$32, $C$9, 100%, $E$9)</f>
        <v>15.751799999999999</v>
      </c>
      <c r="C1058" s="9">
        <f>15.7518 * CHOOSE(CONTROL!$C$32, $C$9, 100%, $E$9)</f>
        <v>15.751799999999999</v>
      </c>
      <c r="D1058" s="9">
        <f>15.7528 * CHOOSE(CONTROL!$C$32, $C$9, 100%, $E$9)</f>
        <v>15.752800000000001</v>
      </c>
      <c r="E1058" s="11">
        <f>17.7456 * CHOOSE(CONTROL!$C$32, $C$9, 100%, $E$9)</f>
        <v>17.7456</v>
      </c>
      <c r="F1058" s="11">
        <f>17.7456 * CHOOSE(CONTROL!$C$32, $C$9, 100%, $E$9)</f>
        <v>17.7456</v>
      </c>
      <c r="G1058" s="11">
        <f>17.7489 * CHOOSE(CONTROL!$C$32, $C$9, 100%, $E$9)</f>
        <v>17.748899999999999</v>
      </c>
      <c r="H1058" s="11">
        <f>37.5291 * CHOOSE(CONTROL!$C$32, $C$9, 100%, $E$9)</f>
        <v>37.5291</v>
      </c>
      <c r="I1058" s="11">
        <f>37.5323 * CHOOSE(CONTROL!$C$32, $C$9, 100%, $E$9)</f>
        <v>37.532299999999999</v>
      </c>
      <c r="J1058" s="11">
        <f>37.5291 * CHOOSE(CONTROL!$C$32, $C$9, 100%, $E$9)</f>
        <v>37.5291</v>
      </c>
      <c r="K1058" s="11">
        <f>37.5323 * CHOOSE(CONTROL!$C$32, $C$9, 100%, $E$9)</f>
        <v>37.532299999999999</v>
      </c>
      <c r="L1058" s="11">
        <f>17.7456 * CHOOSE(CONTROL!$C$32, $C$9, 100%, $E$9)</f>
        <v>17.7456</v>
      </c>
      <c r="M1058" s="11">
        <f>17.7489 * CHOOSE(CONTROL!$C$32, $C$9, 100%, $E$9)</f>
        <v>17.748899999999999</v>
      </c>
      <c r="N1058" s="11">
        <f>17.7456 * CHOOSE(CONTROL!$C$32, $C$9, 100%, $E$9)</f>
        <v>17.7456</v>
      </c>
      <c r="O1058" s="11">
        <f>17.7489 * CHOOSE(CONTROL!$C$32, $C$9, 100%, $E$9)</f>
        <v>17.748899999999999</v>
      </c>
    </row>
    <row r="1059" spans="1:15" ht="15" x14ac:dyDescent="0.2">
      <c r="A1059" s="13">
        <v>73082</v>
      </c>
      <c r="B1059" s="9">
        <f>15.7488 * CHOOSE(CONTROL!$C$32, $C$9, 100%, $E$9)</f>
        <v>15.748799999999999</v>
      </c>
      <c r="C1059" s="9">
        <f>15.7488 * CHOOSE(CONTROL!$C$32, $C$9, 100%, $E$9)</f>
        <v>15.748799999999999</v>
      </c>
      <c r="D1059" s="9">
        <f>15.7497 * CHOOSE(CONTROL!$C$32, $C$9, 100%, $E$9)</f>
        <v>15.749700000000001</v>
      </c>
      <c r="E1059" s="11">
        <f>17.242 * CHOOSE(CONTROL!$C$32, $C$9, 100%, $E$9)</f>
        <v>17.242000000000001</v>
      </c>
      <c r="F1059" s="11">
        <f>17.242 * CHOOSE(CONTROL!$C$32, $C$9, 100%, $E$9)</f>
        <v>17.242000000000001</v>
      </c>
      <c r="G1059" s="11">
        <f>17.2453 * CHOOSE(CONTROL!$C$32, $C$9, 100%, $E$9)</f>
        <v>17.2453</v>
      </c>
      <c r="H1059" s="11">
        <f>37.6073 * CHOOSE(CONTROL!$C$32, $C$9, 100%, $E$9)</f>
        <v>37.607300000000002</v>
      </c>
      <c r="I1059" s="11">
        <f>37.6105 * CHOOSE(CONTROL!$C$32, $C$9, 100%, $E$9)</f>
        <v>37.610500000000002</v>
      </c>
      <c r="J1059" s="11">
        <f>37.6073 * CHOOSE(CONTROL!$C$32, $C$9, 100%, $E$9)</f>
        <v>37.607300000000002</v>
      </c>
      <c r="K1059" s="11">
        <f>37.6105 * CHOOSE(CONTROL!$C$32, $C$9, 100%, $E$9)</f>
        <v>37.610500000000002</v>
      </c>
      <c r="L1059" s="11">
        <f>17.242 * CHOOSE(CONTROL!$C$32, $C$9, 100%, $E$9)</f>
        <v>17.242000000000001</v>
      </c>
      <c r="M1059" s="11">
        <f>17.2453 * CHOOSE(CONTROL!$C$32, $C$9, 100%, $E$9)</f>
        <v>17.2453</v>
      </c>
      <c r="N1059" s="11">
        <f>17.242 * CHOOSE(CONTROL!$C$32, $C$9, 100%, $E$9)</f>
        <v>17.242000000000001</v>
      </c>
      <c r="O1059" s="11">
        <f>17.2453 * CHOOSE(CONTROL!$C$32, $C$9, 100%, $E$9)</f>
        <v>17.2453</v>
      </c>
    </row>
    <row r="1060" spans="1:15" ht="15" x14ac:dyDescent="0.2">
      <c r="A1060" s="13">
        <v>73110</v>
      </c>
      <c r="B1060" s="9">
        <f>15.7457 * CHOOSE(CONTROL!$C$32, $C$9, 100%, $E$9)</f>
        <v>15.745699999999999</v>
      </c>
      <c r="C1060" s="9">
        <f>15.7457 * CHOOSE(CONTROL!$C$32, $C$9, 100%, $E$9)</f>
        <v>15.745699999999999</v>
      </c>
      <c r="D1060" s="9">
        <f>15.7467 * CHOOSE(CONTROL!$C$32, $C$9, 100%, $E$9)</f>
        <v>15.746700000000001</v>
      </c>
      <c r="E1060" s="11">
        <f>17.6353 * CHOOSE(CONTROL!$C$32, $C$9, 100%, $E$9)</f>
        <v>17.635300000000001</v>
      </c>
      <c r="F1060" s="11">
        <f>17.6353 * CHOOSE(CONTROL!$C$32, $C$9, 100%, $E$9)</f>
        <v>17.635300000000001</v>
      </c>
      <c r="G1060" s="11">
        <f>17.6385 * CHOOSE(CONTROL!$C$32, $C$9, 100%, $E$9)</f>
        <v>17.638500000000001</v>
      </c>
      <c r="H1060" s="11">
        <f>37.6857 * CHOOSE(CONTROL!$C$32, $C$9, 100%, $E$9)</f>
        <v>37.685699999999997</v>
      </c>
      <c r="I1060" s="11">
        <f>37.6889 * CHOOSE(CONTROL!$C$32, $C$9, 100%, $E$9)</f>
        <v>37.688899999999997</v>
      </c>
      <c r="J1060" s="11">
        <f>37.6857 * CHOOSE(CONTROL!$C$32, $C$9, 100%, $E$9)</f>
        <v>37.685699999999997</v>
      </c>
      <c r="K1060" s="11">
        <f>37.6889 * CHOOSE(CONTROL!$C$32, $C$9, 100%, $E$9)</f>
        <v>37.688899999999997</v>
      </c>
      <c r="L1060" s="11">
        <f>17.6353 * CHOOSE(CONTROL!$C$32, $C$9, 100%, $E$9)</f>
        <v>17.635300000000001</v>
      </c>
      <c r="M1060" s="11">
        <f>17.6385 * CHOOSE(CONTROL!$C$32, $C$9, 100%, $E$9)</f>
        <v>17.638500000000001</v>
      </c>
      <c r="N1060" s="11">
        <f>17.6353 * CHOOSE(CONTROL!$C$32, $C$9, 100%, $E$9)</f>
        <v>17.635300000000001</v>
      </c>
      <c r="O1060" s="11">
        <f>17.6385 * CHOOSE(CONTROL!$C$32, $C$9, 100%, $E$9)</f>
        <v>17.638500000000001</v>
      </c>
    </row>
    <row r="1061" spans="1:15" ht="15" x14ac:dyDescent="0.2">
      <c r="A1061" s="13">
        <v>73141</v>
      </c>
      <c r="B1061" s="9">
        <f>15.7548 * CHOOSE(CONTROL!$C$32, $C$9, 100%, $E$9)</f>
        <v>15.754799999999999</v>
      </c>
      <c r="C1061" s="9">
        <f>15.7548 * CHOOSE(CONTROL!$C$32, $C$9, 100%, $E$9)</f>
        <v>15.754799999999999</v>
      </c>
      <c r="D1061" s="9">
        <f>15.7558 * CHOOSE(CONTROL!$C$32, $C$9, 100%, $E$9)</f>
        <v>15.755800000000001</v>
      </c>
      <c r="E1061" s="11">
        <f>18.0556 * CHOOSE(CONTROL!$C$32, $C$9, 100%, $E$9)</f>
        <v>18.055599999999998</v>
      </c>
      <c r="F1061" s="11">
        <f>18.0556 * CHOOSE(CONTROL!$C$32, $C$9, 100%, $E$9)</f>
        <v>18.055599999999998</v>
      </c>
      <c r="G1061" s="11">
        <f>18.0588 * CHOOSE(CONTROL!$C$32, $C$9, 100%, $E$9)</f>
        <v>18.058800000000002</v>
      </c>
      <c r="H1061" s="11">
        <f>37.7642 * CHOOSE(CONTROL!$C$32, $C$9, 100%, $E$9)</f>
        <v>37.764200000000002</v>
      </c>
      <c r="I1061" s="11">
        <f>37.7674 * CHOOSE(CONTROL!$C$32, $C$9, 100%, $E$9)</f>
        <v>37.767400000000002</v>
      </c>
      <c r="J1061" s="11">
        <f>37.7642 * CHOOSE(CONTROL!$C$32, $C$9, 100%, $E$9)</f>
        <v>37.764200000000002</v>
      </c>
      <c r="K1061" s="11">
        <f>37.7674 * CHOOSE(CONTROL!$C$32, $C$9, 100%, $E$9)</f>
        <v>37.767400000000002</v>
      </c>
      <c r="L1061" s="11">
        <f>18.0556 * CHOOSE(CONTROL!$C$32, $C$9, 100%, $E$9)</f>
        <v>18.055599999999998</v>
      </c>
      <c r="M1061" s="11">
        <f>18.0588 * CHOOSE(CONTROL!$C$32, $C$9, 100%, $E$9)</f>
        <v>18.058800000000002</v>
      </c>
      <c r="N1061" s="11">
        <f>18.0556 * CHOOSE(CONTROL!$C$32, $C$9, 100%, $E$9)</f>
        <v>18.055599999999998</v>
      </c>
      <c r="O1061" s="11">
        <f>18.0588 * CHOOSE(CONTROL!$C$32, $C$9, 100%, $E$9)</f>
        <v>18.058800000000002</v>
      </c>
    </row>
    <row r="1062" spans="1:15" ht="15" x14ac:dyDescent="0.2">
      <c r="A1062" s="13">
        <v>73171</v>
      </c>
      <c r="B1062" s="9">
        <f>15.7548 * CHOOSE(CONTROL!$C$32, $C$9, 100%, $E$9)</f>
        <v>15.754799999999999</v>
      </c>
      <c r="C1062" s="9">
        <f>15.7548 * CHOOSE(CONTROL!$C$32, $C$9, 100%, $E$9)</f>
        <v>15.754799999999999</v>
      </c>
      <c r="D1062" s="9">
        <f>15.756 * CHOOSE(CONTROL!$C$32, $C$9, 100%, $E$9)</f>
        <v>15.756</v>
      </c>
      <c r="E1062" s="11">
        <f>18.2148 * CHOOSE(CONTROL!$C$32, $C$9, 100%, $E$9)</f>
        <v>18.2148</v>
      </c>
      <c r="F1062" s="11">
        <f>18.2148 * CHOOSE(CONTROL!$C$32, $C$9, 100%, $E$9)</f>
        <v>18.2148</v>
      </c>
      <c r="G1062" s="11">
        <f>18.219 * CHOOSE(CONTROL!$C$32, $C$9, 100%, $E$9)</f>
        <v>18.219000000000001</v>
      </c>
      <c r="H1062" s="11">
        <f>37.8428 * CHOOSE(CONTROL!$C$32, $C$9, 100%, $E$9)</f>
        <v>37.842799999999997</v>
      </c>
      <c r="I1062" s="11">
        <f>37.847 * CHOOSE(CONTROL!$C$32, $C$9, 100%, $E$9)</f>
        <v>37.847000000000001</v>
      </c>
      <c r="J1062" s="11">
        <f>37.8428 * CHOOSE(CONTROL!$C$32, $C$9, 100%, $E$9)</f>
        <v>37.842799999999997</v>
      </c>
      <c r="K1062" s="11">
        <f>37.847 * CHOOSE(CONTROL!$C$32, $C$9, 100%, $E$9)</f>
        <v>37.847000000000001</v>
      </c>
      <c r="L1062" s="11">
        <f>18.2148 * CHOOSE(CONTROL!$C$32, $C$9, 100%, $E$9)</f>
        <v>18.2148</v>
      </c>
      <c r="M1062" s="11">
        <f>18.219 * CHOOSE(CONTROL!$C$32, $C$9, 100%, $E$9)</f>
        <v>18.219000000000001</v>
      </c>
      <c r="N1062" s="11">
        <f>18.2148 * CHOOSE(CONTROL!$C$32, $C$9, 100%, $E$9)</f>
        <v>18.2148</v>
      </c>
      <c r="O1062" s="11">
        <f>18.219 * CHOOSE(CONTROL!$C$32, $C$9, 100%, $E$9)</f>
        <v>18.219000000000001</v>
      </c>
    </row>
    <row r="1063" spans="1:15" ht="15" x14ac:dyDescent="0.2">
      <c r="A1063" s="13">
        <v>73202</v>
      </c>
      <c r="B1063" s="9">
        <f>15.7609 * CHOOSE(CONTROL!$C$32, $C$9, 100%, $E$9)</f>
        <v>15.760899999999999</v>
      </c>
      <c r="C1063" s="9">
        <f>15.7609 * CHOOSE(CONTROL!$C$32, $C$9, 100%, $E$9)</f>
        <v>15.760899999999999</v>
      </c>
      <c r="D1063" s="9">
        <f>15.7621 * CHOOSE(CONTROL!$C$32, $C$9, 100%, $E$9)</f>
        <v>15.7621</v>
      </c>
      <c r="E1063" s="11">
        <f>18.0598 * CHOOSE(CONTROL!$C$32, $C$9, 100%, $E$9)</f>
        <v>18.059799999999999</v>
      </c>
      <c r="F1063" s="11">
        <f>18.0598 * CHOOSE(CONTROL!$C$32, $C$9, 100%, $E$9)</f>
        <v>18.059799999999999</v>
      </c>
      <c r="G1063" s="11">
        <f>18.064 * CHOOSE(CONTROL!$C$32, $C$9, 100%, $E$9)</f>
        <v>18.064</v>
      </c>
      <c r="H1063" s="11">
        <f>37.9217 * CHOOSE(CONTROL!$C$32, $C$9, 100%, $E$9)</f>
        <v>37.921700000000001</v>
      </c>
      <c r="I1063" s="11">
        <f>37.9259 * CHOOSE(CONTROL!$C$32, $C$9, 100%, $E$9)</f>
        <v>37.925899999999999</v>
      </c>
      <c r="J1063" s="11">
        <f>37.9217 * CHOOSE(CONTROL!$C$32, $C$9, 100%, $E$9)</f>
        <v>37.921700000000001</v>
      </c>
      <c r="K1063" s="11">
        <f>37.9259 * CHOOSE(CONTROL!$C$32, $C$9, 100%, $E$9)</f>
        <v>37.925899999999999</v>
      </c>
      <c r="L1063" s="11">
        <f>18.0598 * CHOOSE(CONTROL!$C$32, $C$9, 100%, $E$9)</f>
        <v>18.059799999999999</v>
      </c>
      <c r="M1063" s="11">
        <f>18.064 * CHOOSE(CONTROL!$C$32, $C$9, 100%, $E$9)</f>
        <v>18.064</v>
      </c>
      <c r="N1063" s="11">
        <f>18.0598 * CHOOSE(CONTROL!$C$32, $C$9, 100%, $E$9)</f>
        <v>18.059799999999999</v>
      </c>
      <c r="O1063" s="11">
        <f>18.064 * CHOOSE(CONTROL!$C$32, $C$9, 100%, $E$9)</f>
        <v>18.064</v>
      </c>
    </row>
    <row r="1064" spans="1:15" ht="15" x14ac:dyDescent="0.2">
      <c r="A1064" s="13">
        <v>73232</v>
      </c>
      <c r="B1064" s="9">
        <f>15.9484 * CHOOSE(CONTROL!$C$32, $C$9, 100%, $E$9)</f>
        <v>15.948399999999999</v>
      </c>
      <c r="C1064" s="9">
        <f>15.9484 * CHOOSE(CONTROL!$C$32, $C$9, 100%, $E$9)</f>
        <v>15.948399999999999</v>
      </c>
      <c r="D1064" s="9">
        <f>15.9497 * CHOOSE(CONTROL!$C$32, $C$9, 100%, $E$9)</f>
        <v>15.9497</v>
      </c>
      <c r="E1064" s="11">
        <f>18.3171 * CHOOSE(CONTROL!$C$32, $C$9, 100%, $E$9)</f>
        <v>18.3171</v>
      </c>
      <c r="F1064" s="11">
        <f>18.3171 * CHOOSE(CONTROL!$C$32, $C$9, 100%, $E$9)</f>
        <v>18.3171</v>
      </c>
      <c r="G1064" s="11">
        <f>18.3213 * CHOOSE(CONTROL!$C$32, $C$9, 100%, $E$9)</f>
        <v>18.321300000000001</v>
      </c>
      <c r="H1064" s="11">
        <f>38.0007 * CHOOSE(CONTROL!$C$32, $C$9, 100%, $E$9)</f>
        <v>38.000700000000002</v>
      </c>
      <c r="I1064" s="11">
        <f>38.0049 * CHOOSE(CONTROL!$C$32, $C$9, 100%, $E$9)</f>
        <v>38.004899999999999</v>
      </c>
      <c r="J1064" s="11">
        <f>38.0007 * CHOOSE(CONTROL!$C$32, $C$9, 100%, $E$9)</f>
        <v>38.000700000000002</v>
      </c>
      <c r="K1064" s="11">
        <f>38.0049 * CHOOSE(CONTROL!$C$32, $C$9, 100%, $E$9)</f>
        <v>38.004899999999999</v>
      </c>
      <c r="L1064" s="11">
        <f>18.3171 * CHOOSE(CONTROL!$C$32, $C$9, 100%, $E$9)</f>
        <v>18.3171</v>
      </c>
      <c r="M1064" s="11">
        <f>18.3213 * CHOOSE(CONTROL!$C$32, $C$9, 100%, $E$9)</f>
        <v>18.321300000000001</v>
      </c>
      <c r="N1064" s="11">
        <f>18.3171 * CHOOSE(CONTROL!$C$32, $C$9, 100%, $E$9)</f>
        <v>18.3171</v>
      </c>
      <c r="O1064" s="11">
        <f>18.3213 * CHOOSE(CONTROL!$C$32, $C$9, 100%, $E$9)</f>
        <v>18.321300000000001</v>
      </c>
    </row>
    <row r="1065" spans="1:15" ht="15" x14ac:dyDescent="0.2">
      <c r="A1065" s="13">
        <v>73263</v>
      </c>
      <c r="B1065" s="9">
        <f>15.9551 * CHOOSE(CONTROL!$C$32, $C$9, 100%, $E$9)</f>
        <v>15.9551</v>
      </c>
      <c r="C1065" s="9">
        <f>15.9551 * CHOOSE(CONTROL!$C$32, $C$9, 100%, $E$9)</f>
        <v>15.9551</v>
      </c>
      <c r="D1065" s="9">
        <f>15.9564 * CHOOSE(CONTROL!$C$32, $C$9, 100%, $E$9)</f>
        <v>15.9564</v>
      </c>
      <c r="E1065" s="11">
        <f>17.8441 * CHOOSE(CONTROL!$C$32, $C$9, 100%, $E$9)</f>
        <v>17.844100000000001</v>
      </c>
      <c r="F1065" s="11">
        <f>17.8441 * CHOOSE(CONTROL!$C$32, $C$9, 100%, $E$9)</f>
        <v>17.844100000000001</v>
      </c>
      <c r="G1065" s="11">
        <f>17.8483 * CHOOSE(CONTROL!$C$32, $C$9, 100%, $E$9)</f>
        <v>17.848299999999998</v>
      </c>
      <c r="H1065" s="11">
        <f>38.0799 * CHOOSE(CONTROL!$C$32, $C$9, 100%, $E$9)</f>
        <v>38.079900000000002</v>
      </c>
      <c r="I1065" s="11">
        <f>38.0841 * CHOOSE(CONTROL!$C$32, $C$9, 100%, $E$9)</f>
        <v>38.084099999999999</v>
      </c>
      <c r="J1065" s="11">
        <f>38.0799 * CHOOSE(CONTROL!$C$32, $C$9, 100%, $E$9)</f>
        <v>38.079900000000002</v>
      </c>
      <c r="K1065" s="11">
        <f>38.0841 * CHOOSE(CONTROL!$C$32, $C$9, 100%, $E$9)</f>
        <v>38.084099999999999</v>
      </c>
      <c r="L1065" s="11">
        <f>17.8441 * CHOOSE(CONTROL!$C$32, $C$9, 100%, $E$9)</f>
        <v>17.844100000000001</v>
      </c>
      <c r="M1065" s="11">
        <f>17.8483 * CHOOSE(CONTROL!$C$32, $C$9, 100%, $E$9)</f>
        <v>17.848299999999998</v>
      </c>
      <c r="N1065" s="11">
        <f>17.8441 * CHOOSE(CONTROL!$C$32, $C$9, 100%, $E$9)</f>
        <v>17.844100000000001</v>
      </c>
      <c r="O1065" s="11">
        <f>17.8483 * CHOOSE(CONTROL!$C$32, $C$9, 100%, $E$9)</f>
        <v>17.848299999999998</v>
      </c>
    </row>
    <row r="1066" spans="1:15" ht="15" x14ac:dyDescent="0.2">
      <c r="A1066" s="13">
        <v>73294</v>
      </c>
      <c r="B1066" s="9">
        <f>15.9521 * CHOOSE(CONTROL!$C$32, $C$9, 100%, $E$9)</f>
        <v>15.9521</v>
      </c>
      <c r="C1066" s="9">
        <f>15.9521 * CHOOSE(CONTROL!$C$32, $C$9, 100%, $E$9)</f>
        <v>15.9521</v>
      </c>
      <c r="D1066" s="9">
        <f>15.9533 * CHOOSE(CONTROL!$C$32, $C$9, 100%, $E$9)</f>
        <v>15.9533</v>
      </c>
      <c r="E1066" s="11">
        <f>17.789 * CHOOSE(CONTROL!$C$32, $C$9, 100%, $E$9)</f>
        <v>17.789000000000001</v>
      </c>
      <c r="F1066" s="11">
        <f>17.789 * CHOOSE(CONTROL!$C$32, $C$9, 100%, $E$9)</f>
        <v>17.789000000000001</v>
      </c>
      <c r="G1066" s="11">
        <f>17.7932 * CHOOSE(CONTROL!$C$32, $C$9, 100%, $E$9)</f>
        <v>17.793199999999999</v>
      </c>
      <c r="H1066" s="11">
        <f>38.1592 * CHOOSE(CONTROL!$C$32, $C$9, 100%, $E$9)</f>
        <v>38.159199999999998</v>
      </c>
      <c r="I1066" s="11">
        <f>38.1634 * CHOOSE(CONTROL!$C$32, $C$9, 100%, $E$9)</f>
        <v>38.163400000000003</v>
      </c>
      <c r="J1066" s="11">
        <f>38.1592 * CHOOSE(CONTROL!$C$32, $C$9, 100%, $E$9)</f>
        <v>38.159199999999998</v>
      </c>
      <c r="K1066" s="11">
        <f>38.1634 * CHOOSE(CONTROL!$C$32, $C$9, 100%, $E$9)</f>
        <v>38.163400000000003</v>
      </c>
      <c r="L1066" s="11">
        <f>17.789 * CHOOSE(CONTROL!$C$32, $C$9, 100%, $E$9)</f>
        <v>17.789000000000001</v>
      </c>
      <c r="M1066" s="11">
        <f>17.7932 * CHOOSE(CONTROL!$C$32, $C$9, 100%, $E$9)</f>
        <v>17.793199999999999</v>
      </c>
      <c r="N1066" s="11">
        <f>17.789 * CHOOSE(CONTROL!$C$32, $C$9, 100%, $E$9)</f>
        <v>17.789000000000001</v>
      </c>
      <c r="O1066" s="11">
        <f>17.7932 * CHOOSE(CONTROL!$C$32, $C$9, 100%, $E$9)</f>
        <v>17.793199999999999</v>
      </c>
    </row>
    <row r="1067" spans="1:15" ht="15" x14ac:dyDescent="0.2">
      <c r="A1067" s="13">
        <v>73324</v>
      </c>
      <c r="B1067" s="9">
        <f>15.9919 * CHOOSE(CONTROL!$C$32, $C$9, 100%, $E$9)</f>
        <v>15.991899999999999</v>
      </c>
      <c r="C1067" s="9">
        <f>15.9919 * CHOOSE(CONTROL!$C$32, $C$9, 100%, $E$9)</f>
        <v>15.991899999999999</v>
      </c>
      <c r="D1067" s="9">
        <f>15.9928 * CHOOSE(CONTROL!$C$32, $C$9, 100%, $E$9)</f>
        <v>15.992800000000001</v>
      </c>
      <c r="E1067" s="11">
        <f>17.9878 * CHOOSE(CONTROL!$C$32, $C$9, 100%, $E$9)</f>
        <v>17.9878</v>
      </c>
      <c r="F1067" s="11">
        <f>17.9878 * CHOOSE(CONTROL!$C$32, $C$9, 100%, $E$9)</f>
        <v>17.9878</v>
      </c>
      <c r="G1067" s="11">
        <f>17.991 * CHOOSE(CONTROL!$C$32, $C$9, 100%, $E$9)</f>
        <v>17.991</v>
      </c>
      <c r="H1067" s="11">
        <f>38.2387 * CHOOSE(CONTROL!$C$32, $C$9, 100%, $E$9)</f>
        <v>38.238700000000001</v>
      </c>
      <c r="I1067" s="11">
        <f>38.2419 * CHOOSE(CONTROL!$C$32, $C$9, 100%, $E$9)</f>
        <v>38.241900000000001</v>
      </c>
      <c r="J1067" s="11">
        <f>38.2387 * CHOOSE(CONTROL!$C$32, $C$9, 100%, $E$9)</f>
        <v>38.238700000000001</v>
      </c>
      <c r="K1067" s="11">
        <f>38.2419 * CHOOSE(CONTROL!$C$32, $C$9, 100%, $E$9)</f>
        <v>38.241900000000001</v>
      </c>
      <c r="L1067" s="11">
        <f>17.9878 * CHOOSE(CONTROL!$C$32, $C$9, 100%, $E$9)</f>
        <v>17.9878</v>
      </c>
      <c r="M1067" s="11">
        <f>17.991 * CHOOSE(CONTROL!$C$32, $C$9, 100%, $E$9)</f>
        <v>17.991</v>
      </c>
      <c r="N1067" s="11">
        <f>17.9878 * CHOOSE(CONTROL!$C$32, $C$9, 100%, $E$9)</f>
        <v>17.9878</v>
      </c>
      <c r="O1067" s="11">
        <f>17.991 * CHOOSE(CONTROL!$C$32, $C$9, 100%, $E$9)</f>
        <v>17.991</v>
      </c>
    </row>
    <row r="1068" spans="1:15" ht="15" x14ac:dyDescent="0.2">
      <c r="A1068" s="13">
        <v>73355</v>
      </c>
      <c r="B1068" s="9">
        <f>15.9949 * CHOOSE(CONTROL!$C$32, $C$9, 100%, $E$9)</f>
        <v>15.994899999999999</v>
      </c>
      <c r="C1068" s="9">
        <f>15.9949 * CHOOSE(CONTROL!$C$32, $C$9, 100%, $E$9)</f>
        <v>15.994899999999999</v>
      </c>
      <c r="D1068" s="9">
        <f>15.9959 * CHOOSE(CONTROL!$C$32, $C$9, 100%, $E$9)</f>
        <v>15.995900000000001</v>
      </c>
      <c r="E1068" s="11">
        <f>18.0961 * CHOOSE(CONTROL!$C$32, $C$9, 100%, $E$9)</f>
        <v>18.0961</v>
      </c>
      <c r="F1068" s="11">
        <f>18.0961 * CHOOSE(CONTROL!$C$32, $C$9, 100%, $E$9)</f>
        <v>18.0961</v>
      </c>
      <c r="G1068" s="11">
        <f>18.0993 * CHOOSE(CONTROL!$C$32, $C$9, 100%, $E$9)</f>
        <v>18.099299999999999</v>
      </c>
      <c r="H1068" s="11">
        <f>38.3183 * CHOOSE(CONTROL!$C$32, $C$9, 100%, $E$9)</f>
        <v>38.318300000000001</v>
      </c>
      <c r="I1068" s="11">
        <f>38.3216 * CHOOSE(CONTROL!$C$32, $C$9, 100%, $E$9)</f>
        <v>38.321599999999997</v>
      </c>
      <c r="J1068" s="11">
        <f>38.3183 * CHOOSE(CONTROL!$C$32, $C$9, 100%, $E$9)</f>
        <v>38.318300000000001</v>
      </c>
      <c r="K1068" s="11">
        <f>38.3216 * CHOOSE(CONTROL!$C$32, $C$9, 100%, $E$9)</f>
        <v>38.321599999999997</v>
      </c>
      <c r="L1068" s="11">
        <f>18.0961 * CHOOSE(CONTROL!$C$32, $C$9, 100%, $E$9)</f>
        <v>18.0961</v>
      </c>
      <c r="M1068" s="11">
        <f>18.0993 * CHOOSE(CONTROL!$C$32, $C$9, 100%, $E$9)</f>
        <v>18.099299999999999</v>
      </c>
      <c r="N1068" s="11">
        <f>18.0961 * CHOOSE(CONTROL!$C$32, $C$9, 100%, $E$9)</f>
        <v>18.0961</v>
      </c>
      <c r="O1068" s="11">
        <f>18.0993 * CHOOSE(CONTROL!$C$32, $C$9, 100%, $E$9)</f>
        <v>18.099299999999999</v>
      </c>
    </row>
    <row r="1069" spans="1:15" ht="15" x14ac:dyDescent="0.2">
      <c r="A1069" s="13">
        <v>73385</v>
      </c>
      <c r="B1069" s="9">
        <f>15.9949 * CHOOSE(CONTROL!$C$32, $C$9, 100%, $E$9)</f>
        <v>15.994899999999999</v>
      </c>
      <c r="C1069" s="9">
        <f>15.9949 * CHOOSE(CONTROL!$C$32, $C$9, 100%, $E$9)</f>
        <v>15.994899999999999</v>
      </c>
      <c r="D1069" s="9">
        <f>15.9959 * CHOOSE(CONTROL!$C$32, $C$9, 100%, $E$9)</f>
        <v>15.995900000000001</v>
      </c>
      <c r="E1069" s="11">
        <f>17.8307 * CHOOSE(CONTROL!$C$32, $C$9, 100%, $E$9)</f>
        <v>17.8307</v>
      </c>
      <c r="F1069" s="11">
        <f>17.8307 * CHOOSE(CONTROL!$C$32, $C$9, 100%, $E$9)</f>
        <v>17.8307</v>
      </c>
      <c r="G1069" s="11">
        <f>17.834 * CHOOSE(CONTROL!$C$32, $C$9, 100%, $E$9)</f>
        <v>17.834</v>
      </c>
      <c r="H1069" s="11">
        <f>38.3982 * CHOOSE(CONTROL!$C$32, $C$9, 100%, $E$9)</f>
        <v>38.398200000000003</v>
      </c>
      <c r="I1069" s="11">
        <f>38.4014 * CHOOSE(CONTROL!$C$32, $C$9, 100%, $E$9)</f>
        <v>38.401400000000002</v>
      </c>
      <c r="J1069" s="11">
        <f>38.3982 * CHOOSE(CONTROL!$C$32, $C$9, 100%, $E$9)</f>
        <v>38.398200000000003</v>
      </c>
      <c r="K1069" s="11">
        <f>38.4014 * CHOOSE(CONTROL!$C$32, $C$9, 100%, $E$9)</f>
        <v>38.401400000000002</v>
      </c>
      <c r="L1069" s="11">
        <f>17.8307 * CHOOSE(CONTROL!$C$32, $C$9, 100%, $E$9)</f>
        <v>17.8307</v>
      </c>
      <c r="M1069" s="11">
        <f>17.834 * CHOOSE(CONTROL!$C$32, $C$9, 100%, $E$9)</f>
        <v>17.834</v>
      </c>
      <c r="N1069" s="11">
        <f>17.8307 * CHOOSE(CONTROL!$C$32, $C$9, 100%, $E$9)</f>
        <v>17.8307</v>
      </c>
      <c r="O1069" s="11">
        <f>17.834 * CHOOSE(CONTROL!$C$32, $C$9, 100%, $E$9)</f>
        <v>17.834</v>
      </c>
    </row>
    <row r="1070" spans="1:15" ht="15" x14ac:dyDescent="0.2">
      <c r="A1070" s="12"/>
      <c r="B1070" s="9"/>
      <c r="C1070" s="9"/>
      <c r="D1070" s="9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</row>
    <row r="1071" spans="1:15" ht="15" x14ac:dyDescent="0.2">
      <c r="A1071" s="10">
        <v>2013</v>
      </c>
      <c r="B1071" s="9">
        <f t="shared" ref="B1071:O1071" si="0">AVERAGE(B14:B25)</f>
        <v>2.2966500000000001</v>
      </c>
      <c r="C1071" s="9">
        <f t="shared" si="0"/>
        <v>2.2232833333333333</v>
      </c>
      <c r="D1071" s="9">
        <f t="shared" si="0"/>
        <v>2.262375</v>
      </c>
      <c r="E1071" s="9">
        <f t="shared" si="0"/>
        <v>3.4876333333333331</v>
      </c>
      <c r="F1071" s="9">
        <f t="shared" si="0"/>
        <v>3.1494</v>
      </c>
      <c r="G1071" s="9">
        <f t="shared" si="0"/>
        <v>3.1624083333333335</v>
      </c>
      <c r="H1071" s="9">
        <f t="shared" si="0"/>
        <v>5.8405666666666649</v>
      </c>
      <c r="I1071" s="9">
        <f t="shared" si="0"/>
        <v>5.8535833333333329</v>
      </c>
      <c r="J1071" s="9">
        <f t="shared" si="0"/>
        <v>5.8405666666666649</v>
      </c>
      <c r="K1071" s="9">
        <f t="shared" si="0"/>
        <v>5.8535833333333329</v>
      </c>
      <c r="L1071" s="9">
        <f t="shared" si="0"/>
        <v>3.4876333333333331</v>
      </c>
      <c r="M1071" s="9">
        <f t="shared" si="0"/>
        <v>3.5006166666666663</v>
      </c>
      <c r="N1071" s="9">
        <f t="shared" si="0"/>
        <v>3.4876333333333331</v>
      </c>
      <c r="O1071" s="9">
        <f t="shared" si="0"/>
        <v>3.5006166666666663</v>
      </c>
    </row>
    <row r="1072" spans="1:15" ht="15" x14ac:dyDescent="0.2">
      <c r="A1072" s="10">
        <v>2014</v>
      </c>
      <c r="B1072" s="9">
        <f t="shared" ref="B1072:O1072" si="1">AVERAGE(B26:B37)</f>
        <v>2.3654999999999995</v>
      </c>
      <c r="C1072" s="9">
        <f t="shared" si="1"/>
        <v>2.3576916666666663</v>
      </c>
      <c r="D1072" s="9">
        <f t="shared" si="1"/>
        <v>2.3967833333333335</v>
      </c>
      <c r="E1072" s="9">
        <f t="shared" si="1"/>
        <v>3.460575</v>
      </c>
      <c r="F1072" s="9">
        <f t="shared" si="1"/>
        <v>3.3780666666666668</v>
      </c>
      <c r="G1072" s="9">
        <f t="shared" si="1"/>
        <v>3.3910749999999994</v>
      </c>
      <c r="H1072" s="9">
        <f t="shared" si="1"/>
        <v>5.9827833333333338</v>
      </c>
      <c r="I1072" s="9">
        <f t="shared" si="1"/>
        <v>5.9957833333333328</v>
      </c>
      <c r="J1072" s="9">
        <f t="shared" si="1"/>
        <v>5.9827833333333338</v>
      </c>
      <c r="K1072" s="9">
        <f t="shared" si="1"/>
        <v>5.9957833333333328</v>
      </c>
      <c r="L1072" s="9">
        <f t="shared" si="1"/>
        <v>3.460575</v>
      </c>
      <c r="M1072" s="9">
        <f t="shared" si="1"/>
        <v>3.4735666666666667</v>
      </c>
      <c r="N1072" s="9">
        <f t="shared" si="1"/>
        <v>3.460575</v>
      </c>
      <c r="O1072" s="9">
        <f t="shared" si="1"/>
        <v>3.4735666666666667</v>
      </c>
    </row>
    <row r="1073" spans="1:15" ht="15" x14ac:dyDescent="0.2">
      <c r="A1073" s="10">
        <v>2015</v>
      </c>
      <c r="B1073" s="9">
        <f t="shared" ref="B1073:O1073" si="2">AVERAGE(B38:B49)</f>
        <v>2.483975</v>
      </c>
      <c r="C1073" s="9">
        <f t="shared" si="2"/>
        <v>2.483975</v>
      </c>
      <c r="D1073" s="9">
        <f t="shared" si="2"/>
        <v>2.4850416666666661</v>
      </c>
      <c r="E1073" s="9">
        <f t="shared" si="2"/>
        <v>3.8020250000000004</v>
      </c>
      <c r="F1073" s="9">
        <f t="shared" si="2"/>
        <v>3.5835999999999992</v>
      </c>
      <c r="G1073" s="9">
        <f t="shared" si="2"/>
        <v>3.5872166666666665</v>
      </c>
      <c r="H1073" s="9">
        <f t="shared" si="2"/>
        <v>6.1340666666666666</v>
      </c>
      <c r="I1073" s="9">
        <f t="shared" si="2"/>
        <v>6.1377083333333333</v>
      </c>
      <c r="J1073" s="9">
        <f t="shared" si="2"/>
        <v>6.1340666666666666</v>
      </c>
      <c r="K1073" s="9">
        <f t="shared" si="2"/>
        <v>6.1377083333333333</v>
      </c>
      <c r="L1073" s="9">
        <f t="shared" si="2"/>
        <v>3.8020250000000004</v>
      </c>
      <c r="M1073" s="9">
        <f t="shared" si="2"/>
        <v>3.8056416666666664</v>
      </c>
      <c r="N1073" s="9">
        <f t="shared" si="2"/>
        <v>3.8020250000000004</v>
      </c>
      <c r="O1073" s="9">
        <f t="shared" si="2"/>
        <v>3.8056416666666664</v>
      </c>
    </row>
    <row r="1074" spans="1:15" ht="15" x14ac:dyDescent="0.2">
      <c r="A1074" s="10">
        <v>2016</v>
      </c>
      <c r="B1074" s="9">
        <f t="shared" ref="B1074:O1074" si="3">AVERAGE(B50:B61)</f>
        <v>3.2759166666666668</v>
      </c>
      <c r="C1074" s="9">
        <f t="shared" si="3"/>
        <v>3.2759166666666668</v>
      </c>
      <c r="D1074" s="9">
        <f t="shared" si="3"/>
        <v>3.2769999999999992</v>
      </c>
      <c r="E1074" s="9">
        <f t="shared" si="3"/>
        <v>3.9337</v>
      </c>
      <c r="F1074" s="9">
        <f t="shared" si="3"/>
        <v>3.6856000000000004</v>
      </c>
      <c r="G1074" s="9">
        <f t="shared" si="3"/>
        <v>3.6892166666666664</v>
      </c>
      <c r="H1074" s="9">
        <f t="shared" si="3"/>
        <v>6.2891916666666674</v>
      </c>
      <c r="I1074" s="9">
        <f t="shared" si="3"/>
        <v>6.2928166666666661</v>
      </c>
      <c r="J1074" s="9">
        <f t="shared" si="3"/>
        <v>6.2891916666666674</v>
      </c>
      <c r="K1074" s="9">
        <f t="shared" si="3"/>
        <v>6.2928166666666661</v>
      </c>
      <c r="L1074" s="9">
        <f t="shared" si="3"/>
        <v>3.9337</v>
      </c>
      <c r="M1074" s="9">
        <f t="shared" si="3"/>
        <v>3.9373166666666672</v>
      </c>
      <c r="N1074" s="9">
        <f t="shared" si="3"/>
        <v>3.9337</v>
      </c>
      <c r="O1074" s="9">
        <f t="shared" si="3"/>
        <v>3.9373166666666672</v>
      </c>
    </row>
    <row r="1075" spans="1:15" ht="15" x14ac:dyDescent="0.2">
      <c r="A1075" s="10">
        <v>2017</v>
      </c>
      <c r="B1075" s="9">
        <f t="shared" ref="B1075:O1075" si="4">AVERAGE(B62:B73)</f>
        <v>3.3130666666666659</v>
      </c>
      <c r="C1075" s="9">
        <f t="shared" si="4"/>
        <v>3.3130666666666659</v>
      </c>
      <c r="D1075" s="9">
        <f t="shared" si="4"/>
        <v>3.3141416666666661</v>
      </c>
      <c r="E1075" s="9">
        <f t="shared" si="4"/>
        <v>3.8792333333333331</v>
      </c>
      <c r="F1075" s="9">
        <f t="shared" si="4"/>
        <v>3.8792333333333331</v>
      </c>
      <c r="G1075" s="9">
        <f t="shared" si="4"/>
        <v>3.8828749999999999</v>
      </c>
      <c r="H1075" s="9">
        <f t="shared" si="4"/>
        <v>6.4482416666666671</v>
      </c>
      <c r="I1075" s="9">
        <f t="shared" si="4"/>
        <v>6.4518666666666666</v>
      </c>
      <c r="J1075" s="9">
        <f t="shared" si="4"/>
        <v>6.4482416666666671</v>
      </c>
      <c r="K1075" s="9">
        <f t="shared" si="4"/>
        <v>6.4518666666666666</v>
      </c>
      <c r="L1075" s="9">
        <f t="shared" si="4"/>
        <v>3.8792333333333331</v>
      </c>
      <c r="M1075" s="9">
        <f t="shared" si="4"/>
        <v>3.8828749999999999</v>
      </c>
      <c r="N1075" s="9">
        <f t="shared" si="4"/>
        <v>3.8792333333333331</v>
      </c>
      <c r="O1075" s="9">
        <f t="shared" si="4"/>
        <v>3.8828749999999999</v>
      </c>
    </row>
    <row r="1076" spans="1:15" ht="15" x14ac:dyDescent="0.2">
      <c r="A1076" s="10">
        <v>2018</v>
      </c>
      <c r="B1076" s="9">
        <f t="shared" ref="B1076:O1076" si="5">AVERAGE(B74:B85)</f>
        <v>3.4019250000000003</v>
      </c>
      <c r="C1076" s="9">
        <f t="shared" si="5"/>
        <v>3.4019250000000003</v>
      </c>
      <c r="D1076" s="9">
        <f t="shared" si="5"/>
        <v>3.4029916666666669</v>
      </c>
      <c r="E1076" s="9">
        <f t="shared" si="5"/>
        <v>3.9989833333333333</v>
      </c>
      <c r="F1076" s="9">
        <f t="shared" si="5"/>
        <v>3.9989833333333333</v>
      </c>
      <c r="G1076" s="9">
        <f t="shared" si="5"/>
        <v>4.0026250000000001</v>
      </c>
      <c r="H1076" s="9">
        <f t="shared" si="5"/>
        <v>6.6113</v>
      </c>
      <c r="I1076" s="9">
        <f t="shared" si="5"/>
        <v>6.6149416666666658</v>
      </c>
      <c r="J1076" s="9">
        <f t="shared" si="5"/>
        <v>6.6113</v>
      </c>
      <c r="K1076" s="9">
        <f t="shared" si="5"/>
        <v>6.6149416666666658</v>
      </c>
      <c r="L1076" s="9">
        <f t="shared" si="5"/>
        <v>3.9989833333333333</v>
      </c>
      <c r="M1076" s="9">
        <f t="shared" si="5"/>
        <v>4.0026250000000001</v>
      </c>
      <c r="N1076" s="9">
        <f t="shared" si="5"/>
        <v>3.9989833333333333</v>
      </c>
      <c r="O1076" s="9">
        <f t="shared" si="5"/>
        <v>4.0026250000000001</v>
      </c>
    </row>
    <row r="1077" spans="1:15" ht="15" x14ac:dyDescent="0.2">
      <c r="A1077" s="10">
        <v>2019</v>
      </c>
      <c r="B1077" s="9">
        <f t="shared" ref="B1077:O1077" si="6">AVERAGE(B86:B97)</f>
        <v>3.2222999999999993</v>
      </c>
      <c r="C1077" s="9">
        <f t="shared" si="6"/>
        <v>3.2222999999999993</v>
      </c>
      <c r="D1077" s="9">
        <f t="shared" si="6"/>
        <v>3.2233750000000008</v>
      </c>
      <c r="E1077" s="9">
        <f t="shared" si="6"/>
        <v>4.0889833333333341</v>
      </c>
      <c r="F1077" s="9">
        <f t="shared" si="6"/>
        <v>4.0889833333333341</v>
      </c>
      <c r="G1077" s="9">
        <f t="shared" si="6"/>
        <v>4.092625</v>
      </c>
      <c r="H1077" s="9">
        <f t="shared" si="6"/>
        <v>6.7785000000000002</v>
      </c>
      <c r="I1077" s="9">
        <f t="shared" si="6"/>
        <v>6.782141666666667</v>
      </c>
      <c r="J1077" s="9">
        <f t="shared" si="6"/>
        <v>6.7785000000000002</v>
      </c>
      <c r="K1077" s="9">
        <f t="shared" si="6"/>
        <v>6.782141666666667</v>
      </c>
      <c r="L1077" s="9">
        <f t="shared" si="6"/>
        <v>4.0889833333333341</v>
      </c>
      <c r="M1077" s="9">
        <f t="shared" si="6"/>
        <v>4.092625</v>
      </c>
      <c r="N1077" s="9">
        <f t="shared" si="6"/>
        <v>4.0889833333333341</v>
      </c>
      <c r="O1077" s="9">
        <f t="shared" si="6"/>
        <v>4.092625</v>
      </c>
    </row>
    <row r="1078" spans="1:15" ht="15" x14ac:dyDescent="0.2">
      <c r="A1078" s="10">
        <v>2020</v>
      </c>
      <c r="B1078" s="9">
        <f t="shared" ref="B1078:O1078" si="7">AVERAGE(B98:B109)</f>
        <v>3.286566666666666</v>
      </c>
      <c r="C1078" s="9">
        <f t="shared" si="7"/>
        <v>3.286566666666666</v>
      </c>
      <c r="D1078" s="9">
        <f t="shared" si="7"/>
        <v>3.2876416666666661</v>
      </c>
      <c r="E1078" s="9">
        <f t="shared" si="7"/>
        <v>4.1808833333333331</v>
      </c>
      <c r="F1078" s="9">
        <f t="shared" si="7"/>
        <v>4.1808833333333331</v>
      </c>
      <c r="G1078" s="9">
        <f t="shared" si="7"/>
        <v>4.1845083333333326</v>
      </c>
      <c r="H1078" s="9">
        <f t="shared" si="7"/>
        <v>6.9499166666666667</v>
      </c>
      <c r="I1078" s="9">
        <f t="shared" si="7"/>
        <v>6.9535666666666662</v>
      </c>
      <c r="J1078" s="9">
        <f t="shared" si="7"/>
        <v>6.9499166666666667</v>
      </c>
      <c r="K1078" s="9">
        <f t="shared" si="7"/>
        <v>6.9535666666666662</v>
      </c>
      <c r="L1078" s="9">
        <f t="shared" si="7"/>
        <v>4.1808833333333331</v>
      </c>
      <c r="M1078" s="9">
        <f t="shared" si="7"/>
        <v>4.1845083333333326</v>
      </c>
      <c r="N1078" s="9">
        <f t="shared" si="7"/>
        <v>4.1808833333333331</v>
      </c>
      <c r="O1078" s="9">
        <f t="shared" si="7"/>
        <v>4.1845083333333326</v>
      </c>
    </row>
    <row r="1079" spans="1:15" ht="15" x14ac:dyDescent="0.2">
      <c r="A1079" s="10">
        <v>2021</v>
      </c>
      <c r="B1079" s="9">
        <f t="shared" ref="B1079:O1079" si="8">AVERAGE(B110:B121)</f>
        <v>3.3671249999999993</v>
      </c>
      <c r="C1079" s="9">
        <f t="shared" si="8"/>
        <v>3.3671249999999993</v>
      </c>
      <c r="D1079" s="9">
        <f t="shared" si="8"/>
        <v>3.3682083333333339</v>
      </c>
      <c r="E1079" s="9">
        <f t="shared" si="8"/>
        <v>4.2754583333333338</v>
      </c>
      <c r="F1079" s="9">
        <f t="shared" si="8"/>
        <v>4.2754583333333338</v>
      </c>
      <c r="G1079" s="9">
        <f t="shared" si="8"/>
        <v>4.2790999999999997</v>
      </c>
      <c r="H1079" s="9">
        <f t="shared" si="8"/>
        <v>7.125683333333332</v>
      </c>
      <c r="I1079" s="9">
        <f t="shared" si="8"/>
        <v>7.1293083333333342</v>
      </c>
      <c r="J1079" s="9">
        <f t="shared" si="8"/>
        <v>7.125683333333332</v>
      </c>
      <c r="K1079" s="9">
        <f t="shared" si="8"/>
        <v>7.1293083333333342</v>
      </c>
      <c r="L1079" s="9">
        <f t="shared" si="8"/>
        <v>4.2754583333333338</v>
      </c>
      <c r="M1079" s="9">
        <f t="shared" si="8"/>
        <v>4.2790999999999997</v>
      </c>
      <c r="N1079" s="9">
        <f t="shared" si="8"/>
        <v>4.2754583333333338</v>
      </c>
      <c r="O1079" s="9">
        <f t="shared" si="8"/>
        <v>4.2790999999999997</v>
      </c>
    </row>
    <row r="1080" spans="1:15" ht="15" x14ac:dyDescent="0.2">
      <c r="A1080" s="10">
        <v>2022</v>
      </c>
      <c r="B1080" s="9">
        <f t="shared" ref="B1080:O1080" si="9">AVERAGE(B122:B133)</f>
        <v>3.4470750000000003</v>
      </c>
      <c r="C1080" s="9">
        <f t="shared" si="9"/>
        <v>3.4470750000000003</v>
      </c>
      <c r="D1080" s="9">
        <f t="shared" si="9"/>
        <v>3.4481499999999996</v>
      </c>
      <c r="E1080" s="9">
        <f t="shared" si="9"/>
        <v>4.3818083333333337</v>
      </c>
      <c r="F1080" s="9">
        <f t="shared" si="9"/>
        <v>4.3818083333333337</v>
      </c>
      <c r="G1080" s="9">
        <f t="shared" si="9"/>
        <v>4.3854499999999996</v>
      </c>
      <c r="H1080" s="9">
        <f t="shared" si="9"/>
        <v>7.3058749999999977</v>
      </c>
      <c r="I1080" s="9">
        <f t="shared" si="9"/>
        <v>7.3095000000000008</v>
      </c>
      <c r="J1080" s="9">
        <f t="shared" si="9"/>
        <v>7.3058749999999977</v>
      </c>
      <c r="K1080" s="9">
        <f t="shared" si="9"/>
        <v>7.3095000000000008</v>
      </c>
      <c r="L1080" s="9">
        <f t="shared" si="9"/>
        <v>4.3818083333333337</v>
      </c>
      <c r="M1080" s="9">
        <f t="shared" si="9"/>
        <v>4.3854499999999996</v>
      </c>
      <c r="N1080" s="9">
        <f t="shared" si="9"/>
        <v>4.3818083333333337</v>
      </c>
      <c r="O1080" s="9">
        <f t="shared" si="9"/>
        <v>4.3854499999999996</v>
      </c>
    </row>
    <row r="1081" spans="1:15" ht="15" x14ac:dyDescent="0.2">
      <c r="A1081" s="10">
        <v>2023</v>
      </c>
      <c r="B1081" s="9">
        <f t="shared" ref="B1081:O1081" si="10">AVERAGE(B134:B145)</f>
        <v>3.5408249999999994</v>
      </c>
      <c r="C1081" s="9">
        <f t="shared" si="10"/>
        <v>3.5408249999999994</v>
      </c>
      <c r="D1081" s="9">
        <f t="shared" si="10"/>
        <v>3.5419166666666659</v>
      </c>
      <c r="E1081" s="9">
        <f t="shared" si="10"/>
        <v>4.490308333333334</v>
      </c>
      <c r="F1081" s="9">
        <f t="shared" si="10"/>
        <v>4.490308333333334</v>
      </c>
      <c r="G1081" s="9">
        <f t="shared" si="10"/>
        <v>4.4939249999999999</v>
      </c>
      <c r="H1081" s="9">
        <f t="shared" si="10"/>
        <v>7.4906249999999988</v>
      </c>
      <c r="I1081" s="9">
        <f t="shared" si="10"/>
        <v>7.4942500000000001</v>
      </c>
      <c r="J1081" s="9">
        <f t="shared" si="10"/>
        <v>7.4906249999999988</v>
      </c>
      <c r="K1081" s="9">
        <f t="shared" si="10"/>
        <v>7.4942500000000001</v>
      </c>
      <c r="L1081" s="9">
        <f t="shared" si="10"/>
        <v>4.490308333333334</v>
      </c>
      <c r="M1081" s="9">
        <f t="shared" si="10"/>
        <v>4.4939249999999999</v>
      </c>
      <c r="N1081" s="9">
        <f t="shared" si="10"/>
        <v>4.490308333333334</v>
      </c>
      <c r="O1081" s="9">
        <f t="shared" si="10"/>
        <v>4.4939249999999999</v>
      </c>
    </row>
    <row r="1082" spans="1:15" ht="15" x14ac:dyDescent="0.2">
      <c r="A1082" s="10">
        <v>2024</v>
      </c>
      <c r="B1082" s="9">
        <f t="shared" ref="B1082:O1082" si="11">AVERAGE(B146:B157)</f>
        <v>3.6291499999999997</v>
      </c>
      <c r="C1082" s="9">
        <f t="shared" si="11"/>
        <v>3.6291499999999997</v>
      </c>
      <c r="D1082" s="9">
        <f t="shared" si="11"/>
        <v>3.6302333333333343</v>
      </c>
      <c r="E1082" s="9">
        <f t="shared" si="11"/>
        <v>4.6075583333333325</v>
      </c>
      <c r="F1082" s="9">
        <f t="shared" si="11"/>
        <v>4.6075583333333325</v>
      </c>
      <c r="G1082" s="9">
        <f t="shared" si="11"/>
        <v>4.6111749999999994</v>
      </c>
      <c r="H1082" s="9">
        <f t="shared" si="11"/>
        <v>7.6800500000000005</v>
      </c>
      <c r="I1082" s="9">
        <f t="shared" si="11"/>
        <v>7.683675</v>
      </c>
      <c r="J1082" s="9">
        <f t="shared" si="11"/>
        <v>7.6800500000000005</v>
      </c>
      <c r="K1082" s="9">
        <f t="shared" si="11"/>
        <v>7.683675</v>
      </c>
      <c r="L1082" s="9">
        <f t="shared" si="11"/>
        <v>4.6075583333333325</v>
      </c>
      <c r="M1082" s="9">
        <f t="shared" si="11"/>
        <v>4.6111749999999994</v>
      </c>
      <c r="N1082" s="9">
        <f t="shared" si="11"/>
        <v>4.6075583333333325</v>
      </c>
      <c r="O1082" s="9">
        <f t="shared" si="11"/>
        <v>4.6111749999999994</v>
      </c>
    </row>
    <row r="1083" spans="1:15" ht="15" x14ac:dyDescent="0.2">
      <c r="A1083" s="10">
        <v>2025</v>
      </c>
      <c r="B1083" s="9">
        <f t="shared" ref="B1083:O1083" si="12">AVERAGE(B158:B169)</f>
        <v>3.7209500000000002</v>
      </c>
      <c r="C1083" s="9">
        <f t="shared" si="12"/>
        <v>3.7209500000000002</v>
      </c>
      <c r="D1083" s="9">
        <f t="shared" si="12"/>
        <v>3.7220333333333322</v>
      </c>
      <c r="E1083" s="9">
        <f t="shared" si="12"/>
        <v>4.7325583333333325</v>
      </c>
      <c r="F1083" s="9">
        <f t="shared" si="12"/>
        <v>4.7325583333333325</v>
      </c>
      <c r="G1083" s="9">
        <f t="shared" si="12"/>
        <v>4.7362083333333329</v>
      </c>
      <c r="H1083" s="9">
        <f t="shared" si="12"/>
        <v>7.8742666666666663</v>
      </c>
      <c r="I1083" s="9">
        <f t="shared" si="12"/>
        <v>7.8779000000000003</v>
      </c>
      <c r="J1083" s="9">
        <f t="shared" si="12"/>
        <v>7.8742666666666663</v>
      </c>
      <c r="K1083" s="9">
        <f t="shared" si="12"/>
        <v>7.8779000000000003</v>
      </c>
      <c r="L1083" s="9">
        <f t="shared" si="12"/>
        <v>4.7325583333333325</v>
      </c>
      <c r="M1083" s="9">
        <f t="shared" si="12"/>
        <v>4.7362083333333329</v>
      </c>
      <c r="N1083" s="9">
        <f t="shared" si="12"/>
        <v>4.7325583333333325</v>
      </c>
      <c r="O1083" s="9">
        <f t="shared" si="12"/>
        <v>4.7362083333333329</v>
      </c>
    </row>
    <row r="1084" spans="1:15" ht="15" x14ac:dyDescent="0.2">
      <c r="A1084" s="10">
        <v>2026</v>
      </c>
      <c r="B1084" s="9">
        <f t="shared" ref="B1084:O1084" si="13">AVERAGE(B170:B181)</f>
        <v>3.8184083333333336</v>
      </c>
      <c r="C1084" s="9">
        <f t="shared" si="13"/>
        <v>3.8184083333333336</v>
      </c>
      <c r="D1084" s="9">
        <f t="shared" si="13"/>
        <v>3.8194999999999997</v>
      </c>
      <c r="E1084" s="9">
        <f t="shared" si="13"/>
        <v>4.8625583333333324</v>
      </c>
      <c r="F1084" s="9">
        <f t="shared" si="13"/>
        <v>4.8625583333333324</v>
      </c>
      <c r="G1084" s="9">
        <f t="shared" si="13"/>
        <v>4.8661833333333337</v>
      </c>
      <c r="H1084" s="9">
        <f t="shared" si="13"/>
        <v>8.073383333333334</v>
      </c>
      <c r="I1084" s="9">
        <f t="shared" si="13"/>
        <v>8.0770250000000008</v>
      </c>
      <c r="J1084" s="9">
        <f t="shared" si="13"/>
        <v>8.073383333333334</v>
      </c>
      <c r="K1084" s="9">
        <f t="shared" si="13"/>
        <v>8.0770250000000008</v>
      </c>
      <c r="L1084" s="9">
        <f t="shared" si="13"/>
        <v>4.8625583333333324</v>
      </c>
      <c r="M1084" s="9">
        <f t="shared" si="13"/>
        <v>4.8661833333333337</v>
      </c>
      <c r="N1084" s="9">
        <f t="shared" si="13"/>
        <v>4.8625583333333324</v>
      </c>
      <c r="O1084" s="9">
        <f t="shared" si="13"/>
        <v>4.8661833333333337</v>
      </c>
    </row>
    <row r="1085" spans="1:15" ht="15" x14ac:dyDescent="0.2">
      <c r="A1085" s="10">
        <v>2027</v>
      </c>
      <c r="B1085" s="9">
        <f t="shared" ref="B1085:O1085" si="14">AVERAGE(B182:B193)</f>
        <v>3.9176666666666669</v>
      </c>
      <c r="C1085" s="9">
        <f t="shared" si="14"/>
        <v>3.9176666666666669</v>
      </c>
      <c r="D1085" s="9">
        <f t="shared" si="14"/>
        <v>3.9187249999999998</v>
      </c>
      <c r="E1085" s="9">
        <f t="shared" si="14"/>
        <v>4.9883083333333325</v>
      </c>
      <c r="F1085" s="9">
        <f t="shared" si="14"/>
        <v>4.9883083333333325</v>
      </c>
      <c r="G1085" s="9">
        <f t="shared" si="14"/>
        <v>4.9919500000000001</v>
      </c>
      <c r="H1085" s="9">
        <f t="shared" si="14"/>
        <v>8.2775499999999997</v>
      </c>
      <c r="I1085" s="9">
        <f t="shared" si="14"/>
        <v>8.2811916666666665</v>
      </c>
      <c r="J1085" s="9">
        <f t="shared" si="14"/>
        <v>8.2775499999999997</v>
      </c>
      <c r="K1085" s="9">
        <f t="shared" si="14"/>
        <v>8.2811916666666665</v>
      </c>
      <c r="L1085" s="9">
        <f t="shared" si="14"/>
        <v>4.9883083333333325</v>
      </c>
      <c r="M1085" s="9">
        <f t="shared" si="14"/>
        <v>4.9919500000000001</v>
      </c>
      <c r="N1085" s="9">
        <f t="shared" si="14"/>
        <v>4.9883083333333325</v>
      </c>
      <c r="O1085" s="9">
        <f t="shared" si="14"/>
        <v>4.9919500000000001</v>
      </c>
    </row>
    <row r="1086" spans="1:15" ht="15" x14ac:dyDescent="0.2">
      <c r="A1086" s="10">
        <v>2028</v>
      </c>
      <c r="B1086" s="9">
        <f t="shared" ref="B1086:O1086" si="15">AVERAGE(B194:B205)</f>
        <v>4.0231749999999984</v>
      </c>
      <c r="C1086" s="9">
        <f t="shared" si="15"/>
        <v>4.0231749999999984</v>
      </c>
      <c r="D1086" s="9">
        <f t="shared" si="15"/>
        <v>4.024258333333333</v>
      </c>
      <c r="E1086" s="9">
        <f t="shared" si="15"/>
        <v>5.121858333333333</v>
      </c>
      <c r="F1086" s="9">
        <f t="shared" si="15"/>
        <v>5.121858333333333</v>
      </c>
      <c r="G1086" s="9">
        <f t="shared" si="15"/>
        <v>5.1254749999999998</v>
      </c>
      <c r="H1086" s="9">
        <f t="shared" si="15"/>
        <v>8.4868833333333331</v>
      </c>
      <c r="I1086" s="9">
        <f t="shared" si="15"/>
        <v>8.490499999999999</v>
      </c>
      <c r="J1086" s="9">
        <f t="shared" si="15"/>
        <v>8.4868833333333331</v>
      </c>
      <c r="K1086" s="9">
        <f t="shared" si="15"/>
        <v>8.490499999999999</v>
      </c>
      <c r="L1086" s="9">
        <f t="shared" si="15"/>
        <v>5.121858333333333</v>
      </c>
      <c r="M1086" s="9">
        <f t="shared" si="15"/>
        <v>5.1254749999999998</v>
      </c>
      <c r="N1086" s="9">
        <f t="shared" si="15"/>
        <v>5.121858333333333</v>
      </c>
      <c r="O1086" s="9">
        <f t="shared" si="15"/>
        <v>5.1254749999999998</v>
      </c>
    </row>
    <row r="1087" spans="1:15" ht="15" x14ac:dyDescent="0.2">
      <c r="A1087" s="10">
        <v>2029</v>
      </c>
      <c r="B1087" s="9">
        <f t="shared" ref="B1087:O1087" si="16">AVERAGE(B206:B217)</f>
        <v>4.1202916666666676</v>
      </c>
      <c r="C1087" s="9">
        <f t="shared" si="16"/>
        <v>4.1202916666666676</v>
      </c>
      <c r="D1087" s="9">
        <f t="shared" si="16"/>
        <v>4.1213500000000005</v>
      </c>
      <c r="E1087" s="9">
        <f t="shared" si="16"/>
        <v>5.2511833333333335</v>
      </c>
      <c r="F1087" s="9">
        <f t="shared" si="16"/>
        <v>5.2511833333333335</v>
      </c>
      <c r="G1087" s="9">
        <f t="shared" si="16"/>
        <v>5.2547999999999995</v>
      </c>
      <c r="H1087" s="9">
        <f t="shared" si="16"/>
        <v>8.7015000000000011</v>
      </c>
      <c r="I1087" s="9">
        <f t="shared" si="16"/>
        <v>8.7051499999999997</v>
      </c>
      <c r="J1087" s="9">
        <f t="shared" si="16"/>
        <v>8.7015000000000011</v>
      </c>
      <c r="K1087" s="9">
        <f t="shared" si="16"/>
        <v>8.7051499999999997</v>
      </c>
      <c r="L1087" s="9">
        <f t="shared" si="16"/>
        <v>5.2511833333333335</v>
      </c>
      <c r="M1087" s="9">
        <f t="shared" si="16"/>
        <v>5.2547999999999995</v>
      </c>
      <c r="N1087" s="9">
        <f t="shared" si="16"/>
        <v>5.2511833333333335</v>
      </c>
      <c r="O1087" s="9">
        <f t="shared" si="16"/>
        <v>5.2547999999999995</v>
      </c>
    </row>
    <row r="1088" spans="1:15" ht="15" x14ac:dyDescent="0.2">
      <c r="A1088" s="10">
        <v>2030</v>
      </c>
      <c r="B1088" s="9">
        <f t="shared" ref="B1088:O1088" si="17">AVERAGE(B218:B229)</f>
        <v>4.2197500000000003</v>
      </c>
      <c r="C1088" s="9">
        <f t="shared" si="17"/>
        <v>4.2197500000000003</v>
      </c>
      <c r="D1088" s="9">
        <f t="shared" si="17"/>
        <v>4.2208250000000005</v>
      </c>
      <c r="E1088" s="9">
        <f t="shared" si="17"/>
        <v>5.3853833333333334</v>
      </c>
      <c r="F1088" s="9">
        <f t="shared" si="17"/>
        <v>5.3853833333333334</v>
      </c>
      <c r="G1088" s="9">
        <f t="shared" si="17"/>
        <v>5.3890250000000002</v>
      </c>
      <c r="H1088" s="9">
        <f t="shared" si="17"/>
        <v>8.9215500000000016</v>
      </c>
      <c r="I1088" s="9">
        <f t="shared" si="17"/>
        <v>8.9251916666666666</v>
      </c>
      <c r="J1088" s="9">
        <f t="shared" si="17"/>
        <v>8.9215500000000016</v>
      </c>
      <c r="K1088" s="9">
        <f t="shared" si="17"/>
        <v>8.9251916666666666</v>
      </c>
      <c r="L1088" s="9">
        <f t="shared" si="17"/>
        <v>5.3853833333333334</v>
      </c>
      <c r="M1088" s="9">
        <f t="shared" si="17"/>
        <v>5.3890250000000002</v>
      </c>
      <c r="N1088" s="9">
        <f t="shared" si="17"/>
        <v>5.3853833333333334</v>
      </c>
      <c r="O1088" s="9">
        <f t="shared" si="17"/>
        <v>5.3890250000000002</v>
      </c>
    </row>
    <row r="1089" spans="1:15" ht="15" x14ac:dyDescent="0.2">
      <c r="A1089" s="10">
        <v>2031</v>
      </c>
      <c r="B1089" s="9">
        <f t="shared" ref="B1089:O1089" si="18">AVERAGE(B230:B241)</f>
        <v>4.319983333333334</v>
      </c>
      <c r="C1089" s="9">
        <f t="shared" si="18"/>
        <v>4.319983333333334</v>
      </c>
      <c r="D1089" s="9">
        <f t="shared" si="18"/>
        <v>4.3210833333333332</v>
      </c>
      <c r="E1089" s="9">
        <f t="shared" si="18"/>
        <v>5.5212583333333329</v>
      </c>
      <c r="F1089" s="9">
        <f t="shared" si="18"/>
        <v>5.5212583333333329</v>
      </c>
      <c r="G1089" s="9">
        <f t="shared" si="18"/>
        <v>5.5249000000000015</v>
      </c>
      <c r="H1089" s="9">
        <f t="shared" si="18"/>
        <v>9.1471499999999999</v>
      </c>
      <c r="I1089" s="9">
        <f t="shared" si="18"/>
        <v>9.1508000000000003</v>
      </c>
      <c r="J1089" s="9">
        <f t="shared" si="18"/>
        <v>9.1471499999999999</v>
      </c>
      <c r="K1089" s="9">
        <f t="shared" si="18"/>
        <v>9.1508000000000003</v>
      </c>
      <c r="L1089" s="9">
        <f t="shared" si="18"/>
        <v>5.5212583333333329</v>
      </c>
      <c r="M1089" s="9">
        <f t="shared" si="18"/>
        <v>5.5249000000000015</v>
      </c>
      <c r="N1089" s="9">
        <f t="shared" si="18"/>
        <v>5.5212583333333329</v>
      </c>
      <c r="O1089" s="9">
        <f t="shared" si="18"/>
        <v>5.5249000000000015</v>
      </c>
    </row>
    <row r="1090" spans="1:15" ht="15" x14ac:dyDescent="0.2">
      <c r="A1090" s="10">
        <v>2032</v>
      </c>
      <c r="B1090" s="9">
        <f t="shared" ref="B1090:O1090" si="19">AVERAGE(B242:B253)</f>
        <v>4.4233666666666664</v>
      </c>
      <c r="C1090" s="9">
        <f t="shared" si="19"/>
        <v>4.4233666666666664</v>
      </c>
      <c r="D1090" s="9">
        <f t="shared" si="19"/>
        <v>4.4244416666666666</v>
      </c>
      <c r="E1090" s="9">
        <f t="shared" si="19"/>
        <v>5.6636583333333341</v>
      </c>
      <c r="F1090" s="9">
        <f t="shared" si="19"/>
        <v>5.6636583333333341</v>
      </c>
      <c r="G1090" s="9">
        <f t="shared" si="19"/>
        <v>5.6673</v>
      </c>
      <c r="H1090" s="9">
        <f t="shared" si="19"/>
        <v>9.3784916666666671</v>
      </c>
      <c r="I1090" s="9">
        <f t="shared" si="19"/>
        <v>9.3821083333333331</v>
      </c>
      <c r="J1090" s="9">
        <f t="shared" si="19"/>
        <v>9.3784916666666671</v>
      </c>
      <c r="K1090" s="9">
        <f t="shared" si="19"/>
        <v>9.3821083333333331</v>
      </c>
      <c r="L1090" s="9">
        <f t="shared" si="19"/>
        <v>5.6636583333333341</v>
      </c>
      <c r="M1090" s="9">
        <f t="shared" si="19"/>
        <v>5.6673</v>
      </c>
      <c r="N1090" s="9">
        <f t="shared" si="19"/>
        <v>5.6636583333333341</v>
      </c>
      <c r="O1090" s="9">
        <f t="shared" si="19"/>
        <v>5.6673</v>
      </c>
    </row>
    <row r="1091" spans="1:15" ht="15" x14ac:dyDescent="0.2">
      <c r="A1091" s="10">
        <v>2033</v>
      </c>
      <c r="B1091" s="9">
        <f t="shared" ref="B1091:O1091" si="20">AVERAGE(B254:B265)</f>
        <v>4.5277250000000011</v>
      </c>
      <c r="C1091" s="9">
        <f t="shared" si="20"/>
        <v>4.5277250000000011</v>
      </c>
      <c r="D1091" s="9">
        <f t="shared" si="20"/>
        <v>4.5288083333333331</v>
      </c>
      <c r="E1091" s="9">
        <f t="shared" si="20"/>
        <v>5.8086833333333336</v>
      </c>
      <c r="F1091" s="9">
        <f t="shared" si="20"/>
        <v>5.8086833333333336</v>
      </c>
      <c r="G1091" s="9">
        <f t="shared" si="20"/>
        <v>5.8123000000000005</v>
      </c>
      <c r="H1091" s="9">
        <f t="shared" si="20"/>
        <v>9.6156583333333323</v>
      </c>
      <c r="I1091" s="9">
        <f t="shared" si="20"/>
        <v>9.619275</v>
      </c>
      <c r="J1091" s="9">
        <f t="shared" si="20"/>
        <v>9.6156583333333323</v>
      </c>
      <c r="K1091" s="9">
        <f t="shared" si="20"/>
        <v>9.619275</v>
      </c>
      <c r="L1091" s="9">
        <f t="shared" si="20"/>
        <v>5.8086833333333336</v>
      </c>
      <c r="M1091" s="9">
        <f t="shared" si="20"/>
        <v>5.8123000000000005</v>
      </c>
      <c r="N1091" s="9">
        <f t="shared" si="20"/>
        <v>5.8086833333333336</v>
      </c>
      <c r="O1091" s="9">
        <f t="shared" si="20"/>
        <v>5.8123000000000005</v>
      </c>
    </row>
    <row r="1092" spans="1:15" ht="15" x14ac:dyDescent="0.2">
      <c r="A1092" s="10">
        <v>2034</v>
      </c>
      <c r="B1092" s="9">
        <f t="shared" ref="B1092:O1092" si="21">AVERAGE(B266:B277)</f>
        <v>4.6365749999999997</v>
      </c>
      <c r="C1092" s="9">
        <f t="shared" si="21"/>
        <v>4.6365749999999997</v>
      </c>
      <c r="D1092" s="9">
        <f t="shared" si="21"/>
        <v>4.6376499999999998</v>
      </c>
      <c r="E1092" s="9">
        <f t="shared" si="21"/>
        <v>5.9626083333333346</v>
      </c>
      <c r="F1092" s="9">
        <f t="shared" si="21"/>
        <v>5.9626083333333346</v>
      </c>
      <c r="G1092" s="9">
        <f t="shared" si="21"/>
        <v>5.9662499999999996</v>
      </c>
      <c r="H1092" s="9">
        <f t="shared" si="21"/>
        <v>9.8588166666666659</v>
      </c>
      <c r="I1092" s="9">
        <f t="shared" si="21"/>
        <v>9.8624416666666672</v>
      </c>
      <c r="J1092" s="9">
        <f t="shared" si="21"/>
        <v>9.8588166666666659</v>
      </c>
      <c r="K1092" s="9">
        <f t="shared" si="21"/>
        <v>9.8624416666666672</v>
      </c>
      <c r="L1092" s="9">
        <f t="shared" si="21"/>
        <v>5.9626083333333346</v>
      </c>
      <c r="M1092" s="9">
        <f t="shared" si="21"/>
        <v>5.9662499999999996</v>
      </c>
      <c r="N1092" s="9">
        <f t="shared" si="21"/>
        <v>5.9626083333333346</v>
      </c>
      <c r="O1092" s="9">
        <f t="shared" si="21"/>
        <v>5.9662499999999996</v>
      </c>
    </row>
    <row r="1093" spans="1:15" ht="15" x14ac:dyDescent="0.2">
      <c r="A1093" s="10">
        <v>2035</v>
      </c>
      <c r="B1093" s="9">
        <f t="shared" ref="B1093:O1093" si="22">AVERAGE(B278:B289)</f>
        <v>4.7452499999999995</v>
      </c>
      <c r="C1093" s="9">
        <f t="shared" si="22"/>
        <v>4.7452499999999995</v>
      </c>
      <c r="D1093" s="9">
        <f t="shared" si="22"/>
        <v>4.7463416666666669</v>
      </c>
      <c r="E1093" s="9">
        <f t="shared" si="22"/>
        <v>6.2283083333333344</v>
      </c>
      <c r="F1093" s="9">
        <f t="shared" si="22"/>
        <v>6.2283083333333344</v>
      </c>
      <c r="G1093" s="9">
        <f t="shared" si="22"/>
        <v>6.2319333333333331</v>
      </c>
      <c r="H1093" s="9">
        <f t="shared" si="22"/>
        <v>10.108133333333333</v>
      </c>
      <c r="I1093" s="9">
        <f t="shared" si="22"/>
        <v>10.111775</v>
      </c>
      <c r="J1093" s="9">
        <f t="shared" si="22"/>
        <v>10.108133333333333</v>
      </c>
      <c r="K1093" s="9">
        <f t="shared" si="22"/>
        <v>10.111775</v>
      </c>
      <c r="L1093" s="9">
        <f t="shared" si="22"/>
        <v>6.2283083333333344</v>
      </c>
      <c r="M1093" s="9">
        <f t="shared" si="22"/>
        <v>6.2319333333333331</v>
      </c>
      <c r="N1093" s="9">
        <f t="shared" si="22"/>
        <v>6.2283083333333344</v>
      </c>
      <c r="O1093" s="9">
        <f t="shared" si="22"/>
        <v>6.2319333333333331</v>
      </c>
    </row>
    <row r="1094" spans="1:15" ht="15" x14ac:dyDescent="0.2">
      <c r="A1094" s="10">
        <v>2036</v>
      </c>
      <c r="B1094" s="9">
        <f t="shared" ref="B1094:O1094" si="23">AVERAGE(B290:B301)</f>
        <v>4.8552916666666661</v>
      </c>
      <c r="C1094" s="9">
        <f t="shared" si="23"/>
        <v>4.8552916666666661</v>
      </c>
      <c r="D1094" s="9">
        <f t="shared" si="23"/>
        <v>4.8563666666666672</v>
      </c>
      <c r="E1094" s="9">
        <f t="shared" si="23"/>
        <v>6.4622250000000001</v>
      </c>
      <c r="F1094" s="9">
        <f t="shared" si="23"/>
        <v>6.4622250000000001</v>
      </c>
      <c r="G1094" s="9">
        <f t="shared" si="23"/>
        <v>6.465866666666666</v>
      </c>
      <c r="H1094" s="9">
        <f t="shared" si="23"/>
        <v>10.36375</v>
      </c>
      <c r="I1094" s="9">
        <f t="shared" si="23"/>
        <v>10.367383333333335</v>
      </c>
      <c r="J1094" s="9">
        <f t="shared" si="23"/>
        <v>10.36375</v>
      </c>
      <c r="K1094" s="9">
        <f t="shared" si="23"/>
        <v>10.367383333333335</v>
      </c>
      <c r="L1094" s="9">
        <f t="shared" si="23"/>
        <v>6.4622250000000001</v>
      </c>
      <c r="M1094" s="9">
        <f t="shared" si="23"/>
        <v>6.465866666666666</v>
      </c>
      <c r="N1094" s="9">
        <f t="shared" si="23"/>
        <v>6.4622250000000001</v>
      </c>
      <c r="O1094" s="9">
        <f t="shared" si="23"/>
        <v>6.465866666666666</v>
      </c>
    </row>
    <row r="1095" spans="1:15" ht="15" x14ac:dyDescent="0.2">
      <c r="A1095" s="10">
        <v>2037</v>
      </c>
      <c r="B1095" s="9">
        <f t="shared" ref="B1095:O1095" si="24">AVERAGE(B302:B313)</f>
        <v>4.964783333333334</v>
      </c>
      <c r="C1095" s="9">
        <f t="shared" si="24"/>
        <v>4.964783333333334</v>
      </c>
      <c r="D1095" s="9">
        <f t="shared" si="24"/>
        <v>4.9658833333333332</v>
      </c>
      <c r="E1095" s="9">
        <f t="shared" si="24"/>
        <v>6.5224749999999991</v>
      </c>
      <c r="F1095" s="9">
        <f t="shared" si="24"/>
        <v>6.5224749999999991</v>
      </c>
      <c r="G1095" s="9">
        <f t="shared" si="24"/>
        <v>6.5261083333333332</v>
      </c>
      <c r="H1095" s="9">
        <f t="shared" si="24"/>
        <v>10.625816666666665</v>
      </c>
      <c r="I1095" s="9">
        <f t="shared" si="24"/>
        <v>10.629466666666668</v>
      </c>
      <c r="J1095" s="9">
        <f t="shared" si="24"/>
        <v>10.625816666666665</v>
      </c>
      <c r="K1095" s="9">
        <f t="shared" si="24"/>
        <v>10.629466666666668</v>
      </c>
      <c r="L1095" s="9">
        <f t="shared" si="24"/>
        <v>6.5224749999999991</v>
      </c>
      <c r="M1095" s="9">
        <f t="shared" si="24"/>
        <v>6.5261083333333332</v>
      </c>
      <c r="N1095" s="9">
        <f t="shared" si="24"/>
        <v>6.5224749999999991</v>
      </c>
      <c r="O1095" s="9">
        <f t="shared" si="24"/>
        <v>6.5261083333333332</v>
      </c>
    </row>
    <row r="1096" spans="1:15" ht="15" x14ac:dyDescent="0.2">
      <c r="A1096" s="10">
        <v>2038</v>
      </c>
      <c r="B1096" s="9">
        <f t="shared" ref="B1096:O1096" si="25">AVERAGE(B314:B325)</f>
        <v>5.078008333333333</v>
      </c>
      <c r="C1096" s="9">
        <f t="shared" si="25"/>
        <v>5.078008333333333</v>
      </c>
      <c r="D1096" s="9">
        <f t="shared" si="25"/>
        <v>5.0790750000000005</v>
      </c>
      <c r="E1096" s="9">
        <f t="shared" si="25"/>
        <v>6.5534166666666671</v>
      </c>
      <c r="F1096" s="9">
        <f t="shared" si="25"/>
        <v>6.5534166666666671</v>
      </c>
      <c r="G1096" s="9">
        <f t="shared" si="25"/>
        <v>6.5570666666666666</v>
      </c>
      <c r="H1096" s="9">
        <f t="shared" si="25"/>
        <v>10.894541666666667</v>
      </c>
      <c r="I1096" s="9">
        <f t="shared" si="25"/>
        <v>10.898166666666667</v>
      </c>
      <c r="J1096" s="9">
        <f t="shared" si="25"/>
        <v>10.894541666666667</v>
      </c>
      <c r="K1096" s="9">
        <f t="shared" si="25"/>
        <v>10.898166666666667</v>
      </c>
      <c r="L1096" s="9">
        <f t="shared" si="25"/>
        <v>6.5534166666666671</v>
      </c>
      <c r="M1096" s="9">
        <f t="shared" si="25"/>
        <v>6.5570666666666666</v>
      </c>
      <c r="N1096" s="9">
        <f t="shared" si="25"/>
        <v>6.5534166666666671</v>
      </c>
      <c r="O1096" s="9">
        <f t="shared" si="25"/>
        <v>6.5570666666666666</v>
      </c>
    </row>
    <row r="1097" spans="1:15" ht="15" x14ac:dyDescent="0.2">
      <c r="A1097" s="10">
        <v>2039</v>
      </c>
      <c r="B1097" s="9">
        <f t="shared" ref="B1097:O1097" si="26">AVERAGE(B326:B337)</f>
        <v>5.1910833333333333</v>
      </c>
      <c r="C1097" s="9">
        <f t="shared" si="26"/>
        <v>5.1910833333333333</v>
      </c>
      <c r="D1097" s="9">
        <f t="shared" si="26"/>
        <v>5.1921500000000007</v>
      </c>
      <c r="E1097" s="9">
        <f t="shared" si="26"/>
        <v>6.5795250000000003</v>
      </c>
      <c r="F1097" s="9">
        <f t="shared" si="26"/>
        <v>6.5795250000000003</v>
      </c>
      <c r="G1097" s="9">
        <f t="shared" si="26"/>
        <v>6.5831666666666671</v>
      </c>
      <c r="H1097" s="9">
        <f t="shared" si="26"/>
        <v>11.170033333333334</v>
      </c>
      <c r="I1097" s="9">
        <f t="shared" si="26"/>
        <v>11.173674999999998</v>
      </c>
      <c r="J1097" s="9">
        <f t="shared" si="26"/>
        <v>11.170033333333334</v>
      </c>
      <c r="K1097" s="9">
        <f t="shared" si="26"/>
        <v>11.173674999999998</v>
      </c>
      <c r="L1097" s="9">
        <f t="shared" si="26"/>
        <v>6.5795250000000003</v>
      </c>
      <c r="M1097" s="9">
        <f t="shared" si="26"/>
        <v>6.5831666666666671</v>
      </c>
      <c r="N1097" s="9">
        <f t="shared" si="26"/>
        <v>6.5795250000000003</v>
      </c>
      <c r="O1097" s="9">
        <f t="shared" si="26"/>
        <v>6.5831666666666671</v>
      </c>
    </row>
    <row r="1098" spans="1:15" ht="15" x14ac:dyDescent="0.2">
      <c r="A1098" s="10">
        <v>2040</v>
      </c>
      <c r="B1098" s="9">
        <f t="shared" ref="B1098:O1098" si="27">AVERAGE(B338:B349)</f>
        <v>5.3088083333333334</v>
      </c>
      <c r="C1098" s="9">
        <f t="shared" si="27"/>
        <v>5.3088083333333334</v>
      </c>
      <c r="D1098" s="9">
        <f t="shared" si="27"/>
        <v>5.3098833333333326</v>
      </c>
      <c r="E1098" s="9">
        <f t="shared" si="27"/>
        <v>6.6098166666666671</v>
      </c>
      <c r="F1098" s="9">
        <f t="shared" si="27"/>
        <v>6.6098166666666671</v>
      </c>
      <c r="G1098" s="9">
        <f t="shared" si="27"/>
        <v>6.6134333333333331</v>
      </c>
      <c r="H1098" s="9">
        <f t="shared" si="27"/>
        <v>11.452516666666668</v>
      </c>
      <c r="I1098" s="9">
        <f t="shared" si="27"/>
        <v>11.456141666666666</v>
      </c>
      <c r="J1098" s="9">
        <f t="shared" si="27"/>
        <v>11.452516666666668</v>
      </c>
      <c r="K1098" s="9">
        <f t="shared" si="27"/>
        <v>11.456141666666666</v>
      </c>
      <c r="L1098" s="9">
        <f t="shared" si="27"/>
        <v>6.6098166666666671</v>
      </c>
      <c r="M1098" s="9">
        <f t="shared" si="27"/>
        <v>6.6134333333333331</v>
      </c>
      <c r="N1098" s="9">
        <f t="shared" si="27"/>
        <v>6.6098166666666671</v>
      </c>
      <c r="O1098" s="9">
        <f t="shared" si="27"/>
        <v>6.6134333333333331</v>
      </c>
    </row>
    <row r="1099" spans="1:15" ht="15" x14ac:dyDescent="0.2">
      <c r="A1099" s="10">
        <v>2041</v>
      </c>
      <c r="B1099" s="9">
        <f t="shared" ref="B1099:O1099" si="28">AVERAGE(B350:B361)</f>
        <v>5.4292249999999989</v>
      </c>
      <c r="C1099" s="9">
        <f t="shared" si="28"/>
        <v>5.4292249999999989</v>
      </c>
      <c r="D1099" s="9">
        <f t="shared" si="28"/>
        <v>5.4302916666666681</v>
      </c>
      <c r="E1099" s="9">
        <f t="shared" si="28"/>
        <v>6.6440333333333328</v>
      </c>
      <c r="F1099" s="9">
        <f t="shared" si="28"/>
        <v>6.6440333333333328</v>
      </c>
      <c r="G1099" s="9">
        <f t="shared" si="28"/>
        <v>6.6476666666666668</v>
      </c>
      <c r="H1099" s="9">
        <f t="shared" si="28"/>
        <v>11.742133333333333</v>
      </c>
      <c r="I1099" s="9">
        <f t="shared" si="28"/>
        <v>11.745750000000001</v>
      </c>
      <c r="J1099" s="9">
        <f t="shared" si="28"/>
        <v>11.742133333333333</v>
      </c>
      <c r="K1099" s="9">
        <f t="shared" si="28"/>
        <v>11.745750000000001</v>
      </c>
      <c r="L1099" s="9">
        <f t="shared" si="28"/>
        <v>6.6440333333333328</v>
      </c>
      <c r="M1099" s="9">
        <f t="shared" si="28"/>
        <v>6.6476666666666668</v>
      </c>
      <c r="N1099" s="9">
        <f t="shared" si="28"/>
        <v>6.6440333333333328</v>
      </c>
      <c r="O1099" s="9">
        <f t="shared" si="28"/>
        <v>6.6476666666666668</v>
      </c>
    </row>
    <row r="1100" spans="1:15" ht="15" x14ac:dyDescent="0.2">
      <c r="A1100" s="10">
        <v>2042</v>
      </c>
      <c r="B1100" s="9">
        <f t="shared" ref="B1100:O1100" si="29">AVERAGE(B362:B373)</f>
        <v>5.5523500000000006</v>
      </c>
      <c r="C1100" s="9">
        <f t="shared" si="29"/>
        <v>5.5523500000000006</v>
      </c>
      <c r="D1100" s="9">
        <f t="shared" si="29"/>
        <v>5.5534416666666653</v>
      </c>
      <c r="E1100" s="9">
        <f t="shared" si="29"/>
        <v>6.6822333333333335</v>
      </c>
      <c r="F1100" s="9">
        <f t="shared" si="29"/>
        <v>6.6822333333333335</v>
      </c>
      <c r="G1100" s="9">
        <f t="shared" si="29"/>
        <v>6.685858333333333</v>
      </c>
      <c r="H1100" s="9">
        <f t="shared" si="29"/>
        <v>12.039075000000002</v>
      </c>
      <c r="I1100" s="9">
        <f t="shared" si="29"/>
        <v>12.042708333333332</v>
      </c>
      <c r="J1100" s="9">
        <f t="shared" si="29"/>
        <v>12.039075000000002</v>
      </c>
      <c r="K1100" s="9">
        <f t="shared" si="29"/>
        <v>12.042708333333332</v>
      </c>
      <c r="L1100" s="9">
        <f t="shared" si="29"/>
        <v>6.6822333333333335</v>
      </c>
      <c r="M1100" s="9">
        <f t="shared" si="29"/>
        <v>6.685858333333333</v>
      </c>
      <c r="N1100" s="9">
        <f t="shared" si="29"/>
        <v>6.6822333333333335</v>
      </c>
      <c r="O1100" s="9">
        <f t="shared" si="29"/>
        <v>6.685858333333333</v>
      </c>
    </row>
    <row r="1101" spans="1:15" ht="15" x14ac:dyDescent="0.2">
      <c r="A1101" s="10">
        <v>2043</v>
      </c>
      <c r="B1101" s="9">
        <f t="shared" ref="B1101:O1101" si="30">AVERAGE(B374:B385)</f>
        <v>5.6783000000000001</v>
      </c>
      <c r="C1101" s="9">
        <f t="shared" si="30"/>
        <v>5.6783000000000001</v>
      </c>
      <c r="D1101" s="9">
        <f t="shared" si="30"/>
        <v>5.6793750000000003</v>
      </c>
      <c r="E1101" s="9">
        <f t="shared" si="30"/>
        <v>6.72445</v>
      </c>
      <c r="F1101" s="9">
        <f t="shared" si="30"/>
        <v>6.72445</v>
      </c>
      <c r="G1101" s="9">
        <f t="shared" si="30"/>
        <v>6.7280833333333332</v>
      </c>
      <c r="H1101" s="9">
        <f t="shared" si="30"/>
        <v>12.343516666666666</v>
      </c>
      <c r="I1101" s="9">
        <f t="shared" si="30"/>
        <v>12.347174999999998</v>
      </c>
      <c r="J1101" s="9">
        <f t="shared" si="30"/>
        <v>12.343516666666666</v>
      </c>
      <c r="K1101" s="9">
        <f t="shared" si="30"/>
        <v>12.347174999999998</v>
      </c>
      <c r="L1101" s="9">
        <f t="shared" si="30"/>
        <v>6.72445</v>
      </c>
      <c r="M1101" s="9">
        <f t="shared" si="30"/>
        <v>6.7280833333333332</v>
      </c>
      <c r="N1101" s="9">
        <f t="shared" si="30"/>
        <v>6.72445</v>
      </c>
      <c r="O1101" s="9">
        <f t="shared" si="30"/>
        <v>6.7280833333333332</v>
      </c>
    </row>
    <row r="1102" spans="1:15" ht="15" x14ac:dyDescent="0.2">
      <c r="A1102" s="10">
        <v>2044</v>
      </c>
      <c r="B1102" s="9">
        <f t="shared" ref="B1102:O1102" si="31">AVERAGE(B386:B397)</f>
        <v>5.807083333333332</v>
      </c>
      <c r="C1102" s="9">
        <f t="shared" si="31"/>
        <v>5.807083333333332</v>
      </c>
      <c r="D1102" s="9">
        <f t="shared" si="31"/>
        <v>5.808158333333334</v>
      </c>
      <c r="E1102" s="9">
        <f t="shared" si="31"/>
        <v>6.774516666666667</v>
      </c>
      <c r="F1102" s="9">
        <f t="shared" si="31"/>
        <v>6.774516666666667</v>
      </c>
      <c r="G1102" s="9">
        <f t="shared" si="31"/>
        <v>6.7781333333333329</v>
      </c>
      <c r="H1102" s="9">
        <f t="shared" si="31"/>
        <v>12.655675</v>
      </c>
      <c r="I1102" s="9">
        <f t="shared" si="31"/>
        <v>12.659308333333335</v>
      </c>
      <c r="J1102" s="9">
        <f t="shared" si="31"/>
        <v>12.655675</v>
      </c>
      <c r="K1102" s="9">
        <f t="shared" si="31"/>
        <v>12.659308333333335</v>
      </c>
      <c r="L1102" s="9">
        <f t="shared" si="31"/>
        <v>6.774516666666667</v>
      </c>
      <c r="M1102" s="9">
        <f t="shared" si="31"/>
        <v>6.7781333333333329</v>
      </c>
      <c r="N1102" s="9">
        <f t="shared" si="31"/>
        <v>6.774516666666667</v>
      </c>
      <c r="O1102" s="9">
        <f t="shared" si="31"/>
        <v>6.7781333333333329</v>
      </c>
    </row>
    <row r="1103" spans="1:15" ht="15" x14ac:dyDescent="0.2">
      <c r="A1103" s="10">
        <v>2045</v>
      </c>
      <c r="B1103" s="9">
        <f t="shared" ref="B1103:O1103" si="32">AVERAGE(B398:B409)</f>
        <v>5.9387999999999996</v>
      </c>
      <c r="C1103" s="9">
        <f t="shared" si="32"/>
        <v>5.9387999999999996</v>
      </c>
      <c r="D1103" s="9">
        <f t="shared" si="32"/>
        <v>5.9398916666666679</v>
      </c>
      <c r="E1103" s="9">
        <f t="shared" si="32"/>
        <v>6.8389249999999997</v>
      </c>
      <c r="F1103" s="9">
        <f t="shared" si="32"/>
        <v>6.8389249999999997</v>
      </c>
      <c r="G1103" s="9">
        <f t="shared" si="32"/>
        <v>6.8425583333333337</v>
      </c>
      <c r="H1103" s="9">
        <f t="shared" si="32"/>
        <v>12.975716666666665</v>
      </c>
      <c r="I1103" s="9">
        <f t="shared" si="32"/>
        <v>12.979358333333332</v>
      </c>
      <c r="J1103" s="9">
        <f t="shared" si="32"/>
        <v>12.975716666666665</v>
      </c>
      <c r="K1103" s="9">
        <f t="shared" si="32"/>
        <v>12.979358333333332</v>
      </c>
      <c r="L1103" s="9">
        <f t="shared" si="32"/>
        <v>6.8389249999999997</v>
      </c>
      <c r="M1103" s="9">
        <f t="shared" si="32"/>
        <v>6.8425583333333337</v>
      </c>
      <c r="N1103" s="9">
        <f t="shared" si="32"/>
        <v>6.8389249999999997</v>
      </c>
      <c r="O1103" s="9">
        <f t="shared" si="32"/>
        <v>6.8425583333333337</v>
      </c>
    </row>
    <row r="1104" spans="1:15" ht="15" x14ac:dyDescent="0.2">
      <c r="A1104" s="10">
        <v>2046</v>
      </c>
      <c r="B1104" s="9">
        <f t="shared" ref="B1104:O1104" si="33">AVERAGE(B410:B421)</f>
        <v>6.073525000000001</v>
      </c>
      <c r="C1104" s="9">
        <f t="shared" si="33"/>
        <v>6.073525000000001</v>
      </c>
      <c r="D1104" s="9">
        <f t="shared" si="33"/>
        <v>6.0745999999999993</v>
      </c>
      <c r="E1104" s="9">
        <f t="shared" si="33"/>
        <v>6.9243500000000004</v>
      </c>
      <c r="F1104" s="9">
        <f t="shared" si="33"/>
        <v>6.9243500000000004</v>
      </c>
      <c r="G1104" s="9">
        <f t="shared" si="33"/>
        <v>6.927975</v>
      </c>
      <c r="H1104" s="9">
        <f t="shared" si="33"/>
        <v>13.303866666666666</v>
      </c>
      <c r="I1104" s="9">
        <f t="shared" si="33"/>
        <v>13.307483333333336</v>
      </c>
      <c r="J1104" s="9">
        <f t="shared" si="33"/>
        <v>13.303866666666666</v>
      </c>
      <c r="K1104" s="9">
        <f t="shared" si="33"/>
        <v>13.307483333333336</v>
      </c>
      <c r="L1104" s="9">
        <f t="shared" si="33"/>
        <v>6.9243500000000004</v>
      </c>
      <c r="M1104" s="9">
        <f t="shared" si="33"/>
        <v>6.927975</v>
      </c>
      <c r="N1104" s="9">
        <f t="shared" si="33"/>
        <v>6.9243500000000004</v>
      </c>
      <c r="O1104" s="9">
        <f t="shared" si="33"/>
        <v>6.927975</v>
      </c>
    </row>
    <row r="1105" spans="1:15" ht="15" x14ac:dyDescent="0.2">
      <c r="A1105" s="10">
        <v>2047</v>
      </c>
      <c r="B1105" s="9">
        <f t="shared" ref="B1105:O1105" si="34">AVERAGE(B422:B433)</f>
        <v>6.2112833333333333</v>
      </c>
      <c r="C1105" s="9">
        <f t="shared" si="34"/>
        <v>6.2112833333333333</v>
      </c>
      <c r="D1105" s="9">
        <f t="shared" si="34"/>
        <v>6.2123833333333343</v>
      </c>
      <c r="E1105" s="9">
        <f t="shared" si="34"/>
        <v>7.0300916666666664</v>
      </c>
      <c r="F1105" s="9">
        <f t="shared" si="34"/>
        <v>7.0300916666666664</v>
      </c>
      <c r="G1105" s="9">
        <f t="shared" si="34"/>
        <v>7.0337416666666668</v>
      </c>
      <c r="H1105" s="9">
        <f t="shared" si="34"/>
        <v>13.640291666666668</v>
      </c>
      <c r="I1105" s="9">
        <f t="shared" si="34"/>
        <v>13.643925000000001</v>
      </c>
      <c r="J1105" s="9">
        <f t="shared" si="34"/>
        <v>13.640291666666668</v>
      </c>
      <c r="K1105" s="9">
        <f t="shared" si="34"/>
        <v>13.643925000000001</v>
      </c>
      <c r="L1105" s="9">
        <f t="shared" si="34"/>
        <v>7.0300916666666664</v>
      </c>
      <c r="M1105" s="9">
        <f t="shared" si="34"/>
        <v>7.0337416666666668</v>
      </c>
      <c r="N1105" s="9">
        <f t="shared" si="34"/>
        <v>7.0300916666666664</v>
      </c>
      <c r="O1105" s="9">
        <f t="shared" si="34"/>
        <v>7.0337416666666668</v>
      </c>
    </row>
    <row r="1106" spans="1:15" ht="15" x14ac:dyDescent="0.2">
      <c r="A1106" s="10">
        <v>2048</v>
      </c>
      <c r="B1106" s="9">
        <f t="shared" ref="B1106:O1106" si="35">AVERAGE(B434:B445)</f>
        <v>6.3522166666666671</v>
      </c>
      <c r="C1106" s="9">
        <f t="shared" si="35"/>
        <v>6.3522166666666671</v>
      </c>
      <c r="D1106" s="9">
        <f t="shared" si="35"/>
        <v>6.3532750000000009</v>
      </c>
      <c r="E1106" s="9">
        <f t="shared" si="35"/>
        <v>7.1572916666666666</v>
      </c>
      <c r="F1106" s="9">
        <f t="shared" si="35"/>
        <v>7.1572916666666666</v>
      </c>
      <c r="G1106" s="9">
        <f t="shared" si="35"/>
        <v>7.1609083333333343</v>
      </c>
      <c r="H1106" s="9">
        <f t="shared" si="35"/>
        <v>13.985233333333333</v>
      </c>
      <c r="I1106" s="9">
        <f t="shared" si="35"/>
        <v>13.988849999999999</v>
      </c>
      <c r="J1106" s="9">
        <f t="shared" si="35"/>
        <v>13.985233333333333</v>
      </c>
      <c r="K1106" s="9">
        <f t="shared" si="35"/>
        <v>13.988849999999999</v>
      </c>
      <c r="L1106" s="9">
        <f t="shared" si="35"/>
        <v>7.1572916666666666</v>
      </c>
      <c r="M1106" s="9">
        <f t="shared" si="35"/>
        <v>7.1609083333333343</v>
      </c>
      <c r="N1106" s="9">
        <f t="shared" si="35"/>
        <v>7.1572916666666666</v>
      </c>
      <c r="O1106" s="9">
        <f t="shared" si="35"/>
        <v>7.1609083333333343</v>
      </c>
    </row>
    <row r="1107" spans="1:15" ht="15" x14ac:dyDescent="0.2">
      <c r="A1107" s="10">
        <v>2049</v>
      </c>
      <c r="B1107" s="9">
        <f t="shared" ref="B1107:O1107" si="36">AVERAGE(B446:B457)</f>
        <v>6.4963166666666652</v>
      </c>
      <c r="C1107" s="9">
        <f t="shared" si="36"/>
        <v>6.4963166666666652</v>
      </c>
      <c r="D1107" s="9">
        <f t="shared" si="36"/>
        <v>6.4973666666666654</v>
      </c>
      <c r="E1107" s="9">
        <f t="shared" si="36"/>
        <v>7.3044833333333328</v>
      </c>
      <c r="F1107" s="9">
        <f t="shared" si="36"/>
        <v>7.3044833333333328</v>
      </c>
      <c r="G1107" s="9">
        <f t="shared" si="36"/>
        <v>7.3080999999999996</v>
      </c>
      <c r="H1107" s="9">
        <f t="shared" si="36"/>
        <v>14.338891666666667</v>
      </c>
      <c r="I1107" s="9">
        <f t="shared" si="36"/>
        <v>14.34253333333333</v>
      </c>
      <c r="J1107" s="9">
        <f t="shared" si="36"/>
        <v>14.338891666666667</v>
      </c>
      <c r="K1107" s="9">
        <f t="shared" si="36"/>
        <v>14.34253333333333</v>
      </c>
      <c r="L1107" s="9">
        <f t="shared" si="36"/>
        <v>7.3044833333333328</v>
      </c>
      <c r="M1107" s="9">
        <f t="shared" si="36"/>
        <v>7.3080999999999996</v>
      </c>
      <c r="N1107" s="9">
        <f t="shared" si="36"/>
        <v>7.3044833333333328</v>
      </c>
      <c r="O1107" s="9">
        <f t="shared" si="36"/>
        <v>7.3080999999999996</v>
      </c>
    </row>
    <row r="1108" spans="1:15" ht="15" x14ac:dyDescent="0.2">
      <c r="A1108" s="10">
        <v>2050</v>
      </c>
      <c r="B1108" s="9">
        <f t="shared" ref="B1108:O1108" si="37">AVERAGE(B458:B469)</f>
        <v>6.6436749999999982</v>
      </c>
      <c r="C1108" s="9">
        <f t="shared" si="37"/>
        <v>6.6436749999999982</v>
      </c>
      <c r="D1108" s="9">
        <f t="shared" si="37"/>
        <v>6.6447583333333329</v>
      </c>
      <c r="E1108" s="9">
        <f t="shared" si="37"/>
        <v>7.4640833333333338</v>
      </c>
      <c r="F1108" s="9">
        <f t="shared" si="37"/>
        <v>7.4640833333333338</v>
      </c>
      <c r="G1108" s="9">
        <f t="shared" si="37"/>
        <v>7.4676999999999998</v>
      </c>
      <c r="H1108" s="9">
        <f t="shared" si="37"/>
        <v>14.701491666666669</v>
      </c>
      <c r="I1108" s="9">
        <f t="shared" si="37"/>
        <v>14.705133333333336</v>
      </c>
      <c r="J1108" s="9">
        <f t="shared" si="37"/>
        <v>14.701491666666669</v>
      </c>
      <c r="K1108" s="9">
        <f t="shared" si="37"/>
        <v>14.705133333333336</v>
      </c>
      <c r="L1108" s="9">
        <f t="shared" si="37"/>
        <v>7.4640833333333338</v>
      </c>
      <c r="M1108" s="9">
        <f t="shared" si="37"/>
        <v>7.4676999999999998</v>
      </c>
      <c r="N1108" s="9">
        <f t="shared" si="37"/>
        <v>7.4640833333333338</v>
      </c>
      <c r="O1108" s="9">
        <f t="shared" si="37"/>
        <v>7.4676999999999998</v>
      </c>
    </row>
    <row r="1109" spans="1:15" ht="15" x14ac:dyDescent="0.2">
      <c r="A1109" s="10">
        <v>2051</v>
      </c>
      <c r="B1109" s="9">
        <f t="shared" ref="B1109:O1109" si="38">AVERAGE(B470:B481)</f>
        <v>6.7943916666666659</v>
      </c>
      <c r="C1109" s="9">
        <f t="shared" si="38"/>
        <v>6.7943916666666659</v>
      </c>
      <c r="D1109" s="9">
        <f t="shared" si="38"/>
        <v>6.7955000000000005</v>
      </c>
      <c r="E1109" s="9">
        <f t="shared" si="38"/>
        <v>7.627958333333333</v>
      </c>
      <c r="F1109" s="9">
        <f t="shared" si="38"/>
        <v>7.627958333333333</v>
      </c>
      <c r="G1109" s="9">
        <f t="shared" si="38"/>
        <v>7.6316166666666669</v>
      </c>
      <c r="H1109" s="9">
        <f t="shared" si="38"/>
        <v>15.073275000000001</v>
      </c>
      <c r="I1109" s="9">
        <f t="shared" si="38"/>
        <v>15.0769</v>
      </c>
      <c r="J1109" s="9">
        <f t="shared" si="38"/>
        <v>15.073275000000001</v>
      </c>
      <c r="K1109" s="9">
        <f t="shared" si="38"/>
        <v>15.0769</v>
      </c>
      <c r="L1109" s="9">
        <f t="shared" si="38"/>
        <v>7.627958333333333</v>
      </c>
      <c r="M1109" s="9">
        <f t="shared" si="38"/>
        <v>7.6316166666666669</v>
      </c>
      <c r="N1109" s="9">
        <f t="shared" si="38"/>
        <v>7.627958333333333</v>
      </c>
      <c r="O1109" s="9">
        <f t="shared" si="38"/>
        <v>7.6316166666666669</v>
      </c>
    </row>
    <row r="1110" spans="1:15" ht="15" x14ac:dyDescent="0.2">
      <c r="A1110" s="10">
        <v>2052</v>
      </c>
      <c r="B1110" s="9">
        <f t="shared" ref="B1110:O1110" si="39">AVERAGE(B482:B493)</f>
        <v>6.9485583333333336</v>
      </c>
      <c r="C1110" s="9">
        <f t="shared" si="39"/>
        <v>6.9485583333333336</v>
      </c>
      <c r="D1110" s="9">
        <f t="shared" si="39"/>
        <v>6.949650000000001</v>
      </c>
      <c r="E1110" s="9">
        <f t="shared" si="39"/>
        <v>7.7962999999999996</v>
      </c>
      <c r="F1110" s="9">
        <f t="shared" si="39"/>
        <v>7.7962999999999996</v>
      </c>
      <c r="G1110" s="9">
        <f t="shared" si="39"/>
        <v>7.7999333333333327</v>
      </c>
      <c r="H1110" s="9">
        <f t="shared" si="39"/>
        <v>15.454475000000002</v>
      </c>
      <c r="I1110" s="9">
        <f t="shared" si="39"/>
        <v>15.458100000000002</v>
      </c>
      <c r="J1110" s="9">
        <f t="shared" si="39"/>
        <v>15.454475000000002</v>
      </c>
      <c r="K1110" s="9">
        <f t="shared" si="39"/>
        <v>15.458100000000002</v>
      </c>
      <c r="L1110" s="9">
        <f t="shared" si="39"/>
        <v>7.7962999999999996</v>
      </c>
      <c r="M1110" s="9">
        <f t="shared" si="39"/>
        <v>7.7999333333333327</v>
      </c>
      <c r="N1110" s="9">
        <f t="shared" si="39"/>
        <v>7.7962999999999996</v>
      </c>
      <c r="O1110" s="9">
        <f t="shared" si="39"/>
        <v>7.7999333333333327</v>
      </c>
    </row>
    <row r="1111" spans="1:15" ht="15" x14ac:dyDescent="0.2">
      <c r="A1111" s="10">
        <v>2053</v>
      </c>
      <c r="B1111" s="9">
        <f t="shared" ref="B1111:O1111" si="40">AVERAGE(B494:B505)</f>
        <v>7.1062166666666675</v>
      </c>
      <c r="C1111" s="9">
        <f t="shared" si="40"/>
        <v>7.1062166666666675</v>
      </c>
      <c r="D1111" s="9">
        <f t="shared" si="40"/>
        <v>7.107316666666665</v>
      </c>
      <c r="E1111" s="9">
        <f t="shared" si="40"/>
        <v>7.9691916666666662</v>
      </c>
      <c r="F1111" s="9">
        <f t="shared" si="40"/>
        <v>7.9691916666666662</v>
      </c>
      <c r="G1111" s="9">
        <f t="shared" si="40"/>
        <v>7.9728249999999994</v>
      </c>
      <c r="H1111" s="9">
        <f t="shared" si="40"/>
        <v>15.845283333333334</v>
      </c>
      <c r="I1111" s="9">
        <f t="shared" si="40"/>
        <v>15.848916666666666</v>
      </c>
      <c r="J1111" s="9">
        <f t="shared" si="40"/>
        <v>15.845283333333334</v>
      </c>
      <c r="K1111" s="9">
        <f t="shared" si="40"/>
        <v>15.848916666666666</v>
      </c>
      <c r="L1111" s="9">
        <f t="shared" si="40"/>
        <v>7.9691916666666662</v>
      </c>
      <c r="M1111" s="9">
        <f t="shared" si="40"/>
        <v>7.9728249999999994</v>
      </c>
      <c r="N1111" s="9">
        <f t="shared" si="40"/>
        <v>7.9691916666666662</v>
      </c>
      <c r="O1111" s="9">
        <f t="shared" si="40"/>
        <v>7.9728249999999994</v>
      </c>
    </row>
    <row r="1112" spans="1:15" ht="15" x14ac:dyDescent="0.2">
      <c r="A1112" s="10">
        <v>2054</v>
      </c>
      <c r="B1112" s="9">
        <f t="shared" ref="B1112:O1112" si="41">AVERAGE(B506:B517)</f>
        <v>7.2674666666666674</v>
      </c>
      <c r="C1112" s="9">
        <f t="shared" si="41"/>
        <v>7.2674666666666674</v>
      </c>
      <c r="D1112" s="9">
        <f t="shared" si="41"/>
        <v>7.2685416666666667</v>
      </c>
      <c r="E1112" s="9">
        <f t="shared" si="41"/>
        <v>8.1467749999999999</v>
      </c>
      <c r="F1112" s="9">
        <f t="shared" si="41"/>
        <v>8.1467749999999999</v>
      </c>
      <c r="G1112" s="9">
        <f t="shared" si="41"/>
        <v>8.1504000000000012</v>
      </c>
      <c r="H1112" s="9">
        <f t="shared" si="41"/>
        <v>16.245991666666669</v>
      </c>
      <c r="I1112" s="9">
        <f t="shared" si="41"/>
        <v>16.249624999999998</v>
      </c>
      <c r="J1112" s="9">
        <f t="shared" si="41"/>
        <v>16.245991666666669</v>
      </c>
      <c r="K1112" s="9">
        <f t="shared" si="41"/>
        <v>16.249624999999998</v>
      </c>
      <c r="L1112" s="9">
        <f t="shared" si="41"/>
        <v>8.1467749999999999</v>
      </c>
      <c r="M1112" s="9">
        <f t="shared" si="41"/>
        <v>8.1504000000000012</v>
      </c>
      <c r="N1112" s="9">
        <f t="shared" si="41"/>
        <v>8.1467749999999999</v>
      </c>
      <c r="O1112" s="9">
        <f t="shared" si="41"/>
        <v>8.1504000000000012</v>
      </c>
    </row>
    <row r="1113" spans="1:15" ht="15" x14ac:dyDescent="0.2">
      <c r="A1113" s="10">
        <v>2055</v>
      </c>
      <c r="B1113" s="9">
        <f t="shared" ref="B1113:O1113" si="42">AVERAGE(B18:B529)</f>
        <v>4.7923289062500007</v>
      </c>
      <c r="C1113" s="9">
        <f t="shared" si="42"/>
        <v>4.7910062500000006</v>
      </c>
      <c r="D1113" s="9">
        <f t="shared" si="42"/>
        <v>4.7936054687500009</v>
      </c>
      <c r="E1113" s="9">
        <f t="shared" si="42"/>
        <v>5.8382347656249998</v>
      </c>
      <c r="F1113" s="9">
        <f t="shared" si="42"/>
        <v>5.8204392578124997</v>
      </c>
      <c r="G1113" s="9">
        <f t="shared" si="42"/>
        <v>5.8244486328125014</v>
      </c>
      <c r="H1113" s="9">
        <f t="shared" si="42"/>
        <v>10.374734374999996</v>
      </c>
      <c r="I1113" s="9">
        <f t="shared" si="42"/>
        <v>10.378745507812493</v>
      </c>
      <c r="J1113" s="9">
        <f t="shared" si="42"/>
        <v>10.374734374999996</v>
      </c>
      <c r="K1113" s="9">
        <f t="shared" si="42"/>
        <v>10.378745507812493</v>
      </c>
      <c r="L1113" s="9">
        <f t="shared" si="42"/>
        <v>5.8382347656249998</v>
      </c>
      <c r="M1113" s="9">
        <f t="shared" si="42"/>
        <v>5.8422429687500017</v>
      </c>
      <c r="N1113" s="9">
        <f t="shared" si="42"/>
        <v>5.8382347656249998</v>
      </c>
      <c r="O1113" s="9">
        <f t="shared" si="42"/>
        <v>5.8422429687500017</v>
      </c>
    </row>
    <row r="1114" spans="1:15" ht="15" x14ac:dyDescent="0.2">
      <c r="A1114" s="10">
        <v>2056</v>
      </c>
      <c r="B1114" s="9">
        <f t="shared" ref="B1114:O1114" si="43">AVERAGE(B530:B541)</f>
        <v>7.6010166666666663</v>
      </c>
      <c r="C1114" s="9">
        <f t="shared" si="43"/>
        <v>7.6010166666666663</v>
      </c>
      <c r="D1114" s="9">
        <f t="shared" si="43"/>
        <v>7.6020666666666665</v>
      </c>
      <c r="E1114" s="9">
        <f t="shared" si="43"/>
        <v>8.5165749999999996</v>
      </c>
      <c r="F1114" s="9">
        <f t="shared" si="43"/>
        <v>8.5165749999999996</v>
      </c>
      <c r="G1114" s="9">
        <f t="shared" si="43"/>
        <v>8.5202166666666646</v>
      </c>
      <c r="H1114" s="9">
        <f t="shared" si="43"/>
        <v>17.078049999999998</v>
      </c>
      <c r="I1114" s="9">
        <f t="shared" si="43"/>
        <v>17.081675000000001</v>
      </c>
      <c r="J1114" s="9">
        <f t="shared" si="43"/>
        <v>17.078049999999998</v>
      </c>
      <c r="K1114" s="9">
        <f t="shared" si="43"/>
        <v>17.081675000000001</v>
      </c>
      <c r="L1114" s="9">
        <f t="shared" si="43"/>
        <v>8.5165749999999996</v>
      </c>
      <c r="M1114" s="9">
        <f t="shared" si="43"/>
        <v>8.5202166666666646</v>
      </c>
      <c r="N1114" s="9">
        <f t="shared" si="43"/>
        <v>8.5165749999999996</v>
      </c>
      <c r="O1114" s="9">
        <f t="shared" si="43"/>
        <v>8.5202166666666646</v>
      </c>
    </row>
    <row r="1115" spans="1:15" ht="15" x14ac:dyDescent="0.2">
      <c r="A1115" s="10">
        <v>2057</v>
      </c>
      <c r="B1115" s="9">
        <f t="shared" ref="B1115:O1115" si="44">AVERAGE(B542:B553)</f>
        <v>7.7734750000000012</v>
      </c>
      <c r="C1115" s="9">
        <f t="shared" si="44"/>
        <v>7.7734750000000012</v>
      </c>
      <c r="D1115" s="9">
        <f t="shared" si="44"/>
        <v>7.7745583333333323</v>
      </c>
      <c r="E1115" s="9">
        <f t="shared" si="44"/>
        <v>8.7090916666666676</v>
      </c>
      <c r="F1115" s="9">
        <f t="shared" si="44"/>
        <v>8.7090916666666676</v>
      </c>
      <c r="G1115" s="9">
        <f t="shared" si="44"/>
        <v>8.7127333333333308</v>
      </c>
      <c r="H1115" s="9">
        <f t="shared" si="44"/>
        <v>17.509924999999996</v>
      </c>
      <c r="I1115" s="9">
        <f t="shared" si="44"/>
        <v>17.513550000000002</v>
      </c>
      <c r="J1115" s="9">
        <f t="shared" si="44"/>
        <v>17.509924999999996</v>
      </c>
      <c r="K1115" s="9">
        <f t="shared" si="44"/>
        <v>17.513550000000002</v>
      </c>
      <c r="L1115" s="9">
        <f t="shared" si="44"/>
        <v>8.7090916666666676</v>
      </c>
      <c r="M1115" s="9">
        <f t="shared" si="44"/>
        <v>8.7127333333333308</v>
      </c>
      <c r="N1115" s="9">
        <f t="shared" si="44"/>
        <v>8.7090916666666676</v>
      </c>
      <c r="O1115" s="9">
        <f t="shared" si="44"/>
        <v>8.7127333333333308</v>
      </c>
    </row>
    <row r="1116" spans="1:15" ht="15" x14ac:dyDescent="0.2">
      <c r="A1116" s="10">
        <v>2058</v>
      </c>
      <c r="B1116" s="9">
        <f t="shared" ref="B1116:O1116" si="45">AVERAGE(B554:B565)</f>
        <v>7.9498749999999996</v>
      </c>
      <c r="C1116" s="9">
        <f t="shared" si="45"/>
        <v>7.9498749999999996</v>
      </c>
      <c r="D1116" s="9">
        <f t="shared" si="45"/>
        <v>7.9509583333333333</v>
      </c>
      <c r="E1116" s="9">
        <f t="shared" si="45"/>
        <v>8.9068749999999994</v>
      </c>
      <c r="F1116" s="9">
        <f t="shared" si="45"/>
        <v>8.9068749999999994</v>
      </c>
      <c r="G1116" s="9">
        <f t="shared" si="45"/>
        <v>8.9105083333333344</v>
      </c>
      <c r="H1116" s="9">
        <f t="shared" si="45"/>
        <v>17.952716666666664</v>
      </c>
      <c r="I1116" s="9">
        <f t="shared" si="45"/>
        <v>17.95635</v>
      </c>
      <c r="J1116" s="9">
        <f t="shared" si="45"/>
        <v>17.952716666666664</v>
      </c>
      <c r="K1116" s="9">
        <f t="shared" si="45"/>
        <v>17.95635</v>
      </c>
      <c r="L1116" s="9">
        <f t="shared" si="45"/>
        <v>8.9068749999999994</v>
      </c>
      <c r="M1116" s="9">
        <f t="shared" si="45"/>
        <v>8.9105083333333344</v>
      </c>
      <c r="N1116" s="9">
        <f t="shared" si="45"/>
        <v>8.9068749999999994</v>
      </c>
      <c r="O1116" s="9">
        <f t="shared" si="45"/>
        <v>8.9105083333333344</v>
      </c>
    </row>
    <row r="1117" spans="1:15" ht="15" x14ac:dyDescent="0.2">
      <c r="A1117" s="10">
        <v>2059</v>
      </c>
      <c r="B1117" s="9">
        <f t="shared" ref="B1117:O1117" si="46">AVERAGE(B566:B577)</f>
        <v>8.1302916666666665</v>
      </c>
      <c r="C1117" s="9">
        <f t="shared" si="46"/>
        <v>8.1302916666666665</v>
      </c>
      <c r="D1117" s="9">
        <f t="shared" si="46"/>
        <v>8.1313666666666666</v>
      </c>
      <c r="E1117" s="9">
        <f t="shared" si="46"/>
        <v>9.1100750000000001</v>
      </c>
      <c r="F1117" s="9">
        <f t="shared" si="46"/>
        <v>9.1100750000000001</v>
      </c>
      <c r="G1117" s="9">
        <f t="shared" si="46"/>
        <v>9.1137166666666669</v>
      </c>
      <c r="H1117" s="9">
        <f t="shared" si="46"/>
        <v>18.406724999999998</v>
      </c>
      <c r="I1117" s="9">
        <f t="shared" si="46"/>
        <v>18.410366666666665</v>
      </c>
      <c r="J1117" s="9">
        <f t="shared" si="46"/>
        <v>18.406724999999998</v>
      </c>
      <c r="K1117" s="9">
        <f t="shared" si="46"/>
        <v>18.410366666666665</v>
      </c>
      <c r="L1117" s="9">
        <f t="shared" si="46"/>
        <v>9.1100750000000001</v>
      </c>
      <c r="M1117" s="9">
        <f t="shared" si="46"/>
        <v>9.1137166666666669</v>
      </c>
      <c r="N1117" s="9">
        <f t="shared" si="46"/>
        <v>9.1100750000000001</v>
      </c>
      <c r="O1117" s="9">
        <f t="shared" si="46"/>
        <v>9.1137166666666669</v>
      </c>
    </row>
    <row r="1118" spans="1:15" ht="15" x14ac:dyDescent="0.2">
      <c r="A1118" s="10">
        <v>2060</v>
      </c>
      <c r="B1118" s="9">
        <f t="shared" ref="B1118:O1118" si="47">AVERAGE(B578:B589)</f>
        <v>8.3147999999999982</v>
      </c>
      <c r="C1118" s="9">
        <f t="shared" si="47"/>
        <v>8.3147999999999982</v>
      </c>
      <c r="D1118" s="9">
        <f t="shared" si="47"/>
        <v>8.3158666666666665</v>
      </c>
      <c r="E1118" s="9">
        <f t="shared" si="47"/>
        <v>9.3188999999999993</v>
      </c>
      <c r="F1118" s="9">
        <f t="shared" si="47"/>
        <v>9.3188999999999993</v>
      </c>
      <c r="G1118" s="9">
        <f t="shared" si="47"/>
        <v>9.322516666666667</v>
      </c>
      <c r="H1118" s="9">
        <f t="shared" si="47"/>
        <v>18.872208333333333</v>
      </c>
      <c r="I1118" s="9">
        <f t="shared" si="47"/>
        <v>18.875841666666666</v>
      </c>
      <c r="J1118" s="9">
        <f t="shared" si="47"/>
        <v>18.872208333333333</v>
      </c>
      <c r="K1118" s="9">
        <f t="shared" si="47"/>
        <v>18.875841666666666</v>
      </c>
      <c r="L1118" s="9">
        <f t="shared" si="47"/>
        <v>9.3188999999999993</v>
      </c>
      <c r="M1118" s="9">
        <f t="shared" si="47"/>
        <v>9.322516666666667</v>
      </c>
      <c r="N1118" s="9">
        <f t="shared" si="47"/>
        <v>9.3188999999999993</v>
      </c>
      <c r="O1118" s="9">
        <f t="shared" si="47"/>
        <v>9.322516666666667</v>
      </c>
    </row>
    <row r="1119" spans="1:15" ht="15" x14ac:dyDescent="0.2">
      <c r="A1119" s="10">
        <v>2061</v>
      </c>
      <c r="B1119" s="9">
        <f t="shared" ref="B1119:O1119" si="48">AVERAGE(B590:B601)</f>
        <v>8.5034916666666671</v>
      </c>
      <c r="C1119" s="9">
        <f t="shared" si="48"/>
        <v>8.5034916666666671</v>
      </c>
      <c r="D1119" s="9">
        <f t="shared" si="48"/>
        <v>8.5045750000000009</v>
      </c>
      <c r="E1119" s="9">
        <f t="shared" si="48"/>
        <v>9.5334583333333338</v>
      </c>
      <c r="F1119" s="9">
        <f t="shared" si="48"/>
        <v>9.5334583333333338</v>
      </c>
      <c r="G1119" s="9">
        <f t="shared" si="48"/>
        <v>9.537091666666667</v>
      </c>
      <c r="H1119" s="9">
        <f t="shared" si="48"/>
        <v>19.349433333333334</v>
      </c>
      <c r="I1119" s="9">
        <f t="shared" si="48"/>
        <v>19.353066666666667</v>
      </c>
      <c r="J1119" s="9">
        <f t="shared" si="48"/>
        <v>19.349433333333334</v>
      </c>
      <c r="K1119" s="9">
        <f t="shared" si="48"/>
        <v>19.353066666666667</v>
      </c>
      <c r="L1119" s="9">
        <f t="shared" si="48"/>
        <v>9.5334583333333338</v>
      </c>
      <c r="M1119" s="9">
        <f t="shared" si="48"/>
        <v>9.537091666666667</v>
      </c>
      <c r="N1119" s="9">
        <f t="shared" si="48"/>
        <v>9.5334583333333338</v>
      </c>
      <c r="O1119" s="9">
        <f t="shared" si="48"/>
        <v>9.537091666666667</v>
      </c>
    </row>
    <row r="1120" spans="1:15" ht="15" x14ac:dyDescent="0.2">
      <c r="A1120" s="10">
        <v>2062</v>
      </c>
      <c r="B1120" s="9">
        <f t="shared" ref="B1120:O1129" ca="1" si="49">AVERAGE(OFFSET(B$602,($A1120-$A$1120)*12,0,12,1))</f>
        <v>8.6921999999999979</v>
      </c>
      <c r="C1120" s="9">
        <f t="shared" ca="1" si="49"/>
        <v>8.6921999999999979</v>
      </c>
      <c r="D1120" s="9">
        <f t="shared" ca="1" si="49"/>
        <v>8.6932749999999981</v>
      </c>
      <c r="E1120" s="9">
        <f t="shared" ca="1" si="49"/>
        <v>9.7480333333333338</v>
      </c>
      <c r="F1120" s="9">
        <f t="shared" ca="1" si="49"/>
        <v>9.7480333333333338</v>
      </c>
      <c r="G1120" s="9">
        <f t="shared" ca="1" si="49"/>
        <v>9.7516583333333333</v>
      </c>
      <c r="H1120" s="9">
        <f t="shared" ca="1" si="49"/>
        <v>19.826691666666665</v>
      </c>
      <c r="I1120" s="9">
        <f t="shared" ca="1" si="49"/>
        <v>19.830324999999998</v>
      </c>
      <c r="J1120" s="9">
        <f t="shared" ca="1" si="49"/>
        <v>19.826691666666665</v>
      </c>
      <c r="K1120" s="9">
        <f t="shared" ca="1" si="49"/>
        <v>19.830324999999998</v>
      </c>
      <c r="L1120" s="9">
        <f t="shared" ca="1" si="49"/>
        <v>9.7480333333333338</v>
      </c>
      <c r="M1120" s="9">
        <f t="shared" ca="1" si="49"/>
        <v>9.7516583333333333</v>
      </c>
      <c r="N1120" s="9">
        <f t="shared" ca="1" si="49"/>
        <v>9.7480333333333338</v>
      </c>
      <c r="O1120" s="9">
        <f t="shared" ca="1" si="49"/>
        <v>9.7516583333333333</v>
      </c>
    </row>
    <row r="1121" spans="1:15" ht="15" x14ac:dyDescent="0.2">
      <c r="A1121" s="10">
        <v>2063</v>
      </c>
      <c r="B1121" s="9">
        <f t="shared" ca="1" si="49"/>
        <v>8.8809083333333341</v>
      </c>
      <c r="C1121" s="9">
        <f t="shared" ca="1" si="49"/>
        <v>8.8809083333333341</v>
      </c>
      <c r="D1121" s="9">
        <f t="shared" ca="1" si="49"/>
        <v>8.8819666666666652</v>
      </c>
      <c r="E1121" s="9">
        <f t="shared" ca="1" si="49"/>
        <v>9.9625916666666665</v>
      </c>
      <c r="F1121" s="9">
        <f t="shared" ca="1" si="49"/>
        <v>9.9625916666666665</v>
      </c>
      <c r="G1121" s="9">
        <f t="shared" ca="1" si="49"/>
        <v>9.9662166666666661</v>
      </c>
      <c r="H1121" s="9">
        <f t="shared" ca="1" si="49"/>
        <v>20.303949999999997</v>
      </c>
      <c r="I1121" s="9">
        <f t="shared" ca="1" si="49"/>
        <v>20.307583333333337</v>
      </c>
      <c r="J1121" s="9">
        <f t="shared" ca="1" si="49"/>
        <v>20.303949999999997</v>
      </c>
      <c r="K1121" s="9">
        <f t="shared" ca="1" si="49"/>
        <v>20.307583333333337</v>
      </c>
      <c r="L1121" s="9">
        <f t="shared" ca="1" si="49"/>
        <v>9.9625916666666665</v>
      </c>
      <c r="M1121" s="9">
        <f t="shared" ca="1" si="49"/>
        <v>9.9662166666666661</v>
      </c>
      <c r="N1121" s="9">
        <f t="shared" ca="1" si="49"/>
        <v>9.9625916666666665</v>
      </c>
      <c r="O1121" s="9">
        <f t="shared" ca="1" si="49"/>
        <v>9.9662166666666661</v>
      </c>
    </row>
    <row r="1122" spans="1:15" ht="15" x14ac:dyDescent="0.2">
      <c r="A1122" s="10">
        <v>2064</v>
      </c>
      <c r="B1122" s="9">
        <f t="shared" ca="1" si="49"/>
        <v>9.0695916666666658</v>
      </c>
      <c r="C1122" s="9">
        <f t="shared" ca="1" si="49"/>
        <v>9.0695916666666658</v>
      </c>
      <c r="D1122" s="9">
        <f t="shared" ca="1" si="49"/>
        <v>9.0706916666666668</v>
      </c>
      <c r="E1122" s="9">
        <f t="shared" ca="1" si="49"/>
        <v>10.177166666666666</v>
      </c>
      <c r="F1122" s="9">
        <f t="shared" ca="1" si="49"/>
        <v>10.177166666666666</v>
      </c>
      <c r="G1122" s="9">
        <f t="shared" ca="1" si="49"/>
        <v>10.180791666666666</v>
      </c>
      <c r="H1122" s="9">
        <f t="shared" ca="1" si="49"/>
        <v>20.781183333333335</v>
      </c>
      <c r="I1122" s="9">
        <f t="shared" ca="1" si="49"/>
        <v>20.784824999999998</v>
      </c>
      <c r="J1122" s="9">
        <f t="shared" ca="1" si="49"/>
        <v>20.781183333333335</v>
      </c>
      <c r="K1122" s="9">
        <f t="shared" ca="1" si="49"/>
        <v>20.784824999999998</v>
      </c>
      <c r="L1122" s="9">
        <f t="shared" ca="1" si="49"/>
        <v>10.177166666666666</v>
      </c>
      <c r="M1122" s="9">
        <f t="shared" ca="1" si="49"/>
        <v>10.180791666666666</v>
      </c>
      <c r="N1122" s="9">
        <f t="shared" ca="1" si="49"/>
        <v>10.177166666666666</v>
      </c>
      <c r="O1122" s="9">
        <f t="shared" ca="1" si="49"/>
        <v>10.180791666666666</v>
      </c>
    </row>
    <row r="1123" spans="1:15" ht="15" x14ac:dyDescent="0.2">
      <c r="A1123" s="10">
        <v>2065</v>
      </c>
      <c r="B1123" s="9">
        <f t="shared" ca="1" si="49"/>
        <v>9.2583083333333338</v>
      </c>
      <c r="C1123" s="9">
        <f t="shared" ca="1" si="49"/>
        <v>9.2583083333333338</v>
      </c>
      <c r="D1123" s="9">
        <f t="shared" ca="1" si="49"/>
        <v>9.2593833333333322</v>
      </c>
      <c r="E1123" s="9">
        <f t="shared" ca="1" si="49"/>
        <v>10.391724999999999</v>
      </c>
      <c r="F1123" s="9">
        <f t="shared" ca="1" si="49"/>
        <v>10.391724999999999</v>
      </c>
      <c r="G1123" s="9">
        <f t="shared" ca="1" si="49"/>
        <v>10.395358333333332</v>
      </c>
      <c r="H1123" s="9">
        <f t="shared" ca="1" si="49"/>
        <v>21.258433333333333</v>
      </c>
      <c r="I1123" s="9">
        <f t="shared" ca="1" si="49"/>
        <v>21.262066666666662</v>
      </c>
      <c r="J1123" s="9">
        <f t="shared" ca="1" si="49"/>
        <v>21.258433333333333</v>
      </c>
      <c r="K1123" s="9">
        <f t="shared" ca="1" si="49"/>
        <v>21.262066666666662</v>
      </c>
      <c r="L1123" s="9">
        <f t="shared" ca="1" si="49"/>
        <v>10.391724999999999</v>
      </c>
      <c r="M1123" s="9">
        <f t="shared" ca="1" si="49"/>
        <v>10.395358333333332</v>
      </c>
      <c r="N1123" s="9">
        <f t="shared" ca="1" si="49"/>
        <v>10.391724999999999</v>
      </c>
      <c r="O1123" s="9">
        <f t="shared" ca="1" si="49"/>
        <v>10.395358333333332</v>
      </c>
    </row>
    <row r="1124" spans="1:15" ht="15" x14ac:dyDescent="0.2">
      <c r="A1124" s="10">
        <v>2066</v>
      </c>
      <c r="B1124" s="9">
        <f t="shared" ca="1" si="49"/>
        <v>9.447000000000001</v>
      </c>
      <c r="C1124" s="9">
        <f t="shared" ca="1" si="49"/>
        <v>9.447000000000001</v>
      </c>
      <c r="D1124" s="9">
        <f t="shared" ca="1" si="49"/>
        <v>9.4480916666666683</v>
      </c>
      <c r="E1124" s="9">
        <f t="shared" ca="1" si="49"/>
        <v>10.606275</v>
      </c>
      <c r="F1124" s="9">
        <f t="shared" ca="1" si="49"/>
        <v>10.606275</v>
      </c>
      <c r="G1124" s="9">
        <f t="shared" ca="1" si="49"/>
        <v>10.609891666666668</v>
      </c>
      <c r="H1124" s="9">
        <f t="shared" ca="1" si="49"/>
        <v>21.735683333333331</v>
      </c>
      <c r="I1124" s="9">
        <f t="shared" ca="1" si="49"/>
        <v>21.739324999999997</v>
      </c>
      <c r="J1124" s="9">
        <f t="shared" ca="1" si="49"/>
        <v>21.735683333333331</v>
      </c>
      <c r="K1124" s="9">
        <f t="shared" ca="1" si="49"/>
        <v>21.739324999999997</v>
      </c>
      <c r="L1124" s="9">
        <f t="shared" ca="1" si="49"/>
        <v>10.606275</v>
      </c>
      <c r="M1124" s="9">
        <f t="shared" ca="1" si="49"/>
        <v>10.609891666666668</v>
      </c>
      <c r="N1124" s="9">
        <f t="shared" ca="1" si="49"/>
        <v>10.606275</v>
      </c>
      <c r="O1124" s="9">
        <f t="shared" ca="1" si="49"/>
        <v>10.609891666666668</v>
      </c>
    </row>
    <row r="1125" spans="1:15" ht="15" x14ac:dyDescent="0.2">
      <c r="A1125" s="10">
        <v>2067</v>
      </c>
      <c r="B1125" s="9">
        <f t="shared" ca="1" si="49"/>
        <v>9.6357083333333335</v>
      </c>
      <c r="C1125" s="9">
        <f t="shared" ca="1" si="49"/>
        <v>9.6357083333333335</v>
      </c>
      <c r="D1125" s="9">
        <f t="shared" ca="1" si="49"/>
        <v>9.6367916666666673</v>
      </c>
      <c r="E1125" s="9">
        <f t="shared" ca="1" si="49"/>
        <v>10.82085</v>
      </c>
      <c r="F1125" s="9">
        <f t="shared" ca="1" si="49"/>
        <v>10.82085</v>
      </c>
      <c r="G1125" s="9">
        <f t="shared" ca="1" si="49"/>
        <v>10.824483333333333</v>
      </c>
      <c r="H1125" s="9">
        <f t="shared" ca="1" si="49"/>
        <v>22.212941666666666</v>
      </c>
      <c r="I1125" s="9">
        <f t="shared" ca="1" si="49"/>
        <v>22.216566666666665</v>
      </c>
      <c r="J1125" s="9">
        <f t="shared" ca="1" si="49"/>
        <v>22.212941666666666</v>
      </c>
      <c r="K1125" s="9">
        <f t="shared" ca="1" si="49"/>
        <v>22.216566666666665</v>
      </c>
      <c r="L1125" s="9">
        <f t="shared" ca="1" si="49"/>
        <v>10.82085</v>
      </c>
      <c r="M1125" s="9">
        <f t="shared" ca="1" si="49"/>
        <v>10.824483333333333</v>
      </c>
      <c r="N1125" s="9">
        <f t="shared" ca="1" si="49"/>
        <v>10.82085</v>
      </c>
      <c r="O1125" s="9">
        <f t="shared" ca="1" si="49"/>
        <v>10.824483333333333</v>
      </c>
    </row>
    <row r="1126" spans="1:15" ht="15" x14ac:dyDescent="0.2">
      <c r="A1126" s="10">
        <v>2068</v>
      </c>
      <c r="B1126" s="9">
        <f t="shared" ca="1" si="49"/>
        <v>9.8244083333333343</v>
      </c>
      <c r="C1126" s="9">
        <f t="shared" ca="1" si="49"/>
        <v>9.8244083333333343</v>
      </c>
      <c r="D1126" s="9">
        <f t="shared" ca="1" si="49"/>
        <v>9.8254833333333362</v>
      </c>
      <c r="E1126" s="9">
        <f t="shared" ca="1" si="49"/>
        <v>11.035424999999998</v>
      </c>
      <c r="F1126" s="9">
        <f t="shared" ca="1" si="49"/>
        <v>11.035424999999998</v>
      </c>
      <c r="G1126" s="9">
        <f t="shared" ca="1" si="49"/>
        <v>11.039041666666668</v>
      </c>
      <c r="H1126" s="9">
        <f t="shared" ca="1" si="49"/>
        <v>22.690191666666667</v>
      </c>
      <c r="I1126" s="9">
        <f t="shared" ca="1" si="49"/>
        <v>22.693816666666663</v>
      </c>
      <c r="J1126" s="9">
        <f t="shared" ca="1" si="49"/>
        <v>22.690191666666667</v>
      </c>
      <c r="K1126" s="9">
        <f t="shared" ca="1" si="49"/>
        <v>22.693816666666663</v>
      </c>
      <c r="L1126" s="9">
        <f t="shared" ca="1" si="49"/>
        <v>11.035424999999998</v>
      </c>
      <c r="M1126" s="9">
        <f t="shared" ca="1" si="49"/>
        <v>11.039041666666668</v>
      </c>
      <c r="N1126" s="9">
        <f t="shared" ca="1" si="49"/>
        <v>11.035424999999998</v>
      </c>
      <c r="O1126" s="9">
        <f t="shared" ca="1" si="49"/>
        <v>11.039041666666668</v>
      </c>
    </row>
    <row r="1127" spans="1:15" ht="15" x14ac:dyDescent="0.2">
      <c r="A1127" s="10">
        <v>2069</v>
      </c>
      <c r="B1127" s="9">
        <f t="shared" ca="1" si="49"/>
        <v>10.013091666666666</v>
      </c>
      <c r="C1127" s="9">
        <f t="shared" ca="1" si="49"/>
        <v>10.013091666666666</v>
      </c>
      <c r="D1127" s="9">
        <f t="shared" ca="1" si="49"/>
        <v>10.014200000000001</v>
      </c>
      <c r="E1127" s="9">
        <f t="shared" ca="1" si="49"/>
        <v>11.249983333333333</v>
      </c>
      <c r="F1127" s="9">
        <f t="shared" ca="1" si="49"/>
        <v>11.249983333333333</v>
      </c>
      <c r="G1127" s="9">
        <f t="shared" ca="1" si="49"/>
        <v>11.253616666666666</v>
      </c>
      <c r="H1127" s="9">
        <f t="shared" ca="1" si="49"/>
        <v>23.167433333333332</v>
      </c>
      <c r="I1127" s="9">
        <f t="shared" ca="1" si="49"/>
        <v>23.171058333333335</v>
      </c>
      <c r="J1127" s="9">
        <f t="shared" ca="1" si="49"/>
        <v>23.167433333333332</v>
      </c>
      <c r="K1127" s="9">
        <f t="shared" ca="1" si="49"/>
        <v>23.171058333333335</v>
      </c>
      <c r="L1127" s="9">
        <f t="shared" ca="1" si="49"/>
        <v>11.249983333333333</v>
      </c>
      <c r="M1127" s="9">
        <f t="shared" ca="1" si="49"/>
        <v>11.253616666666666</v>
      </c>
      <c r="N1127" s="9">
        <f t="shared" ca="1" si="49"/>
        <v>11.249983333333333</v>
      </c>
      <c r="O1127" s="9">
        <f t="shared" ca="1" si="49"/>
        <v>11.253616666666666</v>
      </c>
    </row>
    <row r="1128" spans="1:15" ht="15" x14ac:dyDescent="0.2">
      <c r="A1128" s="10">
        <v>2070</v>
      </c>
      <c r="B1128" s="9">
        <f t="shared" ca="1" si="49"/>
        <v>10.201825000000001</v>
      </c>
      <c r="C1128" s="9">
        <f t="shared" ca="1" si="49"/>
        <v>10.201825000000001</v>
      </c>
      <c r="D1128" s="9">
        <f t="shared" ca="1" si="49"/>
        <v>10.202883333333332</v>
      </c>
      <c r="E1128" s="9">
        <f t="shared" ca="1" si="49"/>
        <v>11.464541666666667</v>
      </c>
      <c r="F1128" s="9">
        <f t="shared" ca="1" si="49"/>
        <v>11.464541666666667</v>
      </c>
      <c r="G1128" s="9">
        <f t="shared" ca="1" si="49"/>
        <v>11.468183333333336</v>
      </c>
      <c r="H1128" s="9">
        <f t="shared" ca="1" si="49"/>
        <v>23.644691666666663</v>
      </c>
      <c r="I1128" s="9">
        <f t="shared" ca="1" si="49"/>
        <v>23.648325</v>
      </c>
      <c r="J1128" s="9">
        <f t="shared" ca="1" si="49"/>
        <v>23.644691666666663</v>
      </c>
      <c r="K1128" s="9">
        <f t="shared" ca="1" si="49"/>
        <v>23.648325</v>
      </c>
      <c r="L1128" s="9">
        <f t="shared" ca="1" si="49"/>
        <v>11.464541666666667</v>
      </c>
      <c r="M1128" s="9">
        <f t="shared" ca="1" si="49"/>
        <v>11.468183333333336</v>
      </c>
      <c r="N1128" s="9">
        <f t="shared" ca="1" si="49"/>
        <v>11.464541666666667</v>
      </c>
      <c r="O1128" s="9">
        <f t="shared" ca="1" si="49"/>
        <v>11.468183333333336</v>
      </c>
    </row>
    <row r="1129" spans="1:15" ht="15" x14ac:dyDescent="0.2">
      <c r="A1129" s="10">
        <v>2071</v>
      </c>
      <c r="B1129" s="9">
        <f t="shared" ca="1" si="49"/>
        <v>10.390508333333333</v>
      </c>
      <c r="C1129" s="9">
        <f t="shared" ca="1" si="49"/>
        <v>10.390508333333333</v>
      </c>
      <c r="D1129" s="9">
        <f t="shared" ca="1" si="49"/>
        <v>10.391599999999999</v>
      </c>
      <c r="E1129" s="9">
        <f t="shared" ca="1" si="49"/>
        <v>11.679108333333334</v>
      </c>
      <c r="F1129" s="9">
        <f t="shared" ca="1" si="49"/>
        <v>11.679108333333334</v>
      </c>
      <c r="G1129" s="9">
        <f t="shared" ca="1" si="49"/>
        <v>11.682741666666665</v>
      </c>
      <c r="H1129" s="9">
        <f t="shared" ca="1" si="49"/>
        <v>24.121916666666664</v>
      </c>
      <c r="I1129" s="9">
        <f t="shared" ca="1" si="49"/>
        <v>24.125558333333331</v>
      </c>
      <c r="J1129" s="9">
        <f t="shared" ca="1" si="49"/>
        <v>24.121916666666664</v>
      </c>
      <c r="K1129" s="9">
        <f t="shared" ca="1" si="49"/>
        <v>24.125558333333331</v>
      </c>
      <c r="L1129" s="9">
        <f t="shared" ca="1" si="49"/>
        <v>11.679108333333334</v>
      </c>
      <c r="M1129" s="9">
        <f t="shared" ca="1" si="49"/>
        <v>11.682741666666665</v>
      </c>
      <c r="N1129" s="9">
        <f t="shared" ca="1" si="49"/>
        <v>11.679108333333334</v>
      </c>
      <c r="O1129" s="9">
        <f t="shared" ca="1" si="49"/>
        <v>11.682741666666665</v>
      </c>
    </row>
    <row r="1130" spans="1:15" ht="15" x14ac:dyDescent="0.2">
      <c r="A1130" s="10">
        <v>2072</v>
      </c>
      <c r="B1130" s="9">
        <f t="shared" ref="B1130:O1139" ca="1" si="50">AVERAGE(OFFSET(B$602,($A1130-$A$1120)*12,0,12,1))</f>
        <v>10.579216666666667</v>
      </c>
      <c r="C1130" s="9">
        <f t="shared" ca="1" si="50"/>
        <v>10.579216666666667</v>
      </c>
      <c r="D1130" s="9">
        <f t="shared" ca="1" si="50"/>
        <v>10.580283333333332</v>
      </c>
      <c r="E1130" s="9">
        <f t="shared" ca="1" si="50"/>
        <v>11.893658333333335</v>
      </c>
      <c r="F1130" s="9">
        <f t="shared" ca="1" si="50"/>
        <v>11.893658333333335</v>
      </c>
      <c r="G1130" s="9">
        <f t="shared" ca="1" si="50"/>
        <v>11.8973</v>
      </c>
      <c r="H1130" s="9">
        <f t="shared" ca="1" si="50"/>
        <v>24.59919166666667</v>
      </c>
      <c r="I1130" s="9">
        <f t="shared" ca="1" si="50"/>
        <v>24.602824999999996</v>
      </c>
      <c r="J1130" s="9">
        <f t="shared" ca="1" si="50"/>
        <v>24.59919166666667</v>
      </c>
      <c r="K1130" s="9">
        <f t="shared" ca="1" si="50"/>
        <v>24.602824999999996</v>
      </c>
      <c r="L1130" s="9">
        <f t="shared" ca="1" si="50"/>
        <v>11.893658333333335</v>
      </c>
      <c r="M1130" s="9">
        <f t="shared" ca="1" si="50"/>
        <v>11.8973</v>
      </c>
      <c r="N1130" s="9">
        <f t="shared" ca="1" si="50"/>
        <v>11.893658333333335</v>
      </c>
      <c r="O1130" s="9">
        <f t="shared" ca="1" si="50"/>
        <v>11.8973</v>
      </c>
    </row>
    <row r="1131" spans="1:15" ht="15" x14ac:dyDescent="0.2">
      <c r="A1131" s="10">
        <v>2073</v>
      </c>
      <c r="B1131" s="9">
        <f t="shared" ca="1" si="50"/>
        <v>10.767916666666666</v>
      </c>
      <c r="C1131" s="9">
        <f t="shared" ca="1" si="50"/>
        <v>10.767916666666666</v>
      </c>
      <c r="D1131" s="9">
        <f t="shared" ca="1" si="50"/>
        <v>10.768991666666667</v>
      </c>
      <c r="E1131" s="9">
        <f t="shared" ca="1" si="50"/>
        <v>12.108233333333333</v>
      </c>
      <c r="F1131" s="9">
        <f t="shared" ca="1" si="50"/>
        <v>12.108233333333333</v>
      </c>
      <c r="G1131" s="9">
        <f t="shared" ca="1" si="50"/>
        <v>12.111883333333333</v>
      </c>
      <c r="H1131" s="9">
        <f t="shared" ca="1" si="50"/>
        <v>25.076433333333338</v>
      </c>
      <c r="I1131" s="9">
        <f t="shared" ca="1" si="50"/>
        <v>25.080058333333337</v>
      </c>
      <c r="J1131" s="9">
        <f t="shared" ca="1" si="50"/>
        <v>25.076433333333338</v>
      </c>
      <c r="K1131" s="9">
        <f t="shared" ca="1" si="50"/>
        <v>25.080058333333337</v>
      </c>
      <c r="L1131" s="9">
        <f t="shared" ca="1" si="50"/>
        <v>12.108233333333333</v>
      </c>
      <c r="M1131" s="9">
        <f t="shared" ca="1" si="50"/>
        <v>12.111883333333333</v>
      </c>
      <c r="N1131" s="9">
        <f t="shared" ca="1" si="50"/>
        <v>12.108233333333333</v>
      </c>
      <c r="O1131" s="9">
        <f t="shared" ca="1" si="50"/>
        <v>12.111883333333333</v>
      </c>
    </row>
    <row r="1132" spans="1:15" ht="15" x14ac:dyDescent="0.2">
      <c r="A1132" s="10">
        <v>2074</v>
      </c>
      <c r="B1132" s="9">
        <f t="shared" ca="1" si="50"/>
        <v>10.956608333333334</v>
      </c>
      <c r="C1132" s="9">
        <f t="shared" ca="1" si="50"/>
        <v>10.956608333333334</v>
      </c>
      <c r="D1132" s="9">
        <f t="shared" ca="1" si="50"/>
        <v>10.957691666666667</v>
      </c>
      <c r="E1132" s="9">
        <f t="shared" ca="1" si="50"/>
        <v>12.322799999999999</v>
      </c>
      <c r="F1132" s="9">
        <f t="shared" ca="1" si="50"/>
        <v>12.322799999999999</v>
      </c>
      <c r="G1132" s="9">
        <f t="shared" ca="1" si="50"/>
        <v>12.326441666666668</v>
      </c>
      <c r="H1132" s="9">
        <f t="shared" ca="1" si="50"/>
        <v>25.553666666666668</v>
      </c>
      <c r="I1132" s="9">
        <f t="shared" ca="1" si="50"/>
        <v>25.557299999999998</v>
      </c>
      <c r="J1132" s="9">
        <f t="shared" ca="1" si="50"/>
        <v>25.553666666666668</v>
      </c>
      <c r="K1132" s="9">
        <f t="shared" ca="1" si="50"/>
        <v>25.557299999999998</v>
      </c>
      <c r="L1132" s="9">
        <f t="shared" ca="1" si="50"/>
        <v>12.322799999999999</v>
      </c>
      <c r="M1132" s="9">
        <f t="shared" ca="1" si="50"/>
        <v>12.326441666666668</v>
      </c>
      <c r="N1132" s="9">
        <f t="shared" ca="1" si="50"/>
        <v>12.322799999999999</v>
      </c>
      <c r="O1132" s="9">
        <f t="shared" ca="1" si="50"/>
        <v>12.326441666666668</v>
      </c>
    </row>
    <row r="1133" spans="1:15" ht="15" x14ac:dyDescent="0.2">
      <c r="A1133" s="10">
        <v>2075</v>
      </c>
      <c r="B1133" s="9">
        <f t="shared" ca="1" si="50"/>
        <v>11.145333333333332</v>
      </c>
      <c r="C1133" s="9">
        <f t="shared" ca="1" si="50"/>
        <v>11.145333333333332</v>
      </c>
      <c r="D1133" s="9">
        <f t="shared" ca="1" si="50"/>
        <v>11.146375000000001</v>
      </c>
      <c r="E1133" s="9">
        <f t="shared" ca="1" si="50"/>
        <v>12.537374999999999</v>
      </c>
      <c r="F1133" s="9">
        <f t="shared" ca="1" si="50"/>
        <v>12.537374999999999</v>
      </c>
      <c r="G1133" s="9">
        <f t="shared" ca="1" si="50"/>
        <v>12.541008333333336</v>
      </c>
      <c r="H1133" s="9">
        <f t="shared" ca="1" si="50"/>
        <v>26.030925</v>
      </c>
      <c r="I1133" s="9">
        <f t="shared" ca="1" si="50"/>
        <v>26.034549999999996</v>
      </c>
      <c r="J1133" s="9">
        <f t="shared" ca="1" si="50"/>
        <v>26.030925</v>
      </c>
      <c r="K1133" s="9">
        <f t="shared" ca="1" si="50"/>
        <v>26.034549999999996</v>
      </c>
      <c r="L1133" s="9">
        <f t="shared" ca="1" si="50"/>
        <v>12.537374999999999</v>
      </c>
      <c r="M1133" s="9">
        <f t="shared" ca="1" si="50"/>
        <v>12.541008333333336</v>
      </c>
      <c r="N1133" s="9">
        <f t="shared" ca="1" si="50"/>
        <v>12.537374999999999</v>
      </c>
      <c r="O1133" s="9">
        <f t="shared" ca="1" si="50"/>
        <v>12.541008333333336</v>
      </c>
    </row>
    <row r="1134" spans="1:15" ht="15" x14ac:dyDescent="0.2">
      <c r="A1134" s="10">
        <v>2076</v>
      </c>
      <c r="B1134" s="9">
        <f t="shared" ca="1" si="50"/>
        <v>11.334016666666665</v>
      </c>
      <c r="C1134" s="9">
        <f t="shared" ca="1" si="50"/>
        <v>11.334016666666665</v>
      </c>
      <c r="D1134" s="9">
        <f t="shared" ca="1" si="50"/>
        <v>11.335108333333332</v>
      </c>
      <c r="E1134" s="9">
        <f t="shared" ca="1" si="50"/>
        <v>12.751941666666667</v>
      </c>
      <c r="F1134" s="9">
        <f t="shared" ca="1" si="50"/>
        <v>12.751941666666667</v>
      </c>
      <c r="G1134" s="9">
        <f t="shared" ca="1" si="50"/>
        <v>12.755583333333334</v>
      </c>
      <c r="H1134" s="9">
        <f t="shared" ca="1" si="50"/>
        <v>26.508174999999994</v>
      </c>
      <c r="I1134" s="9">
        <f t="shared" ca="1" si="50"/>
        <v>26.511808333333338</v>
      </c>
      <c r="J1134" s="9">
        <f t="shared" ca="1" si="50"/>
        <v>26.508174999999994</v>
      </c>
      <c r="K1134" s="9">
        <f t="shared" ca="1" si="50"/>
        <v>26.511808333333338</v>
      </c>
      <c r="L1134" s="9">
        <f t="shared" ca="1" si="50"/>
        <v>12.751941666666667</v>
      </c>
      <c r="M1134" s="9">
        <f t="shared" ca="1" si="50"/>
        <v>12.755583333333334</v>
      </c>
      <c r="N1134" s="9">
        <f t="shared" ca="1" si="50"/>
        <v>12.751941666666667</v>
      </c>
      <c r="O1134" s="9">
        <f t="shared" ca="1" si="50"/>
        <v>12.755583333333334</v>
      </c>
    </row>
    <row r="1135" spans="1:15" ht="15" x14ac:dyDescent="0.2">
      <c r="A1135" s="10">
        <v>2077</v>
      </c>
      <c r="B1135" s="9">
        <f t="shared" ca="1" si="50"/>
        <v>11.522716666666668</v>
      </c>
      <c r="C1135" s="9">
        <f t="shared" ca="1" si="50"/>
        <v>11.522716666666668</v>
      </c>
      <c r="D1135" s="9">
        <f t="shared" ca="1" si="50"/>
        <v>11.523791666666668</v>
      </c>
      <c r="E1135" s="9">
        <f t="shared" ca="1" si="50"/>
        <v>12.966499999999998</v>
      </c>
      <c r="F1135" s="9">
        <f t="shared" ca="1" si="50"/>
        <v>12.966499999999998</v>
      </c>
      <c r="G1135" s="9">
        <f t="shared" ca="1" si="50"/>
        <v>12.97013333333333</v>
      </c>
      <c r="H1135" s="9">
        <f t="shared" ca="1" si="50"/>
        <v>26.985425000000003</v>
      </c>
      <c r="I1135" s="9">
        <f t="shared" ca="1" si="50"/>
        <v>26.989050000000002</v>
      </c>
      <c r="J1135" s="9">
        <f t="shared" ca="1" si="50"/>
        <v>26.985425000000003</v>
      </c>
      <c r="K1135" s="9">
        <f t="shared" ca="1" si="50"/>
        <v>26.989050000000002</v>
      </c>
      <c r="L1135" s="9">
        <f t="shared" ca="1" si="50"/>
        <v>12.966499999999998</v>
      </c>
      <c r="M1135" s="9">
        <f t="shared" ca="1" si="50"/>
        <v>12.97013333333333</v>
      </c>
      <c r="N1135" s="9">
        <f t="shared" ca="1" si="50"/>
        <v>12.966499999999998</v>
      </c>
      <c r="O1135" s="9">
        <f t="shared" ca="1" si="50"/>
        <v>12.97013333333333</v>
      </c>
    </row>
    <row r="1136" spans="1:15" ht="15" x14ac:dyDescent="0.2">
      <c r="A1136" s="10">
        <v>2078</v>
      </c>
      <c r="B1136" s="9">
        <f t="shared" ca="1" si="50"/>
        <v>11.711416666666667</v>
      </c>
      <c r="C1136" s="9">
        <f t="shared" ca="1" si="50"/>
        <v>11.711416666666667</v>
      </c>
      <c r="D1136" s="9">
        <f t="shared" ca="1" si="50"/>
        <v>11.7125</v>
      </c>
      <c r="E1136" s="9">
        <f t="shared" ca="1" si="50"/>
        <v>13.181066666666664</v>
      </c>
      <c r="F1136" s="9">
        <f t="shared" ca="1" si="50"/>
        <v>13.181066666666664</v>
      </c>
      <c r="G1136" s="9">
        <f t="shared" ca="1" si="50"/>
        <v>13.184691666666668</v>
      </c>
      <c r="H1136" s="9">
        <f t="shared" ca="1" si="50"/>
        <v>27.462674999999994</v>
      </c>
      <c r="I1136" s="9">
        <f t="shared" ca="1" si="50"/>
        <v>27.46630833333333</v>
      </c>
      <c r="J1136" s="9">
        <f t="shared" ca="1" si="50"/>
        <v>27.462674999999994</v>
      </c>
      <c r="K1136" s="9">
        <f t="shared" ca="1" si="50"/>
        <v>27.46630833333333</v>
      </c>
      <c r="L1136" s="9">
        <f t="shared" ca="1" si="50"/>
        <v>13.181066666666664</v>
      </c>
      <c r="M1136" s="9">
        <f t="shared" ca="1" si="50"/>
        <v>13.184691666666668</v>
      </c>
      <c r="N1136" s="9">
        <f t="shared" ca="1" si="50"/>
        <v>13.181066666666664</v>
      </c>
      <c r="O1136" s="9">
        <f t="shared" ca="1" si="50"/>
        <v>13.184691666666668</v>
      </c>
    </row>
    <row r="1137" spans="1:15" ht="15" x14ac:dyDescent="0.2">
      <c r="A1137" s="10">
        <v>2079</v>
      </c>
      <c r="B1137" s="9">
        <f t="shared" ca="1" si="50"/>
        <v>11.900108333333334</v>
      </c>
      <c r="C1137" s="9">
        <f t="shared" ca="1" si="50"/>
        <v>11.900108333333334</v>
      </c>
      <c r="D1137" s="9">
        <f t="shared" ca="1" si="50"/>
        <v>11.901191666666669</v>
      </c>
      <c r="E1137" s="9">
        <f t="shared" ca="1" si="50"/>
        <v>13.395650000000002</v>
      </c>
      <c r="F1137" s="9">
        <f t="shared" ca="1" si="50"/>
        <v>13.395650000000002</v>
      </c>
      <c r="G1137" s="9">
        <f t="shared" ca="1" si="50"/>
        <v>13.399283333333335</v>
      </c>
      <c r="H1137" s="9">
        <f t="shared" ca="1" si="50"/>
        <v>27.939916666666665</v>
      </c>
      <c r="I1137" s="9">
        <f t="shared" ca="1" si="50"/>
        <v>27.943549999999998</v>
      </c>
      <c r="J1137" s="9">
        <f t="shared" ca="1" si="50"/>
        <v>27.939916666666665</v>
      </c>
      <c r="K1137" s="9">
        <f t="shared" ca="1" si="50"/>
        <v>27.943549999999998</v>
      </c>
      <c r="L1137" s="9">
        <f t="shared" ca="1" si="50"/>
        <v>13.395650000000002</v>
      </c>
      <c r="M1137" s="9">
        <f t="shared" ca="1" si="50"/>
        <v>13.399283333333335</v>
      </c>
      <c r="N1137" s="9">
        <f t="shared" ca="1" si="50"/>
        <v>13.395650000000002</v>
      </c>
      <c r="O1137" s="9">
        <f t="shared" ca="1" si="50"/>
        <v>13.399283333333335</v>
      </c>
    </row>
    <row r="1138" spans="1:15" ht="15" x14ac:dyDescent="0.2">
      <c r="A1138" s="10">
        <v>2080</v>
      </c>
      <c r="B1138" s="9">
        <f t="shared" ca="1" si="50"/>
        <v>12.088825</v>
      </c>
      <c r="C1138" s="9">
        <f t="shared" ca="1" si="50"/>
        <v>12.088825</v>
      </c>
      <c r="D1138" s="9">
        <f t="shared" ca="1" si="50"/>
        <v>12.089891666666666</v>
      </c>
      <c r="E1138" s="9">
        <f t="shared" ca="1" si="50"/>
        <v>13.610216666666666</v>
      </c>
      <c r="F1138" s="9">
        <f t="shared" ca="1" si="50"/>
        <v>13.610216666666666</v>
      </c>
      <c r="G1138" s="9">
        <f t="shared" ca="1" si="50"/>
        <v>13.613849999999999</v>
      </c>
      <c r="H1138" s="9">
        <f t="shared" ca="1" si="50"/>
        <v>28.417175</v>
      </c>
      <c r="I1138" s="9">
        <f t="shared" ca="1" si="50"/>
        <v>28.420800000000003</v>
      </c>
      <c r="J1138" s="9">
        <f t="shared" ca="1" si="50"/>
        <v>28.417175</v>
      </c>
      <c r="K1138" s="9">
        <f t="shared" ca="1" si="50"/>
        <v>28.420800000000003</v>
      </c>
      <c r="L1138" s="9">
        <f t="shared" ca="1" si="50"/>
        <v>13.610216666666666</v>
      </c>
      <c r="M1138" s="9">
        <f t="shared" ca="1" si="50"/>
        <v>13.613849999999999</v>
      </c>
      <c r="N1138" s="9">
        <f t="shared" ca="1" si="50"/>
        <v>13.610216666666666</v>
      </c>
      <c r="O1138" s="9">
        <f t="shared" ca="1" si="50"/>
        <v>13.613849999999999</v>
      </c>
    </row>
    <row r="1139" spans="1:15" ht="15" x14ac:dyDescent="0.2">
      <c r="A1139" s="10">
        <v>2081</v>
      </c>
      <c r="B1139" s="9">
        <f t="shared" ca="1" si="50"/>
        <v>12.277508333333332</v>
      </c>
      <c r="C1139" s="9">
        <f t="shared" ca="1" si="50"/>
        <v>12.277508333333332</v>
      </c>
      <c r="D1139" s="9">
        <f t="shared" ca="1" si="50"/>
        <v>12.278608333333333</v>
      </c>
      <c r="E1139" s="9">
        <f t="shared" ca="1" si="50"/>
        <v>13.824775000000001</v>
      </c>
      <c r="F1139" s="9">
        <f t="shared" ca="1" si="50"/>
        <v>13.824775000000001</v>
      </c>
      <c r="G1139" s="9">
        <f t="shared" ca="1" si="50"/>
        <v>13.828400000000002</v>
      </c>
      <c r="H1139" s="9">
        <f t="shared" ca="1" si="50"/>
        <v>28.894408333333331</v>
      </c>
      <c r="I1139" s="9">
        <f t="shared" ca="1" si="50"/>
        <v>28.898058333333335</v>
      </c>
      <c r="J1139" s="9">
        <f t="shared" ca="1" si="50"/>
        <v>28.894408333333331</v>
      </c>
      <c r="K1139" s="9">
        <f t="shared" ca="1" si="50"/>
        <v>28.898058333333335</v>
      </c>
      <c r="L1139" s="9">
        <f t="shared" ca="1" si="50"/>
        <v>13.824775000000001</v>
      </c>
      <c r="M1139" s="9">
        <f t="shared" ca="1" si="50"/>
        <v>13.828400000000002</v>
      </c>
      <c r="N1139" s="9">
        <f t="shared" ca="1" si="50"/>
        <v>13.824775000000001</v>
      </c>
      <c r="O1139" s="9">
        <f t="shared" ca="1" si="50"/>
        <v>13.828400000000002</v>
      </c>
    </row>
    <row r="1140" spans="1:15" ht="15" x14ac:dyDescent="0.2">
      <c r="A1140" s="10">
        <v>2082</v>
      </c>
      <c r="B1140" s="9">
        <f t="shared" ref="B1140:O1149" ca="1" si="51">AVERAGE(OFFSET(B$602,($A1140-$A$1120)*12,0,12,1))</f>
        <v>12.466233333333333</v>
      </c>
      <c r="C1140" s="9">
        <f t="shared" ca="1" si="51"/>
        <v>12.466233333333333</v>
      </c>
      <c r="D1140" s="9">
        <f t="shared" ca="1" si="51"/>
        <v>12.467291666666666</v>
      </c>
      <c r="E1140" s="9">
        <f t="shared" ca="1" si="51"/>
        <v>14.039341666666667</v>
      </c>
      <c r="F1140" s="9">
        <f t="shared" ca="1" si="51"/>
        <v>14.039341666666667</v>
      </c>
      <c r="G1140" s="9">
        <f t="shared" ca="1" si="51"/>
        <v>14.042983333333332</v>
      </c>
      <c r="H1140" s="9">
        <f t="shared" ca="1" si="51"/>
        <v>29.371658333333333</v>
      </c>
      <c r="I1140" s="9">
        <f t="shared" ca="1" si="51"/>
        <v>29.375316666666674</v>
      </c>
      <c r="J1140" s="9">
        <f t="shared" ca="1" si="51"/>
        <v>29.371658333333333</v>
      </c>
      <c r="K1140" s="9">
        <f t="shared" ca="1" si="51"/>
        <v>29.375316666666674</v>
      </c>
      <c r="L1140" s="9">
        <f t="shared" ca="1" si="51"/>
        <v>14.039341666666667</v>
      </c>
      <c r="M1140" s="9">
        <f t="shared" ca="1" si="51"/>
        <v>14.042983333333332</v>
      </c>
      <c r="N1140" s="9">
        <f t="shared" ca="1" si="51"/>
        <v>14.039341666666667</v>
      </c>
      <c r="O1140" s="9">
        <f t="shared" ca="1" si="51"/>
        <v>14.042983333333332</v>
      </c>
    </row>
    <row r="1141" spans="1:15" ht="15" x14ac:dyDescent="0.2">
      <c r="A1141" s="10">
        <v>2083</v>
      </c>
      <c r="B1141" s="9">
        <f t="shared" ca="1" si="51"/>
        <v>12.654925</v>
      </c>
      <c r="C1141" s="9">
        <f t="shared" ca="1" si="51"/>
        <v>12.654925</v>
      </c>
      <c r="D1141" s="9">
        <f t="shared" ca="1" si="51"/>
        <v>12.656000000000001</v>
      </c>
      <c r="E1141" s="9">
        <f t="shared" ca="1" si="51"/>
        <v>14.253891666666668</v>
      </c>
      <c r="F1141" s="9">
        <f t="shared" ca="1" si="51"/>
        <v>14.253891666666668</v>
      </c>
      <c r="G1141" s="9">
        <f t="shared" ca="1" si="51"/>
        <v>14.257524999999999</v>
      </c>
      <c r="H1141" s="9">
        <f t="shared" ca="1" si="51"/>
        <v>29.84890833333333</v>
      </c>
      <c r="I1141" s="9">
        <f t="shared" ca="1" si="51"/>
        <v>29.852541666666664</v>
      </c>
      <c r="J1141" s="9">
        <f t="shared" ca="1" si="51"/>
        <v>29.84890833333333</v>
      </c>
      <c r="K1141" s="9">
        <f t="shared" ca="1" si="51"/>
        <v>29.852541666666664</v>
      </c>
      <c r="L1141" s="9">
        <f t="shared" ca="1" si="51"/>
        <v>14.253891666666668</v>
      </c>
      <c r="M1141" s="9">
        <f t="shared" ca="1" si="51"/>
        <v>14.257524999999999</v>
      </c>
      <c r="N1141" s="9">
        <f t="shared" ca="1" si="51"/>
        <v>14.253891666666668</v>
      </c>
      <c r="O1141" s="9">
        <f t="shared" ca="1" si="51"/>
        <v>14.257524999999999</v>
      </c>
    </row>
    <row r="1142" spans="1:15" ht="15" x14ac:dyDescent="0.2">
      <c r="A1142" s="10">
        <v>2084</v>
      </c>
      <c r="B1142" s="9">
        <f t="shared" ca="1" si="51"/>
        <v>12.843616666666664</v>
      </c>
      <c r="C1142" s="9">
        <f t="shared" ca="1" si="51"/>
        <v>12.843616666666664</v>
      </c>
      <c r="D1142" s="9">
        <f t="shared" ca="1" si="51"/>
        <v>12.844699999999998</v>
      </c>
      <c r="E1142" s="9">
        <f t="shared" ca="1" si="51"/>
        <v>14.468458333333331</v>
      </c>
      <c r="F1142" s="9">
        <f t="shared" ca="1" si="51"/>
        <v>14.468458333333331</v>
      </c>
      <c r="G1142" s="9">
        <f t="shared" ca="1" si="51"/>
        <v>14.472091666666669</v>
      </c>
      <c r="H1142" s="9">
        <f t="shared" ca="1" si="51"/>
        <v>30.326166666666669</v>
      </c>
      <c r="I1142" s="9">
        <f t="shared" ca="1" si="51"/>
        <v>30.329791666666665</v>
      </c>
      <c r="J1142" s="9">
        <f t="shared" ca="1" si="51"/>
        <v>30.326166666666669</v>
      </c>
      <c r="K1142" s="9">
        <f t="shared" ca="1" si="51"/>
        <v>30.329791666666665</v>
      </c>
      <c r="L1142" s="9">
        <f t="shared" ca="1" si="51"/>
        <v>14.468458333333331</v>
      </c>
      <c r="M1142" s="9">
        <f t="shared" ca="1" si="51"/>
        <v>14.472091666666669</v>
      </c>
      <c r="N1142" s="9">
        <f t="shared" ca="1" si="51"/>
        <v>14.468458333333331</v>
      </c>
      <c r="O1142" s="9">
        <f t="shared" ca="1" si="51"/>
        <v>14.472091666666669</v>
      </c>
    </row>
    <row r="1143" spans="1:15" ht="15" x14ac:dyDescent="0.2">
      <c r="A1143" s="10">
        <v>2085</v>
      </c>
      <c r="B1143" s="9">
        <f t="shared" ca="1" si="51"/>
        <v>13.032333333333334</v>
      </c>
      <c r="C1143" s="9">
        <f t="shared" ca="1" si="51"/>
        <v>13.032333333333334</v>
      </c>
      <c r="D1143" s="9">
        <f t="shared" ca="1" si="51"/>
        <v>13.033391666666667</v>
      </c>
      <c r="E1143" s="9">
        <f t="shared" ca="1" si="51"/>
        <v>14.683025000000001</v>
      </c>
      <c r="F1143" s="9">
        <f t="shared" ca="1" si="51"/>
        <v>14.683025000000001</v>
      </c>
      <c r="G1143" s="9">
        <f t="shared" ca="1" si="51"/>
        <v>14.686666666666666</v>
      </c>
      <c r="H1143" s="9">
        <f t="shared" ca="1" si="51"/>
        <v>30.803408333333334</v>
      </c>
      <c r="I1143" s="9">
        <f t="shared" ca="1" si="51"/>
        <v>30.807041666666667</v>
      </c>
      <c r="J1143" s="9">
        <f t="shared" ca="1" si="51"/>
        <v>30.803408333333334</v>
      </c>
      <c r="K1143" s="9">
        <f t="shared" ca="1" si="51"/>
        <v>30.807041666666667</v>
      </c>
      <c r="L1143" s="9">
        <f t="shared" ca="1" si="51"/>
        <v>14.683025000000001</v>
      </c>
      <c r="M1143" s="9">
        <f t="shared" ca="1" si="51"/>
        <v>14.686666666666666</v>
      </c>
      <c r="N1143" s="9">
        <f t="shared" ca="1" si="51"/>
        <v>14.683025000000001</v>
      </c>
      <c r="O1143" s="9">
        <f t="shared" ca="1" si="51"/>
        <v>14.686666666666666</v>
      </c>
    </row>
    <row r="1144" spans="1:15" ht="15" x14ac:dyDescent="0.2">
      <c r="A1144" s="10">
        <v>2086</v>
      </c>
      <c r="B1144" s="9">
        <f t="shared" ca="1" si="51"/>
        <v>13.221025000000003</v>
      </c>
      <c r="C1144" s="9">
        <f t="shared" ca="1" si="51"/>
        <v>13.221025000000003</v>
      </c>
      <c r="D1144" s="9">
        <f t="shared" ca="1" si="51"/>
        <v>13.222108333333333</v>
      </c>
      <c r="E1144" s="9">
        <f t="shared" ca="1" si="51"/>
        <v>14.897599999999999</v>
      </c>
      <c r="F1144" s="9">
        <f t="shared" ca="1" si="51"/>
        <v>14.897599999999999</v>
      </c>
      <c r="G1144" s="9">
        <f t="shared" ca="1" si="51"/>
        <v>14.90123333333333</v>
      </c>
      <c r="H1144" s="9">
        <f t="shared" ca="1" si="51"/>
        <v>31.280666666666672</v>
      </c>
      <c r="I1144" s="9">
        <f t="shared" ca="1" si="51"/>
        <v>31.284308333333332</v>
      </c>
      <c r="J1144" s="9">
        <f t="shared" ca="1" si="51"/>
        <v>31.280666666666672</v>
      </c>
      <c r="K1144" s="9">
        <f t="shared" ca="1" si="51"/>
        <v>31.284308333333332</v>
      </c>
      <c r="L1144" s="9">
        <f t="shared" ca="1" si="51"/>
        <v>14.897599999999999</v>
      </c>
      <c r="M1144" s="9">
        <f t="shared" ca="1" si="51"/>
        <v>14.90123333333333</v>
      </c>
      <c r="N1144" s="9">
        <f t="shared" ca="1" si="51"/>
        <v>14.897599999999999</v>
      </c>
      <c r="O1144" s="9">
        <f t="shared" ca="1" si="51"/>
        <v>14.90123333333333</v>
      </c>
    </row>
    <row r="1145" spans="1:15" ht="15" x14ac:dyDescent="0.2">
      <c r="A1145" s="10">
        <v>2087</v>
      </c>
      <c r="B1145" s="9">
        <f t="shared" ca="1" si="51"/>
        <v>13.409750000000003</v>
      </c>
      <c r="C1145" s="9">
        <f t="shared" ca="1" si="51"/>
        <v>13.409750000000003</v>
      </c>
      <c r="D1145" s="9">
        <f t="shared" ca="1" si="51"/>
        <v>13.41079166666667</v>
      </c>
      <c r="E1145" s="9">
        <f t="shared" ca="1" si="51"/>
        <v>15.112158333333335</v>
      </c>
      <c r="F1145" s="9">
        <f t="shared" ca="1" si="51"/>
        <v>15.112158333333335</v>
      </c>
      <c r="G1145" s="9">
        <f t="shared" ca="1" si="51"/>
        <v>15.115783333333333</v>
      </c>
      <c r="H1145" s="9">
        <f t="shared" ca="1" si="51"/>
        <v>31.757925</v>
      </c>
      <c r="I1145" s="9">
        <f t="shared" ca="1" si="51"/>
        <v>31.76154166666667</v>
      </c>
      <c r="J1145" s="9">
        <f t="shared" ca="1" si="51"/>
        <v>31.757925</v>
      </c>
      <c r="K1145" s="9">
        <f t="shared" ca="1" si="51"/>
        <v>31.76154166666667</v>
      </c>
      <c r="L1145" s="9">
        <f t="shared" ca="1" si="51"/>
        <v>15.112158333333335</v>
      </c>
      <c r="M1145" s="9">
        <f t="shared" ca="1" si="51"/>
        <v>15.115783333333333</v>
      </c>
      <c r="N1145" s="9">
        <f t="shared" ca="1" si="51"/>
        <v>15.112158333333335</v>
      </c>
      <c r="O1145" s="9">
        <f t="shared" ca="1" si="51"/>
        <v>15.115783333333333</v>
      </c>
    </row>
    <row r="1146" spans="1:15" ht="15" x14ac:dyDescent="0.2">
      <c r="A1146" s="10">
        <v>2088</v>
      </c>
      <c r="B1146" s="9">
        <f t="shared" ca="1" si="51"/>
        <v>13.598433333333332</v>
      </c>
      <c r="C1146" s="9">
        <f t="shared" ca="1" si="51"/>
        <v>13.598433333333332</v>
      </c>
      <c r="D1146" s="9">
        <f t="shared" ca="1" si="51"/>
        <v>13.599516666666666</v>
      </c>
      <c r="E1146" s="9">
        <f t="shared" ca="1" si="51"/>
        <v>15.326716666666664</v>
      </c>
      <c r="F1146" s="9">
        <f t="shared" ca="1" si="51"/>
        <v>15.326716666666664</v>
      </c>
      <c r="G1146" s="9">
        <f t="shared" ca="1" si="51"/>
        <v>15.330358333333331</v>
      </c>
      <c r="H1146" s="9">
        <f t="shared" ca="1" si="51"/>
        <v>32.235166666666679</v>
      </c>
      <c r="I1146" s="9">
        <f t="shared" ca="1" si="51"/>
        <v>32.238800000000005</v>
      </c>
      <c r="J1146" s="9">
        <f t="shared" ca="1" si="51"/>
        <v>32.235166666666679</v>
      </c>
      <c r="K1146" s="9">
        <f t="shared" ca="1" si="51"/>
        <v>32.238800000000005</v>
      </c>
      <c r="L1146" s="9">
        <f t="shared" ca="1" si="51"/>
        <v>15.326716666666664</v>
      </c>
      <c r="M1146" s="9">
        <f t="shared" ca="1" si="51"/>
        <v>15.330358333333331</v>
      </c>
      <c r="N1146" s="9">
        <f t="shared" ca="1" si="51"/>
        <v>15.326716666666664</v>
      </c>
      <c r="O1146" s="9">
        <f t="shared" ca="1" si="51"/>
        <v>15.330358333333331</v>
      </c>
    </row>
    <row r="1147" spans="1:15" ht="15" x14ac:dyDescent="0.2">
      <c r="A1147" s="10">
        <v>2089</v>
      </c>
      <c r="B1147" s="9">
        <f t="shared" ca="1" si="51"/>
        <v>13.787141666666669</v>
      </c>
      <c r="C1147" s="9">
        <f t="shared" ca="1" si="51"/>
        <v>13.787141666666669</v>
      </c>
      <c r="D1147" s="9">
        <f t="shared" ca="1" si="51"/>
        <v>13.788216666666669</v>
      </c>
      <c r="E1147" s="9">
        <f t="shared" ca="1" si="51"/>
        <v>15.541283333333332</v>
      </c>
      <c r="F1147" s="9">
        <f t="shared" ca="1" si="51"/>
        <v>15.541283333333332</v>
      </c>
      <c r="G1147" s="9">
        <f t="shared" ca="1" si="51"/>
        <v>15.544908333333332</v>
      </c>
      <c r="H1147" s="9">
        <f t="shared" ca="1" si="51"/>
        <v>32.712400000000002</v>
      </c>
      <c r="I1147" s="9">
        <f t="shared" ca="1" si="51"/>
        <v>32.716033333333336</v>
      </c>
      <c r="J1147" s="9">
        <f t="shared" ca="1" si="51"/>
        <v>32.712400000000002</v>
      </c>
      <c r="K1147" s="9">
        <f t="shared" ca="1" si="51"/>
        <v>32.716033333333336</v>
      </c>
      <c r="L1147" s="9">
        <f t="shared" ca="1" si="51"/>
        <v>15.541283333333332</v>
      </c>
      <c r="M1147" s="9">
        <f t="shared" ca="1" si="51"/>
        <v>15.544908333333332</v>
      </c>
      <c r="N1147" s="9">
        <f t="shared" ca="1" si="51"/>
        <v>15.541283333333332</v>
      </c>
      <c r="O1147" s="9">
        <f t="shared" ca="1" si="51"/>
        <v>15.544908333333332</v>
      </c>
    </row>
    <row r="1148" spans="1:15" ht="15" x14ac:dyDescent="0.2">
      <c r="A1148" s="10">
        <v>2090</v>
      </c>
      <c r="B1148" s="9">
        <f t="shared" ca="1" si="51"/>
        <v>13.975841666666668</v>
      </c>
      <c r="C1148" s="9">
        <f t="shared" ca="1" si="51"/>
        <v>13.975841666666668</v>
      </c>
      <c r="D1148" s="9">
        <f t="shared" ca="1" si="51"/>
        <v>13.976900000000002</v>
      </c>
      <c r="E1148" s="9">
        <f t="shared" ca="1" si="51"/>
        <v>15.755858333333334</v>
      </c>
      <c r="F1148" s="9">
        <f t="shared" ca="1" si="51"/>
        <v>15.755858333333334</v>
      </c>
      <c r="G1148" s="9">
        <f t="shared" ca="1" si="51"/>
        <v>15.759475000000002</v>
      </c>
      <c r="H1148" s="9">
        <f t="shared" ca="1" si="51"/>
        <v>33.18966666666666</v>
      </c>
      <c r="I1148" s="9">
        <f t="shared" ca="1" si="51"/>
        <v>33.193308333333334</v>
      </c>
      <c r="J1148" s="9">
        <f t="shared" ca="1" si="51"/>
        <v>33.18966666666666</v>
      </c>
      <c r="K1148" s="9">
        <f t="shared" ca="1" si="51"/>
        <v>33.193308333333334</v>
      </c>
      <c r="L1148" s="9">
        <f t="shared" ca="1" si="51"/>
        <v>15.755858333333334</v>
      </c>
      <c r="M1148" s="9">
        <f t="shared" ca="1" si="51"/>
        <v>15.759475000000002</v>
      </c>
      <c r="N1148" s="9">
        <f t="shared" ca="1" si="51"/>
        <v>15.755858333333334</v>
      </c>
      <c r="O1148" s="9">
        <f t="shared" ca="1" si="51"/>
        <v>15.759475000000002</v>
      </c>
    </row>
    <row r="1149" spans="1:15" ht="15" x14ac:dyDescent="0.2">
      <c r="A1149" s="10">
        <v>2091</v>
      </c>
      <c r="B1149" s="9">
        <f t="shared" ca="1" si="51"/>
        <v>14.164533333333333</v>
      </c>
      <c r="C1149" s="9">
        <f t="shared" ca="1" si="51"/>
        <v>14.164533333333333</v>
      </c>
      <c r="D1149" s="9">
        <f t="shared" ca="1" si="51"/>
        <v>14.165616666666665</v>
      </c>
      <c r="E1149" s="9">
        <f t="shared" ca="1" si="51"/>
        <v>15.970408333333333</v>
      </c>
      <c r="F1149" s="9">
        <f t="shared" ca="1" si="51"/>
        <v>15.970408333333333</v>
      </c>
      <c r="G1149" s="9">
        <f t="shared" ca="1" si="51"/>
        <v>15.97404166666667</v>
      </c>
      <c r="H1149" s="9">
        <f t="shared" ca="1" si="51"/>
        <v>33.666908333333332</v>
      </c>
      <c r="I1149" s="9">
        <f t="shared" ca="1" si="51"/>
        <v>33.670533333333331</v>
      </c>
      <c r="J1149" s="9">
        <f t="shared" ca="1" si="51"/>
        <v>33.666908333333332</v>
      </c>
      <c r="K1149" s="9">
        <f t="shared" ca="1" si="51"/>
        <v>33.670533333333331</v>
      </c>
      <c r="L1149" s="9">
        <f t="shared" ca="1" si="51"/>
        <v>15.970408333333333</v>
      </c>
      <c r="M1149" s="9">
        <f t="shared" ca="1" si="51"/>
        <v>15.97404166666667</v>
      </c>
      <c r="N1149" s="9">
        <f t="shared" ca="1" si="51"/>
        <v>15.970408333333333</v>
      </c>
      <c r="O1149" s="9">
        <f t="shared" ca="1" si="51"/>
        <v>15.97404166666667</v>
      </c>
    </row>
    <row r="1150" spans="1:15" ht="15" x14ac:dyDescent="0.2">
      <c r="A1150" s="10">
        <v>2092</v>
      </c>
      <c r="B1150" s="9">
        <f t="shared" ref="B1150:O1158" ca="1" si="52">AVERAGE(OFFSET(B$602,($A1150-$A$1120)*12,0,12,1))</f>
        <v>14.353250000000001</v>
      </c>
      <c r="C1150" s="9">
        <f t="shared" ca="1" si="52"/>
        <v>14.353250000000001</v>
      </c>
      <c r="D1150" s="9">
        <f t="shared" ca="1" si="52"/>
        <v>14.354316666666668</v>
      </c>
      <c r="E1150" s="9">
        <f t="shared" ca="1" si="52"/>
        <v>16.184991666666665</v>
      </c>
      <c r="F1150" s="9">
        <f t="shared" ca="1" si="52"/>
        <v>16.184991666666665</v>
      </c>
      <c r="G1150" s="9">
        <f t="shared" ca="1" si="52"/>
        <v>16.188624999999998</v>
      </c>
      <c r="H1150" s="9">
        <f t="shared" ca="1" si="52"/>
        <v>34.144149999999996</v>
      </c>
      <c r="I1150" s="9">
        <f t="shared" ca="1" si="52"/>
        <v>34.14779166666667</v>
      </c>
      <c r="J1150" s="9">
        <f t="shared" ca="1" si="52"/>
        <v>34.144149999999996</v>
      </c>
      <c r="K1150" s="9">
        <f t="shared" ca="1" si="52"/>
        <v>34.14779166666667</v>
      </c>
      <c r="L1150" s="9">
        <f t="shared" ca="1" si="52"/>
        <v>16.184991666666665</v>
      </c>
      <c r="M1150" s="9">
        <f t="shared" ca="1" si="52"/>
        <v>16.188624999999998</v>
      </c>
      <c r="N1150" s="9">
        <f t="shared" ca="1" si="52"/>
        <v>16.184991666666665</v>
      </c>
      <c r="O1150" s="9">
        <f t="shared" ca="1" si="52"/>
        <v>16.188624999999998</v>
      </c>
    </row>
    <row r="1151" spans="1:15" ht="15" x14ac:dyDescent="0.2">
      <c r="A1151" s="10">
        <v>2093</v>
      </c>
      <c r="B1151" s="9">
        <f t="shared" ca="1" si="52"/>
        <v>14.541925000000001</v>
      </c>
      <c r="C1151" s="9">
        <f t="shared" ca="1" si="52"/>
        <v>14.541925000000001</v>
      </c>
      <c r="D1151" s="9">
        <f t="shared" ca="1" si="52"/>
        <v>14.543025</v>
      </c>
      <c r="E1151" s="9">
        <f t="shared" ca="1" si="52"/>
        <v>16.399541666666668</v>
      </c>
      <c r="F1151" s="9">
        <f t="shared" ca="1" si="52"/>
        <v>16.399541666666668</v>
      </c>
      <c r="G1151" s="9">
        <f t="shared" ca="1" si="52"/>
        <v>16.403175000000001</v>
      </c>
      <c r="H1151" s="9">
        <f t="shared" ca="1" si="52"/>
        <v>34.621400000000001</v>
      </c>
      <c r="I1151" s="9">
        <f t="shared" ca="1" si="52"/>
        <v>34.625041666666668</v>
      </c>
      <c r="J1151" s="9">
        <f t="shared" ca="1" si="52"/>
        <v>34.621400000000001</v>
      </c>
      <c r="K1151" s="9">
        <f t="shared" ca="1" si="52"/>
        <v>34.625041666666668</v>
      </c>
      <c r="L1151" s="9">
        <f t="shared" ca="1" si="52"/>
        <v>16.399541666666668</v>
      </c>
      <c r="M1151" s="9">
        <f t="shared" ca="1" si="52"/>
        <v>16.403175000000001</v>
      </c>
      <c r="N1151" s="9">
        <f t="shared" ca="1" si="52"/>
        <v>16.399541666666668</v>
      </c>
      <c r="O1151" s="9">
        <f t="shared" ca="1" si="52"/>
        <v>16.403175000000001</v>
      </c>
    </row>
    <row r="1152" spans="1:15" ht="15" x14ac:dyDescent="0.2">
      <c r="A1152" s="10">
        <v>2094</v>
      </c>
      <c r="B1152" s="9">
        <f t="shared" ca="1" si="52"/>
        <v>14.730650000000002</v>
      </c>
      <c r="C1152" s="9">
        <f t="shared" ca="1" si="52"/>
        <v>14.730650000000002</v>
      </c>
      <c r="D1152" s="9">
        <f t="shared" ca="1" si="52"/>
        <v>14.731716666666665</v>
      </c>
      <c r="E1152" s="9">
        <f t="shared" ca="1" si="52"/>
        <v>16.614100000000004</v>
      </c>
      <c r="F1152" s="9">
        <f t="shared" ca="1" si="52"/>
        <v>16.614100000000004</v>
      </c>
      <c r="G1152" s="9">
        <f t="shared" ca="1" si="52"/>
        <v>16.617750000000001</v>
      </c>
      <c r="H1152" s="9">
        <f t="shared" ca="1" si="52"/>
        <v>35.098641666666673</v>
      </c>
      <c r="I1152" s="9">
        <f t="shared" ca="1" si="52"/>
        <v>35.102266666666665</v>
      </c>
      <c r="J1152" s="9">
        <f t="shared" ca="1" si="52"/>
        <v>35.098641666666673</v>
      </c>
      <c r="K1152" s="9">
        <f t="shared" ca="1" si="52"/>
        <v>35.102266666666665</v>
      </c>
      <c r="L1152" s="9">
        <f t="shared" ca="1" si="52"/>
        <v>16.614100000000004</v>
      </c>
      <c r="M1152" s="9">
        <f t="shared" ca="1" si="52"/>
        <v>16.617750000000001</v>
      </c>
      <c r="N1152" s="9">
        <f t="shared" ca="1" si="52"/>
        <v>16.614100000000004</v>
      </c>
      <c r="O1152" s="9">
        <f t="shared" ca="1" si="52"/>
        <v>16.617750000000001</v>
      </c>
    </row>
    <row r="1153" spans="1:15" ht="15" x14ac:dyDescent="0.2">
      <c r="A1153" s="10">
        <v>2095</v>
      </c>
      <c r="B1153" s="9">
        <f t="shared" ca="1" si="52"/>
        <v>14.919341666666666</v>
      </c>
      <c r="C1153" s="9">
        <f t="shared" ca="1" si="52"/>
        <v>14.919341666666666</v>
      </c>
      <c r="D1153" s="9">
        <f t="shared" ca="1" si="52"/>
        <v>14.920416666666666</v>
      </c>
      <c r="E1153" s="9">
        <f t="shared" ca="1" si="52"/>
        <v>16.828675</v>
      </c>
      <c r="F1153" s="9">
        <f t="shared" ca="1" si="52"/>
        <v>16.828675</v>
      </c>
      <c r="G1153" s="9">
        <f t="shared" ca="1" si="52"/>
        <v>16.832308333333334</v>
      </c>
      <c r="H1153" s="9">
        <f t="shared" ca="1" si="52"/>
        <v>35.575908333333331</v>
      </c>
      <c r="I1153" s="9">
        <f t="shared" ca="1" si="52"/>
        <v>35.57953333333333</v>
      </c>
      <c r="J1153" s="9">
        <f t="shared" ca="1" si="52"/>
        <v>35.575908333333331</v>
      </c>
      <c r="K1153" s="9">
        <f t="shared" ca="1" si="52"/>
        <v>35.57953333333333</v>
      </c>
      <c r="L1153" s="9">
        <f t="shared" ca="1" si="52"/>
        <v>16.828675</v>
      </c>
      <c r="M1153" s="9">
        <f t="shared" ca="1" si="52"/>
        <v>16.832308333333334</v>
      </c>
      <c r="N1153" s="9">
        <f t="shared" ca="1" si="52"/>
        <v>16.828675</v>
      </c>
      <c r="O1153" s="9">
        <f t="shared" ca="1" si="52"/>
        <v>16.832308333333334</v>
      </c>
    </row>
    <row r="1154" spans="1:15" ht="15" x14ac:dyDescent="0.2">
      <c r="A1154" s="10">
        <v>2096</v>
      </c>
      <c r="B1154" s="9">
        <f t="shared" ca="1" si="52"/>
        <v>15.108033333333333</v>
      </c>
      <c r="C1154" s="9">
        <f t="shared" ca="1" si="52"/>
        <v>15.108033333333333</v>
      </c>
      <c r="D1154" s="9">
        <f t="shared" ca="1" si="52"/>
        <v>15.109116666666665</v>
      </c>
      <c r="E1154" s="9">
        <f t="shared" ca="1" si="52"/>
        <v>17.043241666666667</v>
      </c>
      <c r="F1154" s="9">
        <f t="shared" ca="1" si="52"/>
        <v>17.043241666666667</v>
      </c>
      <c r="G1154" s="9">
        <f t="shared" ca="1" si="52"/>
        <v>17.046875</v>
      </c>
      <c r="H1154" s="9">
        <f t="shared" ca="1" si="52"/>
        <v>36.053141666666669</v>
      </c>
      <c r="I1154" s="9">
        <f t="shared" ca="1" si="52"/>
        <v>36.056783333333335</v>
      </c>
      <c r="J1154" s="9">
        <f t="shared" ca="1" si="52"/>
        <v>36.053141666666669</v>
      </c>
      <c r="K1154" s="9">
        <f t="shared" ca="1" si="52"/>
        <v>36.056783333333335</v>
      </c>
      <c r="L1154" s="9">
        <f t="shared" ca="1" si="52"/>
        <v>17.043241666666667</v>
      </c>
      <c r="M1154" s="9">
        <f t="shared" ca="1" si="52"/>
        <v>17.046875</v>
      </c>
      <c r="N1154" s="9">
        <f t="shared" ca="1" si="52"/>
        <v>17.043241666666667</v>
      </c>
      <c r="O1154" s="9">
        <f t="shared" ca="1" si="52"/>
        <v>17.046875</v>
      </c>
    </row>
    <row r="1155" spans="1:15" ht="15" x14ac:dyDescent="0.2">
      <c r="A1155" s="10">
        <v>2097</v>
      </c>
      <c r="B1155" s="9">
        <f t="shared" ca="1" si="52"/>
        <v>15.296750000000001</v>
      </c>
      <c r="C1155" s="9">
        <f t="shared" ca="1" si="52"/>
        <v>15.296750000000001</v>
      </c>
      <c r="D1155" s="9">
        <f t="shared" ca="1" si="52"/>
        <v>15.297808333333334</v>
      </c>
      <c r="E1155" s="9">
        <f t="shared" ca="1" si="52"/>
        <v>17.2578</v>
      </c>
      <c r="F1155" s="9">
        <f t="shared" ca="1" si="52"/>
        <v>17.2578</v>
      </c>
      <c r="G1155" s="9">
        <f t="shared" ca="1" si="52"/>
        <v>17.26145</v>
      </c>
      <c r="H1155" s="9">
        <f t="shared" ca="1" si="52"/>
        <v>36.530399999999993</v>
      </c>
      <c r="I1155" s="9">
        <f t="shared" ca="1" si="52"/>
        <v>36.534033333333333</v>
      </c>
      <c r="J1155" s="9">
        <f t="shared" ca="1" si="52"/>
        <v>36.530399999999993</v>
      </c>
      <c r="K1155" s="9">
        <f t="shared" ca="1" si="52"/>
        <v>36.534033333333333</v>
      </c>
      <c r="L1155" s="9">
        <f t="shared" ca="1" si="52"/>
        <v>17.2578</v>
      </c>
      <c r="M1155" s="9">
        <f t="shared" ca="1" si="52"/>
        <v>17.26145</v>
      </c>
      <c r="N1155" s="9">
        <f t="shared" ca="1" si="52"/>
        <v>17.2578</v>
      </c>
      <c r="O1155" s="9">
        <f t="shared" ca="1" si="52"/>
        <v>17.26145</v>
      </c>
    </row>
    <row r="1156" spans="1:15" ht="15" x14ac:dyDescent="0.2">
      <c r="A1156" s="10">
        <v>2098</v>
      </c>
      <c r="B1156" s="9">
        <f t="shared" ca="1" si="52"/>
        <v>15.485433333333333</v>
      </c>
      <c r="C1156" s="9">
        <f t="shared" ca="1" si="52"/>
        <v>15.485433333333333</v>
      </c>
      <c r="D1156" s="9">
        <f t="shared" ca="1" si="52"/>
        <v>15.486516666666665</v>
      </c>
      <c r="E1156" s="9">
        <f t="shared" ca="1" si="52"/>
        <v>17.472383333333333</v>
      </c>
      <c r="F1156" s="9">
        <f t="shared" ca="1" si="52"/>
        <v>17.472383333333333</v>
      </c>
      <c r="G1156" s="9">
        <f t="shared" ca="1" si="52"/>
        <v>17.476008333333329</v>
      </c>
      <c r="H1156" s="9">
        <f t="shared" ca="1" si="52"/>
        <v>37.007624999999997</v>
      </c>
      <c r="I1156" s="9">
        <f t="shared" ca="1" si="52"/>
        <v>37.011266666666664</v>
      </c>
      <c r="J1156" s="9">
        <f t="shared" ca="1" si="52"/>
        <v>37.007624999999997</v>
      </c>
      <c r="K1156" s="9">
        <f t="shared" ca="1" si="52"/>
        <v>37.011266666666664</v>
      </c>
      <c r="L1156" s="9">
        <f t="shared" ca="1" si="52"/>
        <v>17.472383333333333</v>
      </c>
      <c r="M1156" s="9">
        <f t="shared" ca="1" si="52"/>
        <v>17.476008333333329</v>
      </c>
      <c r="N1156" s="9">
        <f t="shared" ca="1" si="52"/>
        <v>17.472383333333333</v>
      </c>
      <c r="O1156" s="9">
        <f t="shared" ca="1" si="52"/>
        <v>17.476008333333329</v>
      </c>
    </row>
    <row r="1157" spans="1:15" ht="15" x14ac:dyDescent="0.2">
      <c r="A1157" s="10">
        <v>2099</v>
      </c>
      <c r="B1157" s="9">
        <f t="shared" ca="1" si="52"/>
        <v>15.674149999999999</v>
      </c>
      <c r="C1157" s="9">
        <f t="shared" ca="1" si="52"/>
        <v>15.674149999999999</v>
      </c>
      <c r="D1157" s="9">
        <f t="shared" ca="1" si="52"/>
        <v>15.675208333333336</v>
      </c>
      <c r="E1157" s="9">
        <f t="shared" ca="1" si="52"/>
        <v>17.686933333333332</v>
      </c>
      <c r="F1157" s="9">
        <f t="shared" ca="1" si="52"/>
        <v>17.686933333333332</v>
      </c>
      <c r="G1157" s="9">
        <f t="shared" ca="1" si="52"/>
        <v>17.690574999999999</v>
      </c>
      <c r="H1157" s="9">
        <f t="shared" ca="1" si="52"/>
        <v>37.484883333333329</v>
      </c>
      <c r="I1157" s="9">
        <f t="shared" ca="1" si="52"/>
        <v>37.488516666666662</v>
      </c>
      <c r="J1157" s="9">
        <f t="shared" ca="1" si="52"/>
        <v>37.484883333333329</v>
      </c>
      <c r="K1157" s="9">
        <f t="shared" ca="1" si="52"/>
        <v>37.488516666666662</v>
      </c>
      <c r="L1157" s="9">
        <f t="shared" ca="1" si="52"/>
        <v>17.686933333333332</v>
      </c>
      <c r="M1157" s="9">
        <f t="shared" ca="1" si="52"/>
        <v>17.690574999999999</v>
      </c>
      <c r="N1157" s="9">
        <f t="shared" ca="1" si="52"/>
        <v>17.686933333333332</v>
      </c>
      <c r="O1157" s="9">
        <f t="shared" ca="1" si="52"/>
        <v>17.690574999999999</v>
      </c>
    </row>
    <row r="1158" spans="1:15" ht="15" x14ac:dyDescent="0.2">
      <c r="A1158" s="10">
        <v>2100</v>
      </c>
      <c r="B1158" s="9">
        <f t="shared" ca="1" si="52"/>
        <v>15.862841666666663</v>
      </c>
      <c r="C1158" s="9">
        <f t="shared" ca="1" si="52"/>
        <v>15.862841666666663</v>
      </c>
      <c r="D1158" s="9">
        <f t="shared" ca="1" si="52"/>
        <v>15.863925000000002</v>
      </c>
      <c r="E1158" s="9">
        <f t="shared" ca="1" si="52"/>
        <v>17.901491666666669</v>
      </c>
      <c r="F1158" s="9">
        <f t="shared" ca="1" si="52"/>
        <v>17.901491666666669</v>
      </c>
      <c r="G1158" s="9">
        <f t="shared" ca="1" si="52"/>
        <v>17.905133333333332</v>
      </c>
      <c r="H1158" s="9">
        <f t="shared" ca="1" si="52"/>
        <v>37.962150000000001</v>
      </c>
      <c r="I1158" s="9">
        <f t="shared" ca="1" si="52"/>
        <v>37.965775000000001</v>
      </c>
      <c r="J1158" s="9">
        <f t="shared" ca="1" si="52"/>
        <v>37.962150000000001</v>
      </c>
      <c r="K1158" s="9">
        <f t="shared" ca="1" si="52"/>
        <v>37.965775000000001</v>
      </c>
      <c r="L1158" s="9">
        <f t="shared" ca="1" si="52"/>
        <v>17.901491666666669</v>
      </c>
      <c r="M1158" s="9">
        <f t="shared" ca="1" si="52"/>
        <v>17.905133333333332</v>
      </c>
      <c r="N1158" s="9">
        <f t="shared" ca="1" si="52"/>
        <v>17.901491666666669</v>
      </c>
      <c r="O1158" s="9">
        <f t="shared" ca="1" si="52"/>
        <v>17.905133333333332</v>
      </c>
    </row>
  </sheetData>
  <mergeCells count="7">
    <mergeCell ref="B10:D10"/>
    <mergeCell ref="P10:Q10"/>
    <mergeCell ref="R10:S10"/>
    <mergeCell ref="P9:S9"/>
    <mergeCell ref="E10:G10"/>
    <mergeCell ref="H10:K10"/>
    <mergeCell ref="L10:O10"/>
  </mergeCells>
  <pageMargins left="0.25" right="0.25" top="0.5" bottom="0.5" header="0.25" footer="0.25"/>
  <pageSetup paperSize="17" scale="5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locked="0" defaultSize="0" autoLine="0" autoPict="0">
                <anchor moveWithCells="1">
                  <from>
                    <xdr:col>5</xdr:col>
                    <xdr:colOff>371475</xdr:colOff>
                    <xdr:row>7</xdr:row>
                    <xdr:rowOff>47625</xdr:rowOff>
                  </from>
                  <to>
                    <xdr:col>6</xdr:col>
                    <xdr:colOff>381000</xdr:colOff>
                    <xdr:row>8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Q1176"/>
  <sheetViews>
    <sheetView zoomScale="75" zoomScaleNormal="75" workbookViewId="0">
      <pane xSplit="1" ySplit="11" topLeftCell="B12" activePane="bottomRight" state="frozen"/>
      <selection activeCell="A6" sqref="A6"/>
      <selection pane="topRight" activeCell="A6" sqref="A6"/>
      <selection pane="bottomLeft" activeCell="A6" sqref="A6"/>
      <selection pane="bottomRight" activeCell="A7" sqref="A7"/>
    </sheetView>
  </sheetViews>
  <sheetFormatPr defaultColWidth="7.109375" defaultRowHeight="12.75" x14ac:dyDescent="0.2"/>
  <cols>
    <col min="1" max="1" width="19.77734375" style="31" customWidth="1"/>
    <col min="2" max="4" width="16.109375" style="31" customWidth="1"/>
    <col min="5" max="5" width="21" style="31" customWidth="1"/>
    <col min="6" max="9" width="16.109375" style="31" customWidth="1"/>
    <col min="10" max="10" width="12.33203125" style="8" customWidth="1"/>
    <col min="11" max="11" width="10.77734375" style="8" customWidth="1"/>
    <col min="12" max="12" width="11.6640625" style="8" customWidth="1"/>
    <col min="13" max="16384" width="7.109375" style="8"/>
  </cols>
  <sheetData>
    <row r="1" spans="1:17" ht="15.75" x14ac:dyDescent="0.25">
      <c r="A1" s="102" t="s">
        <v>90</v>
      </c>
    </row>
    <row r="2" spans="1:17" ht="15.75" x14ac:dyDescent="0.25">
      <c r="A2" s="102" t="s">
        <v>91</v>
      </c>
    </row>
    <row r="3" spans="1:17" ht="15.75" x14ac:dyDescent="0.25">
      <c r="A3" s="102" t="s">
        <v>92</v>
      </c>
    </row>
    <row r="4" spans="1:17" ht="15.75" x14ac:dyDescent="0.25">
      <c r="A4" s="102" t="s">
        <v>93</v>
      </c>
    </row>
    <row r="5" spans="1:17" ht="15.75" x14ac:dyDescent="0.25">
      <c r="A5" s="102" t="s">
        <v>95</v>
      </c>
    </row>
    <row r="6" spans="1:17" ht="15.75" x14ac:dyDescent="0.25">
      <c r="A6" s="102" t="s">
        <v>97</v>
      </c>
    </row>
    <row r="8" spans="1:17" ht="15.75" x14ac:dyDescent="0.25">
      <c r="A8" s="43" t="s">
        <v>27</v>
      </c>
      <c r="B8" s="8"/>
      <c r="C8" s="8"/>
      <c r="D8" s="8"/>
      <c r="E8" s="8"/>
      <c r="F8" s="8"/>
      <c r="G8" s="8"/>
      <c r="H8" s="8"/>
      <c r="I8" s="8"/>
    </row>
    <row r="9" spans="1:17" ht="15.75" x14ac:dyDescent="0.25">
      <c r="A9" s="43"/>
      <c r="B9" s="42"/>
      <c r="C9" s="41" t="s">
        <v>25</v>
      </c>
      <c r="D9" s="40">
        <f>1-0.278</f>
        <v>0.72199999999999998</v>
      </c>
      <c r="E9" s="41" t="s">
        <v>24</v>
      </c>
      <c r="F9" s="40">
        <v>1.278</v>
      </c>
      <c r="G9" s="8"/>
      <c r="H9" s="8"/>
      <c r="I9" s="8"/>
    </row>
    <row r="10" spans="1:17" s="36" customFormat="1" ht="13.15" customHeight="1" x14ac:dyDescent="0.25">
      <c r="B10" s="37" t="s">
        <v>37</v>
      </c>
      <c r="C10" s="37" t="s">
        <v>36</v>
      </c>
      <c r="D10" s="37" t="s">
        <v>35</v>
      </c>
      <c r="E10" s="39" t="s">
        <v>34</v>
      </c>
      <c r="F10" s="37" t="s">
        <v>33</v>
      </c>
      <c r="G10" s="39" t="s">
        <v>32</v>
      </c>
      <c r="H10" s="39" t="s">
        <v>31</v>
      </c>
      <c r="I10" s="37" t="s">
        <v>30</v>
      </c>
      <c r="J10" s="37" t="s">
        <v>29</v>
      </c>
      <c r="K10" s="37" t="s">
        <v>28</v>
      </c>
      <c r="L10" s="37"/>
    </row>
    <row r="11" spans="1:17" s="36" customFormat="1" ht="13.15" customHeight="1" x14ac:dyDescent="0.25">
      <c r="A11" s="38" t="s">
        <v>15</v>
      </c>
      <c r="B11" s="37" t="s">
        <v>14</v>
      </c>
      <c r="C11" s="37" t="s">
        <v>14</v>
      </c>
      <c r="D11" s="37" t="s">
        <v>14</v>
      </c>
      <c r="E11" s="37" t="s">
        <v>14</v>
      </c>
      <c r="F11" s="37" t="s">
        <v>14</v>
      </c>
      <c r="G11" s="37" t="s">
        <v>14</v>
      </c>
      <c r="H11" s="37" t="s">
        <v>14</v>
      </c>
      <c r="I11" s="37" t="s">
        <v>14</v>
      </c>
      <c r="J11" s="37" t="s">
        <v>14</v>
      </c>
      <c r="K11" s="37" t="s">
        <v>14</v>
      </c>
      <c r="L11" s="37"/>
    </row>
    <row r="12" spans="1:17" ht="15" x14ac:dyDescent="0.2">
      <c r="A12" s="13">
        <v>41275</v>
      </c>
      <c r="B12" s="14">
        <v>24.537438554750199</v>
      </c>
      <c r="C12" s="14">
        <v>24.1051915564654</v>
      </c>
      <c r="D12" s="14">
        <v>24.1051915564654</v>
      </c>
      <c r="E12" s="14">
        <v>23.9685330658994</v>
      </c>
      <c r="F12" s="14">
        <v>23.9685330658994</v>
      </c>
      <c r="G12" s="14">
        <v>24.239908537597501</v>
      </c>
      <c r="H12" s="14">
        <v>24.1051915564654</v>
      </c>
      <c r="I12" s="14">
        <v>24.1051915564654</v>
      </c>
      <c r="J12" s="14">
        <v>23.744985724561499</v>
      </c>
      <c r="K12" s="14">
        <v>24.1051915564654</v>
      </c>
      <c r="L12" s="14"/>
      <c r="M12" s="35"/>
      <c r="N12" s="35"/>
      <c r="O12" s="35"/>
      <c r="P12" s="35"/>
      <c r="Q12" s="35"/>
    </row>
    <row r="13" spans="1:17" ht="15" x14ac:dyDescent="0.2">
      <c r="A13" s="13">
        <v>41306</v>
      </c>
      <c r="B13" s="14">
        <v>25.612662092624401</v>
      </c>
      <c r="C13" s="14">
        <v>25.180415094339601</v>
      </c>
      <c r="D13" s="14">
        <v>25.180415094339601</v>
      </c>
      <c r="E13" s="14">
        <v>25.043756603773598</v>
      </c>
      <c r="F13" s="14">
        <v>25.043756603773598</v>
      </c>
      <c r="G13" s="14">
        <v>25.315132075471698</v>
      </c>
      <c r="H13" s="14">
        <v>25.180415094339601</v>
      </c>
      <c r="I13" s="14">
        <v>25.180415094339601</v>
      </c>
      <c r="J13" s="14">
        <v>24.8202092624357</v>
      </c>
      <c r="K13" s="14">
        <v>25.180415094339601</v>
      </c>
      <c r="L13" s="14"/>
      <c r="M13" s="35"/>
      <c r="N13" s="35"/>
      <c r="O13" s="35"/>
      <c r="P13" s="35"/>
      <c r="Q13" s="35"/>
    </row>
    <row r="14" spans="1:17" ht="15" x14ac:dyDescent="0.2">
      <c r="A14" s="13">
        <v>41334</v>
      </c>
      <c r="B14" s="14">
        <v>23.994085486637498</v>
      </c>
      <c r="C14" s="14">
        <v>23.561838488352802</v>
      </c>
      <c r="D14" s="14">
        <v>23.561838488352802</v>
      </c>
      <c r="E14" s="14">
        <v>23.425179997786799</v>
      </c>
      <c r="F14" s="14">
        <v>23.425179997786799</v>
      </c>
      <c r="G14" s="14">
        <v>23.696555469484899</v>
      </c>
      <c r="H14" s="14">
        <v>23.561838488352802</v>
      </c>
      <c r="I14" s="14">
        <v>23.561838488352802</v>
      </c>
      <c r="J14" s="14">
        <v>23.201632656448801</v>
      </c>
      <c r="K14" s="14">
        <v>23.561838488352802</v>
      </c>
      <c r="L14" s="14"/>
      <c r="M14" s="35"/>
      <c r="N14" s="35"/>
      <c r="O14" s="35"/>
      <c r="P14" s="35"/>
      <c r="Q14" s="35"/>
    </row>
    <row r="15" spans="1:17" ht="15" x14ac:dyDescent="0.2">
      <c r="A15" s="13">
        <v>41365</v>
      </c>
      <c r="B15" s="14">
        <v>22.9189005145798</v>
      </c>
      <c r="C15" s="14">
        <v>22.486653516295</v>
      </c>
      <c r="D15" s="14">
        <v>22.486653516295</v>
      </c>
      <c r="E15" s="14">
        <v>22.349995025729001</v>
      </c>
      <c r="F15" s="14">
        <v>22.349995025729001</v>
      </c>
      <c r="G15" s="14">
        <v>22.621370497427101</v>
      </c>
      <c r="H15" s="14">
        <v>22.486653516295</v>
      </c>
      <c r="I15" s="14">
        <v>22.486653516295</v>
      </c>
      <c r="J15" s="14">
        <v>22.126447684391099</v>
      </c>
      <c r="K15" s="14">
        <v>22.486653516295</v>
      </c>
      <c r="L15" s="14"/>
      <c r="M15" s="35"/>
      <c r="N15" s="35"/>
      <c r="O15" s="35"/>
      <c r="P15" s="35"/>
      <c r="Q15" s="35"/>
    </row>
    <row r="16" spans="1:17" ht="15" x14ac:dyDescent="0.2">
      <c r="A16" s="13">
        <v>41395</v>
      </c>
      <c r="B16" s="14">
        <v>22.7296003430532</v>
      </c>
      <c r="C16" s="14">
        <v>22.2973533447684</v>
      </c>
      <c r="D16" s="14">
        <v>22.2973533447684</v>
      </c>
      <c r="E16" s="14">
        <v>22.160694854202401</v>
      </c>
      <c r="F16" s="14">
        <v>22.160694854202401</v>
      </c>
      <c r="G16" s="14">
        <v>22.432070325900501</v>
      </c>
      <c r="H16" s="14">
        <v>22.2973533447684</v>
      </c>
      <c r="I16" s="14">
        <v>22.2973533447684</v>
      </c>
      <c r="J16" s="14">
        <v>21.937147512864499</v>
      </c>
      <c r="K16" s="14">
        <v>22.2973533447684</v>
      </c>
      <c r="L16" s="14"/>
      <c r="M16" s="35"/>
      <c r="N16" s="35"/>
      <c r="O16" s="35"/>
      <c r="P16" s="35"/>
      <c r="Q16" s="35"/>
    </row>
    <row r="17" spans="1:17" ht="15" x14ac:dyDescent="0.2">
      <c r="A17" s="13">
        <v>41426</v>
      </c>
      <c r="B17" s="14">
        <f>23.3298 * CHOOSE(CONTROL!$C$9, $D$9, 100%, $F$9) + CHOOSE(CONTROL!$C$27, 0.0021, 0)</f>
        <v>23.331899999999997</v>
      </c>
      <c r="C17" s="14">
        <f>22.8976 * CHOOSE(CONTROL!$C$9, $D$9, 100%, $F$9) + CHOOSE(CONTROL!$C$27, 0.0021, 0)</f>
        <v>22.899699999999999</v>
      </c>
      <c r="D17" s="14">
        <f>22.8976 * CHOOSE(CONTROL!$C$9, $D$9, 100%, $F$9) + CHOOSE(CONTROL!$C$27, 0.0021, 0)</f>
        <v>22.899699999999999</v>
      </c>
      <c r="E17" s="14">
        <f>22.7609 * CHOOSE(CONTROL!$C$9, $D$9, 100%, $F$9) + CHOOSE(CONTROL!$C$27, 0.0021, 0)</f>
        <v>22.762999999999998</v>
      </c>
      <c r="F17" s="14">
        <f>22.7609 * CHOOSE(CONTROL!$C$9, $D$9, 100%, $F$9) + CHOOSE(CONTROL!$C$27, 0.0021, 0)</f>
        <v>22.762999999999998</v>
      </c>
      <c r="G17" s="14">
        <f>23.0323 * CHOOSE(CONTROL!$C$9, $D$9, 100%, $F$9) + CHOOSE(CONTROL!$C$27, 0.0021, 0)</f>
        <v>23.034399999999998</v>
      </c>
      <c r="H17" s="14">
        <f>22.8976 * CHOOSE(CONTROL!$C$9, $D$9, 100%, $F$9) + CHOOSE(CONTROL!$C$27, 0.0021, 0)</f>
        <v>22.899699999999999</v>
      </c>
      <c r="I17" s="14">
        <f>22.8976 * CHOOSE(CONTROL!$C$9, $D$9, 100%, $F$9) + CHOOSE(CONTROL!$C$27, 0.0021, 0)</f>
        <v>22.899699999999999</v>
      </c>
      <c r="J17" s="14">
        <f>22.5374 * CHOOSE(CONTROL!$C$9, $D$9, 100%, $F$9) + CHOOSE(CONTROL!$C$27, 0.0021, 0)</f>
        <v>22.5395</v>
      </c>
      <c r="K17" s="14">
        <f>22.8976 * CHOOSE(CONTROL!$C$9, $D$9, 100%, $F$9) + CHOOSE(CONTROL!$C$27, 0.0021, 0)</f>
        <v>22.899699999999999</v>
      </c>
      <c r="L17" s="14"/>
      <c r="M17" s="35"/>
      <c r="N17" s="35"/>
      <c r="O17" s="35"/>
      <c r="P17" s="35"/>
      <c r="Q17" s="35"/>
    </row>
    <row r="18" spans="1:17" ht="15" x14ac:dyDescent="0.2">
      <c r="A18" s="13">
        <v>41456</v>
      </c>
      <c r="B18" s="14">
        <f>23.2988 * CHOOSE(CONTROL!$C$9, $D$9, 100%, $F$9) + CHOOSE(CONTROL!$C$27, 0.0021, 0)</f>
        <v>23.300899999999999</v>
      </c>
      <c r="C18" s="14">
        <f>22.8666 * CHOOSE(CONTROL!$C$9, $D$9, 100%, $F$9) + CHOOSE(CONTROL!$C$27, 0.0021, 0)</f>
        <v>22.868699999999997</v>
      </c>
      <c r="D18" s="14">
        <f>22.8666 * CHOOSE(CONTROL!$C$9, $D$9, 100%, $F$9) + CHOOSE(CONTROL!$C$27, 0.0021, 0)</f>
        <v>22.868699999999997</v>
      </c>
      <c r="E18" s="14">
        <f>22.7299 * CHOOSE(CONTROL!$C$9, $D$9, 100%, $F$9) + CHOOSE(CONTROL!$C$27, 0.0021, 0)</f>
        <v>22.731999999999999</v>
      </c>
      <c r="F18" s="14">
        <f>22.7299 * CHOOSE(CONTROL!$C$9, $D$9, 100%, $F$9) + CHOOSE(CONTROL!$C$27, 0.0021, 0)</f>
        <v>22.731999999999999</v>
      </c>
      <c r="G18" s="14">
        <f>23.0013 * CHOOSE(CONTROL!$C$9, $D$9, 100%, $F$9) + CHOOSE(CONTROL!$C$27, 0.0021, 0)</f>
        <v>23.003399999999999</v>
      </c>
      <c r="H18" s="14">
        <f>22.8666 * CHOOSE(CONTROL!$C$9, $D$9, 100%, $F$9) + CHOOSE(CONTROL!$C$27, 0.0021, 0)</f>
        <v>22.868699999999997</v>
      </c>
      <c r="I18" s="14">
        <f>22.8666 * CHOOSE(CONTROL!$C$9, $D$9, 100%, $F$9) + CHOOSE(CONTROL!$C$27, 0.0021, 0)</f>
        <v>22.868699999999997</v>
      </c>
      <c r="J18" s="14">
        <f>22.5064 * CHOOSE(CONTROL!$C$9, $D$9, 100%, $F$9) + CHOOSE(CONTROL!$C$27, 0.0021, 0)</f>
        <v>22.508499999999998</v>
      </c>
      <c r="K18" s="14">
        <f>22.8666 * CHOOSE(CONTROL!$C$9, $D$9, 100%, $F$9) + CHOOSE(CONTROL!$C$27, 0.0021, 0)</f>
        <v>22.868699999999997</v>
      </c>
      <c r="L18" s="14"/>
      <c r="M18" s="35"/>
      <c r="N18" s="35"/>
      <c r="O18" s="35"/>
      <c r="P18" s="35"/>
      <c r="Q18" s="35"/>
    </row>
    <row r="19" spans="1:17" ht="15" x14ac:dyDescent="0.2">
      <c r="A19" s="13">
        <v>41487</v>
      </c>
      <c r="B19" s="14">
        <f>23.3406 * CHOOSE(CONTROL!$C$9, $D$9, 100%, $F$9) + CHOOSE(CONTROL!$C$27, 0.0021, 0)</f>
        <v>23.342699999999997</v>
      </c>
      <c r="C19" s="14">
        <f>22.9084 * CHOOSE(CONTROL!$C$9, $D$9, 100%, $F$9) + CHOOSE(CONTROL!$C$27, 0.0021, 0)</f>
        <v>22.910499999999999</v>
      </c>
      <c r="D19" s="14">
        <f>22.9084 * CHOOSE(CONTROL!$C$9, $D$9, 100%, $F$9) + CHOOSE(CONTROL!$C$27, 0.0021, 0)</f>
        <v>22.910499999999999</v>
      </c>
      <c r="E19" s="14">
        <f>22.7717 * CHOOSE(CONTROL!$C$9, $D$9, 100%, $F$9) + CHOOSE(CONTROL!$C$27, 0.0021, 0)</f>
        <v>22.773799999999998</v>
      </c>
      <c r="F19" s="14">
        <f>22.7717 * CHOOSE(CONTROL!$C$9, $D$9, 100%, $F$9) + CHOOSE(CONTROL!$C$27, 0.0021, 0)</f>
        <v>22.773799999999998</v>
      </c>
      <c r="G19" s="14">
        <f>23.0431 * CHOOSE(CONTROL!$C$9, $D$9, 100%, $F$9) + CHOOSE(CONTROL!$C$27, 0.0021, 0)</f>
        <v>23.045199999999998</v>
      </c>
      <c r="H19" s="14">
        <f>22.9084 * CHOOSE(CONTROL!$C$9, $D$9, 100%, $F$9) + CHOOSE(CONTROL!$C$27, 0.0021, 0)</f>
        <v>22.910499999999999</v>
      </c>
      <c r="I19" s="14">
        <f>22.9084 * CHOOSE(CONTROL!$C$9, $D$9, 100%, $F$9) + CHOOSE(CONTROL!$C$27, 0.0021, 0)</f>
        <v>22.910499999999999</v>
      </c>
      <c r="J19" s="14">
        <f>22.5482 * CHOOSE(CONTROL!$C$9, $D$9, 100%, $F$9) + CHOOSE(CONTROL!$C$27, 0.0021, 0)</f>
        <v>22.5503</v>
      </c>
      <c r="K19" s="14">
        <f>22.9084 * CHOOSE(CONTROL!$C$9, $D$9, 100%, $F$9) + CHOOSE(CONTROL!$C$27, 0.0021, 0)</f>
        <v>22.910499999999999</v>
      </c>
      <c r="L19" s="14"/>
      <c r="M19" s="35"/>
      <c r="N19" s="35"/>
      <c r="O19" s="35"/>
      <c r="P19" s="35"/>
      <c r="Q19" s="35"/>
    </row>
    <row r="20" spans="1:17" ht="15" x14ac:dyDescent="0.2">
      <c r="A20" s="13">
        <v>41518</v>
      </c>
      <c r="B20" s="14">
        <f>23.4026 * CHOOSE(CONTROL!$C$9, $D$9, 100%, $F$9) + CHOOSE(CONTROL!$C$27, 0.0021, 0)</f>
        <v>23.404699999999998</v>
      </c>
      <c r="C20" s="14">
        <f>22.9703 * CHOOSE(CONTROL!$C$9, $D$9, 100%, $F$9) + CHOOSE(CONTROL!$C$27, 0.0021, 0)</f>
        <v>22.9724</v>
      </c>
      <c r="D20" s="14">
        <f>22.9703 * CHOOSE(CONTROL!$C$9, $D$9, 100%, $F$9) + CHOOSE(CONTROL!$C$27, 0.0021, 0)</f>
        <v>22.9724</v>
      </c>
      <c r="E20" s="14">
        <f>22.8337 * CHOOSE(CONTROL!$C$9, $D$9, 100%, $F$9) + CHOOSE(CONTROL!$C$27, 0.0021, 0)</f>
        <v>22.835799999999999</v>
      </c>
      <c r="F20" s="14">
        <f>22.8337 * CHOOSE(CONTROL!$C$9, $D$9, 100%, $F$9) + CHOOSE(CONTROL!$C$27, 0.0021, 0)</f>
        <v>22.835799999999999</v>
      </c>
      <c r="G20" s="14">
        <f>23.105 * CHOOSE(CONTROL!$C$9, $D$9, 100%, $F$9) + CHOOSE(CONTROL!$C$27, 0.0021, 0)</f>
        <v>23.107099999999999</v>
      </c>
      <c r="H20" s="14">
        <f>22.9703 * CHOOSE(CONTROL!$C$9, $D$9, 100%, $F$9) + CHOOSE(CONTROL!$C$27, 0.0021, 0)</f>
        <v>22.9724</v>
      </c>
      <c r="I20" s="14">
        <f>22.9703 * CHOOSE(CONTROL!$C$9, $D$9, 100%, $F$9) + CHOOSE(CONTROL!$C$27, 0.0021, 0)</f>
        <v>22.9724</v>
      </c>
      <c r="J20" s="14">
        <f>22.6101 * CHOOSE(CONTROL!$C$9, $D$9, 100%, $F$9) + CHOOSE(CONTROL!$C$27, 0.0021, 0)</f>
        <v>22.612199999999998</v>
      </c>
      <c r="K20" s="14">
        <f>22.9703 * CHOOSE(CONTROL!$C$9, $D$9, 100%, $F$9) + CHOOSE(CONTROL!$C$27, 0.0021, 0)</f>
        <v>22.9724</v>
      </c>
      <c r="L20" s="14"/>
      <c r="M20" s="35"/>
      <c r="N20" s="35"/>
      <c r="O20" s="35"/>
      <c r="P20" s="35"/>
      <c r="Q20" s="35"/>
    </row>
    <row r="21" spans="1:17" ht="15" x14ac:dyDescent="0.2">
      <c r="A21" s="13">
        <v>41548</v>
      </c>
      <c r="B21" s="14">
        <f>23.4552 * CHOOSE(CONTROL!$C$9, $D$9, 100%, $F$9) + CHOOSE(CONTROL!$C$27, 0.0021, 0)</f>
        <v>23.4573</v>
      </c>
      <c r="C21" s="14">
        <f>23.0229 * CHOOSE(CONTROL!$C$9, $D$9, 100%, $F$9) + CHOOSE(CONTROL!$C$27, 0.0021, 0)</f>
        <v>23.024999999999999</v>
      </c>
      <c r="D21" s="14">
        <f>23.0229 * CHOOSE(CONTROL!$C$9, $D$9, 100%, $F$9) + CHOOSE(CONTROL!$C$27, 0.0021, 0)</f>
        <v>23.024999999999999</v>
      </c>
      <c r="E21" s="14">
        <f>22.8863 * CHOOSE(CONTROL!$C$9, $D$9, 100%, $F$9) + CHOOSE(CONTROL!$C$27, 0.0021, 0)</f>
        <v>22.888399999999997</v>
      </c>
      <c r="F21" s="14">
        <f>22.8863 * CHOOSE(CONTROL!$C$9, $D$9, 100%, $F$9) + CHOOSE(CONTROL!$C$27, 0.0021, 0)</f>
        <v>22.888399999999997</v>
      </c>
      <c r="G21" s="14">
        <f>23.1576 * CHOOSE(CONTROL!$C$9, $D$9, 100%, $F$9) + CHOOSE(CONTROL!$C$27, 0.0021, 0)</f>
        <v>23.159699999999997</v>
      </c>
      <c r="H21" s="14">
        <f>23.0229 * CHOOSE(CONTROL!$C$9, $D$9, 100%, $F$9) + CHOOSE(CONTROL!$C$27, 0.0021, 0)</f>
        <v>23.024999999999999</v>
      </c>
      <c r="I21" s="14">
        <f>23.0229 * CHOOSE(CONTROL!$C$9, $D$9, 100%, $F$9) + CHOOSE(CONTROL!$C$27, 0.0021, 0)</f>
        <v>23.024999999999999</v>
      </c>
      <c r="J21" s="14">
        <f>22.6627 * CHOOSE(CONTROL!$C$9, $D$9, 100%, $F$9) + CHOOSE(CONTROL!$C$27, 0.0021, 0)</f>
        <v>22.6648</v>
      </c>
      <c r="K21" s="14">
        <f>23.0229 * CHOOSE(CONTROL!$C$9, $D$9, 100%, $F$9) + CHOOSE(CONTROL!$C$27, 0.0021, 0)</f>
        <v>23.024999999999999</v>
      </c>
      <c r="L21" s="14"/>
      <c r="M21" s="35"/>
      <c r="N21" s="35"/>
      <c r="O21" s="35"/>
      <c r="P21" s="35"/>
      <c r="Q21" s="35"/>
    </row>
    <row r="22" spans="1:17" ht="15" x14ac:dyDescent="0.2">
      <c r="A22" s="13">
        <v>41579</v>
      </c>
      <c r="B22" s="14">
        <f>23.4847 * CHOOSE(CONTROL!$C$9, $D$9, 100%, $F$9) + CHOOSE(CONTROL!$C$27, 0.0021, 0)</f>
        <v>23.486799999999999</v>
      </c>
      <c r="C22" s="14">
        <f>23.0525 * CHOOSE(CONTROL!$C$9, $D$9, 100%, $F$9) + CHOOSE(CONTROL!$C$27, 0.0021, 0)</f>
        <v>23.054599999999997</v>
      </c>
      <c r="D22" s="14">
        <f>23.0525 * CHOOSE(CONTROL!$C$9, $D$9, 100%, $F$9) + CHOOSE(CONTROL!$C$27, 0.0021, 0)</f>
        <v>23.054599999999997</v>
      </c>
      <c r="E22" s="14">
        <f>22.9158 * CHOOSE(CONTROL!$C$9, $D$9, 100%, $F$9) + CHOOSE(CONTROL!$C$27, 0.0021, 0)</f>
        <v>22.917899999999999</v>
      </c>
      <c r="F22" s="14">
        <f>22.9158 * CHOOSE(CONTROL!$C$9, $D$9, 100%, $F$9) + CHOOSE(CONTROL!$C$27, 0.0021, 0)</f>
        <v>22.917899999999999</v>
      </c>
      <c r="G22" s="14">
        <f>23.1872 * CHOOSE(CONTROL!$C$9, $D$9, 100%, $F$9) + CHOOSE(CONTROL!$C$27, 0.0021, 0)</f>
        <v>23.189299999999999</v>
      </c>
      <c r="H22" s="14">
        <f>23.0525 * CHOOSE(CONTROL!$C$9, $D$9, 100%, $F$9) + CHOOSE(CONTROL!$C$27, 0.0021, 0)</f>
        <v>23.054599999999997</v>
      </c>
      <c r="I22" s="14">
        <f>23.0525 * CHOOSE(CONTROL!$C$9, $D$9, 100%, $F$9) + CHOOSE(CONTROL!$C$27, 0.0021, 0)</f>
        <v>23.054599999999997</v>
      </c>
      <c r="J22" s="14">
        <f>22.6922 * CHOOSE(CONTROL!$C$9, $D$9, 100%, $F$9) + CHOOSE(CONTROL!$C$27, 0.0021, 0)</f>
        <v>22.694299999999998</v>
      </c>
      <c r="K22" s="14">
        <f>23.0525 * CHOOSE(CONTROL!$C$9, $D$9, 100%, $F$9) + CHOOSE(CONTROL!$C$27, 0.0021, 0)</f>
        <v>23.054599999999997</v>
      </c>
      <c r="L22" s="14"/>
      <c r="M22" s="35"/>
      <c r="N22" s="35"/>
      <c r="O22" s="35"/>
      <c r="P22" s="35"/>
      <c r="Q22" s="35"/>
    </row>
    <row r="23" spans="1:17" ht="15" x14ac:dyDescent="0.2">
      <c r="A23" s="13">
        <v>41609</v>
      </c>
      <c r="B23" s="14">
        <f>23.4933 * CHOOSE(CONTROL!$C$9, $D$9, 100%, $F$9) + CHOOSE(CONTROL!$C$27, 0.0021, 0)</f>
        <v>23.4954</v>
      </c>
      <c r="C23" s="14">
        <f>23.0611 * CHOOSE(CONTROL!$C$9, $D$9, 100%, $F$9) + CHOOSE(CONTROL!$C$27, 0.0021, 0)</f>
        <v>23.063199999999998</v>
      </c>
      <c r="D23" s="14">
        <f>23.0611 * CHOOSE(CONTROL!$C$9, $D$9, 100%, $F$9) + CHOOSE(CONTROL!$C$27, 0.0021, 0)</f>
        <v>23.063199999999998</v>
      </c>
      <c r="E23" s="14">
        <f>22.9244 * CHOOSE(CONTROL!$C$9, $D$9, 100%, $F$9) + CHOOSE(CONTROL!$C$27, 0.0021, 0)</f>
        <v>22.926499999999997</v>
      </c>
      <c r="F23" s="14">
        <f>22.9244 * CHOOSE(CONTROL!$C$9, $D$9, 100%, $F$9) + CHOOSE(CONTROL!$C$27, 0.0021, 0)</f>
        <v>22.926499999999997</v>
      </c>
      <c r="G23" s="14">
        <f>23.1958 * CHOOSE(CONTROL!$C$9, $D$9, 100%, $F$9) + CHOOSE(CONTROL!$C$27, 0.0021, 0)</f>
        <v>23.197899999999997</v>
      </c>
      <c r="H23" s="14">
        <f>23.0611 * CHOOSE(CONTROL!$C$9, $D$9, 100%, $F$9) + CHOOSE(CONTROL!$C$27, 0.0021, 0)</f>
        <v>23.063199999999998</v>
      </c>
      <c r="I23" s="14">
        <f>23.0611 * CHOOSE(CONTROL!$C$9, $D$9, 100%, $F$9) + CHOOSE(CONTROL!$C$27, 0.0021, 0)</f>
        <v>23.063199999999998</v>
      </c>
      <c r="J23" s="14">
        <f>22.7009 * CHOOSE(CONTROL!$C$9, $D$9, 100%, $F$9) + CHOOSE(CONTROL!$C$27, 0.0021, 0)</f>
        <v>22.702999999999999</v>
      </c>
      <c r="K23" s="14">
        <f>23.0611 * CHOOSE(CONTROL!$C$9, $D$9, 100%, $F$9) + CHOOSE(CONTROL!$C$27, 0.0021, 0)</f>
        <v>23.063199999999998</v>
      </c>
      <c r="L23" s="14"/>
      <c r="M23" s="35"/>
      <c r="N23" s="35"/>
      <c r="O23" s="35"/>
      <c r="P23" s="35"/>
      <c r="Q23" s="35"/>
    </row>
    <row r="24" spans="1:17" ht="15" x14ac:dyDescent="0.2">
      <c r="A24" s="13">
        <v>41640</v>
      </c>
      <c r="B24" s="14">
        <f>23.5178 * CHOOSE(CONTROL!$C$9, $D$9, 100%, $F$9) + CHOOSE(CONTROL!$C$27, 0.0021, 0)</f>
        <v>23.5199</v>
      </c>
      <c r="C24" s="14">
        <f>23.0856 * CHOOSE(CONTROL!$C$9, $D$9, 100%, $F$9) + CHOOSE(CONTROL!$C$27, 0.0021, 0)</f>
        <v>23.087699999999998</v>
      </c>
      <c r="D24" s="14">
        <f>23.0856 * CHOOSE(CONTROL!$C$9, $D$9, 100%, $F$9) + CHOOSE(CONTROL!$C$27, 0.0021, 0)</f>
        <v>23.087699999999998</v>
      </c>
      <c r="E24" s="14">
        <f>22.9489 * CHOOSE(CONTROL!$C$9, $D$9, 100%, $F$9) + CHOOSE(CONTROL!$C$27, 0.0021, 0)</f>
        <v>22.950999999999997</v>
      </c>
      <c r="F24" s="14">
        <f>22.9489 * CHOOSE(CONTROL!$C$9, $D$9, 100%, $F$9) + CHOOSE(CONTROL!$C$27, 0.0021, 0)</f>
        <v>22.950999999999997</v>
      </c>
      <c r="G24" s="14">
        <f>23.2203 * CHOOSE(CONTROL!$C$9, $D$9, 100%, $F$9) + CHOOSE(CONTROL!$C$27, 0.0021, 0)</f>
        <v>23.2224</v>
      </c>
      <c r="H24" s="14">
        <f>23.0856 * CHOOSE(CONTROL!$C$9, $D$9, 100%, $F$9) + CHOOSE(CONTROL!$C$27, 0.0021, 0)</f>
        <v>23.087699999999998</v>
      </c>
      <c r="I24" s="14">
        <f>23.0856 * CHOOSE(CONTROL!$C$9, $D$9, 100%, $F$9) + CHOOSE(CONTROL!$C$27, 0.0021, 0)</f>
        <v>23.087699999999998</v>
      </c>
      <c r="J24" s="14">
        <f>22.7254 * CHOOSE(CONTROL!$C$9, $D$9, 100%, $F$9) + CHOOSE(CONTROL!$C$27, 0.0021, 0)</f>
        <v>22.727499999999999</v>
      </c>
      <c r="K24" s="14">
        <f>23.0856 * CHOOSE(CONTROL!$C$9, $D$9, 100%, $F$9) + CHOOSE(CONTROL!$C$27, 0.0021, 0)</f>
        <v>23.087699999999998</v>
      </c>
      <c r="L24" s="14"/>
      <c r="M24" s="35"/>
      <c r="N24" s="35"/>
      <c r="O24" s="35"/>
      <c r="P24" s="35"/>
      <c r="Q24" s="35"/>
    </row>
    <row r="25" spans="1:17" ht="15" x14ac:dyDescent="0.2">
      <c r="A25" s="13">
        <v>41671</v>
      </c>
      <c r="B25" s="14">
        <f>23.5207 * CHOOSE(CONTROL!$C$9, $D$9, 100%, $F$9) + CHOOSE(CONTROL!$C$27, 0.0021, 0)</f>
        <v>23.5228</v>
      </c>
      <c r="C25" s="14">
        <f>23.0885 * CHOOSE(CONTROL!$C$9, $D$9, 100%, $F$9) + CHOOSE(CONTROL!$C$27, 0.0021, 0)</f>
        <v>23.090599999999998</v>
      </c>
      <c r="D25" s="14">
        <f>23.0885 * CHOOSE(CONTROL!$C$9, $D$9, 100%, $F$9) + CHOOSE(CONTROL!$C$27, 0.0021, 0)</f>
        <v>23.090599999999998</v>
      </c>
      <c r="E25" s="14">
        <f>22.9518 * CHOOSE(CONTROL!$C$9, $D$9, 100%, $F$9) + CHOOSE(CONTROL!$C$27, 0.0021, 0)</f>
        <v>22.953899999999997</v>
      </c>
      <c r="F25" s="14">
        <f>22.9518 * CHOOSE(CONTROL!$C$9, $D$9, 100%, $F$9) + CHOOSE(CONTROL!$C$27, 0.0021, 0)</f>
        <v>22.953899999999997</v>
      </c>
      <c r="G25" s="14">
        <f>23.2232 * CHOOSE(CONTROL!$C$9, $D$9, 100%, $F$9) + CHOOSE(CONTROL!$C$27, 0.0021, 0)</f>
        <v>23.225299999999997</v>
      </c>
      <c r="H25" s="14">
        <f>23.0885 * CHOOSE(CONTROL!$C$9, $D$9, 100%, $F$9) + CHOOSE(CONTROL!$C$27, 0.0021, 0)</f>
        <v>23.090599999999998</v>
      </c>
      <c r="I25" s="14">
        <f>23.0885 * CHOOSE(CONTROL!$C$9, $D$9, 100%, $F$9) + CHOOSE(CONTROL!$C$27, 0.0021, 0)</f>
        <v>23.090599999999998</v>
      </c>
      <c r="J25" s="14">
        <f>22.7283 * CHOOSE(CONTROL!$C$9, $D$9, 100%, $F$9) + CHOOSE(CONTROL!$C$27, 0.0021, 0)</f>
        <v>22.730399999999999</v>
      </c>
      <c r="K25" s="14">
        <f>23.0885 * CHOOSE(CONTROL!$C$9, $D$9, 100%, $F$9) + CHOOSE(CONTROL!$C$27, 0.0021, 0)</f>
        <v>23.090599999999998</v>
      </c>
      <c r="L25" s="14"/>
      <c r="M25" s="35"/>
      <c r="N25" s="35"/>
      <c r="O25" s="35"/>
      <c r="P25" s="35"/>
      <c r="Q25" s="35"/>
    </row>
    <row r="26" spans="1:17" ht="15" x14ac:dyDescent="0.2">
      <c r="A26" s="13">
        <v>41699</v>
      </c>
      <c r="B26" s="14">
        <f>23.4811 * CHOOSE(CONTROL!$C$9, $D$9, 100%, $F$9) + CHOOSE(CONTROL!$C$27, 0.0021, 0)</f>
        <v>23.4832</v>
      </c>
      <c r="C26" s="14">
        <f>23.0489 * CHOOSE(CONTROL!$C$9, $D$9, 100%, $F$9) + CHOOSE(CONTROL!$C$27, 0.0021, 0)</f>
        <v>23.050999999999998</v>
      </c>
      <c r="D26" s="14">
        <f>23.0489 * CHOOSE(CONTROL!$C$9, $D$9, 100%, $F$9) + CHOOSE(CONTROL!$C$27, 0.0021, 0)</f>
        <v>23.050999999999998</v>
      </c>
      <c r="E26" s="14">
        <f>22.9122 * CHOOSE(CONTROL!$C$9, $D$9, 100%, $F$9) + CHOOSE(CONTROL!$C$27, 0.0021, 0)</f>
        <v>22.914299999999997</v>
      </c>
      <c r="F26" s="14">
        <f>22.9122 * CHOOSE(CONTROL!$C$9, $D$9, 100%, $F$9) + CHOOSE(CONTROL!$C$27, 0.0021, 0)</f>
        <v>22.914299999999997</v>
      </c>
      <c r="G26" s="14">
        <f>23.1836 * CHOOSE(CONTROL!$C$9, $D$9, 100%, $F$9) + CHOOSE(CONTROL!$C$27, 0.0021, 0)</f>
        <v>23.185699999999997</v>
      </c>
      <c r="H26" s="14">
        <f>23.0489 * CHOOSE(CONTROL!$C$9, $D$9, 100%, $F$9) + CHOOSE(CONTROL!$C$27, 0.0021, 0)</f>
        <v>23.050999999999998</v>
      </c>
      <c r="I26" s="14">
        <f>23.0489 * CHOOSE(CONTROL!$C$9, $D$9, 100%, $F$9) + CHOOSE(CONTROL!$C$27, 0.0021, 0)</f>
        <v>23.050999999999998</v>
      </c>
      <c r="J26" s="14">
        <f>22.6886 * CHOOSE(CONTROL!$C$9, $D$9, 100%, $F$9) + CHOOSE(CONTROL!$C$27, 0.0021, 0)</f>
        <v>22.6907</v>
      </c>
      <c r="K26" s="14">
        <f>23.0489 * CHOOSE(CONTROL!$C$9, $D$9, 100%, $F$9) + CHOOSE(CONTROL!$C$27, 0.0021, 0)</f>
        <v>23.050999999999998</v>
      </c>
      <c r="L26" s="14"/>
      <c r="M26" s="35"/>
      <c r="N26" s="35"/>
      <c r="O26" s="35"/>
      <c r="P26" s="35"/>
      <c r="Q26" s="35"/>
    </row>
    <row r="27" spans="1:17" ht="15" x14ac:dyDescent="0.2">
      <c r="A27" s="13">
        <v>41730</v>
      </c>
      <c r="B27" s="14">
        <f>23.3925 * CHOOSE(CONTROL!$C$9, $D$9, 100%, $F$9) + CHOOSE(CONTROL!$C$27, 0.0021, 0)</f>
        <v>23.394599999999997</v>
      </c>
      <c r="C27" s="14">
        <f>22.9602 * CHOOSE(CONTROL!$C$9, $D$9, 100%, $F$9) + CHOOSE(CONTROL!$C$27, 0.0021, 0)</f>
        <v>22.962299999999999</v>
      </c>
      <c r="D27" s="14">
        <f>22.9602 * CHOOSE(CONTROL!$C$9, $D$9, 100%, $F$9) + CHOOSE(CONTROL!$C$27, 0.0021, 0)</f>
        <v>22.962299999999999</v>
      </c>
      <c r="E27" s="14">
        <f>22.8236 * CHOOSE(CONTROL!$C$9, $D$9, 100%, $F$9) + CHOOSE(CONTROL!$C$27, 0.0021, 0)</f>
        <v>22.825699999999998</v>
      </c>
      <c r="F27" s="14">
        <f>22.8236 * CHOOSE(CONTROL!$C$9, $D$9, 100%, $F$9) + CHOOSE(CONTROL!$C$27, 0.0021, 0)</f>
        <v>22.825699999999998</v>
      </c>
      <c r="G27" s="14">
        <f>23.095 * CHOOSE(CONTROL!$C$9, $D$9, 100%, $F$9) + CHOOSE(CONTROL!$C$27, 0.0021, 0)</f>
        <v>23.097099999999998</v>
      </c>
      <c r="H27" s="14">
        <f>22.9602 * CHOOSE(CONTROL!$C$9, $D$9, 100%, $F$9) + CHOOSE(CONTROL!$C$27, 0.0021, 0)</f>
        <v>22.962299999999999</v>
      </c>
      <c r="I27" s="14">
        <f>22.9602 * CHOOSE(CONTROL!$C$9, $D$9, 100%, $F$9) + CHOOSE(CONTROL!$C$27, 0.0021, 0)</f>
        <v>22.962299999999999</v>
      </c>
      <c r="J27" s="14">
        <f>22.6 * CHOOSE(CONTROL!$C$9, $D$9, 100%, $F$9) + CHOOSE(CONTROL!$C$27, 0.0021, 0)</f>
        <v>22.6021</v>
      </c>
      <c r="K27" s="14">
        <f>22.9602 * CHOOSE(CONTROL!$C$9, $D$9, 100%, $F$9) + CHOOSE(CONTROL!$C$27, 0.0021, 0)</f>
        <v>22.962299999999999</v>
      </c>
      <c r="L27" s="14"/>
      <c r="M27" s="35"/>
      <c r="N27" s="35"/>
      <c r="O27" s="35"/>
      <c r="P27" s="35"/>
      <c r="Q27" s="35"/>
    </row>
    <row r="28" spans="1:17" ht="15" x14ac:dyDescent="0.2">
      <c r="A28" s="13">
        <v>41760</v>
      </c>
      <c r="B28" s="14">
        <f>23.3219 * CHOOSE(CONTROL!$C$9, $D$9, 100%, $F$9) + CHOOSE(CONTROL!$C$27, 0.0021, 0)</f>
        <v>23.323999999999998</v>
      </c>
      <c r="C28" s="14">
        <f>22.8896 * CHOOSE(CONTROL!$C$9, $D$9, 100%, $F$9) + CHOOSE(CONTROL!$C$27, 0.0021, 0)</f>
        <v>22.8917</v>
      </c>
      <c r="D28" s="14">
        <f>22.8896 * CHOOSE(CONTROL!$C$9, $D$9, 100%, $F$9) + CHOOSE(CONTROL!$C$27, 0.0021, 0)</f>
        <v>22.8917</v>
      </c>
      <c r="E28" s="14">
        <f>22.753 * CHOOSE(CONTROL!$C$9, $D$9, 100%, $F$9) + CHOOSE(CONTROL!$C$27, 0.0021, 0)</f>
        <v>22.755099999999999</v>
      </c>
      <c r="F28" s="14">
        <f>22.753 * CHOOSE(CONTROL!$C$9, $D$9, 100%, $F$9) + CHOOSE(CONTROL!$C$27, 0.0021, 0)</f>
        <v>22.755099999999999</v>
      </c>
      <c r="G28" s="14">
        <f>23.0244 * CHOOSE(CONTROL!$C$9, $D$9, 100%, $F$9) + CHOOSE(CONTROL!$C$27, 0.0021, 0)</f>
        <v>23.026499999999999</v>
      </c>
      <c r="H28" s="14">
        <f>22.8896 * CHOOSE(CONTROL!$C$9, $D$9, 100%, $F$9) + CHOOSE(CONTROL!$C$27, 0.0021, 0)</f>
        <v>22.8917</v>
      </c>
      <c r="I28" s="14">
        <f>22.8896 * CHOOSE(CONTROL!$C$9, $D$9, 100%, $F$9) + CHOOSE(CONTROL!$C$27, 0.0021, 0)</f>
        <v>22.8917</v>
      </c>
      <c r="J28" s="14">
        <f>22.5294 * CHOOSE(CONTROL!$C$9, $D$9, 100%, $F$9) + CHOOSE(CONTROL!$C$27, 0.0021, 0)</f>
        <v>22.531499999999998</v>
      </c>
      <c r="K28" s="14">
        <f>22.8896 * CHOOSE(CONTROL!$C$9, $D$9, 100%, $F$9) + CHOOSE(CONTROL!$C$27, 0.0021, 0)</f>
        <v>22.8917</v>
      </c>
      <c r="L28" s="14"/>
      <c r="M28" s="35"/>
      <c r="N28" s="35"/>
      <c r="O28" s="35"/>
      <c r="P28" s="35"/>
      <c r="Q28" s="35"/>
    </row>
    <row r="29" spans="1:17" ht="15" x14ac:dyDescent="0.2">
      <c r="A29" s="13">
        <v>41791</v>
      </c>
      <c r="B29" s="14">
        <f>23.2318 * CHOOSE(CONTROL!$C$9, $D$9, 100%, $F$9) + CHOOSE(CONTROL!$C$27, 0.0021, 0)</f>
        <v>23.233899999999998</v>
      </c>
      <c r="C29" s="14">
        <f>22.7996 * CHOOSE(CONTROL!$C$9, $D$9, 100%, $F$9) + CHOOSE(CONTROL!$C$27, 0.0021, 0)</f>
        <v>22.8017</v>
      </c>
      <c r="D29" s="14">
        <f>22.7996 * CHOOSE(CONTROL!$C$9, $D$9, 100%, $F$9) + CHOOSE(CONTROL!$C$27, 0.0021, 0)</f>
        <v>22.8017</v>
      </c>
      <c r="E29" s="14">
        <f>22.6629 * CHOOSE(CONTROL!$C$9, $D$9, 100%, $F$9) + CHOOSE(CONTROL!$C$27, 0.0021, 0)</f>
        <v>22.664999999999999</v>
      </c>
      <c r="F29" s="14">
        <f>22.6629 * CHOOSE(CONTROL!$C$9, $D$9, 100%, $F$9) + CHOOSE(CONTROL!$C$27, 0.0021, 0)</f>
        <v>22.664999999999999</v>
      </c>
      <c r="G29" s="14">
        <f>22.9343 * CHOOSE(CONTROL!$C$9, $D$9, 100%, $F$9) + CHOOSE(CONTROL!$C$27, 0.0021, 0)</f>
        <v>22.936399999999999</v>
      </c>
      <c r="H29" s="14">
        <f>22.7996 * CHOOSE(CONTROL!$C$9, $D$9, 100%, $F$9) + CHOOSE(CONTROL!$C$27, 0.0021, 0)</f>
        <v>22.8017</v>
      </c>
      <c r="I29" s="14">
        <f>22.7996 * CHOOSE(CONTROL!$C$9, $D$9, 100%, $F$9) + CHOOSE(CONTROL!$C$27, 0.0021, 0)</f>
        <v>22.8017</v>
      </c>
      <c r="J29" s="14">
        <f>22.4394 * CHOOSE(CONTROL!$C$9, $D$9, 100%, $F$9) + CHOOSE(CONTROL!$C$27, 0.0021, 0)</f>
        <v>22.441499999999998</v>
      </c>
      <c r="K29" s="14">
        <f>22.7996 * CHOOSE(CONTROL!$C$9, $D$9, 100%, $F$9) + CHOOSE(CONTROL!$C$27, 0.0021, 0)</f>
        <v>22.8017</v>
      </c>
      <c r="L29" s="14"/>
      <c r="M29" s="35"/>
      <c r="N29" s="35"/>
      <c r="O29" s="35"/>
      <c r="P29" s="35"/>
      <c r="Q29" s="35"/>
    </row>
    <row r="30" spans="1:17" ht="15" x14ac:dyDescent="0.2">
      <c r="A30" s="13">
        <v>41821</v>
      </c>
      <c r="B30" s="14">
        <f>23.203 * CHOOSE(CONTROL!$C$9, $D$9, 100%, $F$9) + CHOOSE(CONTROL!$C$27, 0.0021, 0)</f>
        <v>23.205099999999998</v>
      </c>
      <c r="C30" s="14">
        <f>22.7708 * CHOOSE(CONTROL!$C$9, $D$9, 100%, $F$9) + CHOOSE(CONTROL!$C$27, 0.0021, 0)</f>
        <v>22.7729</v>
      </c>
      <c r="D30" s="14">
        <f>22.7708 * CHOOSE(CONTROL!$C$9, $D$9, 100%, $F$9) + CHOOSE(CONTROL!$C$27, 0.0021, 0)</f>
        <v>22.7729</v>
      </c>
      <c r="E30" s="14">
        <f>22.6341 * CHOOSE(CONTROL!$C$9, $D$9, 100%, $F$9) + CHOOSE(CONTROL!$C$27, 0.0021, 0)</f>
        <v>22.636199999999999</v>
      </c>
      <c r="F30" s="14">
        <f>22.6341 * CHOOSE(CONTROL!$C$9, $D$9, 100%, $F$9) + CHOOSE(CONTROL!$C$27, 0.0021, 0)</f>
        <v>22.636199999999999</v>
      </c>
      <c r="G30" s="14">
        <f>22.9055 * CHOOSE(CONTROL!$C$9, $D$9, 100%, $F$9) + CHOOSE(CONTROL!$C$27, 0.0021, 0)</f>
        <v>22.907599999999999</v>
      </c>
      <c r="H30" s="14">
        <f>22.7708 * CHOOSE(CONTROL!$C$9, $D$9, 100%, $F$9) + CHOOSE(CONTROL!$C$27, 0.0021, 0)</f>
        <v>22.7729</v>
      </c>
      <c r="I30" s="14">
        <f>22.7708 * CHOOSE(CONTROL!$C$9, $D$9, 100%, $F$9) + CHOOSE(CONTROL!$C$27, 0.0021, 0)</f>
        <v>22.7729</v>
      </c>
      <c r="J30" s="14">
        <f>22.4106 * CHOOSE(CONTROL!$C$9, $D$9, 100%, $F$9) + CHOOSE(CONTROL!$C$27, 0.0021, 0)</f>
        <v>22.412699999999997</v>
      </c>
      <c r="K30" s="14">
        <f>22.7708 * CHOOSE(CONTROL!$C$9, $D$9, 100%, $F$9) + CHOOSE(CONTROL!$C$27, 0.0021, 0)</f>
        <v>22.7729</v>
      </c>
      <c r="L30" s="14"/>
      <c r="M30" s="35"/>
      <c r="N30" s="35"/>
      <c r="O30" s="35"/>
      <c r="P30" s="35"/>
      <c r="Q30" s="35"/>
    </row>
    <row r="31" spans="1:17" ht="15" x14ac:dyDescent="0.2">
      <c r="A31" s="13">
        <v>41852</v>
      </c>
      <c r="B31" s="14">
        <f>23.1814 * CHOOSE(CONTROL!$C$9, $D$9, 100%, $F$9) + CHOOSE(CONTROL!$C$27, 0.0021, 0)</f>
        <v>23.183499999999999</v>
      </c>
      <c r="C31" s="14">
        <f>22.7492 * CHOOSE(CONTROL!$C$9, $D$9, 100%, $F$9) + CHOOSE(CONTROL!$C$27, 0.0021, 0)</f>
        <v>22.751299999999997</v>
      </c>
      <c r="D31" s="14">
        <f>22.7492 * CHOOSE(CONTROL!$C$9, $D$9, 100%, $F$9) + CHOOSE(CONTROL!$C$27, 0.0021, 0)</f>
        <v>22.751299999999997</v>
      </c>
      <c r="E31" s="14">
        <f>22.6125 * CHOOSE(CONTROL!$C$9, $D$9, 100%, $F$9) + CHOOSE(CONTROL!$C$27, 0.0021, 0)</f>
        <v>22.614599999999999</v>
      </c>
      <c r="F31" s="14">
        <f>22.6125 * CHOOSE(CONTROL!$C$9, $D$9, 100%, $F$9) + CHOOSE(CONTROL!$C$27, 0.0021, 0)</f>
        <v>22.614599999999999</v>
      </c>
      <c r="G31" s="14">
        <f>22.8839 * CHOOSE(CONTROL!$C$9, $D$9, 100%, $F$9) + CHOOSE(CONTROL!$C$27, 0.0021, 0)</f>
        <v>22.885999999999999</v>
      </c>
      <c r="H31" s="14">
        <f>22.7492 * CHOOSE(CONTROL!$C$9, $D$9, 100%, $F$9) + CHOOSE(CONTROL!$C$27, 0.0021, 0)</f>
        <v>22.751299999999997</v>
      </c>
      <c r="I31" s="14">
        <f>22.7492 * CHOOSE(CONTROL!$C$9, $D$9, 100%, $F$9) + CHOOSE(CONTROL!$C$27, 0.0021, 0)</f>
        <v>22.751299999999997</v>
      </c>
      <c r="J31" s="14">
        <f>22.389 * CHOOSE(CONTROL!$C$9, $D$9, 100%, $F$9) + CHOOSE(CONTROL!$C$27, 0.0021, 0)</f>
        <v>22.391099999999998</v>
      </c>
      <c r="K31" s="14">
        <f>22.7492 * CHOOSE(CONTROL!$C$9, $D$9, 100%, $F$9) + CHOOSE(CONTROL!$C$27, 0.0021, 0)</f>
        <v>22.751299999999997</v>
      </c>
      <c r="L31" s="14"/>
      <c r="M31" s="35"/>
      <c r="N31" s="35"/>
      <c r="O31" s="35"/>
      <c r="P31" s="35"/>
      <c r="Q31" s="35"/>
    </row>
    <row r="32" spans="1:17" ht="15" x14ac:dyDescent="0.2">
      <c r="A32" s="13">
        <v>41883</v>
      </c>
      <c r="B32" s="14">
        <f>23.1526 * CHOOSE(CONTROL!$C$9, $D$9, 100%, $F$9) + CHOOSE(CONTROL!$C$27, 0.0021, 0)</f>
        <v>23.154699999999998</v>
      </c>
      <c r="C32" s="14">
        <f>22.7203 * CHOOSE(CONTROL!$C$9, $D$9, 100%, $F$9) + CHOOSE(CONTROL!$C$27, 0.0021, 0)</f>
        <v>22.7224</v>
      </c>
      <c r="D32" s="14">
        <f>22.7203 * CHOOSE(CONTROL!$C$9, $D$9, 100%, $F$9) + CHOOSE(CONTROL!$C$27, 0.0021, 0)</f>
        <v>22.7224</v>
      </c>
      <c r="E32" s="14">
        <f>22.5837 * CHOOSE(CONTROL!$C$9, $D$9, 100%, $F$9) + CHOOSE(CONTROL!$C$27, 0.0021, 0)</f>
        <v>22.585799999999999</v>
      </c>
      <c r="F32" s="14">
        <f>22.5837 * CHOOSE(CONTROL!$C$9, $D$9, 100%, $F$9) + CHOOSE(CONTROL!$C$27, 0.0021, 0)</f>
        <v>22.585799999999999</v>
      </c>
      <c r="G32" s="14">
        <f>22.8551 * CHOOSE(CONTROL!$C$9, $D$9, 100%, $F$9) + CHOOSE(CONTROL!$C$27, 0.0021, 0)</f>
        <v>22.857199999999999</v>
      </c>
      <c r="H32" s="14">
        <f>22.7203 * CHOOSE(CONTROL!$C$9, $D$9, 100%, $F$9) + CHOOSE(CONTROL!$C$27, 0.0021, 0)</f>
        <v>22.7224</v>
      </c>
      <c r="I32" s="14">
        <f>22.7203 * CHOOSE(CONTROL!$C$9, $D$9, 100%, $F$9) + CHOOSE(CONTROL!$C$27, 0.0021, 0)</f>
        <v>22.7224</v>
      </c>
      <c r="J32" s="14">
        <f>22.3601 * CHOOSE(CONTROL!$C$9, $D$9, 100%, $F$9) + CHOOSE(CONTROL!$C$27, 0.0021, 0)</f>
        <v>22.362199999999998</v>
      </c>
      <c r="K32" s="14">
        <f>22.7203 * CHOOSE(CONTROL!$C$9, $D$9, 100%, $F$9) + CHOOSE(CONTROL!$C$27, 0.0021, 0)</f>
        <v>22.7224</v>
      </c>
      <c r="L32" s="14"/>
      <c r="M32" s="35"/>
      <c r="N32" s="35"/>
      <c r="O32" s="35"/>
      <c r="P32" s="35"/>
      <c r="Q32" s="35"/>
    </row>
    <row r="33" spans="1:17" ht="15" x14ac:dyDescent="0.2">
      <c r="A33" s="13">
        <v>41913</v>
      </c>
      <c r="B33" s="14">
        <f>23.1166 * CHOOSE(CONTROL!$C$9, $D$9, 100%, $F$9) + CHOOSE(CONTROL!$C$27, 0.0021, 0)</f>
        <v>23.118699999999997</v>
      </c>
      <c r="C33" s="14">
        <f>22.6843 * CHOOSE(CONTROL!$C$9, $D$9, 100%, $F$9) + CHOOSE(CONTROL!$C$27, 0.0021, 0)</f>
        <v>22.686399999999999</v>
      </c>
      <c r="D33" s="14">
        <f>22.6843 * CHOOSE(CONTROL!$C$9, $D$9, 100%, $F$9) + CHOOSE(CONTROL!$C$27, 0.0021, 0)</f>
        <v>22.686399999999999</v>
      </c>
      <c r="E33" s="14">
        <f>22.5477 * CHOOSE(CONTROL!$C$9, $D$9, 100%, $F$9) + CHOOSE(CONTROL!$C$27, 0.0021, 0)</f>
        <v>22.549799999999998</v>
      </c>
      <c r="F33" s="14">
        <f>22.5477 * CHOOSE(CONTROL!$C$9, $D$9, 100%, $F$9) + CHOOSE(CONTROL!$C$27, 0.0021, 0)</f>
        <v>22.549799999999998</v>
      </c>
      <c r="G33" s="14">
        <f>22.819 * CHOOSE(CONTROL!$C$9, $D$9, 100%, $F$9) + CHOOSE(CONTROL!$C$27, 0.0021, 0)</f>
        <v>22.821099999999998</v>
      </c>
      <c r="H33" s="14">
        <f>22.6843 * CHOOSE(CONTROL!$C$9, $D$9, 100%, $F$9) + CHOOSE(CONTROL!$C$27, 0.0021, 0)</f>
        <v>22.686399999999999</v>
      </c>
      <c r="I33" s="14">
        <f>22.6843 * CHOOSE(CONTROL!$C$9, $D$9, 100%, $F$9) + CHOOSE(CONTROL!$C$27, 0.0021, 0)</f>
        <v>22.686399999999999</v>
      </c>
      <c r="J33" s="14">
        <f>22.3241 * CHOOSE(CONTROL!$C$9, $D$9, 100%, $F$9) + CHOOSE(CONTROL!$C$27, 0.0021, 0)</f>
        <v>22.3262</v>
      </c>
      <c r="K33" s="14">
        <f>22.6843 * CHOOSE(CONTROL!$C$9, $D$9, 100%, $F$9) + CHOOSE(CONTROL!$C$27, 0.0021, 0)</f>
        <v>22.686399999999999</v>
      </c>
      <c r="L33" s="14"/>
      <c r="M33" s="35"/>
      <c r="N33" s="35"/>
      <c r="O33" s="35"/>
      <c r="P33" s="35"/>
      <c r="Q33" s="35"/>
    </row>
    <row r="34" spans="1:17" ht="15" x14ac:dyDescent="0.2">
      <c r="A34" s="13">
        <v>41944</v>
      </c>
      <c r="B34" s="14">
        <f>23.0733 * CHOOSE(CONTROL!$C$9, $D$9, 100%, $F$9) + CHOOSE(CONTROL!$C$27, 0.0021, 0)</f>
        <v>23.075399999999998</v>
      </c>
      <c r="C34" s="14">
        <f>22.6411 * CHOOSE(CONTROL!$C$9, $D$9, 100%, $F$9) + CHOOSE(CONTROL!$C$27, 0.0021, 0)</f>
        <v>22.6432</v>
      </c>
      <c r="D34" s="14">
        <f>22.6411 * CHOOSE(CONTROL!$C$9, $D$9, 100%, $F$9) + CHOOSE(CONTROL!$C$27, 0.0021, 0)</f>
        <v>22.6432</v>
      </c>
      <c r="E34" s="14">
        <f>22.5044 * CHOOSE(CONTROL!$C$9, $D$9, 100%, $F$9) + CHOOSE(CONTROL!$C$27, 0.0021, 0)</f>
        <v>22.506499999999999</v>
      </c>
      <c r="F34" s="14">
        <f>22.5044 * CHOOSE(CONTROL!$C$9, $D$9, 100%, $F$9) + CHOOSE(CONTROL!$C$27, 0.0021, 0)</f>
        <v>22.506499999999999</v>
      </c>
      <c r="G34" s="14">
        <f>22.7758 * CHOOSE(CONTROL!$C$9, $D$9, 100%, $F$9) + CHOOSE(CONTROL!$C$27, 0.0021, 0)</f>
        <v>22.777899999999999</v>
      </c>
      <c r="H34" s="14">
        <f>22.6411 * CHOOSE(CONTROL!$C$9, $D$9, 100%, $F$9) + CHOOSE(CONTROL!$C$27, 0.0021, 0)</f>
        <v>22.6432</v>
      </c>
      <c r="I34" s="14">
        <f>22.6411 * CHOOSE(CONTROL!$C$9, $D$9, 100%, $F$9) + CHOOSE(CONTROL!$C$27, 0.0021, 0)</f>
        <v>22.6432</v>
      </c>
      <c r="J34" s="14">
        <f>22.2809 * CHOOSE(CONTROL!$C$9, $D$9, 100%, $F$9) + CHOOSE(CONTROL!$C$27, 0.0021, 0)</f>
        <v>22.282999999999998</v>
      </c>
      <c r="K34" s="14">
        <f>22.6411 * CHOOSE(CONTROL!$C$9, $D$9, 100%, $F$9) + CHOOSE(CONTROL!$C$27, 0.0021, 0)</f>
        <v>22.6432</v>
      </c>
      <c r="L34" s="14"/>
      <c r="M34" s="35"/>
      <c r="N34" s="35"/>
      <c r="O34" s="35"/>
      <c r="P34" s="35"/>
      <c r="Q34" s="35"/>
    </row>
    <row r="35" spans="1:17" ht="15" x14ac:dyDescent="0.2">
      <c r="A35" s="13">
        <v>41974</v>
      </c>
      <c r="B35" s="14">
        <f>23.0229 * CHOOSE(CONTROL!$C$9, $D$9, 100%, $F$9) + CHOOSE(CONTROL!$C$27, 0.0021, 0)</f>
        <v>23.024999999999999</v>
      </c>
      <c r="C35" s="14">
        <f>22.5907 * CHOOSE(CONTROL!$C$9, $D$9, 100%, $F$9) + CHOOSE(CONTROL!$C$27, 0.0021, 0)</f>
        <v>22.592799999999997</v>
      </c>
      <c r="D35" s="14">
        <f>22.5907 * CHOOSE(CONTROL!$C$9, $D$9, 100%, $F$9) + CHOOSE(CONTROL!$C$27, 0.0021, 0)</f>
        <v>22.592799999999997</v>
      </c>
      <c r="E35" s="14">
        <f>22.454 * CHOOSE(CONTROL!$C$9, $D$9, 100%, $F$9) + CHOOSE(CONTROL!$C$27, 0.0021, 0)</f>
        <v>22.456099999999999</v>
      </c>
      <c r="F35" s="14">
        <f>22.454 * CHOOSE(CONTROL!$C$9, $D$9, 100%, $F$9) + CHOOSE(CONTROL!$C$27, 0.0021, 0)</f>
        <v>22.456099999999999</v>
      </c>
      <c r="G35" s="14">
        <f>22.7254 * CHOOSE(CONTROL!$C$9, $D$9, 100%, $F$9) + CHOOSE(CONTROL!$C$27, 0.0021, 0)</f>
        <v>22.727499999999999</v>
      </c>
      <c r="H35" s="14">
        <f>22.5907 * CHOOSE(CONTROL!$C$9, $D$9, 100%, $F$9) + CHOOSE(CONTROL!$C$27, 0.0021, 0)</f>
        <v>22.592799999999997</v>
      </c>
      <c r="I35" s="14">
        <f>22.5907 * CHOOSE(CONTROL!$C$9, $D$9, 100%, $F$9) + CHOOSE(CONTROL!$C$27, 0.0021, 0)</f>
        <v>22.592799999999997</v>
      </c>
      <c r="J35" s="14">
        <f>22.2305 * CHOOSE(CONTROL!$C$9, $D$9, 100%, $F$9) + CHOOSE(CONTROL!$C$27, 0.0021, 0)</f>
        <v>22.232599999999998</v>
      </c>
      <c r="K35" s="14">
        <f>22.5907 * CHOOSE(CONTROL!$C$9, $D$9, 100%, $F$9) + CHOOSE(CONTROL!$C$27, 0.0021, 0)</f>
        <v>22.592799999999997</v>
      </c>
      <c r="L35" s="14"/>
      <c r="M35" s="35"/>
      <c r="N35" s="35"/>
      <c r="O35" s="35"/>
      <c r="P35" s="35"/>
      <c r="Q35" s="35"/>
    </row>
    <row r="36" spans="1:17" ht="15" x14ac:dyDescent="0.2">
      <c r="A36" s="13">
        <v>42005</v>
      </c>
      <c r="B36" s="14">
        <f>22.9977 * CHOOSE(CONTROL!$C$9, $D$9, 100%, $F$9) + CHOOSE(CONTROL!$C$27, 0.0021, 0)</f>
        <v>22.999799999999997</v>
      </c>
      <c r="C36" s="14">
        <f>22.5655 * CHOOSE(CONTROL!$C$9, $D$9, 100%, $F$9) + CHOOSE(CONTROL!$C$27, 0.0021, 0)</f>
        <v>22.567599999999999</v>
      </c>
      <c r="D36" s="14">
        <f>22.5655 * CHOOSE(CONTROL!$C$9, $D$9, 100%, $F$9) + CHOOSE(CONTROL!$C$27, 0.0021, 0)</f>
        <v>22.567599999999999</v>
      </c>
      <c r="E36" s="14">
        <f>22.4288 * CHOOSE(CONTROL!$C$9, $D$9, 100%, $F$9) + CHOOSE(CONTROL!$C$27, 0.0021, 0)</f>
        <v>22.430899999999998</v>
      </c>
      <c r="F36" s="14">
        <f>22.4288 * CHOOSE(CONTROL!$C$9, $D$9, 100%, $F$9) + CHOOSE(CONTROL!$C$27, 0.0021, 0)</f>
        <v>22.430899999999998</v>
      </c>
      <c r="G36" s="14">
        <f>22.7002 * CHOOSE(CONTROL!$C$9, $D$9, 100%, $F$9) + CHOOSE(CONTROL!$C$27, 0.0021, 0)</f>
        <v>22.702299999999997</v>
      </c>
      <c r="H36" s="14">
        <f>22.5655 * CHOOSE(CONTROL!$C$9, $D$9, 100%, $F$9) + CHOOSE(CONTROL!$C$27, 0.0021, 0)</f>
        <v>22.567599999999999</v>
      </c>
      <c r="I36" s="14">
        <f>22.5655 * CHOOSE(CONTROL!$C$9, $D$9, 100%, $F$9) + CHOOSE(CONTROL!$C$27, 0.0021, 0)</f>
        <v>22.567599999999999</v>
      </c>
      <c r="J36" s="14">
        <f>22.5655 * CHOOSE(CONTROL!$C$9, $D$9, 100%, $F$9) + CHOOSE(CONTROL!$C$27, 0.0021, 0)</f>
        <v>22.567599999999999</v>
      </c>
      <c r="K36" s="14">
        <f>22.5655 * CHOOSE(CONTROL!$C$9, $D$9, 100%, $F$9) + CHOOSE(CONTROL!$C$27, 0.0021, 0)</f>
        <v>22.567599999999999</v>
      </c>
      <c r="L36" s="14"/>
      <c r="M36" s="35"/>
      <c r="N36" s="35"/>
      <c r="O36" s="35"/>
      <c r="P36" s="35"/>
      <c r="Q36" s="35"/>
    </row>
    <row r="37" spans="1:17" ht="15" x14ac:dyDescent="0.2">
      <c r="A37" s="13">
        <v>42036</v>
      </c>
      <c r="B37" s="14">
        <f>22.9545 * CHOOSE(CONTROL!$C$9, $D$9, 100%, $F$9) + CHOOSE(CONTROL!$C$27, 0.0021, 0)</f>
        <v>22.956599999999998</v>
      </c>
      <c r="C37" s="14">
        <f>22.5222 * CHOOSE(CONTROL!$C$9, $D$9, 100%, $F$9) + CHOOSE(CONTROL!$C$27, 0.0021, 0)</f>
        <v>22.5243</v>
      </c>
      <c r="D37" s="14">
        <f>22.5222 * CHOOSE(CONTROL!$C$9, $D$9, 100%, $F$9) + CHOOSE(CONTROL!$C$27, 0.0021, 0)</f>
        <v>22.5243</v>
      </c>
      <c r="E37" s="14">
        <f>22.3856 * CHOOSE(CONTROL!$C$9, $D$9, 100%, $F$9) + CHOOSE(CONTROL!$C$27, 0.0021, 0)</f>
        <v>22.387699999999999</v>
      </c>
      <c r="F37" s="14">
        <f>22.3856 * CHOOSE(CONTROL!$C$9, $D$9, 100%, $F$9) + CHOOSE(CONTROL!$C$27, 0.0021, 0)</f>
        <v>22.387699999999999</v>
      </c>
      <c r="G37" s="14">
        <f>22.6569 * CHOOSE(CONTROL!$C$9, $D$9, 100%, $F$9) + CHOOSE(CONTROL!$C$27, 0.0021, 0)</f>
        <v>22.658999999999999</v>
      </c>
      <c r="H37" s="14">
        <f>22.5222 * CHOOSE(CONTROL!$C$9, $D$9, 100%, $F$9) + CHOOSE(CONTROL!$C$27, 0.0021, 0)</f>
        <v>22.5243</v>
      </c>
      <c r="I37" s="14">
        <f>22.5222 * CHOOSE(CONTROL!$C$9, $D$9, 100%, $F$9) + CHOOSE(CONTROL!$C$27, 0.0021, 0)</f>
        <v>22.5243</v>
      </c>
      <c r="J37" s="14">
        <f>22.5222 * CHOOSE(CONTROL!$C$9, $D$9, 100%, $F$9) + CHOOSE(CONTROL!$C$27, 0.0021, 0)</f>
        <v>22.5243</v>
      </c>
      <c r="K37" s="14">
        <f>22.5222 * CHOOSE(CONTROL!$C$9, $D$9, 100%, $F$9) + CHOOSE(CONTROL!$C$27, 0.0021, 0)</f>
        <v>22.5243</v>
      </c>
      <c r="L37" s="14"/>
      <c r="M37" s="35"/>
      <c r="N37" s="35"/>
      <c r="O37" s="35"/>
      <c r="P37" s="35"/>
      <c r="Q37" s="35"/>
    </row>
    <row r="38" spans="1:17" ht="15" x14ac:dyDescent="0.2">
      <c r="A38" s="13">
        <v>42064</v>
      </c>
      <c r="B38" s="14">
        <f>22.8968 * CHOOSE(CONTROL!$C$9, $D$9, 100%, $F$9) + CHOOSE(CONTROL!$C$27, 0.0021, 0)</f>
        <v>22.898899999999998</v>
      </c>
      <c r="C38" s="14">
        <f>22.4646 * CHOOSE(CONTROL!$C$9, $D$9, 100%, $F$9) + CHOOSE(CONTROL!$C$27, 0.0021, 0)</f>
        <v>22.466699999999999</v>
      </c>
      <c r="D38" s="14">
        <f>22.4646 * CHOOSE(CONTROL!$C$9, $D$9, 100%, $F$9) + CHOOSE(CONTROL!$C$27, 0.0021, 0)</f>
        <v>22.466699999999999</v>
      </c>
      <c r="E38" s="14">
        <f>22.3279 * CHOOSE(CONTROL!$C$9, $D$9, 100%, $F$9) + CHOOSE(CONTROL!$C$27, 0.0021, 0)</f>
        <v>22.33</v>
      </c>
      <c r="F38" s="14">
        <f>22.3279 * CHOOSE(CONTROL!$C$9, $D$9, 100%, $F$9) + CHOOSE(CONTROL!$C$27, 0.0021, 0)</f>
        <v>22.33</v>
      </c>
      <c r="G38" s="14">
        <f>22.5993 * CHOOSE(CONTROL!$C$9, $D$9, 100%, $F$9) + CHOOSE(CONTROL!$C$27, 0.0021, 0)</f>
        <v>22.601399999999998</v>
      </c>
      <c r="H38" s="14">
        <f>22.4646 * CHOOSE(CONTROL!$C$9, $D$9, 100%, $F$9) + CHOOSE(CONTROL!$C$27, 0.0021, 0)</f>
        <v>22.466699999999999</v>
      </c>
      <c r="I38" s="14">
        <f>22.4646 * CHOOSE(CONTROL!$C$9, $D$9, 100%, $F$9) + CHOOSE(CONTROL!$C$27, 0.0021, 0)</f>
        <v>22.466699999999999</v>
      </c>
      <c r="J38" s="14">
        <f>22.4646 * CHOOSE(CONTROL!$C$9, $D$9, 100%, $F$9) + CHOOSE(CONTROL!$C$27, 0.0021, 0)</f>
        <v>22.466699999999999</v>
      </c>
      <c r="K38" s="14">
        <f>22.4646 * CHOOSE(CONTROL!$C$9, $D$9, 100%, $F$9) + CHOOSE(CONTROL!$C$27, 0.0021, 0)</f>
        <v>22.466699999999999</v>
      </c>
      <c r="L38" s="14"/>
      <c r="M38" s="35"/>
      <c r="N38" s="35"/>
      <c r="O38" s="35"/>
      <c r="P38" s="35"/>
      <c r="Q38" s="35"/>
    </row>
    <row r="39" spans="1:17" ht="15" x14ac:dyDescent="0.2">
      <c r="A39" s="13">
        <v>42095</v>
      </c>
      <c r="B39" s="14">
        <f>22.7708 * CHOOSE(CONTROL!$C$9, $D$9, 100%, $F$9) + CHOOSE(CONTROL!$C$27, 0.0021, 0)</f>
        <v>22.7729</v>
      </c>
      <c r="C39" s="14">
        <f>22.3385 * CHOOSE(CONTROL!$C$9, $D$9, 100%, $F$9) + CHOOSE(CONTROL!$C$27, 0.0021, 0)</f>
        <v>22.340599999999998</v>
      </c>
      <c r="D39" s="14">
        <f>22.3385 * CHOOSE(CONTROL!$C$9, $D$9, 100%, $F$9) + CHOOSE(CONTROL!$C$27, 0.0021, 0)</f>
        <v>22.340599999999998</v>
      </c>
      <c r="E39" s="14">
        <f>22.2019 * CHOOSE(CONTROL!$C$9, $D$9, 100%, $F$9) + CHOOSE(CONTROL!$C$27, 0.0021, 0)</f>
        <v>22.203999999999997</v>
      </c>
      <c r="F39" s="14">
        <f>22.2019 * CHOOSE(CONTROL!$C$9, $D$9, 100%, $F$9) + CHOOSE(CONTROL!$C$27, 0.0021, 0)</f>
        <v>22.203999999999997</v>
      </c>
      <c r="G39" s="14">
        <f>22.4732 * CHOOSE(CONTROL!$C$9, $D$9, 100%, $F$9) + CHOOSE(CONTROL!$C$27, 0.0021, 0)</f>
        <v>22.475299999999997</v>
      </c>
      <c r="H39" s="14">
        <f>22.3385 * CHOOSE(CONTROL!$C$9, $D$9, 100%, $F$9) + CHOOSE(CONTROL!$C$27, 0.0021, 0)</f>
        <v>22.340599999999998</v>
      </c>
      <c r="I39" s="14">
        <f>22.3385 * CHOOSE(CONTROL!$C$9, $D$9, 100%, $F$9) + CHOOSE(CONTROL!$C$27, 0.0021, 0)</f>
        <v>22.340599999999998</v>
      </c>
      <c r="J39" s="14">
        <f>22.3385 * CHOOSE(CONTROL!$C$9, $D$9, 100%, $F$9) + CHOOSE(CONTROL!$C$27, 0.0021, 0)</f>
        <v>22.340599999999998</v>
      </c>
      <c r="K39" s="14">
        <f>22.3385 * CHOOSE(CONTROL!$C$9, $D$9, 100%, $F$9) + CHOOSE(CONTROL!$C$27, 0.0021, 0)</f>
        <v>22.340599999999998</v>
      </c>
      <c r="L39" s="14"/>
      <c r="M39" s="35"/>
      <c r="N39" s="35"/>
      <c r="O39" s="35"/>
      <c r="P39" s="35"/>
      <c r="Q39" s="35"/>
    </row>
    <row r="40" spans="1:17" ht="15" x14ac:dyDescent="0.2">
      <c r="A40" s="13">
        <v>42125</v>
      </c>
      <c r="B40" s="14">
        <f>22.6447 * CHOOSE(CONTROL!$C$9, $D$9, 100%, $F$9) + CHOOSE(CONTROL!$C$27, 0.0021, 0)</f>
        <v>22.646799999999999</v>
      </c>
      <c r="C40" s="14">
        <f>22.2125 * CHOOSE(CONTROL!$C$9, $D$9, 100%, $F$9) + CHOOSE(CONTROL!$C$27, 0.0021, 0)</f>
        <v>22.214599999999997</v>
      </c>
      <c r="D40" s="14">
        <f>22.2125 * CHOOSE(CONTROL!$C$9, $D$9, 100%, $F$9) + CHOOSE(CONTROL!$C$27, 0.0021, 0)</f>
        <v>22.214599999999997</v>
      </c>
      <c r="E40" s="14">
        <f>22.0758 * CHOOSE(CONTROL!$C$9, $D$9, 100%, $F$9) + CHOOSE(CONTROL!$C$27, 0.0021, 0)</f>
        <v>22.0779</v>
      </c>
      <c r="F40" s="14">
        <f>22.0758 * CHOOSE(CONTROL!$C$9, $D$9, 100%, $F$9) + CHOOSE(CONTROL!$C$27, 0.0021, 0)</f>
        <v>22.0779</v>
      </c>
      <c r="G40" s="14">
        <f>22.3472 * CHOOSE(CONTROL!$C$9, $D$9, 100%, $F$9) + CHOOSE(CONTROL!$C$27, 0.0021, 0)</f>
        <v>22.349299999999999</v>
      </c>
      <c r="H40" s="14">
        <f>22.2125 * CHOOSE(CONTROL!$C$9, $D$9, 100%, $F$9) + CHOOSE(CONTROL!$C$27, 0.0021, 0)</f>
        <v>22.214599999999997</v>
      </c>
      <c r="I40" s="14">
        <f>22.2125 * CHOOSE(CONTROL!$C$9, $D$9, 100%, $F$9) + CHOOSE(CONTROL!$C$27, 0.0021, 0)</f>
        <v>22.214599999999997</v>
      </c>
      <c r="J40" s="14">
        <f>22.2125 * CHOOSE(CONTROL!$C$9, $D$9, 100%, $F$9) + CHOOSE(CONTROL!$C$27, 0.0021, 0)</f>
        <v>22.214599999999997</v>
      </c>
      <c r="K40" s="14">
        <f>22.2125 * CHOOSE(CONTROL!$C$9, $D$9, 100%, $F$9) + CHOOSE(CONTROL!$C$27, 0.0021, 0)</f>
        <v>22.214599999999997</v>
      </c>
      <c r="L40" s="14"/>
      <c r="M40" s="35"/>
      <c r="N40" s="35"/>
      <c r="O40" s="35"/>
      <c r="P40" s="35"/>
      <c r="Q40" s="35"/>
    </row>
    <row r="41" spans="1:17" ht="15" x14ac:dyDescent="0.2">
      <c r="A41" s="13">
        <v>42156</v>
      </c>
      <c r="B41" s="14">
        <f>22.5186 * CHOOSE(CONTROL!$C$9, $D$9, 100%, $F$9) + CHOOSE(CONTROL!$C$27, 0.0021, 0)</f>
        <v>22.520699999999998</v>
      </c>
      <c r="C41" s="14">
        <f>22.0864 * CHOOSE(CONTROL!$C$9, $D$9, 100%, $F$9) + CHOOSE(CONTROL!$C$27, 0.0021, 0)</f>
        <v>22.0885</v>
      </c>
      <c r="D41" s="14">
        <f>22.0864 * CHOOSE(CONTROL!$C$9, $D$9, 100%, $F$9) + CHOOSE(CONTROL!$C$27, 0.0021, 0)</f>
        <v>22.0885</v>
      </c>
      <c r="E41" s="14">
        <f>21.9497 * CHOOSE(CONTROL!$C$9, $D$9, 100%, $F$9) + CHOOSE(CONTROL!$C$27, 0.0021, 0)</f>
        <v>21.951799999999999</v>
      </c>
      <c r="F41" s="14">
        <f>21.9497 * CHOOSE(CONTROL!$C$9, $D$9, 100%, $F$9) + CHOOSE(CONTROL!$C$27, 0.0021, 0)</f>
        <v>21.951799999999999</v>
      </c>
      <c r="G41" s="14">
        <f>22.2211 * CHOOSE(CONTROL!$C$9, $D$9, 100%, $F$9) + CHOOSE(CONTROL!$C$27, 0.0021, 0)</f>
        <v>22.223199999999999</v>
      </c>
      <c r="H41" s="14">
        <f>22.0864 * CHOOSE(CONTROL!$C$9, $D$9, 100%, $F$9) + CHOOSE(CONTROL!$C$27, 0.0021, 0)</f>
        <v>22.0885</v>
      </c>
      <c r="I41" s="14">
        <f>22.0864 * CHOOSE(CONTROL!$C$9, $D$9, 100%, $F$9) + CHOOSE(CONTROL!$C$27, 0.0021, 0)</f>
        <v>22.0885</v>
      </c>
      <c r="J41" s="14">
        <f>22.0864 * CHOOSE(CONTROL!$C$9, $D$9, 100%, $F$9) + CHOOSE(CONTROL!$C$27, 0.0021, 0)</f>
        <v>22.0885</v>
      </c>
      <c r="K41" s="14">
        <f>22.0864 * CHOOSE(CONTROL!$C$9, $D$9, 100%, $F$9) + CHOOSE(CONTROL!$C$27, 0.0021, 0)</f>
        <v>22.0885</v>
      </c>
      <c r="L41" s="14"/>
      <c r="M41" s="35"/>
      <c r="N41" s="35"/>
      <c r="O41" s="35"/>
      <c r="P41" s="35"/>
      <c r="Q41" s="35"/>
    </row>
    <row r="42" spans="1:17" ht="15" x14ac:dyDescent="0.2">
      <c r="A42" s="13">
        <v>42186</v>
      </c>
      <c r="B42" s="14">
        <f>22.4826 * CHOOSE(CONTROL!$C$9, $D$9, 100%, $F$9) + CHOOSE(CONTROL!$C$27, 0.0021, 0)</f>
        <v>22.4847</v>
      </c>
      <c r="C42" s="14">
        <f>22.0504 * CHOOSE(CONTROL!$C$9, $D$9, 100%, $F$9) + CHOOSE(CONTROL!$C$27, 0.0021, 0)</f>
        <v>22.052499999999998</v>
      </c>
      <c r="D42" s="14">
        <f>22.0504 * CHOOSE(CONTROL!$C$9, $D$9, 100%, $F$9) + CHOOSE(CONTROL!$C$27, 0.0021, 0)</f>
        <v>22.052499999999998</v>
      </c>
      <c r="E42" s="14">
        <f>21.9137 * CHOOSE(CONTROL!$C$9, $D$9, 100%, $F$9) + CHOOSE(CONTROL!$C$27, 0.0021, 0)</f>
        <v>21.915799999999997</v>
      </c>
      <c r="F42" s="14">
        <f>21.9137 * CHOOSE(CONTROL!$C$9, $D$9, 100%, $F$9) + CHOOSE(CONTROL!$C$27, 0.0021, 0)</f>
        <v>21.915799999999997</v>
      </c>
      <c r="G42" s="14">
        <f>22.1851 * CHOOSE(CONTROL!$C$9, $D$9, 100%, $F$9) + CHOOSE(CONTROL!$C$27, 0.0021, 0)</f>
        <v>22.187199999999997</v>
      </c>
      <c r="H42" s="14">
        <f>22.0504 * CHOOSE(CONTROL!$C$9, $D$9, 100%, $F$9) + CHOOSE(CONTROL!$C$27, 0.0021, 0)</f>
        <v>22.052499999999998</v>
      </c>
      <c r="I42" s="14">
        <f>22.0504 * CHOOSE(CONTROL!$C$9, $D$9, 100%, $F$9) + CHOOSE(CONTROL!$C$27, 0.0021, 0)</f>
        <v>22.052499999999998</v>
      </c>
      <c r="J42" s="14">
        <f>22.0504 * CHOOSE(CONTROL!$C$9, $D$9, 100%, $F$9) + CHOOSE(CONTROL!$C$27, 0.0021, 0)</f>
        <v>22.052499999999998</v>
      </c>
      <c r="K42" s="14">
        <f>22.0504 * CHOOSE(CONTROL!$C$9, $D$9, 100%, $F$9) + CHOOSE(CONTROL!$C$27, 0.0021, 0)</f>
        <v>22.052499999999998</v>
      </c>
      <c r="L42" s="14"/>
      <c r="M42" s="35"/>
      <c r="N42" s="35"/>
      <c r="O42" s="35"/>
      <c r="P42" s="35"/>
      <c r="Q42" s="35"/>
    </row>
    <row r="43" spans="1:17" ht="15" x14ac:dyDescent="0.2">
      <c r="A43" s="13">
        <v>42217</v>
      </c>
      <c r="B43" s="14">
        <f>22.4574 * CHOOSE(CONTROL!$C$9, $D$9, 100%, $F$9) + CHOOSE(CONTROL!$C$27, 0.0021, 0)</f>
        <v>22.459499999999998</v>
      </c>
      <c r="C43" s="14">
        <f>22.0251 * CHOOSE(CONTROL!$C$9, $D$9, 100%, $F$9) + CHOOSE(CONTROL!$C$27, 0.0021, 0)</f>
        <v>22.027199999999997</v>
      </c>
      <c r="D43" s="14">
        <f>22.0251 * CHOOSE(CONTROL!$C$9, $D$9, 100%, $F$9) + CHOOSE(CONTROL!$C$27, 0.0021, 0)</f>
        <v>22.027199999999997</v>
      </c>
      <c r="E43" s="14">
        <f>21.8885 * CHOOSE(CONTROL!$C$9, $D$9, 100%, $F$9) + CHOOSE(CONTROL!$C$27, 0.0021, 0)</f>
        <v>21.890599999999999</v>
      </c>
      <c r="F43" s="14">
        <f>21.8885 * CHOOSE(CONTROL!$C$9, $D$9, 100%, $F$9) + CHOOSE(CONTROL!$C$27, 0.0021, 0)</f>
        <v>21.890599999999999</v>
      </c>
      <c r="G43" s="14">
        <f>22.1599 * CHOOSE(CONTROL!$C$9, $D$9, 100%, $F$9) + CHOOSE(CONTROL!$C$27, 0.0021, 0)</f>
        <v>22.161999999999999</v>
      </c>
      <c r="H43" s="14">
        <f>22.0251 * CHOOSE(CONTROL!$C$9, $D$9, 100%, $F$9) + CHOOSE(CONTROL!$C$27, 0.0021, 0)</f>
        <v>22.027199999999997</v>
      </c>
      <c r="I43" s="14">
        <f>22.0251 * CHOOSE(CONTROL!$C$9, $D$9, 100%, $F$9) + CHOOSE(CONTROL!$C$27, 0.0021, 0)</f>
        <v>22.027199999999997</v>
      </c>
      <c r="J43" s="14">
        <f>22.0251 * CHOOSE(CONTROL!$C$9, $D$9, 100%, $F$9) + CHOOSE(CONTROL!$C$27, 0.0021, 0)</f>
        <v>22.027199999999997</v>
      </c>
      <c r="K43" s="14">
        <f>22.0251 * CHOOSE(CONTROL!$C$9, $D$9, 100%, $F$9) + CHOOSE(CONTROL!$C$27, 0.0021, 0)</f>
        <v>22.027199999999997</v>
      </c>
      <c r="L43" s="14"/>
      <c r="M43" s="35"/>
      <c r="N43" s="35"/>
      <c r="O43" s="35"/>
      <c r="P43" s="35"/>
      <c r="Q43" s="35"/>
    </row>
    <row r="44" spans="1:17" ht="15" x14ac:dyDescent="0.2">
      <c r="A44" s="13">
        <v>42248</v>
      </c>
      <c r="B44" s="14">
        <f>22.4358 * CHOOSE(CONTROL!$C$9, $D$9, 100%, $F$9) + CHOOSE(CONTROL!$C$27, 0.0021, 0)</f>
        <v>22.437899999999999</v>
      </c>
      <c r="C44" s="14">
        <f>22.0035 * CHOOSE(CONTROL!$C$9, $D$9, 100%, $F$9) + CHOOSE(CONTROL!$C$27, 0.0021, 0)</f>
        <v>22.005599999999998</v>
      </c>
      <c r="D44" s="14">
        <f>22.0035 * CHOOSE(CONTROL!$C$9, $D$9, 100%, $F$9) + CHOOSE(CONTROL!$C$27, 0.0021, 0)</f>
        <v>22.005599999999998</v>
      </c>
      <c r="E44" s="14">
        <f>21.8669 * CHOOSE(CONTROL!$C$9, $D$9, 100%, $F$9) + CHOOSE(CONTROL!$C$27, 0.0021, 0)</f>
        <v>21.869</v>
      </c>
      <c r="F44" s="14">
        <f>21.8669 * CHOOSE(CONTROL!$C$9, $D$9, 100%, $F$9) + CHOOSE(CONTROL!$C$27, 0.0021, 0)</f>
        <v>21.869</v>
      </c>
      <c r="G44" s="14">
        <f>22.1383 * CHOOSE(CONTROL!$C$9, $D$9, 100%, $F$9) + CHOOSE(CONTROL!$C$27, 0.0021, 0)</f>
        <v>22.1404</v>
      </c>
      <c r="H44" s="14">
        <f>22.0035 * CHOOSE(CONTROL!$C$9, $D$9, 100%, $F$9) + CHOOSE(CONTROL!$C$27, 0.0021, 0)</f>
        <v>22.005599999999998</v>
      </c>
      <c r="I44" s="14">
        <f>22.0035 * CHOOSE(CONTROL!$C$9, $D$9, 100%, $F$9) + CHOOSE(CONTROL!$C$27, 0.0021, 0)</f>
        <v>22.005599999999998</v>
      </c>
      <c r="J44" s="14">
        <f>22.0035 * CHOOSE(CONTROL!$C$9, $D$9, 100%, $F$9) + CHOOSE(CONTROL!$C$27, 0.0021, 0)</f>
        <v>22.005599999999998</v>
      </c>
      <c r="K44" s="14">
        <f>22.0035 * CHOOSE(CONTROL!$C$9, $D$9, 100%, $F$9) + CHOOSE(CONTROL!$C$27, 0.0021, 0)</f>
        <v>22.005599999999998</v>
      </c>
      <c r="L44" s="14"/>
      <c r="M44" s="35"/>
      <c r="N44" s="35"/>
      <c r="O44" s="35"/>
      <c r="P44" s="35"/>
      <c r="Q44" s="35"/>
    </row>
    <row r="45" spans="1:17" ht="15" x14ac:dyDescent="0.2">
      <c r="A45" s="13">
        <v>42278</v>
      </c>
      <c r="B45" s="14">
        <f>22.4142 * CHOOSE(CONTROL!$C$9, $D$9, 100%, $F$9) + CHOOSE(CONTROL!$C$27, 0.0021, 0)</f>
        <v>22.4163</v>
      </c>
      <c r="C45" s="14">
        <f>21.9819 * CHOOSE(CONTROL!$C$9, $D$9, 100%, $F$9) + CHOOSE(CONTROL!$C$27, 0.0021, 0)</f>
        <v>21.983999999999998</v>
      </c>
      <c r="D45" s="14">
        <f>21.9819 * CHOOSE(CONTROL!$C$9, $D$9, 100%, $F$9) + CHOOSE(CONTROL!$C$27, 0.0021, 0)</f>
        <v>21.983999999999998</v>
      </c>
      <c r="E45" s="14">
        <f>21.8453 * CHOOSE(CONTROL!$C$9, $D$9, 100%, $F$9) + CHOOSE(CONTROL!$C$27, 0.0021, 0)</f>
        <v>21.8474</v>
      </c>
      <c r="F45" s="14">
        <f>21.8453 * CHOOSE(CONTROL!$C$9, $D$9, 100%, $F$9) + CHOOSE(CONTROL!$C$27, 0.0021, 0)</f>
        <v>21.8474</v>
      </c>
      <c r="G45" s="14">
        <f>22.1166 * CHOOSE(CONTROL!$C$9, $D$9, 100%, $F$9) + CHOOSE(CONTROL!$C$27, 0.0021, 0)</f>
        <v>22.118699999999997</v>
      </c>
      <c r="H45" s="14">
        <f>21.9819 * CHOOSE(CONTROL!$C$9, $D$9, 100%, $F$9) + CHOOSE(CONTROL!$C$27, 0.0021, 0)</f>
        <v>21.983999999999998</v>
      </c>
      <c r="I45" s="14">
        <f>21.9819 * CHOOSE(CONTROL!$C$9, $D$9, 100%, $F$9) + CHOOSE(CONTROL!$C$27, 0.0021, 0)</f>
        <v>21.983999999999998</v>
      </c>
      <c r="J45" s="14">
        <f>21.9819 * CHOOSE(CONTROL!$C$9, $D$9, 100%, $F$9) + CHOOSE(CONTROL!$C$27, 0.0021, 0)</f>
        <v>21.983999999999998</v>
      </c>
      <c r="K45" s="14">
        <f>21.9819 * CHOOSE(CONTROL!$C$9, $D$9, 100%, $F$9) + CHOOSE(CONTROL!$C$27, 0.0021, 0)</f>
        <v>21.983999999999998</v>
      </c>
      <c r="L45" s="14"/>
      <c r="M45" s="35"/>
      <c r="N45" s="35"/>
      <c r="O45" s="35"/>
      <c r="P45" s="35"/>
      <c r="Q45" s="35"/>
    </row>
    <row r="46" spans="1:17" ht="15" x14ac:dyDescent="0.2">
      <c r="A46" s="13">
        <v>42309</v>
      </c>
      <c r="B46" s="14">
        <f>22.3962 * CHOOSE(CONTROL!$C$9, $D$9, 100%, $F$9) + CHOOSE(CONTROL!$C$27, 0.0021, 0)</f>
        <v>22.398299999999999</v>
      </c>
      <c r="C46" s="14">
        <f>21.9639 * CHOOSE(CONTROL!$C$9, $D$9, 100%, $F$9) + CHOOSE(CONTROL!$C$27, 0.0021, 0)</f>
        <v>21.965999999999998</v>
      </c>
      <c r="D46" s="14">
        <f>21.9639 * CHOOSE(CONTROL!$C$9, $D$9, 100%, $F$9) + CHOOSE(CONTROL!$C$27, 0.0021, 0)</f>
        <v>21.965999999999998</v>
      </c>
      <c r="E46" s="14">
        <f>21.8273 * CHOOSE(CONTROL!$C$9, $D$9, 100%, $F$9) + CHOOSE(CONTROL!$C$27, 0.0021, 0)</f>
        <v>21.8294</v>
      </c>
      <c r="F46" s="14">
        <f>21.8273 * CHOOSE(CONTROL!$C$9, $D$9, 100%, $F$9) + CHOOSE(CONTROL!$C$27, 0.0021, 0)</f>
        <v>21.8294</v>
      </c>
      <c r="G46" s="14">
        <f>22.0986 * CHOOSE(CONTROL!$C$9, $D$9, 100%, $F$9) + CHOOSE(CONTROL!$C$27, 0.0021, 0)</f>
        <v>22.1007</v>
      </c>
      <c r="H46" s="14">
        <f>21.9639 * CHOOSE(CONTROL!$C$9, $D$9, 100%, $F$9) + CHOOSE(CONTROL!$C$27, 0.0021, 0)</f>
        <v>21.965999999999998</v>
      </c>
      <c r="I46" s="14">
        <f>21.9639 * CHOOSE(CONTROL!$C$9, $D$9, 100%, $F$9) + CHOOSE(CONTROL!$C$27, 0.0021, 0)</f>
        <v>21.965999999999998</v>
      </c>
      <c r="J46" s="14">
        <f>21.9639 * CHOOSE(CONTROL!$C$9, $D$9, 100%, $F$9) + CHOOSE(CONTROL!$C$27, 0.0021, 0)</f>
        <v>21.965999999999998</v>
      </c>
      <c r="K46" s="14">
        <f>21.9639 * CHOOSE(CONTROL!$C$9, $D$9, 100%, $F$9) + CHOOSE(CONTROL!$C$27, 0.0021, 0)</f>
        <v>21.965999999999998</v>
      </c>
      <c r="L46" s="14"/>
      <c r="M46" s="35"/>
      <c r="N46" s="35"/>
      <c r="O46" s="35"/>
      <c r="P46" s="35"/>
      <c r="Q46" s="35"/>
    </row>
    <row r="47" spans="1:17" ht="15" x14ac:dyDescent="0.2">
      <c r="A47" s="13">
        <v>42339</v>
      </c>
      <c r="B47" s="14">
        <f>22.3781 * CHOOSE(CONTROL!$C$9, $D$9, 100%, $F$9) + CHOOSE(CONTROL!$C$27, 0.0021, 0)</f>
        <v>22.380199999999999</v>
      </c>
      <c r="C47" s="14">
        <f>21.9459 * CHOOSE(CONTROL!$C$9, $D$9, 100%, $F$9) + CHOOSE(CONTROL!$C$27, 0.0021, 0)</f>
        <v>21.948</v>
      </c>
      <c r="D47" s="14">
        <f>21.9459 * CHOOSE(CONTROL!$C$9, $D$9, 100%, $F$9) + CHOOSE(CONTROL!$C$27, 0.0021, 0)</f>
        <v>21.948</v>
      </c>
      <c r="E47" s="14">
        <f>21.8092 * CHOOSE(CONTROL!$C$9, $D$9, 100%, $F$9) + CHOOSE(CONTROL!$C$27, 0.0021, 0)</f>
        <v>21.811299999999999</v>
      </c>
      <c r="F47" s="14">
        <f>21.8092 * CHOOSE(CONTROL!$C$9, $D$9, 100%, $F$9) + CHOOSE(CONTROL!$C$27, 0.0021, 0)</f>
        <v>21.811299999999999</v>
      </c>
      <c r="G47" s="14">
        <f>22.0806 * CHOOSE(CONTROL!$C$9, $D$9, 100%, $F$9) + CHOOSE(CONTROL!$C$27, 0.0021, 0)</f>
        <v>22.082699999999999</v>
      </c>
      <c r="H47" s="14">
        <f>21.9459 * CHOOSE(CONTROL!$C$9, $D$9, 100%, $F$9) + CHOOSE(CONTROL!$C$27, 0.0021, 0)</f>
        <v>21.948</v>
      </c>
      <c r="I47" s="14">
        <f>21.9459 * CHOOSE(CONTROL!$C$9, $D$9, 100%, $F$9) + CHOOSE(CONTROL!$C$27, 0.0021, 0)</f>
        <v>21.948</v>
      </c>
      <c r="J47" s="14">
        <f>21.9459 * CHOOSE(CONTROL!$C$9, $D$9, 100%, $F$9) + CHOOSE(CONTROL!$C$27, 0.0021, 0)</f>
        <v>21.948</v>
      </c>
      <c r="K47" s="14">
        <f>21.9459 * CHOOSE(CONTROL!$C$9, $D$9, 100%, $F$9) + CHOOSE(CONTROL!$C$27, 0.0021, 0)</f>
        <v>21.948</v>
      </c>
      <c r="L47" s="14"/>
      <c r="M47" s="35"/>
      <c r="N47" s="35"/>
      <c r="O47" s="35"/>
      <c r="P47" s="35"/>
      <c r="Q47" s="35"/>
    </row>
    <row r="48" spans="1:17" ht="15" x14ac:dyDescent="0.2">
      <c r="A48" s="13">
        <v>42370</v>
      </c>
      <c r="B48" s="14">
        <f>24.2662 * CHOOSE(CONTROL!$C$9, $D$9, 100%, $F$9) + CHOOSE(CONTROL!$C$27, 0.0021, 0)</f>
        <v>24.2683</v>
      </c>
      <c r="C48" s="14">
        <f>23.834 * CHOOSE(CONTROL!$C$9, $D$9, 100%, $F$9) + CHOOSE(CONTROL!$C$27, 0.0021, 0)</f>
        <v>23.836099999999998</v>
      </c>
      <c r="D48" s="14">
        <f>23.834 * CHOOSE(CONTROL!$C$9, $D$9, 100%, $F$9) + CHOOSE(CONTROL!$C$27, 0.0021, 0)</f>
        <v>23.836099999999998</v>
      </c>
      <c r="E48" s="14">
        <f>23.6973 * CHOOSE(CONTROL!$C$9, $D$9, 100%, $F$9) + CHOOSE(CONTROL!$C$27, 0.0021, 0)</f>
        <v>23.699399999999997</v>
      </c>
      <c r="F48" s="14">
        <f>23.6973 * CHOOSE(CONTROL!$C$9, $D$9, 100%, $F$9) + CHOOSE(CONTROL!$C$27, 0.0021, 0)</f>
        <v>23.699399999999997</v>
      </c>
      <c r="G48" s="14">
        <f>23.9687 * CHOOSE(CONTROL!$C$9, $D$9, 100%, $F$9) + CHOOSE(CONTROL!$C$27, 0.0021, 0)</f>
        <v>23.970799999999997</v>
      </c>
      <c r="H48" s="14">
        <f>23.834 * CHOOSE(CONTROL!$C$9, $D$9, 100%, $F$9) + CHOOSE(CONTROL!$C$27, 0.0021, 0)</f>
        <v>23.836099999999998</v>
      </c>
      <c r="I48" s="14">
        <f>23.834 * CHOOSE(CONTROL!$C$9, $D$9, 100%, $F$9) + CHOOSE(CONTROL!$C$27, 0.0021, 0)</f>
        <v>23.836099999999998</v>
      </c>
      <c r="J48" s="14">
        <f>23.834 * CHOOSE(CONTROL!$C$9, $D$9, 100%, $F$9) + CHOOSE(CONTROL!$C$27, 0.0021, 0)</f>
        <v>23.836099999999998</v>
      </c>
      <c r="K48" s="14">
        <f>23.834 * CHOOSE(CONTROL!$C$9, $D$9, 100%, $F$9) + CHOOSE(CONTROL!$C$27, 0.0021, 0)</f>
        <v>23.836099999999998</v>
      </c>
      <c r="L48" s="14"/>
    </row>
    <row r="49" spans="1:12" ht="15" x14ac:dyDescent="0.2">
      <c r="A49" s="13">
        <v>42401</v>
      </c>
      <c r="B49" s="14">
        <f>23.6887 * CHOOSE(CONTROL!$C$9, $D$9, 100%, $F$9) + CHOOSE(CONTROL!$C$27, 0.0021, 0)</f>
        <v>23.690799999999999</v>
      </c>
      <c r="C49" s="14">
        <f>23.2564 * CHOOSE(CONTROL!$C$9, $D$9, 100%, $F$9) + CHOOSE(CONTROL!$C$27, 0.0021, 0)</f>
        <v>23.258499999999998</v>
      </c>
      <c r="D49" s="14">
        <f>23.2564 * CHOOSE(CONTROL!$C$9, $D$9, 100%, $F$9) + CHOOSE(CONTROL!$C$27, 0.0021, 0)</f>
        <v>23.258499999999998</v>
      </c>
      <c r="E49" s="14">
        <f>23.1198 * CHOOSE(CONTROL!$C$9, $D$9, 100%, $F$9) + CHOOSE(CONTROL!$C$27, 0.0021, 0)</f>
        <v>23.1219</v>
      </c>
      <c r="F49" s="14">
        <f>23.1198 * CHOOSE(CONTROL!$C$9, $D$9, 100%, $F$9) + CHOOSE(CONTROL!$C$27, 0.0021, 0)</f>
        <v>23.1219</v>
      </c>
      <c r="G49" s="14">
        <f>23.3912 * CHOOSE(CONTROL!$C$9, $D$9, 100%, $F$9) + CHOOSE(CONTROL!$C$27, 0.0021, 0)</f>
        <v>23.3933</v>
      </c>
      <c r="H49" s="14">
        <f>23.2564 * CHOOSE(CONTROL!$C$9, $D$9, 100%, $F$9) + CHOOSE(CONTROL!$C$27, 0.0021, 0)</f>
        <v>23.258499999999998</v>
      </c>
      <c r="I49" s="14">
        <f>23.2564 * CHOOSE(CONTROL!$C$9, $D$9, 100%, $F$9) + CHOOSE(CONTROL!$C$27, 0.0021, 0)</f>
        <v>23.258499999999998</v>
      </c>
      <c r="J49" s="14">
        <f>23.2564 * CHOOSE(CONTROL!$C$9, $D$9, 100%, $F$9) + CHOOSE(CONTROL!$C$27, 0.0021, 0)</f>
        <v>23.258499999999998</v>
      </c>
      <c r="K49" s="14">
        <f>23.2564 * CHOOSE(CONTROL!$C$9, $D$9, 100%, $F$9) + CHOOSE(CONTROL!$C$27, 0.0021, 0)</f>
        <v>23.258499999999998</v>
      </c>
      <c r="L49" s="14"/>
    </row>
    <row r="50" spans="1:12" ht="15" x14ac:dyDescent="0.2">
      <c r="A50" s="13">
        <v>42430</v>
      </c>
      <c r="B50" s="14">
        <f>23.4751 * CHOOSE(CONTROL!$C$9, $D$9, 100%, $F$9) + CHOOSE(CONTROL!$C$27, 0.0021, 0)</f>
        <v>23.4772</v>
      </c>
      <c r="C50" s="14">
        <f>23.0429 * CHOOSE(CONTROL!$C$9, $D$9, 100%, $F$9) + CHOOSE(CONTROL!$C$27, 0.0021, 0)</f>
        <v>23.044999999999998</v>
      </c>
      <c r="D50" s="14">
        <f>23.0429 * CHOOSE(CONTROL!$C$9, $D$9, 100%, $F$9) + CHOOSE(CONTROL!$C$27, 0.0021, 0)</f>
        <v>23.044999999999998</v>
      </c>
      <c r="E50" s="14">
        <f>22.9062 * CHOOSE(CONTROL!$C$9, $D$9, 100%, $F$9) + CHOOSE(CONTROL!$C$27, 0.0021, 0)</f>
        <v>22.908299999999997</v>
      </c>
      <c r="F50" s="14">
        <f>22.9062 * CHOOSE(CONTROL!$C$9, $D$9, 100%, $F$9) + CHOOSE(CONTROL!$C$27, 0.0021, 0)</f>
        <v>22.908299999999997</v>
      </c>
      <c r="G50" s="14">
        <f>23.1776 * CHOOSE(CONTROL!$C$9, $D$9, 100%, $F$9) + CHOOSE(CONTROL!$C$27, 0.0021, 0)</f>
        <v>23.1797</v>
      </c>
      <c r="H50" s="14">
        <f>23.0429 * CHOOSE(CONTROL!$C$9, $D$9, 100%, $F$9) + CHOOSE(CONTROL!$C$27, 0.0021, 0)</f>
        <v>23.044999999999998</v>
      </c>
      <c r="I50" s="14">
        <f>23.0429 * CHOOSE(CONTROL!$C$9, $D$9, 100%, $F$9) + CHOOSE(CONTROL!$C$27, 0.0021, 0)</f>
        <v>23.044999999999998</v>
      </c>
      <c r="J50" s="14">
        <f>23.0429 * CHOOSE(CONTROL!$C$9, $D$9, 100%, $F$9) + CHOOSE(CONTROL!$C$27, 0.0021, 0)</f>
        <v>23.044999999999998</v>
      </c>
      <c r="K50" s="14">
        <f>23.0429 * CHOOSE(CONTROL!$C$9, $D$9, 100%, $F$9) + CHOOSE(CONTROL!$C$27, 0.0021, 0)</f>
        <v>23.044999999999998</v>
      </c>
      <c r="L50" s="14"/>
    </row>
    <row r="51" spans="1:12" ht="15" x14ac:dyDescent="0.2">
      <c r="A51" s="13">
        <v>42461</v>
      </c>
      <c r="B51" s="14">
        <f>23.2105 * CHOOSE(CONTROL!$C$9, $D$9, 100%, $F$9) + CHOOSE(CONTROL!$C$27, 0.0021, 0)</f>
        <v>23.212599999999998</v>
      </c>
      <c r="C51" s="14">
        <f>22.7783 * CHOOSE(CONTROL!$C$9, $D$9, 100%, $F$9) + CHOOSE(CONTROL!$C$27, 0.0021, 0)</f>
        <v>22.7804</v>
      </c>
      <c r="D51" s="14">
        <f>22.7783 * CHOOSE(CONTROL!$C$9, $D$9, 100%, $F$9) + CHOOSE(CONTROL!$C$27, 0.0021, 0)</f>
        <v>22.7804</v>
      </c>
      <c r="E51" s="14">
        <f>22.6416 * CHOOSE(CONTROL!$C$9, $D$9, 100%, $F$9) + CHOOSE(CONTROL!$C$27, 0.0021, 0)</f>
        <v>22.643699999999999</v>
      </c>
      <c r="F51" s="14">
        <f>22.6416 * CHOOSE(CONTROL!$C$9, $D$9, 100%, $F$9) + CHOOSE(CONTROL!$C$27, 0.0021, 0)</f>
        <v>22.643699999999999</v>
      </c>
      <c r="G51" s="14">
        <f>22.913 * CHOOSE(CONTROL!$C$9, $D$9, 100%, $F$9) + CHOOSE(CONTROL!$C$27, 0.0021, 0)</f>
        <v>22.915099999999999</v>
      </c>
      <c r="H51" s="14">
        <f>22.7783 * CHOOSE(CONTROL!$C$9, $D$9, 100%, $F$9) + CHOOSE(CONTROL!$C$27, 0.0021, 0)</f>
        <v>22.7804</v>
      </c>
      <c r="I51" s="14">
        <f>22.7783 * CHOOSE(CONTROL!$C$9, $D$9, 100%, $F$9) + CHOOSE(CONTROL!$C$27, 0.0021, 0)</f>
        <v>22.7804</v>
      </c>
      <c r="J51" s="14">
        <f>22.7783 * CHOOSE(CONTROL!$C$9, $D$9, 100%, $F$9) + CHOOSE(CONTROL!$C$27, 0.0021, 0)</f>
        <v>22.7804</v>
      </c>
      <c r="K51" s="14">
        <f>22.7783 * CHOOSE(CONTROL!$C$9, $D$9, 100%, $F$9) + CHOOSE(CONTROL!$C$27, 0.0021, 0)</f>
        <v>22.7804</v>
      </c>
      <c r="L51" s="14"/>
    </row>
    <row r="52" spans="1:12" ht="15" x14ac:dyDescent="0.2">
      <c r="A52" s="13">
        <v>42491</v>
      </c>
      <c r="B52" s="14">
        <f>23.6938 * CHOOSE(CONTROL!$C$9, $D$9, 100%, $F$9) + CHOOSE(CONTROL!$C$27, 0.0021, 0)</f>
        <v>23.695899999999998</v>
      </c>
      <c r="C52" s="14">
        <f>23.2616 * CHOOSE(CONTROL!$C$9, $D$9, 100%, $F$9) + CHOOSE(CONTROL!$C$27, 0.0021, 0)</f>
        <v>23.2637</v>
      </c>
      <c r="D52" s="14">
        <f>23.2616 * CHOOSE(CONTROL!$C$9, $D$9, 100%, $F$9) + CHOOSE(CONTROL!$C$27, 0.0021, 0)</f>
        <v>23.2637</v>
      </c>
      <c r="E52" s="14">
        <f>23.1249 * CHOOSE(CONTROL!$C$9, $D$9, 100%, $F$9) + CHOOSE(CONTROL!$C$27, 0.0021, 0)</f>
        <v>23.126999999999999</v>
      </c>
      <c r="F52" s="14">
        <f>23.1249 * CHOOSE(CONTROL!$C$9, $D$9, 100%, $F$9) + CHOOSE(CONTROL!$C$27, 0.0021, 0)</f>
        <v>23.126999999999999</v>
      </c>
      <c r="G52" s="14">
        <f>23.3963 * CHOOSE(CONTROL!$C$9, $D$9, 100%, $F$9) + CHOOSE(CONTROL!$C$27, 0.0021, 0)</f>
        <v>23.398399999999999</v>
      </c>
      <c r="H52" s="14">
        <f>23.2616 * CHOOSE(CONTROL!$C$9, $D$9, 100%, $F$9) + CHOOSE(CONTROL!$C$27, 0.0021, 0)</f>
        <v>23.2637</v>
      </c>
      <c r="I52" s="14">
        <f>23.2616 * CHOOSE(CONTROL!$C$9, $D$9, 100%, $F$9) + CHOOSE(CONTROL!$C$27, 0.0021, 0)</f>
        <v>23.2637</v>
      </c>
      <c r="J52" s="14">
        <f>23.2616 * CHOOSE(CONTROL!$C$9, $D$9, 100%, $F$9) + CHOOSE(CONTROL!$C$27, 0.0021, 0)</f>
        <v>23.2637</v>
      </c>
      <c r="K52" s="14">
        <f>23.2616 * CHOOSE(CONTROL!$C$9, $D$9, 100%, $F$9) + CHOOSE(CONTROL!$C$27, 0.0021, 0)</f>
        <v>23.2637</v>
      </c>
      <c r="L52" s="14"/>
    </row>
    <row r="53" spans="1:12" ht="15" x14ac:dyDescent="0.2">
      <c r="A53" s="13">
        <v>42522</v>
      </c>
      <c r="B53" s="14">
        <f>24.0021 * CHOOSE(CONTROL!$C$9, $D$9, 100%, $F$9) + CHOOSE(CONTROL!$C$27, 0.0021, 0)</f>
        <v>24.004199999999997</v>
      </c>
      <c r="C53" s="14">
        <f>23.5698 * CHOOSE(CONTROL!$C$9, $D$9, 100%, $F$9) + CHOOSE(CONTROL!$C$27, 0.0021, 0)</f>
        <v>23.571899999999999</v>
      </c>
      <c r="D53" s="14">
        <f>23.5698 * CHOOSE(CONTROL!$C$9, $D$9, 100%, $F$9) + CHOOSE(CONTROL!$C$27, 0.0021, 0)</f>
        <v>23.571899999999999</v>
      </c>
      <c r="E53" s="14">
        <f>23.4332 * CHOOSE(CONTROL!$C$9, $D$9, 100%, $F$9) + CHOOSE(CONTROL!$C$27, 0.0021, 0)</f>
        <v>23.435299999999998</v>
      </c>
      <c r="F53" s="14">
        <f>23.4332 * CHOOSE(CONTROL!$C$9, $D$9, 100%, $F$9) + CHOOSE(CONTROL!$C$27, 0.0021, 0)</f>
        <v>23.435299999999998</v>
      </c>
      <c r="G53" s="14">
        <f>23.7046 * CHOOSE(CONTROL!$C$9, $D$9, 100%, $F$9) + CHOOSE(CONTROL!$C$27, 0.0021, 0)</f>
        <v>23.706699999999998</v>
      </c>
      <c r="H53" s="14">
        <f>23.5698 * CHOOSE(CONTROL!$C$9, $D$9, 100%, $F$9) + CHOOSE(CONTROL!$C$27, 0.0021, 0)</f>
        <v>23.571899999999999</v>
      </c>
      <c r="I53" s="14">
        <f>23.5698 * CHOOSE(CONTROL!$C$9, $D$9, 100%, $F$9) + CHOOSE(CONTROL!$C$27, 0.0021, 0)</f>
        <v>23.571899999999999</v>
      </c>
      <c r="J53" s="14">
        <f>23.5698 * CHOOSE(CONTROL!$C$9, $D$9, 100%, $F$9) + CHOOSE(CONTROL!$C$27, 0.0021, 0)</f>
        <v>23.571899999999999</v>
      </c>
      <c r="K53" s="14">
        <f>23.5698 * CHOOSE(CONTROL!$C$9, $D$9, 100%, $F$9) + CHOOSE(CONTROL!$C$27, 0.0021, 0)</f>
        <v>23.571899999999999</v>
      </c>
      <c r="L53" s="14"/>
    </row>
    <row r="54" spans="1:12" ht="15" x14ac:dyDescent="0.2">
      <c r="A54" s="13">
        <v>42552</v>
      </c>
      <c r="B54" s="14">
        <f>24.4835 * CHOOSE(CONTROL!$C$9, $D$9, 100%, $F$9) + CHOOSE(CONTROL!$C$27, 0.0021, 0)</f>
        <v>24.485599999999998</v>
      </c>
      <c r="C54" s="14">
        <f>24.0513 * CHOOSE(CONTROL!$C$9, $D$9, 100%, $F$9) + CHOOSE(CONTROL!$C$27, 0.0021, 0)</f>
        <v>24.0534</v>
      </c>
      <c r="D54" s="14">
        <f>24.0513 * CHOOSE(CONTROL!$C$9, $D$9, 100%, $F$9) + CHOOSE(CONTROL!$C$27, 0.0021, 0)</f>
        <v>24.0534</v>
      </c>
      <c r="E54" s="14">
        <f>23.9146 * CHOOSE(CONTROL!$C$9, $D$9, 100%, $F$9) + CHOOSE(CONTROL!$C$27, 0.0021, 0)</f>
        <v>23.916699999999999</v>
      </c>
      <c r="F54" s="14">
        <f>23.9146 * CHOOSE(CONTROL!$C$9, $D$9, 100%, $F$9) + CHOOSE(CONTROL!$C$27, 0.0021, 0)</f>
        <v>23.916699999999999</v>
      </c>
      <c r="G54" s="14">
        <f>24.186 * CHOOSE(CONTROL!$C$9, $D$9, 100%, $F$9) + CHOOSE(CONTROL!$C$27, 0.0021, 0)</f>
        <v>24.188099999999999</v>
      </c>
      <c r="H54" s="14">
        <f>24.0513 * CHOOSE(CONTROL!$C$9, $D$9, 100%, $F$9) + CHOOSE(CONTROL!$C$27, 0.0021, 0)</f>
        <v>24.0534</v>
      </c>
      <c r="I54" s="14">
        <f>24.0513 * CHOOSE(CONTROL!$C$9, $D$9, 100%, $F$9) + CHOOSE(CONTROL!$C$27, 0.0021, 0)</f>
        <v>24.0534</v>
      </c>
      <c r="J54" s="14">
        <f>24.0513 * CHOOSE(CONTROL!$C$9, $D$9, 100%, $F$9) + CHOOSE(CONTROL!$C$27, 0.0021, 0)</f>
        <v>24.0534</v>
      </c>
      <c r="K54" s="14">
        <f>24.0513 * CHOOSE(CONTROL!$C$9, $D$9, 100%, $F$9) + CHOOSE(CONTROL!$C$27, 0.0021, 0)</f>
        <v>24.0534</v>
      </c>
      <c r="L54" s="14"/>
    </row>
    <row r="55" spans="1:12" ht="15" x14ac:dyDescent="0.2">
      <c r="A55" s="13">
        <v>42583</v>
      </c>
      <c r="B55" s="14">
        <f>24.6628 * CHOOSE(CONTROL!$C$9, $D$9, 100%, $F$9) + CHOOSE(CONTROL!$C$27, 0.0021, 0)</f>
        <v>24.664899999999999</v>
      </c>
      <c r="C55" s="14">
        <f>24.2306 * CHOOSE(CONTROL!$C$9, $D$9, 100%, $F$9) + CHOOSE(CONTROL!$C$27, 0.0021, 0)</f>
        <v>24.232699999999998</v>
      </c>
      <c r="D55" s="14">
        <f>24.2306 * CHOOSE(CONTROL!$C$9, $D$9, 100%, $F$9) + CHOOSE(CONTROL!$C$27, 0.0021, 0)</f>
        <v>24.232699999999998</v>
      </c>
      <c r="E55" s="14">
        <f>24.0939 * CHOOSE(CONTROL!$C$9, $D$9, 100%, $F$9) + CHOOSE(CONTROL!$C$27, 0.0021, 0)</f>
        <v>24.096</v>
      </c>
      <c r="F55" s="14">
        <f>24.0939 * CHOOSE(CONTROL!$C$9, $D$9, 100%, $F$9) + CHOOSE(CONTROL!$C$27, 0.0021, 0)</f>
        <v>24.096</v>
      </c>
      <c r="G55" s="14">
        <f>24.3653 * CHOOSE(CONTROL!$C$9, $D$9, 100%, $F$9) + CHOOSE(CONTROL!$C$27, 0.0021, 0)</f>
        <v>24.3674</v>
      </c>
      <c r="H55" s="14">
        <f>24.2306 * CHOOSE(CONTROL!$C$9, $D$9, 100%, $F$9) + CHOOSE(CONTROL!$C$27, 0.0021, 0)</f>
        <v>24.232699999999998</v>
      </c>
      <c r="I55" s="14">
        <f>24.2306 * CHOOSE(CONTROL!$C$9, $D$9, 100%, $F$9) + CHOOSE(CONTROL!$C$27, 0.0021, 0)</f>
        <v>24.232699999999998</v>
      </c>
      <c r="J55" s="14">
        <f>24.2306 * CHOOSE(CONTROL!$C$9, $D$9, 100%, $F$9) + CHOOSE(CONTROL!$C$27, 0.0021, 0)</f>
        <v>24.232699999999998</v>
      </c>
      <c r="K55" s="14">
        <f>24.2306 * CHOOSE(CONTROL!$C$9, $D$9, 100%, $F$9) + CHOOSE(CONTROL!$C$27, 0.0021, 0)</f>
        <v>24.232699999999998</v>
      </c>
      <c r="L55" s="14"/>
    </row>
    <row r="56" spans="1:12" ht="15" x14ac:dyDescent="0.2">
      <c r="A56" s="13">
        <v>42614</v>
      </c>
      <c r="B56" s="14">
        <f>25.1648 * CHOOSE(CONTROL!$C$9, $D$9, 100%, $F$9) + CHOOSE(CONTROL!$C$27, 0.0021, 0)</f>
        <v>25.166899999999998</v>
      </c>
      <c r="C56" s="14">
        <f>24.7325 * CHOOSE(CONTROL!$C$9, $D$9, 100%, $F$9) + CHOOSE(CONTROL!$C$27, 0.0021, 0)</f>
        <v>24.7346</v>
      </c>
      <c r="D56" s="14">
        <f>24.7325 * CHOOSE(CONTROL!$C$9, $D$9, 100%, $F$9) + CHOOSE(CONTROL!$C$27, 0.0021, 0)</f>
        <v>24.7346</v>
      </c>
      <c r="E56" s="14">
        <f>24.5958 * CHOOSE(CONTROL!$C$9, $D$9, 100%, $F$9) + CHOOSE(CONTROL!$C$27, 0.0021, 0)</f>
        <v>24.597899999999999</v>
      </c>
      <c r="F56" s="14">
        <f>24.5958 * CHOOSE(CONTROL!$C$9, $D$9, 100%, $F$9) + CHOOSE(CONTROL!$C$27, 0.0021, 0)</f>
        <v>24.597899999999999</v>
      </c>
      <c r="G56" s="14">
        <f>24.8672 * CHOOSE(CONTROL!$C$9, $D$9, 100%, $F$9) + CHOOSE(CONTROL!$C$27, 0.0021, 0)</f>
        <v>24.869299999999999</v>
      </c>
      <c r="H56" s="14">
        <f>24.7325 * CHOOSE(CONTROL!$C$9, $D$9, 100%, $F$9) + CHOOSE(CONTROL!$C$27, 0.0021, 0)</f>
        <v>24.7346</v>
      </c>
      <c r="I56" s="14">
        <f>24.7325 * CHOOSE(CONTROL!$C$9, $D$9, 100%, $F$9) + CHOOSE(CONTROL!$C$27, 0.0021, 0)</f>
        <v>24.7346</v>
      </c>
      <c r="J56" s="14">
        <f>24.7325 * CHOOSE(CONTROL!$C$9, $D$9, 100%, $F$9) + CHOOSE(CONTROL!$C$27, 0.0021, 0)</f>
        <v>24.7346</v>
      </c>
      <c r="K56" s="14">
        <f>24.7325 * CHOOSE(CONTROL!$C$9, $D$9, 100%, $F$9) + CHOOSE(CONTROL!$C$27, 0.0021, 0)</f>
        <v>24.7346</v>
      </c>
      <c r="L56" s="14"/>
    </row>
    <row r="57" spans="1:12" ht="15" x14ac:dyDescent="0.2">
      <c r="A57" s="13">
        <v>42644</v>
      </c>
      <c r="B57" s="14">
        <f>25.7901 * CHOOSE(CONTROL!$C$9, $D$9, 100%, $F$9) + CHOOSE(CONTROL!$C$27, 0.0021, 0)</f>
        <v>25.792199999999998</v>
      </c>
      <c r="C57" s="14">
        <f>25.3578 * CHOOSE(CONTROL!$C$9, $D$9, 100%, $F$9) + CHOOSE(CONTROL!$C$27, 0.0021, 0)</f>
        <v>25.3599</v>
      </c>
      <c r="D57" s="14">
        <f>25.3578 * CHOOSE(CONTROL!$C$9, $D$9, 100%, $F$9) + CHOOSE(CONTROL!$C$27, 0.0021, 0)</f>
        <v>25.3599</v>
      </c>
      <c r="E57" s="14">
        <f>25.2212 * CHOOSE(CONTROL!$C$9, $D$9, 100%, $F$9) + CHOOSE(CONTROL!$C$27, 0.0021, 0)</f>
        <v>25.223299999999998</v>
      </c>
      <c r="F57" s="14">
        <f>25.2212 * CHOOSE(CONTROL!$C$9, $D$9, 100%, $F$9) + CHOOSE(CONTROL!$C$27, 0.0021, 0)</f>
        <v>25.223299999999998</v>
      </c>
      <c r="G57" s="14">
        <f>25.4925 * CHOOSE(CONTROL!$C$9, $D$9, 100%, $F$9) + CHOOSE(CONTROL!$C$27, 0.0021, 0)</f>
        <v>25.494599999999998</v>
      </c>
      <c r="H57" s="14">
        <f>25.3578 * CHOOSE(CONTROL!$C$9, $D$9, 100%, $F$9) + CHOOSE(CONTROL!$C$27, 0.0021, 0)</f>
        <v>25.3599</v>
      </c>
      <c r="I57" s="14">
        <f>25.3578 * CHOOSE(CONTROL!$C$9, $D$9, 100%, $F$9) + CHOOSE(CONTROL!$C$27, 0.0021, 0)</f>
        <v>25.3599</v>
      </c>
      <c r="J57" s="14">
        <f>25.3578 * CHOOSE(CONTROL!$C$9, $D$9, 100%, $F$9) + CHOOSE(CONTROL!$C$27, 0.0021, 0)</f>
        <v>25.3599</v>
      </c>
      <c r="K57" s="14">
        <f>25.3578 * CHOOSE(CONTROL!$C$9, $D$9, 100%, $F$9) + CHOOSE(CONTROL!$C$27, 0.0021, 0)</f>
        <v>25.3599</v>
      </c>
      <c r="L57" s="14"/>
    </row>
    <row r="58" spans="1:12" ht="15" x14ac:dyDescent="0.2">
      <c r="A58" s="13">
        <v>42675</v>
      </c>
      <c r="B58" s="14">
        <f>25.8929 * CHOOSE(CONTROL!$C$9, $D$9, 100%, $F$9) + CHOOSE(CONTROL!$C$27, 0.0021, 0)</f>
        <v>25.895</v>
      </c>
      <c r="C58" s="14">
        <f>25.4606 * CHOOSE(CONTROL!$C$9, $D$9, 100%, $F$9) + CHOOSE(CONTROL!$C$27, 0.0021, 0)</f>
        <v>25.462699999999998</v>
      </c>
      <c r="D58" s="14">
        <f>25.4606 * CHOOSE(CONTROL!$C$9, $D$9, 100%, $F$9) + CHOOSE(CONTROL!$C$27, 0.0021, 0)</f>
        <v>25.462699999999998</v>
      </c>
      <c r="E58" s="14">
        <f>25.324 * CHOOSE(CONTROL!$C$9, $D$9, 100%, $F$9) + CHOOSE(CONTROL!$C$27, 0.0021, 0)</f>
        <v>25.3261</v>
      </c>
      <c r="F58" s="14">
        <f>25.324 * CHOOSE(CONTROL!$C$9, $D$9, 100%, $F$9) + CHOOSE(CONTROL!$C$27, 0.0021, 0)</f>
        <v>25.3261</v>
      </c>
      <c r="G58" s="14">
        <f>25.5953 * CHOOSE(CONTROL!$C$9, $D$9, 100%, $F$9) + CHOOSE(CONTROL!$C$27, 0.0021, 0)</f>
        <v>25.5974</v>
      </c>
      <c r="H58" s="14">
        <f>25.4606 * CHOOSE(CONTROL!$C$9, $D$9, 100%, $F$9) + CHOOSE(CONTROL!$C$27, 0.0021, 0)</f>
        <v>25.462699999999998</v>
      </c>
      <c r="I58" s="14">
        <f>25.4606 * CHOOSE(CONTROL!$C$9, $D$9, 100%, $F$9) + CHOOSE(CONTROL!$C$27, 0.0021, 0)</f>
        <v>25.462699999999998</v>
      </c>
      <c r="J58" s="14">
        <f>25.4606 * CHOOSE(CONTROL!$C$9, $D$9, 100%, $F$9) + CHOOSE(CONTROL!$C$27, 0.0021, 0)</f>
        <v>25.462699999999998</v>
      </c>
      <c r="K58" s="14">
        <f>25.4606 * CHOOSE(CONTROL!$C$9, $D$9, 100%, $F$9) + CHOOSE(CONTROL!$C$27, 0.0021, 0)</f>
        <v>25.462699999999998</v>
      </c>
      <c r="L58" s="14"/>
    </row>
    <row r="59" spans="1:12" ht="15" x14ac:dyDescent="0.2">
      <c r="A59" s="13">
        <v>42705</v>
      </c>
      <c r="B59" s="14">
        <f>25.4778 * CHOOSE(CONTROL!$C$9, $D$9, 100%, $F$9) + CHOOSE(CONTROL!$C$27, 0.0021, 0)</f>
        <v>25.479899999999997</v>
      </c>
      <c r="C59" s="14">
        <f>25.0455 * CHOOSE(CONTROL!$C$9, $D$9, 100%, $F$9) + CHOOSE(CONTROL!$C$27, 0.0021, 0)</f>
        <v>25.047599999999999</v>
      </c>
      <c r="D59" s="14">
        <f>25.0455 * CHOOSE(CONTROL!$C$9, $D$9, 100%, $F$9) + CHOOSE(CONTROL!$C$27, 0.0021, 0)</f>
        <v>25.047599999999999</v>
      </c>
      <c r="E59" s="14">
        <f>24.9089 * CHOOSE(CONTROL!$C$9, $D$9, 100%, $F$9) + CHOOSE(CONTROL!$C$27, 0.0021, 0)</f>
        <v>24.910999999999998</v>
      </c>
      <c r="F59" s="14">
        <f>24.9089 * CHOOSE(CONTROL!$C$9, $D$9, 100%, $F$9) + CHOOSE(CONTROL!$C$27, 0.0021, 0)</f>
        <v>24.910999999999998</v>
      </c>
      <c r="G59" s="14">
        <f>25.1802 * CHOOSE(CONTROL!$C$9, $D$9, 100%, $F$9) + CHOOSE(CONTROL!$C$27, 0.0021, 0)</f>
        <v>25.182299999999998</v>
      </c>
      <c r="H59" s="14">
        <f>25.0455 * CHOOSE(CONTROL!$C$9, $D$9, 100%, $F$9) + CHOOSE(CONTROL!$C$27, 0.0021, 0)</f>
        <v>25.047599999999999</v>
      </c>
      <c r="I59" s="14">
        <f>25.0455 * CHOOSE(CONTROL!$C$9, $D$9, 100%, $F$9) + CHOOSE(CONTROL!$C$27, 0.0021, 0)</f>
        <v>25.047599999999999</v>
      </c>
      <c r="J59" s="14">
        <f>25.0455 * CHOOSE(CONTROL!$C$9, $D$9, 100%, $F$9) + CHOOSE(CONTROL!$C$27, 0.0021, 0)</f>
        <v>25.047599999999999</v>
      </c>
      <c r="K59" s="14">
        <f>25.0455 * CHOOSE(CONTROL!$C$9, $D$9, 100%, $F$9) + CHOOSE(CONTROL!$C$27, 0.0021, 0)</f>
        <v>25.047599999999999</v>
      </c>
      <c r="L59" s="14"/>
    </row>
    <row r="60" spans="1:12" ht="15" x14ac:dyDescent="0.2">
      <c r="A60" s="13">
        <v>42736</v>
      </c>
      <c r="B60" s="14">
        <f>25.0712 * CHOOSE(CONTROL!$C$9, $D$9, 100%, $F$9) + CHOOSE(CONTROL!$C$27, 0.0021, 0)</f>
        <v>25.0733</v>
      </c>
      <c r="C60" s="14">
        <f>24.639 * CHOOSE(CONTROL!$C$9, $D$9, 100%, $F$9) + CHOOSE(CONTROL!$C$27, 0.0021, 0)</f>
        <v>24.641099999999998</v>
      </c>
      <c r="D60" s="14">
        <f>24.639 * CHOOSE(CONTROL!$C$9, $D$9, 100%, $F$9) + CHOOSE(CONTROL!$C$27, 0.0021, 0)</f>
        <v>24.641099999999998</v>
      </c>
      <c r="E60" s="14">
        <f>24.5023 * CHOOSE(CONTROL!$C$9, $D$9, 100%, $F$9) + CHOOSE(CONTROL!$C$27, 0.0021, 0)</f>
        <v>24.5044</v>
      </c>
      <c r="F60" s="14">
        <f>24.5023 * CHOOSE(CONTROL!$C$9, $D$9, 100%, $F$9) + CHOOSE(CONTROL!$C$27, 0.0021, 0)</f>
        <v>24.5044</v>
      </c>
      <c r="G60" s="14">
        <f>24.7737 * CHOOSE(CONTROL!$C$9, $D$9, 100%, $F$9) + CHOOSE(CONTROL!$C$27, 0.0021, 0)</f>
        <v>24.7758</v>
      </c>
      <c r="H60" s="14">
        <f>24.639 * CHOOSE(CONTROL!$C$9, $D$9, 100%, $F$9) + CHOOSE(CONTROL!$C$27, 0.0021, 0)</f>
        <v>24.641099999999998</v>
      </c>
      <c r="I60" s="14">
        <f>24.639 * CHOOSE(CONTROL!$C$9, $D$9, 100%, $F$9) + CHOOSE(CONTROL!$C$27, 0.0021, 0)</f>
        <v>24.641099999999998</v>
      </c>
      <c r="J60" s="14">
        <f>24.639 * CHOOSE(CONTROL!$C$9, $D$9, 100%, $F$9) + CHOOSE(CONTROL!$C$27, 0.0021, 0)</f>
        <v>24.641099999999998</v>
      </c>
      <c r="K60" s="14">
        <f>24.639 * CHOOSE(CONTROL!$C$9, $D$9, 100%, $F$9) + CHOOSE(CONTROL!$C$27, 0.0021, 0)</f>
        <v>24.641099999999998</v>
      </c>
      <c r="L60" s="14"/>
    </row>
    <row r="61" spans="1:12" ht="15" x14ac:dyDescent="0.2">
      <c r="A61" s="13">
        <v>42767</v>
      </c>
      <c r="B61" s="14">
        <f>24.4725 * CHOOSE(CONTROL!$C$9, $D$9, 100%, $F$9) + CHOOSE(CONTROL!$C$27, 0.0021, 0)</f>
        <v>24.474599999999999</v>
      </c>
      <c r="C61" s="14">
        <f>24.0403 * CHOOSE(CONTROL!$C$9, $D$9, 100%, $F$9) + CHOOSE(CONTROL!$C$27, 0.0021, 0)</f>
        <v>24.042399999999997</v>
      </c>
      <c r="D61" s="14">
        <f>24.0403 * CHOOSE(CONTROL!$C$9, $D$9, 100%, $F$9) + CHOOSE(CONTROL!$C$27, 0.0021, 0)</f>
        <v>24.042399999999997</v>
      </c>
      <c r="E61" s="14">
        <f>23.9036 * CHOOSE(CONTROL!$C$9, $D$9, 100%, $F$9) + CHOOSE(CONTROL!$C$27, 0.0021, 0)</f>
        <v>23.9057</v>
      </c>
      <c r="F61" s="14">
        <f>23.9036 * CHOOSE(CONTROL!$C$9, $D$9, 100%, $F$9) + CHOOSE(CONTROL!$C$27, 0.0021, 0)</f>
        <v>23.9057</v>
      </c>
      <c r="G61" s="14">
        <f>24.175 * CHOOSE(CONTROL!$C$9, $D$9, 100%, $F$9) + CHOOSE(CONTROL!$C$27, 0.0021, 0)</f>
        <v>24.177099999999999</v>
      </c>
      <c r="H61" s="14">
        <f>24.0403 * CHOOSE(CONTROL!$C$9, $D$9, 100%, $F$9) + CHOOSE(CONTROL!$C$27, 0.0021, 0)</f>
        <v>24.042399999999997</v>
      </c>
      <c r="I61" s="14">
        <f>24.0403 * CHOOSE(CONTROL!$C$9, $D$9, 100%, $F$9) + CHOOSE(CONTROL!$C$27, 0.0021, 0)</f>
        <v>24.042399999999997</v>
      </c>
      <c r="J61" s="14">
        <f>24.0403 * CHOOSE(CONTROL!$C$9, $D$9, 100%, $F$9) + CHOOSE(CONTROL!$C$27, 0.0021, 0)</f>
        <v>24.042399999999997</v>
      </c>
      <c r="K61" s="14">
        <f>24.0403 * CHOOSE(CONTROL!$C$9, $D$9, 100%, $F$9) + CHOOSE(CONTROL!$C$27, 0.0021, 0)</f>
        <v>24.042399999999997</v>
      </c>
      <c r="L61" s="14"/>
    </row>
    <row r="62" spans="1:12" ht="15" x14ac:dyDescent="0.2">
      <c r="A62" s="13">
        <v>42795</v>
      </c>
      <c r="B62" s="14">
        <f>24.2511 * CHOOSE(CONTROL!$C$9, $D$9, 100%, $F$9) + CHOOSE(CONTROL!$C$27, 0.0021, 0)</f>
        <v>24.2532</v>
      </c>
      <c r="C62" s="14">
        <f>23.8189 * CHOOSE(CONTROL!$C$9, $D$9, 100%, $F$9) + CHOOSE(CONTROL!$C$27, 0.0021, 0)</f>
        <v>23.820999999999998</v>
      </c>
      <c r="D62" s="14">
        <f>23.8189 * CHOOSE(CONTROL!$C$9, $D$9, 100%, $F$9) + CHOOSE(CONTROL!$C$27, 0.0021, 0)</f>
        <v>23.820999999999998</v>
      </c>
      <c r="E62" s="14">
        <f>23.6822 * CHOOSE(CONTROL!$C$9, $D$9, 100%, $F$9) + CHOOSE(CONTROL!$C$27, 0.0021, 0)</f>
        <v>23.6843</v>
      </c>
      <c r="F62" s="14">
        <f>23.6822 * CHOOSE(CONTROL!$C$9, $D$9, 100%, $F$9) + CHOOSE(CONTROL!$C$27, 0.0021, 0)</f>
        <v>23.6843</v>
      </c>
      <c r="G62" s="14">
        <f>23.9536 * CHOOSE(CONTROL!$C$9, $D$9, 100%, $F$9) + CHOOSE(CONTROL!$C$27, 0.0021, 0)</f>
        <v>23.9557</v>
      </c>
      <c r="H62" s="14">
        <f>23.8189 * CHOOSE(CONTROL!$C$9, $D$9, 100%, $F$9) + CHOOSE(CONTROL!$C$27, 0.0021, 0)</f>
        <v>23.820999999999998</v>
      </c>
      <c r="I62" s="14">
        <f>23.8189 * CHOOSE(CONTROL!$C$9, $D$9, 100%, $F$9) + CHOOSE(CONTROL!$C$27, 0.0021, 0)</f>
        <v>23.820999999999998</v>
      </c>
      <c r="J62" s="14">
        <f>23.8189 * CHOOSE(CONTROL!$C$9, $D$9, 100%, $F$9) + CHOOSE(CONTROL!$C$27, 0.0021, 0)</f>
        <v>23.820999999999998</v>
      </c>
      <c r="K62" s="14">
        <f>23.8189 * CHOOSE(CONTROL!$C$9, $D$9, 100%, $F$9) + CHOOSE(CONTROL!$C$27, 0.0021, 0)</f>
        <v>23.820999999999998</v>
      </c>
      <c r="L62" s="14"/>
    </row>
    <row r="63" spans="1:12" ht="15" x14ac:dyDescent="0.2">
      <c r="A63" s="13">
        <v>42826</v>
      </c>
      <c r="B63" s="14">
        <f>23.9768 * CHOOSE(CONTROL!$C$9, $D$9, 100%, $F$9) + CHOOSE(CONTROL!$C$27, 0.0021, 0)</f>
        <v>23.978899999999999</v>
      </c>
      <c r="C63" s="14">
        <f>23.5446 * CHOOSE(CONTROL!$C$9, $D$9, 100%, $F$9) + CHOOSE(CONTROL!$C$27, 0.0021, 0)</f>
        <v>23.546699999999998</v>
      </c>
      <c r="D63" s="14">
        <f>23.5446 * CHOOSE(CONTROL!$C$9, $D$9, 100%, $F$9) + CHOOSE(CONTROL!$C$27, 0.0021, 0)</f>
        <v>23.546699999999998</v>
      </c>
      <c r="E63" s="14">
        <f>23.4079 * CHOOSE(CONTROL!$C$9, $D$9, 100%, $F$9) + CHOOSE(CONTROL!$C$27, 0.0021, 0)</f>
        <v>23.41</v>
      </c>
      <c r="F63" s="14">
        <f>23.4079 * CHOOSE(CONTROL!$C$9, $D$9, 100%, $F$9) + CHOOSE(CONTROL!$C$27, 0.0021, 0)</f>
        <v>23.41</v>
      </c>
      <c r="G63" s="14">
        <f>23.6793 * CHOOSE(CONTROL!$C$9, $D$9, 100%, $F$9) + CHOOSE(CONTROL!$C$27, 0.0021, 0)</f>
        <v>23.6814</v>
      </c>
      <c r="H63" s="14">
        <f>23.5446 * CHOOSE(CONTROL!$C$9, $D$9, 100%, $F$9) + CHOOSE(CONTROL!$C$27, 0.0021, 0)</f>
        <v>23.546699999999998</v>
      </c>
      <c r="I63" s="14">
        <f>23.5446 * CHOOSE(CONTROL!$C$9, $D$9, 100%, $F$9) + CHOOSE(CONTROL!$C$27, 0.0021, 0)</f>
        <v>23.546699999999998</v>
      </c>
      <c r="J63" s="14">
        <f>23.5446 * CHOOSE(CONTROL!$C$9, $D$9, 100%, $F$9) + CHOOSE(CONTROL!$C$27, 0.0021, 0)</f>
        <v>23.546699999999998</v>
      </c>
      <c r="K63" s="14">
        <f>23.5446 * CHOOSE(CONTROL!$C$9, $D$9, 100%, $F$9) + CHOOSE(CONTROL!$C$27, 0.0021, 0)</f>
        <v>23.546699999999998</v>
      </c>
      <c r="L63" s="14"/>
    </row>
    <row r="64" spans="1:12" ht="15" x14ac:dyDescent="0.2">
      <c r="A64" s="13">
        <v>42856</v>
      </c>
      <c r="B64" s="14">
        <f>24.4778 * CHOOSE(CONTROL!$C$9, $D$9, 100%, $F$9) + CHOOSE(CONTROL!$C$27, 0.0021, 0)</f>
        <v>24.479899999999997</v>
      </c>
      <c r="C64" s="14">
        <f>24.0456 * CHOOSE(CONTROL!$C$9, $D$9, 100%, $F$9) + CHOOSE(CONTROL!$C$27, 0.0021, 0)</f>
        <v>24.047699999999999</v>
      </c>
      <c r="D64" s="14">
        <f>24.0456 * CHOOSE(CONTROL!$C$9, $D$9, 100%, $F$9) + CHOOSE(CONTROL!$C$27, 0.0021, 0)</f>
        <v>24.047699999999999</v>
      </c>
      <c r="E64" s="14">
        <f>23.9089 * CHOOSE(CONTROL!$C$9, $D$9, 100%, $F$9) + CHOOSE(CONTROL!$C$27, 0.0021, 0)</f>
        <v>23.910999999999998</v>
      </c>
      <c r="F64" s="14">
        <f>23.9089 * CHOOSE(CONTROL!$C$9, $D$9, 100%, $F$9) + CHOOSE(CONTROL!$C$27, 0.0021, 0)</f>
        <v>23.910999999999998</v>
      </c>
      <c r="G64" s="14">
        <f>24.1803 * CHOOSE(CONTROL!$C$9, $D$9, 100%, $F$9) + CHOOSE(CONTROL!$C$27, 0.0021, 0)</f>
        <v>24.182399999999998</v>
      </c>
      <c r="H64" s="14">
        <f>24.0456 * CHOOSE(CONTROL!$C$9, $D$9, 100%, $F$9) + CHOOSE(CONTROL!$C$27, 0.0021, 0)</f>
        <v>24.047699999999999</v>
      </c>
      <c r="I64" s="14">
        <f>24.0456 * CHOOSE(CONTROL!$C$9, $D$9, 100%, $F$9) + CHOOSE(CONTROL!$C$27, 0.0021, 0)</f>
        <v>24.047699999999999</v>
      </c>
      <c r="J64" s="14">
        <f>24.0456 * CHOOSE(CONTROL!$C$9, $D$9, 100%, $F$9) + CHOOSE(CONTROL!$C$27, 0.0021, 0)</f>
        <v>24.047699999999999</v>
      </c>
      <c r="K64" s="14">
        <f>24.0456 * CHOOSE(CONTROL!$C$9, $D$9, 100%, $F$9) + CHOOSE(CONTROL!$C$27, 0.0021, 0)</f>
        <v>24.047699999999999</v>
      </c>
      <c r="L64" s="14"/>
    </row>
    <row r="65" spans="1:12" ht="15" x14ac:dyDescent="0.2">
      <c r="A65" s="13">
        <v>42887</v>
      </c>
      <c r="B65" s="14">
        <f>24.7974 * CHOOSE(CONTROL!$C$9, $D$9, 100%, $F$9) + CHOOSE(CONTROL!$C$27, 0.0021, 0)</f>
        <v>24.799499999999998</v>
      </c>
      <c r="C65" s="14">
        <f>24.3651 * CHOOSE(CONTROL!$C$9, $D$9, 100%, $F$9) + CHOOSE(CONTROL!$C$27, 0.0021, 0)</f>
        <v>24.3672</v>
      </c>
      <c r="D65" s="14">
        <f>24.3651 * CHOOSE(CONTROL!$C$9, $D$9, 100%, $F$9) + CHOOSE(CONTROL!$C$27, 0.0021, 0)</f>
        <v>24.3672</v>
      </c>
      <c r="E65" s="14">
        <f>24.2285 * CHOOSE(CONTROL!$C$9, $D$9, 100%, $F$9) + CHOOSE(CONTROL!$C$27, 0.0021, 0)</f>
        <v>24.230599999999999</v>
      </c>
      <c r="F65" s="14">
        <f>24.2285 * CHOOSE(CONTROL!$C$9, $D$9, 100%, $F$9) + CHOOSE(CONTROL!$C$27, 0.0021, 0)</f>
        <v>24.230599999999999</v>
      </c>
      <c r="G65" s="14">
        <f>24.4999 * CHOOSE(CONTROL!$C$9, $D$9, 100%, $F$9) + CHOOSE(CONTROL!$C$27, 0.0021, 0)</f>
        <v>24.501999999999999</v>
      </c>
      <c r="H65" s="14">
        <f>24.3651 * CHOOSE(CONTROL!$C$9, $D$9, 100%, $F$9) + CHOOSE(CONTROL!$C$27, 0.0021, 0)</f>
        <v>24.3672</v>
      </c>
      <c r="I65" s="14">
        <f>24.3651 * CHOOSE(CONTROL!$C$9, $D$9, 100%, $F$9) + CHOOSE(CONTROL!$C$27, 0.0021, 0)</f>
        <v>24.3672</v>
      </c>
      <c r="J65" s="14">
        <f>24.3651 * CHOOSE(CONTROL!$C$9, $D$9, 100%, $F$9) + CHOOSE(CONTROL!$C$27, 0.0021, 0)</f>
        <v>24.3672</v>
      </c>
      <c r="K65" s="14">
        <f>24.3651 * CHOOSE(CONTROL!$C$9, $D$9, 100%, $F$9) + CHOOSE(CONTROL!$C$27, 0.0021, 0)</f>
        <v>24.3672</v>
      </c>
      <c r="L65" s="14"/>
    </row>
    <row r="66" spans="1:12" ht="15" x14ac:dyDescent="0.2">
      <c r="A66" s="13">
        <v>42917</v>
      </c>
      <c r="B66" s="14">
        <f>25.2965 * CHOOSE(CONTROL!$C$9, $D$9, 100%, $F$9) + CHOOSE(CONTROL!$C$27, 0.0021, 0)</f>
        <v>25.2986</v>
      </c>
      <c r="C66" s="14">
        <f>24.8642 * CHOOSE(CONTROL!$C$9, $D$9, 100%, $F$9) + CHOOSE(CONTROL!$C$27, 0.0021, 0)</f>
        <v>24.866299999999999</v>
      </c>
      <c r="D66" s="14">
        <f>24.8642 * CHOOSE(CONTROL!$C$9, $D$9, 100%, $F$9) + CHOOSE(CONTROL!$C$27, 0.0021, 0)</f>
        <v>24.866299999999999</v>
      </c>
      <c r="E66" s="14">
        <f>24.7276 * CHOOSE(CONTROL!$C$9, $D$9, 100%, $F$9) + CHOOSE(CONTROL!$C$27, 0.0021, 0)</f>
        <v>24.729699999999998</v>
      </c>
      <c r="F66" s="14">
        <f>24.7276 * CHOOSE(CONTROL!$C$9, $D$9, 100%, $F$9) + CHOOSE(CONTROL!$C$27, 0.0021, 0)</f>
        <v>24.729699999999998</v>
      </c>
      <c r="G66" s="14">
        <f>24.9989 * CHOOSE(CONTROL!$C$9, $D$9, 100%, $F$9) + CHOOSE(CONTROL!$C$27, 0.0021, 0)</f>
        <v>25.000999999999998</v>
      </c>
      <c r="H66" s="14">
        <f>24.8642 * CHOOSE(CONTROL!$C$9, $D$9, 100%, $F$9) + CHOOSE(CONTROL!$C$27, 0.0021, 0)</f>
        <v>24.866299999999999</v>
      </c>
      <c r="I66" s="14">
        <f>24.8642 * CHOOSE(CONTROL!$C$9, $D$9, 100%, $F$9) + CHOOSE(CONTROL!$C$27, 0.0021, 0)</f>
        <v>24.866299999999999</v>
      </c>
      <c r="J66" s="14">
        <f>24.8642 * CHOOSE(CONTROL!$C$9, $D$9, 100%, $F$9) + CHOOSE(CONTROL!$C$27, 0.0021, 0)</f>
        <v>24.866299999999999</v>
      </c>
      <c r="K66" s="14">
        <f>24.8642 * CHOOSE(CONTROL!$C$9, $D$9, 100%, $F$9) + CHOOSE(CONTROL!$C$27, 0.0021, 0)</f>
        <v>24.866299999999999</v>
      </c>
      <c r="L66" s="14"/>
    </row>
    <row r="67" spans="1:12" ht="15" x14ac:dyDescent="0.2">
      <c r="A67" s="13">
        <v>42948</v>
      </c>
      <c r="B67" s="14">
        <f>25.4823 * CHOOSE(CONTROL!$C$9, $D$9, 100%, $F$9) + CHOOSE(CONTROL!$C$27, 0.0021, 0)</f>
        <v>25.484399999999997</v>
      </c>
      <c r="C67" s="14">
        <f>25.0501 * CHOOSE(CONTROL!$C$9, $D$9, 100%, $F$9) + CHOOSE(CONTROL!$C$27, 0.0021, 0)</f>
        <v>25.052199999999999</v>
      </c>
      <c r="D67" s="14">
        <f>25.0501 * CHOOSE(CONTROL!$C$9, $D$9, 100%, $F$9) + CHOOSE(CONTROL!$C$27, 0.0021, 0)</f>
        <v>25.052199999999999</v>
      </c>
      <c r="E67" s="14">
        <f>24.9134 * CHOOSE(CONTROL!$C$9, $D$9, 100%, $F$9) + CHOOSE(CONTROL!$C$27, 0.0021, 0)</f>
        <v>24.915499999999998</v>
      </c>
      <c r="F67" s="14">
        <f>24.9134 * CHOOSE(CONTROL!$C$9, $D$9, 100%, $F$9) + CHOOSE(CONTROL!$C$27, 0.0021, 0)</f>
        <v>24.915499999999998</v>
      </c>
      <c r="G67" s="14">
        <f>25.1848 * CHOOSE(CONTROL!$C$9, $D$9, 100%, $F$9) + CHOOSE(CONTROL!$C$27, 0.0021, 0)</f>
        <v>25.186899999999998</v>
      </c>
      <c r="H67" s="14">
        <f>25.0501 * CHOOSE(CONTROL!$C$9, $D$9, 100%, $F$9) + CHOOSE(CONTROL!$C$27, 0.0021, 0)</f>
        <v>25.052199999999999</v>
      </c>
      <c r="I67" s="14">
        <f>25.0501 * CHOOSE(CONTROL!$C$9, $D$9, 100%, $F$9) + CHOOSE(CONTROL!$C$27, 0.0021, 0)</f>
        <v>25.052199999999999</v>
      </c>
      <c r="J67" s="14">
        <f>25.0501 * CHOOSE(CONTROL!$C$9, $D$9, 100%, $F$9) + CHOOSE(CONTROL!$C$27, 0.0021, 0)</f>
        <v>25.052199999999999</v>
      </c>
      <c r="K67" s="14">
        <f>25.0501 * CHOOSE(CONTROL!$C$9, $D$9, 100%, $F$9) + CHOOSE(CONTROL!$C$27, 0.0021, 0)</f>
        <v>25.052199999999999</v>
      </c>
      <c r="L67" s="14"/>
    </row>
    <row r="68" spans="1:12" ht="15" x14ac:dyDescent="0.2">
      <c r="A68" s="13">
        <v>42979</v>
      </c>
      <c r="B68" s="14">
        <f>26.0026 * CHOOSE(CONTROL!$C$9, $D$9, 100%, $F$9) + CHOOSE(CONTROL!$C$27, 0.0021, 0)</f>
        <v>26.0047</v>
      </c>
      <c r="C68" s="14">
        <f>25.5704 * CHOOSE(CONTROL!$C$9, $D$9, 100%, $F$9) + CHOOSE(CONTROL!$C$27, 0.0021, 0)</f>
        <v>25.572499999999998</v>
      </c>
      <c r="D68" s="14">
        <f>25.5704 * CHOOSE(CONTROL!$C$9, $D$9, 100%, $F$9) + CHOOSE(CONTROL!$C$27, 0.0021, 0)</f>
        <v>25.572499999999998</v>
      </c>
      <c r="E68" s="14">
        <f>25.4337 * CHOOSE(CONTROL!$C$9, $D$9, 100%, $F$9) + CHOOSE(CONTROL!$C$27, 0.0021, 0)</f>
        <v>25.4358</v>
      </c>
      <c r="F68" s="14">
        <f>25.4337 * CHOOSE(CONTROL!$C$9, $D$9, 100%, $F$9) + CHOOSE(CONTROL!$C$27, 0.0021, 0)</f>
        <v>25.4358</v>
      </c>
      <c r="G68" s="14">
        <f>25.7051 * CHOOSE(CONTROL!$C$9, $D$9, 100%, $F$9) + CHOOSE(CONTROL!$C$27, 0.0021, 0)</f>
        <v>25.7072</v>
      </c>
      <c r="H68" s="14">
        <f>25.5704 * CHOOSE(CONTROL!$C$9, $D$9, 100%, $F$9) + CHOOSE(CONTROL!$C$27, 0.0021, 0)</f>
        <v>25.572499999999998</v>
      </c>
      <c r="I68" s="14">
        <f>25.5704 * CHOOSE(CONTROL!$C$9, $D$9, 100%, $F$9) + CHOOSE(CONTROL!$C$27, 0.0021, 0)</f>
        <v>25.572499999999998</v>
      </c>
      <c r="J68" s="14">
        <f>25.5704 * CHOOSE(CONTROL!$C$9, $D$9, 100%, $F$9) + CHOOSE(CONTROL!$C$27, 0.0021, 0)</f>
        <v>25.572499999999998</v>
      </c>
      <c r="K68" s="14">
        <f>25.5704 * CHOOSE(CONTROL!$C$9, $D$9, 100%, $F$9) + CHOOSE(CONTROL!$C$27, 0.0021, 0)</f>
        <v>25.572499999999998</v>
      </c>
      <c r="L68" s="14"/>
    </row>
    <row r="69" spans="1:12" ht="15" x14ac:dyDescent="0.2">
      <c r="A69" s="13">
        <v>43009</v>
      </c>
      <c r="B69" s="14">
        <f>26.6509 * CHOOSE(CONTROL!$C$9, $D$9, 100%, $F$9) + CHOOSE(CONTROL!$C$27, 0.0021, 0)</f>
        <v>26.652999999999999</v>
      </c>
      <c r="C69" s="14">
        <f>26.2186 * CHOOSE(CONTROL!$C$9, $D$9, 100%, $F$9) + CHOOSE(CONTROL!$C$27, 0.0021, 0)</f>
        <v>26.220699999999997</v>
      </c>
      <c r="D69" s="14">
        <f>26.2186 * CHOOSE(CONTROL!$C$9, $D$9, 100%, $F$9) + CHOOSE(CONTROL!$C$27, 0.0021, 0)</f>
        <v>26.220699999999997</v>
      </c>
      <c r="E69" s="14">
        <f>26.082 * CHOOSE(CONTROL!$C$9, $D$9, 100%, $F$9) + CHOOSE(CONTROL!$C$27, 0.0021, 0)</f>
        <v>26.084099999999999</v>
      </c>
      <c r="F69" s="14">
        <f>26.082 * CHOOSE(CONTROL!$C$9, $D$9, 100%, $F$9) + CHOOSE(CONTROL!$C$27, 0.0021, 0)</f>
        <v>26.084099999999999</v>
      </c>
      <c r="G69" s="14">
        <f>26.3533 * CHOOSE(CONTROL!$C$9, $D$9, 100%, $F$9) + CHOOSE(CONTROL!$C$27, 0.0021, 0)</f>
        <v>26.355399999999999</v>
      </c>
      <c r="H69" s="14">
        <f>26.2186 * CHOOSE(CONTROL!$C$9, $D$9, 100%, $F$9) + CHOOSE(CONTROL!$C$27, 0.0021, 0)</f>
        <v>26.220699999999997</v>
      </c>
      <c r="I69" s="14">
        <f>26.2186 * CHOOSE(CONTROL!$C$9, $D$9, 100%, $F$9) + CHOOSE(CONTROL!$C$27, 0.0021, 0)</f>
        <v>26.220699999999997</v>
      </c>
      <c r="J69" s="14">
        <f>26.2186 * CHOOSE(CONTROL!$C$9, $D$9, 100%, $F$9) + CHOOSE(CONTROL!$C$27, 0.0021, 0)</f>
        <v>26.220699999999997</v>
      </c>
      <c r="K69" s="14">
        <f>26.2186 * CHOOSE(CONTROL!$C$9, $D$9, 100%, $F$9) + CHOOSE(CONTROL!$C$27, 0.0021, 0)</f>
        <v>26.220699999999997</v>
      </c>
      <c r="L69" s="14"/>
    </row>
    <row r="70" spans="1:12" ht="15" x14ac:dyDescent="0.2">
      <c r="A70" s="13">
        <v>43040</v>
      </c>
      <c r="B70" s="14">
        <f>26.7574 * CHOOSE(CONTROL!$C$9, $D$9, 100%, $F$9) + CHOOSE(CONTROL!$C$27, 0.0021, 0)</f>
        <v>26.759499999999999</v>
      </c>
      <c r="C70" s="14">
        <f>26.3252 * CHOOSE(CONTROL!$C$9, $D$9, 100%, $F$9) + CHOOSE(CONTROL!$C$27, 0.0021, 0)</f>
        <v>26.327299999999997</v>
      </c>
      <c r="D70" s="14">
        <f>26.3252 * CHOOSE(CONTROL!$C$9, $D$9, 100%, $F$9) + CHOOSE(CONTROL!$C$27, 0.0021, 0)</f>
        <v>26.327299999999997</v>
      </c>
      <c r="E70" s="14">
        <f>26.1885 * CHOOSE(CONTROL!$C$9, $D$9, 100%, $F$9) + CHOOSE(CONTROL!$C$27, 0.0021, 0)</f>
        <v>26.1906</v>
      </c>
      <c r="F70" s="14">
        <f>26.1885 * CHOOSE(CONTROL!$C$9, $D$9, 100%, $F$9) + CHOOSE(CONTROL!$C$27, 0.0021, 0)</f>
        <v>26.1906</v>
      </c>
      <c r="G70" s="14">
        <f>26.4599 * CHOOSE(CONTROL!$C$9, $D$9, 100%, $F$9) + CHOOSE(CONTROL!$C$27, 0.0021, 0)</f>
        <v>26.462</v>
      </c>
      <c r="H70" s="14">
        <f>26.3252 * CHOOSE(CONTROL!$C$9, $D$9, 100%, $F$9) + CHOOSE(CONTROL!$C$27, 0.0021, 0)</f>
        <v>26.327299999999997</v>
      </c>
      <c r="I70" s="14">
        <f>26.3252 * CHOOSE(CONTROL!$C$9, $D$9, 100%, $F$9) + CHOOSE(CONTROL!$C$27, 0.0021, 0)</f>
        <v>26.327299999999997</v>
      </c>
      <c r="J70" s="14">
        <f>26.3252 * CHOOSE(CONTROL!$C$9, $D$9, 100%, $F$9) + CHOOSE(CONTROL!$C$27, 0.0021, 0)</f>
        <v>26.327299999999997</v>
      </c>
      <c r="K70" s="14">
        <f>26.3252 * CHOOSE(CONTROL!$C$9, $D$9, 100%, $F$9) + CHOOSE(CONTROL!$C$27, 0.0021, 0)</f>
        <v>26.327299999999997</v>
      </c>
      <c r="L70" s="14"/>
    </row>
    <row r="71" spans="1:12" ht="15" x14ac:dyDescent="0.2">
      <c r="A71" s="13">
        <v>43070</v>
      </c>
      <c r="B71" s="14">
        <f>26.3271 * CHOOSE(CONTROL!$C$9, $D$9, 100%, $F$9) + CHOOSE(CONTROL!$C$27, 0.0021, 0)</f>
        <v>26.3292</v>
      </c>
      <c r="C71" s="14">
        <f>25.8949 * CHOOSE(CONTROL!$C$9, $D$9, 100%, $F$9) + CHOOSE(CONTROL!$C$27, 0.0021, 0)</f>
        <v>25.896999999999998</v>
      </c>
      <c r="D71" s="14">
        <f>25.8949 * CHOOSE(CONTROL!$C$9, $D$9, 100%, $F$9) + CHOOSE(CONTROL!$C$27, 0.0021, 0)</f>
        <v>25.896999999999998</v>
      </c>
      <c r="E71" s="14">
        <f>25.7582 * CHOOSE(CONTROL!$C$9, $D$9, 100%, $F$9) + CHOOSE(CONTROL!$C$27, 0.0021, 0)</f>
        <v>25.760299999999997</v>
      </c>
      <c r="F71" s="14">
        <f>25.7582 * CHOOSE(CONTROL!$C$9, $D$9, 100%, $F$9) + CHOOSE(CONTROL!$C$27, 0.0021, 0)</f>
        <v>25.760299999999997</v>
      </c>
      <c r="G71" s="14">
        <f>26.0296 * CHOOSE(CONTROL!$C$9, $D$9, 100%, $F$9) + CHOOSE(CONTROL!$C$27, 0.0021, 0)</f>
        <v>26.031699999999997</v>
      </c>
      <c r="H71" s="14">
        <f>25.8949 * CHOOSE(CONTROL!$C$9, $D$9, 100%, $F$9) + CHOOSE(CONTROL!$C$27, 0.0021, 0)</f>
        <v>25.896999999999998</v>
      </c>
      <c r="I71" s="14">
        <f>25.8949 * CHOOSE(CONTROL!$C$9, $D$9, 100%, $F$9) + CHOOSE(CONTROL!$C$27, 0.0021, 0)</f>
        <v>25.896999999999998</v>
      </c>
      <c r="J71" s="14">
        <f>25.8949 * CHOOSE(CONTROL!$C$9, $D$9, 100%, $F$9) + CHOOSE(CONTROL!$C$27, 0.0021, 0)</f>
        <v>25.896999999999998</v>
      </c>
      <c r="K71" s="14">
        <f>25.8949 * CHOOSE(CONTROL!$C$9, $D$9, 100%, $F$9) + CHOOSE(CONTROL!$C$27, 0.0021, 0)</f>
        <v>25.896999999999998</v>
      </c>
      <c r="L71" s="14"/>
    </row>
    <row r="72" spans="1:12" ht="15" x14ac:dyDescent="0.2">
      <c r="A72" s="13">
        <v>43101</v>
      </c>
      <c r="B72" s="14">
        <f>28.7578 * CHOOSE(CONTROL!$C$9, $D$9, 100%, $F$9) + CHOOSE(CONTROL!$C$27, 0.0021, 0)</f>
        <v>28.759899999999998</v>
      </c>
      <c r="C72" s="14">
        <f>28.3255 * CHOOSE(CONTROL!$C$9, $D$9, 100%, $F$9) + CHOOSE(CONTROL!$C$27, 0.0021, 0)</f>
        <v>28.3276</v>
      </c>
      <c r="D72" s="14">
        <f>28.3255 * CHOOSE(CONTROL!$C$9, $D$9, 100%, $F$9) + CHOOSE(CONTROL!$C$27, 0.0021, 0)</f>
        <v>28.3276</v>
      </c>
      <c r="E72" s="14">
        <f>28.1889 * CHOOSE(CONTROL!$C$9, $D$9, 100%, $F$9) + CHOOSE(CONTROL!$C$27, 0.0021, 0)</f>
        <v>28.190999999999999</v>
      </c>
      <c r="F72" s="14">
        <f>28.1889 * CHOOSE(CONTROL!$C$9, $D$9, 100%, $F$9) + CHOOSE(CONTROL!$C$27, 0.0021, 0)</f>
        <v>28.190999999999999</v>
      </c>
      <c r="G72" s="14">
        <f>28.4602 * CHOOSE(CONTROL!$C$9, $D$9, 100%, $F$9) + CHOOSE(CONTROL!$C$27, 0.0021, 0)</f>
        <v>28.462299999999999</v>
      </c>
      <c r="H72" s="14">
        <f>28.3255 * CHOOSE(CONTROL!$C$9, $D$9, 100%, $F$9) + CHOOSE(CONTROL!$C$27, 0.0021, 0)</f>
        <v>28.3276</v>
      </c>
      <c r="I72" s="14">
        <f>28.3255 * CHOOSE(CONTROL!$C$9, $D$9, 100%, $F$9) + CHOOSE(CONTROL!$C$27, 0.0021, 0)</f>
        <v>28.3276</v>
      </c>
      <c r="J72" s="14">
        <f>28.3255 * CHOOSE(CONTROL!$C$9, $D$9, 100%, $F$9) + CHOOSE(CONTROL!$C$27, 0.0021, 0)</f>
        <v>28.3276</v>
      </c>
      <c r="K72" s="14">
        <f>28.3255 * CHOOSE(CONTROL!$C$9, $D$9, 100%, $F$9) + CHOOSE(CONTROL!$C$27, 0.0021, 0)</f>
        <v>28.3276</v>
      </c>
      <c r="L72" s="14"/>
    </row>
    <row r="73" spans="1:12" ht="15" x14ac:dyDescent="0.2">
      <c r="A73" s="13">
        <v>43132</v>
      </c>
      <c r="B73" s="14">
        <f>28.0621 * CHOOSE(CONTROL!$C$9, $D$9, 100%, $F$9) + CHOOSE(CONTROL!$C$27, 0.0021, 0)</f>
        <v>28.0642</v>
      </c>
      <c r="C73" s="14">
        <f>27.6299 * CHOOSE(CONTROL!$C$9, $D$9, 100%, $F$9) + CHOOSE(CONTROL!$C$27, 0.0021, 0)</f>
        <v>27.631999999999998</v>
      </c>
      <c r="D73" s="14">
        <f>27.6299 * CHOOSE(CONTROL!$C$9, $D$9, 100%, $F$9) + CHOOSE(CONTROL!$C$27, 0.0021, 0)</f>
        <v>27.631999999999998</v>
      </c>
      <c r="E73" s="14">
        <f>27.4932 * CHOOSE(CONTROL!$C$9, $D$9, 100%, $F$9) + CHOOSE(CONTROL!$C$27, 0.0021, 0)</f>
        <v>27.4953</v>
      </c>
      <c r="F73" s="14">
        <f>27.4932 * CHOOSE(CONTROL!$C$9, $D$9, 100%, $F$9) + CHOOSE(CONTROL!$C$27, 0.0021, 0)</f>
        <v>27.4953</v>
      </c>
      <c r="G73" s="14">
        <f>27.7646 * CHOOSE(CONTROL!$C$9, $D$9, 100%, $F$9) + CHOOSE(CONTROL!$C$27, 0.0021, 0)</f>
        <v>27.7667</v>
      </c>
      <c r="H73" s="14">
        <f>27.6299 * CHOOSE(CONTROL!$C$9, $D$9, 100%, $F$9) + CHOOSE(CONTROL!$C$27, 0.0021, 0)</f>
        <v>27.631999999999998</v>
      </c>
      <c r="I73" s="14">
        <f>27.6299 * CHOOSE(CONTROL!$C$9, $D$9, 100%, $F$9) + CHOOSE(CONTROL!$C$27, 0.0021, 0)</f>
        <v>27.631999999999998</v>
      </c>
      <c r="J73" s="14">
        <f>27.6299 * CHOOSE(CONTROL!$C$9, $D$9, 100%, $F$9) + CHOOSE(CONTROL!$C$27, 0.0021, 0)</f>
        <v>27.631999999999998</v>
      </c>
      <c r="K73" s="14">
        <f>27.6299 * CHOOSE(CONTROL!$C$9, $D$9, 100%, $F$9) + CHOOSE(CONTROL!$C$27, 0.0021, 0)</f>
        <v>27.631999999999998</v>
      </c>
      <c r="L73" s="14"/>
    </row>
    <row r="74" spans="1:12" ht="15" x14ac:dyDescent="0.2">
      <c r="A74" s="13">
        <v>43160</v>
      </c>
      <c r="B74" s="14">
        <f>27.8049 * CHOOSE(CONTROL!$C$9, $D$9, 100%, $F$9) + CHOOSE(CONTROL!$C$27, 0.0021, 0)</f>
        <v>27.806999999999999</v>
      </c>
      <c r="C74" s="14">
        <f>27.3727 * CHOOSE(CONTROL!$C$9, $D$9, 100%, $F$9) + CHOOSE(CONTROL!$C$27, 0.0021, 0)</f>
        <v>27.374799999999997</v>
      </c>
      <c r="D74" s="14">
        <f>27.3727 * CHOOSE(CONTROL!$C$9, $D$9, 100%, $F$9) + CHOOSE(CONTROL!$C$27, 0.0021, 0)</f>
        <v>27.374799999999997</v>
      </c>
      <c r="E74" s="14">
        <f>27.236 * CHOOSE(CONTROL!$C$9, $D$9, 100%, $F$9) + CHOOSE(CONTROL!$C$27, 0.0021, 0)</f>
        <v>27.238099999999999</v>
      </c>
      <c r="F74" s="14">
        <f>27.236 * CHOOSE(CONTROL!$C$9, $D$9, 100%, $F$9) + CHOOSE(CONTROL!$C$27, 0.0021, 0)</f>
        <v>27.238099999999999</v>
      </c>
      <c r="G74" s="14">
        <f>27.5074 * CHOOSE(CONTROL!$C$9, $D$9, 100%, $F$9) + CHOOSE(CONTROL!$C$27, 0.0021, 0)</f>
        <v>27.509499999999999</v>
      </c>
      <c r="H74" s="14">
        <f>27.3727 * CHOOSE(CONTROL!$C$9, $D$9, 100%, $F$9) + CHOOSE(CONTROL!$C$27, 0.0021, 0)</f>
        <v>27.374799999999997</v>
      </c>
      <c r="I74" s="14">
        <f>27.3727 * CHOOSE(CONTROL!$C$9, $D$9, 100%, $F$9) + CHOOSE(CONTROL!$C$27, 0.0021, 0)</f>
        <v>27.374799999999997</v>
      </c>
      <c r="J74" s="14">
        <f>27.3727 * CHOOSE(CONTROL!$C$9, $D$9, 100%, $F$9) + CHOOSE(CONTROL!$C$27, 0.0021, 0)</f>
        <v>27.374799999999997</v>
      </c>
      <c r="K74" s="14">
        <f>27.3727 * CHOOSE(CONTROL!$C$9, $D$9, 100%, $F$9) + CHOOSE(CONTROL!$C$27, 0.0021, 0)</f>
        <v>27.374799999999997</v>
      </c>
      <c r="L74" s="14"/>
    </row>
    <row r="75" spans="1:12" ht="15" x14ac:dyDescent="0.2">
      <c r="A75" s="13">
        <v>43191</v>
      </c>
      <c r="B75" s="14">
        <f>27.4862 * CHOOSE(CONTROL!$C$9, $D$9, 100%, $F$9) + CHOOSE(CONTROL!$C$27, 0.0021, 0)</f>
        <v>27.488299999999999</v>
      </c>
      <c r="C75" s="14">
        <f>27.054 * CHOOSE(CONTROL!$C$9, $D$9, 100%, $F$9) + CHOOSE(CONTROL!$C$27, 0.0021, 0)</f>
        <v>27.056099999999997</v>
      </c>
      <c r="D75" s="14">
        <f>27.054 * CHOOSE(CONTROL!$C$9, $D$9, 100%, $F$9) + CHOOSE(CONTROL!$C$27, 0.0021, 0)</f>
        <v>27.056099999999997</v>
      </c>
      <c r="E75" s="14">
        <f>26.9173 * CHOOSE(CONTROL!$C$9, $D$9, 100%, $F$9) + CHOOSE(CONTROL!$C$27, 0.0021, 0)</f>
        <v>26.9194</v>
      </c>
      <c r="F75" s="14">
        <f>26.9173 * CHOOSE(CONTROL!$C$9, $D$9, 100%, $F$9) + CHOOSE(CONTROL!$C$27, 0.0021, 0)</f>
        <v>26.9194</v>
      </c>
      <c r="G75" s="14">
        <f>27.1887 * CHOOSE(CONTROL!$C$9, $D$9, 100%, $F$9) + CHOOSE(CONTROL!$C$27, 0.0021, 0)</f>
        <v>27.190799999999999</v>
      </c>
      <c r="H75" s="14">
        <f>27.054 * CHOOSE(CONTROL!$C$9, $D$9, 100%, $F$9) + CHOOSE(CONTROL!$C$27, 0.0021, 0)</f>
        <v>27.056099999999997</v>
      </c>
      <c r="I75" s="14">
        <f>27.054 * CHOOSE(CONTROL!$C$9, $D$9, 100%, $F$9) + CHOOSE(CONTROL!$C$27, 0.0021, 0)</f>
        <v>27.056099999999997</v>
      </c>
      <c r="J75" s="14">
        <f>27.054 * CHOOSE(CONTROL!$C$9, $D$9, 100%, $F$9) + CHOOSE(CONTROL!$C$27, 0.0021, 0)</f>
        <v>27.056099999999997</v>
      </c>
      <c r="K75" s="14">
        <f>27.054 * CHOOSE(CONTROL!$C$9, $D$9, 100%, $F$9) + CHOOSE(CONTROL!$C$27, 0.0021, 0)</f>
        <v>27.056099999999997</v>
      </c>
      <c r="L75" s="14"/>
    </row>
    <row r="76" spans="1:12" ht="15" x14ac:dyDescent="0.2">
      <c r="A76" s="13">
        <v>43221</v>
      </c>
      <c r="B76" s="14">
        <f>28.0683 * CHOOSE(CONTROL!$C$9, $D$9, 100%, $F$9) + CHOOSE(CONTROL!$C$27, 0.0021, 0)</f>
        <v>28.070399999999999</v>
      </c>
      <c r="C76" s="14">
        <f>27.6361 * CHOOSE(CONTROL!$C$9, $D$9, 100%, $F$9) + CHOOSE(CONTROL!$C$27, 0.0021, 0)</f>
        <v>27.638199999999998</v>
      </c>
      <c r="D76" s="14">
        <f>27.6361 * CHOOSE(CONTROL!$C$9, $D$9, 100%, $F$9) + CHOOSE(CONTROL!$C$27, 0.0021, 0)</f>
        <v>27.638199999999998</v>
      </c>
      <c r="E76" s="14">
        <f>27.4994 * CHOOSE(CONTROL!$C$9, $D$9, 100%, $F$9) + CHOOSE(CONTROL!$C$27, 0.0021, 0)</f>
        <v>27.5015</v>
      </c>
      <c r="F76" s="14">
        <f>27.4994 * CHOOSE(CONTROL!$C$9, $D$9, 100%, $F$9) + CHOOSE(CONTROL!$C$27, 0.0021, 0)</f>
        <v>27.5015</v>
      </c>
      <c r="G76" s="14">
        <f>27.7708 * CHOOSE(CONTROL!$C$9, $D$9, 100%, $F$9) + CHOOSE(CONTROL!$C$27, 0.0021, 0)</f>
        <v>27.7729</v>
      </c>
      <c r="H76" s="14">
        <f>27.6361 * CHOOSE(CONTROL!$C$9, $D$9, 100%, $F$9) + CHOOSE(CONTROL!$C$27, 0.0021, 0)</f>
        <v>27.638199999999998</v>
      </c>
      <c r="I76" s="14">
        <f>27.6361 * CHOOSE(CONTROL!$C$9, $D$9, 100%, $F$9) + CHOOSE(CONTROL!$C$27, 0.0021, 0)</f>
        <v>27.638199999999998</v>
      </c>
      <c r="J76" s="14">
        <f>27.6361 * CHOOSE(CONTROL!$C$9, $D$9, 100%, $F$9) + CHOOSE(CONTROL!$C$27, 0.0021, 0)</f>
        <v>27.638199999999998</v>
      </c>
      <c r="K76" s="14">
        <f>27.6361 * CHOOSE(CONTROL!$C$9, $D$9, 100%, $F$9) + CHOOSE(CONTROL!$C$27, 0.0021, 0)</f>
        <v>27.638199999999998</v>
      </c>
      <c r="L76" s="14"/>
    </row>
    <row r="77" spans="1:12" ht="15" x14ac:dyDescent="0.2">
      <c r="A77" s="13">
        <v>43252</v>
      </c>
      <c r="B77" s="14">
        <f>28.4396 * CHOOSE(CONTROL!$C$9, $D$9, 100%, $F$9) + CHOOSE(CONTROL!$C$27, 0.0021, 0)</f>
        <v>28.441699999999997</v>
      </c>
      <c r="C77" s="14">
        <f>28.0074 * CHOOSE(CONTROL!$C$9, $D$9, 100%, $F$9) + CHOOSE(CONTROL!$C$27, 0.0021, 0)</f>
        <v>28.009499999999999</v>
      </c>
      <c r="D77" s="14">
        <f>28.0074 * CHOOSE(CONTROL!$C$9, $D$9, 100%, $F$9) + CHOOSE(CONTROL!$C$27, 0.0021, 0)</f>
        <v>28.009499999999999</v>
      </c>
      <c r="E77" s="14">
        <f>27.8707 * CHOOSE(CONTROL!$C$9, $D$9, 100%, $F$9) + CHOOSE(CONTROL!$C$27, 0.0021, 0)</f>
        <v>27.872799999999998</v>
      </c>
      <c r="F77" s="14">
        <f>27.8707 * CHOOSE(CONTROL!$C$9, $D$9, 100%, $F$9) + CHOOSE(CONTROL!$C$27, 0.0021, 0)</f>
        <v>27.872799999999998</v>
      </c>
      <c r="G77" s="14">
        <f>28.1421 * CHOOSE(CONTROL!$C$9, $D$9, 100%, $F$9) + CHOOSE(CONTROL!$C$27, 0.0021, 0)</f>
        <v>28.144199999999998</v>
      </c>
      <c r="H77" s="14">
        <f>28.0074 * CHOOSE(CONTROL!$C$9, $D$9, 100%, $F$9) + CHOOSE(CONTROL!$C$27, 0.0021, 0)</f>
        <v>28.009499999999999</v>
      </c>
      <c r="I77" s="14">
        <f>28.0074 * CHOOSE(CONTROL!$C$9, $D$9, 100%, $F$9) + CHOOSE(CONTROL!$C$27, 0.0021, 0)</f>
        <v>28.009499999999999</v>
      </c>
      <c r="J77" s="14">
        <f>28.0074 * CHOOSE(CONTROL!$C$9, $D$9, 100%, $F$9) + CHOOSE(CONTROL!$C$27, 0.0021, 0)</f>
        <v>28.009499999999999</v>
      </c>
      <c r="K77" s="14">
        <f>28.0074 * CHOOSE(CONTROL!$C$9, $D$9, 100%, $F$9) + CHOOSE(CONTROL!$C$27, 0.0021, 0)</f>
        <v>28.009499999999999</v>
      </c>
      <c r="L77" s="14"/>
    </row>
    <row r="78" spans="1:12" ht="15" x14ac:dyDescent="0.2">
      <c r="A78" s="13">
        <v>43282</v>
      </c>
      <c r="B78" s="14">
        <f>29.0195 * CHOOSE(CONTROL!$C$9, $D$9, 100%, $F$9) + CHOOSE(CONTROL!$C$27, 0.0021, 0)</f>
        <v>29.021599999999999</v>
      </c>
      <c r="C78" s="14">
        <f>28.5872 * CHOOSE(CONTROL!$C$9, $D$9, 100%, $F$9) + CHOOSE(CONTROL!$C$27, 0.0021, 0)</f>
        <v>28.589299999999998</v>
      </c>
      <c r="D78" s="14">
        <f>28.5872 * CHOOSE(CONTROL!$C$9, $D$9, 100%, $F$9) + CHOOSE(CONTROL!$C$27, 0.0021, 0)</f>
        <v>28.589299999999998</v>
      </c>
      <c r="E78" s="14">
        <f>28.4506 * CHOOSE(CONTROL!$C$9, $D$9, 100%, $F$9) + CHOOSE(CONTROL!$C$27, 0.0021, 0)</f>
        <v>28.4527</v>
      </c>
      <c r="F78" s="14">
        <f>28.4506 * CHOOSE(CONTROL!$C$9, $D$9, 100%, $F$9) + CHOOSE(CONTROL!$C$27, 0.0021, 0)</f>
        <v>28.4527</v>
      </c>
      <c r="G78" s="14">
        <f>28.7219 * CHOOSE(CONTROL!$C$9, $D$9, 100%, $F$9) + CHOOSE(CONTROL!$C$27, 0.0021, 0)</f>
        <v>28.724</v>
      </c>
      <c r="H78" s="14">
        <f>28.5872 * CHOOSE(CONTROL!$C$9, $D$9, 100%, $F$9) + CHOOSE(CONTROL!$C$27, 0.0021, 0)</f>
        <v>28.589299999999998</v>
      </c>
      <c r="I78" s="14">
        <f>28.5872 * CHOOSE(CONTROL!$C$9, $D$9, 100%, $F$9) + CHOOSE(CONTROL!$C$27, 0.0021, 0)</f>
        <v>28.589299999999998</v>
      </c>
      <c r="J78" s="14">
        <f>28.5872 * CHOOSE(CONTROL!$C$9, $D$9, 100%, $F$9) + CHOOSE(CONTROL!$C$27, 0.0021, 0)</f>
        <v>28.589299999999998</v>
      </c>
      <c r="K78" s="14">
        <f>28.5872 * CHOOSE(CONTROL!$C$9, $D$9, 100%, $F$9) + CHOOSE(CONTROL!$C$27, 0.0021, 0)</f>
        <v>28.589299999999998</v>
      </c>
      <c r="L78" s="14"/>
    </row>
    <row r="79" spans="1:12" ht="15" x14ac:dyDescent="0.2">
      <c r="A79" s="13">
        <v>43313</v>
      </c>
      <c r="B79" s="14">
        <f>29.2354 * CHOOSE(CONTROL!$C$9, $D$9, 100%, $F$9) + CHOOSE(CONTROL!$C$27, 0.0021, 0)</f>
        <v>29.237499999999997</v>
      </c>
      <c r="C79" s="14">
        <f>28.8032 * CHOOSE(CONTROL!$C$9, $D$9, 100%, $F$9) + CHOOSE(CONTROL!$C$27, 0.0021, 0)</f>
        <v>28.805299999999999</v>
      </c>
      <c r="D79" s="14">
        <f>28.8032 * CHOOSE(CONTROL!$C$9, $D$9, 100%, $F$9) + CHOOSE(CONTROL!$C$27, 0.0021, 0)</f>
        <v>28.805299999999999</v>
      </c>
      <c r="E79" s="14">
        <f>28.6665 * CHOOSE(CONTROL!$C$9, $D$9, 100%, $F$9) + CHOOSE(CONTROL!$C$27, 0.0021, 0)</f>
        <v>28.668599999999998</v>
      </c>
      <c r="F79" s="14">
        <f>28.6665 * CHOOSE(CONTROL!$C$9, $D$9, 100%, $F$9) + CHOOSE(CONTROL!$C$27, 0.0021, 0)</f>
        <v>28.668599999999998</v>
      </c>
      <c r="G79" s="14">
        <f>28.9379 * CHOOSE(CONTROL!$C$9, $D$9, 100%, $F$9) + CHOOSE(CONTROL!$C$27, 0.0021, 0)</f>
        <v>28.939999999999998</v>
      </c>
      <c r="H79" s="14">
        <f>28.8032 * CHOOSE(CONTROL!$C$9, $D$9, 100%, $F$9) + CHOOSE(CONTROL!$C$27, 0.0021, 0)</f>
        <v>28.805299999999999</v>
      </c>
      <c r="I79" s="14">
        <f>28.8032 * CHOOSE(CONTROL!$C$9, $D$9, 100%, $F$9) + CHOOSE(CONTROL!$C$27, 0.0021, 0)</f>
        <v>28.805299999999999</v>
      </c>
      <c r="J79" s="14">
        <f>28.8032 * CHOOSE(CONTROL!$C$9, $D$9, 100%, $F$9) + CHOOSE(CONTROL!$C$27, 0.0021, 0)</f>
        <v>28.805299999999999</v>
      </c>
      <c r="K79" s="14">
        <f>28.8032 * CHOOSE(CONTROL!$C$9, $D$9, 100%, $F$9) + CHOOSE(CONTROL!$C$27, 0.0021, 0)</f>
        <v>28.805299999999999</v>
      </c>
      <c r="L79" s="14"/>
    </row>
    <row r="80" spans="1:12" ht="15" x14ac:dyDescent="0.2">
      <c r="A80" s="13">
        <v>43344</v>
      </c>
      <c r="B80" s="14">
        <f>29.8399 * CHOOSE(CONTROL!$C$9, $D$9, 100%, $F$9) + CHOOSE(CONTROL!$C$27, 0.0021, 0)</f>
        <v>29.841999999999999</v>
      </c>
      <c r="C80" s="14">
        <f>29.4077 * CHOOSE(CONTROL!$C$9, $D$9, 100%, $F$9) + CHOOSE(CONTROL!$C$27, 0.0021, 0)</f>
        <v>29.409799999999997</v>
      </c>
      <c r="D80" s="14">
        <f>29.4077 * CHOOSE(CONTROL!$C$9, $D$9, 100%, $F$9) + CHOOSE(CONTROL!$C$27, 0.0021, 0)</f>
        <v>29.409799999999997</v>
      </c>
      <c r="E80" s="14">
        <f>29.271 * CHOOSE(CONTROL!$C$9, $D$9, 100%, $F$9) + CHOOSE(CONTROL!$C$27, 0.0021, 0)</f>
        <v>29.273099999999999</v>
      </c>
      <c r="F80" s="14">
        <f>29.271 * CHOOSE(CONTROL!$C$9, $D$9, 100%, $F$9) + CHOOSE(CONTROL!$C$27, 0.0021, 0)</f>
        <v>29.273099999999999</v>
      </c>
      <c r="G80" s="14">
        <f>29.5424 * CHOOSE(CONTROL!$C$9, $D$9, 100%, $F$9) + CHOOSE(CONTROL!$C$27, 0.0021, 0)</f>
        <v>29.544499999999999</v>
      </c>
      <c r="H80" s="14">
        <f>29.4077 * CHOOSE(CONTROL!$C$9, $D$9, 100%, $F$9) + CHOOSE(CONTROL!$C$27, 0.0021, 0)</f>
        <v>29.409799999999997</v>
      </c>
      <c r="I80" s="14">
        <f>29.4077 * CHOOSE(CONTROL!$C$9, $D$9, 100%, $F$9) + CHOOSE(CONTROL!$C$27, 0.0021, 0)</f>
        <v>29.409799999999997</v>
      </c>
      <c r="J80" s="14">
        <f>29.4077 * CHOOSE(CONTROL!$C$9, $D$9, 100%, $F$9) + CHOOSE(CONTROL!$C$27, 0.0021, 0)</f>
        <v>29.409799999999997</v>
      </c>
      <c r="K80" s="14">
        <f>29.4077 * CHOOSE(CONTROL!$C$9, $D$9, 100%, $F$9) + CHOOSE(CONTROL!$C$27, 0.0021, 0)</f>
        <v>29.409799999999997</v>
      </c>
      <c r="L80" s="14"/>
    </row>
    <row r="81" spans="1:12" ht="15" x14ac:dyDescent="0.2">
      <c r="A81" s="13">
        <v>43374</v>
      </c>
      <c r="B81" s="14">
        <f>30.5931 * CHOOSE(CONTROL!$C$9, $D$9, 100%, $F$9) + CHOOSE(CONTROL!$C$27, 0.0021, 0)</f>
        <v>30.595199999999998</v>
      </c>
      <c r="C81" s="14">
        <f>30.1608 * CHOOSE(CONTROL!$C$9, $D$9, 100%, $F$9) + CHOOSE(CONTROL!$C$27, 0.0021, 0)</f>
        <v>30.162899999999997</v>
      </c>
      <c r="D81" s="14">
        <f>30.1608 * CHOOSE(CONTROL!$C$9, $D$9, 100%, $F$9) + CHOOSE(CONTROL!$C$27, 0.0021, 0)</f>
        <v>30.162899999999997</v>
      </c>
      <c r="E81" s="14">
        <f>30.0241 * CHOOSE(CONTROL!$C$9, $D$9, 100%, $F$9) + CHOOSE(CONTROL!$C$27, 0.0021, 0)</f>
        <v>30.026199999999999</v>
      </c>
      <c r="F81" s="14">
        <f>30.0241 * CHOOSE(CONTROL!$C$9, $D$9, 100%, $F$9) + CHOOSE(CONTROL!$C$27, 0.0021, 0)</f>
        <v>30.026199999999999</v>
      </c>
      <c r="G81" s="14">
        <f>30.2955 * CHOOSE(CONTROL!$C$9, $D$9, 100%, $F$9) + CHOOSE(CONTROL!$C$27, 0.0021, 0)</f>
        <v>30.297599999999999</v>
      </c>
      <c r="H81" s="14">
        <f>30.1608 * CHOOSE(CONTROL!$C$9, $D$9, 100%, $F$9) + CHOOSE(CONTROL!$C$27, 0.0021, 0)</f>
        <v>30.162899999999997</v>
      </c>
      <c r="I81" s="14">
        <f>30.1608 * CHOOSE(CONTROL!$C$9, $D$9, 100%, $F$9) + CHOOSE(CONTROL!$C$27, 0.0021, 0)</f>
        <v>30.162899999999997</v>
      </c>
      <c r="J81" s="14">
        <f>30.1608 * CHOOSE(CONTROL!$C$9, $D$9, 100%, $F$9) + CHOOSE(CONTROL!$C$27, 0.0021, 0)</f>
        <v>30.162899999999997</v>
      </c>
      <c r="K81" s="14">
        <f>30.1608 * CHOOSE(CONTROL!$C$9, $D$9, 100%, $F$9) + CHOOSE(CONTROL!$C$27, 0.0021, 0)</f>
        <v>30.162899999999997</v>
      </c>
      <c r="L81" s="14"/>
    </row>
    <row r="82" spans="1:12" ht="15" x14ac:dyDescent="0.2">
      <c r="A82" s="13">
        <v>43405</v>
      </c>
      <c r="B82" s="14">
        <f>30.7169 * CHOOSE(CONTROL!$C$9, $D$9, 100%, $F$9) + CHOOSE(CONTROL!$C$27, 0.0021, 0)</f>
        <v>30.718999999999998</v>
      </c>
      <c r="C82" s="14">
        <f>30.2846 * CHOOSE(CONTROL!$C$9, $D$9, 100%, $F$9) + CHOOSE(CONTROL!$C$27, 0.0021, 0)</f>
        <v>30.2867</v>
      </c>
      <c r="D82" s="14">
        <f>30.2846 * CHOOSE(CONTROL!$C$9, $D$9, 100%, $F$9) + CHOOSE(CONTROL!$C$27, 0.0021, 0)</f>
        <v>30.2867</v>
      </c>
      <c r="E82" s="14">
        <f>30.1479 * CHOOSE(CONTROL!$C$9, $D$9, 100%, $F$9) + CHOOSE(CONTROL!$C$27, 0.0021, 0)</f>
        <v>30.15</v>
      </c>
      <c r="F82" s="14">
        <f>30.1479 * CHOOSE(CONTROL!$C$9, $D$9, 100%, $F$9) + CHOOSE(CONTROL!$C$27, 0.0021, 0)</f>
        <v>30.15</v>
      </c>
      <c r="G82" s="14">
        <f>30.4193 * CHOOSE(CONTROL!$C$9, $D$9, 100%, $F$9) + CHOOSE(CONTROL!$C$27, 0.0021, 0)</f>
        <v>30.421399999999998</v>
      </c>
      <c r="H82" s="14">
        <f>30.2846 * CHOOSE(CONTROL!$C$9, $D$9, 100%, $F$9) + CHOOSE(CONTROL!$C$27, 0.0021, 0)</f>
        <v>30.2867</v>
      </c>
      <c r="I82" s="14">
        <f>30.2846 * CHOOSE(CONTROL!$C$9, $D$9, 100%, $F$9) + CHOOSE(CONTROL!$C$27, 0.0021, 0)</f>
        <v>30.2867</v>
      </c>
      <c r="J82" s="14">
        <f>30.2846 * CHOOSE(CONTROL!$C$9, $D$9, 100%, $F$9) + CHOOSE(CONTROL!$C$27, 0.0021, 0)</f>
        <v>30.2867</v>
      </c>
      <c r="K82" s="14">
        <f>30.2846 * CHOOSE(CONTROL!$C$9, $D$9, 100%, $F$9) + CHOOSE(CONTROL!$C$27, 0.0021, 0)</f>
        <v>30.2867</v>
      </c>
      <c r="L82" s="14"/>
    </row>
    <row r="83" spans="1:12" ht="15" x14ac:dyDescent="0.2">
      <c r="A83" s="13">
        <v>43435</v>
      </c>
      <c r="B83" s="14">
        <f>30.2169 * CHOOSE(CONTROL!$C$9, $D$9, 100%, $F$9) + CHOOSE(CONTROL!$C$27, 0.0021, 0)</f>
        <v>30.218999999999998</v>
      </c>
      <c r="C83" s="14">
        <f>29.7847 * CHOOSE(CONTROL!$C$9, $D$9, 100%, $F$9) + CHOOSE(CONTROL!$C$27, 0.0021, 0)</f>
        <v>29.786799999999999</v>
      </c>
      <c r="D83" s="14">
        <f>29.7847 * CHOOSE(CONTROL!$C$9, $D$9, 100%, $F$9) + CHOOSE(CONTROL!$C$27, 0.0021, 0)</f>
        <v>29.786799999999999</v>
      </c>
      <c r="E83" s="14">
        <f>29.648 * CHOOSE(CONTROL!$C$9, $D$9, 100%, $F$9) + CHOOSE(CONTROL!$C$27, 0.0021, 0)</f>
        <v>29.650099999999998</v>
      </c>
      <c r="F83" s="14">
        <f>29.648 * CHOOSE(CONTROL!$C$9, $D$9, 100%, $F$9) + CHOOSE(CONTROL!$C$27, 0.0021, 0)</f>
        <v>29.650099999999998</v>
      </c>
      <c r="G83" s="14">
        <f>29.9194 * CHOOSE(CONTROL!$C$9, $D$9, 100%, $F$9) + CHOOSE(CONTROL!$C$27, 0.0021, 0)</f>
        <v>29.921499999999998</v>
      </c>
      <c r="H83" s="14">
        <f>29.7847 * CHOOSE(CONTROL!$C$9, $D$9, 100%, $F$9) + CHOOSE(CONTROL!$C$27, 0.0021, 0)</f>
        <v>29.786799999999999</v>
      </c>
      <c r="I83" s="14">
        <f>29.7847 * CHOOSE(CONTROL!$C$9, $D$9, 100%, $F$9) + CHOOSE(CONTROL!$C$27, 0.0021, 0)</f>
        <v>29.786799999999999</v>
      </c>
      <c r="J83" s="14">
        <f>29.7847 * CHOOSE(CONTROL!$C$9, $D$9, 100%, $F$9) + CHOOSE(CONTROL!$C$27, 0.0021, 0)</f>
        <v>29.786799999999999</v>
      </c>
      <c r="K83" s="14">
        <f>29.7847 * CHOOSE(CONTROL!$C$9, $D$9, 100%, $F$9) + CHOOSE(CONTROL!$C$27, 0.0021, 0)</f>
        <v>29.786799999999999</v>
      </c>
      <c r="L83" s="14"/>
    </row>
    <row r="84" spans="1:12" ht="15" x14ac:dyDescent="0.2">
      <c r="A84" s="13">
        <v>43466</v>
      </c>
      <c r="B84" s="14">
        <f>30.1047 * CHOOSE(CONTROL!$C$9, $D$9, 100%, $F$9) + CHOOSE(CONTROL!$C$27, 0.0021, 0)</f>
        <v>30.1068</v>
      </c>
      <c r="C84" s="14">
        <f>29.6725 * CHOOSE(CONTROL!$C$9, $D$9, 100%, $F$9) + CHOOSE(CONTROL!$C$27, 0.0021, 0)</f>
        <v>29.674599999999998</v>
      </c>
      <c r="D84" s="14">
        <f>29.6725 * CHOOSE(CONTROL!$C$9, $D$9, 100%, $F$9) + CHOOSE(CONTROL!$C$27, 0.0021, 0)</f>
        <v>29.674599999999998</v>
      </c>
      <c r="E84" s="14">
        <f>29.5358 * CHOOSE(CONTROL!$C$9, $D$9, 100%, $F$9) + CHOOSE(CONTROL!$C$27, 0.0021, 0)</f>
        <v>29.537899999999997</v>
      </c>
      <c r="F84" s="14">
        <f>29.5358 * CHOOSE(CONTROL!$C$9, $D$9, 100%, $F$9) + CHOOSE(CONTROL!$C$27, 0.0021, 0)</f>
        <v>29.537899999999997</v>
      </c>
      <c r="G84" s="14">
        <f>29.8072 * CHOOSE(CONTROL!$C$9, $D$9, 100%, $F$9) + CHOOSE(CONTROL!$C$27, 0.0021, 0)</f>
        <v>29.8093</v>
      </c>
      <c r="H84" s="14">
        <f>29.6725 * CHOOSE(CONTROL!$C$9, $D$9, 100%, $F$9) + CHOOSE(CONTROL!$C$27, 0.0021, 0)</f>
        <v>29.674599999999998</v>
      </c>
      <c r="I84" s="14">
        <f>29.6725 * CHOOSE(CONTROL!$C$9, $D$9, 100%, $F$9) + CHOOSE(CONTROL!$C$27, 0.0021, 0)</f>
        <v>29.674599999999998</v>
      </c>
      <c r="J84" s="14">
        <f>29.6725 * CHOOSE(CONTROL!$C$9, $D$9, 100%, $F$9) + CHOOSE(CONTROL!$C$27, 0.0021, 0)</f>
        <v>29.674599999999998</v>
      </c>
      <c r="K84" s="14">
        <f>29.6725 * CHOOSE(CONTROL!$C$9, $D$9, 100%, $F$9) + CHOOSE(CONTROL!$C$27, 0.0021, 0)</f>
        <v>29.674599999999998</v>
      </c>
      <c r="L84" s="14"/>
    </row>
    <row r="85" spans="1:12" ht="15" x14ac:dyDescent="0.2">
      <c r="A85" s="13">
        <v>43497</v>
      </c>
      <c r="B85" s="14">
        <f>29.3737 * CHOOSE(CONTROL!$C$9, $D$9, 100%, $F$9) + CHOOSE(CONTROL!$C$27, 0.0021, 0)</f>
        <v>29.375799999999998</v>
      </c>
      <c r="C85" s="14">
        <f>28.9414 * CHOOSE(CONTROL!$C$9, $D$9, 100%, $F$9) + CHOOSE(CONTROL!$C$27, 0.0021, 0)</f>
        <v>28.9435</v>
      </c>
      <c r="D85" s="14">
        <f>28.9414 * CHOOSE(CONTROL!$C$9, $D$9, 100%, $F$9) + CHOOSE(CONTROL!$C$27, 0.0021, 0)</f>
        <v>28.9435</v>
      </c>
      <c r="E85" s="14">
        <f>28.8048 * CHOOSE(CONTROL!$C$9, $D$9, 100%, $F$9) + CHOOSE(CONTROL!$C$27, 0.0021, 0)</f>
        <v>28.806899999999999</v>
      </c>
      <c r="F85" s="14">
        <f>28.8048 * CHOOSE(CONTROL!$C$9, $D$9, 100%, $F$9) + CHOOSE(CONTROL!$C$27, 0.0021, 0)</f>
        <v>28.806899999999999</v>
      </c>
      <c r="G85" s="14">
        <f>29.0762 * CHOOSE(CONTROL!$C$9, $D$9, 100%, $F$9) + CHOOSE(CONTROL!$C$27, 0.0021, 0)</f>
        <v>29.078299999999999</v>
      </c>
      <c r="H85" s="14">
        <f>28.9414 * CHOOSE(CONTROL!$C$9, $D$9, 100%, $F$9) + CHOOSE(CONTROL!$C$27, 0.0021, 0)</f>
        <v>28.9435</v>
      </c>
      <c r="I85" s="14">
        <f>28.9414 * CHOOSE(CONTROL!$C$9, $D$9, 100%, $F$9) + CHOOSE(CONTROL!$C$27, 0.0021, 0)</f>
        <v>28.9435</v>
      </c>
      <c r="J85" s="14">
        <f>28.9414 * CHOOSE(CONTROL!$C$9, $D$9, 100%, $F$9) + CHOOSE(CONTROL!$C$27, 0.0021, 0)</f>
        <v>28.9435</v>
      </c>
      <c r="K85" s="14">
        <f>28.9414 * CHOOSE(CONTROL!$C$9, $D$9, 100%, $F$9) + CHOOSE(CONTROL!$C$27, 0.0021, 0)</f>
        <v>28.9435</v>
      </c>
      <c r="L85" s="14"/>
    </row>
    <row r="86" spans="1:12" ht="15" x14ac:dyDescent="0.2">
      <c r="A86" s="13">
        <v>43525</v>
      </c>
      <c r="B86" s="14">
        <f>29.1034 * CHOOSE(CONTROL!$C$9, $D$9, 100%, $F$9) + CHOOSE(CONTROL!$C$27, 0.0021, 0)</f>
        <v>29.105499999999999</v>
      </c>
      <c r="C86" s="14">
        <f>28.6711 * CHOOSE(CONTROL!$C$9, $D$9, 100%, $F$9) + CHOOSE(CONTROL!$C$27, 0.0021, 0)</f>
        <v>28.673199999999998</v>
      </c>
      <c r="D86" s="14">
        <f>28.6711 * CHOOSE(CONTROL!$C$9, $D$9, 100%, $F$9) + CHOOSE(CONTROL!$C$27, 0.0021, 0)</f>
        <v>28.673199999999998</v>
      </c>
      <c r="E86" s="14">
        <f>28.5345 * CHOOSE(CONTROL!$C$9, $D$9, 100%, $F$9) + CHOOSE(CONTROL!$C$27, 0.0021, 0)</f>
        <v>28.5366</v>
      </c>
      <c r="F86" s="14">
        <f>28.5345 * CHOOSE(CONTROL!$C$9, $D$9, 100%, $F$9) + CHOOSE(CONTROL!$C$27, 0.0021, 0)</f>
        <v>28.5366</v>
      </c>
      <c r="G86" s="14">
        <f>28.8059 * CHOOSE(CONTROL!$C$9, $D$9, 100%, $F$9) + CHOOSE(CONTROL!$C$27, 0.0021, 0)</f>
        <v>28.808</v>
      </c>
      <c r="H86" s="14">
        <f>28.6711 * CHOOSE(CONTROL!$C$9, $D$9, 100%, $F$9) + CHOOSE(CONTROL!$C$27, 0.0021, 0)</f>
        <v>28.673199999999998</v>
      </c>
      <c r="I86" s="14">
        <f>28.6711 * CHOOSE(CONTROL!$C$9, $D$9, 100%, $F$9) + CHOOSE(CONTROL!$C$27, 0.0021, 0)</f>
        <v>28.673199999999998</v>
      </c>
      <c r="J86" s="14">
        <f>28.6711 * CHOOSE(CONTROL!$C$9, $D$9, 100%, $F$9) + CHOOSE(CONTROL!$C$27, 0.0021, 0)</f>
        <v>28.673199999999998</v>
      </c>
      <c r="K86" s="14">
        <f>28.6711 * CHOOSE(CONTROL!$C$9, $D$9, 100%, $F$9) + CHOOSE(CONTROL!$C$27, 0.0021, 0)</f>
        <v>28.673199999999998</v>
      </c>
      <c r="L86" s="14"/>
    </row>
    <row r="87" spans="1:12" ht="15" x14ac:dyDescent="0.2">
      <c r="A87" s="13">
        <v>43556</v>
      </c>
      <c r="B87" s="14">
        <f>28.7685 * CHOOSE(CONTROL!$C$9, $D$9, 100%, $F$9) + CHOOSE(CONTROL!$C$27, 0.0021, 0)</f>
        <v>28.770599999999998</v>
      </c>
      <c r="C87" s="14">
        <f>28.3362 * CHOOSE(CONTROL!$C$9, $D$9, 100%, $F$9) + CHOOSE(CONTROL!$C$27, 0.0021, 0)</f>
        <v>28.3383</v>
      </c>
      <c r="D87" s="14">
        <f>28.3362 * CHOOSE(CONTROL!$C$9, $D$9, 100%, $F$9) + CHOOSE(CONTROL!$C$27, 0.0021, 0)</f>
        <v>28.3383</v>
      </c>
      <c r="E87" s="14">
        <f>28.1996 * CHOOSE(CONTROL!$C$9, $D$9, 100%, $F$9) + CHOOSE(CONTROL!$C$27, 0.0021, 0)</f>
        <v>28.201699999999999</v>
      </c>
      <c r="F87" s="14">
        <f>28.1996 * CHOOSE(CONTROL!$C$9, $D$9, 100%, $F$9) + CHOOSE(CONTROL!$C$27, 0.0021, 0)</f>
        <v>28.201699999999999</v>
      </c>
      <c r="G87" s="14">
        <f>28.4709 * CHOOSE(CONTROL!$C$9, $D$9, 100%, $F$9) + CHOOSE(CONTROL!$C$27, 0.0021, 0)</f>
        <v>28.472999999999999</v>
      </c>
      <c r="H87" s="14">
        <f>28.3362 * CHOOSE(CONTROL!$C$9, $D$9, 100%, $F$9) + CHOOSE(CONTROL!$C$27, 0.0021, 0)</f>
        <v>28.3383</v>
      </c>
      <c r="I87" s="14">
        <f>28.3362 * CHOOSE(CONTROL!$C$9, $D$9, 100%, $F$9) + CHOOSE(CONTROL!$C$27, 0.0021, 0)</f>
        <v>28.3383</v>
      </c>
      <c r="J87" s="14">
        <f>28.3362 * CHOOSE(CONTROL!$C$9, $D$9, 100%, $F$9) + CHOOSE(CONTROL!$C$27, 0.0021, 0)</f>
        <v>28.3383</v>
      </c>
      <c r="K87" s="14">
        <f>28.3362 * CHOOSE(CONTROL!$C$9, $D$9, 100%, $F$9) + CHOOSE(CONTROL!$C$27, 0.0021, 0)</f>
        <v>28.3383</v>
      </c>
      <c r="L87" s="14"/>
    </row>
    <row r="88" spans="1:12" ht="15" x14ac:dyDescent="0.2">
      <c r="A88" s="13">
        <v>43586</v>
      </c>
      <c r="B88" s="14">
        <f>29.3802 * CHOOSE(CONTROL!$C$9, $D$9, 100%, $F$9) + CHOOSE(CONTROL!$C$27, 0.0021, 0)</f>
        <v>29.382299999999997</v>
      </c>
      <c r="C88" s="14">
        <f>28.9479 * CHOOSE(CONTROL!$C$9, $D$9, 100%, $F$9) + CHOOSE(CONTROL!$C$27, 0.0021, 0)</f>
        <v>28.95</v>
      </c>
      <c r="D88" s="14">
        <f>28.9479 * CHOOSE(CONTROL!$C$9, $D$9, 100%, $F$9) + CHOOSE(CONTROL!$C$27, 0.0021, 0)</f>
        <v>28.95</v>
      </c>
      <c r="E88" s="14">
        <f>28.8113 * CHOOSE(CONTROL!$C$9, $D$9, 100%, $F$9) + CHOOSE(CONTROL!$C$27, 0.0021, 0)</f>
        <v>28.813399999999998</v>
      </c>
      <c r="F88" s="14">
        <f>28.8113 * CHOOSE(CONTROL!$C$9, $D$9, 100%, $F$9) + CHOOSE(CONTROL!$C$27, 0.0021, 0)</f>
        <v>28.813399999999998</v>
      </c>
      <c r="G88" s="14">
        <f>29.0826 * CHOOSE(CONTROL!$C$9, $D$9, 100%, $F$9) + CHOOSE(CONTROL!$C$27, 0.0021, 0)</f>
        <v>29.084699999999998</v>
      </c>
      <c r="H88" s="14">
        <f>28.9479 * CHOOSE(CONTROL!$C$9, $D$9, 100%, $F$9) + CHOOSE(CONTROL!$C$27, 0.0021, 0)</f>
        <v>28.95</v>
      </c>
      <c r="I88" s="14">
        <f>28.9479 * CHOOSE(CONTROL!$C$9, $D$9, 100%, $F$9) + CHOOSE(CONTROL!$C$27, 0.0021, 0)</f>
        <v>28.95</v>
      </c>
      <c r="J88" s="14">
        <f>28.9479 * CHOOSE(CONTROL!$C$9, $D$9, 100%, $F$9) + CHOOSE(CONTROL!$C$27, 0.0021, 0)</f>
        <v>28.95</v>
      </c>
      <c r="K88" s="14">
        <f>28.9479 * CHOOSE(CONTROL!$C$9, $D$9, 100%, $F$9) + CHOOSE(CONTROL!$C$27, 0.0021, 0)</f>
        <v>28.95</v>
      </c>
      <c r="L88" s="14"/>
    </row>
    <row r="89" spans="1:12" ht="15" x14ac:dyDescent="0.2">
      <c r="A89" s="13">
        <v>43617</v>
      </c>
      <c r="B89" s="14">
        <f>29.7704 * CHOOSE(CONTROL!$C$9, $D$9, 100%, $F$9) + CHOOSE(CONTROL!$C$27, 0.0021, 0)</f>
        <v>29.772499999999997</v>
      </c>
      <c r="C89" s="14">
        <f>29.3381 * CHOOSE(CONTROL!$C$9, $D$9, 100%, $F$9) + CHOOSE(CONTROL!$C$27, 0.0021, 0)</f>
        <v>29.340199999999999</v>
      </c>
      <c r="D89" s="14">
        <f>29.3381 * CHOOSE(CONTROL!$C$9, $D$9, 100%, $F$9) + CHOOSE(CONTROL!$C$27, 0.0021, 0)</f>
        <v>29.340199999999999</v>
      </c>
      <c r="E89" s="14">
        <f>29.2015 * CHOOSE(CONTROL!$C$9, $D$9, 100%, $F$9) + CHOOSE(CONTROL!$C$27, 0.0021, 0)</f>
        <v>29.203599999999998</v>
      </c>
      <c r="F89" s="14">
        <f>29.2015 * CHOOSE(CONTROL!$C$9, $D$9, 100%, $F$9) + CHOOSE(CONTROL!$C$27, 0.0021, 0)</f>
        <v>29.203599999999998</v>
      </c>
      <c r="G89" s="14">
        <f>29.4728 * CHOOSE(CONTROL!$C$9, $D$9, 100%, $F$9) + CHOOSE(CONTROL!$C$27, 0.0021, 0)</f>
        <v>29.474899999999998</v>
      </c>
      <c r="H89" s="14">
        <f>29.3381 * CHOOSE(CONTROL!$C$9, $D$9, 100%, $F$9) + CHOOSE(CONTROL!$C$27, 0.0021, 0)</f>
        <v>29.340199999999999</v>
      </c>
      <c r="I89" s="14">
        <f>29.3381 * CHOOSE(CONTROL!$C$9, $D$9, 100%, $F$9) + CHOOSE(CONTROL!$C$27, 0.0021, 0)</f>
        <v>29.340199999999999</v>
      </c>
      <c r="J89" s="14">
        <f>29.3381 * CHOOSE(CONTROL!$C$9, $D$9, 100%, $F$9) + CHOOSE(CONTROL!$C$27, 0.0021, 0)</f>
        <v>29.340199999999999</v>
      </c>
      <c r="K89" s="14">
        <f>29.3381 * CHOOSE(CONTROL!$C$9, $D$9, 100%, $F$9) + CHOOSE(CONTROL!$C$27, 0.0021, 0)</f>
        <v>29.340199999999999</v>
      </c>
      <c r="L89" s="14"/>
    </row>
    <row r="90" spans="1:12" ht="15" x14ac:dyDescent="0.2">
      <c r="A90" s="13">
        <v>43647</v>
      </c>
      <c r="B90" s="14">
        <f>30.3797 * CHOOSE(CONTROL!$C$9, $D$9, 100%, $F$9) + CHOOSE(CONTROL!$C$27, 0.0021, 0)</f>
        <v>30.381799999999998</v>
      </c>
      <c r="C90" s="14">
        <f>29.9475 * CHOOSE(CONTROL!$C$9, $D$9, 100%, $F$9) + CHOOSE(CONTROL!$C$27, 0.0021, 0)</f>
        <v>29.9496</v>
      </c>
      <c r="D90" s="14">
        <f>29.9475 * CHOOSE(CONTROL!$C$9, $D$9, 100%, $F$9) + CHOOSE(CONTROL!$C$27, 0.0021, 0)</f>
        <v>29.9496</v>
      </c>
      <c r="E90" s="14">
        <f>29.8108 * CHOOSE(CONTROL!$C$9, $D$9, 100%, $F$9) + CHOOSE(CONTROL!$C$27, 0.0021, 0)</f>
        <v>29.812899999999999</v>
      </c>
      <c r="F90" s="14">
        <f>29.8108 * CHOOSE(CONTROL!$C$9, $D$9, 100%, $F$9) + CHOOSE(CONTROL!$C$27, 0.0021, 0)</f>
        <v>29.812899999999999</v>
      </c>
      <c r="G90" s="14">
        <f>30.0822 * CHOOSE(CONTROL!$C$9, $D$9, 100%, $F$9) + CHOOSE(CONTROL!$C$27, 0.0021, 0)</f>
        <v>30.084299999999999</v>
      </c>
      <c r="H90" s="14">
        <f>29.9475 * CHOOSE(CONTROL!$C$9, $D$9, 100%, $F$9) + CHOOSE(CONTROL!$C$27, 0.0021, 0)</f>
        <v>29.9496</v>
      </c>
      <c r="I90" s="14">
        <f>29.9475 * CHOOSE(CONTROL!$C$9, $D$9, 100%, $F$9) + CHOOSE(CONTROL!$C$27, 0.0021, 0)</f>
        <v>29.9496</v>
      </c>
      <c r="J90" s="14">
        <f>29.9475 * CHOOSE(CONTROL!$C$9, $D$9, 100%, $F$9) + CHOOSE(CONTROL!$C$27, 0.0021, 0)</f>
        <v>29.9496</v>
      </c>
      <c r="K90" s="14">
        <f>29.9475 * CHOOSE(CONTROL!$C$9, $D$9, 100%, $F$9) + CHOOSE(CONTROL!$C$27, 0.0021, 0)</f>
        <v>29.9496</v>
      </c>
      <c r="L90" s="14"/>
    </row>
    <row r="91" spans="1:12" ht="15" x14ac:dyDescent="0.2">
      <c r="A91" s="13">
        <v>43678</v>
      </c>
      <c r="B91" s="14">
        <f>30.6067 * CHOOSE(CONTROL!$C$9, $D$9, 100%, $F$9) + CHOOSE(CONTROL!$C$27, 0.0021, 0)</f>
        <v>30.608799999999999</v>
      </c>
      <c r="C91" s="14">
        <f>30.1744 * CHOOSE(CONTROL!$C$9, $D$9, 100%, $F$9) + CHOOSE(CONTROL!$C$27, 0.0021, 0)</f>
        <v>30.176499999999997</v>
      </c>
      <c r="D91" s="14">
        <f>30.1744 * CHOOSE(CONTROL!$C$9, $D$9, 100%, $F$9) + CHOOSE(CONTROL!$C$27, 0.0021, 0)</f>
        <v>30.176499999999997</v>
      </c>
      <c r="E91" s="14">
        <f>30.0378 * CHOOSE(CONTROL!$C$9, $D$9, 100%, $F$9) + CHOOSE(CONTROL!$C$27, 0.0021, 0)</f>
        <v>30.039899999999999</v>
      </c>
      <c r="F91" s="14">
        <f>30.0378 * CHOOSE(CONTROL!$C$9, $D$9, 100%, $F$9) + CHOOSE(CONTROL!$C$27, 0.0021, 0)</f>
        <v>30.039899999999999</v>
      </c>
      <c r="G91" s="14">
        <f>30.3091 * CHOOSE(CONTROL!$C$9, $D$9, 100%, $F$9) + CHOOSE(CONTROL!$C$27, 0.0021, 0)</f>
        <v>30.311199999999999</v>
      </c>
      <c r="H91" s="14">
        <f>30.1744 * CHOOSE(CONTROL!$C$9, $D$9, 100%, $F$9) + CHOOSE(CONTROL!$C$27, 0.0021, 0)</f>
        <v>30.176499999999997</v>
      </c>
      <c r="I91" s="14">
        <f>30.1744 * CHOOSE(CONTROL!$C$9, $D$9, 100%, $F$9) + CHOOSE(CONTROL!$C$27, 0.0021, 0)</f>
        <v>30.176499999999997</v>
      </c>
      <c r="J91" s="14">
        <f>30.1744 * CHOOSE(CONTROL!$C$9, $D$9, 100%, $F$9) + CHOOSE(CONTROL!$C$27, 0.0021, 0)</f>
        <v>30.176499999999997</v>
      </c>
      <c r="K91" s="14">
        <f>30.1744 * CHOOSE(CONTROL!$C$9, $D$9, 100%, $F$9) + CHOOSE(CONTROL!$C$27, 0.0021, 0)</f>
        <v>30.176499999999997</v>
      </c>
      <c r="L91" s="14"/>
    </row>
    <row r="92" spans="1:12" ht="15" x14ac:dyDescent="0.2">
      <c r="A92" s="13">
        <v>43709</v>
      </c>
      <c r="B92" s="14">
        <f>31.2419 * CHOOSE(CONTROL!$C$9, $D$9, 100%, $F$9) + CHOOSE(CONTROL!$C$27, 0.0021, 0)</f>
        <v>31.244</v>
      </c>
      <c r="C92" s="14">
        <f>30.8097 * CHOOSE(CONTROL!$C$9, $D$9, 100%, $F$9) + CHOOSE(CONTROL!$C$27, 0.0021, 0)</f>
        <v>30.811799999999998</v>
      </c>
      <c r="D92" s="14">
        <f>30.8097 * CHOOSE(CONTROL!$C$9, $D$9, 100%, $F$9) + CHOOSE(CONTROL!$C$27, 0.0021, 0)</f>
        <v>30.811799999999998</v>
      </c>
      <c r="E92" s="14">
        <f>30.673 * CHOOSE(CONTROL!$C$9, $D$9, 100%, $F$9) + CHOOSE(CONTROL!$C$27, 0.0021, 0)</f>
        <v>30.675099999999997</v>
      </c>
      <c r="F92" s="14">
        <f>30.673 * CHOOSE(CONTROL!$C$9, $D$9, 100%, $F$9) + CHOOSE(CONTROL!$C$27, 0.0021, 0)</f>
        <v>30.675099999999997</v>
      </c>
      <c r="G92" s="14">
        <f>30.9444 * CHOOSE(CONTROL!$C$9, $D$9, 100%, $F$9) + CHOOSE(CONTROL!$C$27, 0.0021, 0)</f>
        <v>30.9465</v>
      </c>
      <c r="H92" s="14">
        <f>30.8097 * CHOOSE(CONTROL!$C$9, $D$9, 100%, $F$9) + CHOOSE(CONTROL!$C$27, 0.0021, 0)</f>
        <v>30.811799999999998</v>
      </c>
      <c r="I92" s="14">
        <f>30.8097 * CHOOSE(CONTROL!$C$9, $D$9, 100%, $F$9) + CHOOSE(CONTROL!$C$27, 0.0021, 0)</f>
        <v>30.811799999999998</v>
      </c>
      <c r="J92" s="14">
        <f>30.8097 * CHOOSE(CONTROL!$C$9, $D$9, 100%, $F$9) + CHOOSE(CONTROL!$C$27, 0.0021, 0)</f>
        <v>30.811799999999998</v>
      </c>
      <c r="K92" s="14">
        <f>30.8097 * CHOOSE(CONTROL!$C$9, $D$9, 100%, $F$9) + CHOOSE(CONTROL!$C$27, 0.0021, 0)</f>
        <v>30.811799999999998</v>
      </c>
      <c r="L92" s="14"/>
    </row>
    <row r="93" spans="1:12" ht="15" x14ac:dyDescent="0.2">
      <c r="A93" s="13">
        <v>43739</v>
      </c>
      <c r="B93" s="14">
        <f>32.0334 * CHOOSE(CONTROL!$C$9, $D$9, 100%, $F$9) + CHOOSE(CONTROL!$C$27, 0.0021, 0)</f>
        <v>32.035499999999999</v>
      </c>
      <c r="C93" s="14">
        <f>31.6012 * CHOOSE(CONTROL!$C$9, $D$9, 100%, $F$9) + CHOOSE(CONTROL!$C$27, 0.0021, 0)</f>
        <v>31.603299999999997</v>
      </c>
      <c r="D93" s="14">
        <f>31.6012 * CHOOSE(CONTROL!$C$9, $D$9, 100%, $F$9) + CHOOSE(CONTROL!$C$27, 0.0021, 0)</f>
        <v>31.603299999999997</v>
      </c>
      <c r="E93" s="14">
        <f>31.4645 * CHOOSE(CONTROL!$C$9, $D$9, 100%, $F$9) + CHOOSE(CONTROL!$C$27, 0.0021, 0)</f>
        <v>31.4666</v>
      </c>
      <c r="F93" s="14">
        <f>31.4645 * CHOOSE(CONTROL!$C$9, $D$9, 100%, $F$9) + CHOOSE(CONTROL!$C$27, 0.0021, 0)</f>
        <v>31.4666</v>
      </c>
      <c r="G93" s="14">
        <f>31.7359 * CHOOSE(CONTROL!$C$9, $D$9, 100%, $F$9) + CHOOSE(CONTROL!$C$27, 0.0021, 0)</f>
        <v>31.738</v>
      </c>
      <c r="H93" s="14">
        <f>31.6012 * CHOOSE(CONTROL!$C$9, $D$9, 100%, $F$9) + CHOOSE(CONTROL!$C$27, 0.0021, 0)</f>
        <v>31.603299999999997</v>
      </c>
      <c r="I93" s="14">
        <f>31.6012 * CHOOSE(CONTROL!$C$9, $D$9, 100%, $F$9) + CHOOSE(CONTROL!$C$27, 0.0021, 0)</f>
        <v>31.603299999999997</v>
      </c>
      <c r="J93" s="14">
        <f>31.6012 * CHOOSE(CONTROL!$C$9, $D$9, 100%, $F$9) + CHOOSE(CONTROL!$C$27, 0.0021, 0)</f>
        <v>31.603299999999997</v>
      </c>
      <c r="K93" s="14">
        <f>31.6012 * CHOOSE(CONTROL!$C$9, $D$9, 100%, $F$9) + CHOOSE(CONTROL!$C$27, 0.0021, 0)</f>
        <v>31.603299999999997</v>
      </c>
      <c r="L93" s="14"/>
    </row>
    <row r="94" spans="1:12" ht="15" x14ac:dyDescent="0.2">
      <c r="A94" s="13">
        <v>43770</v>
      </c>
      <c r="B94" s="14">
        <f>32.1635 * CHOOSE(CONTROL!$C$9, $D$9, 100%, $F$9) + CHOOSE(CONTROL!$C$27, 0.0021, 0)</f>
        <v>32.165599999999998</v>
      </c>
      <c r="C94" s="14">
        <f>31.7313 * CHOOSE(CONTROL!$C$9, $D$9, 100%, $F$9) + CHOOSE(CONTROL!$C$27, 0.0021, 0)</f>
        <v>31.7334</v>
      </c>
      <c r="D94" s="14">
        <f>31.7313 * CHOOSE(CONTROL!$C$9, $D$9, 100%, $F$9) + CHOOSE(CONTROL!$C$27, 0.0021, 0)</f>
        <v>31.7334</v>
      </c>
      <c r="E94" s="14">
        <f>31.5946 * CHOOSE(CONTROL!$C$9, $D$9, 100%, $F$9) + CHOOSE(CONTROL!$C$27, 0.0021, 0)</f>
        <v>31.596699999999998</v>
      </c>
      <c r="F94" s="14">
        <f>31.5946 * CHOOSE(CONTROL!$C$9, $D$9, 100%, $F$9) + CHOOSE(CONTROL!$C$27, 0.0021, 0)</f>
        <v>31.596699999999998</v>
      </c>
      <c r="G94" s="14">
        <f>31.866 * CHOOSE(CONTROL!$C$9, $D$9, 100%, $F$9) + CHOOSE(CONTROL!$C$27, 0.0021, 0)</f>
        <v>31.868099999999998</v>
      </c>
      <c r="H94" s="14">
        <f>31.7313 * CHOOSE(CONTROL!$C$9, $D$9, 100%, $F$9) + CHOOSE(CONTROL!$C$27, 0.0021, 0)</f>
        <v>31.7334</v>
      </c>
      <c r="I94" s="14">
        <f>31.7313 * CHOOSE(CONTROL!$C$9, $D$9, 100%, $F$9) + CHOOSE(CONTROL!$C$27, 0.0021, 0)</f>
        <v>31.7334</v>
      </c>
      <c r="J94" s="14">
        <f>31.7313 * CHOOSE(CONTROL!$C$9, $D$9, 100%, $F$9) + CHOOSE(CONTROL!$C$27, 0.0021, 0)</f>
        <v>31.7334</v>
      </c>
      <c r="K94" s="14">
        <f>31.7313 * CHOOSE(CONTROL!$C$9, $D$9, 100%, $F$9) + CHOOSE(CONTROL!$C$27, 0.0021, 0)</f>
        <v>31.7334</v>
      </c>
      <c r="L94" s="14"/>
    </row>
    <row r="95" spans="1:12" ht="15" x14ac:dyDescent="0.2">
      <c r="A95" s="13">
        <v>43800</v>
      </c>
      <c r="B95" s="14">
        <f>31.6381 * CHOOSE(CONTROL!$C$9, $D$9, 100%, $F$9) + CHOOSE(CONTROL!$C$27, 0.0021, 0)</f>
        <v>31.6402</v>
      </c>
      <c r="C95" s="14">
        <f>31.2059 * CHOOSE(CONTROL!$C$9, $D$9, 100%, $F$9) + CHOOSE(CONTROL!$C$27, 0.0021, 0)</f>
        <v>31.207999999999998</v>
      </c>
      <c r="D95" s="14">
        <f>31.2059 * CHOOSE(CONTROL!$C$9, $D$9, 100%, $F$9) + CHOOSE(CONTROL!$C$27, 0.0021, 0)</f>
        <v>31.207999999999998</v>
      </c>
      <c r="E95" s="14">
        <f>31.0692 * CHOOSE(CONTROL!$C$9, $D$9, 100%, $F$9) + CHOOSE(CONTROL!$C$27, 0.0021, 0)</f>
        <v>31.071299999999997</v>
      </c>
      <c r="F95" s="14">
        <f>31.0692 * CHOOSE(CONTROL!$C$9, $D$9, 100%, $F$9) + CHOOSE(CONTROL!$C$27, 0.0021, 0)</f>
        <v>31.071299999999997</v>
      </c>
      <c r="G95" s="14">
        <f>31.3406 * CHOOSE(CONTROL!$C$9, $D$9, 100%, $F$9) + CHOOSE(CONTROL!$C$27, 0.0021, 0)</f>
        <v>31.342699999999997</v>
      </c>
      <c r="H95" s="14">
        <f>31.2059 * CHOOSE(CONTROL!$C$9, $D$9, 100%, $F$9) + CHOOSE(CONTROL!$C$27, 0.0021, 0)</f>
        <v>31.207999999999998</v>
      </c>
      <c r="I95" s="14">
        <f>31.2059 * CHOOSE(CONTROL!$C$9, $D$9, 100%, $F$9) + CHOOSE(CONTROL!$C$27, 0.0021, 0)</f>
        <v>31.207999999999998</v>
      </c>
      <c r="J95" s="14">
        <f>31.2059 * CHOOSE(CONTROL!$C$9, $D$9, 100%, $F$9) + CHOOSE(CONTROL!$C$27, 0.0021, 0)</f>
        <v>31.207999999999998</v>
      </c>
      <c r="K95" s="14">
        <f>31.2059 * CHOOSE(CONTROL!$C$9, $D$9, 100%, $F$9) + CHOOSE(CONTROL!$C$27, 0.0021, 0)</f>
        <v>31.207999999999998</v>
      </c>
      <c r="L95" s="14"/>
    </row>
    <row r="96" spans="1:12" ht="15" x14ac:dyDescent="0.2">
      <c r="A96" s="13">
        <v>43831</v>
      </c>
      <c r="B96" s="14">
        <f>31.6802 * CHOOSE(CONTROL!$C$9, $D$9, 100%, $F$9) + CHOOSE(CONTROL!$C$27, 0.0021, 0)</f>
        <v>31.682299999999998</v>
      </c>
      <c r="C96" s="14">
        <f>31.248 * CHOOSE(CONTROL!$C$9, $D$9, 100%, $F$9) + CHOOSE(CONTROL!$C$27, 0.0021, 0)</f>
        <v>31.2501</v>
      </c>
      <c r="D96" s="14">
        <f>31.248 * CHOOSE(CONTROL!$C$9, $D$9, 100%, $F$9) + CHOOSE(CONTROL!$C$27, 0.0021, 0)</f>
        <v>31.2501</v>
      </c>
      <c r="E96" s="14">
        <f>31.1113 * CHOOSE(CONTROL!$C$9, $D$9, 100%, $F$9) + CHOOSE(CONTROL!$C$27, 0.0021, 0)</f>
        <v>31.113399999999999</v>
      </c>
      <c r="F96" s="14">
        <f>31.1113 * CHOOSE(CONTROL!$C$9, $D$9, 100%, $F$9) + CHOOSE(CONTROL!$C$27, 0.0021, 0)</f>
        <v>31.113399999999999</v>
      </c>
      <c r="G96" s="14">
        <f>31.3827 * CHOOSE(CONTROL!$C$9, $D$9, 100%, $F$9) + CHOOSE(CONTROL!$C$27, 0.0021, 0)</f>
        <v>31.384799999999998</v>
      </c>
      <c r="H96" s="14">
        <f>31.248 * CHOOSE(CONTROL!$C$9, $D$9, 100%, $F$9) + CHOOSE(CONTROL!$C$27, 0.0021, 0)</f>
        <v>31.2501</v>
      </c>
      <c r="I96" s="14">
        <f>31.248 * CHOOSE(CONTROL!$C$9, $D$9, 100%, $F$9) + CHOOSE(CONTROL!$C$27, 0.0021, 0)</f>
        <v>31.2501</v>
      </c>
      <c r="J96" s="14">
        <f>31.248 * CHOOSE(CONTROL!$C$9, $D$9, 100%, $F$9) + CHOOSE(CONTROL!$C$27, 0.0021, 0)</f>
        <v>31.2501</v>
      </c>
      <c r="K96" s="14">
        <f>31.248 * CHOOSE(CONTROL!$C$9, $D$9, 100%, $F$9) + CHOOSE(CONTROL!$C$27, 0.0021, 0)</f>
        <v>31.2501</v>
      </c>
      <c r="L96" s="14"/>
    </row>
    <row r="97" spans="1:12" ht="15" x14ac:dyDescent="0.2">
      <c r="A97" s="13">
        <v>43862</v>
      </c>
      <c r="B97" s="14">
        <f>30.9078 * CHOOSE(CONTROL!$C$9, $D$9, 100%, $F$9) + CHOOSE(CONTROL!$C$27, 0.0021, 0)</f>
        <v>30.9099</v>
      </c>
      <c r="C97" s="14">
        <f>30.4756 * CHOOSE(CONTROL!$C$9, $D$9, 100%, $F$9) + CHOOSE(CONTROL!$C$27, 0.0021, 0)</f>
        <v>30.477699999999999</v>
      </c>
      <c r="D97" s="14">
        <f>30.4756 * CHOOSE(CONTROL!$C$9, $D$9, 100%, $F$9) + CHOOSE(CONTROL!$C$27, 0.0021, 0)</f>
        <v>30.477699999999999</v>
      </c>
      <c r="E97" s="14">
        <f>30.3389 * CHOOSE(CONTROL!$C$9, $D$9, 100%, $F$9) + CHOOSE(CONTROL!$C$27, 0.0021, 0)</f>
        <v>30.340999999999998</v>
      </c>
      <c r="F97" s="14">
        <f>30.3389 * CHOOSE(CONTROL!$C$9, $D$9, 100%, $F$9) + CHOOSE(CONTROL!$C$27, 0.0021, 0)</f>
        <v>30.340999999999998</v>
      </c>
      <c r="G97" s="14">
        <f>30.6103 * CHOOSE(CONTROL!$C$9, $D$9, 100%, $F$9) + CHOOSE(CONTROL!$C$27, 0.0021, 0)</f>
        <v>30.612399999999997</v>
      </c>
      <c r="H97" s="14">
        <f>30.4756 * CHOOSE(CONTROL!$C$9, $D$9, 100%, $F$9) + CHOOSE(CONTROL!$C$27, 0.0021, 0)</f>
        <v>30.477699999999999</v>
      </c>
      <c r="I97" s="14">
        <f>30.4756 * CHOOSE(CONTROL!$C$9, $D$9, 100%, $F$9) + CHOOSE(CONTROL!$C$27, 0.0021, 0)</f>
        <v>30.477699999999999</v>
      </c>
      <c r="J97" s="14">
        <f>30.4756 * CHOOSE(CONTROL!$C$9, $D$9, 100%, $F$9) + CHOOSE(CONTROL!$C$27, 0.0021, 0)</f>
        <v>30.477699999999999</v>
      </c>
      <c r="K97" s="14">
        <f>30.4756 * CHOOSE(CONTROL!$C$9, $D$9, 100%, $F$9) + CHOOSE(CONTROL!$C$27, 0.0021, 0)</f>
        <v>30.477699999999999</v>
      </c>
      <c r="L97" s="14"/>
    </row>
    <row r="98" spans="1:12" ht="15" x14ac:dyDescent="0.2">
      <c r="A98" s="13">
        <v>43891</v>
      </c>
      <c r="B98" s="14">
        <f>30.6222 * CHOOSE(CONTROL!$C$9, $D$9, 100%, $F$9) + CHOOSE(CONTROL!$C$27, 0.0021, 0)</f>
        <v>30.624299999999998</v>
      </c>
      <c r="C98" s="14">
        <f>30.19 * CHOOSE(CONTROL!$C$9, $D$9, 100%, $F$9) + CHOOSE(CONTROL!$C$27, 0.0021, 0)</f>
        <v>30.1921</v>
      </c>
      <c r="D98" s="14">
        <f>30.19 * CHOOSE(CONTROL!$C$9, $D$9, 100%, $F$9) + CHOOSE(CONTROL!$C$27, 0.0021, 0)</f>
        <v>30.1921</v>
      </c>
      <c r="E98" s="14">
        <f>30.0533 * CHOOSE(CONTROL!$C$9, $D$9, 100%, $F$9) + CHOOSE(CONTROL!$C$27, 0.0021, 0)</f>
        <v>30.055399999999999</v>
      </c>
      <c r="F98" s="14">
        <f>30.0533 * CHOOSE(CONTROL!$C$9, $D$9, 100%, $F$9) + CHOOSE(CONTROL!$C$27, 0.0021, 0)</f>
        <v>30.055399999999999</v>
      </c>
      <c r="G98" s="14">
        <f>30.3247 * CHOOSE(CONTROL!$C$9, $D$9, 100%, $F$9) + CHOOSE(CONTROL!$C$27, 0.0021, 0)</f>
        <v>30.326799999999999</v>
      </c>
      <c r="H98" s="14">
        <f>30.19 * CHOOSE(CONTROL!$C$9, $D$9, 100%, $F$9) + CHOOSE(CONTROL!$C$27, 0.0021, 0)</f>
        <v>30.1921</v>
      </c>
      <c r="I98" s="14">
        <f>30.19 * CHOOSE(CONTROL!$C$9, $D$9, 100%, $F$9) + CHOOSE(CONTROL!$C$27, 0.0021, 0)</f>
        <v>30.1921</v>
      </c>
      <c r="J98" s="14">
        <f>30.19 * CHOOSE(CONTROL!$C$9, $D$9, 100%, $F$9) + CHOOSE(CONTROL!$C$27, 0.0021, 0)</f>
        <v>30.1921</v>
      </c>
      <c r="K98" s="14">
        <f>30.19 * CHOOSE(CONTROL!$C$9, $D$9, 100%, $F$9) + CHOOSE(CONTROL!$C$27, 0.0021, 0)</f>
        <v>30.1921</v>
      </c>
      <c r="L98" s="14"/>
    </row>
    <row r="99" spans="1:12" ht="15" x14ac:dyDescent="0.2">
      <c r="A99" s="13">
        <v>43922</v>
      </c>
      <c r="B99" s="14">
        <f>30.2683 * CHOOSE(CONTROL!$C$9, $D$9, 100%, $F$9) + CHOOSE(CONTROL!$C$27, 0.0021, 0)</f>
        <v>30.270399999999999</v>
      </c>
      <c r="C99" s="14">
        <f>29.8361 * CHOOSE(CONTROL!$C$9, $D$9, 100%, $F$9) + CHOOSE(CONTROL!$C$27, 0.0021, 0)</f>
        <v>29.838199999999997</v>
      </c>
      <c r="D99" s="14">
        <f>29.8361 * CHOOSE(CONTROL!$C$9, $D$9, 100%, $F$9) + CHOOSE(CONTROL!$C$27, 0.0021, 0)</f>
        <v>29.838199999999997</v>
      </c>
      <c r="E99" s="14">
        <f>29.6994 * CHOOSE(CONTROL!$C$9, $D$9, 100%, $F$9) + CHOOSE(CONTROL!$C$27, 0.0021, 0)</f>
        <v>29.701499999999999</v>
      </c>
      <c r="F99" s="14">
        <f>29.6994 * CHOOSE(CONTROL!$C$9, $D$9, 100%, $F$9) + CHOOSE(CONTROL!$C$27, 0.0021, 0)</f>
        <v>29.701499999999999</v>
      </c>
      <c r="G99" s="14">
        <f>29.9708 * CHOOSE(CONTROL!$C$9, $D$9, 100%, $F$9) + CHOOSE(CONTROL!$C$27, 0.0021, 0)</f>
        <v>29.972899999999999</v>
      </c>
      <c r="H99" s="14">
        <f>29.8361 * CHOOSE(CONTROL!$C$9, $D$9, 100%, $F$9) + CHOOSE(CONTROL!$C$27, 0.0021, 0)</f>
        <v>29.838199999999997</v>
      </c>
      <c r="I99" s="14">
        <f>29.8361 * CHOOSE(CONTROL!$C$9, $D$9, 100%, $F$9) + CHOOSE(CONTROL!$C$27, 0.0021, 0)</f>
        <v>29.838199999999997</v>
      </c>
      <c r="J99" s="14">
        <f>29.8361 * CHOOSE(CONTROL!$C$9, $D$9, 100%, $F$9) + CHOOSE(CONTROL!$C$27, 0.0021, 0)</f>
        <v>29.838199999999997</v>
      </c>
      <c r="K99" s="14">
        <f>29.8361 * CHOOSE(CONTROL!$C$9, $D$9, 100%, $F$9) + CHOOSE(CONTROL!$C$27, 0.0021, 0)</f>
        <v>29.838199999999997</v>
      </c>
      <c r="L99" s="14"/>
    </row>
    <row r="100" spans="1:12" ht="15" x14ac:dyDescent="0.2">
      <c r="A100" s="13">
        <v>43952</v>
      </c>
      <c r="B100" s="14">
        <f>30.9146 * CHOOSE(CONTROL!$C$9, $D$9, 100%, $F$9) + CHOOSE(CONTROL!$C$27, 0.0021, 0)</f>
        <v>30.916699999999999</v>
      </c>
      <c r="C100" s="14">
        <f>30.4824 * CHOOSE(CONTROL!$C$9, $D$9, 100%, $F$9) + CHOOSE(CONTROL!$C$27, 0.0021, 0)</f>
        <v>30.484499999999997</v>
      </c>
      <c r="D100" s="14">
        <f>30.4824 * CHOOSE(CONTROL!$C$9, $D$9, 100%, $F$9) + CHOOSE(CONTROL!$C$27, 0.0021, 0)</f>
        <v>30.484499999999997</v>
      </c>
      <c r="E100" s="14">
        <f>30.3457 * CHOOSE(CONTROL!$C$9, $D$9, 100%, $F$9) + CHOOSE(CONTROL!$C$27, 0.0021, 0)</f>
        <v>30.347799999999999</v>
      </c>
      <c r="F100" s="14">
        <f>30.3457 * CHOOSE(CONTROL!$C$9, $D$9, 100%, $F$9) + CHOOSE(CONTROL!$C$27, 0.0021, 0)</f>
        <v>30.347799999999999</v>
      </c>
      <c r="G100" s="14">
        <f>30.6171 * CHOOSE(CONTROL!$C$9, $D$9, 100%, $F$9) + CHOOSE(CONTROL!$C$27, 0.0021, 0)</f>
        <v>30.619199999999999</v>
      </c>
      <c r="H100" s="14">
        <f>30.4824 * CHOOSE(CONTROL!$C$9, $D$9, 100%, $F$9) + CHOOSE(CONTROL!$C$27, 0.0021, 0)</f>
        <v>30.484499999999997</v>
      </c>
      <c r="I100" s="14">
        <f>30.4824 * CHOOSE(CONTROL!$C$9, $D$9, 100%, $F$9) + CHOOSE(CONTROL!$C$27, 0.0021, 0)</f>
        <v>30.484499999999997</v>
      </c>
      <c r="J100" s="14">
        <f>30.4824 * CHOOSE(CONTROL!$C$9, $D$9, 100%, $F$9) + CHOOSE(CONTROL!$C$27, 0.0021, 0)</f>
        <v>30.484499999999997</v>
      </c>
      <c r="K100" s="14">
        <f>30.4824 * CHOOSE(CONTROL!$C$9, $D$9, 100%, $F$9) + CHOOSE(CONTROL!$C$27, 0.0021, 0)</f>
        <v>30.484499999999997</v>
      </c>
      <c r="L100" s="14"/>
    </row>
    <row r="101" spans="1:12" ht="15" x14ac:dyDescent="0.2">
      <c r="A101" s="13">
        <v>43983</v>
      </c>
      <c r="B101" s="14">
        <f>31.3269 * CHOOSE(CONTROL!$C$9, $D$9, 100%, $F$9) + CHOOSE(CONTROL!$C$27, 0.0021, 0)</f>
        <v>31.328999999999997</v>
      </c>
      <c r="C101" s="14">
        <f>30.8947 * CHOOSE(CONTROL!$C$9, $D$9, 100%, $F$9) + CHOOSE(CONTROL!$C$27, 0.0021, 0)</f>
        <v>30.896799999999999</v>
      </c>
      <c r="D101" s="14">
        <f>30.8947 * CHOOSE(CONTROL!$C$9, $D$9, 100%, $F$9) + CHOOSE(CONTROL!$C$27, 0.0021, 0)</f>
        <v>30.896799999999999</v>
      </c>
      <c r="E101" s="14">
        <f>30.758 * CHOOSE(CONTROL!$C$9, $D$9, 100%, $F$9) + CHOOSE(CONTROL!$C$27, 0.0021, 0)</f>
        <v>30.760099999999998</v>
      </c>
      <c r="F101" s="14">
        <f>30.758 * CHOOSE(CONTROL!$C$9, $D$9, 100%, $F$9) + CHOOSE(CONTROL!$C$27, 0.0021, 0)</f>
        <v>30.760099999999998</v>
      </c>
      <c r="G101" s="14">
        <f>31.0294 * CHOOSE(CONTROL!$C$9, $D$9, 100%, $F$9) + CHOOSE(CONTROL!$C$27, 0.0021, 0)</f>
        <v>31.031499999999998</v>
      </c>
      <c r="H101" s="14">
        <f>30.8947 * CHOOSE(CONTROL!$C$9, $D$9, 100%, $F$9) + CHOOSE(CONTROL!$C$27, 0.0021, 0)</f>
        <v>30.896799999999999</v>
      </c>
      <c r="I101" s="14">
        <f>30.8947 * CHOOSE(CONTROL!$C$9, $D$9, 100%, $F$9) + CHOOSE(CONTROL!$C$27, 0.0021, 0)</f>
        <v>30.896799999999999</v>
      </c>
      <c r="J101" s="14">
        <f>30.8947 * CHOOSE(CONTROL!$C$9, $D$9, 100%, $F$9) + CHOOSE(CONTROL!$C$27, 0.0021, 0)</f>
        <v>30.896799999999999</v>
      </c>
      <c r="K101" s="14">
        <f>30.8947 * CHOOSE(CONTROL!$C$9, $D$9, 100%, $F$9) + CHOOSE(CONTROL!$C$27, 0.0021, 0)</f>
        <v>30.896799999999999</v>
      </c>
      <c r="L101" s="14"/>
    </row>
    <row r="102" spans="1:12" ht="15" x14ac:dyDescent="0.2">
      <c r="A102" s="13">
        <v>44013</v>
      </c>
      <c r="B102" s="14">
        <f>31.9708 * CHOOSE(CONTROL!$C$9, $D$9, 100%, $F$9) + CHOOSE(CONTROL!$C$27, 0.0021, 0)</f>
        <v>31.972899999999999</v>
      </c>
      <c r="C102" s="14">
        <f>31.5386 * CHOOSE(CONTROL!$C$9, $D$9, 100%, $F$9) + CHOOSE(CONTROL!$C$27, 0.0021, 0)</f>
        <v>31.540699999999998</v>
      </c>
      <c r="D102" s="14">
        <f>31.5386 * CHOOSE(CONTROL!$C$9, $D$9, 100%, $F$9) + CHOOSE(CONTROL!$C$27, 0.0021, 0)</f>
        <v>31.540699999999998</v>
      </c>
      <c r="E102" s="14">
        <f>31.4019 * CHOOSE(CONTROL!$C$9, $D$9, 100%, $F$9) + CHOOSE(CONTROL!$C$27, 0.0021, 0)</f>
        <v>31.404</v>
      </c>
      <c r="F102" s="14">
        <f>31.4019 * CHOOSE(CONTROL!$C$9, $D$9, 100%, $F$9) + CHOOSE(CONTROL!$C$27, 0.0021, 0)</f>
        <v>31.404</v>
      </c>
      <c r="G102" s="14">
        <f>31.6733 * CHOOSE(CONTROL!$C$9, $D$9, 100%, $F$9) + CHOOSE(CONTROL!$C$27, 0.0021, 0)</f>
        <v>31.6754</v>
      </c>
      <c r="H102" s="14">
        <f>31.5386 * CHOOSE(CONTROL!$C$9, $D$9, 100%, $F$9) + CHOOSE(CONTROL!$C$27, 0.0021, 0)</f>
        <v>31.540699999999998</v>
      </c>
      <c r="I102" s="14">
        <f>31.5386 * CHOOSE(CONTROL!$C$9, $D$9, 100%, $F$9) + CHOOSE(CONTROL!$C$27, 0.0021, 0)</f>
        <v>31.540699999999998</v>
      </c>
      <c r="J102" s="14">
        <f>31.5386 * CHOOSE(CONTROL!$C$9, $D$9, 100%, $F$9) + CHOOSE(CONTROL!$C$27, 0.0021, 0)</f>
        <v>31.540699999999998</v>
      </c>
      <c r="K102" s="14">
        <f>31.5386 * CHOOSE(CONTROL!$C$9, $D$9, 100%, $F$9) + CHOOSE(CONTROL!$C$27, 0.0021, 0)</f>
        <v>31.540699999999998</v>
      </c>
      <c r="L102" s="14"/>
    </row>
    <row r="103" spans="1:12" ht="15" x14ac:dyDescent="0.2">
      <c r="A103" s="13">
        <v>44044</v>
      </c>
      <c r="B103" s="14">
        <f>32.2106 * CHOOSE(CONTROL!$C$9, $D$9, 100%, $F$9) + CHOOSE(CONTROL!$C$27, 0.0021, 0)</f>
        <v>32.212699999999998</v>
      </c>
      <c r="C103" s="14">
        <f>31.7784 * CHOOSE(CONTROL!$C$9, $D$9, 100%, $F$9) + CHOOSE(CONTROL!$C$27, 0.0021, 0)</f>
        <v>31.7805</v>
      </c>
      <c r="D103" s="14">
        <f>31.7784 * CHOOSE(CONTROL!$C$9, $D$9, 100%, $F$9) + CHOOSE(CONTROL!$C$27, 0.0021, 0)</f>
        <v>31.7805</v>
      </c>
      <c r="E103" s="14">
        <f>31.6417 * CHOOSE(CONTROL!$C$9, $D$9, 100%, $F$9) + CHOOSE(CONTROL!$C$27, 0.0021, 0)</f>
        <v>31.643799999999999</v>
      </c>
      <c r="F103" s="14">
        <f>31.6417 * CHOOSE(CONTROL!$C$9, $D$9, 100%, $F$9) + CHOOSE(CONTROL!$C$27, 0.0021, 0)</f>
        <v>31.643799999999999</v>
      </c>
      <c r="G103" s="14">
        <f>31.9131 * CHOOSE(CONTROL!$C$9, $D$9, 100%, $F$9) + CHOOSE(CONTROL!$C$27, 0.0021, 0)</f>
        <v>31.915199999999999</v>
      </c>
      <c r="H103" s="14">
        <f>31.7784 * CHOOSE(CONTROL!$C$9, $D$9, 100%, $F$9) + CHOOSE(CONTROL!$C$27, 0.0021, 0)</f>
        <v>31.7805</v>
      </c>
      <c r="I103" s="14">
        <f>31.7784 * CHOOSE(CONTROL!$C$9, $D$9, 100%, $F$9) + CHOOSE(CONTROL!$C$27, 0.0021, 0)</f>
        <v>31.7805</v>
      </c>
      <c r="J103" s="14">
        <f>31.7784 * CHOOSE(CONTROL!$C$9, $D$9, 100%, $F$9) + CHOOSE(CONTROL!$C$27, 0.0021, 0)</f>
        <v>31.7805</v>
      </c>
      <c r="K103" s="14">
        <f>31.7784 * CHOOSE(CONTROL!$C$9, $D$9, 100%, $F$9) + CHOOSE(CONTROL!$C$27, 0.0021, 0)</f>
        <v>31.7805</v>
      </c>
      <c r="L103" s="14"/>
    </row>
    <row r="104" spans="1:12" ht="15" x14ac:dyDescent="0.2">
      <c r="A104" s="13">
        <v>44075</v>
      </c>
      <c r="B104" s="14">
        <f>32.8819 * CHOOSE(CONTROL!$C$9, $D$9, 100%, $F$9) + CHOOSE(CONTROL!$C$27, 0.0021, 0)</f>
        <v>32.884</v>
      </c>
      <c r="C104" s="14">
        <f>32.4496 * CHOOSE(CONTROL!$C$9, $D$9, 100%, $F$9) + CHOOSE(CONTROL!$C$27, 0.0021, 0)</f>
        <v>32.451699999999995</v>
      </c>
      <c r="D104" s="14">
        <f>32.4496 * CHOOSE(CONTROL!$C$9, $D$9, 100%, $F$9) + CHOOSE(CONTROL!$C$27, 0.0021, 0)</f>
        <v>32.451699999999995</v>
      </c>
      <c r="E104" s="14">
        <f>32.313 * CHOOSE(CONTROL!$C$9, $D$9, 100%, $F$9) + CHOOSE(CONTROL!$C$27, 0.0021, 0)</f>
        <v>32.315100000000001</v>
      </c>
      <c r="F104" s="14">
        <f>32.313 * CHOOSE(CONTROL!$C$9, $D$9, 100%, $F$9) + CHOOSE(CONTROL!$C$27, 0.0021, 0)</f>
        <v>32.315100000000001</v>
      </c>
      <c r="G104" s="14">
        <f>32.5844 * CHOOSE(CONTROL!$C$9, $D$9, 100%, $F$9) + CHOOSE(CONTROL!$C$27, 0.0021, 0)</f>
        <v>32.586500000000001</v>
      </c>
      <c r="H104" s="14">
        <f>32.4496 * CHOOSE(CONTROL!$C$9, $D$9, 100%, $F$9) + CHOOSE(CONTROL!$C$27, 0.0021, 0)</f>
        <v>32.451699999999995</v>
      </c>
      <c r="I104" s="14">
        <f>32.4496 * CHOOSE(CONTROL!$C$9, $D$9, 100%, $F$9) + CHOOSE(CONTROL!$C$27, 0.0021, 0)</f>
        <v>32.451699999999995</v>
      </c>
      <c r="J104" s="14">
        <f>32.4496 * CHOOSE(CONTROL!$C$9, $D$9, 100%, $F$9) + CHOOSE(CONTROL!$C$27, 0.0021, 0)</f>
        <v>32.451699999999995</v>
      </c>
      <c r="K104" s="14">
        <f>32.4496 * CHOOSE(CONTROL!$C$9, $D$9, 100%, $F$9) + CHOOSE(CONTROL!$C$27, 0.0021, 0)</f>
        <v>32.451699999999995</v>
      </c>
      <c r="L104" s="14"/>
    </row>
    <row r="105" spans="1:12" ht="15" x14ac:dyDescent="0.2">
      <c r="A105" s="13">
        <v>44105</v>
      </c>
      <c r="B105" s="14">
        <f>33.7182 * CHOOSE(CONTROL!$C$9, $D$9, 100%, $F$9) + CHOOSE(CONTROL!$C$27, 0.0021, 0)</f>
        <v>33.720300000000002</v>
      </c>
      <c r="C105" s="14">
        <f>33.2859 * CHOOSE(CONTROL!$C$9, $D$9, 100%, $F$9) + CHOOSE(CONTROL!$C$27, 0.0021, 0)</f>
        <v>33.287999999999997</v>
      </c>
      <c r="D105" s="14">
        <f>33.2859 * CHOOSE(CONTROL!$C$9, $D$9, 100%, $F$9) + CHOOSE(CONTROL!$C$27, 0.0021, 0)</f>
        <v>33.287999999999997</v>
      </c>
      <c r="E105" s="14">
        <f>33.1493 * CHOOSE(CONTROL!$C$9, $D$9, 100%, $F$9) + CHOOSE(CONTROL!$C$27, 0.0021, 0)</f>
        <v>33.151399999999995</v>
      </c>
      <c r="F105" s="14">
        <f>33.1493 * CHOOSE(CONTROL!$C$9, $D$9, 100%, $F$9) + CHOOSE(CONTROL!$C$27, 0.0021, 0)</f>
        <v>33.151399999999995</v>
      </c>
      <c r="G105" s="14">
        <f>33.4207 * CHOOSE(CONTROL!$C$9, $D$9, 100%, $F$9) + CHOOSE(CONTROL!$C$27, 0.0021, 0)</f>
        <v>33.422799999999995</v>
      </c>
      <c r="H105" s="14">
        <f>33.2859 * CHOOSE(CONTROL!$C$9, $D$9, 100%, $F$9) + CHOOSE(CONTROL!$C$27, 0.0021, 0)</f>
        <v>33.287999999999997</v>
      </c>
      <c r="I105" s="14">
        <f>33.2859 * CHOOSE(CONTROL!$C$9, $D$9, 100%, $F$9) + CHOOSE(CONTROL!$C$27, 0.0021, 0)</f>
        <v>33.287999999999997</v>
      </c>
      <c r="J105" s="14">
        <f>33.2859 * CHOOSE(CONTROL!$C$9, $D$9, 100%, $F$9) + CHOOSE(CONTROL!$C$27, 0.0021, 0)</f>
        <v>33.287999999999997</v>
      </c>
      <c r="K105" s="14">
        <f>33.2859 * CHOOSE(CONTROL!$C$9, $D$9, 100%, $F$9) + CHOOSE(CONTROL!$C$27, 0.0021, 0)</f>
        <v>33.287999999999997</v>
      </c>
      <c r="L105" s="14"/>
    </row>
    <row r="106" spans="1:12" ht="15" x14ac:dyDescent="0.2">
      <c r="A106" s="13">
        <v>44136</v>
      </c>
      <c r="B106" s="14">
        <f>33.8557 * CHOOSE(CONTROL!$C$9, $D$9, 100%, $F$9) + CHOOSE(CONTROL!$C$27, 0.0021, 0)</f>
        <v>33.857799999999997</v>
      </c>
      <c r="C106" s="14">
        <f>33.4234 * CHOOSE(CONTROL!$C$9, $D$9, 100%, $F$9) + CHOOSE(CONTROL!$C$27, 0.0021, 0)</f>
        <v>33.4255</v>
      </c>
      <c r="D106" s="14">
        <f>33.4234 * CHOOSE(CONTROL!$C$9, $D$9, 100%, $F$9) + CHOOSE(CONTROL!$C$27, 0.0021, 0)</f>
        <v>33.4255</v>
      </c>
      <c r="E106" s="14">
        <f>33.2868 * CHOOSE(CONTROL!$C$9, $D$9, 100%, $F$9) + CHOOSE(CONTROL!$C$27, 0.0021, 0)</f>
        <v>33.288899999999998</v>
      </c>
      <c r="F106" s="14">
        <f>33.2868 * CHOOSE(CONTROL!$C$9, $D$9, 100%, $F$9) + CHOOSE(CONTROL!$C$27, 0.0021, 0)</f>
        <v>33.288899999999998</v>
      </c>
      <c r="G106" s="14">
        <f>33.5581 * CHOOSE(CONTROL!$C$9, $D$9, 100%, $F$9) + CHOOSE(CONTROL!$C$27, 0.0021, 0)</f>
        <v>33.560200000000002</v>
      </c>
      <c r="H106" s="14">
        <f>33.4234 * CHOOSE(CONTROL!$C$9, $D$9, 100%, $F$9) + CHOOSE(CONTROL!$C$27, 0.0021, 0)</f>
        <v>33.4255</v>
      </c>
      <c r="I106" s="14">
        <f>33.4234 * CHOOSE(CONTROL!$C$9, $D$9, 100%, $F$9) + CHOOSE(CONTROL!$C$27, 0.0021, 0)</f>
        <v>33.4255</v>
      </c>
      <c r="J106" s="14">
        <f>33.4234 * CHOOSE(CONTROL!$C$9, $D$9, 100%, $F$9) + CHOOSE(CONTROL!$C$27, 0.0021, 0)</f>
        <v>33.4255</v>
      </c>
      <c r="K106" s="14">
        <f>33.4234 * CHOOSE(CONTROL!$C$9, $D$9, 100%, $F$9) + CHOOSE(CONTROL!$C$27, 0.0021, 0)</f>
        <v>33.4255</v>
      </c>
      <c r="L106" s="14"/>
    </row>
    <row r="107" spans="1:12" ht="15" x14ac:dyDescent="0.2">
      <c r="A107" s="13">
        <v>44166</v>
      </c>
      <c r="B107" s="14">
        <f>33.3005 * CHOOSE(CONTROL!$C$9, $D$9, 100%, $F$9) + CHOOSE(CONTROL!$C$27, 0.0021, 0)</f>
        <v>33.302599999999998</v>
      </c>
      <c r="C107" s="14">
        <f>32.8683 * CHOOSE(CONTROL!$C$9, $D$9, 100%, $F$9) + CHOOSE(CONTROL!$C$27, 0.0021, 0)</f>
        <v>32.870399999999997</v>
      </c>
      <c r="D107" s="14">
        <f>32.8683 * CHOOSE(CONTROL!$C$9, $D$9, 100%, $F$9) + CHOOSE(CONTROL!$C$27, 0.0021, 0)</f>
        <v>32.870399999999997</v>
      </c>
      <c r="E107" s="14">
        <f>32.7316 * CHOOSE(CONTROL!$C$9, $D$9, 100%, $F$9) + CHOOSE(CONTROL!$C$27, 0.0021, 0)</f>
        <v>32.733699999999999</v>
      </c>
      <c r="F107" s="14">
        <f>32.7316 * CHOOSE(CONTROL!$C$9, $D$9, 100%, $F$9) + CHOOSE(CONTROL!$C$27, 0.0021, 0)</f>
        <v>32.733699999999999</v>
      </c>
      <c r="G107" s="14">
        <f>33.003 * CHOOSE(CONTROL!$C$9, $D$9, 100%, $F$9) + CHOOSE(CONTROL!$C$27, 0.0021, 0)</f>
        <v>33.005099999999999</v>
      </c>
      <c r="H107" s="14">
        <f>32.8683 * CHOOSE(CONTROL!$C$9, $D$9, 100%, $F$9) + CHOOSE(CONTROL!$C$27, 0.0021, 0)</f>
        <v>32.870399999999997</v>
      </c>
      <c r="I107" s="14">
        <f>32.8683 * CHOOSE(CONTROL!$C$9, $D$9, 100%, $F$9) + CHOOSE(CONTROL!$C$27, 0.0021, 0)</f>
        <v>32.870399999999997</v>
      </c>
      <c r="J107" s="14">
        <f>32.8683 * CHOOSE(CONTROL!$C$9, $D$9, 100%, $F$9) + CHOOSE(CONTROL!$C$27, 0.0021, 0)</f>
        <v>32.870399999999997</v>
      </c>
      <c r="K107" s="14">
        <f>32.8683 * CHOOSE(CONTROL!$C$9, $D$9, 100%, $F$9) + CHOOSE(CONTROL!$C$27, 0.0021, 0)</f>
        <v>32.870399999999997</v>
      </c>
      <c r="L107" s="14"/>
    </row>
    <row r="108" spans="1:12" ht="15" x14ac:dyDescent="0.2">
      <c r="A108" s="13">
        <v>44197</v>
      </c>
      <c r="B108" s="14">
        <f>33.9389 * CHOOSE(CONTROL!$C$9, $D$9, 100%, $F$9) + CHOOSE(CONTROL!$C$27, 0.0021, 0)</f>
        <v>33.940999999999995</v>
      </c>
      <c r="C108" s="14">
        <f>33.5067 * CHOOSE(CONTROL!$C$9, $D$9, 100%, $F$9) + CHOOSE(CONTROL!$C$27, 0.0021, 0)</f>
        <v>33.508800000000001</v>
      </c>
      <c r="D108" s="14">
        <f>33.5067 * CHOOSE(CONTROL!$C$9, $D$9, 100%, $F$9) + CHOOSE(CONTROL!$C$27, 0.0021, 0)</f>
        <v>33.508800000000001</v>
      </c>
      <c r="E108" s="14">
        <f>33.37 * CHOOSE(CONTROL!$C$9, $D$9, 100%, $F$9) + CHOOSE(CONTROL!$C$27, 0.0021, 0)</f>
        <v>33.372099999999996</v>
      </c>
      <c r="F108" s="14">
        <f>33.37 * CHOOSE(CONTROL!$C$9, $D$9, 100%, $F$9) + CHOOSE(CONTROL!$C$27, 0.0021, 0)</f>
        <v>33.372099999999996</v>
      </c>
      <c r="G108" s="14">
        <f>33.6414 * CHOOSE(CONTROL!$C$9, $D$9, 100%, $F$9) + CHOOSE(CONTROL!$C$27, 0.0021, 0)</f>
        <v>33.643499999999996</v>
      </c>
      <c r="H108" s="14">
        <f>33.5067 * CHOOSE(CONTROL!$C$9, $D$9, 100%, $F$9) + CHOOSE(CONTROL!$C$27, 0.0021, 0)</f>
        <v>33.508800000000001</v>
      </c>
      <c r="I108" s="14">
        <f>33.5067 * CHOOSE(CONTROL!$C$9, $D$9, 100%, $F$9) + CHOOSE(CONTROL!$C$27, 0.0021, 0)</f>
        <v>33.508800000000001</v>
      </c>
      <c r="J108" s="14">
        <f>33.5067 * CHOOSE(CONTROL!$C$9, $D$9, 100%, $F$9) + CHOOSE(CONTROL!$C$27, 0.0021, 0)</f>
        <v>33.508800000000001</v>
      </c>
      <c r="K108" s="14">
        <f>33.5067 * CHOOSE(CONTROL!$C$9, $D$9, 100%, $F$9) + CHOOSE(CONTROL!$C$27, 0.0021, 0)</f>
        <v>33.508800000000001</v>
      </c>
      <c r="L108" s="14"/>
    </row>
    <row r="109" spans="1:12" ht="15" x14ac:dyDescent="0.2">
      <c r="A109" s="13">
        <v>44228</v>
      </c>
      <c r="B109" s="14">
        <f>33.1071 * CHOOSE(CONTROL!$C$9, $D$9, 100%, $F$9) + CHOOSE(CONTROL!$C$27, 0.0021, 0)</f>
        <v>33.109200000000001</v>
      </c>
      <c r="C109" s="14">
        <f>32.6749 * CHOOSE(CONTROL!$C$9, $D$9, 100%, $F$9) + CHOOSE(CONTROL!$C$27, 0.0021, 0)</f>
        <v>32.677</v>
      </c>
      <c r="D109" s="14">
        <f>32.6749 * CHOOSE(CONTROL!$C$9, $D$9, 100%, $F$9) + CHOOSE(CONTROL!$C$27, 0.0021, 0)</f>
        <v>32.677</v>
      </c>
      <c r="E109" s="14">
        <f>32.5382 * CHOOSE(CONTROL!$C$9, $D$9, 100%, $F$9) + CHOOSE(CONTROL!$C$27, 0.0021, 0)</f>
        <v>32.540300000000002</v>
      </c>
      <c r="F109" s="14">
        <f>32.5382 * CHOOSE(CONTROL!$C$9, $D$9, 100%, $F$9) + CHOOSE(CONTROL!$C$27, 0.0021, 0)</f>
        <v>32.540300000000002</v>
      </c>
      <c r="G109" s="14">
        <f>32.8096 * CHOOSE(CONTROL!$C$9, $D$9, 100%, $F$9) + CHOOSE(CONTROL!$C$27, 0.0021, 0)</f>
        <v>32.811700000000002</v>
      </c>
      <c r="H109" s="14">
        <f>32.6749 * CHOOSE(CONTROL!$C$9, $D$9, 100%, $F$9) + CHOOSE(CONTROL!$C$27, 0.0021, 0)</f>
        <v>32.677</v>
      </c>
      <c r="I109" s="14">
        <f>32.6749 * CHOOSE(CONTROL!$C$9, $D$9, 100%, $F$9) + CHOOSE(CONTROL!$C$27, 0.0021, 0)</f>
        <v>32.677</v>
      </c>
      <c r="J109" s="14">
        <f>32.6749 * CHOOSE(CONTROL!$C$9, $D$9, 100%, $F$9) + CHOOSE(CONTROL!$C$27, 0.0021, 0)</f>
        <v>32.677</v>
      </c>
      <c r="K109" s="14">
        <f>32.6749 * CHOOSE(CONTROL!$C$9, $D$9, 100%, $F$9) + CHOOSE(CONTROL!$C$27, 0.0021, 0)</f>
        <v>32.677</v>
      </c>
      <c r="L109" s="14"/>
    </row>
    <row r="110" spans="1:12" ht="15" x14ac:dyDescent="0.2">
      <c r="A110" s="13">
        <v>44256</v>
      </c>
      <c r="B110" s="14">
        <f>32.7995 * CHOOSE(CONTROL!$C$9, $D$9, 100%, $F$9) + CHOOSE(CONTROL!$C$27, 0.0021, 0)</f>
        <v>32.801600000000001</v>
      </c>
      <c r="C110" s="14">
        <f>32.3673 * CHOOSE(CONTROL!$C$9, $D$9, 100%, $F$9) + CHOOSE(CONTROL!$C$27, 0.0021, 0)</f>
        <v>32.369399999999999</v>
      </c>
      <c r="D110" s="14">
        <f>32.3673 * CHOOSE(CONTROL!$C$9, $D$9, 100%, $F$9) + CHOOSE(CONTROL!$C$27, 0.0021, 0)</f>
        <v>32.369399999999999</v>
      </c>
      <c r="E110" s="14">
        <f>32.2306 * CHOOSE(CONTROL!$C$9, $D$9, 100%, $F$9) + CHOOSE(CONTROL!$C$27, 0.0021, 0)</f>
        <v>32.232700000000001</v>
      </c>
      <c r="F110" s="14">
        <f>32.2306 * CHOOSE(CONTROL!$C$9, $D$9, 100%, $F$9) + CHOOSE(CONTROL!$C$27, 0.0021, 0)</f>
        <v>32.232700000000001</v>
      </c>
      <c r="G110" s="14">
        <f>32.502 * CHOOSE(CONTROL!$C$9, $D$9, 100%, $F$9) + CHOOSE(CONTROL!$C$27, 0.0021, 0)</f>
        <v>32.504100000000001</v>
      </c>
      <c r="H110" s="14">
        <f>32.3673 * CHOOSE(CONTROL!$C$9, $D$9, 100%, $F$9) + CHOOSE(CONTROL!$C$27, 0.0021, 0)</f>
        <v>32.369399999999999</v>
      </c>
      <c r="I110" s="14">
        <f>32.3673 * CHOOSE(CONTROL!$C$9, $D$9, 100%, $F$9) + CHOOSE(CONTROL!$C$27, 0.0021, 0)</f>
        <v>32.369399999999999</v>
      </c>
      <c r="J110" s="14">
        <f>32.3673 * CHOOSE(CONTROL!$C$9, $D$9, 100%, $F$9) + CHOOSE(CONTROL!$C$27, 0.0021, 0)</f>
        <v>32.369399999999999</v>
      </c>
      <c r="K110" s="14">
        <f>32.3673 * CHOOSE(CONTROL!$C$9, $D$9, 100%, $F$9) + CHOOSE(CONTROL!$C$27, 0.0021, 0)</f>
        <v>32.369399999999999</v>
      </c>
      <c r="L110" s="14"/>
    </row>
    <row r="111" spans="1:12" ht="15" x14ac:dyDescent="0.2">
      <c r="A111" s="13">
        <v>44287</v>
      </c>
      <c r="B111" s="14">
        <f>32.4185 * CHOOSE(CONTROL!$C$9, $D$9, 100%, $F$9) + CHOOSE(CONTROL!$C$27, 0.0021, 0)</f>
        <v>32.4206</v>
      </c>
      <c r="C111" s="14">
        <f>31.9862 * CHOOSE(CONTROL!$C$9, $D$9, 100%, $F$9) + CHOOSE(CONTROL!$C$27, 0.0021, 0)</f>
        <v>31.988299999999999</v>
      </c>
      <c r="D111" s="14">
        <f>31.9862 * CHOOSE(CONTROL!$C$9, $D$9, 100%, $F$9) + CHOOSE(CONTROL!$C$27, 0.0021, 0)</f>
        <v>31.988299999999999</v>
      </c>
      <c r="E111" s="14">
        <f>31.8495 * CHOOSE(CONTROL!$C$9, $D$9, 100%, $F$9) + CHOOSE(CONTROL!$C$27, 0.0021, 0)</f>
        <v>31.851599999999998</v>
      </c>
      <c r="F111" s="14">
        <f>31.8495 * CHOOSE(CONTROL!$C$9, $D$9, 100%, $F$9) + CHOOSE(CONTROL!$C$27, 0.0021, 0)</f>
        <v>31.851599999999998</v>
      </c>
      <c r="G111" s="14">
        <f>32.1209 * CHOOSE(CONTROL!$C$9, $D$9, 100%, $F$9) + CHOOSE(CONTROL!$C$27, 0.0021, 0)</f>
        <v>32.122999999999998</v>
      </c>
      <c r="H111" s="14">
        <f>31.9862 * CHOOSE(CONTROL!$C$9, $D$9, 100%, $F$9) + CHOOSE(CONTROL!$C$27, 0.0021, 0)</f>
        <v>31.988299999999999</v>
      </c>
      <c r="I111" s="14">
        <f>31.9862 * CHOOSE(CONTROL!$C$9, $D$9, 100%, $F$9) + CHOOSE(CONTROL!$C$27, 0.0021, 0)</f>
        <v>31.988299999999999</v>
      </c>
      <c r="J111" s="14">
        <f>31.9862 * CHOOSE(CONTROL!$C$9, $D$9, 100%, $F$9) + CHOOSE(CONTROL!$C$27, 0.0021, 0)</f>
        <v>31.988299999999999</v>
      </c>
      <c r="K111" s="14">
        <f>31.9862 * CHOOSE(CONTROL!$C$9, $D$9, 100%, $F$9) + CHOOSE(CONTROL!$C$27, 0.0021, 0)</f>
        <v>31.988299999999999</v>
      </c>
      <c r="L111" s="14"/>
    </row>
    <row r="112" spans="1:12" ht="15" x14ac:dyDescent="0.2">
      <c r="A112" s="13">
        <v>44317</v>
      </c>
      <c r="B112" s="14">
        <f>33.1145 * CHOOSE(CONTROL!$C$9, $D$9, 100%, $F$9) + CHOOSE(CONTROL!$C$27, 0.0021, 0)</f>
        <v>33.116599999999998</v>
      </c>
      <c r="C112" s="14">
        <f>32.6822 * CHOOSE(CONTROL!$C$9, $D$9, 100%, $F$9) + CHOOSE(CONTROL!$C$27, 0.0021, 0)</f>
        <v>32.6843</v>
      </c>
      <c r="D112" s="14">
        <f>32.6822 * CHOOSE(CONTROL!$C$9, $D$9, 100%, $F$9) + CHOOSE(CONTROL!$C$27, 0.0021, 0)</f>
        <v>32.6843</v>
      </c>
      <c r="E112" s="14">
        <f>32.5456 * CHOOSE(CONTROL!$C$9, $D$9, 100%, $F$9) + CHOOSE(CONTROL!$C$27, 0.0021, 0)</f>
        <v>32.547699999999999</v>
      </c>
      <c r="F112" s="14">
        <f>32.5456 * CHOOSE(CONTROL!$C$9, $D$9, 100%, $F$9) + CHOOSE(CONTROL!$C$27, 0.0021, 0)</f>
        <v>32.547699999999999</v>
      </c>
      <c r="G112" s="14">
        <f>32.8169 * CHOOSE(CONTROL!$C$9, $D$9, 100%, $F$9) + CHOOSE(CONTROL!$C$27, 0.0021, 0)</f>
        <v>32.818999999999996</v>
      </c>
      <c r="H112" s="14">
        <f>32.6822 * CHOOSE(CONTROL!$C$9, $D$9, 100%, $F$9) + CHOOSE(CONTROL!$C$27, 0.0021, 0)</f>
        <v>32.6843</v>
      </c>
      <c r="I112" s="14">
        <f>32.6822 * CHOOSE(CONTROL!$C$9, $D$9, 100%, $F$9) + CHOOSE(CONTROL!$C$27, 0.0021, 0)</f>
        <v>32.6843</v>
      </c>
      <c r="J112" s="14">
        <f>32.6822 * CHOOSE(CONTROL!$C$9, $D$9, 100%, $F$9) + CHOOSE(CONTROL!$C$27, 0.0021, 0)</f>
        <v>32.6843</v>
      </c>
      <c r="K112" s="14">
        <f>32.6822 * CHOOSE(CONTROL!$C$9, $D$9, 100%, $F$9) + CHOOSE(CONTROL!$C$27, 0.0021, 0)</f>
        <v>32.6843</v>
      </c>
      <c r="L112" s="14"/>
    </row>
    <row r="113" spans="1:12" ht="15" x14ac:dyDescent="0.2">
      <c r="A113" s="13">
        <v>44348</v>
      </c>
      <c r="B113" s="14">
        <f>33.5585 * CHOOSE(CONTROL!$C$9, $D$9, 100%, $F$9) + CHOOSE(CONTROL!$C$27, 0.0021, 0)</f>
        <v>33.560600000000001</v>
      </c>
      <c r="C113" s="14">
        <f>33.1262 * CHOOSE(CONTROL!$C$9, $D$9, 100%, $F$9) + CHOOSE(CONTROL!$C$27, 0.0021, 0)</f>
        <v>33.128299999999996</v>
      </c>
      <c r="D113" s="14">
        <f>33.1262 * CHOOSE(CONTROL!$C$9, $D$9, 100%, $F$9) + CHOOSE(CONTROL!$C$27, 0.0021, 0)</f>
        <v>33.128299999999996</v>
      </c>
      <c r="E113" s="14">
        <f>32.9896 * CHOOSE(CONTROL!$C$9, $D$9, 100%, $F$9) + CHOOSE(CONTROL!$C$27, 0.0021, 0)</f>
        <v>32.991700000000002</v>
      </c>
      <c r="F113" s="14">
        <f>32.9896 * CHOOSE(CONTROL!$C$9, $D$9, 100%, $F$9) + CHOOSE(CONTROL!$C$27, 0.0021, 0)</f>
        <v>32.991700000000002</v>
      </c>
      <c r="G113" s="14">
        <f>33.2609 * CHOOSE(CONTROL!$C$9, $D$9, 100%, $F$9) + CHOOSE(CONTROL!$C$27, 0.0021, 0)</f>
        <v>33.262999999999998</v>
      </c>
      <c r="H113" s="14">
        <f>33.1262 * CHOOSE(CONTROL!$C$9, $D$9, 100%, $F$9) + CHOOSE(CONTROL!$C$27, 0.0021, 0)</f>
        <v>33.128299999999996</v>
      </c>
      <c r="I113" s="14">
        <f>33.1262 * CHOOSE(CONTROL!$C$9, $D$9, 100%, $F$9) + CHOOSE(CONTROL!$C$27, 0.0021, 0)</f>
        <v>33.128299999999996</v>
      </c>
      <c r="J113" s="14">
        <f>33.1262 * CHOOSE(CONTROL!$C$9, $D$9, 100%, $F$9) + CHOOSE(CONTROL!$C$27, 0.0021, 0)</f>
        <v>33.128299999999996</v>
      </c>
      <c r="K113" s="14">
        <f>33.1262 * CHOOSE(CONTROL!$C$9, $D$9, 100%, $F$9) + CHOOSE(CONTROL!$C$27, 0.0021, 0)</f>
        <v>33.128299999999996</v>
      </c>
      <c r="L113" s="14"/>
    </row>
    <row r="114" spans="1:12" ht="15" x14ac:dyDescent="0.2">
      <c r="A114" s="13">
        <v>44378</v>
      </c>
      <c r="B114" s="14">
        <f>34.2518 * CHOOSE(CONTROL!$C$9, $D$9, 100%, $F$9) + CHOOSE(CONTROL!$C$27, 0.0021, 0)</f>
        <v>34.253900000000002</v>
      </c>
      <c r="C114" s="14">
        <f>33.8196 * CHOOSE(CONTROL!$C$9, $D$9, 100%, $F$9) + CHOOSE(CONTROL!$C$27, 0.0021, 0)</f>
        <v>33.8217</v>
      </c>
      <c r="D114" s="14">
        <f>33.8196 * CHOOSE(CONTROL!$C$9, $D$9, 100%, $F$9) + CHOOSE(CONTROL!$C$27, 0.0021, 0)</f>
        <v>33.8217</v>
      </c>
      <c r="E114" s="14">
        <f>33.6829 * CHOOSE(CONTROL!$C$9, $D$9, 100%, $F$9) + CHOOSE(CONTROL!$C$27, 0.0021, 0)</f>
        <v>33.684999999999995</v>
      </c>
      <c r="F114" s="14">
        <f>33.6829 * CHOOSE(CONTROL!$C$9, $D$9, 100%, $F$9) + CHOOSE(CONTROL!$C$27, 0.0021, 0)</f>
        <v>33.684999999999995</v>
      </c>
      <c r="G114" s="14">
        <f>33.9543 * CHOOSE(CONTROL!$C$9, $D$9, 100%, $F$9) + CHOOSE(CONTROL!$C$27, 0.0021, 0)</f>
        <v>33.956400000000002</v>
      </c>
      <c r="H114" s="14">
        <f>33.8196 * CHOOSE(CONTROL!$C$9, $D$9, 100%, $F$9) + CHOOSE(CONTROL!$C$27, 0.0021, 0)</f>
        <v>33.8217</v>
      </c>
      <c r="I114" s="14">
        <f>33.8196 * CHOOSE(CONTROL!$C$9, $D$9, 100%, $F$9) + CHOOSE(CONTROL!$C$27, 0.0021, 0)</f>
        <v>33.8217</v>
      </c>
      <c r="J114" s="14">
        <f>33.8196 * CHOOSE(CONTROL!$C$9, $D$9, 100%, $F$9) + CHOOSE(CONTROL!$C$27, 0.0021, 0)</f>
        <v>33.8217</v>
      </c>
      <c r="K114" s="14">
        <f>33.8196 * CHOOSE(CONTROL!$C$9, $D$9, 100%, $F$9) + CHOOSE(CONTROL!$C$27, 0.0021, 0)</f>
        <v>33.8217</v>
      </c>
      <c r="L114" s="14"/>
    </row>
    <row r="115" spans="1:12" ht="15" x14ac:dyDescent="0.2">
      <c r="A115" s="13">
        <v>44409</v>
      </c>
      <c r="B115" s="14">
        <f>34.5101 * CHOOSE(CONTROL!$C$9, $D$9, 100%, $F$9) + CHOOSE(CONTROL!$C$27, 0.0021, 0)</f>
        <v>34.5122</v>
      </c>
      <c r="C115" s="14">
        <f>34.0778 * CHOOSE(CONTROL!$C$9, $D$9, 100%, $F$9) + CHOOSE(CONTROL!$C$27, 0.0021, 0)</f>
        <v>34.079900000000002</v>
      </c>
      <c r="D115" s="14">
        <f>34.0778 * CHOOSE(CONTROL!$C$9, $D$9, 100%, $F$9) + CHOOSE(CONTROL!$C$27, 0.0021, 0)</f>
        <v>34.079900000000002</v>
      </c>
      <c r="E115" s="14">
        <f>33.9412 * CHOOSE(CONTROL!$C$9, $D$9, 100%, $F$9) + CHOOSE(CONTROL!$C$27, 0.0021, 0)</f>
        <v>33.943300000000001</v>
      </c>
      <c r="F115" s="14">
        <f>33.9412 * CHOOSE(CONTROL!$C$9, $D$9, 100%, $F$9) + CHOOSE(CONTROL!$C$27, 0.0021, 0)</f>
        <v>33.943300000000001</v>
      </c>
      <c r="G115" s="14">
        <f>34.2125 * CHOOSE(CONTROL!$C$9, $D$9, 100%, $F$9) + CHOOSE(CONTROL!$C$27, 0.0021, 0)</f>
        <v>34.214599999999997</v>
      </c>
      <c r="H115" s="14">
        <f>34.0778 * CHOOSE(CONTROL!$C$9, $D$9, 100%, $F$9) + CHOOSE(CONTROL!$C$27, 0.0021, 0)</f>
        <v>34.079900000000002</v>
      </c>
      <c r="I115" s="14">
        <f>34.0778 * CHOOSE(CONTROL!$C$9, $D$9, 100%, $F$9) + CHOOSE(CONTROL!$C$27, 0.0021, 0)</f>
        <v>34.079900000000002</v>
      </c>
      <c r="J115" s="14">
        <f>34.0778 * CHOOSE(CONTROL!$C$9, $D$9, 100%, $F$9) + CHOOSE(CONTROL!$C$27, 0.0021, 0)</f>
        <v>34.079900000000002</v>
      </c>
      <c r="K115" s="14">
        <f>34.0778 * CHOOSE(CONTROL!$C$9, $D$9, 100%, $F$9) + CHOOSE(CONTROL!$C$27, 0.0021, 0)</f>
        <v>34.079900000000002</v>
      </c>
      <c r="L115" s="14"/>
    </row>
    <row r="116" spans="1:12" ht="15" x14ac:dyDescent="0.2">
      <c r="A116" s="13">
        <v>44440</v>
      </c>
      <c r="B116" s="14">
        <f>35.2329 * CHOOSE(CONTROL!$C$9, $D$9, 100%, $F$9) + CHOOSE(CONTROL!$C$27, 0.0021, 0)</f>
        <v>35.234999999999999</v>
      </c>
      <c r="C116" s="14">
        <f>34.8007 * CHOOSE(CONTROL!$C$9, $D$9, 100%, $F$9) + CHOOSE(CONTROL!$C$27, 0.0021, 0)</f>
        <v>34.802799999999998</v>
      </c>
      <c r="D116" s="14">
        <f>34.8007 * CHOOSE(CONTROL!$C$9, $D$9, 100%, $F$9) + CHOOSE(CONTROL!$C$27, 0.0021, 0)</f>
        <v>34.802799999999998</v>
      </c>
      <c r="E116" s="14">
        <f>34.664 * CHOOSE(CONTROL!$C$9, $D$9, 100%, $F$9) + CHOOSE(CONTROL!$C$27, 0.0021, 0)</f>
        <v>34.6661</v>
      </c>
      <c r="F116" s="14">
        <f>34.664 * CHOOSE(CONTROL!$C$9, $D$9, 100%, $F$9) + CHOOSE(CONTROL!$C$27, 0.0021, 0)</f>
        <v>34.6661</v>
      </c>
      <c r="G116" s="14">
        <f>34.9354 * CHOOSE(CONTROL!$C$9, $D$9, 100%, $F$9) + CHOOSE(CONTROL!$C$27, 0.0021, 0)</f>
        <v>34.9375</v>
      </c>
      <c r="H116" s="14">
        <f>34.8007 * CHOOSE(CONTROL!$C$9, $D$9, 100%, $F$9) + CHOOSE(CONTROL!$C$27, 0.0021, 0)</f>
        <v>34.802799999999998</v>
      </c>
      <c r="I116" s="14">
        <f>34.8007 * CHOOSE(CONTROL!$C$9, $D$9, 100%, $F$9) + CHOOSE(CONTROL!$C$27, 0.0021, 0)</f>
        <v>34.802799999999998</v>
      </c>
      <c r="J116" s="14">
        <f>34.8007 * CHOOSE(CONTROL!$C$9, $D$9, 100%, $F$9) + CHOOSE(CONTROL!$C$27, 0.0021, 0)</f>
        <v>34.802799999999998</v>
      </c>
      <c r="K116" s="14">
        <f>34.8007 * CHOOSE(CONTROL!$C$9, $D$9, 100%, $F$9) + CHOOSE(CONTROL!$C$27, 0.0021, 0)</f>
        <v>34.802799999999998</v>
      </c>
      <c r="L116" s="14"/>
    </row>
    <row r="117" spans="1:12" ht="15" x14ac:dyDescent="0.2">
      <c r="A117" s="13">
        <v>44470</v>
      </c>
      <c r="B117" s="14">
        <f>36.1335 * CHOOSE(CONTROL!$C$9, $D$9, 100%, $F$9) + CHOOSE(CONTROL!$C$27, 0.0021, 0)</f>
        <v>36.135599999999997</v>
      </c>
      <c r="C117" s="14">
        <f>35.7012 * CHOOSE(CONTROL!$C$9, $D$9, 100%, $F$9) + CHOOSE(CONTROL!$C$27, 0.0021, 0)</f>
        <v>35.703299999999999</v>
      </c>
      <c r="D117" s="14">
        <f>35.7012 * CHOOSE(CONTROL!$C$9, $D$9, 100%, $F$9) + CHOOSE(CONTROL!$C$27, 0.0021, 0)</f>
        <v>35.703299999999999</v>
      </c>
      <c r="E117" s="14">
        <f>35.5646 * CHOOSE(CONTROL!$C$9, $D$9, 100%, $F$9) + CHOOSE(CONTROL!$C$27, 0.0021, 0)</f>
        <v>35.566699999999997</v>
      </c>
      <c r="F117" s="14">
        <f>35.5646 * CHOOSE(CONTROL!$C$9, $D$9, 100%, $F$9) + CHOOSE(CONTROL!$C$27, 0.0021, 0)</f>
        <v>35.566699999999997</v>
      </c>
      <c r="G117" s="14">
        <f>35.836 * CHOOSE(CONTROL!$C$9, $D$9, 100%, $F$9) + CHOOSE(CONTROL!$C$27, 0.0021, 0)</f>
        <v>35.838099999999997</v>
      </c>
      <c r="H117" s="14">
        <f>35.7012 * CHOOSE(CONTROL!$C$9, $D$9, 100%, $F$9) + CHOOSE(CONTROL!$C$27, 0.0021, 0)</f>
        <v>35.703299999999999</v>
      </c>
      <c r="I117" s="14">
        <f>35.7012 * CHOOSE(CONTROL!$C$9, $D$9, 100%, $F$9) + CHOOSE(CONTROL!$C$27, 0.0021, 0)</f>
        <v>35.703299999999999</v>
      </c>
      <c r="J117" s="14">
        <f>35.7012 * CHOOSE(CONTROL!$C$9, $D$9, 100%, $F$9) + CHOOSE(CONTROL!$C$27, 0.0021, 0)</f>
        <v>35.703299999999999</v>
      </c>
      <c r="K117" s="14">
        <f>35.7012 * CHOOSE(CONTROL!$C$9, $D$9, 100%, $F$9) + CHOOSE(CONTROL!$C$27, 0.0021, 0)</f>
        <v>35.703299999999999</v>
      </c>
      <c r="L117" s="14"/>
    </row>
    <row r="118" spans="1:12" ht="15" x14ac:dyDescent="0.2">
      <c r="A118" s="13">
        <v>44501</v>
      </c>
      <c r="B118" s="14">
        <f>36.2815 * CHOOSE(CONTROL!$C$9, $D$9, 100%, $F$9) + CHOOSE(CONTROL!$C$27, 0.0021, 0)</f>
        <v>36.2836</v>
      </c>
      <c r="C118" s="14">
        <f>35.8493 * CHOOSE(CONTROL!$C$9, $D$9, 100%, $F$9) + CHOOSE(CONTROL!$C$27, 0.0021, 0)</f>
        <v>35.851399999999998</v>
      </c>
      <c r="D118" s="14">
        <f>35.8493 * CHOOSE(CONTROL!$C$9, $D$9, 100%, $F$9) + CHOOSE(CONTROL!$C$27, 0.0021, 0)</f>
        <v>35.851399999999998</v>
      </c>
      <c r="E118" s="14">
        <f>35.7126 * CHOOSE(CONTROL!$C$9, $D$9, 100%, $F$9) + CHOOSE(CONTROL!$C$27, 0.0021, 0)</f>
        <v>35.714700000000001</v>
      </c>
      <c r="F118" s="14">
        <f>35.7126 * CHOOSE(CONTROL!$C$9, $D$9, 100%, $F$9) + CHOOSE(CONTROL!$C$27, 0.0021, 0)</f>
        <v>35.714700000000001</v>
      </c>
      <c r="G118" s="14">
        <f>35.984 * CHOOSE(CONTROL!$C$9, $D$9, 100%, $F$9) + CHOOSE(CONTROL!$C$27, 0.0021, 0)</f>
        <v>35.9861</v>
      </c>
      <c r="H118" s="14">
        <f>35.8493 * CHOOSE(CONTROL!$C$9, $D$9, 100%, $F$9) + CHOOSE(CONTROL!$C$27, 0.0021, 0)</f>
        <v>35.851399999999998</v>
      </c>
      <c r="I118" s="14">
        <f>35.8493 * CHOOSE(CONTROL!$C$9, $D$9, 100%, $F$9) + CHOOSE(CONTROL!$C$27, 0.0021, 0)</f>
        <v>35.851399999999998</v>
      </c>
      <c r="J118" s="14">
        <f>35.8493 * CHOOSE(CONTROL!$C$9, $D$9, 100%, $F$9) + CHOOSE(CONTROL!$C$27, 0.0021, 0)</f>
        <v>35.851399999999998</v>
      </c>
      <c r="K118" s="14">
        <f>35.8493 * CHOOSE(CONTROL!$C$9, $D$9, 100%, $F$9) + CHOOSE(CONTROL!$C$27, 0.0021, 0)</f>
        <v>35.851399999999998</v>
      </c>
      <c r="L118" s="14"/>
    </row>
    <row r="119" spans="1:12" ht="15" x14ac:dyDescent="0.2">
      <c r="A119" s="13">
        <v>44531</v>
      </c>
      <c r="B119" s="14">
        <f>35.6837 * CHOOSE(CONTROL!$C$9, $D$9, 100%, $F$9) + CHOOSE(CONTROL!$C$27, 0.0021, 0)</f>
        <v>35.6858</v>
      </c>
      <c r="C119" s="14">
        <f>35.2515 * CHOOSE(CONTROL!$C$9, $D$9, 100%, $F$9) + CHOOSE(CONTROL!$C$27, 0.0021, 0)</f>
        <v>35.253599999999999</v>
      </c>
      <c r="D119" s="14">
        <f>35.2515 * CHOOSE(CONTROL!$C$9, $D$9, 100%, $F$9) + CHOOSE(CONTROL!$C$27, 0.0021, 0)</f>
        <v>35.253599999999999</v>
      </c>
      <c r="E119" s="14">
        <f>35.1148 * CHOOSE(CONTROL!$C$9, $D$9, 100%, $F$9) + CHOOSE(CONTROL!$C$27, 0.0021, 0)</f>
        <v>35.116900000000001</v>
      </c>
      <c r="F119" s="14">
        <f>35.1148 * CHOOSE(CONTROL!$C$9, $D$9, 100%, $F$9) + CHOOSE(CONTROL!$C$27, 0.0021, 0)</f>
        <v>35.116900000000001</v>
      </c>
      <c r="G119" s="14">
        <f>35.3862 * CHOOSE(CONTROL!$C$9, $D$9, 100%, $F$9) + CHOOSE(CONTROL!$C$27, 0.0021, 0)</f>
        <v>35.388300000000001</v>
      </c>
      <c r="H119" s="14">
        <f>35.2515 * CHOOSE(CONTROL!$C$9, $D$9, 100%, $F$9) + CHOOSE(CONTROL!$C$27, 0.0021, 0)</f>
        <v>35.253599999999999</v>
      </c>
      <c r="I119" s="14">
        <f>35.2515 * CHOOSE(CONTROL!$C$9, $D$9, 100%, $F$9) + CHOOSE(CONTROL!$C$27, 0.0021, 0)</f>
        <v>35.253599999999999</v>
      </c>
      <c r="J119" s="14">
        <f>35.2515 * CHOOSE(CONTROL!$C$9, $D$9, 100%, $F$9) + CHOOSE(CONTROL!$C$27, 0.0021, 0)</f>
        <v>35.253599999999999</v>
      </c>
      <c r="K119" s="14">
        <f>35.2515 * CHOOSE(CONTROL!$C$9, $D$9, 100%, $F$9) + CHOOSE(CONTROL!$C$27, 0.0021, 0)</f>
        <v>35.253599999999999</v>
      </c>
      <c r="L119" s="14"/>
    </row>
    <row r="120" spans="1:12" ht="15" x14ac:dyDescent="0.2">
      <c r="A120" s="13">
        <v>44562</v>
      </c>
      <c r="B120" s="14">
        <f>36.4046 * CHOOSE(CONTROL!$C$9, $D$9, 100%, $F$9) + CHOOSE(CONTROL!$C$27, 0.0021, 0)</f>
        <v>36.406700000000001</v>
      </c>
      <c r="C120" s="14">
        <f>35.9724 * CHOOSE(CONTROL!$C$9, $D$9, 100%, $F$9) + CHOOSE(CONTROL!$C$27, 0.0021, 0)</f>
        <v>35.974499999999999</v>
      </c>
      <c r="D120" s="14">
        <f>35.9724 * CHOOSE(CONTROL!$C$9, $D$9, 100%, $F$9) + CHOOSE(CONTROL!$C$27, 0.0021, 0)</f>
        <v>35.974499999999999</v>
      </c>
      <c r="E120" s="14">
        <f>35.8357 * CHOOSE(CONTROL!$C$9, $D$9, 100%, $F$9) + CHOOSE(CONTROL!$C$27, 0.0021, 0)</f>
        <v>35.837800000000001</v>
      </c>
      <c r="F120" s="14">
        <f>35.8357 * CHOOSE(CONTROL!$C$9, $D$9, 100%, $F$9) + CHOOSE(CONTROL!$C$27, 0.0021, 0)</f>
        <v>35.837800000000001</v>
      </c>
      <c r="G120" s="14">
        <f>36.1071 * CHOOSE(CONTROL!$C$9, $D$9, 100%, $F$9) + CHOOSE(CONTROL!$C$27, 0.0021, 0)</f>
        <v>36.109200000000001</v>
      </c>
      <c r="H120" s="14">
        <f>35.9724 * CHOOSE(CONTROL!$C$9, $D$9, 100%, $F$9) + CHOOSE(CONTROL!$C$27, 0.0021, 0)</f>
        <v>35.974499999999999</v>
      </c>
      <c r="I120" s="14">
        <f>35.9724 * CHOOSE(CONTROL!$C$9, $D$9, 100%, $F$9) + CHOOSE(CONTROL!$C$27, 0.0021, 0)</f>
        <v>35.974499999999999</v>
      </c>
      <c r="J120" s="14">
        <f>35.9724 * CHOOSE(CONTROL!$C$9, $D$9, 100%, $F$9) + CHOOSE(CONTROL!$C$27, 0.0021, 0)</f>
        <v>35.974499999999999</v>
      </c>
      <c r="K120" s="14">
        <f>35.9724 * CHOOSE(CONTROL!$C$9, $D$9, 100%, $F$9) + CHOOSE(CONTROL!$C$27, 0.0021, 0)</f>
        <v>35.974499999999999</v>
      </c>
      <c r="L120" s="14"/>
    </row>
    <row r="121" spans="1:12" ht="15" x14ac:dyDescent="0.2">
      <c r="A121" s="13">
        <v>44593</v>
      </c>
      <c r="B121" s="14">
        <f>35.508 * CHOOSE(CONTROL!$C$9, $D$9, 100%, $F$9) + CHOOSE(CONTROL!$C$27, 0.0021, 0)</f>
        <v>35.510100000000001</v>
      </c>
      <c r="C121" s="14">
        <f>35.0758 * CHOOSE(CONTROL!$C$9, $D$9, 100%, $F$9) + CHOOSE(CONTROL!$C$27, 0.0021, 0)</f>
        <v>35.0779</v>
      </c>
      <c r="D121" s="14">
        <f>35.0758 * CHOOSE(CONTROL!$C$9, $D$9, 100%, $F$9) + CHOOSE(CONTROL!$C$27, 0.0021, 0)</f>
        <v>35.0779</v>
      </c>
      <c r="E121" s="14">
        <f>34.9391 * CHOOSE(CONTROL!$C$9, $D$9, 100%, $F$9) + CHOOSE(CONTROL!$C$27, 0.0021, 0)</f>
        <v>34.941200000000002</v>
      </c>
      <c r="F121" s="14">
        <f>34.9391 * CHOOSE(CONTROL!$C$9, $D$9, 100%, $F$9) + CHOOSE(CONTROL!$C$27, 0.0021, 0)</f>
        <v>34.941200000000002</v>
      </c>
      <c r="G121" s="14">
        <f>35.2105 * CHOOSE(CONTROL!$C$9, $D$9, 100%, $F$9) + CHOOSE(CONTROL!$C$27, 0.0021, 0)</f>
        <v>35.212600000000002</v>
      </c>
      <c r="H121" s="14">
        <f>35.0758 * CHOOSE(CONTROL!$C$9, $D$9, 100%, $F$9) + CHOOSE(CONTROL!$C$27, 0.0021, 0)</f>
        <v>35.0779</v>
      </c>
      <c r="I121" s="14">
        <f>35.0758 * CHOOSE(CONTROL!$C$9, $D$9, 100%, $F$9) + CHOOSE(CONTROL!$C$27, 0.0021, 0)</f>
        <v>35.0779</v>
      </c>
      <c r="J121" s="14">
        <f>35.0758 * CHOOSE(CONTROL!$C$9, $D$9, 100%, $F$9) + CHOOSE(CONTROL!$C$27, 0.0021, 0)</f>
        <v>35.0779</v>
      </c>
      <c r="K121" s="14">
        <f>35.0758 * CHOOSE(CONTROL!$C$9, $D$9, 100%, $F$9) + CHOOSE(CONTROL!$C$27, 0.0021, 0)</f>
        <v>35.0779</v>
      </c>
      <c r="L121" s="14"/>
    </row>
    <row r="122" spans="1:12" ht="15" x14ac:dyDescent="0.2">
      <c r="A122" s="13">
        <v>44621</v>
      </c>
      <c r="B122" s="14">
        <f>35.1765 * CHOOSE(CONTROL!$C$9, $D$9, 100%, $F$9) + CHOOSE(CONTROL!$C$27, 0.0021, 0)</f>
        <v>35.178599999999996</v>
      </c>
      <c r="C122" s="14">
        <f>34.7442 * CHOOSE(CONTROL!$C$9, $D$9, 100%, $F$9) + CHOOSE(CONTROL!$C$27, 0.0021, 0)</f>
        <v>34.746299999999998</v>
      </c>
      <c r="D122" s="14">
        <f>34.7442 * CHOOSE(CONTROL!$C$9, $D$9, 100%, $F$9) + CHOOSE(CONTROL!$C$27, 0.0021, 0)</f>
        <v>34.746299999999998</v>
      </c>
      <c r="E122" s="14">
        <f>34.6076 * CHOOSE(CONTROL!$C$9, $D$9, 100%, $F$9) + CHOOSE(CONTROL!$C$27, 0.0021, 0)</f>
        <v>34.609699999999997</v>
      </c>
      <c r="F122" s="14">
        <f>34.6076 * CHOOSE(CONTROL!$C$9, $D$9, 100%, $F$9) + CHOOSE(CONTROL!$C$27, 0.0021, 0)</f>
        <v>34.609699999999997</v>
      </c>
      <c r="G122" s="14">
        <f>34.879 * CHOOSE(CONTROL!$C$9, $D$9, 100%, $F$9) + CHOOSE(CONTROL!$C$27, 0.0021, 0)</f>
        <v>34.881099999999996</v>
      </c>
      <c r="H122" s="14">
        <f>34.7442 * CHOOSE(CONTROL!$C$9, $D$9, 100%, $F$9) + CHOOSE(CONTROL!$C$27, 0.0021, 0)</f>
        <v>34.746299999999998</v>
      </c>
      <c r="I122" s="14">
        <f>34.7442 * CHOOSE(CONTROL!$C$9, $D$9, 100%, $F$9) + CHOOSE(CONTROL!$C$27, 0.0021, 0)</f>
        <v>34.746299999999998</v>
      </c>
      <c r="J122" s="14">
        <f>34.7442 * CHOOSE(CONTROL!$C$9, $D$9, 100%, $F$9) + CHOOSE(CONTROL!$C$27, 0.0021, 0)</f>
        <v>34.746299999999998</v>
      </c>
      <c r="K122" s="14">
        <f>34.7442 * CHOOSE(CONTROL!$C$9, $D$9, 100%, $F$9) + CHOOSE(CONTROL!$C$27, 0.0021, 0)</f>
        <v>34.746299999999998</v>
      </c>
      <c r="L122" s="14"/>
    </row>
    <row r="123" spans="1:12" ht="15" x14ac:dyDescent="0.2">
      <c r="A123" s="13">
        <v>44652</v>
      </c>
      <c r="B123" s="14">
        <f>34.7657 * CHOOSE(CONTROL!$C$9, $D$9, 100%, $F$9) + CHOOSE(CONTROL!$C$27, 0.0021, 0)</f>
        <v>34.767800000000001</v>
      </c>
      <c r="C123" s="14">
        <f>34.3335 * CHOOSE(CONTROL!$C$9, $D$9, 100%, $F$9) + CHOOSE(CONTROL!$C$27, 0.0021, 0)</f>
        <v>34.335599999999999</v>
      </c>
      <c r="D123" s="14">
        <f>34.3335 * CHOOSE(CONTROL!$C$9, $D$9, 100%, $F$9) + CHOOSE(CONTROL!$C$27, 0.0021, 0)</f>
        <v>34.335599999999999</v>
      </c>
      <c r="E123" s="14">
        <f>34.1968 * CHOOSE(CONTROL!$C$9, $D$9, 100%, $F$9) + CHOOSE(CONTROL!$C$27, 0.0021, 0)</f>
        <v>34.198900000000002</v>
      </c>
      <c r="F123" s="14">
        <f>34.1968 * CHOOSE(CONTROL!$C$9, $D$9, 100%, $F$9) + CHOOSE(CONTROL!$C$27, 0.0021, 0)</f>
        <v>34.198900000000002</v>
      </c>
      <c r="G123" s="14">
        <f>34.4682 * CHOOSE(CONTROL!$C$9, $D$9, 100%, $F$9) + CHOOSE(CONTROL!$C$27, 0.0021, 0)</f>
        <v>34.470300000000002</v>
      </c>
      <c r="H123" s="14">
        <f>34.3335 * CHOOSE(CONTROL!$C$9, $D$9, 100%, $F$9) + CHOOSE(CONTROL!$C$27, 0.0021, 0)</f>
        <v>34.335599999999999</v>
      </c>
      <c r="I123" s="14">
        <f>34.3335 * CHOOSE(CONTROL!$C$9, $D$9, 100%, $F$9) + CHOOSE(CONTROL!$C$27, 0.0021, 0)</f>
        <v>34.335599999999999</v>
      </c>
      <c r="J123" s="14">
        <f>34.3335 * CHOOSE(CONTROL!$C$9, $D$9, 100%, $F$9) + CHOOSE(CONTROL!$C$27, 0.0021, 0)</f>
        <v>34.335599999999999</v>
      </c>
      <c r="K123" s="14">
        <f>34.3335 * CHOOSE(CONTROL!$C$9, $D$9, 100%, $F$9) + CHOOSE(CONTROL!$C$27, 0.0021, 0)</f>
        <v>34.335599999999999</v>
      </c>
      <c r="L123" s="14"/>
    </row>
    <row r="124" spans="1:12" ht="15" x14ac:dyDescent="0.2">
      <c r="A124" s="13">
        <v>44682</v>
      </c>
      <c r="B124" s="14">
        <f>35.516 * CHOOSE(CONTROL!$C$9, $D$9, 100%, $F$9) + CHOOSE(CONTROL!$C$27, 0.0021, 0)</f>
        <v>35.518099999999997</v>
      </c>
      <c r="C124" s="14">
        <f>35.0837 * CHOOSE(CONTROL!$C$9, $D$9, 100%, $F$9) + CHOOSE(CONTROL!$C$27, 0.0021, 0)</f>
        <v>35.085799999999999</v>
      </c>
      <c r="D124" s="14">
        <f>35.0837 * CHOOSE(CONTROL!$C$9, $D$9, 100%, $F$9) + CHOOSE(CONTROL!$C$27, 0.0021, 0)</f>
        <v>35.085799999999999</v>
      </c>
      <c r="E124" s="14">
        <f>34.947 * CHOOSE(CONTROL!$C$9, $D$9, 100%, $F$9) + CHOOSE(CONTROL!$C$27, 0.0021, 0)</f>
        <v>34.949100000000001</v>
      </c>
      <c r="F124" s="14">
        <f>34.947 * CHOOSE(CONTROL!$C$9, $D$9, 100%, $F$9) + CHOOSE(CONTROL!$C$27, 0.0021, 0)</f>
        <v>34.949100000000001</v>
      </c>
      <c r="G124" s="14">
        <f>35.2184 * CHOOSE(CONTROL!$C$9, $D$9, 100%, $F$9) + CHOOSE(CONTROL!$C$27, 0.0021, 0)</f>
        <v>35.220500000000001</v>
      </c>
      <c r="H124" s="14">
        <f>35.0837 * CHOOSE(CONTROL!$C$9, $D$9, 100%, $F$9) + CHOOSE(CONTROL!$C$27, 0.0021, 0)</f>
        <v>35.085799999999999</v>
      </c>
      <c r="I124" s="14">
        <f>35.0837 * CHOOSE(CONTROL!$C$9, $D$9, 100%, $F$9) + CHOOSE(CONTROL!$C$27, 0.0021, 0)</f>
        <v>35.085799999999999</v>
      </c>
      <c r="J124" s="14">
        <f>35.0837 * CHOOSE(CONTROL!$C$9, $D$9, 100%, $F$9) + CHOOSE(CONTROL!$C$27, 0.0021, 0)</f>
        <v>35.085799999999999</v>
      </c>
      <c r="K124" s="14">
        <f>35.0837 * CHOOSE(CONTROL!$C$9, $D$9, 100%, $F$9) + CHOOSE(CONTROL!$C$27, 0.0021, 0)</f>
        <v>35.085799999999999</v>
      </c>
      <c r="L124" s="14"/>
    </row>
    <row r="125" spans="1:12" ht="15" x14ac:dyDescent="0.2">
      <c r="A125" s="13">
        <v>44713</v>
      </c>
      <c r="B125" s="14">
        <f>35.9945 * CHOOSE(CONTROL!$C$9, $D$9, 100%, $F$9) + CHOOSE(CONTROL!$C$27, 0.0021, 0)</f>
        <v>35.996600000000001</v>
      </c>
      <c r="C125" s="14">
        <f>35.5623 * CHOOSE(CONTROL!$C$9, $D$9, 100%, $F$9) + CHOOSE(CONTROL!$C$27, 0.0021, 0)</f>
        <v>35.564399999999999</v>
      </c>
      <c r="D125" s="14">
        <f>35.5623 * CHOOSE(CONTROL!$C$9, $D$9, 100%, $F$9) + CHOOSE(CONTROL!$C$27, 0.0021, 0)</f>
        <v>35.564399999999999</v>
      </c>
      <c r="E125" s="14">
        <f>35.4256 * CHOOSE(CONTROL!$C$9, $D$9, 100%, $F$9) + CHOOSE(CONTROL!$C$27, 0.0021, 0)</f>
        <v>35.427700000000002</v>
      </c>
      <c r="F125" s="14">
        <f>35.4256 * CHOOSE(CONTROL!$C$9, $D$9, 100%, $F$9) + CHOOSE(CONTROL!$C$27, 0.0021, 0)</f>
        <v>35.427700000000002</v>
      </c>
      <c r="G125" s="14">
        <f>35.697 * CHOOSE(CONTROL!$C$9, $D$9, 100%, $F$9) + CHOOSE(CONTROL!$C$27, 0.0021, 0)</f>
        <v>35.699100000000001</v>
      </c>
      <c r="H125" s="14">
        <f>35.5623 * CHOOSE(CONTROL!$C$9, $D$9, 100%, $F$9) + CHOOSE(CONTROL!$C$27, 0.0021, 0)</f>
        <v>35.564399999999999</v>
      </c>
      <c r="I125" s="14">
        <f>35.5623 * CHOOSE(CONTROL!$C$9, $D$9, 100%, $F$9) + CHOOSE(CONTROL!$C$27, 0.0021, 0)</f>
        <v>35.564399999999999</v>
      </c>
      <c r="J125" s="14">
        <f>35.5623 * CHOOSE(CONTROL!$C$9, $D$9, 100%, $F$9) + CHOOSE(CONTROL!$C$27, 0.0021, 0)</f>
        <v>35.564399999999999</v>
      </c>
      <c r="K125" s="14">
        <f>35.5623 * CHOOSE(CONTROL!$C$9, $D$9, 100%, $F$9) + CHOOSE(CONTROL!$C$27, 0.0021, 0)</f>
        <v>35.564399999999999</v>
      </c>
      <c r="L125" s="14"/>
    </row>
    <row r="126" spans="1:12" ht="15" x14ac:dyDescent="0.2">
      <c r="A126" s="13">
        <v>44743</v>
      </c>
      <c r="B126" s="14">
        <f>36.7419 * CHOOSE(CONTROL!$C$9, $D$9, 100%, $F$9) + CHOOSE(CONTROL!$C$27, 0.0021, 0)</f>
        <v>36.744</v>
      </c>
      <c r="C126" s="14">
        <f>36.3097 * CHOOSE(CONTROL!$C$9, $D$9, 100%, $F$9) + CHOOSE(CONTROL!$C$27, 0.0021, 0)</f>
        <v>36.311799999999998</v>
      </c>
      <c r="D126" s="14">
        <f>36.3097 * CHOOSE(CONTROL!$C$9, $D$9, 100%, $F$9) + CHOOSE(CONTROL!$C$27, 0.0021, 0)</f>
        <v>36.311799999999998</v>
      </c>
      <c r="E126" s="14">
        <f>36.173 * CHOOSE(CONTROL!$C$9, $D$9, 100%, $F$9) + CHOOSE(CONTROL!$C$27, 0.0021, 0)</f>
        <v>36.1751</v>
      </c>
      <c r="F126" s="14">
        <f>36.173 * CHOOSE(CONTROL!$C$9, $D$9, 100%, $F$9) + CHOOSE(CONTROL!$C$27, 0.0021, 0)</f>
        <v>36.1751</v>
      </c>
      <c r="G126" s="14">
        <f>36.4444 * CHOOSE(CONTROL!$C$9, $D$9, 100%, $F$9) + CHOOSE(CONTROL!$C$27, 0.0021, 0)</f>
        <v>36.4465</v>
      </c>
      <c r="H126" s="14">
        <f>36.3097 * CHOOSE(CONTROL!$C$9, $D$9, 100%, $F$9) + CHOOSE(CONTROL!$C$27, 0.0021, 0)</f>
        <v>36.311799999999998</v>
      </c>
      <c r="I126" s="14">
        <f>36.3097 * CHOOSE(CONTROL!$C$9, $D$9, 100%, $F$9) + CHOOSE(CONTROL!$C$27, 0.0021, 0)</f>
        <v>36.311799999999998</v>
      </c>
      <c r="J126" s="14">
        <f>36.3097 * CHOOSE(CONTROL!$C$9, $D$9, 100%, $F$9) + CHOOSE(CONTROL!$C$27, 0.0021, 0)</f>
        <v>36.311799999999998</v>
      </c>
      <c r="K126" s="14">
        <f>36.3097 * CHOOSE(CONTROL!$C$9, $D$9, 100%, $F$9) + CHOOSE(CONTROL!$C$27, 0.0021, 0)</f>
        <v>36.311799999999998</v>
      </c>
      <c r="L126" s="14"/>
    </row>
    <row r="127" spans="1:12" ht="15" x14ac:dyDescent="0.2">
      <c r="A127" s="13">
        <v>44774</v>
      </c>
      <c r="B127" s="14">
        <f>37.0203 * CHOOSE(CONTROL!$C$9, $D$9, 100%, $F$9) + CHOOSE(CONTROL!$C$27, 0.0021, 0)</f>
        <v>37.022399999999998</v>
      </c>
      <c r="C127" s="14">
        <f>36.588 * CHOOSE(CONTROL!$C$9, $D$9, 100%, $F$9) + CHOOSE(CONTROL!$C$27, 0.0021, 0)</f>
        <v>36.5901</v>
      </c>
      <c r="D127" s="14">
        <f>36.588 * CHOOSE(CONTROL!$C$9, $D$9, 100%, $F$9) + CHOOSE(CONTROL!$C$27, 0.0021, 0)</f>
        <v>36.5901</v>
      </c>
      <c r="E127" s="14">
        <f>36.4514 * CHOOSE(CONTROL!$C$9, $D$9, 100%, $F$9) + CHOOSE(CONTROL!$C$27, 0.0021, 0)</f>
        <v>36.453499999999998</v>
      </c>
      <c r="F127" s="14">
        <f>36.4514 * CHOOSE(CONTROL!$C$9, $D$9, 100%, $F$9) + CHOOSE(CONTROL!$C$27, 0.0021, 0)</f>
        <v>36.453499999999998</v>
      </c>
      <c r="G127" s="14">
        <f>36.7227 * CHOOSE(CONTROL!$C$9, $D$9, 100%, $F$9) + CHOOSE(CONTROL!$C$27, 0.0021, 0)</f>
        <v>36.724800000000002</v>
      </c>
      <c r="H127" s="14">
        <f>36.588 * CHOOSE(CONTROL!$C$9, $D$9, 100%, $F$9) + CHOOSE(CONTROL!$C$27, 0.0021, 0)</f>
        <v>36.5901</v>
      </c>
      <c r="I127" s="14">
        <f>36.588 * CHOOSE(CONTROL!$C$9, $D$9, 100%, $F$9) + CHOOSE(CONTROL!$C$27, 0.0021, 0)</f>
        <v>36.5901</v>
      </c>
      <c r="J127" s="14">
        <f>36.588 * CHOOSE(CONTROL!$C$9, $D$9, 100%, $F$9) + CHOOSE(CONTROL!$C$27, 0.0021, 0)</f>
        <v>36.5901</v>
      </c>
      <c r="K127" s="14">
        <f>36.588 * CHOOSE(CONTROL!$C$9, $D$9, 100%, $F$9) + CHOOSE(CONTROL!$C$27, 0.0021, 0)</f>
        <v>36.5901</v>
      </c>
      <c r="L127" s="14"/>
    </row>
    <row r="128" spans="1:12" ht="15" x14ac:dyDescent="0.2">
      <c r="A128" s="13">
        <v>44805</v>
      </c>
      <c r="B128" s="14">
        <f>37.7995 * CHOOSE(CONTROL!$C$9, $D$9, 100%, $F$9) + CHOOSE(CONTROL!$C$27, 0.0021, 0)</f>
        <v>37.801600000000001</v>
      </c>
      <c r="C128" s="14">
        <f>37.3672 * CHOOSE(CONTROL!$C$9, $D$9, 100%, $F$9) + CHOOSE(CONTROL!$C$27, 0.0021, 0)</f>
        <v>37.369299999999996</v>
      </c>
      <c r="D128" s="14">
        <f>37.3672 * CHOOSE(CONTROL!$C$9, $D$9, 100%, $F$9) + CHOOSE(CONTROL!$C$27, 0.0021, 0)</f>
        <v>37.369299999999996</v>
      </c>
      <c r="E128" s="14">
        <f>37.2305 * CHOOSE(CONTROL!$C$9, $D$9, 100%, $F$9) + CHOOSE(CONTROL!$C$27, 0.0021, 0)</f>
        <v>37.232599999999998</v>
      </c>
      <c r="F128" s="14">
        <f>37.2305 * CHOOSE(CONTROL!$C$9, $D$9, 100%, $F$9) + CHOOSE(CONTROL!$C$27, 0.0021, 0)</f>
        <v>37.232599999999998</v>
      </c>
      <c r="G128" s="14">
        <f>37.5019 * CHOOSE(CONTROL!$C$9, $D$9, 100%, $F$9) + CHOOSE(CONTROL!$C$27, 0.0021, 0)</f>
        <v>37.503999999999998</v>
      </c>
      <c r="H128" s="14">
        <f>37.3672 * CHOOSE(CONTROL!$C$9, $D$9, 100%, $F$9) + CHOOSE(CONTROL!$C$27, 0.0021, 0)</f>
        <v>37.369299999999996</v>
      </c>
      <c r="I128" s="14">
        <f>37.3672 * CHOOSE(CONTROL!$C$9, $D$9, 100%, $F$9) + CHOOSE(CONTROL!$C$27, 0.0021, 0)</f>
        <v>37.369299999999996</v>
      </c>
      <c r="J128" s="14">
        <f>37.3672 * CHOOSE(CONTROL!$C$9, $D$9, 100%, $F$9) + CHOOSE(CONTROL!$C$27, 0.0021, 0)</f>
        <v>37.369299999999996</v>
      </c>
      <c r="K128" s="14">
        <f>37.3672 * CHOOSE(CONTROL!$C$9, $D$9, 100%, $F$9) + CHOOSE(CONTROL!$C$27, 0.0021, 0)</f>
        <v>37.369299999999996</v>
      </c>
      <c r="L128" s="14"/>
    </row>
    <row r="129" spans="1:12" ht="15" x14ac:dyDescent="0.2">
      <c r="A129" s="13">
        <v>44835</v>
      </c>
      <c r="B129" s="14">
        <f>38.7702 * CHOOSE(CONTROL!$C$9, $D$9, 100%, $F$9) + CHOOSE(CONTROL!$C$27, 0.0021, 0)</f>
        <v>38.772300000000001</v>
      </c>
      <c r="C129" s="14">
        <f>38.3379 * CHOOSE(CONTROL!$C$9, $D$9, 100%, $F$9) + CHOOSE(CONTROL!$C$27, 0.0021, 0)</f>
        <v>38.339999999999996</v>
      </c>
      <c r="D129" s="14">
        <f>38.3379 * CHOOSE(CONTROL!$C$9, $D$9, 100%, $F$9) + CHOOSE(CONTROL!$C$27, 0.0021, 0)</f>
        <v>38.339999999999996</v>
      </c>
      <c r="E129" s="14">
        <f>38.2013 * CHOOSE(CONTROL!$C$9, $D$9, 100%, $F$9) + CHOOSE(CONTROL!$C$27, 0.0021, 0)</f>
        <v>38.203400000000002</v>
      </c>
      <c r="F129" s="14">
        <f>38.2013 * CHOOSE(CONTROL!$C$9, $D$9, 100%, $F$9) + CHOOSE(CONTROL!$C$27, 0.0021, 0)</f>
        <v>38.203400000000002</v>
      </c>
      <c r="G129" s="14">
        <f>38.4727 * CHOOSE(CONTROL!$C$9, $D$9, 100%, $F$9) + CHOOSE(CONTROL!$C$27, 0.0021, 0)</f>
        <v>38.474800000000002</v>
      </c>
      <c r="H129" s="14">
        <f>38.3379 * CHOOSE(CONTROL!$C$9, $D$9, 100%, $F$9) + CHOOSE(CONTROL!$C$27, 0.0021, 0)</f>
        <v>38.339999999999996</v>
      </c>
      <c r="I129" s="14">
        <f>38.3379 * CHOOSE(CONTROL!$C$9, $D$9, 100%, $F$9) + CHOOSE(CONTROL!$C$27, 0.0021, 0)</f>
        <v>38.339999999999996</v>
      </c>
      <c r="J129" s="14">
        <f>38.3379 * CHOOSE(CONTROL!$C$9, $D$9, 100%, $F$9) + CHOOSE(CONTROL!$C$27, 0.0021, 0)</f>
        <v>38.339999999999996</v>
      </c>
      <c r="K129" s="14">
        <f>38.3379 * CHOOSE(CONTROL!$C$9, $D$9, 100%, $F$9) + CHOOSE(CONTROL!$C$27, 0.0021, 0)</f>
        <v>38.339999999999996</v>
      </c>
      <c r="L129" s="14"/>
    </row>
    <row r="130" spans="1:12" ht="15" x14ac:dyDescent="0.2">
      <c r="A130" s="13">
        <v>44866</v>
      </c>
      <c r="B130" s="14">
        <f>38.9298 * CHOOSE(CONTROL!$C$9, $D$9, 100%, $F$9) + CHOOSE(CONTROL!$C$27, 0.0021, 0)</f>
        <v>38.931899999999999</v>
      </c>
      <c r="C130" s="14">
        <f>38.4975 * CHOOSE(CONTROL!$C$9, $D$9, 100%, $F$9) + CHOOSE(CONTROL!$C$27, 0.0021, 0)</f>
        <v>38.499600000000001</v>
      </c>
      <c r="D130" s="14">
        <f>38.4975 * CHOOSE(CONTROL!$C$9, $D$9, 100%, $F$9) + CHOOSE(CONTROL!$C$27, 0.0021, 0)</f>
        <v>38.499600000000001</v>
      </c>
      <c r="E130" s="14">
        <f>38.3609 * CHOOSE(CONTROL!$C$9, $D$9, 100%, $F$9) + CHOOSE(CONTROL!$C$27, 0.0021, 0)</f>
        <v>38.363</v>
      </c>
      <c r="F130" s="14">
        <f>38.3609 * CHOOSE(CONTROL!$C$9, $D$9, 100%, $F$9) + CHOOSE(CONTROL!$C$27, 0.0021, 0)</f>
        <v>38.363</v>
      </c>
      <c r="G130" s="14">
        <f>38.6322 * CHOOSE(CONTROL!$C$9, $D$9, 100%, $F$9) + CHOOSE(CONTROL!$C$27, 0.0021, 0)</f>
        <v>38.634299999999996</v>
      </c>
      <c r="H130" s="14">
        <f>38.4975 * CHOOSE(CONTROL!$C$9, $D$9, 100%, $F$9) + CHOOSE(CONTROL!$C$27, 0.0021, 0)</f>
        <v>38.499600000000001</v>
      </c>
      <c r="I130" s="14">
        <f>38.4975 * CHOOSE(CONTROL!$C$9, $D$9, 100%, $F$9) + CHOOSE(CONTROL!$C$27, 0.0021, 0)</f>
        <v>38.499600000000001</v>
      </c>
      <c r="J130" s="14">
        <f>38.4975 * CHOOSE(CONTROL!$C$9, $D$9, 100%, $F$9) + CHOOSE(CONTROL!$C$27, 0.0021, 0)</f>
        <v>38.499600000000001</v>
      </c>
      <c r="K130" s="14">
        <f>38.4975 * CHOOSE(CONTROL!$C$9, $D$9, 100%, $F$9) + CHOOSE(CONTROL!$C$27, 0.0021, 0)</f>
        <v>38.499600000000001</v>
      </c>
      <c r="L130" s="14"/>
    </row>
    <row r="131" spans="1:12" ht="15" x14ac:dyDescent="0.2">
      <c r="A131" s="13">
        <v>44896</v>
      </c>
      <c r="B131" s="14">
        <f>38.2854 * CHOOSE(CONTROL!$C$9, $D$9, 100%, $F$9) + CHOOSE(CONTROL!$C$27, 0.0021, 0)</f>
        <v>38.287500000000001</v>
      </c>
      <c r="C131" s="14">
        <f>37.8531 * CHOOSE(CONTROL!$C$9, $D$9, 100%, $F$9) + CHOOSE(CONTROL!$C$27, 0.0021, 0)</f>
        <v>37.855199999999996</v>
      </c>
      <c r="D131" s="14">
        <f>37.8531 * CHOOSE(CONTROL!$C$9, $D$9, 100%, $F$9) + CHOOSE(CONTROL!$C$27, 0.0021, 0)</f>
        <v>37.855199999999996</v>
      </c>
      <c r="E131" s="14">
        <f>37.7165 * CHOOSE(CONTROL!$C$9, $D$9, 100%, $F$9) + CHOOSE(CONTROL!$C$27, 0.0021, 0)</f>
        <v>37.718600000000002</v>
      </c>
      <c r="F131" s="14">
        <f>37.7165 * CHOOSE(CONTROL!$C$9, $D$9, 100%, $F$9) + CHOOSE(CONTROL!$C$27, 0.0021, 0)</f>
        <v>37.718600000000002</v>
      </c>
      <c r="G131" s="14">
        <f>37.9879 * CHOOSE(CONTROL!$C$9, $D$9, 100%, $F$9) + CHOOSE(CONTROL!$C$27, 0.0021, 0)</f>
        <v>37.99</v>
      </c>
      <c r="H131" s="14">
        <f>37.8531 * CHOOSE(CONTROL!$C$9, $D$9, 100%, $F$9) + CHOOSE(CONTROL!$C$27, 0.0021, 0)</f>
        <v>37.855199999999996</v>
      </c>
      <c r="I131" s="14">
        <f>37.8531 * CHOOSE(CONTROL!$C$9, $D$9, 100%, $F$9) + CHOOSE(CONTROL!$C$27, 0.0021, 0)</f>
        <v>37.855199999999996</v>
      </c>
      <c r="J131" s="14">
        <f>37.8531 * CHOOSE(CONTROL!$C$9, $D$9, 100%, $F$9) + CHOOSE(CONTROL!$C$27, 0.0021, 0)</f>
        <v>37.855199999999996</v>
      </c>
      <c r="K131" s="14">
        <f>37.8531 * CHOOSE(CONTROL!$C$9, $D$9, 100%, $F$9) + CHOOSE(CONTROL!$C$27, 0.0021, 0)</f>
        <v>37.855199999999996</v>
      </c>
      <c r="L131" s="14"/>
    </row>
    <row r="132" spans="1:12" ht="15" x14ac:dyDescent="0.2">
      <c r="A132" s="13">
        <v>44927</v>
      </c>
      <c r="B132" s="14">
        <f>38.9133 * CHOOSE(CONTROL!$C$9, $D$9, 100%, $F$9) + CHOOSE(CONTROL!$C$27, 0.0021, 0)</f>
        <v>38.915399999999998</v>
      </c>
      <c r="C132" s="14">
        <f>38.4811 * CHOOSE(CONTROL!$C$9, $D$9, 100%, $F$9) + CHOOSE(CONTROL!$C$27, 0.0021, 0)</f>
        <v>38.483199999999997</v>
      </c>
      <c r="D132" s="14">
        <f>38.4811 * CHOOSE(CONTROL!$C$9, $D$9, 100%, $F$9) + CHOOSE(CONTROL!$C$27, 0.0021, 0)</f>
        <v>38.483199999999997</v>
      </c>
      <c r="E132" s="14">
        <f>38.3444 * CHOOSE(CONTROL!$C$9, $D$9, 100%, $F$9) + CHOOSE(CONTROL!$C$27, 0.0021, 0)</f>
        <v>38.346499999999999</v>
      </c>
      <c r="F132" s="14">
        <f>38.3444 * CHOOSE(CONTROL!$C$9, $D$9, 100%, $F$9) + CHOOSE(CONTROL!$C$27, 0.0021, 0)</f>
        <v>38.346499999999999</v>
      </c>
      <c r="G132" s="14">
        <f>38.6158 * CHOOSE(CONTROL!$C$9, $D$9, 100%, $F$9) + CHOOSE(CONTROL!$C$27, 0.0021, 0)</f>
        <v>38.617899999999999</v>
      </c>
      <c r="H132" s="14">
        <f>38.4811 * CHOOSE(CONTROL!$C$9, $D$9, 100%, $F$9) + CHOOSE(CONTROL!$C$27, 0.0021, 0)</f>
        <v>38.483199999999997</v>
      </c>
      <c r="I132" s="14">
        <f>38.4811 * CHOOSE(CONTROL!$C$9, $D$9, 100%, $F$9) + CHOOSE(CONTROL!$C$27, 0.0021, 0)</f>
        <v>38.483199999999997</v>
      </c>
      <c r="J132" s="14">
        <f>38.4811 * CHOOSE(CONTROL!$C$9, $D$9, 100%, $F$9) + CHOOSE(CONTROL!$C$27, 0.0021, 0)</f>
        <v>38.483199999999997</v>
      </c>
      <c r="K132" s="14">
        <f>38.4811 * CHOOSE(CONTROL!$C$9, $D$9, 100%, $F$9) + CHOOSE(CONTROL!$C$27, 0.0021, 0)</f>
        <v>38.483199999999997</v>
      </c>
      <c r="L132" s="14"/>
    </row>
    <row r="133" spans="1:12" ht="15" x14ac:dyDescent="0.2">
      <c r="A133" s="13">
        <v>44958</v>
      </c>
      <c r="B133" s="14">
        <f>37.9508 * CHOOSE(CONTROL!$C$9, $D$9, 100%, $F$9) + CHOOSE(CONTROL!$C$27, 0.0021, 0)</f>
        <v>37.9529</v>
      </c>
      <c r="C133" s="14">
        <f>37.5185 * CHOOSE(CONTROL!$C$9, $D$9, 100%, $F$9) + CHOOSE(CONTROL!$C$27, 0.0021, 0)</f>
        <v>37.520600000000002</v>
      </c>
      <c r="D133" s="14">
        <f>37.5185 * CHOOSE(CONTROL!$C$9, $D$9, 100%, $F$9) + CHOOSE(CONTROL!$C$27, 0.0021, 0)</f>
        <v>37.520600000000002</v>
      </c>
      <c r="E133" s="14">
        <f>37.3819 * CHOOSE(CONTROL!$C$9, $D$9, 100%, $F$9) + CHOOSE(CONTROL!$C$27, 0.0021, 0)</f>
        <v>37.384</v>
      </c>
      <c r="F133" s="14">
        <f>37.3819 * CHOOSE(CONTROL!$C$9, $D$9, 100%, $F$9) + CHOOSE(CONTROL!$C$27, 0.0021, 0)</f>
        <v>37.384</v>
      </c>
      <c r="G133" s="14">
        <f>37.6532 * CHOOSE(CONTROL!$C$9, $D$9, 100%, $F$9) + CHOOSE(CONTROL!$C$27, 0.0021, 0)</f>
        <v>37.655299999999997</v>
      </c>
      <c r="H133" s="14">
        <f>37.5185 * CHOOSE(CONTROL!$C$9, $D$9, 100%, $F$9) + CHOOSE(CONTROL!$C$27, 0.0021, 0)</f>
        <v>37.520600000000002</v>
      </c>
      <c r="I133" s="14">
        <f>37.5185 * CHOOSE(CONTROL!$C$9, $D$9, 100%, $F$9) + CHOOSE(CONTROL!$C$27, 0.0021, 0)</f>
        <v>37.520600000000002</v>
      </c>
      <c r="J133" s="14">
        <f>37.5185 * CHOOSE(CONTROL!$C$9, $D$9, 100%, $F$9) + CHOOSE(CONTROL!$C$27, 0.0021, 0)</f>
        <v>37.520600000000002</v>
      </c>
      <c r="K133" s="14">
        <f>37.5185 * CHOOSE(CONTROL!$C$9, $D$9, 100%, $F$9) + CHOOSE(CONTROL!$C$27, 0.0021, 0)</f>
        <v>37.520600000000002</v>
      </c>
      <c r="L133" s="14"/>
    </row>
    <row r="134" spans="1:12" ht="15" x14ac:dyDescent="0.2">
      <c r="A134" s="13">
        <v>44986</v>
      </c>
      <c r="B134" s="14">
        <f>37.5949 * CHOOSE(CONTROL!$C$9, $D$9, 100%, $F$9) + CHOOSE(CONTROL!$C$27, 0.0021, 0)</f>
        <v>37.597000000000001</v>
      </c>
      <c r="C134" s="14">
        <f>37.1626 * CHOOSE(CONTROL!$C$9, $D$9, 100%, $F$9) + CHOOSE(CONTROL!$C$27, 0.0021, 0)</f>
        <v>37.164699999999996</v>
      </c>
      <c r="D134" s="14">
        <f>37.1626 * CHOOSE(CONTROL!$C$9, $D$9, 100%, $F$9) + CHOOSE(CONTROL!$C$27, 0.0021, 0)</f>
        <v>37.164699999999996</v>
      </c>
      <c r="E134" s="14">
        <f>37.026 * CHOOSE(CONTROL!$C$9, $D$9, 100%, $F$9) + CHOOSE(CONTROL!$C$27, 0.0021, 0)</f>
        <v>37.028100000000002</v>
      </c>
      <c r="F134" s="14">
        <f>37.026 * CHOOSE(CONTROL!$C$9, $D$9, 100%, $F$9) + CHOOSE(CONTROL!$C$27, 0.0021, 0)</f>
        <v>37.028100000000002</v>
      </c>
      <c r="G134" s="14">
        <f>37.2973 * CHOOSE(CONTROL!$C$9, $D$9, 100%, $F$9) + CHOOSE(CONTROL!$C$27, 0.0021, 0)</f>
        <v>37.299399999999999</v>
      </c>
      <c r="H134" s="14">
        <f>37.1626 * CHOOSE(CONTROL!$C$9, $D$9, 100%, $F$9) + CHOOSE(CONTROL!$C$27, 0.0021, 0)</f>
        <v>37.164699999999996</v>
      </c>
      <c r="I134" s="14">
        <f>37.1626 * CHOOSE(CONTROL!$C$9, $D$9, 100%, $F$9) + CHOOSE(CONTROL!$C$27, 0.0021, 0)</f>
        <v>37.164699999999996</v>
      </c>
      <c r="J134" s="14">
        <f>37.1626 * CHOOSE(CONTROL!$C$9, $D$9, 100%, $F$9) + CHOOSE(CONTROL!$C$27, 0.0021, 0)</f>
        <v>37.164699999999996</v>
      </c>
      <c r="K134" s="14">
        <f>37.1626 * CHOOSE(CONTROL!$C$9, $D$9, 100%, $F$9) + CHOOSE(CONTROL!$C$27, 0.0021, 0)</f>
        <v>37.164699999999996</v>
      </c>
      <c r="L134" s="14"/>
    </row>
    <row r="135" spans="1:12" ht="15" x14ac:dyDescent="0.2">
      <c r="A135" s="13">
        <v>45017</v>
      </c>
      <c r="B135" s="14">
        <f>37.1539 * CHOOSE(CONTROL!$C$9, $D$9, 100%, $F$9) + CHOOSE(CONTROL!$C$27, 0.0021, 0)</f>
        <v>37.155999999999999</v>
      </c>
      <c r="C135" s="14">
        <f>36.7216 * CHOOSE(CONTROL!$C$9, $D$9, 100%, $F$9) + CHOOSE(CONTROL!$C$27, 0.0021, 0)</f>
        <v>36.723700000000001</v>
      </c>
      <c r="D135" s="14">
        <f>36.7216 * CHOOSE(CONTROL!$C$9, $D$9, 100%, $F$9) + CHOOSE(CONTROL!$C$27, 0.0021, 0)</f>
        <v>36.723700000000001</v>
      </c>
      <c r="E135" s="14">
        <f>36.585 * CHOOSE(CONTROL!$C$9, $D$9, 100%, $F$9) + CHOOSE(CONTROL!$C$27, 0.0021, 0)</f>
        <v>36.5871</v>
      </c>
      <c r="F135" s="14">
        <f>36.585 * CHOOSE(CONTROL!$C$9, $D$9, 100%, $F$9) + CHOOSE(CONTROL!$C$27, 0.0021, 0)</f>
        <v>36.5871</v>
      </c>
      <c r="G135" s="14">
        <f>36.8563 * CHOOSE(CONTROL!$C$9, $D$9, 100%, $F$9) + CHOOSE(CONTROL!$C$27, 0.0021, 0)</f>
        <v>36.858399999999996</v>
      </c>
      <c r="H135" s="14">
        <f>36.7216 * CHOOSE(CONTROL!$C$9, $D$9, 100%, $F$9) + CHOOSE(CONTROL!$C$27, 0.0021, 0)</f>
        <v>36.723700000000001</v>
      </c>
      <c r="I135" s="14">
        <f>36.7216 * CHOOSE(CONTROL!$C$9, $D$9, 100%, $F$9) + CHOOSE(CONTROL!$C$27, 0.0021, 0)</f>
        <v>36.723700000000001</v>
      </c>
      <c r="J135" s="14">
        <f>36.7216 * CHOOSE(CONTROL!$C$9, $D$9, 100%, $F$9) + CHOOSE(CONTROL!$C$27, 0.0021, 0)</f>
        <v>36.723700000000001</v>
      </c>
      <c r="K135" s="14">
        <f>36.7216 * CHOOSE(CONTROL!$C$9, $D$9, 100%, $F$9) + CHOOSE(CONTROL!$C$27, 0.0021, 0)</f>
        <v>36.723700000000001</v>
      </c>
      <c r="L135" s="14"/>
    </row>
    <row r="136" spans="1:12" ht="15" x14ac:dyDescent="0.2">
      <c r="A136" s="13">
        <v>45047</v>
      </c>
      <c r="B136" s="14">
        <f>37.9593 * CHOOSE(CONTROL!$C$9, $D$9, 100%, $F$9) + CHOOSE(CONTROL!$C$27, 0.0021, 0)</f>
        <v>37.961399999999998</v>
      </c>
      <c r="C136" s="14">
        <f>37.527 * CHOOSE(CONTROL!$C$9, $D$9, 100%, $F$9) + CHOOSE(CONTROL!$C$27, 0.0021, 0)</f>
        <v>37.5291</v>
      </c>
      <c r="D136" s="14">
        <f>37.527 * CHOOSE(CONTROL!$C$9, $D$9, 100%, $F$9) + CHOOSE(CONTROL!$C$27, 0.0021, 0)</f>
        <v>37.5291</v>
      </c>
      <c r="E136" s="14">
        <f>37.3904 * CHOOSE(CONTROL!$C$9, $D$9, 100%, $F$9) + CHOOSE(CONTROL!$C$27, 0.0021, 0)</f>
        <v>37.392499999999998</v>
      </c>
      <c r="F136" s="14">
        <f>37.3904 * CHOOSE(CONTROL!$C$9, $D$9, 100%, $F$9) + CHOOSE(CONTROL!$C$27, 0.0021, 0)</f>
        <v>37.392499999999998</v>
      </c>
      <c r="G136" s="14">
        <f>37.6618 * CHOOSE(CONTROL!$C$9, $D$9, 100%, $F$9) + CHOOSE(CONTROL!$C$27, 0.0021, 0)</f>
        <v>37.663899999999998</v>
      </c>
      <c r="H136" s="14">
        <f>37.527 * CHOOSE(CONTROL!$C$9, $D$9, 100%, $F$9) + CHOOSE(CONTROL!$C$27, 0.0021, 0)</f>
        <v>37.5291</v>
      </c>
      <c r="I136" s="14">
        <f>37.527 * CHOOSE(CONTROL!$C$9, $D$9, 100%, $F$9) + CHOOSE(CONTROL!$C$27, 0.0021, 0)</f>
        <v>37.5291</v>
      </c>
      <c r="J136" s="14">
        <f>37.527 * CHOOSE(CONTROL!$C$9, $D$9, 100%, $F$9) + CHOOSE(CONTROL!$C$27, 0.0021, 0)</f>
        <v>37.5291</v>
      </c>
      <c r="K136" s="14">
        <f>37.527 * CHOOSE(CONTROL!$C$9, $D$9, 100%, $F$9) + CHOOSE(CONTROL!$C$27, 0.0021, 0)</f>
        <v>37.5291</v>
      </c>
      <c r="L136" s="14"/>
    </row>
    <row r="137" spans="1:12" ht="15" x14ac:dyDescent="0.2">
      <c r="A137" s="13">
        <v>45078</v>
      </c>
      <c r="B137" s="14">
        <f>38.4731 * CHOOSE(CONTROL!$C$9, $D$9, 100%, $F$9) + CHOOSE(CONTROL!$C$27, 0.0021, 0)</f>
        <v>38.475200000000001</v>
      </c>
      <c r="C137" s="14">
        <f>38.0408 * CHOOSE(CONTROL!$C$9, $D$9, 100%, $F$9) + CHOOSE(CONTROL!$C$27, 0.0021, 0)</f>
        <v>38.042899999999996</v>
      </c>
      <c r="D137" s="14">
        <f>38.0408 * CHOOSE(CONTROL!$C$9, $D$9, 100%, $F$9) + CHOOSE(CONTROL!$C$27, 0.0021, 0)</f>
        <v>38.042899999999996</v>
      </c>
      <c r="E137" s="14">
        <f>37.9042 * CHOOSE(CONTROL!$C$9, $D$9, 100%, $F$9) + CHOOSE(CONTROL!$C$27, 0.0021, 0)</f>
        <v>37.906300000000002</v>
      </c>
      <c r="F137" s="14">
        <f>37.9042 * CHOOSE(CONTROL!$C$9, $D$9, 100%, $F$9) + CHOOSE(CONTROL!$C$27, 0.0021, 0)</f>
        <v>37.906300000000002</v>
      </c>
      <c r="G137" s="14">
        <f>38.1755 * CHOOSE(CONTROL!$C$9, $D$9, 100%, $F$9) + CHOOSE(CONTROL!$C$27, 0.0021, 0)</f>
        <v>38.177599999999998</v>
      </c>
      <c r="H137" s="14">
        <f>38.0408 * CHOOSE(CONTROL!$C$9, $D$9, 100%, $F$9) + CHOOSE(CONTROL!$C$27, 0.0021, 0)</f>
        <v>38.042899999999996</v>
      </c>
      <c r="I137" s="14">
        <f>38.0408 * CHOOSE(CONTROL!$C$9, $D$9, 100%, $F$9) + CHOOSE(CONTROL!$C$27, 0.0021, 0)</f>
        <v>38.042899999999996</v>
      </c>
      <c r="J137" s="14">
        <f>38.0408 * CHOOSE(CONTROL!$C$9, $D$9, 100%, $F$9) + CHOOSE(CONTROL!$C$27, 0.0021, 0)</f>
        <v>38.042899999999996</v>
      </c>
      <c r="K137" s="14">
        <f>38.0408 * CHOOSE(CONTROL!$C$9, $D$9, 100%, $F$9) + CHOOSE(CONTROL!$C$27, 0.0021, 0)</f>
        <v>38.042899999999996</v>
      </c>
      <c r="L137" s="14"/>
    </row>
    <row r="138" spans="1:12" ht="15" x14ac:dyDescent="0.2">
      <c r="A138" s="13">
        <v>45108</v>
      </c>
      <c r="B138" s="14">
        <f>39.2754 * CHOOSE(CONTROL!$C$9, $D$9, 100%, $F$9) + CHOOSE(CONTROL!$C$27, 0.0021, 0)</f>
        <v>39.277499999999996</v>
      </c>
      <c r="C138" s="14">
        <f>38.8432 * CHOOSE(CONTROL!$C$9, $D$9, 100%, $F$9) + CHOOSE(CONTROL!$C$27, 0.0021, 0)</f>
        <v>38.845300000000002</v>
      </c>
      <c r="D138" s="14">
        <f>38.8432 * CHOOSE(CONTROL!$C$9, $D$9, 100%, $F$9) + CHOOSE(CONTROL!$C$27, 0.0021, 0)</f>
        <v>38.845300000000002</v>
      </c>
      <c r="E138" s="14">
        <f>38.7065 * CHOOSE(CONTROL!$C$9, $D$9, 100%, $F$9) + CHOOSE(CONTROL!$C$27, 0.0021, 0)</f>
        <v>38.708599999999997</v>
      </c>
      <c r="F138" s="14">
        <f>38.7065 * CHOOSE(CONTROL!$C$9, $D$9, 100%, $F$9) + CHOOSE(CONTROL!$C$27, 0.0021, 0)</f>
        <v>38.708599999999997</v>
      </c>
      <c r="G138" s="14">
        <f>38.9779 * CHOOSE(CONTROL!$C$9, $D$9, 100%, $F$9) + CHOOSE(CONTROL!$C$27, 0.0021, 0)</f>
        <v>38.979999999999997</v>
      </c>
      <c r="H138" s="14">
        <f>38.8432 * CHOOSE(CONTROL!$C$9, $D$9, 100%, $F$9) + CHOOSE(CONTROL!$C$27, 0.0021, 0)</f>
        <v>38.845300000000002</v>
      </c>
      <c r="I138" s="14">
        <f>38.8432 * CHOOSE(CONTROL!$C$9, $D$9, 100%, $F$9) + CHOOSE(CONTROL!$C$27, 0.0021, 0)</f>
        <v>38.845300000000002</v>
      </c>
      <c r="J138" s="14">
        <f>38.8432 * CHOOSE(CONTROL!$C$9, $D$9, 100%, $F$9) + CHOOSE(CONTROL!$C$27, 0.0021, 0)</f>
        <v>38.845300000000002</v>
      </c>
      <c r="K138" s="14">
        <f>38.8432 * CHOOSE(CONTROL!$C$9, $D$9, 100%, $F$9) + CHOOSE(CONTROL!$C$27, 0.0021, 0)</f>
        <v>38.845300000000002</v>
      </c>
      <c r="L138" s="14"/>
    </row>
    <row r="139" spans="1:12" ht="15" x14ac:dyDescent="0.2">
      <c r="A139" s="13">
        <v>45139</v>
      </c>
      <c r="B139" s="14">
        <f>39.5742 * CHOOSE(CONTROL!$C$9, $D$9, 100%, $F$9) + CHOOSE(CONTROL!$C$27, 0.0021, 0)</f>
        <v>39.576299999999996</v>
      </c>
      <c r="C139" s="14">
        <f>39.142 * CHOOSE(CONTROL!$C$9, $D$9, 100%, $F$9) + CHOOSE(CONTROL!$C$27, 0.0021, 0)</f>
        <v>39.144100000000002</v>
      </c>
      <c r="D139" s="14">
        <f>39.142 * CHOOSE(CONTROL!$C$9, $D$9, 100%, $F$9) + CHOOSE(CONTROL!$C$27, 0.0021, 0)</f>
        <v>39.144100000000002</v>
      </c>
      <c r="E139" s="14">
        <f>39.0053 * CHOOSE(CONTROL!$C$9, $D$9, 100%, $F$9) + CHOOSE(CONTROL!$C$27, 0.0021, 0)</f>
        <v>39.007399999999997</v>
      </c>
      <c r="F139" s="14">
        <f>39.0053 * CHOOSE(CONTROL!$C$9, $D$9, 100%, $F$9) + CHOOSE(CONTROL!$C$27, 0.0021, 0)</f>
        <v>39.007399999999997</v>
      </c>
      <c r="G139" s="14">
        <f>39.2767 * CHOOSE(CONTROL!$C$9, $D$9, 100%, $F$9) + CHOOSE(CONTROL!$C$27, 0.0021, 0)</f>
        <v>39.278799999999997</v>
      </c>
      <c r="H139" s="14">
        <f>39.142 * CHOOSE(CONTROL!$C$9, $D$9, 100%, $F$9) + CHOOSE(CONTROL!$C$27, 0.0021, 0)</f>
        <v>39.144100000000002</v>
      </c>
      <c r="I139" s="14">
        <f>39.142 * CHOOSE(CONTROL!$C$9, $D$9, 100%, $F$9) + CHOOSE(CONTROL!$C$27, 0.0021, 0)</f>
        <v>39.144100000000002</v>
      </c>
      <c r="J139" s="14">
        <f>39.142 * CHOOSE(CONTROL!$C$9, $D$9, 100%, $F$9) + CHOOSE(CONTROL!$C$27, 0.0021, 0)</f>
        <v>39.144100000000002</v>
      </c>
      <c r="K139" s="14">
        <f>39.142 * CHOOSE(CONTROL!$C$9, $D$9, 100%, $F$9) + CHOOSE(CONTROL!$C$27, 0.0021, 0)</f>
        <v>39.144100000000002</v>
      </c>
      <c r="L139" s="14"/>
    </row>
    <row r="140" spans="1:12" ht="15" x14ac:dyDescent="0.2">
      <c r="A140" s="13">
        <v>45170</v>
      </c>
      <c r="B140" s="14">
        <f>40.4107 * CHOOSE(CONTROL!$C$9, $D$9, 100%, $F$9) + CHOOSE(CONTROL!$C$27, 0.0021, 0)</f>
        <v>40.412799999999997</v>
      </c>
      <c r="C140" s="14">
        <f>39.9785 * CHOOSE(CONTROL!$C$9, $D$9, 100%, $F$9) + CHOOSE(CONTROL!$C$27, 0.0021, 0)</f>
        <v>39.980599999999995</v>
      </c>
      <c r="D140" s="14">
        <f>39.9785 * CHOOSE(CONTROL!$C$9, $D$9, 100%, $F$9) + CHOOSE(CONTROL!$C$27, 0.0021, 0)</f>
        <v>39.980599999999995</v>
      </c>
      <c r="E140" s="14">
        <f>39.8418 * CHOOSE(CONTROL!$C$9, $D$9, 100%, $F$9) + CHOOSE(CONTROL!$C$27, 0.0021, 0)</f>
        <v>39.843899999999998</v>
      </c>
      <c r="F140" s="14">
        <f>39.8418 * CHOOSE(CONTROL!$C$9, $D$9, 100%, $F$9) + CHOOSE(CONTROL!$C$27, 0.0021, 0)</f>
        <v>39.843899999999998</v>
      </c>
      <c r="G140" s="14">
        <f>40.1132 * CHOOSE(CONTROL!$C$9, $D$9, 100%, $F$9) + CHOOSE(CONTROL!$C$27, 0.0021, 0)</f>
        <v>40.115299999999998</v>
      </c>
      <c r="H140" s="14">
        <f>39.9785 * CHOOSE(CONTROL!$C$9, $D$9, 100%, $F$9) + CHOOSE(CONTROL!$C$27, 0.0021, 0)</f>
        <v>39.980599999999995</v>
      </c>
      <c r="I140" s="14">
        <f>39.9785 * CHOOSE(CONTROL!$C$9, $D$9, 100%, $F$9) + CHOOSE(CONTROL!$C$27, 0.0021, 0)</f>
        <v>39.980599999999995</v>
      </c>
      <c r="J140" s="14">
        <f>39.9785 * CHOOSE(CONTROL!$C$9, $D$9, 100%, $F$9) + CHOOSE(CONTROL!$C$27, 0.0021, 0)</f>
        <v>39.980599999999995</v>
      </c>
      <c r="K140" s="14">
        <f>39.9785 * CHOOSE(CONTROL!$C$9, $D$9, 100%, $F$9) + CHOOSE(CONTROL!$C$27, 0.0021, 0)</f>
        <v>39.980599999999995</v>
      </c>
      <c r="L140" s="14"/>
    </row>
    <row r="141" spans="1:12" ht="15" x14ac:dyDescent="0.2">
      <c r="A141" s="13">
        <v>45200</v>
      </c>
      <c r="B141" s="14">
        <f>41.4528 * CHOOSE(CONTROL!$C$9, $D$9, 100%, $F$9) + CHOOSE(CONTROL!$C$27, 0.0021, 0)</f>
        <v>41.454900000000002</v>
      </c>
      <c r="C141" s="14">
        <f>41.0206 * CHOOSE(CONTROL!$C$9, $D$9, 100%, $F$9) + CHOOSE(CONTROL!$C$27, 0.0021, 0)</f>
        <v>41.0227</v>
      </c>
      <c r="D141" s="14">
        <f>41.0206 * CHOOSE(CONTROL!$C$9, $D$9, 100%, $F$9) + CHOOSE(CONTROL!$C$27, 0.0021, 0)</f>
        <v>41.0227</v>
      </c>
      <c r="E141" s="14">
        <f>40.8839 * CHOOSE(CONTROL!$C$9, $D$9, 100%, $F$9) + CHOOSE(CONTROL!$C$27, 0.0021, 0)</f>
        <v>40.885999999999996</v>
      </c>
      <c r="F141" s="14">
        <f>40.8839 * CHOOSE(CONTROL!$C$9, $D$9, 100%, $F$9) + CHOOSE(CONTROL!$C$27, 0.0021, 0)</f>
        <v>40.885999999999996</v>
      </c>
      <c r="G141" s="14">
        <f>41.1553 * CHOOSE(CONTROL!$C$9, $D$9, 100%, $F$9) + CHOOSE(CONTROL!$C$27, 0.0021, 0)</f>
        <v>41.157399999999996</v>
      </c>
      <c r="H141" s="14">
        <f>41.0206 * CHOOSE(CONTROL!$C$9, $D$9, 100%, $F$9) + CHOOSE(CONTROL!$C$27, 0.0021, 0)</f>
        <v>41.0227</v>
      </c>
      <c r="I141" s="14">
        <f>41.0206 * CHOOSE(CONTROL!$C$9, $D$9, 100%, $F$9) + CHOOSE(CONTROL!$C$27, 0.0021, 0)</f>
        <v>41.0227</v>
      </c>
      <c r="J141" s="14">
        <f>41.0206 * CHOOSE(CONTROL!$C$9, $D$9, 100%, $F$9) + CHOOSE(CONTROL!$C$27, 0.0021, 0)</f>
        <v>41.0227</v>
      </c>
      <c r="K141" s="14">
        <f>41.0206 * CHOOSE(CONTROL!$C$9, $D$9, 100%, $F$9) + CHOOSE(CONTROL!$C$27, 0.0021, 0)</f>
        <v>41.0227</v>
      </c>
      <c r="L141" s="14"/>
    </row>
    <row r="142" spans="1:12" ht="15" x14ac:dyDescent="0.2">
      <c r="A142" s="13">
        <v>45231</v>
      </c>
      <c r="B142" s="14">
        <f>41.6242 * CHOOSE(CONTROL!$C$9, $D$9, 100%, $F$9) + CHOOSE(CONTROL!$C$27, 0.0021, 0)</f>
        <v>41.626300000000001</v>
      </c>
      <c r="C142" s="14">
        <f>41.1919 * CHOOSE(CONTROL!$C$9, $D$9, 100%, $F$9) + CHOOSE(CONTROL!$C$27, 0.0021, 0)</f>
        <v>41.193999999999996</v>
      </c>
      <c r="D142" s="14">
        <f>41.1919 * CHOOSE(CONTROL!$C$9, $D$9, 100%, $F$9) + CHOOSE(CONTROL!$C$27, 0.0021, 0)</f>
        <v>41.193999999999996</v>
      </c>
      <c r="E142" s="14">
        <f>41.0553 * CHOOSE(CONTROL!$C$9, $D$9, 100%, $F$9) + CHOOSE(CONTROL!$C$27, 0.0021, 0)</f>
        <v>41.057400000000001</v>
      </c>
      <c r="F142" s="14">
        <f>41.0553 * CHOOSE(CONTROL!$C$9, $D$9, 100%, $F$9) + CHOOSE(CONTROL!$C$27, 0.0021, 0)</f>
        <v>41.057400000000001</v>
      </c>
      <c r="G142" s="14">
        <f>41.3266 * CHOOSE(CONTROL!$C$9, $D$9, 100%, $F$9) + CHOOSE(CONTROL!$C$27, 0.0021, 0)</f>
        <v>41.328699999999998</v>
      </c>
      <c r="H142" s="14">
        <f>41.1919 * CHOOSE(CONTROL!$C$9, $D$9, 100%, $F$9) + CHOOSE(CONTROL!$C$27, 0.0021, 0)</f>
        <v>41.193999999999996</v>
      </c>
      <c r="I142" s="14">
        <f>41.1919 * CHOOSE(CONTROL!$C$9, $D$9, 100%, $F$9) + CHOOSE(CONTROL!$C$27, 0.0021, 0)</f>
        <v>41.193999999999996</v>
      </c>
      <c r="J142" s="14">
        <f>41.1919 * CHOOSE(CONTROL!$C$9, $D$9, 100%, $F$9) + CHOOSE(CONTROL!$C$27, 0.0021, 0)</f>
        <v>41.193999999999996</v>
      </c>
      <c r="K142" s="14">
        <f>41.1919 * CHOOSE(CONTROL!$C$9, $D$9, 100%, $F$9) + CHOOSE(CONTROL!$C$27, 0.0021, 0)</f>
        <v>41.193999999999996</v>
      </c>
      <c r="L142" s="14"/>
    </row>
    <row r="143" spans="1:12" ht="15" x14ac:dyDescent="0.2">
      <c r="A143" s="13">
        <v>45261</v>
      </c>
      <c r="B143" s="14">
        <f>40.9324 * CHOOSE(CONTROL!$C$9, $D$9, 100%, $F$9) + CHOOSE(CONTROL!$C$27, 0.0021, 0)</f>
        <v>40.9345</v>
      </c>
      <c r="C143" s="14">
        <f>40.5001 * CHOOSE(CONTROL!$C$9, $D$9, 100%, $F$9) + CHOOSE(CONTROL!$C$27, 0.0021, 0)</f>
        <v>40.502200000000002</v>
      </c>
      <c r="D143" s="14">
        <f>40.5001 * CHOOSE(CONTROL!$C$9, $D$9, 100%, $F$9) + CHOOSE(CONTROL!$C$27, 0.0021, 0)</f>
        <v>40.502200000000002</v>
      </c>
      <c r="E143" s="14">
        <f>40.3635 * CHOOSE(CONTROL!$C$9, $D$9, 100%, $F$9) + CHOOSE(CONTROL!$C$27, 0.0021, 0)</f>
        <v>40.365600000000001</v>
      </c>
      <c r="F143" s="14">
        <f>40.3635 * CHOOSE(CONTROL!$C$9, $D$9, 100%, $F$9) + CHOOSE(CONTROL!$C$27, 0.0021, 0)</f>
        <v>40.365600000000001</v>
      </c>
      <c r="G143" s="14">
        <f>40.6349 * CHOOSE(CONTROL!$C$9, $D$9, 100%, $F$9) + CHOOSE(CONTROL!$C$27, 0.0021, 0)</f>
        <v>40.637</v>
      </c>
      <c r="H143" s="14">
        <f>40.5001 * CHOOSE(CONTROL!$C$9, $D$9, 100%, $F$9) + CHOOSE(CONTROL!$C$27, 0.0021, 0)</f>
        <v>40.502200000000002</v>
      </c>
      <c r="I143" s="14">
        <f>40.5001 * CHOOSE(CONTROL!$C$9, $D$9, 100%, $F$9) + CHOOSE(CONTROL!$C$27, 0.0021, 0)</f>
        <v>40.502200000000002</v>
      </c>
      <c r="J143" s="14">
        <f>40.5001 * CHOOSE(CONTROL!$C$9, $D$9, 100%, $F$9) + CHOOSE(CONTROL!$C$27, 0.0021, 0)</f>
        <v>40.502200000000002</v>
      </c>
      <c r="K143" s="14">
        <f>40.5001 * CHOOSE(CONTROL!$C$9, $D$9, 100%, $F$9) + CHOOSE(CONTROL!$C$27, 0.0021, 0)</f>
        <v>40.502200000000002</v>
      </c>
      <c r="L143" s="14"/>
    </row>
    <row r="144" spans="1:12" ht="15" x14ac:dyDescent="0.2">
      <c r="A144" s="13">
        <v>45292</v>
      </c>
      <c r="B144" s="14">
        <f>41.4806 * CHOOSE(CONTROL!$C$9, $D$9, 100%, $F$9) + CHOOSE(CONTROL!$C$27, 0.0021, 0)</f>
        <v>41.482700000000001</v>
      </c>
      <c r="C144" s="14">
        <f>41.0484 * CHOOSE(CONTROL!$C$9, $D$9, 100%, $F$9) + CHOOSE(CONTROL!$C$27, 0.0021, 0)</f>
        <v>41.0505</v>
      </c>
      <c r="D144" s="14">
        <f>41.0484 * CHOOSE(CONTROL!$C$9, $D$9, 100%, $F$9) + CHOOSE(CONTROL!$C$27, 0.0021, 0)</f>
        <v>41.0505</v>
      </c>
      <c r="E144" s="14">
        <f>40.9117 * CHOOSE(CONTROL!$C$9, $D$9, 100%, $F$9) + CHOOSE(CONTROL!$C$27, 0.0021, 0)</f>
        <v>40.913800000000002</v>
      </c>
      <c r="F144" s="14">
        <f>40.9117 * CHOOSE(CONTROL!$C$9, $D$9, 100%, $F$9) + CHOOSE(CONTROL!$C$27, 0.0021, 0)</f>
        <v>40.913800000000002</v>
      </c>
      <c r="G144" s="14">
        <f>41.1831 * CHOOSE(CONTROL!$C$9, $D$9, 100%, $F$9) + CHOOSE(CONTROL!$C$27, 0.0021, 0)</f>
        <v>41.185200000000002</v>
      </c>
      <c r="H144" s="14">
        <f>41.0484 * CHOOSE(CONTROL!$C$9, $D$9, 100%, $F$9) + CHOOSE(CONTROL!$C$27, 0.0021, 0)</f>
        <v>41.0505</v>
      </c>
      <c r="I144" s="14">
        <f>41.0484 * CHOOSE(CONTROL!$C$9, $D$9, 100%, $F$9) + CHOOSE(CONTROL!$C$27, 0.0021, 0)</f>
        <v>41.0505</v>
      </c>
      <c r="J144" s="14">
        <f>41.0484 * CHOOSE(CONTROL!$C$9, $D$9, 100%, $F$9) + CHOOSE(CONTROL!$C$27, 0.0021, 0)</f>
        <v>41.0505</v>
      </c>
      <c r="K144" s="14">
        <f>41.0484 * CHOOSE(CONTROL!$C$9, $D$9, 100%, $F$9) + CHOOSE(CONTROL!$C$27, 0.0021, 0)</f>
        <v>41.0505</v>
      </c>
      <c r="L144" s="14"/>
    </row>
    <row r="145" spans="1:12" ht="15" x14ac:dyDescent="0.2">
      <c r="A145" s="13">
        <v>45323</v>
      </c>
      <c r="B145" s="14">
        <f>40.4506 * CHOOSE(CONTROL!$C$9, $D$9, 100%, $F$9) + CHOOSE(CONTROL!$C$27, 0.0021, 0)</f>
        <v>40.4527</v>
      </c>
      <c r="C145" s="14">
        <f>40.0183 * CHOOSE(CONTROL!$C$9, $D$9, 100%, $F$9) + CHOOSE(CONTROL!$C$27, 0.0021, 0)</f>
        <v>40.020400000000002</v>
      </c>
      <c r="D145" s="14">
        <f>40.0183 * CHOOSE(CONTROL!$C$9, $D$9, 100%, $F$9) + CHOOSE(CONTROL!$C$27, 0.0021, 0)</f>
        <v>40.020400000000002</v>
      </c>
      <c r="E145" s="14">
        <f>39.8817 * CHOOSE(CONTROL!$C$9, $D$9, 100%, $F$9) + CHOOSE(CONTROL!$C$27, 0.0021, 0)</f>
        <v>39.883800000000001</v>
      </c>
      <c r="F145" s="14">
        <f>39.8817 * CHOOSE(CONTROL!$C$9, $D$9, 100%, $F$9) + CHOOSE(CONTROL!$C$27, 0.0021, 0)</f>
        <v>39.883800000000001</v>
      </c>
      <c r="G145" s="14">
        <f>40.1531 * CHOOSE(CONTROL!$C$9, $D$9, 100%, $F$9) + CHOOSE(CONTROL!$C$27, 0.0021, 0)</f>
        <v>40.155200000000001</v>
      </c>
      <c r="H145" s="14">
        <f>40.0183 * CHOOSE(CONTROL!$C$9, $D$9, 100%, $F$9) + CHOOSE(CONTROL!$C$27, 0.0021, 0)</f>
        <v>40.020400000000002</v>
      </c>
      <c r="I145" s="14">
        <f>40.0183 * CHOOSE(CONTROL!$C$9, $D$9, 100%, $F$9) + CHOOSE(CONTROL!$C$27, 0.0021, 0)</f>
        <v>40.020400000000002</v>
      </c>
      <c r="J145" s="14">
        <f>40.0183 * CHOOSE(CONTROL!$C$9, $D$9, 100%, $F$9) + CHOOSE(CONTROL!$C$27, 0.0021, 0)</f>
        <v>40.020400000000002</v>
      </c>
      <c r="K145" s="14">
        <f>40.0183 * CHOOSE(CONTROL!$C$9, $D$9, 100%, $F$9) + CHOOSE(CONTROL!$C$27, 0.0021, 0)</f>
        <v>40.020400000000002</v>
      </c>
      <c r="L145" s="14"/>
    </row>
    <row r="146" spans="1:12" ht="15" x14ac:dyDescent="0.2">
      <c r="A146" s="13">
        <v>45352</v>
      </c>
      <c r="B146" s="14">
        <f>40.0697 * CHOOSE(CONTROL!$C$9, $D$9, 100%, $F$9) + CHOOSE(CONTROL!$C$27, 0.0021, 0)</f>
        <v>40.071799999999996</v>
      </c>
      <c r="C146" s="14">
        <f>39.6375 * CHOOSE(CONTROL!$C$9, $D$9, 100%, $F$9) + CHOOSE(CONTROL!$C$27, 0.0021, 0)</f>
        <v>39.639600000000002</v>
      </c>
      <c r="D146" s="14">
        <f>39.6375 * CHOOSE(CONTROL!$C$9, $D$9, 100%, $F$9) + CHOOSE(CONTROL!$C$27, 0.0021, 0)</f>
        <v>39.639600000000002</v>
      </c>
      <c r="E146" s="14">
        <f>39.5008 * CHOOSE(CONTROL!$C$9, $D$9, 100%, $F$9) + CHOOSE(CONTROL!$C$27, 0.0021, 0)</f>
        <v>39.502899999999997</v>
      </c>
      <c r="F146" s="14">
        <f>39.5008 * CHOOSE(CONTROL!$C$9, $D$9, 100%, $F$9) + CHOOSE(CONTROL!$C$27, 0.0021, 0)</f>
        <v>39.502899999999997</v>
      </c>
      <c r="G146" s="14">
        <f>39.7722 * CHOOSE(CONTROL!$C$9, $D$9, 100%, $F$9) + CHOOSE(CONTROL!$C$27, 0.0021, 0)</f>
        <v>39.774299999999997</v>
      </c>
      <c r="H146" s="14">
        <f>39.6375 * CHOOSE(CONTROL!$C$9, $D$9, 100%, $F$9) + CHOOSE(CONTROL!$C$27, 0.0021, 0)</f>
        <v>39.639600000000002</v>
      </c>
      <c r="I146" s="14">
        <f>39.6375 * CHOOSE(CONTROL!$C$9, $D$9, 100%, $F$9) + CHOOSE(CONTROL!$C$27, 0.0021, 0)</f>
        <v>39.639600000000002</v>
      </c>
      <c r="J146" s="14">
        <f>39.6375 * CHOOSE(CONTROL!$C$9, $D$9, 100%, $F$9) + CHOOSE(CONTROL!$C$27, 0.0021, 0)</f>
        <v>39.639600000000002</v>
      </c>
      <c r="K146" s="14">
        <f>39.6375 * CHOOSE(CONTROL!$C$9, $D$9, 100%, $F$9) + CHOOSE(CONTROL!$C$27, 0.0021, 0)</f>
        <v>39.639600000000002</v>
      </c>
      <c r="L146" s="14"/>
    </row>
    <row r="147" spans="1:12" ht="15" x14ac:dyDescent="0.2">
      <c r="A147" s="13">
        <v>45383</v>
      </c>
      <c r="B147" s="14">
        <f>39.5978 * CHOOSE(CONTROL!$C$9, $D$9, 100%, $F$9) + CHOOSE(CONTROL!$C$27, 0.0021, 0)</f>
        <v>39.599899999999998</v>
      </c>
      <c r="C147" s="14">
        <f>39.1656 * CHOOSE(CONTROL!$C$9, $D$9, 100%, $F$9) + CHOOSE(CONTROL!$C$27, 0.0021, 0)</f>
        <v>39.167699999999996</v>
      </c>
      <c r="D147" s="14">
        <f>39.1656 * CHOOSE(CONTROL!$C$9, $D$9, 100%, $F$9) + CHOOSE(CONTROL!$C$27, 0.0021, 0)</f>
        <v>39.167699999999996</v>
      </c>
      <c r="E147" s="14">
        <f>39.0289 * CHOOSE(CONTROL!$C$9, $D$9, 100%, $F$9) + CHOOSE(CONTROL!$C$27, 0.0021, 0)</f>
        <v>39.030999999999999</v>
      </c>
      <c r="F147" s="14">
        <f>39.0289 * CHOOSE(CONTROL!$C$9, $D$9, 100%, $F$9) + CHOOSE(CONTROL!$C$27, 0.0021, 0)</f>
        <v>39.030999999999999</v>
      </c>
      <c r="G147" s="14">
        <f>39.3003 * CHOOSE(CONTROL!$C$9, $D$9, 100%, $F$9) + CHOOSE(CONTROL!$C$27, 0.0021, 0)</f>
        <v>39.302399999999999</v>
      </c>
      <c r="H147" s="14">
        <f>39.1656 * CHOOSE(CONTROL!$C$9, $D$9, 100%, $F$9) + CHOOSE(CONTROL!$C$27, 0.0021, 0)</f>
        <v>39.167699999999996</v>
      </c>
      <c r="I147" s="14">
        <f>39.1656 * CHOOSE(CONTROL!$C$9, $D$9, 100%, $F$9) + CHOOSE(CONTROL!$C$27, 0.0021, 0)</f>
        <v>39.167699999999996</v>
      </c>
      <c r="J147" s="14">
        <f>39.1656 * CHOOSE(CONTROL!$C$9, $D$9, 100%, $F$9) + CHOOSE(CONTROL!$C$27, 0.0021, 0)</f>
        <v>39.167699999999996</v>
      </c>
      <c r="K147" s="14">
        <f>39.1656 * CHOOSE(CONTROL!$C$9, $D$9, 100%, $F$9) + CHOOSE(CONTROL!$C$27, 0.0021, 0)</f>
        <v>39.167699999999996</v>
      </c>
      <c r="L147" s="14"/>
    </row>
    <row r="148" spans="1:12" ht="15" x14ac:dyDescent="0.2">
      <c r="A148" s="13">
        <v>45413</v>
      </c>
      <c r="B148" s="14">
        <f>40.4597 * CHOOSE(CONTROL!$C$9, $D$9, 100%, $F$9) + CHOOSE(CONTROL!$C$27, 0.0021, 0)</f>
        <v>40.461799999999997</v>
      </c>
      <c r="C148" s="14">
        <f>40.0275 * CHOOSE(CONTROL!$C$9, $D$9, 100%, $F$9) + CHOOSE(CONTROL!$C$27, 0.0021, 0)</f>
        <v>40.029600000000002</v>
      </c>
      <c r="D148" s="14">
        <f>40.0275 * CHOOSE(CONTROL!$C$9, $D$9, 100%, $F$9) + CHOOSE(CONTROL!$C$27, 0.0021, 0)</f>
        <v>40.029600000000002</v>
      </c>
      <c r="E148" s="14">
        <f>39.8908 * CHOOSE(CONTROL!$C$9, $D$9, 100%, $F$9) + CHOOSE(CONTROL!$C$27, 0.0021, 0)</f>
        <v>39.892899999999997</v>
      </c>
      <c r="F148" s="14">
        <f>39.8908 * CHOOSE(CONTROL!$C$9, $D$9, 100%, $F$9) + CHOOSE(CONTROL!$C$27, 0.0021, 0)</f>
        <v>39.892899999999997</v>
      </c>
      <c r="G148" s="14">
        <f>40.1622 * CHOOSE(CONTROL!$C$9, $D$9, 100%, $F$9) + CHOOSE(CONTROL!$C$27, 0.0021, 0)</f>
        <v>40.164299999999997</v>
      </c>
      <c r="H148" s="14">
        <f>40.0275 * CHOOSE(CONTROL!$C$9, $D$9, 100%, $F$9) + CHOOSE(CONTROL!$C$27, 0.0021, 0)</f>
        <v>40.029600000000002</v>
      </c>
      <c r="I148" s="14">
        <f>40.0275 * CHOOSE(CONTROL!$C$9, $D$9, 100%, $F$9) + CHOOSE(CONTROL!$C$27, 0.0021, 0)</f>
        <v>40.029600000000002</v>
      </c>
      <c r="J148" s="14">
        <f>40.0275 * CHOOSE(CONTROL!$C$9, $D$9, 100%, $F$9) + CHOOSE(CONTROL!$C$27, 0.0021, 0)</f>
        <v>40.029600000000002</v>
      </c>
      <c r="K148" s="14">
        <f>40.0275 * CHOOSE(CONTROL!$C$9, $D$9, 100%, $F$9) + CHOOSE(CONTROL!$C$27, 0.0021, 0)</f>
        <v>40.029600000000002</v>
      </c>
      <c r="L148" s="14"/>
    </row>
    <row r="149" spans="1:12" ht="15" x14ac:dyDescent="0.2">
      <c r="A149" s="13">
        <v>45444</v>
      </c>
      <c r="B149" s="14">
        <f>41.0095 * CHOOSE(CONTROL!$C$9, $D$9, 100%, $F$9) + CHOOSE(CONTROL!$C$27, 0.0021, 0)</f>
        <v>41.011600000000001</v>
      </c>
      <c r="C149" s="14">
        <f>40.5773 * CHOOSE(CONTROL!$C$9, $D$9, 100%, $F$9) + CHOOSE(CONTROL!$C$27, 0.0021, 0)</f>
        <v>40.5794</v>
      </c>
      <c r="D149" s="14">
        <f>40.5773 * CHOOSE(CONTROL!$C$9, $D$9, 100%, $F$9) + CHOOSE(CONTROL!$C$27, 0.0021, 0)</f>
        <v>40.5794</v>
      </c>
      <c r="E149" s="14">
        <f>40.4406 * CHOOSE(CONTROL!$C$9, $D$9, 100%, $F$9) + CHOOSE(CONTROL!$C$27, 0.0021, 0)</f>
        <v>40.442700000000002</v>
      </c>
      <c r="F149" s="14">
        <f>40.4406 * CHOOSE(CONTROL!$C$9, $D$9, 100%, $F$9) + CHOOSE(CONTROL!$C$27, 0.0021, 0)</f>
        <v>40.442700000000002</v>
      </c>
      <c r="G149" s="14">
        <f>40.712 * CHOOSE(CONTROL!$C$9, $D$9, 100%, $F$9) + CHOOSE(CONTROL!$C$27, 0.0021, 0)</f>
        <v>40.714100000000002</v>
      </c>
      <c r="H149" s="14">
        <f>40.5773 * CHOOSE(CONTROL!$C$9, $D$9, 100%, $F$9) + CHOOSE(CONTROL!$C$27, 0.0021, 0)</f>
        <v>40.5794</v>
      </c>
      <c r="I149" s="14">
        <f>40.5773 * CHOOSE(CONTROL!$C$9, $D$9, 100%, $F$9) + CHOOSE(CONTROL!$C$27, 0.0021, 0)</f>
        <v>40.5794</v>
      </c>
      <c r="J149" s="14">
        <f>40.5773 * CHOOSE(CONTROL!$C$9, $D$9, 100%, $F$9) + CHOOSE(CONTROL!$C$27, 0.0021, 0)</f>
        <v>40.5794</v>
      </c>
      <c r="K149" s="14">
        <f>40.5773 * CHOOSE(CONTROL!$C$9, $D$9, 100%, $F$9) + CHOOSE(CONTROL!$C$27, 0.0021, 0)</f>
        <v>40.5794</v>
      </c>
      <c r="L149" s="14"/>
    </row>
    <row r="150" spans="1:12" ht="15" x14ac:dyDescent="0.2">
      <c r="A150" s="13">
        <v>45474</v>
      </c>
      <c r="B150" s="14">
        <f>41.8681 * CHOOSE(CONTROL!$C$9, $D$9, 100%, $F$9) + CHOOSE(CONTROL!$C$27, 0.0021, 0)</f>
        <v>41.870199999999997</v>
      </c>
      <c r="C150" s="14">
        <f>41.4359 * CHOOSE(CONTROL!$C$9, $D$9, 100%, $F$9) + CHOOSE(CONTROL!$C$27, 0.0021, 0)</f>
        <v>41.437999999999995</v>
      </c>
      <c r="D150" s="14">
        <f>41.4359 * CHOOSE(CONTROL!$C$9, $D$9, 100%, $F$9) + CHOOSE(CONTROL!$C$27, 0.0021, 0)</f>
        <v>41.437999999999995</v>
      </c>
      <c r="E150" s="14">
        <f>41.2992 * CHOOSE(CONTROL!$C$9, $D$9, 100%, $F$9) + CHOOSE(CONTROL!$C$27, 0.0021, 0)</f>
        <v>41.301299999999998</v>
      </c>
      <c r="F150" s="14">
        <f>41.2992 * CHOOSE(CONTROL!$C$9, $D$9, 100%, $F$9) + CHOOSE(CONTROL!$C$27, 0.0021, 0)</f>
        <v>41.301299999999998</v>
      </c>
      <c r="G150" s="14">
        <f>41.5706 * CHOOSE(CONTROL!$C$9, $D$9, 100%, $F$9) + CHOOSE(CONTROL!$C$27, 0.0021, 0)</f>
        <v>41.572699999999998</v>
      </c>
      <c r="H150" s="14">
        <f>41.4359 * CHOOSE(CONTROL!$C$9, $D$9, 100%, $F$9) + CHOOSE(CONTROL!$C$27, 0.0021, 0)</f>
        <v>41.437999999999995</v>
      </c>
      <c r="I150" s="14">
        <f>41.4359 * CHOOSE(CONTROL!$C$9, $D$9, 100%, $F$9) + CHOOSE(CONTROL!$C$27, 0.0021, 0)</f>
        <v>41.437999999999995</v>
      </c>
      <c r="J150" s="14">
        <f>41.4359 * CHOOSE(CONTROL!$C$9, $D$9, 100%, $F$9) + CHOOSE(CONTROL!$C$27, 0.0021, 0)</f>
        <v>41.437999999999995</v>
      </c>
      <c r="K150" s="14">
        <f>41.4359 * CHOOSE(CONTROL!$C$9, $D$9, 100%, $F$9) + CHOOSE(CONTROL!$C$27, 0.0021, 0)</f>
        <v>41.437999999999995</v>
      </c>
      <c r="L150" s="14"/>
    </row>
    <row r="151" spans="1:12" ht="15" x14ac:dyDescent="0.2">
      <c r="A151" s="13">
        <v>45505</v>
      </c>
      <c r="B151" s="14">
        <f>42.1879 * CHOOSE(CONTROL!$C$9, $D$9, 100%, $F$9) + CHOOSE(CONTROL!$C$27, 0.0021, 0)</f>
        <v>42.19</v>
      </c>
      <c r="C151" s="14">
        <f>41.7556 * CHOOSE(CONTROL!$C$9, $D$9, 100%, $F$9) + CHOOSE(CONTROL!$C$27, 0.0021, 0)</f>
        <v>41.7577</v>
      </c>
      <c r="D151" s="14">
        <f>41.7556 * CHOOSE(CONTROL!$C$9, $D$9, 100%, $F$9) + CHOOSE(CONTROL!$C$27, 0.0021, 0)</f>
        <v>41.7577</v>
      </c>
      <c r="E151" s="14">
        <f>41.619 * CHOOSE(CONTROL!$C$9, $D$9, 100%, $F$9) + CHOOSE(CONTROL!$C$27, 0.0021, 0)</f>
        <v>41.621099999999998</v>
      </c>
      <c r="F151" s="14">
        <f>41.619 * CHOOSE(CONTROL!$C$9, $D$9, 100%, $F$9) + CHOOSE(CONTROL!$C$27, 0.0021, 0)</f>
        <v>41.621099999999998</v>
      </c>
      <c r="G151" s="14">
        <f>41.8903 * CHOOSE(CONTROL!$C$9, $D$9, 100%, $F$9) + CHOOSE(CONTROL!$C$27, 0.0021, 0)</f>
        <v>41.892400000000002</v>
      </c>
      <c r="H151" s="14">
        <f>41.7556 * CHOOSE(CONTROL!$C$9, $D$9, 100%, $F$9) + CHOOSE(CONTROL!$C$27, 0.0021, 0)</f>
        <v>41.7577</v>
      </c>
      <c r="I151" s="14">
        <f>41.7556 * CHOOSE(CONTROL!$C$9, $D$9, 100%, $F$9) + CHOOSE(CONTROL!$C$27, 0.0021, 0)</f>
        <v>41.7577</v>
      </c>
      <c r="J151" s="14">
        <f>41.7556 * CHOOSE(CONTROL!$C$9, $D$9, 100%, $F$9) + CHOOSE(CONTROL!$C$27, 0.0021, 0)</f>
        <v>41.7577</v>
      </c>
      <c r="K151" s="14">
        <f>41.7556 * CHOOSE(CONTROL!$C$9, $D$9, 100%, $F$9) + CHOOSE(CONTROL!$C$27, 0.0021, 0)</f>
        <v>41.7577</v>
      </c>
      <c r="L151" s="14"/>
    </row>
    <row r="152" spans="1:12" ht="15" x14ac:dyDescent="0.2">
      <c r="A152" s="13">
        <v>45536</v>
      </c>
      <c r="B152" s="14">
        <f>43.083 * CHOOSE(CONTROL!$C$9, $D$9, 100%, $F$9) + CHOOSE(CONTROL!$C$27, 0.0021, 0)</f>
        <v>43.085099999999997</v>
      </c>
      <c r="C152" s="14">
        <f>42.6507 * CHOOSE(CONTROL!$C$9, $D$9, 100%, $F$9) + CHOOSE(CONTROL!$C$27, 0.0021, 0)</f>
        <v>42.652799999999999</v>
      </c>
      <c r="D152" s="14">
        <f>42.6507 * CHOOSE(CONTROL!$C$9, $D$9, 100%, $F$9) + CHOOSE(CONTROL!$C$27, 0.0021, 0)</f>
        <v>42.652799999999999</v>
      </c>
      <c r="E152" s="14">
        <f>42.5141 * CHOOSE(CONTROL!$C$9, $D$9, 100%, $F$9) + CHOOSE(CONTROL!$C$27, 0.0021, 0)</f>
        <v>42.516199999999998</v>
      </c>
      <c r="F152" s="14">
        <f>42.5141 * CHOOSE(CONTROL!$C$9, $D$9, 100%, $F$9) + CHOOSE(CONTROL!$C$27, 0.0021, 0)</f>
        <v>42.516199999999998</v>
      </c>
      <c r="G152" s="14">
        <f>42.7855 * CHOOSE(CONTROL!$C$9, $D$9, 100%, $F$9) + CHOOSE(CONTROL!$C$27, 0.0021, 0)</f>
        <v>42.787599999999998</v>
      </c>
      <c r="H152" s="14">
        <f>42.6507 * CHOOSE(CONTROL!$C$9, $D$9, 100%, $F$9) + CHOOSE(CONTROL!$C$27, 0.0021, 0)</f>
        <v>42.652799999999999</v>
      </c>
      <c r="I152" s="14">
        <f>42.6507 * CHOOSE(CONTROL!$C$9, $D$9, 100%, $F$9) + CHOOSE(CONTROL!$C$27, 0.0021, 0)</f>
        <v>42.652799999999999</v>
      </c>
      <c r="J152" s="14">
        <f>42.6507 * CHOOSE(CONTROL!$C$9, $D$9, 100%, $F$9) + CHOOSE(CONTROL!$C$27, 0.0021, 0)</f>
        <v>42.652799999999999</v>
      </c>
      <c r="K152" s="14">
        <f>42.6507 * CHOOSE(CONTROL!$C$9, $D$9, 100%, $F$9) + CHOOSE(CONTROL!$C$27, 0.0021, 0)</f>
        <v>42.652799999999999</v>
      </c>
      <c r="L152" s="14"/>
    </row>
    <row r="153" spans="1:12" ht="15" x14ac:dyDescent="0.2">
      <c r="A153" s="13">
        <v>45566</v>
      </c>
      <c r="B153" s="14">
        <f>44.1982 * CHOOSE(CONTROL!$C$9, $D$9, 100%, $F$9) + CHOOSE(CONTROL!$C$27, 0.0021, 0)</f>
        <v>44.200299999999999</v>
      </c>
      <c r="C153" s="14">
        <f>43.7659 * CHOOSE(CONTROL!$C$9, $D$9, 100%, $F$9) + CHOOSE(CONTROL!$C$27, 0.0021, 0)</f>
        <v>43.768000000000001</v>
      </c>
      <c r="D153" s="14">
        <f>43.7659 * CHOOSE(CONTROL!$C$9, $D$9, 100%, $F$9) + CHOOSE(CONTROL!$C$27, 0.0021, 0)</f>
        <v>43.768000000000001</v>
      </c>
      <c r="E153" s="14">
        <f>43.6293 * CHOOSE(CONTROL!$C$9, $D$9, 100%, $F$9) + CHOOSE(CONTROL!$C$27, 0.0021, 0)</f>
        <v>43.631399999999999</v>
      </c>
      <c r="F153" s="14">
        <f>43.6293 * CHOOSE(CONTROL!$C$9, $D$9, 100%, $F$9) + CHOOSE(CONTROL!$C$27, 0.0021, 0)</f>
        <v>43.631399999999999</v>
      </c>
      <c r="G153" s="14">
        <f>43.9007 * CHOOSE(CONTROL!$C$9, $D$9, 100%, $F$9) + CHOOSE(CONTROL!$C$27, 0.0021, 0)</f>
        <v>43.902799999999999</v>
      </c>
      <c r="H153" s="14">
        <f>43.7659 * CHOOSE(CONTROL!$C$9, $D$9, 100%, $F$9) + CHOOSE(CONTROL!$C$27, 0.0021, 0)</f>
        <v>43.768000000000001</v>
      </c>
      <c r="I153" s="14">
        <f>43.7659 * CHOOSE(CONTROL!$C$9, $D$9, 100%, $F$9) + CHOOSE(CONTROL!$C$27, 0.0021, 0)</f>
        <v>43.768000000000001</v>
      </c>
      <c r="J153" s="14">
        <f>43.7659 * CHOOSE(CONTROL!$C$9, $D$9, 100%, $F$9) + CHOOSE(CONTROL!$C$27, 0.0021, 0)</f>
        <v>43.768000000000001</v>
      </c>
      <c r="K153" s="14">
        <f>43.7659 * CHOOSE(CONTROL!$C$9, $D$9, 100%, $F$9) + CHOOSE(CONTROL!$C$27, 0.0021, 0)</f>
        <v>43.768000000000001</v>
      </c>
      <c r="L153" s="14"/>
    </row>
    <row r="154" spans="1:12" ht="15" x14ac:dyDescent="0.2">
      <c r="A154" s="13">
        <v>45597</v>
      </c>
      <c r="B154" s="14">
        <f>44.3815 * CHOOSE(CONTROL!$C$9, $D$9, 100%, $F$9) + CHOOSE(CONTROL!$C$27, 0.0021, 0)</f>
        <v>44.383600000000001</v>
      </c>
      <c r="C154" s="14">
        <f>43.9493 * CHOOSE(CONTROL!$C$9, $D$9, 100%, $F$9) + CHOOSE(CONTROL!$C$27, 0.0021, 0)</f>
        <v>43.9514</v>
      </c>
      <c r="D154" s="14">
        <f>43.9493 * CHOOSE(CONTROL!$C$9, $D$9, 100%, $F$9) + CHOOSE(CONTROL!$C$27, 0.0021, 0)</f>
        <v>43.9514</v>
      </c>
      <c r="E154" s="14">
        <f>43.8126 * CHOOSE(CONTROL!$C$9, $D$9, 100%, $F$9) + CHOOSE(CONTROL!$C$27, 0.0021, 0)</f>
        <v>43.814700000000002</v>
      </c>
      <c r="F154" s="14">
        <f>43.8126 * CHOOSE(CONTROL!$C$9, $D$9, 100%, $F$9) + CHOOSE(CONTROL!$C$27, 0.0021, 0)</f>
        <v>43.814700000000002</v>
      </c>
      <c r="G154" s="14">
        <f>44.084 * CHOOSE(CONTROL!$C$9, $D$9, 100%, $F$9) + CHOOSE(CONTROL!$C$27, 0.0021, 0)</f>
        <v>44.086100000000002</v>
      </c>
      <c r="H154" s="14">
        <f>43.9493 * CHOOSE(CONTROL!$C$9, $D$9, 100%, $F$9) + CHOOSE(CONTROL!$C$27, 0.0021, 0)</f>
        <v>43.9514</v>
      </c>
      <c r="I154" s="14">
        <f>43.9493 * CHOOSE(CONTROL!$C$9, $D$9, 100%, $F$9) + CHOOSE(CONTROL!$C$27, 0.0021, 0)</f>
        <v>43.9514</v>
      </c>
      <c r="J154" s="14">
        <f>43.9493 * CHOOSE(CONTROL!$C$9, $D$9, 100%, $F$9) + CHOOSE(CONTROL!$C$27, 0.0021, 0)</f>
        <v>43.9514</v>
      </c>
      <c r="K154" s="14">
        <f>43.9493 * CHOOSE(CONTROL!$C$9, $D$9, 100%, $F$9) + CHOOSE(CONTROL!$C$27, 0.0021, 0)</f>
        <v>43.9514</v>
      </c>
      <c r="L154" s="14"/>
    </row>
    <row r="155" spans="1:12" ht="15" x14ac:dyDescent="0.2">
      <c r="A155" s="13">
        <v>45627</v>
      </c>
      <c r="B155" s="14">
        <f>43.6412 * CHOOSE(CONTROL!$C$9, $D$9, 100%, $F$9) + CHOOSE(CONTROL!$C$27, 0.0021, 0)</f>
        <v>43.643299999999996</v>
      </c>
      <c r="C155" s="14">
        <f>43.209 * CHOOSE(CONTROL!$C$9, $D$9, 100%, $F$9) + CHOOSE(CONTROL!$C$27, 0.0021, 0)</f>
        <v>43.211100000000002</v>
      </c>
      <c r="D155" s="14">
        <f>43.209 * CHOOSE(CONTROL!$C$9, $D$9, 100%, $F$9) + CHOOSE(CONTROL!$C$27, 0.0021, 0)</f>
        <v>43.211100000000002</v>
      </c>
      <c r="E155" s="14">
        <f>43.0723 * CHOOSE(CONTROL!$C$9, $D$9, 100%, $F$9) + CHOOSE(CONTROL!$C$27, 0.0021, 0)</f>
        <v>43.074399999999997</v>
      </c>
      <c r="F155" s="14">
        <f>43.0723 * CHOOSE(CONTROL!$C$9, $D$9, 100%, $F$9) + CHOOSE(CONTROL!$C$27, 0.0021, 0)</f>
        <v>43.074399999999997</v>
      </c>
      <c r="G155" s="14">
        <f>43.3437 * CHOOSE(CONTROL!$C$9, $D$9, 100%, $F$9) + CHOOSE(CONTROL!$C$27, 0.0021, 0)</f>
        <v>43.345799999999997</v>
      </c>
      <c r="H155" s="14">
        <f>43.209 * CHOOSE(CONTROL!$C$9, $D$9, 100%, $F$9) + CHOOSE(CONTROL!$C$27, 0.0021, 0)</f>
        <v>43.211100000000002</v>
      </c>
      <c r="I155" s="14">
        <f>43.209 * CHOOSE(CONTROL!$C$9, $D$9, 100%, $F$9) + CHOOSE(CONTROL!$C$27, 0.0021, 0)</f>
        <v>43.211100000000002</v>
      </c>
      <c r="J155" s="14">
        <f>43.209 * CHOOSE(CONTROL!$C$9, $D$9, 100%, $F$9) + CHOOSE(CONTROL!$C$27, 0.0021, 0)</f>
        <v>43.211100000000002</v>
      </c>
      <c r="K155" s="14">
        <f>43.209 * CHOOSE(CONTROL!$C$9, $D$9, 100%, $F$9) + CHOOSE(CONTROL!$C$27, 0.0021, 0)</f>
        <v>43.211100000000002</v>
      </c>
      <c r="L155" s="14"/>
    </row>
    <row r="156" spans="1:12" ht="15" x14ac:dyDescent="0.2">
      <c r="A156" s="13">
        <v>45658</v>
      </c>
      <c r="B156" s="14">
        <f>44.0879 * CHOOSE(CONTROL!$C$9, $D$9, 100%, $F$9) + CHOOSE(CONTROL!$C$27, 0.0021, 0)</f>
        <v>44.089999999999996</v>
      </c>
      <c r="C156" s="14">
        <f>43.6556 * CHOOSE(CONTROL!$C$9, $D$9, 100%, $F$9) + CHOOSE(CONTROL!$C$27, 0.0021, 0)</f>
        <v>43.657699999999998</v>
      </c>
      <c r="D156" s="14">
        <f>43.6556 * CHOOSE(CONTROL!$C$9, $D$9, 100%, $F$9) + CHOOSE(CONTROL!$C$27, 0.0021, 0)</f>
        <v>43.657699999999998</v>
      </c>
      <c r="E156" s="14">
        <f>43.519 * CHOOSE(CONTROL!$C$9, $D$9, 100%, $F$9) + CHOOSE(CONTROL!$C$27, 0.0021, 0)</f>
        <v>43.521099999999997</v>
      </c>
      <c r="F156" s="14">
        <f>43.519 * CHOOSE(CONTROL!$C$9, $D$9, 100%, $F$9) + CHOOSE(CONTROL!$C$27, 0.0021, 0)</f>
        <v>43.521099999999997</v>
      </c>
      <c r="G156" s="14">
        <f>43.7903 * CHOOSE(CONTROL!$C$9, $D$9, 100%, $F$9) + CHOOSE(CONTROL!$C$27, 0.0021, 0)</f>
        <v>43.792400000000001</v>
      </c>
      <c r="H156" s="14">
        <f>43.6556 * CHOOSE(CONTROL!$C$9, $D$9, 100%, $F$9) + CHOOSE(CONTROL!$C$27, 0.0021, 0)</f>
        <v>43.657699999999998</v>
      </c>
      <c r="I156" s="14">
        <f>43.6556 * CHOOSE(CONTROL!$C$9, $D$9, 100%, $F$9) + CHOOSE(CONTROL!$C$27, 0.0021, 0)</f>
        <v>43.657699999999998</v>
      </c>
      <c r="J156" s="14">
        <f>43.6556 * CHOOSE(CONTROL!$C$9, $D$9, 100%, $F$9) + CHOOSE(CONTROL!$C$27, 0.0021, 0)</f>
        <v>43.657699999999998</v>
      </c>
      <c r="K156" s="14">
        <f>43.6556 * CHOOSE(CONTROL!$C$9, $D$9, 100%, $F$9) + CHOOSE(CONTROL!$C$27, 0.0021, 0)</f>
        <v>43.657699999999998</v>
      </c>
      <c r="L156" s="14"/>
    </row>
    <row r="157" spans="1:12" ht="15" x14ac:dyDescent="0.2">
      <c r="A157" s="13">
        <v>45689</v>
      </c>
      <c r="B157" s="14">
        <f>42.9893 * CHOOSE(CONTROL!$C$9, $D$9, 100%, $F$9) + CHOOSE(CONTROL!$C$27, 0.0021, 0)</f>
        <v>42.991399999999999</v>
      </c>
      <c r="C157" s="14">
        <f>42.5571 * CHOOSE(CONTROL!$C$9, $D$9, 100%, $F$9) + CHOOSE(CONTROL!$C$27, 0.0021, 0)</f>
        <v>42.559199999999997</v>
      </c>
      <c r="D157" s="14">
        <f>42.5571 * CHOOSE(CONTROL!$C$9, $D$9, 100%, $F$9) + CHOOSE(CONTROL!$C$27, 0.0021, 0)</f>
        <v>42.559199999999997</v>
      </c>
      <c r="E157" s="14">
        <f>42.4204 * CHOOSE(CONTROL!$C$9, $D$9, 100%, $F$9) + CHOOSE(CONTROL!$C$27, 0.0021, 0)</f>
        <v>42.422499999999999</v>
      </c>
      <c r="F157" s="14">
        <f>42.4204 * CHOOSE(CONTROL!$C$9, $D$9, 100%, $F$9) + CHOOSE(CONTROL!$C$27, 0.0021, 0)</f>
        <v>42.422499999999999</v>
      </c>
      <c r="G157" s="14">
        <f>42.6918 * CHOOSE(CONTROL!$C$9, $D$9, 100%, $F$9) + CHOOSE(CONTROL!$C$27, 0.0021, 0)</f>
        <v>42.693899999999999</v>
      </c>
      <c r="H157" s="14">
        <f>42.5571 * CHOOSE(CONTROL!$C$9, $D$9, 100%, $F$9) + CHOOSE(CONTROL!$C$27, 0.0021, 0)</f>
        <v>42.559199999999997</v>
      </c>
      <c r="I157" s="14">
        <f>42.5571 * CHOOSE(CONTROL!$C$9, $D$9, 100%, $F$9) + CHOOSE(CONTROL!$C$27, 0.0021, 0)</f>
        <v>42.559199999999997</v>
      </c>
      <c r="J157" s="14">
        <f>42.5571 * CHOOSE(CONTROL!$C$9, $D$9, 100%, $F$9) + CHOOSE(CONTROL!$C$27, 0.0021, 0)</f>
        <v>42.559199999999997</v>
      </c>
      <c r="K157" s="14">
        <f>42.5571 * CHOOSE(CONTROL!$C$9, $D$9, 100%, $F$9) + CHOOSE(CONTROL!$C$27, 0.0021, 0)</f>
        <v>42.559199999999997</v>
      </c>
      <c r="L157" s="14"/>
    </row>
    <row r="158" spans="1:12" ht="15" x14ac:dyDescent="0.2">
      <c r="A158" s="13">
        <v>45717</v>
      </c>
      <c r="B158" s="14">
        <f>42.5831 * CHOOSE(CONTROL!$C$9, $D$9, 100%, $F$9) + CHOOSE(CONTROL!$C$27, 0.0021, 0)</f>
        <v>42.5852</v>
      </c>
      <c r="C158" s="14">
        <f>42.1509 * CHOOSE(CONTROL!$C$9, $D$9, 100%, $F$9) + CHOOSE(CONTROL!$C$27, 0.0021, 0)</f>
        <v>42.152999999999999</v>
      </c>
      <c r="D158" s="14">
        <f>42.1509 * CHOOSE(CONTROL!$C$9, $D$9, 100%, $F$9) + CHOOSE(CONTROL!$C$27, 0.0021, 0)</f>
        <v>42.152999999999999</v>
      </c>
      <c r="E158" s="14">
        <f>42.0142 * CHOOSE(CONTROL!$C$9, $D$9, 100%, $F$9) + CHOOSE(CONTROL!$C$27, 0.0021, 0)</f>
        <v>42.016300000000001</v>
      </c>
      <c r="F158" s="14">
        <f>42.0142 * CHOOSE(CONTROL!$C$9, $D$9, 100%, $F$9) + CHOOSE(CONTROL!$C$27, 0.0021, 0)</f>
        <v>42.016300000000001</v>
      </c>
      <c r="G158" s="14">
        <f>42.2856 * CHOOSE(CONTROL!$C$9, $D$9, 100%, $F$9) + CHOOSE(CONTROL!$C$27, 0.0021, 0)</f>
        <v>42.287700000000001</v>
      </c>
      <c r="H158" s="14">
        <f>42.1509 * CHOOSE(CONTROL!$C$9, $D$9, 100%, $F$9) + CHOOSE(CONTROL!$C$27, 0.0021, 0)</f>
        <v>42.152999999999999</v>
      </c>
      <c r="I158" s="14">
        <f>42.1509 * CHOOSE(CONTROL!$C$9, $D$9, 100%, $F$9) + CHOOSE(CONTROL!$C$27, 0.0021, 0)</f>
        <v>42.152999999999999</v>
      </c>
      <c r="J158" s="14">
        <f>42.1509 * CHOOSE(CONTROL!$C$9, $D$9, 100%, $F$9) + CHOOSE(CONTROL!$C$27, 0.0021, 0)</f>
        <v>42.152999999999999</v>
      </c>
      <c r="K158" s="14">
        <f>42.1509 * CHOOSE(CONTROL!$C$9, $D$9, 100%, $F$9) + CHOOSE(CONTROL!$C$27, 0.0021, 0)</f>
        <v>42.152999999999999</v>
      </c>
      <c r="L158" s="14"/>
    </row>
    <row r="159" spans="1:12" ht="15" x14ac:dyDescent="0.2">
      <c r="A159" s="13">
        <v>45748</v>
      </c>
      <c r="B159" s="14">
        <f>42.0798 * CHOOSE(CONTROL!$C$9, $D$9, 100%, $F$9) + CHOOSE(CONTROL!$C$27, 0.0021, 0)</f>
        <v>42.081899999999997</v>
      </c>
      <c r="C159" s="14">
        <f>41.6476 * CHOOSE(CONTROL!$C$9, $D$9, 100%, $F$9) + CHOOSE(CONTROL!$C$27, 0.0021, 0)</f>
        <v>41.649699999999996</v>
      </c>
      <c r="D159" s="14">
        <f>41.6476 * CHOOSE(CONTROL!$C$9, $D$9, 100%, $F$9) + CHOOSE(CONTROL!$C$27, 0.0021, 0)</f>
        <v>41.649699999999996</v>
      </c>
      <c r="E159" s="14">
        <f>41.5109 * CHOOSE(CONTROL!$C$9, $D$9, 100%, $F$9) + CHOOSE(CONTROL!$C$27, 0.0021, 0)</f>
        <v>41.512999999999998</v>
      </c>
      <c r="F159" s="14">
        <f>41.5109 * CHOOSE(CONTROL!$C$9, $D$9, 100%, $F$9) + CHOOSE(CONTROL!$C$27, 0.0021, 0)</f>
        <v>41.512999999999998</v>
      </c>
      <c r="G159" s="14">
        <f>41.7823 * CHOOSE(CONTROL!$C$9, $D$9, 100%, $F$9) + CHOOSE(CONTROL!$C$27, 0.0021, 0)</f>
        <v>41.784399999999998</v>
      </c>
      <c r="H159" s="14">
        <f>41.6476 * CHOOSE(CONTROL!$C$9, $D$9, 100%, $F$9) + CHOOSE(CONTROL!$C$27, 0.0021, 0)</f>
        <v>41.649699999999996</v>
      </c>
      <c r="I159" s="14">
        <f>41.6476 * CHOOSE(CONTROL!$C$9, $D$9, 100%, $F$9) + CHOOSE(CONTROL!$C$27, 0.0021, 0)</f>
        <v>41.649699999999996</v>
      </c>
      <c r="J159" s="14">
        <f>41.6476 * CHOOSE(CONTROL!$C$9, $D$9, 100%, $F$9) + CHOOSE(CONTROL!$C$27, 0.0021, 0)</f>
        <v>41.649699999999996</v>
      </c>
      <c r="K159" s="14">
        <f>41.6476 * CHOOSE(CONTROL!$C$9, $D$9, 100%, $F$9) + CHOOSE(CONTROL!$C$27, 0.0021, 0)</f>
        <v>41.649699999999996</v>
      </c>
      <c r="L159" s="14"/>
    </row>
    <row r="160" spans="1:12" ht="15" x14ac:dyDescent="0.2">
      <c r="A160" s="13">
        <v>45778</v>
      </c>
      <c r="B160" s="14">
        <f>42.999 * CHOOSE(CONTROL!$C$9, $D$9, 100%, $F$9) + CHOOSE(CONTROL!$C$27, 0.0021, 0)</f>
        <v>43.001100000000001</v>
      </c>
      <c r="C160" s="14">
        <f>42.5668 * CHOOSE(CONTROL!$C$9, $D$9, 100%, $F$9) + CHOOSE(CONTROL!$C$27, 0.0021, 0)</f>
        <v>42.568899999999999</v>
      </c>
      <c r="D160" s="14">
        <f>42.5668 * CHOOSE(CONTROL!$C$9, $D$9, 100%, $F$9) + CHOOSE(CONTROL!$C$27, 0.0021, 0)</f>
        <v>42.568899999999999</v>
      </c>
      <c r="E160" s="14">
        <f>42.4301 * CHOOSE(CONTROL!$C$9, $D$9, 100%, $F$9) + CHOOSE(CONTROL!$C$27, 0.0021, 0)</f>
        <v>42.432200000000002</v>
      </c>
      <c r="F160" s="14">
        <f>42.4301 * CHOOSE(CONTROL!$C$9, $D$9, 100%, $F$9) + CHOOSE(CONTROL!$C$27, 0.0021, 0)</f>
        <v>42.432200000000002</v>
      </c>
      <c r="G160" s="14">
        <f>42.7015 * CHOOSE(CONTROL!$C$9, $D$9, 100%, $F$9) + CHOOSE(CONTROL!$C$27, 0.0021, 0)</f>
        <v>42.703600000000002</v>
      </c>
      <c r="H160" s="14">
        <f>42.5668 * CHOOSE(CONTROL!$C$9, $D$9, 100%, $F$9) + CHOOSE(CONTROL!$C$27, 0.0021, 0)</f>
        <v>42.568899999999999</v>
      </c>
      <c r="I160" s="14">
        <f>42.5668 * CHOOSE(CONTROL!$C$9, $D$9, 100%, $F$9) + CHOOSE(CONTROL!$C$27, 0.0021, 0)</f>
        <v>42.568899999999999</v>
      </c>
      <c r="J160" s="14">
        <f>42.5668 * CHOOSE(CONTROL!$C$9, $D$9, 100%, $F$9) + CHOOSE(CONTROL!$C$27, 0.0021, 0)</f>
        <v>42.568899999999999</v>
      </c>
      <c r="K160" s="14">
        <f>42.5668 * CHOOSE(CONTROL!$C$9, $D$9, 100%, $F$9) + CHOOSE(CONTROL!$C$27, 0.0021, 0)</f>
        <v>42.568899999999999</v>
      </c>
      <c r="L160" s="14"/>
    </row>
    <row r="161" spans="1:12" ht="15" x14ac:dyDescent="0.2">
      <c r="A161" s="13">
        <v>45809</v>
      </c>
      <c r="B161" s="14">
        <f>43.5854 * CHOOSE(CONTROL!$C$9, $D$9, 100%, $F$9) + CHOOSE(CONTROL!$C$27, 0.0021, 0)</f>
        <v>43.587499999999999</v>
      </c>
      <c r="C161" s="14">
        <f>43.1532 * CHOOSE(CONTROL!$C$9, $D$9, 100%, $F$9) + CHOOSE(CONTROL!$C$27, 0.0021, 0)</f>
        <v>43.155299999999997</v>
      </c>
      <c r="D161" s="14">
        <f>43.1532 * CHOOSE(CONTROL!$C$9, $D$9, 100%, $F$9) + CHOOSE(CONTROL!$C$27, 0.0021, 0)</f>
        <v>43.155299999999997</v>
      </c>
      <c r="E161" s="14">
        <f>43.0165 * CHOOSE(CONTROL!$C$9, $D$9, 100%, $F$9) + CHOOSE(CONTROL!$C$27, 0.0021, 0)</f>
        <v>43.018599999999999</v>
      </c>
      <c r="F161" s="14">
        <f>43.0165 * CHOOSE(CONTROL!$C$9, $D$9, 100%, $F$9) + CHOOSE(CONTROL!$C$27, 0.0021, 0)</f>
        <v>43.018599999999999</v>
      </c>
      <c r="G161" s="14">
        <f>43.2879 * CHOOSE(CONTROL!$C$9, $D$9, 100%, $F$9) + CHOOSE(CONTROL!$C$27, 0.0021, 0)</f>
        <v>43.29</v>
      </c>
      <c r="H161" s="14">
        <f>43.1532 * CHOOSE(CONTROL!$C$9, $D$9, 100%, $F$9) + CHOOSE(CONTROL!$C$27, 0.0021, 0)</f>
        <v>43.155299999999997</v>
      </c>
      <c r="I161" s="14">
        <f>43.1532 * CHOOSE(CONTROL!$C$9, $D$9, 100%, $F$9) + CHOOSE(CONTROL!$C$27, 0.0021, 0)</f>
        <v>43.155299999999997</v>
      </c>
      <c r="J161" s="14">
        <f>43.1532 * CHOOSE(CONTROL!$C$9, $D$9, 100%, $F$9) + CHOOSE(CONTROL!$C$27, 0.0021, 0)</f>
        <v>43.155299999999997</v>
      </c>
      <c r="K161" s="14">
        <f>43.1532 * CHOOSE(CONTROL!$C$9, $D$9, 100%, $F$9) + CHOOSE(CONTROL!$C$27, 0.0021, 0)</f>
        <v>43.155299999999997</v>
      </c>
      <c r="L161" s="14"/>
    </row>
    <row r="162" spans="1:12" ht="15" x14ac:dyDescent="0.2">
      <c r="A162" s="13">
        <v>45839</v>
      </c>
      <c r="B162" s="14">
        <f>44.5012 * CHOOSE(CONTROL!$C$9, $D$9, 100%, $F$9) + CHOOSE(CONTROL!$C$27, 0.0021, 0)</f>
        <v>44.503299999999996</v>
      </c>
      <c r="C162" s="14">
        <f>44.0689 * CHOOSE(CONTROL!$C$9, $D$9, 100%, $F$9) + CHOOSE(CONTROL!$C$27, 0.0021, 0)</f>
        <v>44.070999999999998</v>
      </c>
      <c r="D162" s="14">
        <f>44.0689 * CHOOSE(CONTROL!$C$9, $D$9, 100%, $F$9) + CHOOSE(CONTROL!$C$27, 0.0021, 0)</f>
        <v>44.070999999999998</v>
      </c>
      <c r="E162" s="14">
        <f>43.9323 * CHOOSE(CONTROL!$C$9, $D$9, 100%, $F$9) + CHOOSE(CONTROL!$C$27, 0.0021, 0)</f>
        <v>43.934399999999997</v>
      </c>
      <c r="F162" s="14">
        <f>43.9323 * CHOOSE(CONTROL!$C$9, $D$9, 100%, $F$9) + CHOOSE(CONTROL!$C$27, 0.0021, 0)</f>
        <v>43.934399999999997</v>
      </c>
      <c r="G162" s="14">
        <f>44.2036 * CHOOSE(CONTROL!$C$9, $D$9, 100%, $F$9) + CHOOSE(CONTROL!$C$27, 0.0021, 0)</f>
        <v>44.2057</v>
      </c>
      <c r="H162" s="14">
        <f>44.0689 * CHOOSE(CONTROL!$C$9, $D$9, 100%, $F$9) + CHOOSE(CONTROL!$C$27, 0.0021, 0)</f>
        <v>44.070999999999998</v>
      </c>
      <c r="I162" s="14">
        <f>44.0689 * CHOOSE(CONTROL!$C$9, $D$9, 100%, $F$9) + CHOOSE(CONTROL!$C$27, 0.0021, 0)</f>
        <v>44.070999999999998</v>
      </c>
      <c r="J162" s="14">
        <f>44.0689 * CHOOSE(CONTROL!$C$9, $D$9, 100%, $F$9) + CHOOSE(CONTROL!$C$27, 0.0021, 0)</f>
        <v>44.070999999999998</v>
      </c>
      <c r="K162" s="14">
        <f>44.0689 * CHOOSE(CONTROL!$C$9, $D$9, 100%, $F$9) + CHOOSE(CONTROL!$C$27, 0.0021, 0)</f>
        <v>44.070999999999998</v>
      </c>
      <c r="L162" s="14"/>
    </row>
    <row r="163" spans="1:12" ht="15" x14ac:dyDescent="0.2">
      <c r="A163" s="13">
        <v>45870</v>
      </c>
      <c r="B163" s="14">
        <f>44.8422 * CHOOSE(CONTROL!$C$9, $D$9, 100%, $F$9) + CHOOSE(CONTROL!$C$27, 0.0021, 0)</f>
        <v>44.844299999999997</v>
      </c>
      <c r="C163" s="14">
        <f>44.4099 * CHOOSE(CONTROL!$C$9, $D$9, 100%, $F$9) + CHOOSE(CONTROL!$C$27, 0.0021, 0)</f>
        <v>44.411999999999999</v>
      </c>
      <c r="D163" s="14">
        <f>44.4099 * CHOOSE(CONTROL!$C$9, $D$9, 100%, $F$9) + CHOOSE(CONTROL!$C$27, 0.0021, 0)</f>
        <v>44.411999999999999</v>
      </c>
      <c r="E163" s="14">
        <f>44.2733 * CHOOSE(CONTROL!$C$9, $D$9, 100%, $F$9) + CHOOSE(CONTROL!$C$27, 0.0021, 0)</f>
        <v>44.275399999999998</v>
      </c>
      <c r="F163" s="14">
        <f>44.2733 * CHOOSE(CONTROL!$C$9, $D$9, 100%, $F$9) + CHOOSE(CONTROL!$C$27, 0.0021, 0)</f>
        <v>44.275399999999998</v>
      </c>
      <c r="G163" s="14">
        <f>44.5447 * CHOOSE(CONTROL!$C$9, $D$9, 100%, $F$9) + CHOOSE(CONTROL!$C$27, 0.0021, 0)</f>
        <v>44.546799999999998</v>
      </c>
      <c r="H163" s="14">
        <f>44.4099 * CHOOSE(CONTROL!$C$9, $D$9, 100%, $F$9) + CHOOSE(CONTROL!$C$27, 0.0021, 0)</f>
        <v>44.411999999999999</v>
      </c>
      <c r="I163" s="14">
        <f>44.4099 * CHOOSE(CONTROL!$C$9, $D$9, 100%, $F$9) + CHOOSE(CONTROL!$C$27, 0.0021, 0)</f>
        <v>44.411999999999999</v>
      </c>
      <c r="J163" s="14">
        <f>44.4099 * CHOOSE(CONTROL!$C$9, $D$9, 100%, $F$9) + CHOOSE(CONTROL!$C$27, 0.0021, 0)</f>
        <v>44.411999999999999</v>
      </c>
      <c r="K163" s="14">
        <f>44.4099 * CHOOSE(CONTROL!$C$9, $D$9, 100%, $F$9) + CHOOSE(CONTROL!$C$27, 0.0021, 0)</f>
        <v>44.411999999999999</v>
      </c>
      <c r="L163" s="14"/>
    </row>
    <row r="164" spans="1:12" ht="15" x14ac:dyDescent="0.2">
      <c r="A164" s="13">
        <v>45901</v>
      </c>
      <c r="B164" s="14">
        <f>45.7969 * CHOOSE(CONTROL!$C$9, $D$9, 100%, $F$9) + CHOOSE(CONTROL!$C$27, 0.0021, 0)</f>
        <v>45.798999999999999</v>
      </c>
      <c r="C164" s="14">
        <f>45.3646 * CHOOSE(CONTROL!$C$9, $D$9, 100%, $F$9) + CHOOSE(CONTROL!$C$27, 0.0021, 0)</f>
        <v>45.366700000000002</v>
      </c>
      <c r="D164" s="14">
        <f>45.3646 * CHOOSE(CONTROL!$C$9, $D$9, 100%, $F$9) + CHOOSE(CONTROL!$C$27, 0.0021, 0)</f>
        <v>45.366700000000002</v>
      </c>
      <c r="E164" s="14">
        <f>45.228 * CHOOSE(CONTROL!$C$9, $D$9, 100%, $F$9) + CHOOSE(CONTROL!$C$27, 0.0021, 0)</f>
        <v>45.2301</v>
      </c>
      <c r="F164" s="14">
        <f>45.228 * CHOOSE(CONTROL!$C$9, $D$9, 100%, $F$9) + CHOOSE(CONTROL!$C$27, 0.0021, 0)</f>
        <v>45.2301</v>
      </c>
      <c r="G164" s="14">
        <f>45.4993 * CHOOSE(CONTROL!$C$9, $D$9, 100%, $F$9) + CHOOSE(CONTROL!$C$27, 0.0021, 0)</f>
        <v>45.501399999999997</v>
      </c>
      <c r="H164" s="14">
        <f>45.3646 * CHOOSE(CONTROL!$C$9, $D$9, 100%, $F$9) + CHOOSE(CONTROL!$C$27, 0.0021, 0)</f>
        <v>45.366700000000002</v>
      </c>
      <c r="I164" s="14">
        <f>45.3646 * CHOOSE(CONTROL!$C$9, $D$9, 100%, $F$9) + CHOOSE(CONTROL!$C$27, 0.0021, 0)</f>
        <v>45.366700000000002</v>
      </c>
      <c r="J164" s="14">
        <f>45.3646 * CHOOSE(CONTROL!$C$9, $D$9, 100%, $F$9) + CHOOSE(CONTROL!$C$27, 0.0021, 0)</f>
        <v>45.366700000000002</v>
      </c>
      <c r="K164" s="14">
        <f>45.3646 * CHOOSE(CONTROL!$C$9, $D$9, 100%, $F$9) + CHOOSE(CONTROL!$C$27, 0.0021, 0)</f>
        <v>45.366700000000002</v>
      </c>
      <c r="L164" s="14"/>
    </row>
    <row r="165" spans="1:12" ht="15" x14ac:dyDescent="0.2">
      <c r="A165" s="13">
        <v>45931</v>
      </c>
      <c r="B165" s="14">
        <f>46.9863 * CHOOSE(CONTROL!$C$9, $D$9, 100%, $F$9) + CHOOSE(CONTROL!$C$27, 0.0021, 0)</f>
        <v>46.988399999999999</v>
      </c>
      <c r="C165" s="14">
        <f>46.554 * CHOOSE(CONTROL!$C$9, $D$9, 100%, $F$9) + CHOOSE(CONTROL!$C$27, 0.0021, 0)</f>
        <v>46.556100000000001</v>
      </c>
      <c r="D165" s="14">
        <f>46.554 * CHOOSE(CONTROL!$C$9, $D$9, 100%, $F$9) + CHOOSE(CONTROL!$C$27, 0.0021, 0)</f>
        <v>46.556100000000001</v>
      </c>
      <c r="E165" s="14">
        <f>46.4173 * CHOOSE(CONTROL!$C$9, $D$9, 100%, $F$9) + CHOOSE(CONTROL!$C$27, 0.0021, 0)</f>
        <v>46.419399999999996</v>
      </c>
      <c r="F165" s="14">
        <f>46.4173 * CHOOSE(CONTROL!$C$9, $D$9, 100%, $F$9) + CHOOSE(CONTROL!$C$27, 0.0021, 0)</f>
        <v>46.419399999999996</v>
      </c>
      <c r="G165" s="14">
        <f>46.6887 * CHOOSE(CONTROL!$C$9, $D$9, 100%, $F$9) + CHOOSE(CONTROL!$C$27, 0.0021, 0)</f>
        <v>46.690799999999996</v>
      </c>
      <c r="H165" s="14">
        <f>46.554 * CHOOSE(CONTROL!$C$9, $D$9, 100%, $F$9) + CHOOSE(CONTROL!$C$27, 0.0021, 0)</f>
        <v>46.556100000000001</v>
      </c>
      <c r="I165" s="14">
        <f>46.554 * CHOOSE(CONTROL!$C$9, $D$9, 100%, $F$9) + CHOOSE(CONTROL!$C$27, 0.0021, 0)</f>
        <v>46.556100000000001</v>
      </c>
      <c r="J165" s="14">
        <f>46.554 * CHOOSE(CONTROL!$C$9, $D$9, 100%, $F$9) + CHOOSE(CONTROL!$C$27, 0.0021, 0)</f>
        <v>46.556100000000001</v>
      </c>
      <c r="K165" s="14">
        <f>46.554 * CHOOSE(CONTROL!$C$9, $D$9, 100%, $F$9) + CHOOSE(CONTROL!$C$27, 0.0021, 0)</f>
        <v>46.556100000000001</v>
      </c>
      <c r="L165" s="14"/>
    </row>
    <row r="166" spans="1:12" ht="15" x14ac:dyDescent="0.2">
      <c r="A166" s="13">
        <v>45962</v>
      </c>
      <c r="B166" s="14">
        <f>47.1818 * CHOOSE(CONTROL!$C$9, $D$9, 100%, $F$9) + CHOOSE(CONTROL!$C$27, 0.0021, 0)</f>
        <v>47.183900000000001</v>
      </c>
      <c r="C166" s="14">
        <f>46.7495 * CHOOSE(CONTROL!$C$9, $D$9, 100%, $F$9) + CHOOSE(CONTROL!$C$27, 0.0021, 0)</f>
        <v>46.751599999999996</v>
      </c>
      <c r="D166" s="14">
        <f>46.7495 * CHOOSE(CONTROL!$C$9, $D$9, 100%, $F$9) + CHOOSE(CONTROL!$C$27, 0.0021, 0)</f>
        <v>46.751599999999996</v>
      </c>
      <c r="E166" s="14">
        <f>46.6129 * CHOOSE(CONTROL!$C$9, $D$9, 100%, $F$9) + CHOOSE(CONTROL!$C$27, 0.0021, 0)</f>
        <v>46.615000000000002</v>
      </c>
      <c r="F166" s="14">
        <f>46.6129 * CHOOSE(CONTROL!$C$9, $D$9, 100%, $F$9) + CHOOSE(CONTROL!$C$27, 0.0021, 0)</f>
        <v>46.615000000000002</v>
      </c>
      <c r="G166" s="14">
        <f>46.8842 * CHOOSE(CONTROL!$C$9, $D$9, 100%, $F$9) + CHOOSE(CONTROL!$C$27, 0.0021, 0)</f>
        <v>46.886299999999999</v>
      </c>
      <c r="H166" s="14">
        <f>46.7495 * CHOOSE(CONTROL!$C$9, $D$9, 100%, $F$9) + CHOOSE(CONTROL!$C$27, 0.0021, 0)</f>
        <v>46.751599999999996</v>
      </c>
      <c r="I166" s="14">
        <f>46.7495 * CHOOSE(CONTROL!$C$9, $D$9, 100%, $F$9) + CHOOSE(CONTROL!$C$27, 0.0021, 0)</f>
        <v>46.751599999999996</v>
      </c>
      <c r="J166" s="14">
        <f>46.7495 * CHOOSE(CONTROL!$C$9, $D$9, 100%, $F$9) + CHOOSE(CONTROL!$C$27, 0.0021, 0)</f>
        <v>46.751599999999996</v>
      </c>
      <c r="K166" s="14">
        <f>46.7495 * CHOOSE(CONTROL!$C$9, $D$9, 100%, $F$9) + CHOOSE(CONTROL!$C$27, 0.0021, 0)</f>
        <v>46.751599999999996</v>
      </c>
      <c r="L166" s="14"/>
    </row>
    <row r="167" spans="1:12" ht="15" x14ac:dyDescent="0.2">
      <c r="A167" s="13">
        <v>45992</v>
      </c>
      <c r="B167" s="14">
        <f>46.3922 * CHOOSE(CONTROL!$C$9, $D$9, 100%, $F$9) + CHOOSE(CONTROL!$C$27, 0.0021, 0)</f>
        <v>46.394300000000001</v>
      </c>
      <c r="C167" s="14">
        <f>45.96 * CHOOSE(CONTROL!$C$9, $D$9, 100%, $F$9) + CHOOSE(CONTROL!$C$27, 0.0021, 0)</f>
        <v>45.9621</v>
      </c>
      <c r="D167" s="14">
        <f>45.96 * CHOOSE(CONTROL!$C$9, $D$9, 100%, $F$9) + CHOOSE(CONTROL!$C$27, 0.0021, 0)</f>
        <v>45.9621</v>
      </c>
      <c r="E167" s="14">
        <f>45.8233 * CHOOSE(CONTROL!$C$9, $D$9, 100%, $F$9) + CHOOSE(CONTROL!$C$27, 0.0021, 0)</f>
        <v>45.825400000000002</v>
      </c>
      <c r="F167" s="14">
        <f>45.8233 * CHOOSE(CONTROL!$C$9, $D$9, 100%, $F$9) + CHOOSE(CONTROL!$C$27, 0.0021, 0)</f>
        <v>45.825400000000002</v>
      </c>
      <c r="G167" s="14">
        <f>46.0947 * CHOOSE(CONTROL!$C$9, $D$9, 100%, $F$9) + CHOOSE(CONTROL!$C$27, 0.0021, 0)</f>
        <v>46.096800000000002</v>
      </c>
      <c r="H167" s="14">
        <f>45.96 * CHOOSE(CONTROL!$C$9, $D$9, 100%, $F$9) + CHOOSE(CONTROL!$C$27, 0.0021, 0)</f>
        <v>45.9621</v>
      </c>
      <c r="I167" s="14">
        <f>45.96 * CHOOSE(CONTROL!$C$9, $D$9, 100%, $F$9) + CHOOSE(CONTROL!$C$27, 0.0021, 0)</f>
        <v>45.9621</v>
      </c>
      <c r="J167" s="14">
        <f>45.96 * CHOOSE(CONTROL!$C$9, $D$9, 100%, $F$9) + CHOOSE(CONTROL!$C$27, 0.0021, 0)</f>
        <v>45.9621</v>
      </c>
      <c r="K167" s="14">
        <f>45.96 * CHOOSE(CONTROL!$C$9, $D$9, 100%, $F$9) + CHOOSE(CONTROL!$C$27, 0.0021, 0)</f>
        <v>45.9621</v>
      </c>
      <c r="L167" s="14"/>
    </row>
    <row r="168" spans="1:12" ht="15" x14ac:dyDescent="0.2">
      <c r="A168" s="13">
        <v>46023</v>
      </c>
      <c r="B168" s="14">
        <f>46.0471 * CHOOSE(CONTROL!$C$9, $D$9, 100%, $F$9) + CHOOSE(CONTROL!$C$27, 0.0021, 0)</f>
        <v>46.049199999999999</v>
      </c>
      <c r="C168" s="14">
        <f>45.6148 * CHOOSE(CONTROL!$C$9, $D$9, 100%, $F$9) + CHOOSE(CONTROL!$C$27, 0.0021, 0)</f>
        <v>45.616900000000001</v>
      </c>
      <c r="D168" s="14">
        <f>45.6148 * CHOOSE(CONTROL!$C$9, $D$9, 100%, $F$9) + CHOOSE(CONTROL!$C$27, 0.0021, 0)</f>
        <v>45.616900000000001</v>
      </c>
      <c r="E168" s="14">
        <f>45.4782 * CHOOSE(CONTROL!$C$9, $D$9, 100%, $F$9) + CHOOSE(CONTROL!$C$27, 0.0021, 0)</f>
        <v>45.4803</v>
      </c>
      <c r="F168" s="14">
        <f>45.4782 * CHOOSE(CONTROL!$C$9, $D$9, 100%, $F$9) + CHOOSE(CONTROL!$C$27, 0.0021, 0)</f>
        <v>45.4803</v>
      </c>
      <c r="G168" s="14">
        <f>45.7496 * CHOOSE(CONTROL!$C$9, $D$9, 100%, $F$9) + CHOOSE(CONTROL!$C$27, 0.0021, 0)</f>
        <v>45.7517</v>
      </c>
      <c r="H168" s="14">
        <f>45.6148 * CHOOSE(CONTROL!$C$9, $D$9, 100%, $F$9) + CHOOSE(CONTROL!$C$27, 0.0021, 0)</f>
        <v>45.616900000000001</v>
      </c>
      <c r="I168" s="14">
        <f>45.6148 * CHOOSE(CONTROL!$C$9, $D$9, 100%, $F$9) + CHOOSE(CONTROL!$C$27, 0.0021, 0)</f>
        <v>45.616900000000001</v>
      </c>
      <c r="J168" s="14">
        <f>45.6148 * CHOOSE(CONTROL!$C$9, $D$9, 100%, $F$9) + CHOOSE(CONTROL!$C$27, 0.0021, 0)</f>
        <v>45.616900000000001</v>
      </c>
      <c r="K168" s="14">
        <f>45.6148 * CHOOSE(CONTROL!$C$9, $D$9, 100%, $F$9) + CHOOSE(CONTROL!$C$27, 0.0021, 0)</f>
        <v>45.616900000000001</v>
      </c>
      <c r="L168" s="14"/>
    </row>
    <row r="169" spans="1:12" ht="15" x14ac:dyDescent="0.2">
      <c r="A169" s="13">
        <v>46054</v>
      </c>
      <c r="B169" s="14">
        <f>44.897 * CHOOSE(CONTROL!$C$9, $D$9, 100%, $F$9) + CHOOSE(CONTROL!$C$27, 0.0021, 0)</f>
        <v>44.899099999999997</v>
      </c>
      <c r="C169" s="14">
        <f>44.4648 * CHOOSE(CONTROL!$C$9, $D$9, 100%, $F$9) + CHOOSE(CONTROL!$C$27, 0.0021, 0)</f>
        <v>44.466899999999995</v>
      </c>
      <c r="D169" s="14">
        <f>44.4648 * CHOOSE(CONTROL!$C$9, $D$9, 100%, $F$9) + CHOOSE(CONTROL!$C$27, 0.0021, 0)</f>
        <v>44.466899999999995</v>
      </c>
      <c r="E169" s="14">
        <f>44.3281 * CHOOSE(CONTROL!$C$9, $D$9, 100%, $F$9) + CHOOSE(CONTROL!$C$27, 0.0021, 0)</f>
        <v>44.330199999999998</v>
      </c>
      <c r="F169" s="14">
        <f>44.3281 * CHOOSE(CONTROL!$C$9, $D$9, 100%, $F$9) + CHOOSE(CONTROL!$C$27, 0.0021, 0)</f>
        <v>44.330199999999998</v>
      </c>
      <c r="G169" s="14">
        <f>44.5995 * CHOOSE(CONTROL!$C$9, $D$9, 100%, $F$9) + CHOOSE(CONTROL!$C$27, 0.0021, 0)</f>
        <v>44.601599999999998</v>
      </c>
      <c r="H169" s="14">
        <f>44.4648 * CHOOSE(CONTROL!$C$9, $D$9, 100%, $F$9) + CHOOSE(CONTROL!$C$27, 0.0021, 0)</f>
        <v>44.466899999999995</v>
      </c>
      <c r="I169" s="14">
        <f>44.4648 * CHOOSE(CONTROL!$C$9, $D$9, 100%, $F$9) + CHOOSE(CONTROL!$C$27, 0.0021, 0)</f>
        <v>44.466899999999995</v>
      </c>
      <c r="J169" s="14">
        <f>44.4648 * CHOOSE(CONTROL!$C$9, $D$9, 100%, $F$9) + CHOOSE(CONTROL!$C$27, 0.0021, 0)</f>
        <v>44.466899999999995</v>
      </c>
      <c r="K169" s="14">
        <f>44.4648 * CHOOSE(CONTROL!$C$9, $D$9, 100%, $F$9) + CHOOSE(CONTROL!$C$27, 0.0021, 0)</f>
        <v>44.466899999999995</v>
      </c>
      <c r="L169" s="14"/>
    </row>
    <row r="170" spans="1:12" ht="15" x14ac:dyDescent="0.2">
      <c r="A170" s="13">
        <v>46082</v>
      </c>
      <c r="B170" s="14">
        <f>44.4718 * CHOOSE(CONTROL!$C$9, $D$9, 100%, $F$9) + CHOOSE(CONTROL!$C$27, 0.0021, 0)</f>
        <v>44.4739</v>
      </c>
      <c r="C170" s="14">
        <f>44.0396 * CHOOSE(CONTROL!$C$9, $D$9, 100%, $F$9) + CHOOSE(CONTROL!$C$27, 0.0021, 0)</f>
        <v>44.041699999999999</v>
      </c>
      <c r="D170" s="14">
        <f>44.0396 * CHOOSE(CONTROL!$C$9, $D$9, 100%, $F$9) + CHOOSE(CONTROL!$C$27, 0.0021, 0)</f>
        <v>44.041699999999999</v>
      </c>
      <c r="E170" s="14">
        <f>43.9029 * CHOOSE(CONTROL!$C$9, $D$9, 100%, $F$9) + CHOOSE(CONTROL!$C$27, 0.0021, 0)</f>
        <v>43.905000000000001</v>
      </c>
      <c r="F170" s="14">
        <f>43.9029 * CHOOSE(CONTROL!$C$9, $D$9, 100%, $F$9) + CHOOSE(CONTROL!$C$27, 0.0021, 0)</f>
        <v>43.905000000000001</v>
      </c>
      <c r="G170" s="14">
        <f>44.1743 * CHOOSE(CONTROL!$C$9, $D$9, 100%, $F$9) + CHOOSE(CONTROL!$C$27, 0.0021, 0)</f>
        <v>44.176400000000001</v>
      </c>
      <c r="H170" s="14">
        <f>44.0396 * CHOOSE(CONTROL!$C$9, $D$9, 100%, $F$9) + CHOOSE(CONTROL!$C$27, 0.0021, 0)</f>
        <v>44.041699999999999</v>
      </c>
      <c r="I170" s="14">
        <f>44.0396 * CHOOSE(CONTROL!$C$9, $D$9, 100%, $F$9) + CHOOSE(CONTROL!$C$27, 0.0021, 0)</f>
        <v>44.041699999999999</v>
      </c>
      <c r="J170" s="14">
        <f>44.0396 * CHOOSE(CONTROL!$C$9, $D$9, 100%, $F$9) + CHOOSE(CONTROL!$C$27, 0.0021, 0)</f>
        <v>44.041699999999999</v>
      </c>
      <c r="K170" s="14">
        <f>44.0396 * CHOOSE(CONTROL!$C$9, $D$9, 100%, $F$9) + CHOOSE(CONTROL!$C$27, 0.0021, 0)</f>
        <v>44.041699999999999</v>
      </c>
      <c r="L170" s="14"/>
    </row>
    <row r="171" spans="1:12" ht="15" x14ac:dyDescent="0.2">
      <c r="A171" s="13">
        <v>46113</v>
      </c>
      <c r="B171" s="14">
        <f>43.9449 * CHOOSE(CONTROL!$C$9, $D$9, 100%, $F$9) + CHOOSE(CONTROL!$C$27, 0.0021, 0)</f>
        <v>43.946999999999996</v>
      </c>
      <c r="C171" s="14">
        <f>43.5126 * CHOOSE(CONTROL!$C$9, $D$9, 100%, $F$9) + CHOOSE(CONTROL!$C$27, 0.0021, 0)</f>
        <v>43.514699999999998</v>
      </c>
      <c r="D171" s="14">
        <f>43.5126 * CHOOSE(CONTROL!$C$9, $D$9, 100%, $F$9) + CHOOSE(CONTROL!$C$27, 0.0021, 0)</f>
        <v>43.514699999999998</v>
      </c>
      <c r="E171" s="14">
        <f>43.376 * CHOOSE(CONTROL!$C$9, $D$9, 100%, $F$9) + CHOOSE(CONTROL!$C$27, 0.0021, 0)</f>
        <v>43.378099999999996</v>
      </c>
      <c r="F171" s="14">
        <f>43.376 * CHOOSE(CONTROL!$C$9, $D$9, 100%, $F$9) + CHOOSE(CONTROL!$C$27, 0.0021, 0)</f>
        <v>43.378099999999996</v>
      </c>
      <c r="G171" s="14">
        <f>43.6474 * CHOOSE(CONTROL!$C$9, $D$9, 100%, $F$9) + CHOOSE(CONTROL!$C$27, 0.0021, 0)</f>
        <v>43.649499999999996</v>
      </c>
      <c r="H171" s="14">
        <f>43.5126 * CHOOSE(CONTROL!$C$9, $D$9, 100%, $F$9) + CHOOSE(CONTROL!$C$27, 0.0021, 0)</f>
        <v>43.514699999999998</v>
      </c>
      <c r="I171" s="14">
        <f>43.5126 * CHOOSE(CONTROL!$C$9, $D$9, 100%, $F$9) + CHOOSE(CONTROL!$C$27, 0.0021, 0)</f>
        <v>43.514699999999998</v>
      </c>
      <c r="J171" s="14">
        <f>43.5126 * CHOOSE(CONTROL!$C$9, $D$9, 100%, $F$9) + CHOOSE(CONTROL!$C$27, 0.0021, 0)</f>
        <v>43.514699999999998</v>
      </c>
      <c r="K171" s="14">
        <f>43.5126 * CHOOSE(CONTROL!$C$9, $D$9, 100%, $F$9) + CHOOSE(CONTROL!$C$27, 0.0021, 0)</f>
        <v>43.514699999999998</v>
      </c>
      <c r="L171" s="14"/>
    </row>
    <row r="172" spans="1:12" ht="15" x14ac:dyDescent="0.2">
      <c r="A172" s="13">
        <v>46143</v>
      </c>
      <c r="B172" s="14">
        <f>44.9072 * CHOOSE(CONTROL!$C$9, $D$9, 100%, $F$9) + CHOOSE(CONTROL!$C$27, 0.0021, 0)</f>
        <v>44.909300000000002</v>
      </c>
      <c r="C172" s="14">
        <f>44.475 * CHOOSE(CONTROL!$C$9, $D$9, 100%, $F$9) + CHOOSE(CONTROL!$C$27, 0.0021, 0)</f>
        <v>44.4771</v>
      </c>
      <c r="D172" s="14">
        <f>44.475 * CHOOSE(CONTROL!$C$9, $D$9, 100%, $F$9) + CHOOSE(CONTROL!$C$27, 0.0021, 0)</f>
        <v>44.4771</v>
      </c>
      <c r="E172" s="14">
        <f>44.3383 * CHOOSE(CONTROL!$C$9, $D$9, 100%, $F$9) + CHOOSE(CONTROL!$C$27, 0.0021, 0)</f>
        <v>44.340399999999995</v>
      </c>
      <c r="F172" s="14">
        <f>44.3383 * CHOOSE(CONTROL!$C$9, $D$9, 100%, $F$9) + CHOOSE(CONTROL!$C$27, 0.0021, 0)</f>
        <v>44.340399999999995</v>
      </c>
      <c r="G172" s="14">
        <f>44.6097 * CHOOSE(CONTROL!$C$9, $D$9, 100%, $F$9) + CHOOSE(CONTROL!$C$27, 0.0021, 0)</f>
        <v>44.611799999999995</v>
      </c>
      <c r="H172" s="14">
        <f>44.475 * CHOOSE(CONTROL!$C$9, $D$9, 100%, $F$9) + CHOOSE(CONTROL!$C$27, 0.0021, 0)</f>
        <v>44.4771</v>
      </c>
      <c r="I172" s="14">
        <f>44.475 * CHOOSE(CONTROL!$C$9, $D$9, 100%, $F$9) + CHOOSE(CONTROL!$C$27, 0.0021, 0)</f>
        <v>44.4771</v>
      </c>
      <c r="J172" s="14">
        <f>44.475 * CHOOSE(CONTROL!$C$9, $D$9, 100%, $F$9) + CHOOSE(CONTROL!$C$27, 0.0021, 0)</f>
        <v>44.4771</v>
      </c>
      <c r="K172" s="14">
        <f>44.475 * CHOOSE(CONTROL!$C$9, $D$9, 100%, $F$9) + CHOOSE(CONTROL!$C$27, 0.0021, 0)</f>
        <v>44.4771</v>
      </c>
      <c r="L172" s="14"/>
    </row>
    <row r="173" spans="1:12" ht="15" x14ac:dyDescent="0.2">
      <c r="A173" s="13">
        <v>46174</v>
      </c>
      <c r="B173" s="14">
        <f>45.5211 * CHOOSE(CONTROL!$C$9, $D$9, 100%, $F$9) + CHOOSE(CONTROL!$C$27, 0.0021, 0)</f>
        <v>45.523199999999996</v>
      </c>
      <c r="C173" s="14">
        <f>45.0888 * CHOOSE(CONTROL!$C$9, $D$9, 100%, $F$9) + CHOOSE(CONTROL!$C$27, 0.0021, 0)</f>
        <v>45.090899999999998</v>
      </c>
      <c r="D173" s="14">
        <f>45.0888 * CHOOSE(CONTROL!$C$9, $D$9, 100%, $F$9) + CHOOSE(CONTROL!$C$27, 0.0021, 0)</f>
        <v>45.090899999999998</v>
      </c>
      <c r="E173" s="14">
        <f>44.9522 * CHOOSE(CONTROL!$C$9, $D$9, 100%, $F$9) + CHOOSE(CONTROL!$C$27, 0.0021, 0)</f>
        <v>44.954299999999996</v>
      </c>
      <c r="F173" s="14">
        <f>44.9522 * CHOOSE(CONTROL!$C$9, $D$9, 100%, $F$9) + CHOOSE(CONTROL!$C$27, 0.0021, 0)</f>
        <v>44.954299999999996</v>
      </c>
      <c r="G173" s="14">
        <f>45.2236 * CHOOSE(CONTROL!$C$9, $D$9, 100%, $F$9) + CHOOSE(CONTROL!$C$27, 0.0021, 0)</f>
        <v>45.225699999999996</v>
      </c>
      <c r="H173" s="14">
        <f>45.0888 * CHOOSE(CONTROL!$C$9, $D$9, 100%, $F$9) + CHOOSE(CONTROL!$C$27, 0.0021, 0)</f>
        <v>45.090899999999998</v>
      </c>
      <c r="I173" s="14">
        <f>45.0888 * CHOOSE(CONTROL!$C$9, $D$9, 100%, $F$9) + CHOOSE(CONTROL!$C$27, 0.0021, 0)</f>
        <v>45.090899999999998</v>
      </c>
      <c r="J173" s="14">
        <f>45.0888 * CHOOSE(CONTROL!$C$9, $D$9, 100%, $F$9) + CHOOSE(CONTROL!$C$27, 0.0021, 0)</f>
        <v>45.090899999999998</v>
      </c>
      <c r="K173" s="14">
        <f>45.0888 * CHOOSE(CONTROL!$C$9, $D$9, 100%, $F$9) + CHOOSE(CONTROL!$C$27, 0.0021, 0)</f>
        <v>45.090899999999998</v>
      </c>
      <c r="L173" s="14"/>
    </row>
    <row r="174" spans="1:12" ht="15" x14ac:dyDescent="0.2">
      <c r="A174" s="13">
        <v>46204</v>
      </c>
      <c r="B174" s="14">
        <f>46.4798 * CHOOSE(CONTROL!$C$9, $D$9, 100%, $F$9) + CHOOSE(CONTROL!$C$27, 0.0021, 0)</f>
        <v>46.481899999999996</v>
      </c>
      <c r="C174" s="14">
        <f>46.0475 * CHOOSE(CONTROL!$C$9, $D$9, 100%, $F$9) + CHOOSE(CONTROL!$C$27, 0.0021, 0)</f>
        <v>46.049599999999998</v>
      </c>
      <c r="D174" s="14">
        <f>46.0475 * CHOOSE(CONTROL!$C$9, $D$9, 100%, $F$9) + CHOOSE(CONTROL!$C$27, 0.0021, 0)</f>
        <v>46.049599999999998</v>
      </c>
      <c r="E174" s="14">
        <f>45.9109 * CHOOSE(CONTROL!$C$9, $D$9, 100%, $F$9) + CHOOSE(CONTROL!$C$27, 0.0021, 0)</f>
        <v>45.912999999999997</v>
      </c>
      <c r="F174" s="14">
        <f>45.9109 * CHOOSE(CONTROL!$C$9, $D$9, 100%, $F$9) + CHOOSE(CONTROL!$C$27, 0.0021, 0)</f>
        <v>45.912999999999997</v>
      </c>
      <c r="G174" s="14">
        <f>46.1822 * CHOOSE(CONTROL!$C$9, $D$9, 100%, $F$9) + CHOOSE(CONTROL!$C$27, 0.0021, 0)</f>
        <v>46.1843</v>
      </c>
      <c r="H174" s="14">
        <f>46.0475 * CHOOSE(CONTROL!$C$9, $D$9, 100%, $F$9) + CHOOSE(CONTROL!$C$27, 0.0021, 0)</f>
        <v>46.049599999999998</v>
      </c>
      <c r="I174" s="14">
        <f>46.0475 * CHOOSE(CONTROL!$C$9, $D$9, 100%, $F$9) + CHOOSE(CONTROL!$C$27, 0.0021, 0)</f>
        <v>46.049599999999998</v>
      </c>
      <c r="J174" s="14">
        <f>46.0475 * CHOOSE(CONTROL!$C$9, $D$9, 100%, $F$9) + CHOOSE(CONTROL!$C$27, 0.0021, 0)</f>
        <v>46.049599999999998</v>
      </c>
      <c r="K174" s="14">
        <f>46.0475 * CHOOSE(CONTROL!$C$9, $D$9, 100%, $F$9) + CHOOSE(CONTROL!$C$27, 0.0021, 0)</f>
        <v>46.049599999999998</v>
      </c>
      <c r="L174" s="14"/>
    </row>
    <row r="175" spans="1:12" ht="15" x14ac:dyDescent="0.2">
      <c r="A175" s="13">
        <v>46235</v>
      </c>
      <c r="B175" s="14">
        <f>46.8368 * CHOOSE(CONTROL!$C$9, $D$9, 100%, $F$9) + CHOOSE(CONTROL!$C$27, 0.0021, 0)</f>
        <v>46.838899999999995</v>
      </c>
      <c r="C175" s="14">
        <f>46.4045 * CHOOSE(CONTROL!$C$9, $D$9, 100%, $F$9) + CHOOSE(CONTROL!$C$27, 0.0021, 0)</f>
        <v>46.406599999999997</v>
      </c>
      <c r="D175" s="14">
        <f>46.4045 * CHOOSE(CONTROL!$C$9, $D$9, 100%, $F$9) + CHOOSE(CONTROL!$C$27, 0.0021, 0)</f>
        <v>46.406599999999997</v>
      </c>
      <c r="E175" s="14">
        <f>46.2679 * CHOOSE(CONTROL!$C$9, $D$9, 100%, $F$9) + CHOOSE(CONTROL!$C$27, 0.0021, 0)</f>
        <v>46.269999999999996</v>
      </c>
      <c r="F175" s="14">
        <f>46.2679 * CHOOSE(CONTROL!$C$9, $D$9, 100%, $F$9) + CHOOSE(CONTROL!$C$27, 0.0021, 0)</f>
        <v>46.269999999999996</v>
      </c>
      <c r="G175" s="14">
        <f>46.5392 * CHOOSE(CONTROL!$C$9, $D$9, 100%, $F$9) + CHOOSE(CONTROL!$C$27, 0.0021, 0)</f>
        <v>46.5413</v>
      </c>
      <c r="H175" s="14">
        <f>46.4045 * CHOOSE(CONTROL!$C$9, $D$9, 100%, $F$9) + CHOOSE(CONTROL!$C$27, 0.0021, 0)</f>
        <v>46.406599999999997</v>
      </c>
      <c r="I175" s="14">
        <f>46.4045 * CHOOSE(CONTROL!$C$9, $D$9, 100%, $F$9) + CHOOSE(CONTROL!$C$27, 0.0021, 0)</f>
        <v>46.406599999999997</v>
      </c>
      <c r="J175" s="14">
        <f>46.4045 * CHOOSE(CONTROL!$C$9, $D$9, 100%, $F$9) + CHOOSE(CONTROL!$C$27, 0.0021, 0)</f>
        <v>46.406599999999997</v>
      </c>
      <c r="K175" s="14">
        <f>46.4045 * CHOOSE(CONTROL!$C$9, $D$9, 100%, $F$9) + CHOOSE(CONTROL!$C$27, 0.0021, 0)</f>
        <v>46.406599999999997</v>
      </c>
      <c r="L175" s="14"/>
    </row>
    <row r="176" spans="1:12" ht="15" x14ac:dyDescent="0.2">
      <c r="A176" s="13">
        <v>46266</v>
      </c>
      <c r="B176" s="14">
        <f>47.8362 * CHOOSE(CONTROL!$C$9, $D$9, 100%, $F$9) + CHOOSE(CONTROL!$C$27, 0.0021, 0)</f>
        <v>47.838299999999997</v>
      </c>
      <c r="C176" s="14">
        <f>47.4039 * CHOOSE(CONTROL!$C$9, $D$9, 100%, $F$9) + CHOOSE(CONTROL!$C$27, 0.0021, 0)</f>
        <v>47.405999999999999</v>
      </c>
      <c r="D176" s="14">
        <f>47.4039 * CHOOSE(CONTROL!$C$9, $D$9, 100%, $F$9) + CHOOSE(CONTROL!$C$27, 0.0021, 0)</f>
        <v>47.405999999999999</v>
      </c>
      <c r="E176" s="14">
        <f>47.2673 * CHOOSE(CONTROL!$C$9, $D$9, 100%, $F$9) + CHOOSE(CONTROL!$C$27, 0.0021, 0)</f>
        <v>47.269399999999997</v>
      </c>
      <c r="F176" s="14">
        <f>47.2673 * CHOOSE(CONTROL!$C$9, $D$9, 100%, $F$9) + CHOOSE(CONTROL!$C$27, 0.0021, 0)</f>
        <v>47.269399999999997</v>
      </c>
      <c r="G176" s="14">
        <f>47.5387 * CHOOSE(CONTROL!$C$9, $D$9, 100%, $F$9) + CHOOSE(CONTROL!$C$27, 0.0021, 0)</f>
        <v>47.540799999999997</v>
      </c>
      <c r="H176" s="14">
        <f>47.4039 * CHOOSE(CONTROL!$C$9, $D$9, 100%, $F$9) + CHOOSE(CONTROL!$C$27, 0.0021, 0)</f>
        <v>47.405999999999999</v>
      </c>
      <c r="I176" s="14">
        <f>47.4039 * CHOOSE(CONTROL!$C$9, $D$9, 100%, $F$9) + CHOOSE(CONTROL!$C$27, 0.0021, 0)</f>
        <v>47.405999999999999</v>
      </c>
      <c r="J176" s="14">
        <f>47.4039 * CHOOSE(CONTROL!$C$9, $D$9, 100%, $F$9) + CHOOSE(CONTROL!$C$27, 0.0021, 0)</f>
        <v>47.405999999999999</v>
      </c>
      <c r="K176" s="14">
        <f>47.4039 * CHOOSE(CONTROL!$C$9, $D$9, 100%, $F$9) + CHOOSE(CONTROL!$C$27, 0.0021, 0)</f>
        <v>47.405999999999999</v>
      </c>
      <c r="L176" s="14"/>
    </row>
    <row r="177" spans="1:12" ht="15" x14ac:dyDescent="0.2">
      <c r="A177" s="13">
        <v>46296</v>
      </c>
      <c r="B177" s="14">
        <f>49.0813 * CHOOSE(CONTROL!$C$9, $D$9, 100%, $F$9) + CHOOSE(CONTROL!$C$27, 0.0021, 0)</f>
        <v>49.083399999999997</v>
      </c>
      <c r="C177" s="14">
        <f>48.6491 * CHOOSE(CONTROL!$C$9, $D$9, 100%, $F$9) + CHOOSE(CONTROL!$C$27, 0.0021, 0)</f>
        <v>48.651199999999996</v>
      </c>
      <c r="D177" s="14">
        <f>48.6491 * CHOOSE(CONTROL!$C$9, $D$9, 100%, $F$9) + CHOOSE(CONTROL!$C$27, 0.0021, 0)</f>
        <v>48.651199999999996</v>
      </c>
      <c r="E177" s="14">
        <f>48.5124 * CHOOSE(CONTROL!$C$9, $D$9, 100%, $F$9) + CHOOSE(CONTROL!$C$27, 0.0021, 0)</f>
        <v>48.514499999999998</v>
      </c>
      <c r="F177" s="14">
        <f>48.5124 * CHOOSE(CONTROL!$C$9, $D$9, 100%, $F$9) + CHOOSE(CONTROL!$C$27, 0.0021, 0)</f>
        <v>48.514499999999998</v>
      </c>
      <c r="G177" s="14">
        <f>48.7838 * CHOOSE(CONTROL!$C$9, $D$9, 100%, $F$9) + CHOOSE(CONTROL!$C$27, 0.0021, 0)</f>
        <v>48.785899999999998</v>
      </c>
      <c r="H177" s="14">
        <f>48.6491 * CHOOSE(CONTROL!$C$9, $D$9, 100%, $F$9) + CHOOSE(CONTROL!$C$27, 0.0021, 0)</f>
        <v>48.651199999999996</v>
      </c>
      <c r="I177" s="14">
        <f>48.6491 * CHOOSE(CONTROL!$C$9, $D$9, 100%, $F$9) + CHOOSE(CONTROL!$C$27, 0.0021, 0)</f>
        <v>48.651199999999996</v>
      </c>
      <c r="J177" s="14">
        <f>48.6491 * CHOOSE(CONTROL!$C$9, $D$9, 100%, $F$9) + CHOOSE(CONTROL!$C$27, 0.0021, 0)</f>
        <v>48.651199999999996</v>
      </c>
      <c r="K177" s="14">
        <f>48.6491 * CHOOSE(CONTROL!$C$9, $D$9, 100%, $F$9) + CHOOSE(CONTROL!$C$27, 0.0021, 0)</f>
        <v>48.651199999999996</v>
      </c>
      <c r="L177" s="14"/>
    </row>
    <row r="178" spans="1:12" ht="15" x14ac:dyDescent="0.2">
      <c r="A178" s="13">
        <v>46327</v>
      </c>
      <c r="B178" s="14">
        <f>49.286 * CHOOSE(CONTROL!$C$9, $D$9, 100%, $F$9) + CHOOSE(CONTROL!$C$27, 0.0021, 0)</f>
        <v>49.2881</v>
      </c>
      <c r="C178" s="14">
        <f>48.8538 * CHOOSE(CONTROL!$C$9, $D$9, 100%, $F$9) + CHOOSE(CONTROL!$C$27, 0.0021, 0)</f>
        <v>48.855899999999998</v>
      </c>
      <c r="D178" s="14">
        <f>48.8538 * CHOOSE(CONTROL!$C$9, $D$9, 100%, $F$9) + CHOOSE(CONTROL!$C$27, 0.0021, 0)</f>
        <v>48.855899999999998</v>
      </c>
      <c r="E178" s="14">
        <f>48.7171 * CHOOSE(CONTROL!$C$9, $D$9, 100%, $F$9) + CHOOSE(CONTROL!$C$27, 0.0021, 0)</f>
        <v>48.719200000000001</v>
      </c>
      <c r="F178" s="14">
        <f>48.7171 * CHOOSE(CONTROL!$C$9, $D$9, 100%, $F$9) + CHOOSE(CONTROL!$C$27, 0.0021, 0)</f>
        <v>48.719200000000001</v>
      </c>
      <c r="G178" s="14">
        <f>48.9885 * CHOOSE(CONTROL!$C$9, $D$9, 100%, $F$9) + CHOOSE(CONTROL!$C$27, 0.0021, 0)</f>
        <v>48.990600000000001</v>
      </c>
      <c r="H178" s="14">
        <f>48.8538 * CHOOSE(CONTROL!$C$9, $D$9, 100%, $F$9) + CHOOSE(CONTROL!$C$27, 0.0021, 0)</f>
        <v>48.855899999999998</v>
      </c>
      <c r="I178" s="14">
        <f>48.8538 * CHOOSE(CONTROL!$C$9, $D$9, 100%, $F$9) + CHOOSE(CONTROL!$C$27, 0.0021, 0)</f>
        <v>48.855899999999998</v>
      </c>
      <c r="J178" s="14">
        <f>48.8538 * CHOOSE(CONTROL!$C$9, $D$9, 100%, $F$9) + CHOOSE(CONTROL!$C$27, 0.0021, 0)</f>
        <v>48.855899999999998</v>
      </c>
      <c r="K178" s="14">
        <f>48.8538 * CHOOSE(CONTROL!$C$9, $D$9, 100%, $F$9) + CHOOSE(CONTROL!$C$27, 0.0021, 0)</f>
        <v>48.855899999999998</v>
      </c>
      <c r="L178" s="14"/>
    </row>
    <row r="179" spans="1:12" ht="15" x14ac:dyDescent="0.2">
      <c r="A179" s="13">
        <v>46357</v>
      </c>
      <c r="B179" s="14">
        <f>48.4595 * CHOOSE(CONTROL!$C$9, $D$9, 100%, $F$9) + CHOOSE(CONTROL!$C$27, 0.0021, 0)</f>
        <v>48.461599999999997</v>
      </c>
      <c r="C179" s="14">
        <f>48.0272 * CHOOSE(CONTROL!$C$9, $D$9, 100%, $F$9) + CHOOSE(CONTROL!$C$27, 0.0021, 0)</f>
        <v>48.029299999999999</v>
      </c>
      <c r="D179" s="14">
        <f>48.0272 * CHOOSE(CONTROL!$C$9, $D$9, 100%, $F$9) + CHOOSE(CONTROL!$C$27, 0.0021, 0)</f>
        <v>48.029299999999999</v>
      </c>
      <c r="E179" s="14">
        <f>47.8906 * CHOOSE(CONTROL!$C$9, $D$9, 100%, $F$9) + CHOOSE(CONTROL!$C$27, 0.0021, 0)</f>
        <v>47.892699999999998</v>
      </c>
      <c r="F179" s="14">
        <f>47.8906 * CHOOSE(CONTROL!$C$9, $D$9, 100%, $F$9) + CHOOSE(CONTROL!$C$27, 0.0021, 0)</f>
        <v>47.892699999999998</v>
      </c>
      <c r="G179" s="14">
        <f>48.162 * CHOOSE(CONTROL!$C$9, $D$9, 100%, $F$9) + CHOOSE(CONTROL!$C$27, 0.0021, 0)</f>
        <v>48.164099999999998</v>
      </c>
      <c r="H179" s="14">
        <f>48.0272 * CHOOSE(CONTROL!$C$9, $D$9, 100%, $F$9) + CHOOSE(CONTROL!$C$27, 0.0021, 0)</f>
        <v>48.029299999999999</v>
      </c>
      <c r="I179" s="14">
        <f>48.0272 * CHOOSE(CONTROL!$C$9, $D$9, 100%, $F$9) + CHOOSE(CONTROL!$C$27, 0.0021, 0)</f>
        <v>48.029299999999999</v>
      </c>
      <c r="J179" s="14">
        <f>48.0272 * CHOOSE(CONTROL!$C$9, $D$9, 100%, $F$9) + CHOOSE(CONTROL!$C$27, 0.0021, 0)</f>
        <v>48.029299999999999</v>
      </c>
      <c r="K179" s="14">
        <f>48.0272 * CHOOSE(CONTROL!$C$9, $D$9, 100%, $F$9) + CHOOSE(CONTROL!$C$27, 0.0021, 0)</f>
        <v>48.029299999999999</v>
      </c>
      <c r="L179" s="14"/>
    </row>
    <row r="180" spans="1:12" ht="15" x14ac:dyDescent="0.2">
      <c r="A180" s="13">
        <v>46388</v>
      </c>
      <c r="B180" s="14">
        <f>48.0427 * CHOOSE(CONTROL!$C$9, $D$9, 100%, $F$9) + CHOOSE(CONTROL!$C$27, 0.0021, 0)</f>
        <v>48.044800000000002</v>
      </c>
      <c r="C180" s="14">
        <f>47.6105 * CHOOSE(CONTROL!$C$9, $D$9, 100%, $F$9) + CHOOSE(CONTROL!$C$27, 0.0021, 0)</f>
        <v>47.6126</v>
      </c>
      <c r="D180" s="14">
        <f>47.6105 * CHOOSE(CONTROL!$C$9, $D$9, 100%, $F$9) + CHOOSE(CONTROL!$C$27, 0.0021, 0)</f>
        <v>47.6126</v>
      </c>
      <c r="E180" s="14">
        <f>47.4738 * CHOOSE(CONTROL!$C$9, $D$9, 100%, $F$9) + CHOOSE(CONTROL!$C$27, 0.0021, 0)</f>
        <v>47.475899999999996</v>
      </c>
      <c r="F180" s="14">
        <f>47.4738 * CHOOSE(CONTROL!$C$9, $D$9, 100%, $F$9) + CHOOSE(CONTROL!$C$27, 0.0021, 0)</f>
        <v>47.475899999999996</v>
      </c>
      <c r="G180" s="14">
        <f>47.7452 * CHOOSE(CONTROL!$C$9, $D$9, 100%, $F$9) + CHOOSE(CONTROL!$C$27, 0.0021, 0)</f>
        <v>47.747299999999996</v>
      </c>
      <c r="H180" s="14">
        <f>47.6105 * CHOOSE(CONTROL!$C$9, $D$9, 100%, $F$9) + CHOOSE(CONTROL!$C$27, 0.0021, 0)</f>
        <v>47.6126</v>
      </c>
      <c r="I180" s="14">
        <f>47.6105 * CHOOSE(CONTROL!$C$9, $D$9, 100%, $F$9) + CHOOSE(CONTROL!$C$27, 0.0021, 0)</f>
        <v>47.6126</v>
      </c>
      <c r="J180" s="14">
        <f>47.6105 * CHOOSE(CONTROL!$C$9, $D$9, 100%, $F$9) + CHOOSE(CONTROL!$C$27, 0.0021, 0)</f>
        <v>47.6126</v>
      </c>
      <c r="K180" s="14">
        <f>47.6105 * CHOOSE(CONTROL!$C$9, $D$9, 100%, $F$9) + CHOOSE(CONTROL!$C$27, 0.0021, 0)</f>
        <v>47.6126</v>
      </c>
      <c r="L180" s="14"/>
    </row>
    <row r="181" spans="1:12" ht="15" x14ac:dyDescent="0.2">
      <c r="A181" s="13">
        <v>46419</v>
      </c>
      <c r="B181" s="14">
        <f>46.8402 * CHOOSE(CONTROL!$C$9, $D$9, 100%, $F$9) + CHOOSE(CONTROL!$C$27, 0.0021, 0)</f>
        <v>46.842300000000002</v>
      </c>
      <c r="C181" s="14">
        <f>46.408 * CHOOSE(CONTROL!$C$9, $D$9, 100%, $F$9) + CHOOSE(CONTROL!$C$27, 0.0021, 0)</f>
        <v>46.4101</v>
      </c>
      <c r="D181" s="14">
        <f>46.408 * CHOOSE(CONTROL!$C$9, $D$9, 100%, $F$9) + CHOOSE(CONTROL!$C$27, 0.0021, 0)</f>
        <v>46.4101</v>
      </c>
      <c r="E181" s="14">
        <f>46.2713 * CHOOSE(CONTROL!$C$9, $D$9, 100%, $F$9) + CHOOSE(CONTROL!$C$27, 0.0021, 0)</f>
        <v>46.273399999999995</v>
      </c>
      <c r="F181" s="14">
        <f>46.2713 * CHOOSE(CONTROL!$C$9, $D$9, 100%, $F$9) + CHOOSE(CONTROL!$C$27, 0.0021, 0)</f>
        <v>46.273399999999995</v>
      </c>
      <c r="G181" s="14">
        <f>46.5427 * CHOOSE(CONTROL!$C$9, $D$9, 100%, $F$9) + CHOOSE(CONTROL!$C$27, 0.0021, 0)</f>
        <v>46.544800000000002</v>
      </c>
      <c r="H181" s="14">
        <f>46.408 * CHOOSE(CONTROL!$C$9, $D$9, 100%, $F$9) + CHOOSE(CONTROL!$C$27, 0.0021, 0)</f>
        <v>46.4101</v>
      </c>
      <c r="I181" s="14">
        <f>46.408 * CHOOSE(CONTROL!$C$9, $D$9, 100%, $F$9) + CHOOSE(CONTROL!$C$27, 0.0021, 0)</f>
        <v>46.4101</v>
      </c>
      <c r="J181" s="14">
        <f>46.408 * CHOOSE(CONTROL!$C$9, $D$9, 100%, $F$9) + CHOOSE(CONTROL!$C$27, 0.0021, 0)</f>
        <v>46.4101</v>
      </c>
      <c r="K181" s="14">
        <f>46.408 * CHOOSE(CONTROL!$C$9, $D$9, 100%, $F$9) + CHOOSE(CONTROL!$C$27, 0.0021, 0)</f>
        <v>46.4101</v>
      </c>
      <c r="L181" s="14"/>
    </row>
    <row r="182" spans="1:12" ht="15" x14ac:dyDescent="0.2">
      <c r="A182" s="13">
        <v>46447</v>
      </c>
      <c r="B182" s="14">
        <f>46.3956 * CHOOSE(CONTROL!$C$9, $D$9, 100%, $F$9) + CHOOSE(CONTROL!$C$27, 0.0021, 0)</f>
        <v>46.3977</v>
      </c>
      <c r="C182" s="14">
        <f>45.9633 * CHOOSE(CONTROL!$C$9, $D$9, 100%, $F$9) + CHOOSE(CONTROL!$C$27, 0.0021, 0)</f>
        <v>45.965399999999995</v>
      </c>
      <c r="D182" s="14">
        <f>45.9633 * CHOOSE(CONTROL!$C$9, $D$9, 100%, $F$9) + CHOOSE(CONTROL!$C$27, 0.0021, 0)</f>
        <v>45.965399999999995</v>
      </c>
      <c r="E182" s="14">
        <f>45.8267 * CHOOSE(CONTROL!$C$9, $D$9, 100%, $F$9) + CHOOSE(CONTROL!$C$27, 0.0021, 0)</f>
        <v>45.828800000000001</v>
      </c>
      <c r="F182" s="14">
        <f>45.8267 * CHOOSE(CONTROL!$C$9, $D$9, 100%, $F$9) + CHOOSE(CONTROL!$C$27, 0.0021, 0)</f>
        <v>45.828800000000001</v>
      </c>
      <c r="G182" s="14">
        <f>46.098 * CHOOSE(CONTROL!$C$9, $D$9, 100%, $F$9) + CHOOSE(CONTROL!$C$27, 0.0021, 0)</f>
        <v>46.100099999999998</v>
      </c>
      <c r="H182" s="14">
        <f>45.9633 * CHOOSE(CONTROL!$C$9, $D$9, 100%, $F$9) + CHOOSE(CONTROL!$C$27, 0.0021, 0)</f>
        <v>45.965399999999995</v>
      </c>
      <c r="I182" s="14">
        <f>45.9633 * CHOOSE(CONTROL!$C$9, $D$9, 100%, $F$9) + CHOOSE(CONTROL!$C$27, 0.0021, 0)</f>
        <v>45.965399999999995</v>
      </c>
      <c r="J182" s="14">
        <f>45.9633 * CHOOSE(CONTROL!$C$9, $D$9, 100%, $F$9) + CHOOSE(CONTROL!$C$27, 0.0021, 0)</f>
        <v>45.965399999999995</v>
      </c>
      <c r="K182" s="14">
        <f>45.9633 * CHOOSE(CONTROL!$C$9, $D$9, 100%, $F$9) + CHOOSE(CONTROL!$C$27, 0.0021, 0)</f>
        <v>45.965399999999995</v>
      </c>
      <c r="L182" s="14"/>
    </row>
    <row r="183" spans="1:12" ht="15" x14ac:dyDescent="0.2">
      <c r="A183" s="13">
        <v>46478</v>
      </c>
      <c r="B183" s="14">
        <f>45.8446 * CHOOSE(CONTROL!$C$9, $D$9, 100%, $F$9) + CHOOSE(CONTROL!$C$27, 0.0021, 0)</f>
        <v>45.846699999999998</v>
      </c>
      <c r="C183" s="14">
        <f>45.4124 * CHOOSE(CONTROL!$C$9, $D$9, 100%, $F$9) + CHOOSE(CONTROL!$C$27, 0.0021, 0)</f>
        <v>45.414499999999997</v>
      </c>
      <c r="D183" s="14">
        <f>45.4124 * CHOOSE(CONTROL!$C$9, $D$9, 100%, $F$9) + CHOOSE(CONTROL!$C$27, 0.0021, 0)</f>
        <v>45.414499999999997</v>
      </c>
      <c r="E183" s="14">
        <f>45.2757 * CHOOSE(CONTROL!$C$9, $D$9, 100%, $F$9) + CHOOSE(CONTROL!$C$27, 0.0021, 0)</f>
        <v>45.277799999999999</v>
      </c>
      <c r="F183" s="14">
        <f>45.2757 * CHOOSE(CONTROL!$C$9, $D$9, 100%, $F$9) + CHOOSE(CONTROL!$C$27, 0.0021, 0)</f>
        <v>45.277799999999999</v>
      </c>
      <c r="G183" s="14">
        <f>45.5471 * CHOOSE(CONTROL!$C$9, $D$9, 100%, $F$9) + CHOOSE(CONTROL!$C$27, 0.0021, 0)</f>
        <v>45.549199999999999</v>
      </c>
      <c r="H183" s="14">
        <f>45.4124 * CHOOSE(CONTROL!$C$9, $D$9, 100%, $F$9) + CHOOSE(CONTROL!$C$27, 0.0021, 0)</f>
        <v>45.414499999999997</v>
      </c>
      <c r="I183" s="14">
        <f>45.4124 * CHOOSE(CONTROL!$C$9, $D$9, 100%, $F$9) + CHOOSE(CONTROL!$C$27, 0.0021, 0)</f>
        <v>45.414499999999997</v>
      </c>
      <c r="J183" s="14">
        <f>45.4124 * CHOOSE(CONTROL!$C$9, $D$9, 100%, $F$9) + CHOOSE(CONTROL!$C$27, 0.0021, 0)</f>
        <v>45.414499999999997</v>
      </c>
      <c r="K183" s="14">
        <f>45.4124 * CHOOSE(CONTROL!$C$9, $D$9, 100%, $F$9) + CHOOSE(CONTROL!$C$27, 0.0021, 0)</f>
        <v>45.414499999999997</v>
      </c>
      <c r="L183" s="14"/>
    </row>
    <row r="184" spans="1:12" ht="15" x14ac:dyDescent="0.2">
      <c r="A184" s="13">
        <v>46508</v>
      </c>
      <c r="B184" s="14">
        <f>46.8509 * CHOOSE(CONTROL!$C$9, $D$9, 100%, $F$9) + CHOOSE(CONTROL!$C$27, 0.0021, 0)</f>
        <v>46.853000000000002</v>
      </c>
      <c r="C184" s="14">
        <f>46.4186 * CHOOSE(CONTROL!$C$9, $D$9, 100%, $F$9) + CHOOSE(CONTROL!$C$27, 0.0021, 0)</f>
        <v>46.420699999999997</v>
      </c>
      <c r="D184" s="14">
        <f>46.4186 * CHOOSE(CONTROL!$C$9, $D$9, 100%, $F$9) + CHOOSE(CONTROL!$C$27, 0.0021, 0)</f>
        <v>46.420699999999997</v>
      </c>
      <c r="E184" s="14">
        <f>46.2819 * CHOOSE(CONTROL!$C$9, $D$9, 100%, $F$9) + CHOOSE(CONTROL!$C$27, 0.0021, 0)</f>
        <v>46.283999999999999</v>
      </c>
      <c r="F184" s="14">
        <f>46.2819 * CHOOSE(CONTROL!$C$9, $D$9, 100%, $F$9) + CHOOSE(CONTROL!$C$27, 0.0021, 0)</f>
        <v>46.283999999999999</v>
      </c>
      <c r="G184" s="14">
        <f>46.5533 * CHOOSE(CONTROL!$C$9, $D$9, 100%, $F$9) + CHOOSE(CONTROL!$C$27, 0.0021, 0)</f>
        <v>46.555399999999999</v>
      </c>
      <c r="H184" s="14">
        <f>46.4186 * CHOOSE(CONTROL!$C$9, $D$9, 100%, $F$9) + CHOOSE(CONTROL!$C$27, 0.0021, 0)</f>
        <v>46.420699999999997</v>
      </c>
      <c r="I184" s="14">
        <f>46.4186 * CHOOSE(CONTROL!$C$9, $D$9, 100%, $F$9) + CHOOSE(CONTROL!$C$27, 0.0021, 0)</f>
        <v>46.420699999999997</v>
      </c>
      <c r="J184" s="14">
        <f>46.4186 * CHOOSE(CONTROL!$C$9, $D$9, 100%, $F$9) + CHOOSE(CONTROL!$C$27, 0.0021, 0)</f>
        <v>46.420699999999997</v>
      </c>
      <c r="K184" s="14">
        <f>46.4186 * CHOOSE(CONTROL!$C$9, $D$9, 100%, $F$9) + CHOOSE(CONTROL!$C$27, 0.0021, 0)</f>
        <v>46.420699999999997</v>
      </c>
      <c r="L184" s="14"/>
    </row>
    <row r="185" spans="1:12" ht="15" x14ac:dyDescent="0.2">
      <c r="A185" s="13">
        <v>46539</v>
      </c>
      <c r="B185" s="14">
        <f>47.4927 * CHOOSE(CONTROL!$C$9, $D$9, 100%, $F$9) + CHOOSE(CONTROL!$C$27, 0.0021, 0)</f>
        <v>47.494799999999998</v>
      </c>
      <c r="C185" s="14">
        <f>47.0605 * CHOOSE(CONTROL!$C$9, $D$9, 100%, $F$9) + CHOOSE(CONTROL!$C$27, 0.0021, 0)</f>
        <v>47.062599999999996</v>
      </c>
      <c r="D185" s="14">
        <f>47.0605 * CHOOSE(CONTROL!$C$9, $D$9, 100%, $F$9) + CHOOSE(CONTROL!$C$27, 0.0021, 0)</f>
        <v>47.062599999999996</v>
      </c>
      <c r="E185" s="14">
        <f>46.9238 * CHOOSE(CONTROL!$C$9, $D$9, 100%, $F$9) + CHOOSE(CONTROL!$C$27, 0.0021, 0)</f>
        <v>46.925899999999999</v>
      </c>
      <c r="F185" s="14">
        <f>46.9238 * CHOOSE(CONTROL!$C$9, $D$9, 100%, $F$9) + CHOOSE(CONTROL!$C$27, 0.0021, 0)</f>
        <v>46.925899999999999</v>
      </c>
      <c r="G185" s="14">
        <f>47.1952 * CHOOSE(CONTROL!$C$9, $D$9, 100%, $F$9) + CHOOSE(CONTROL!$C$27, 0.0021, 0)</f>
        <v>47.197299999999998</v>
      </c>
      <c r="H185" s="14">
        <f>47.0605 * CHOOSE(CONTROL!$C$9, $D$9, 100%, $F$9) + CHOOSE(CONTROL!$C$27, 0.0021, 0)</f>
        <v>47.062599999999996</v>
      </c>
      <c r="I185" s="14">
        <f>47.0605 * CHOOSE(CONTROL!$C$9, $D$9, 100%, $F$9) + CHOOSE(CONTROL!$C$27, 0.0021, 0)</f>
        <v>47.062599999999996</v>
      </c>
      <c r="J185" s="14">
        <f>47.0605 * CHOOSE(CONTROL!$C$9, $D$9, 100%, $F$9) + CHOOSE(CONTROL!$C$27, 0.0021, 0)</f>
        <v>47.062599999999996</v>
      </c>
      <c r="K185" s="14">
        <f>47.0605 * CHOOSE(CONTROL!$C$9, $D$9, 100%, $F$9) + CHOOSE(CONTROL!$C$27, 0.0021, 0)</f>
        <v>47.062599999999996</v>
      </c>
      <c r="L185" s="14"/>
    </row>
    <row r="186" spans="1:12" ht="15" x14ac:dyDescent="0.2">
      <c r="A186" s="13">
        <v>46569</v>
      </c>
      <c r="B186" s="14">
        <f>48.4951 * CHOOSE(CONTROL!$C$9, $D$9, 100%, $F$9) + CHOOSE(CONTROL!$C$27, 0.0021, 0)</f>
        <v>48.497199999999999</v>
      </c>
      <c r="C186" s="14">
        <f>48.0629 * CHOOSE(CONTROL!$C$9, $D$9, 100%, $F$9) + CHOOSE(CONTROL!$C$27, 0.0021, 0)</f>
        <v>48.064999999999998</v>
      </c>
      <c r="D186" s="14">
        <f>48.0629 * CHOOSE(CONTROL!$C$9, $D$9, 100%, $F$9) + CHOOSE(CONTROL!$C$27, 0.0021, 0)</f>
        <v>48.064999999999998</v>
      </c>
      <c r="E186" s="14">
        <f>47.9262 * CHOOSE(CONTROL!$C$9, $D$9, 100%, $F$9) + CHOOSE(CONTROL!$C$27, 0.0021, 0)</f>
        <v>47.9283</v>
      </c>
      <c r="F186" s="14">
        <f>47.9262 * CHOOSE(CONTROL!$C$9, $D$9, 100%, $F$9) + CHOOSE(CONTROL!$C$27, 0.0021, 0)</f>
        <v>47.9283</v>
      </c>
      <c r="G186" s="14">
        <f>48.1976 * CHOOSE(CONTROL!$C$9, $D$9, 100%, $F$9) + CHOOSE(CONTROL!$C$27, 0.0021, 0)</f>
        <v>48.1997</v>
      </c>
      <c r="H186" s="14">
        <f>48.0629 * CHOOSE(CONTROL!$C$9, $D$9, 100%, $F$9) + CHOOSE(CONTROL!$C$27, 0.0021, 0)</f>
        <v>48.064999999999998</v>
      </c>
      <c r="I186" s="14">
        <f>48.0629 * CHOOSE(CONTROL!$C$9, $D$9, 100%, $F$9) + CHOOSE(CONTROL!$C$27, 0.0021, 0)</f>
        <v>48.064999999999998</v>
      </c>
      <c r="J186" s="14">
        <f>48.0629 * CHOOSE(CONTROL!$C$9, $D$9, 100%, $F$9) + CHOOSE(CONTROL!$C$27, 0.0021, 0)</f>
        <v>48.064999999999998</v>
      </c>
      <c r="K186" s="14">
        <f>48.0629 * CHOOSE(CONTROL!$C$9, $D$9, 100%, $F$9) + CHOOSE(CONTROL!$C$27, 0.0021, 0)</f>
        <v>48.064999999999998</v>
      </c>
      <c r="L186" s="14"/>
    </row>
    <row r="187" spans="1:12" ht="15" x14ac:dyDescent="0.2">
      <c r="A187" s="13">
        <v>46600</v>
      </c>
      <c r="B187" s="14">
        <f>48.8684 * CHOOSE(CONTROL!$C$9, $D$9, 100%, $F$9) + CHOOSE(CONTROL!$C$27, 0.0021, 0)</f>
        <v>48.8705</v>
      </c>
      <c r="C187" s="14">
        <f>48.4362 * CHOOSE(CONTROL!$C$9, $D$9, 100%, $F$9) + CHOOSE(CONTROL!$C$27, 0.0021, 0)</f>
        <v>48.438299999999998</v>
      </c>
      <c r="D187" s="14">
        <f>48.4362 * CHOOSE(CONTROL!$C$9, $D$9, 100%, $F$9) + CHOOSE(CONTROL!$C$27, 0.0021, 0)</f>
        <v>48.438299999999998</v>
      </c>
      <c r="E187" s="14">
        <f>48.2995 * CHOOSE(CONTROL!$C$9, $D$9, 100%, $F$9) + CHOOSE(CONTROL!$C$27, 0.0021, 0)</f>
        <v>48.301600000000001</v>
      </c>
      <c r="F187" s="14">
        <f>48.2995 * CHOOSE(CONTROL!$C$9, $D$9, 100%, $F$9) + CHOOSE(CONTROL!$C$27, 0.0021, 0)</f>
        <v>48.301600000000001</v>
      </c>
      <c r="G187" s="14">
        <f>48.5709 * CHOOSE(CONTROL!$C$9, $D$9, 100%, $F$9) + CHOOSE(CONTROL!$C$27, 0.0021, 0)</f>
        <v>48.573</v>
      </c>
      <c r="H187" s="14">
        <f>48.4362 * CHOOSE(CONTROL!$C$9, $D$9, 100%, $F$9) + CHOOSE(CONTROL!$C$27, 0.0021, 0)</f>
        <v>48.438299999999998</v>
      </c>
      <c r="I187" s="14">
        <f>48.4362 * CHOOSE(CONTROL!$C$9, $D$9, 100%, $F$9) + CHOOSE(CONTROL!$C$27, 0.0021, 0)</f>
        <v>48.438299999999998</v>
      </c>
      <c r="J187" s="14">
        <f>48.4362 * CHOOSE(CONTROL!$C$9, $D$9, 100%, $F$9) + CHOOSE(CONTROL!$C$27, 0.0021, 0)</f>
        <v>48.438299999999998</v>
      </c>
      <c r="K187" s="14">
        <f>48.4362 * CHOOSE(CONTROL!$C$9, $D$9, 100%, $F$9) + CHOOSE(CONTROL!$C$27, 0.0021, 0)</f>
        <v>48.438299999999998</v>
      </c>
      <c r="L187" s="14"/>
    </row>
    <row r="188" spans="1:12" ht="15" x14ac:dyDescent="0.2">
      <c r="A188" s="13">
        <v>46631</v>
      </c>
      <c r="B188" s="14">
        <f>49.9134 * CHOOSE(CONTROL!$C$9, $D$9, 100%, $F$9) + CHOOSE(CONTROL!$C$27, 0.0021, 0)</f>
        <v>49.915500000000002</v>
      </c>
      <c r="C188" s="14">
        <f>49.4812 * CHOOSE(CONTROL!$C$9, $D$9, 100%, $F$9) + CHOOSE(CONTROL!$C$27, 0.0021, 0)</f>
        <v>49.4833</v>
      </c>
      <c r="D188" s="14">
        <f>49.4812 * CHOOSE(CONTROL!$C$9, $D$9, 100%, $F$9) + CHOOSE(CONTROL!$C$27, 0.0021, 0)</f>
        <v>49.4833</v>
      </c>
      <c r="E188" s="14">
        <f>49.3445 * CHOOSE(CONTROL!$C$9, $D$9, 100%, $F$9) + CHOOSE(CONTROL!$C$27, 0.0021, 0)</f>
        <v>49.346599999999995</v>
      </c>
      <c r="F188" s="14">
        <f>49.3445 * CHOOSE(CONTROL!$C$9, $D$9, 100%, $F$9) + CHOOSE(CONTROL!$C$27, 0.0021, 0)</f>
        <v>49.346599999999995</v>
      </c>
      <c r="G188" s="14">
        <f>49.6159 * CHOOSE(CONTROL!$C$9, $D$9, 100%, $F$9) + CHOOSE(CONTROL!$C$27, 0.0021, 0)</f>
        <v>49.618000000000002</v>
      </c>
      <c r="H188" s="14">
        <f>49.4812 * CHOOSE(CONTROL!$C$9, $D$9, 100%, $F$9) + CHOOSE(CONTROL!$C$27, 0.0021, 0)</f>
        <v>49.4833</v>
      </c>
      <c r="I188" s="14">
        <f>49.4812 * CHOOSE(CONTROL!$C$9, $D$9, 100%, $F$9) + CHOOSE(CONTROL!$C$27, 0.0021, 0)</f>
        <v>49.4833</v>
      </c>
      <c r="J188" s="14">
        <f>49.4812 * CHOOSE(CONTROL!$C$9, $D$9, 100%, $F$9) + CHOOSE(CONTROL!$C$27, 0.0021, 0)</f>
        <v>49.4833</v>
      </c>
      <c r="K188" s="14">
        <f>49.4812 * CHOOSE(CONTROL!$C$9, $D$9, 100%, $F$9) + CHOOSE(CONTROL!$C$27, 0.0021, 0)</f>
        <v>49.4833</v>
      </c>
      <c r="L188" s="14"/>
    </row>
    <row r="189" spans="1:12" ht="15" x14ac:dyDescent="0.2">
      <c r="A189" s="13">
        <v>46661</v>
      </c>
      <c r="B189" s="14">
        <f>51.2153 * CHOOSE(CONTROL!$C$9, $D$9, 100%, $F$9) + CHOOSE(CONTROL!$C$27, 0.0021, 0)</f>
        <v>51.217399999999998</v>
      </c>
      <c r="C189" s="14">
        <f>50.7831 * CHOOSE(CONTROL!$C$9, $D$9, 100%, $F$9) + CHOOSE(CONTROL!$C$27, 0.0021, 0)</f>
        <v>50.785199999999996</v>
      </c>
      <c r="D189" s="14">
        <f>50.7831 * CHOOSE(CONTROL!$C$9, $D$9, 100%, $F$9) + CHOOSE(CONTROL!$C$27, 0.0021, 0)</f>
        <v>50.785199999999996</v>
      </c>
      <c r="E189" s="14">
        <f>50.6464 * CHOOSE(CONTROL!$C$9, $D$9, 100%, $F$9) + CHOOSE(CONTROL!$C$27, 0.0021, 0)</f>
        <v>50.648499999999999</v>
      </c>
      <c r="F189" s="14">
        <f>50.6464 * CHOOSE(CONTROL!$C$9, $D$9, 100%, $F$9) + CHOOSE(CONTROL!$C$27, 0.0021, 0)</f>
        <v>50.648499999999999</v>
      </c>
      <c r="G189" s="14">
        <f>50.9178 * CHOOSE(CONTROL!$C$9, $D$9, 100%, $F$9) + CHOOSE(CONTROL!$C$27, 0.0021, 0)</f>
        <v>50.919899999999998</v>
      </c>
      <c r="H189" s="14">
        <f>50.7831 * CHOOSE(CONTROL!$C$9, $D$9, 100%, $F$9) + CHOOSE(CONTROL!$C$27, 0.0021, 0)</f>
        <v>50.785199999999996</v>
      </c>
      <c r="I189" s="14">
        <f>50.7831 * CHOOSE(CONTROL!$C$9, $D$9, 100%, $F$9) + CHOOSE(CONTROL!$C$27, 0.0021, 0)</f>
        <v>50.785199999999996</v>
      </c>
      <c r="J189" s="14">
        <f>50.7831 * CHOOSE(CONTROL!$C$9, $D$9, 100%, $F$9) + CHOOSE(CONTROL!$C$27, 0.0021, 0)</f>
        <v>50.785199999999996</v>
      </c>
      <c r="K189" s="14">
        <f>50.7831 * CHOOSE(CONTROL!$C$9, $D$9, 100%, $F$9) + CHOOSE(CONTROL!$C$27, 0.0021, 0)</f>
        <v>50.785199999999996</v>
      </c>
      <c r="L189" s="14"/>
    </row>
    <row r="190" spans="1:12" ht="15" x14ac:dyDescent="0.2">
      <c r="A190" s="13">
        <v>46692</v>
      </c>
      <c r="B190" s="14">
        <f>51.4294 * CHOOSE(CONTROL!$C$9, $D$9, 100%, $F$9) + CHOOSE(CONTROL!$C$27, 0.0021, 0)</f>
        <v>51.4315</v>
      </c>
      <c r="C190" s="14">
        <f>50.9971 * CHOOSE(CONTROL!$C$9, $D$9, 100%, $F$9) + CHOOSE(CONTROL!$C$27, 0.0021, 0)</f>
        <v>50.999200000000002</v>
      </c>
      <c r="D190" s="14">
        <f>50.9971 * CHOOSE(CONTROL!$C$9, $D$9, 100%, $F$9) + CHOOSE(CONTROL!$C$27, 0.0021, 0)</f>
        <v>50.999200000000002</v>
      </c>
      <c r="E190" s="14">
        <f>50.8605 * CHOOSE(CONTROL!$C$9, $D$9, 100%, $F$9) + CHOOSE(CONTROL!$C$27, 0.0021, 0)</f>
        <v>50.8626</v>
      </c>
      <c r="F190" s="14">
        <f>50.8605 * CHOOSE(CONTROL!$C$9, $D$9, 100%, $F$9) + CHOOSE(CONTROL!$C$27, 0.0021, 0)</f>
        <v>50.8626</v>
      </c>
      <c r="G190" s="14">
        <f>51.1318 * CHOOSE(CONTROL!$C$9, $D$9, 100%, $F$9) + CHOOSE(CONTROL!$C$27, 0.0021, 0)</f>
        <v>51.133899999999997</v>
      </c>
      <c r="H190" s="14">
        <f>50.9971 * CHOOSE(CONTROL!$C$9, $D$9, 100%, $F$9) + CHOOSE(CONTROL!$C$27, 0.0021, 0)</f>
        <v>50.999200000000002</v>
      </c>
      <c r="I190" s="14">
        <f>50.9971 * CHOOSE(CONTROL!$C$9, $D$9, 100%, $F$9) + CHOOSE(CONTROL!$C$27, 0.0021, 0)</f>
        <v>50.999200000000002</v>
      </c>
      <c r="J190" s="14">
        <f>50.9971 * CHOOSE(CONTROL!$C$9, $D$9, 100%, $F$9) + CHOOSE(CONTROL!$C$27, 0.0021, 0)</f>
        <v>50.999200000000002</v>
      </c>
      <c r="K190" s="14">
        <f>50.9971 * CHOOSE(CONTROL!$C$9, $D$9, 100%, $F$9) + CHOOSE(CONTROL!$C$27, 0.0021, 0)</f>
        <v>50.999200000000002</v>
      </c>
      <c r="L190" s="14"/>
    </row>
    <row r="191" spans="1:12" ht="15" x14ac:dyDescent="0.2">
      <c r="A191" s="13">
        <v>46722</v>
      </c>
      <c r="B191" s="14">
        <f>50.5651 * CHOOSE(CONTROL!$C$9, $D$9, 100%, $F$9) + CHOOSE(CONTROL!$C$27, 0.0021, 0)</f>
        <v>50.5672</v>
      </c>
      <c r="C191" s="14">
        <f>50.1329 * CHOOSE(CONTROL!$C$9, $D$9, 100%, $F$9) + CHOOSE(CONTROL!$C$27, 0.0021, 0)</f>
        <v>50.134999999999998</v>
      </c>
      <c r="D191" s="14">
        <f>50.1329 * CHOOSE(CONTROL!$C$9, $D$9, 100%, $F$9) + CHOOSE(CONTROL!$C$27, 0.0021, 0)</f>
        <v>50.134999999999998</v>
      </c>
      <c r="E191" s="14">
        <f>49.9962 * CHOOSE(CONTROL!$C$9, $D$9, 100%, $F$9) + CHOOSE(CONTROL!$C$27, 0.0021, 0)</f>
        <v>49.9983</v>
      </c>
      <c r="F191" s="14">
        <f>49.9962 * CHOOSE(CONTROL!$C$9, $D$9, 100%, $F$9) + CHOOSE(CONTROL!$C$27, 0.0021, 0)</f>
        <v>49.9983</v>
      </c>
      <c r="G191" s="14">
        <f>50.2676 * CHOOSE(CONTROL!$C$9, $D$9, 100%, $F$9) + CHOOSE(CONTROL!$C$27, 0.0021, 0)</f>
        <v>50.2697</v>
      </c>
      <c r="H191" s="14">
        <f>50.1329 * CHOOSE(CONTROL!$C$9, $D$9, 100%, $F$9) + CHOOSE(CONTROL!$C$27, 0.0021, 0)</f>
        <v>50.134999999999998</v>
      </c>
      <c r="I191" s="14">
        <f>50.1329 * CHOOSE(CONTROL!$C$9, $D$9, 100%, $F$9) + CHOOSE(CONTROL!$C$27, 0.0021, 0)</f>
        <v>50.134999999999998</v>
      </c>
      <c r="J191" s="14">
        <f>50.1329 * CHOOSE(CONTROL!$C$9, $D$9, 100%, $F$9) + CHOOSE(CONTROL!$C$27, 0.0021, 0)</f>
        <v>50.134999999999998</v>
      </c>
      <c r="K191" s="14">
        <f>50.1329 * CHOOSE(CONTROL!$C$9, $D$9, 100%, $F$9) + CHOOSE(CONTROL!$C$27, 0.0021, 0)</f>
        <v>50.134999999999998</v>
      </c>
      <c r="L191" s="14"/>
    </row>
    <row r="192" spans="1:12" ht="15" x14ac:dyDescent="0.2">
      <c r="A192" s="13">
        <v>46753</v>
      </c>
      <c r="B192" s="14">
        <f>50.036 * CHOOSE(CONTROL!$C$9, $D$9, 100%, $F$9) + CHOOSE(CONTROL!$C$27, 0.0021, 0)</f>
        <v>50.0381</v>
      </c>
      <c r="C192" s="14">
        <f>49.6038 * CHOOSE(CONTROL!$C$9, $D$9, 100%, $F$9) + CHOOSE(CONTROL!$C$27, 0.0021, 0)</f>
        <v>49.605899999999998</v>
      </c>
      <c r="D192" s="14">
        <f>49.6038 * CHOOSE(CONTROL!$C$9, $D$9, 100%, $F$9) + CHOOSE(CONTROL!$C$27, 0.0021, 0)</f>
        <v>49.605899999999998</v>
      </c>
      <c r="E192" s="14">
        <f>49.4671 * CHOOSE(CONTROL!$C$9, $D$9, 100%, $F$9) + CHOOSE(CONTROL!$C$27, 0.0021, 0)</f>
        <v>49.469200000000001</v>
      </c>
      <c r="F192" s="14">
        <f>49.4671 * CHOOSE(CONTROL!$C$9, $D$9, 100%, $F$9) + CHOOSE(CONTROL!$C$27, 0.0021, 0)</f>
        <v>49.469200000000001</v>
      </c>
      <c r="G192" s="14">
        <f>49.7385 * CHOOSE(CONTROL!$C$9, $D$9, 100%, $F$9) + CHOOSE(CONTROL!$C$27, 0.0021, 0)</f>
        <v>49.740600000000001</v>
      </c>
      <c r="H192" s="14">
        <f>49.6038 * CHOOSE(CONTROL!$C$9, $D$9, 100%, $F$9) + CHOOSE(CONTROL!$C$27, 0.0021, 0)</f>
        <v>49.605899999999998</v>
      </c>
      <c r="I192" s="14">
        <f>49.6038 * CHOOSE(CONTROL!$C$9, $D$9, 100%, $F$9) + CHOOSE(CONTROL!$C$27, 0.0021, 0)</f>
        <v>49.605899999999998</v>
      </c>
      <c r="J192" s="14">
        <f>49.6038 * CHOOSE(CONTROL!$C$9, $D$9, 100%, $F$9) + CHOOSE(CONTROL!$C$27, 0.0021, 0)</f>
        <v>49.605899999999998</v>
      </c>
      <c r="K192" s="14">
        <f>49.6038 * CHOOSE(CONTROL!$C$9, $D$9, 100%, $F$9) + CHOOSE(CONTROL!$C$27, 0.0021, 0)</f>
        <v>49.605899999999998</v>
      </c>
      <c r="L192" s="14"/>
    </row>
    <row r="193" spans="1:12" ht="15" x14ac:dyDescent="0.2">
      <c r="A193" s="13">
        <v>46784</v>
      </c>
      <c r="B193" s="14">
        <f>48.7811 * CHOOSE(CONTROL!$C$9, $D$9, 100%, $F$9) + CHOOSE(CONTROL!$C$27, 0.0021, 0)</f>
        <v>48.783200000000001</v>
      </c>
      <c r="C193" s="14">
        <f>48.3489 * CHOOSE(CONTROL!$C$9, $D$9, 100%, $F$9) + CHOOSE(CONTROL!$C$27, 0.0021, 0)</f>
        <v>48.350999999999999</v>
      </c>
      <c r="D193" s="14">
        <f>48.3489 * CHOOSE(CONTROL!$C$9, $D$9, 100%, $F$9) + CHOOSE(CONTROL!$C$27, 0.0021, 0)</f>
        <v>48.350999999999999</v>
      </c>
      <c r="E193" s="14">
        <f>48.2122 * CHOOSE(CONTROL!$C$9, $D$9, 100%, $F$9) + CHOOSE(CONTROL!$C$27, 0.0021, 0)</f>
        <v>48.214300000000001</v>
      </c>
      <c r="F193" s="14">
        <f>48.2122 * CHOOSE(CONTROL!$C$9, $D$9, 100%, $F$9) + CHOOSE(CONTROL!$C$27, 0.0021, 0)</f>
        <v>48.214300000000001</v>
      </c>
      <c r="G193" s="14">
        <f>48.4836 * CHOOSE(CONTROL!$C$9, $D$9, 100%, $F$9) + CHOOSE(CONTROL!$C$27, 0.0021, 0)</f>
        <v>48.485700000000001</v>
      </c>
      <c r="H193" s="14">
        <f>48.3489 * CHOOSE(CONTROL!$C$9, $D$9, 100%, $F$9) + CHOOSE(CONTROL!$C$27, 0.0021, 0)</f>
        <v>48.350999999999999</v>
      </c>
      <c r="I193" s="14">
        <f>48.3489 * CHOOSE(CONTROL!$C$9, $D$9, 100%, $F$9) + CHOOSE(CONTROL!$C$27, 0.0021, 0)</f>
        <v>48.350999999999999</v>
      </c>
      <c r="J193" s="14">
        <f>48.3489 * CHOOSE(CONTROL!$C$9, $D$9, 100%, $F$9) + CHOOSE(CONTROL!$C$27, 0.0021, 0)</f>
        <v>48.350999999999999</v>
      </c>
      <c r="K193" s="14">
        <f>48.3489 * CHOOSE(CONTROL!$C$9, $D$9, 100%, $F$9) + CHOOSE(CONTROL!$C$27, 0.0021, 0)</f>
        <v>48.350999999999999</v>
      </c>
      <c r="L193" s="14"/>
    </row>
    <row r="194" spans="1:12" ht="15" x14ac:dyDescent="0.2">
      <c r="A194" s="13">
        <v>46813</v>
      </c>
      <c r="B194" s="14">
        <f>48.3171 * CHOOSE(CONTROL!$C$9, $D$9, 100%, $F$9) + CHOOSE(CONTROL!$C$27, 0.0021, 0)</f>
        <v>48.319200000000002</v>
      </c>
      <c r="C194" s="14">
        <f>47.8849 * CHOOSE(CONTROL!$C$9, $D$9, 100%, $F$9) + CHOOSE(CONTROL!$C$27, 0.0021, 0)</f>
        <v>47.887</v>
      </c>
      <c r="D194" s="14">
        <f>47.8849 * CHOOSE(CONTROL!$C$9, $D$9, 100%, $F$9) + CHOOSE(CONTROL!$C$27, 0.0021, 0)</f>
        <v>47.887</v>
      </c>
      <c r="E194" s="14">
        <f>47.7482 * CHOOSE(CONTROL!$C$9, $D$9, 100%, $F$9) + CHOOSE(CONTROL!$C$27, 0.0021, 0)</f>
        <v>47.750299999999996</v>
      </c>
      <c r="F194" s="14">
        <f>47.7482 * CHOOSE(CONTROL!$C$9, $D$9, 100%, $F$9) + CHOOSE(CONTROL!$C$27, 0.0021, 0)</f>
        <v>47.750299999999996</v>
      </c>
      <c r="G194" s="14">
        <f>48.0196 * CHOOSE(CONTROL!$C$9, $D$9, 100%, $F$9) + CHOOSE(CONTROL!$C$27, 0.0021, 0)</f>
        <v>48.021699999999996</v>
      </c>
      <c r="H194" s="14">
        <f>47.8849 * CHOOSE(CONTROL!$C$9, $D$9, 100%, $F$9) + CHOOSE(CONTROL!$C$27, 0.0021, 0)</f>
        <v>47.887</v>
      </c>
      <c r="I194" s="14">
        <f>47.8849 * CHOOSE(CONTROL!$C$9, $D$9, 100%, $F$9) + CHOOSE(CONTROL!$C$27, 0.0021, 0)</f>
        <v>47.887</v>
      </c>
      <c r="J194" s="14">
        <f>47.8849 * CHOOSE(CONTROL!$C$9, $D$9, 100%, $F$9) + CHOOSE(CONTROL!$C$27, 0.0021, 0)</f>
        <v>47.887</v>
      </c>
      <c r="K194" s="14">
        <f>47.8849 * CHOOSE(CONTROL!$C$9, $D$9, 100%, $F$9) + CHOOSE(CONTROL!$C$27, 0.0021, 0)</f>
        <v>47.887</v>
      </c>
      <c r="L194" s="14"/>
    </row>
    <row r="195" spans="1:12" ht="15" x14ac:dyDescent="0.2">
      <c r="A195" s="13">
        <v>46844</v>
      </c>
      <c r="B195" s="14">
        <f>47.7422 * CHOOSE(CONTROL!$C$9, $D$9, 100%, $F$9) + CHOOSE(CONTROL!$C$27, 0.0021, 0)</f>
        <v>47.744299999999996</v>
      </c>
      <c r="C195" s="14">
        <f>47.31 * CHOOSE(CONTROL!$C$9, $D$9, 100%, $F$9) + CHOOSE(CONTROL!$C$27, 0.0021, 0)</f>
        <v>47.312100000000001</v>
      </c>
      <c r="D195" s="14">
        <f>47.31 * CHOOSE(CONTROL!$C$9, $D$9, 100%, $F$9) + CHOOSE(CONTROL!$C$27, 0.0021, 0)</f>
        <v>47.312100000000001</v>
      </c>
      <c r="E195" s="14">
        <f>47.1733 * CHOOSE(CONTROL!$C$9, $D$9, 100%, $F$9) + CHOOSE(CONTROL!$C$27, 0.0021, 0)</f>
        <v>47.175399999999996</v>
      </c>
      <c r="F195" s="14">
        <f>47.1733 * CHOOSE(CONTROL!$C$9, $D$9, 100%, $F$9) + CHOOSE(CONTROL!$C$27, 0.0021, 0)</f>
        <v>47.175399999999996</v>
      </c>
      <c r="G195" s="14">
        <f>47.4447 * CHOOSE(CONTROL!$C$9, $D$9, 100%, $F$9) + CHOOSE(CONTROL!$C$27, 0.0021, 0)</f>
        <v>47.446799999999996</v>
      </c>
      <c r="H195" s="14">
        <f>47.31 * CHOOSE(CONTROL!$C$9, $D$9, 100%, $F$9) + CHOOSE(CONTROL!$C$27, 0.0021, 0)</f>
        <v>47.312100000000001</v>
      </c>
      <c r="I195" s="14">
        <f>47.31 * CHOOSE(CONTROL!$C$9, $D$9, 100%, $F$9) + CHOOSE(CONTROL!$C$27, 0.0021, 0)</f>
        <v>47.312100000000001</v>
      </c>
      <c r="J195" s="14">
        <f>47.31 * CHOOSE(CONTROL!$C$9, $D$9, 100%, $F$9) + CHOOSE(CONTROL!$C$27, 0.0021, 0)</f>
        <v>47.312100000000001</v>
      </c>
      <c r="K195" s="14">
        <f>47.31 * CHOOSE(CONTROL!$C$9, $D$9, 100%, $F$9) + CHOOSE(CONTROL!$C$27, 0.0021, 0)</f>
        <v>47.312100000000001</v>
      </c>
      <c r="L195" s="14"/>
    </row>
    <row r="196" spans="1:12" ht="15" x14ac:dyDescent="0.2">
      <c r="A196" s="13">
        <v>46874</v>
      </c>
      <c r="B196" s="14">
        <f>48.7923 * CHOOSE(CONTROL!$C$9, $D$9, 100%, $F$9) + CHOOSE(CONTROL!$C$27, 0.0021, 0)</f>
        <v>48.794399999999996</v>
      </c>
      <c r="C196" s="14">
        <f>48.36 * CHOOSE(CONTROL!$C$9, $D$9, 100%, $F$9) + CHOOSE(CONTROL!$C$27, 0.0021, 0)</f>
        <v>48.362099999999998</v>
      </c>
      <c r="D196" s="14">
        <f>48.36 * CHOOSE(CONTROL!$C$9, $D$9, 100%, $F$9) + CHOOSE(CONTROL!$C$27, 0.0021, 0)</f>
        <v>48.362099999999998</v>
      </c>
      <c r="E196" s="14">
        <f>48.2233 * CHOOSE(CONTROL!$C$9, $D$9, 100%, $F$9) + CHOOSE(CONTROL!$C$27, 0.0021, 0)</f>
        <v>48.2254</v>
      </c>
      <c r="F196" s="14">
        <f>48.2233 * CHOOSE(CONTROL!$C$9, $D$9, 100%, $F$9) + CHOOSE(CONTROL!$C$27, 0.0021, 0)</f>
        <v>48.2254</v>
      </c>
      <c r="G196" s="14">
        <f>48.4947 * CHOOSE(CONTROL!$C$9, $D$9, 100%, $F$9) + CHOOSE(CONTROL!$C$27, 0.0021, 0)</f>
        <v>48.4968</v>
      </c>
      <c r="H196" s="14">
        <f>48.36 * CHOOSE(CONTROL!$C$9, $D$9, 100%, $F$9) + CHOOSE(CONTROL!$C$27, 0.0021, 0)</f>
        <v>48.362099999999998</v>
      </c>
      <c r="I196" s="14">
        <f>48.36 * CHOOSE(CONTROL!$C$9, $D$9, 100%, $F$9) + CHOOSE(CONTROL!$C$27, 0.0021, 0)</f>
        <v>48.362099999999998</v>
      </c>
      <c r="J196" s="14">
        <f>48.36 * CHOOSE(CONTROL!$C$9, $D$9, 100%, $F$9) + CHOOSE(CONTROL!$C$27, 0.0021, 0)</f>
        <v>48.362099999999998</v>
      </c>
      <c r="K196" s="14">
        <f>48.36 * CHOOSE(CONTROL!$C$9, $D$9, 100%, $F$9) + CHOOSE(CONTROL!$C$27, 0.0021, 0)</f>
        <v>48.362099999999998</v>
      </c>
      <c r="L196" s="14"/>
    </row>
    <row r="197" spans="1:12" ht="15" x14ac:dyDescent="0.2">
      <c r="A197" s="13">
        <v>46905</v>
      </c>
      <c r="B197" s="14">
        <f>49.4621 * CHOOSE(CONTROL!$C$9, $D$9, 100%, $F$9) + CHOOSE(CONTROL!$C$27, 0.0021, 0)</f>
        <v>49.464199999999998</v>
      </c>
      <c r="C197" s="14">
        <f>49.0298 * CHOOSE(CONTROL!$C$9, $D$9, 100%, $F$9) + CHOOSE(CONTROL!$C$27, 0.0021, 0)</f>
        <v>49.0319</v>
      </c>
      <c r="D197" s="14">
        <f>49.0298 * CHOOSE(CONTROL!$C$9, $D$9, 100%, $F$9) + CHOOSE(CONTROL!$C$27, 0.0021, 0)</f>
        <v>49.0319</v>
      </c>
      <c r="E197" s="14">
        <f>48.8932 * CHOOSE(CONTROL!$C$9, $D$9, 100%, $F$9) + CHOOSE(CONTROL!$C$27, 0.0021, 0)</f>
        <v>48.895299999999999</v>
      </c>
      <c r="F197" s="14">
        <f>48.8932 * CHOOSE(CONTROL!$C$9, $D$9, 100%, $F$9) + CHOOSE(CONTROL!$C$27, 0.0021, 0)</f>
        <v>48.895299999999999</v>
      </c>
      <c r="G197" s="14">
        <f>49.1646 * CHOOSE(CONTROL!$C$9, $D$9, 100%, $F$9) + CHOOSE(CONTROL!$C$27, 0.0021, 0)</f>
        <v>49.166699999999999</v>
      </c>
      <c r="H197" s="14">
        <f>49.0298 * CHOOSE(CONTROL!$C$9, $D$9, 100%, $F$9) + CHOOSE(CONTROL!$C$27, 0.0021, 0)</f>
        <v>49.0319</v>
      </c>
      <c r="I197" s="14">
        <f>49.0298 * CHOOSE(CONTROL!$C$9, $D$9, 100%, $F$9) + CHOOSE(CONTROL!$C$27, 0.0021, 0)</f>
        <v>49.0319</v>
      </c>
      <c r="J197" s="14">
        <f>49.0298 * CHOOSE(CONTROL!$C$9, $D$9, 100%, $F$9) + CHOOSE(CONTROL!$C$27, 0.0021, 0)</f>
        <v>49.0319</v>
      </c>
      <c r="K197" s="14">
        <f>49.0298 * CHOOSE(CONTROL!$C$9, $D$9, 100%, $F$9) + CHOOSE(CONTROL!$C$27, 0.0021, 0)</f>
        <v>49.0319</v>
      </c>
      <c r="L197" s="14"/>
    </row>
    <row r="198" spans="1:12" ht="15" x14ac:dyDescent="0.2">
      <c r="A198" s="13">
        <v>46935</v>
      </c>
      <c r="B198" s="14">
        <f>50.5082 * CHOOSE(CONTROL!$C$9, $D$9, 100%, $F$9) + CHOOSE(CONTROL!$C$27, 0.0021, 0)</f>
        <v>50.510300000000001</v>
      </c>
      <c r="C198" s="14">
        <f>50.0759 * CHOOSE(CONTROL!$C$9, $D$9, 100%, $F$9) + CHOOSE(CONTROL!$C$27, 0.0021, 0)</f>
        <v>50.077999999999996</v>
      </c>
      <c r="D198" s="14">
        <f>50.0759 * CHOOSE(CONTROL!$C$9, $D$9, 100%, $F$9) + CHOOSE(CONTROL!$C$27, 0.0021, 0)</f>
        <v>50.077999999999996</v>
      </c>
      <c r="E198" s="14">
        <f>49.9393 * CHOOSE(CONTROL!$C$9, $D$9, 100%, $F$9) + CHOOSE(CONTROL!$C$27, 0.0021, 0)</f>
        <v>49.941400000000002</v>
      </c>
      <c r="F198" s="14">
        <f>49.9393 * CHOOSE(CONTROL!$C$9, $D$9, 100%, $F$9) + CHOOSE(CONTROL!$C$27, 0.0021, 0)</f>
        <v>49.941400000000002</v>
      </c>
      <c r="G198" s="14">
        <f>50.2106 * CHOOSE(CONTROL!$C$9, $D$9, 100%, $F$9) + CHOOSE(CONTROL!$C$27, 0.0021, 0)</f>
        <v>50.212699999999998</v>
      </c>
      <c r="H198" s="14">
        <f>50.0759 * CHOOSE(CONTROL!$C$9, $D$9, 100%, $F$9) + CHOOSE(CONTROL!$C$27, 0.0021, 0)</f>
        <v>50.077999999999996</v>
      </c>
      <c r="I198" s="14">
        <f>50.0759 * CHOOSE(CONTROL!$C$9, $D$9, 100%, $F$9) + CHOOSE(CONTROL!$C$27, 0.0021, 0)</f>
        <v>50.077999999999996</v>
      </c>
      <c r="J198" s="14">
        <f>50.0759 * CHOOSE(CONTROL!$C$9, $D$9, 100%, $F$9) + CHOOSE(CONTROL!$C$27, 0.0021, 0)</f>
        <v>50.077999999999996</v>
      </c>
      <c r="K198" s="14">
        <f>50.0759 * CHOOSE(CONTROL!$C$9, $D$9, 100%, $F$9) + CHOOSE(CONTROL!$C$27, 0.0021, 0)</f>
        <v>50.077999999999996</v>
      </c>
      <c r="L198" s="14"/>
    </row>
    <row r="199" spans="1:12" ht="15" x14ac:dyDescent="0.2">
      <c r="A199" s="13">
        <v>46966</v>
      </c>
      <c r="B199" s="14">
        <f>50.8977 * CHOOSE(CONTROL!$C$9, $D$9, 100%, $F$9) + CHOOSE(CONTROL!$C$27, 0.0021, 0)</f>
        <v>50.899799999999999</v>
      </c>
      <c r="C199" s="14">
        <f>50.4655 * CHOOSE(CONTROL!$C$9, $D$9, 100%, $F$9) + CHOOSE(CONTROL!$C$27, 0.0021, 0)</f>
        <v>50.467599999999997</v>
      </c>
      <c r="D199" s="14">
        <f>50.4655 * CHOOSE(CONTROL!$C$9, $D$9, 100%, $F$9) + CHOOSE(CONTROL!$C$27, 0.0021, 0)</f>
        <v>50.467599999999997</v>
      </c>
      <c r="E199" s="14">
        <f>50.3288 * CHOOSE(CONTROL!$C$9, $D$9, 100%, $F$9) + CHOOSE(CONTROL!$C$27, 0.0021, 0)</f>
        <v>50.3309</v>
      </c>
      <c r="F199" s="14">
        <f>50.3288 * CHOOSE(CONTROL!$C$9, $D$9, 100%, $F$9) + CHOOSE(CONTROL!$C$27, 0.0021, 0)</f>
        <v>50.3309</v>
      </c>
      <c r="G199" s="14">
        <f>50.6002 * CHOOSE(CONTROL!$C$9, $D$9, 100%, $F$9) + CHOOSE(CONTROL!$C$27, 0.0021, 0)</f>
        <v>50.6023</v>
      </c>
      <c r="H199" s="14">
        <f>50.4655 * CHOOSE(CONTROL!$C$9, $D$9, 100%, $F$9) + CHOOSE(CONTROL!$C$27, 0.0021, 0)</f>
        <v>50.467599999999997</v>
      </c>
      <c r="I199" s="14">
        <f>50.4655 * CHOOSE(CONTROL!$C$9, $D$9, 100%, $F$9) + CHOOSE(CONTROL!$C$27, 0.0021, 0)</f>
        <v>50.467599999999997</v>
      </c>
      <c r="J199" s="14">
        <f>50.4655 * CHOOSE(CONTROL!$C$9, $D$9, 100%, $F$9) + CHOOSE(CONTROL!$C$27, 0.0021, 0)</f>
        <v>50.467599999999997</v>
      </c>
      <c r="K199" s="14">
        <f>50.4655 * CHOOSE(CONTROL!$C$9, $D$9, 100%, $F$9) + CHOOSE(CONTROL!$C$27, 0.0021, 0)</f>
        <v>50.467599999999997</v>
      </c>
      <c r="L199" s="14"/>
    </row>
    <row r="200" spans="1:12" ht="15" x14ac:dyDescent="0.2">
      <c r="A200" s="13">
        <v>46997</v>
      </c>
      <c r="B200" s="14">
        <f>51.9883 * CHOOSE(CONTROL!$C$9, $D$9, 100%, $F$9) + CHOOSE(CONTROL!$C$27, 0.0021, 0)</f>
        <v>51.990400000000001</v>
      </c>
      <c r="C200" s="14">
        <f>51.556 * CHOOSE(CONTROL!$C$9, $D$9, 100%, $F$9) + CHOOSE(CONTROL!$C$27, 0.0021, 0)</f>
        <v>51.558099999999996</v>
      </c>
      <c r="D200" s="14">
        <f>51.556 * CHOOSE(CONTROL!$C$9, $D$9, 100%, $F$9) + CHOOSE(CONTROL!$C$27, 0.0021, 0)</f>
        <v>51.558099999999996</v>
      </c>
      <c r="E200" s="14">
        <f>51.4193 * CHOOSE(CONTROL!$C$9, $D$9, 100%, $F$9) + CHOOSE(CONTROL!$C$27, 0.0021, 0)</f>
        <v>51.421399999999998</v>
      </c>
      <c r="F200" s="14">
        <f>51.4193 * CHOOSE(CONTROL!$C$9, $D$9, 100%, $F$9) + CHOOSE(CONTROL!$C$27, 0.0021, 0)</f>
        <v>51.421399999999998</v>
      </c>
      <c r="G200" s="14">
        <f>51.6907 * CHOOSE(CONTROL!$C$9, $D$9, 100%, $F$9) + CHOOSE(CONTROL!$C$27, 0.0021, 0)</f>
        <v>51.692799999999998</v>
      </c>
      <c r="H200" s="14">
        <f>51.556 * CHOOSE(CONTROL!$C$9, $D$9, 100%, $F$9) + CHOOSE(CONTROL!$C$27, 0.0021, 0)</f>
        <v>51.558099999999996</v>
      </c>
      <c r="I200" s="14">
        <f>51.556 * CHOOSE(CONTROL!$C$9, $D$9, 100%, $F$9) + CHOOSE(CONTROL!$C$27, 0.0021, 0)</f>
        <v>51.558099999999996</v>
      </c>
      <c r="J200" s="14">
        <f>51.556 * CHOOSE(CONTROL!$C$9, $D$9, 100%, $F$9) + CHOOSE(CONTROL!$C$27, 0.0021, 0)</f>
        <v>51.558099999999996</v>
      </c>
      <c r="K200" s="14">
        <f>51.556 * CHOOSE(CONTROL!$C$9, $D$9, 100%, $F$9) + CHOOSE(CONTROL!$C$27, 0.0021, 0)</f>
        <v>51.558099999999996</v>
      </c>
      <c r="L200" s="14"/>
    </row>
    <row r="201" spans="1:12" ht="15" x14ac:dyDescent="0.2">
      <c r="A201" s="13">
        <v>47027</v>
      </c>
      <c r="B201" s="14">
        <f>53.3469 * CHOOSE(CONTROL!$C$9, $D$9, 100%, $F$9) + CHOOSE(CONTROL!$C$27, 0.0021, 0)</f>
        <v>53.348999999999997</v>
      </c>
      <c r="C201" s="14">
        <f>52.9147 * CHOOSE(CONTROL!$C$9, $D$9, 100%, $F$9) + CHOOSE(CONTROL!$C$27, 0.0021, 0)</f>
        <v>52.916800000000002</v>
      </c>
      <c r="D201" s="14">
        <f>52.9147 * CHOOSE(CONTROL!$C$9, $D$9, 100%, $F$9) + CHOOSE(CONTROL!$C$27, 0.0021, 0)</f>
        <v>52.916800000000002</v>
      </c>
      <c r="E201" s="14">
        <f>52.778 * CHOOSE(CONTROL!$C$9, $D$9, 100%, $F$9) + CHOOSE(CONTROL!$C$27, 0.0021, 0)</f>
        <v>52.780099999999997</v>
      </c>
      <c r="F201" s="14">
        <f>52.778 * CHOOSE(CONTROL!$C$9, $D$9, 100%, $F$9) + CHOOSE(CONTROL!$C$27, 0.0021, 0)</f>
        <v>52.780099999999997</v>
      </c>
      <c r="G201" s="14">
        <f>53.0494 * CHOOSE(CONTROL!$C$9, $D$9, 100%, $F$9) + CHOOSE(CONTROL!$C$27, 0.0021, 0)</f>
        <v>53.051499999999997</v>
      </c>
      <c r="H201" s="14">
        <f>52.9147 * CHOOSE(CONTROL!$C$9, $D$9, 100%, $F$9) + CHOOSE(CONTROL!$C$27, 0.0021, 0)</f>
        <v>52.916800000000002</v>
      </c>
      <c r="I201" s="14">
        <f>52.9147 * CHOOSE(CONTROL!$C$9, $D$9, 100%, $F$9) + CHOOSE(CONTROL!$C$27, 0.0021, 0)</f>
        <v>52.916800000000002</v>
      </c>
      <c r="J201" s="14">
        <f>52.9147 * CHOOSE(CONTROL!$C$9, $D$9, 100%, $F$9) + CHOOSE(CONTROL!$C$27, 0.0021, 0)</f>
        <v>52.916800000000002</v>
      </c>
      <c r="K201" s="14">
        <f>52.9147 * CHOOSE(CONTROL!$C$9, $D$9, 100%, $F$9) + CHOOSE(CONTROL!$C$27, 0.0021, 0)</f>
        <v>52.916800000000002</v>
      </c>
      <c r="L201" s="14"/>
    </row>
    <row r="202" spans="1:12" ht="15" x14ac:dyDescent="0.2">
      <c r="A202" s="13">
        <v>47058</v>
      </c>
      <c r="B202" s="14">
        <f>53.5703 * CHOOSE(CONTROL!$C$9, $D$9, 100%, $F$9) + CHOOSE(CONTROL!$C$27, 0.0021, 0)</f>
        <v>53.572400000000002</v>
      </c>
      <c r="C202" s="14">
        <f>53.138 * CHOOSE(CONTROL!$C$9, $D$9, 100%, $F$9) + CHOOSE(CONTROL!$C$27, 0.0021, 0)</f>
        <v>53.140099999999997</v>
      </c>
      <c r="D202" s="14">
        <f>53.138 * CHOOSE(CONTROL!$C$9, $D$9, 100%, $F$9) + CHOOSE(CONTROL!$C$27, 0.0021, 0)</f>
        <v>53.140099999999997</v>
      </c>
      <c r="E202" s="14">
        <f>53.0013 * CHOOSE(CONTROL!$C$9, $D$9, 100%, $F$9) + CHOOSE(CONTROL!$C$27, 0.0021, 0)</f>
        <v>53.003399999999999</v>
      </c>
      <c r="F202" s="14">
        <f>53.0013 * CHOOSE(CONTROL!$C$9, $D$9, 100%, $F$9) + CHOOSE(CONTROL!$C$27, 0.0021, 0)</f>
        <v>53.003399999999999</v>
      </c>
      <c r="G202" s="14">
        <f>53.2727 * CHOOSE(CONTROL!$C$9, $D$9, 100%, $F$9) + CHOOSE(CONTROL!$C$27, 0.0021, 0)</f>
        <v>53.274799999999999</v>
      </c>
      <c r="H202" s="14">
        <f>53.138 * CHOOSE(CONTROL!$C$9, $D$9, 100%, $F$9) + CHOOSE(CONTROL!$C$27, 0.0021, 0)</f>
        <v>53.140099999999997</v>
      </c>
      <c r="I202" s="14">
        <f>53.138 * CHOOSE(CONTROL!$C$9, $D$9, 100%, $F$9) + CHOOSE(CONTROL!$C$27, 0.0021, 0)</f>
        <v>53.140099999999997</v>
      </c>
      <c r="J202" s="14">
        <f>53.138 * CHOOSE(CONTROL!$C$9, $D$9, 100%, $F$9) + CHOOSE(CONTROL!$C$27, 0.0021, 0)</f>
        <v>53.140099999999997</v>
      </c>
      <c r="K202" s="14">
        <f>53.138 * CHOOSE(CONTROL!$C$9, $D$9, 100%, $F$9) + CHOOSE(CONTROL!$C$27, 0.0021, 0)</f>
        <v>53.140099999999997</v>
      </c>
      <c r="L202" s="14"/>
    </row>
    <row r="203" spans="1:12" ht="15" x14ac:dyDescent="0.2">
      <c r="A203" s="13">
        <v>47088</v>
      </c>
      <c r="B203" s="14">
        <f>52.6684 * CHOOSE(CONTROL!$C$9, $D$9, 100%, $F$9) + CHOOSE(CONTROL!$C$27, 0.0021, 0)</f>
        <v>52.670499999999997</v>
      </c>
      <c r="C203" s="14">
        <f>52.2361 * CHOOSE(CONTROL!$C$9, $D$9, 100%, $F$9) + CHOOSE(CONTROL!$C$27, 0.0021, 0)</f>
        <v>52.238199999999999</v>
      </c>
      <c r="D203" s="14">
        <f>52.2361 * CHOOSE(CONTROL!$C$9, $D$9, 100%, $F$9) + CHOOSE(CONTROL!$C$27, 0.0021, 0)</f>
        <v>52.238199999999999</v>
      </c>
      <c r="E203" s="14">
        <f>52.0995 * CHOOSE(CONTROL!$C$9, $D$9, 100%, $F$9) + CHOOSE(CONTROL!$C$27, 0.0021, 0)</f>
        <v>52.101599999999998</v>
      </c>
      <c r="F203" s="14">
        <f>52.0995 * CHOOSE(CONTROL!$C$9, $D$9, 100%, $F$9) + CHOOSE(CONTROL!$C$27, 0.0021, 0)</f>
        <v>52.101599999999998</v>
      </c>
      <c r="G203" s="14">
        <f>52.3708 * CHOOSE(CONTROL!$C$9, $D$9, 100%, $F$9) + CHOOSE(CONTROL!$C$27, 0.0021, 0)</f>
        <v>52.372900000000001</v>
      </c>
      <c r="H203" s="14">
        <f>52.2361 * CHOOSE(CONTROL!$C$9, $D$9, 100%, $F$9) + CHOOSE(CONTROL!$C$27, 0.0021, 0)</f>
        <v>52.238199999999999</v>
      </c>
      <c r="I203" s="14">
        <f>52.2361 * CHOOSE(CONTROL!$C$9, $D$9, 100%, $F$9) + CHOOSE(CONTROL!$C$27, 0.0021, 0)</f>
        <v>52.238199999999999</v>
      </c>
      <c r="J203" s="14">
        <f>52.2361 * CHOOSE(CONTROL!$C$9, $D$9, 100%, $F$9) + CHOOSE(CONTROL!$C$27, 0.0021, 0)</f>
        <v>52.238199999999999</v>
      </c>
      <c r="K203" s="14">
        <f>52.2361 * CHOOSE(CONTROL!$C$9, $D$9, 100%, $F$9) + CHOOSE(CONTROL!$C$27, 0.0021, 0)</f>
        <v>52.238199999999999</v>
      </c>
      <c r="L203" s="14"/>
    </row>
    <row r="204" spans="1:12" ht="15" x14ac:dyDescent="0.2">
      <c r="A204" s="13">
        <v>47119</v>
      </c>
      <c r="B204" s="14">
        <f>52.1433 * CHOOSE(CONTROL!$C$9, $D$9, 100%, $F$9) + CHOOSE(CONTROL!$C$27, 0.0021, 0)</f>
        <v>52.145400000000002</v>
      </c>
      <c r="C204" s="14">
        <f>51.711 * CHOOSE(CONTROL!$C$9, $D$9, 100%, $F$9) + CHOOSE(CONTROL!$C$27, 0.0021, 0)</f>
        <v>51.713099999999997</v>
      </c>
      <c r="D204" s="14">
        <f>51.711 * CHOOSE(CONTROL!$C$9, $D$9, 100%, $F$9) + CHOOSE(CONTROL!$C$27, 0.0021, 0)</f>
        <v>51.713099999999997</v>
      </c>
      <c r="E204" s="14">
        <f>51.5744 * CHOOSE(CONTROL!$C$9, $D$9, 100%, $F$9) + CHOOSE(CONTROL!$C$27, 0.0021, 0)</f>
        <v>51.576499999999996</v>
      </c>
      <c r="F204" s="14">
        <f>51.5744 * CHOOSE(CONTROL!$C$9, $D$9, 100%, $F$9) + CHOOSE(CONTROL!$C$27, 0.0021, 0)</f>
        <v>51.576499999999996</v>
      </c>
      <c r="G204" s="14">
        <f>51.8457 * CHOOSE(CONTROL!$C$9, $D$9, 100%, $F$9) + CHOOSE(CONTROL!$C$27, 0.0021, 0)</f>
        <v>51.847799999999999</v>
      </c>
      <c r="H204" s="14">
        <f>51.711 * CHOOSE(CONTROL!$C$9, $D$9, 100%, $F$9) + CHOOSE(CONTROL!$C$27, 0.0021, 0)</f>
        <v>51.713099999999997</v>
      </c>
      <c r="I204" s="14">
        <f>51.711 * CHOOSE(CONTROL!$C$9, $D$9, 100%, $F$9) + CHOOSE(CONTROL!$C$27, 0.0021, 0)</f>
        <v>51.713099999999997</v>
      </c>
      <c r="J204" s="14">
        <f>51.711 * CHOOSE(CONTROL!$C$9, $D$9, 100%, $F$9) + CHOOSE(CONTROL!$C$27, 0.0021, 0)</f>
        <v>51.713099999999997</v>
      </c>
      <c r="K204" s="14">
        <f>51.711 * CHOOSE(CONTROL!$C$9, $D$9, 100%, $F$9) + CHOOSE(CONTROL!$C$27, 0.0021, 0)</f>
        <v>51.713099999999997</v>
      </c>
      <c r="L204" s="14"/>
    </row>
    <row r="205" spans="1:12" ht="15" x14ac:dyDescent="0.2">
      <c r="A205" s="13">
        <v>47150</v>
      </c>
      <c r="B205" s="14">
        <f>50.833 * CHOOSE(CONTROL!$C$9, $D$9, 100%, $F$9) + CHOOSE(CONTROL!$C$27, 0.0021, 0)</f>
        <v>50.835099999999997</v>
      </c>
      <c r="C205" s="14">
        <f>50.4007 * CHOOSE(CONTROL!$C$9, $D$9, 100%, $F$9) + CHOOSE(CONTROL!$C$27, 0.0021, 0)</f>
        <v>50.402799999999999</v>
      </c>
      <c r="D205" s="14">
        <f>50.4007 * CHOOSE(CONTROL!$C$9, $D$9, 100%, $F$9) + CHOOSE(CONTROL!$C$27, 0.0021, 0)</f>
        <v>50.402799999999999</v>
      </c>
      <c r="E205" s="14">
        <f>50.2641 * CHOOSE(CONTROL!$C$9, $D$9, 100%, $F$9) + CHOOSE(CONTROL!$C$27, 0.0021, 0)</f>
        <v>50.266199999999998</v>
      </c>
      <c r="F205" s="14">
        <f>50.2641 * CHOOSE(CONTROL!$C$9, $D$9, 100%, $F$9) + CHOOSE(CONTROL!$C$27, 0.0021, 0)</f>
        <v>50.266199999999998</v>
      </c>
      <c r="G205" s="14">
        <f>50.5355 * CHOOSE(CONTROL!$C$9, $D$9, 100%, $F$9) + CHOOSE(CONTROL!$C$27, 0.0021, 0)</f>
        <v>50.537599999999998</v>
      </c>
      <c r="H205" s="14">
        <f>50.4007 * CHOOSE(CONTROL!$C$9, $D$9, 100%, $F$9) + CHOOSE(CONTROL!$C$27, 0.0021, 0)</f>
        <v>50.402799999999999</v>
      </c>
      <c r="I205" s="14">
        <f>50.4007 * CHOOSE(CONTROL!$C$9, $D$9, 100%, $F$9) + CHOOSE(CONTROL!$C$27, 0.0021, 0)</f>
        <v>50.402799999999999</v>
      </c>
      <c r="J205" s="14">
        <f>50.4007 * CHOOSE(CONTROL!$C$9, $D$9, 100%, $F$9) + CHOOSE(CONTROL!$C$27, 0.0021, 0)</f>
        <v>50.402799999999999</v>
      </c>
      <c r="K205" s="14">
        <f>50.4007 * CHOOSE(CONTROL!$C$9, $D$9, 100%, $F$9) + CHOOSE(CONTROL!$C$27, 0.0021, 0)</f>
        <v>50.402799999999999</v>
      </c>
      <c r="L205" s="14"/>
    </row>
    <row r="206" spans="1:12" ht="15" x14ac:dyDescent="0.2">
      <c r="A206" s="13">
        <v>47178</v>
      </c>
      <c r="B206" s="14">
        <f>50.3485 * CHOOSE(CONTROL!$C$9, $D$9, 100%, $F$9) + CHOOSE(CONTROL!$C$27, 0.0021, 0)</f>
        <v>50.3506</v>
      </c>
      <c r="C206" s="14">
        <f>49.9163 * CHOOSE(CONTROL!$C$9, $D$9, 100%, $F$9) + CHOOSE(CONTROL!$C$27, 0.0021, 0)</f>
        <v>49.918399999999998</v>
      </c>
      <c r="D206" s="14">
        <f>49.9163 * CHOOSE(CONTROL!$C$9, $D$9, 100%, $F$9) + CHOOSE(CONTROL!$C$27, 0.0021, 0)</f>
        <v>49.918399999999998</v>
      </c>
      <c r="E206" s="14">
        <f>49.7796 * CHOOSE(CONTROL!$C$9, $D$9, 100%, $F$9) + CHOOSE(CONTROL!$C$27, 0.0021, 0)</f>
        <v>49.781700000000001</v>
      </c>
      <c r="F206" s="14">
        <f>49.7796 * CHOOSE(CONTROL!$C$9, $D$9, 100%, $F$9) + CHOOSE(CONTROL!$C$27, 0.0021, 0)</f>
        <v>49.781700000000001</v>
      </c>
      <c r="G206" s="14">
        <f>50.051 * CHOOSE(CONTROL!$C$9, $D$9, 100%, $F$9) + CHOOSE(CONTROL!$C$27, 0.0021, 0)</f>
        <v>50.053100000000001</v>
      </c>
      <c r="H206" s="14">
        <f>49.9163 * CHOOSE(CONTROL!$C$9, $D$9, 100%, $F$9) + CHOOSE(CONTROL!$C$27, 0.0021, 0)</f>
        <v>49.918399999999998</v>
      </c>
      <c r="I206" s="14">
        <f>49.9163 * CHOOSE(CONTROL!$C$9, $D$9, 100%, $F$9) + CHOOSE(CONTROL!$C$27, 0.0021, 0)</f>
        <v>49.918399999999998</v>
      </c>
      <c r="J206" s="14">
        <f>49.9163 * CHOOSE(CONTROL!$C$9, $D$9, 100%, $F$9) + CHOOSE(CONTROL!$C$27, 0.0021, 0)</f>
        <v>49.918399999999998</v>
      </c>
      <c r="K206" s="14">
        <f>49.9163 * CHOOSE(CONTROL!$C$9, $D$9, 100%, $F$9) + CHOOSE(CONTROL!$C$27, 0.0021, 0)</f>
        <v>49.918399999999998</v>
      </c>
      <c r="L206" s="14"/>
    </row>
    <row r="207" spans="1:12" ht="15" x14ac:dyDescent="0.2">
      <c r="A207" s="13">
        <v>47209</v>
      </c>
      <c r="B207" s="14">
        <f>49.7482 * CHOOSE(CONTROL!$C$9, $D$9, 100%, $F$9) + CHOOSE(CONTROL!$C$27, 0.0021, 0)</f>
        <v>49.750299999999996</v>
      </c>
      <c r="C207" s="14">
        <f>49.3159 * CHOOSE(CONTROL!$C$9, $D$9, 100%, $F$9) + CHOOSE(CONTROL!$C$27, 0.0021, 0)</f>
        <v>49.317999999999998</v>
      </c>
      <c r="D207" s="14">
        <f>49.3159 * CHOOSE(CONTROL!$C$9, $D$9, 100%, $F$9) + CHOOSE(CONTROL!$C$27, 0.0021, 0)</f>
        <v>49.317999999999998</v>
      </c>
      <c r="E207" s="14">
        <f>49.1793 * CHOOSE(CONTROL!$C$9, $D$9, 100%, $F$9) + CHOOSE(CONTROL!$C$27, 0.0021, 0)</f>
        <v>49.181399999999996</v>
      </c>
      <c r="F207" s="14">
        <f>49.1793 * CHOOSE(CONTROL!$C$9, $D$9, 100%, $F$9) + CHOOSE(CONTROL!$C$27, 0.0021, 0)</f>
        <v>49.181399999999996</v>
      </c>
      <c r="G207" s="14">
        <f>49.4507 * CHOOSE(CONTROL!$C$9, $D$9, 100%, $F$9) + CHOOSE(CONTROL!$C$27, 0.0021, 0)</f>
        <v>49.452799999999996</v>
      </c>
      <c r="H207" s="14">
        <f>49.3159 * CHOOSE(CONTROL!$C$9, $D$9, 100%, $F$9) + CHOOSE(CONTROL!$C$27, 0.0021, 0)</f>
        <v>49.317999999999998</v>
      </c>
      <c r="I207" s="14">
        <f>49.3159 * CHOOSE(CONTROL!$C$9, $D$9, 100%, $F$9) + CHOOSE(CONTROL!$C$27, 0.0021, 0)</f>
        <v>49.317999999999998</v>
      </c>
      <c r="J207" s="14">
        <f>49.3159 * CHOOSE(CONTROL!$C$9, $D$9, 100%, $F$9) + CHOOSE(CONTROL!$C$27, 0.0021, 0)</f>
        <v>49.317999999999998</v>
      </c>
      <c r="K207" s="14">
        <f>49.3159 * CHOOSE(CONTROL!$C$9, $D$9, 100%, $F$9) + CHOOSE(CONTROL!$C$27, 0.0021, 0)</f>
        <v>49.317999999999998</v>
      </c>
      <c r="L207" s="14"/>
    </row>
    <row r="208" spans="1:12" ht="15" x14ac:dyDescent="0.2">
      <c r="A208" s="13">
        <v>47239</v>
      </c>
      <c r="B208" s="14">
        <f>50.8446 * CHOOSE(CONTROL!$C$9, $D$9, 100%, $F$9) + CHOOSE(CONTROL!$C$27, 0.0021, 0)</f>
        <v>50.846699999999998</v>
      </c>
      <c r="C208" s="14">
        <f>50.4123 * CHOOSE(CONTROL!$C$9, $D$9, 100%, $F$9) + CHOOSE(CONTROL!$C$27, 0.0021, 0)</f>
        <v>50.414400000000001</v>
      </c>
      <c r="D208" s="14">
        <f>50.4123 * CHOOSE(CONTROL!$C$9, $D$9, 100%, $F$9) + CHOOSE(CONTROL!$C$27, 0.0021, 0)</f>
        <v>50.414400000000001</v>
      </c>
      <c r="E208" s="14">
        <f>50.2757 * CHOOSE(CONTROL!$C$9, $D$9, 100%, $F$9) + CHOOSE(CONTROL!$C$27, 0.0021, 0)</f>
        <v>50.277799999999999</v>
      </c>
      <c r="F208" s="14">
        <f>50.2757 * CHOOSE(CONTROL!$C$9, $D$9, 100%, $F$9) + CHOOSE(CONTROL!$C$27, 0.0021, 0)</f>
        <v>50.277799999999999</v>
      </c>
      <c r="G208" s="14">
        <f>50.5471 * CHOOSE(CONTROL!$C$9, $D$9, 100%, $F$9) + CHOOSE(CONTROL!$C$27, 0.0021, 0)</f>
        <v>50.549199999999999</v>
      </c>
      <c r="H208" s="14">
        <f>50.4123 * CHOOSE(CONTROL!$C$9, $D$9, 100%, $F$9) + CHOOSE(CONTROL!$C$27, 0.0021, 0)</f>
        <v>50.414400000000001</v>
      </c>
      <c r="I208" s="14">
        <f>50.4123 * CHOOSE(CONTROL!$C$9, $D$9, 100%, $F$9) + CHOOSE(CONTROL!$C$27, 0.0021, 0)</f>
        <v>50.414400000000001</v>
      </c>
      <c r="J208" s="14">
        <f>50.4123 * CHOOSE(CONTROL!$C$9, $D$9, 100%, $F$9) + CHOOSE(CONTROL!$C$27, 0.0021, 0)</f>
        <v>50.414400000000001</v>
      </c>
      <c r="K208" s="14">
        <f>50.4123 * CHOOSE(CONTROL!$C$9, $D$9, 100%, $F$9) + CHOOSE(CONTROL!$C$27, 0.0021, 0)</f>
        <v>50.414400000000001</v>
      </c>
      <c r="L208" s="14"/>
    </row>
    <row r="209" spans="1:12" ht="15" x14ac:dyDescent="0.2">
      <c r="A209" s="13">
        <v>47270</v>
      </c>
      <c r="B209" s="14">
        <f>51.544 * CHOOSE(CONTROL!$C$9, $D$9, 100%, $F$9) + CHOOSE(CONTROL!$C$27, 0.0021, 0)</f>
        <v>51.546099999999996</v>
      </c>
      <c r="C209" s="14">
        <f>51.1117 * CHOOSE(CONTROL!$C$9, $D$9, 100%, $F$9) + CHOOSE(CONTROL!$C$27, 0.0021, 0)</f>
        <v>51.113799999999998</v>
      </c>
      <c r="D209" s="14">
        <f>51.1117 * CHOOSE(CONTROL!$C$9, $D$9, 100%, $F$9) + CHOOSE(CONTROL!$C$27, 0.0021, 0)</f>
        <v>51.113799999999998</v>
      </c>
      <c r="E209" s="14">
        <f>50.9751 * CHOOSE(CONTROL!$C$9, $D$9, 100%, $F$9) + CHOOSE(CONTROL!$C$27, 0.0021, 0)</f>
        <v>50.977199999999996</v>
      </c>
      <c r="F209" s="14">
        <f>50.9751 * CHOOSE(CONTROL!$C$9, $D$9, 100%, $F$9) + CHOOSE(CONTROL!$C$27, 0.0021, 0)</f>
        <v>50.977199999999996</v>
      </c>
      <c r="G209" s="14">
        <f>51.2464 * CHOOSE(CONTROL!$C$9, $D$9, 100%, $F$9) + CHOOSE(CONTROL!$C$27, 0.0021, 0)</f>
        <v>51.2485</v>
      </c>
      <c r="H209" s="14">
        <f>51.1117 * CHOOSE(CONTROL!$C$9, $D$9, 100%, $F$9) + CHOOSE(CONTROL!$C$27, 0.0021, 0)</f>
        <v>51.113799999999998</v>
      </c>
      <c r="I209" s="14">
        <f>51.1117 * CHOOSE(CONTROL!$C$9, $D$9, 100%, $F$9) + CHOOSE(CONTROL!$C$27, 0.0021, 0)</f>
        <v>51.113799999999998</v>
      </c>
      <c r="J209" s="14">
        <f>51.1117 * CHOOSE(CONTROL!$C$9, $D$9, 100%, $F$9) + CHOOSE(CONTROL!$C$27, 0.0021, 0)</f>
        <v>51.113799999999998</v>
      </c>
      <c r="K209" s="14">
        <f>51.1117 * CHOOSE(CONTROL!$C$9, $D$9, 100%, $F$9) + CHOOSE(CONTROL!$C$27, 0.0021, 0)</f>
        <v>51.113799999999998</v>
      </c>
      <c r="L209" s="14"/>
    </row>
    <row r="210" spans="1:12" ht="15" x14ac:dyDescent="0.2">
      <c r="A210" s="13">
        <v>47300</v>
      </c>
      <c r="B210" s="14">
        <f>52.6362 * CHOOSE(CONTROL!$C$9, $D$9, 100%, $F$9) + CHOOSE(CONTROL!$C$27, 0.0021, 0)</f>
        <v>52.638300000000001</v>
      </c>
      <c r="C210" s="14">
        <f>52.204 * CHOOSE(CONTROL!$C$9, $D$9, 100%, $F$9) + CHOOSE(CONTROL!$C$27, 0.0021, 0)</f>
        <v>52.206099999999999</v>
      </c>
      <c r="D210" s="14">
        <f>52.204 * CHOOSE(CONTROL!$C$9, $D$9, 100%, $F$9) + CHOOSE(CONTROL!$C$27, 0.0021, 0)</f>
        <v>52.206099999999999</v>
      </c>
      <c r="E210" s="14">
        <f>52.0673 * CHOOSE(CONTROL!$C$9, $D$9, 100%, $F$9) + CHOOSE(CONTROL!$C$27, 0.0021, 0)</f>
        <v>52.069400000000002</v>
      </c>
      <c r="F210" s="14">
        <f>52.0673 * CHOOSE(CONTROL!$C$9, $D$9, 100%, $F$9) + CHOOSE(CONTROL!$C$27, 0.0021, 0)</f>
        <v>52.069400000000002</v>
      </c>
      <c r="G210" s="14">
        <f>52.3387 * CHOOSE(CONTROL!$C$9, $D$9, 100%, $F$9) + CHOOSE(CONTROL!$C$27, 0.0021, 0)</f>
        <v>52.340800000000002</v>
      </c>
      <c r="H210" s="14">
        <f>52.204 * CHOOSE(CONTROL!$C$9, $D$9, 100%, $F$9) + CHOOSE(CONTROL!$C$27, 0.0021, 0)</f>
        <v>52.206099999999999</v>
      </c>
      <c r="I210" s="14">
        <f>52.204 * CHOOSE(CONTROL!$C$9, $D$9, 100%, $F$9) + CHOOSE(CONTROL!$C$27, 0.0021, 0)</f>
        <v>52.206099999999999</v>
      </c>
      <c r="J210" s="14">
        <f>52.204 * CHOOSE(CONTROL!$C$9, $D$9, 100%, $F$9) + CHOOSE(CONTROL!$C$27, 0.0021, 0)</f>
        <v>52.206099999999999</v>
      </c>
      <c r="K210" s="14">
        <f>52.204 * CHOOSE(CONTROL!$C$9, $D$9, 100%, $F$9) + CHOOSE(CONTROL!$C$27, 0.0021, 0)</f>
        <v>52.206099999999999</v>
      </c>
      <c r="L210" s="14"/>
    </row>
    <row r="211" spans="1:12" ht="15" x14ac:dyDescent="0.2">
      <c r="A211" s="13">
        <v>47331</v>
      </c>
      <c r="B211" s="14">
        <f>53.043 * CHOOSE(CONTROL!$C$9, $D$9, 100%, $F$9) + CHOOSE(CONTROL!$C$27, 0.0021, 0)</f>
        <v>53.045099999999998</v>
      </c>
      <c r="C211" s="14">
        <f>52.6107 * CHOOSE(CONTROL!$C$9, $D$9, 100%, $F$9) + CHOOSE(CONTROL!$C$27, 0.0021, 0)</f>
        <v>52.6128</v>
      </c>
      <c r="D211" s="14">
        <f>52.6107 * CHOOSE(CONTROL!$C$9, $D$9, 100%, $F$9) + CHOOSE(CONTROL!$C$27, 0.0021, 0)</f>
        <v>52.6128</v>
      </c>
      <c r="E211" s="14">
        <f>52.4741 * CHOOSE(CONTROL!$C$9, $D$9, 100%, $F$9) + CHOOSE(CONTROL!$C$27, 0.0021, 0)</f>
        <v>52.476199999999999</v>
      </c>
      <c r="F211" s="14">
        <f>52.4741 * CHOOSE(CONTROL!$C$9, $D$9, 100%, $F$9) + CHOOSE(CONTROL!$C$27, 0.0021, 0)</f>
        <v>52.476199999999999</v>
      </c>
      <c r="G211" s="14">
        <f>52.7454 * CHOOSE(CONTROL!$C$9, $D$9, 100%, $F$9) + CHOOSE(CONTROL!$C$27, 0.0021, 0)</f>
        <v>52.747499999999995</v>
      </c>
      <c r="H211" s="14">
        <f>52.6107 * CHOOSE(CONTROL!$C$9, $D$9, 100%, $F$9) + CHOOSE(CONTROL!$C$27, 0.0021, 0)</f>
        <v>52.6128</v>
      </c>
      <c r="I211" s="14">
        <f>52.6107 * CHOOSE(CONTROL!$C$9, $D$9, 100%, $F$9) + CHOOSE(CONTROL!$C$27, 0.0021, 0)</f>
        <v>52.6128</v>
      </c>
      <c r="J211" s="14">
        <f>52.6107 * CHOOSE(CONTROL!$C$9, $D$9, 100%, $F$9) + CHOOSE(CONTROL!$C$27, 0.0021, 0)</f>
        <v>52.6128</v>
      </c>
      <c r="K211" s="14">
        <f>52.6107 * CHOOSE(CONTROL!$C$9, $D$9, 100%, $F$9) + CHOOSE(CONTROL!$C$27, 0.0021, 0)</f>
        <v>52.6128</v>
      </c>
      <c r="L211" s="14"/>
    </row>
    <row r="212" spans="1:12" ht="15" x14ac:dyDescent="0.2">
      <c r="A212" s="13">
        <v>47362</v>
      </c>
      <c r="B212" s="14">
        <f>54.1816 * CHOOSE(CONTROL!$C$9, $D$9, 100%, $F$9) + CHOOSE(CONTROL!$C$27, 0.0021, 0)</f>
        <v>54.183700000000002</v>
      </c>
      <c r="C212" s="14">
        <f>53.7494 * CHOOSE(CONTROL!$C$9, $D$9, 100%, $F$9) + CHOOSE(CONTROL!$C$27, 0.0021, 0)</f>
        <v>53.7515</v>
      </c>
      <c r="D212" s="14">
        <f>53.7494 * CHOOSE(CONTROL!$C$9, $D$9, 100%, $F$9) + CHOOSE(CONTROL!$C$27, 0.0021, 0)</f>
        <v>53.7515</v>
      </c>
      <c r="E212" s="14">
        <f>53.6127 * CHOOSE(CONTROL!$C$9, $D$9, 100%, $F$9) + CHOOSE(CONTROL!$C$27, 0.0021, 0)</f>
        <v>53.614799999999995</v>
      </c>
      <c r="F212" s="14">
        <f>53.6127 * CHOOSE(CONTROL!$C$9, $D$9, 100%, $F$9) + CHOOSE(CONTROL!$C$27, 0.0021, 0)</f>
        <v>53.614799999999995</v>
      </c>
      <c r="G212" s="14">
        <f>53.8841 * CHOOSE(CONTROL!$C$9, $D$9, 100%, $F$9) + CHOOSE(CONTROL!$C$27, 0.0021, 0)</f>
        <v>53.886199999999995</v>
      </c>
      <c r="H212" s="14">
        <f>53.7494 * CHOOSE(CONTROL!$C$9, $D$9, 100%, $F$9) + CHOOSE(CONTROL!$C$27, 0.0021, 0)</f>
        <v>53.7515</v>
      </c>
      <c r="I212" s="14">
        <f>53.7494 * CHOOSE(CONTROL!$C$9, $D$9, 100%, $F$9) + CHOOSE(CONTROL!$C$27, 0.0021, 0)</f>
        <v>53.7515</v>
      </c>
      <c r="J212" s="14">
        <f>53.7494 * CHOOSE(CONTROL!$C$9, $D$9, 100%, $F$9) + CHOOSE(CONTROL!$C$27, 0.0021, 0)</f>
        <v>53.7515</v>
      </c>
      <c r="K212" s="14">
        <f>53.7494 * CHOOSE(CONTROL!$C$9, $D$9, 100%, $F$9) + CHOOSE(CONTROL!$C$27, 0.0021, 0)</f>
        <v>53.7515</v>
      </c>
      <c r="L212" s="14"/>
    </row>
    <row r="213" spans="1:12" ht="15" x14ac:dyDescent="0.2">
      <c r="A213" s="13">
        <v>47392</v>
      </c>
      <c r="B213" s="14">
        <f>55.6003 * CHOOSE(CONTROL!$C$9, $D$9, 100%, $F$9) + CHOOSE(CONTROL!$C$27, 0.0021, 0)</f>
        <v>55.602399999999996</v>
      </c>
      <c r="C213" s="14">
        <f>55.168 * CHOOSE(CONTROL!$C$9, $D$9, 100%, $F$9) + CHOOSE(CONTROL!$C$27, 0.0021, 0)</f>
        <v>55.170099999999998</v>
      </c>
      <c r="D213" s="14">
        <f>55.168 * CHOOSE(CONTROL!$C$9, $D$9, 100%, $F$9) + CHOOSE(CONTROL!$C$27, 0.0021, 0)</f>
        <v>55.170099999999998</v>
      </c>
      <c r="E213" s="14">
        <f>55.0314 * CHOOSE(CONTROL!$C$9, $D$9, 100%, $F$9) + CHOOSE(CONTROL!$C$27, 0.0021, 0)</f>
        <v>55.033499999999997</v>
      </c>
      <c r="F213" s="14">
        <f>55.0314 * CHOOSE(CONTROL!$C$9, $D$9, 100%, $F$9) + CHOOSE(CONTROL!$C$27, 0.0021, 0)</f>
        <v>55.033499999999997</v>
      </c>
      <c r="G213" s="14">
        <f>55.3027 * CHOOSE(CONTROL!$C$9, $D$9, 100%, $F$9) + CHOOSE(CONTROL!$C$27, 0.0021, 0)</f>
        <v>55.3048</v>
      </c>
      <c r="H213" s="14">
        <f>55.168 * CHOOSE(CONTROL!$C$9, $D$9, 100%, $F$9) + CHOOSE(CONTROL!$C$27, 0.0021, 0)</f>
        <v>55.170099999999998</v>
      </c>
      <c r="I213" s="14">
        <f>55.168 * CHOOSE(CONTROL!$C$9, $D$9, 100%, $F$9) + CHOOSE(CONTROL!$C$27, 0.0021, 0)</f>
        <v>55.170099999999998</v>
      </c>
      <c r="J213" s="14">
        <f>55.168 * CHOOSE(CONTROL!$C$9, $D$9, 100%, $F$9) + CHOOSE(CONTROL!$C$27, 0.0021, 0)</f>
        <v>55.170099999999998</v>
      </c>
      <c r="K213" s="14">
        <f>55.168 * CHOOSE(CONTROL!$C$9, $D$9, 100%, $F$9) + CHOOSE(CONTROL!$C$27, 0.0021, 0)</f>
        <v>55.170099999999998</v>
      </c>
      <c r="L213" s="14"/>
    </row>
    <row r="214" spans="1:12" ht="15" x14ac:dyDescent="0.2">
      <c r="A214" s="13">
        <v>47423</v>
      </c>
      <c r="B214" s="14">
        <f>55.8335 * CHOOSE(CONTROL!$C$9, $D$9, 100%, $F$9) + CHOOSE(CONTROL!$C$27, 0.0021, 0)</f>
        <v>55.835599999999999</v>
      </c>
      <c r="C214" s="14">
        <f>55.4012 * CHOOSE(CONTROL!$C$9, $D$9, 100%, $F$9) + CHOOSE(CONTROL!$C$27, 0.0021, 0)</f>
        <v>55.403300000000002</v>
      </c>
      <c r="D214" s="14">
        <f>55.4012 * CHOOSE(CONTROL!$C$9, $D$9, 100%, $F$9) + CHOOSE(CONTROL!$C$27, 0.0021, 0)</f>
        <v>55.403300000000002</v>
      </c>
      <c r="E214" s="14">
        <f>55.2646 * CHOOSE(CONTROL!$C$9, $D$9, 100%, $F$9) + CHOOSE(CONTROL!$C$27, 0.0021, 0)</f>
        <v>55.2667</v>
      </c>
      <c r="F214" s="14">
        <f>55.2646 * CHOOSE(CONTROL!$C$9, $D$9, 100%, $F$9) + CHOOSE(CONTROL!$C$27, 0.0021, 0)</f>
        <v>55.2667</v>
      </c>
      <c r="G214" s="14">
        <f>55.5359 * CHOOSE(CONTROL!$C$9, $D$9, 100%, $F$9) + CHOOSE(CONTROL!$C$27, 0.0021, 0)</f>
        <v>55.537999999999997</v>
      </c>
      <c r="H214" s="14">
        <f>55.4012 * CHOOSE(CONTROL!$C$9, $D$9, 100%, $F$9) + CHOOSE(CONTROL!$C$27, 0.0021, 0)</f>
        <v>55.403300000000002</v>
      </c>
      <c r="I214" s="14">
        <f>55.4012 * CHOOSE(CONTROL!$C$9, $D$9, 100%, $F$9) + CHOOSE(CONTROL!$C$27, 0.0021, 0)</f>
        <v>55.403300000000002</v>
      </c>
      <c r="J214" s="14">
        <f>55.4012 * CHOOSE(CONTROL!$C$9, $D$9, 100%, $F$9) + CHOOSE(CONTROL!$C$27, 0.0021, 0)</f>
        <v>55.403300000000002</v>
      </c>
      <c r="K214" s="14">
        <f>55.4012 * CHOOSE(CONTROL!$C$9, $D$9, 100%, $F$9) + CHOOSE(CONTROL!$C$27, 0.0021, 0)</f>
        <v>55.403300000000002</v>
      </c>
      <c r="L214" s="14"/>
    </row>
    <row r="215" spans="1:12" ht="15" x14ac:dyDescent="0.2">
      <c r="A215" s="13">
        <v>47453</v>
      </c>
      <c r="B215" s="14">
        <f>54.8918 * CHOOSE(CONTROL!$C$9, $D$9, 100%, $F$9) + CHOOSE(CONTROL!$C$27, 0.0021, 0)</f>
        <v>54.893900000000002</v>
      </c>
      <c r="C215" s="14">
        <f>54.4595 * CHOOSE(CONTROL!$C$9, $D$9, 100%, $F$9) + CHOOSE(CONTROL!$C$27, 0.0021, 0)</f>
        <v>54.461599999999997</v>
      </c>
      <c r="D215" s="14">
        <f>54.4595 * CHOOSE(CONTROL!$C$9, $D$9, 100%, $F$9) + CHOOSE(CONTROL!$C$27, 0.0021, 0)</f>
        <v>54.461599999999997</v>
      </c>
      <c r="E215" s="14">
        <f>54.3229 * CHOOSE(CONTROL!$C$9, $D$9, 100%, $F$9) + CHOOSE(CONTROL!$C$27, 0.0021, 0)</f>
        <v>54.324999999999996</v>
      </c>
      <c r="F215" s="14">
        <f>54.3229 * CHOOSE(CONTROL!$C$9, $D$9, 100%, $F$9) + CHOOSE(CONTROL!$C$27, 0.0021, 0)</f>
        <v>54.324999999999996</v>
      </c>
      <c r="G215" s="14">
        <f>54.5942 * CHOOSE(CONTROL!$C$9, $D$9, 100%, $F$9) + CHOOSE(CONTROL!$C$27, 0.0021, 0)</f>
        <v>54.596299999999999</v>
      </c>
      <c r="H215" s="14">
        <f>54.4595 * CHOOSE(CONTROL!$C$9, $D$9, 100%, $F$9) + CHOOSE(CONTROL!$C$27, 0.0021, 0)</f>
        <v>54.461599999999997</v>
      </c>
      <c r="I215" s="14">
        <f>54.4595 * CHOOSE(CONTROL!$C$9, $D$9, 100%, $F$9) + CHOOSE(CONTROL!$C$27, 0.0021, 0)</f>
        <v>54.461599999999997</v>
      </c>
      <c r="J215" s="14">
        <f>54.4595 * CHOOSE(CONTROL!$C$9, $D$9, 100%, $F$9) + CHOOSE(CONTROL!$C$27, 0.0021, 0)</f>
        <v>54.461599999999997</v>
      </c>
      <c r="K215" s="14">
        <f>54.4595 * CHOOSE(CONTROL!$C$9, $D$9, 100%, $F$9) + CHOOSE(CONTROL!$C$27, 0.0021, 0)</f>
        <v>54.461599999999997</v>
      </c>
      <c r="L215" s="14"/>
    </row>
    <row r="216" spans="1:12" ht="15" x14ac:dyDescent="0.2">
      <c r="A216" s="13">
        <v>47484</v>
      </c>
      <c r="B216" s="14">
        <f>54.316 * CHOOSE(CONTROL!$C$9, $D$9, 100%, $F$9) + CHOOSE(CONTROL!$C$27, 0.0021, 0)</f>
        <v>54.318100000000001</v>
      </c>
      <c r="C216" s="14">
        <f>53.8837 * CHOOSE(CONTROL!$C$9, $D$9, 100%, $F$9) + CHOOSE(CONTROL!$C$27, 0.0021, 0)</f>
        <v>53.885799999999996</v>
      </c>
      <c r="D216" s="14">
        <f>53.8837 * CHOOSE(CONTROL!$C$9, $D$9, 100%, $F$9) + CHOOSE(CONTROL!$C$27, 0.0021, 0)</f>
        <v>53.885799999999996</v>
      </c>
      <c r="E216" s="14">
        <f>53.7471 * CHOOSE(CONTROL!$C$9, $D$9, 100%, $F$9) + CHOOSE(CONTROL!$C$27, 0.0021, 0)</f>
        <v>53.749200000000002</v>
      </c>
      <c r="F216" s="14">
        <f>53.7471 * CHOOSE(CONTROL!$C$9, $D$9, 100%, $F$9) + CHOOSE(CONTROL!$C$27, 0.0021, 0)</f>
        <v>53.749200000000002</v>
      </c>
      <c r="G216" s="14">
        <f>54.0184 * CHOOSE(CONTROL!$C$9, $D$9, 100%, $F$9) + CHOOSE(CONTROL!$C$27, 0.0021, 0)</f>
        <v>54.020499999999998</v>
      </c>
      <c r="H216" s="14">
        <f>53.8837 * CHOOSE(CONTROL!$C$9, $D$9, 100%, $F$9) + CHOOSE(CONTROL!$C$27, 0.0021, 0)</f>
        <v>53.885799999999996</v>
      </c>
      <c r="I216" s="14">
        <f>53.8837 * CHOOSE(CONTROL!$C$9, $D$9, 100%, $F$9) + CHOOSE(CONTROL!$C$27, 0.0021, 0)</f>
        <v>53.885799999999996</v>
      </c>
      <c r="J216" s="14">
        <f>53.8837 * CHOOSE(CONTROL!$C$9, $D$9, 100%, $F$9) + CHOOSE(CONTROL!$C$27, 0.0021, 0)</f>
        <v>53.885799999999996</v>
      </c>
      <c r="K216" s="14">
        <f>53.8837 * CHOOSE(CONTROL!$C$9, $D$9, 100%, $F$9) + CHOOSE(CONTROL!$C$27, 0.0021, 0)</f>
        <v>53.885799999999996</v>
      </c>
      <c r="L216" s="14"/>
    </row>
    <row r="217" spans="1:12" ht="15" x14ac:dyDescent="0.2">
      <c r="A217" s="13">
        <v>47515</v>
      </c>
      <c r="B217" s="14">
        <f>52.9486 * CHOOSE(CONTROL!$C$9, $D$9, 100%, $F$9) + CHOOSE(CONTROL!$C$27, 0.0021, 0)</f>
        <v>52.950699999999998</v>
      </c>
      <c r="C217" s="14">
        <f>52.5163 * CHOOSE(CONTROL!$C$9, $D$9, 100%, $F$9) + CHOOSE(CONTROL!$C$27, 0.0021, 0)</f>
        <v>52.5184</v>
      </c>
      <c r="D217" s="14">
        <f>52.5163 * CHOOSE(CONTROL!$C$9, $D$9, 100%, $F$9) + CHOOSE(CONTROL!$C$27, 0.0021, 0)</f>
        <v>52.5184</v>
      </c>
      <c r="E217" s="14">
        <f>52.3797 * CHOOSE(CONTROL!$C$9, $D$9, 100%, $F$9) + CHOOSE(CONTROL!$C$27, 0.0021, 0)</f>
        <v>52.381799999999998</v>
      </c>
      <c r="F217" s="14">
        <f>52.3797 * CHOOSE(CONTROL!$C$9, $D$9, 100%, $F$9) + CHOOSE(CONTROL!$C$27, 0.0021, 0)</f>
        <v>52.381799999999998</v>
      </c>
      <c r="G217" s="14">
        <f>52.6511 * CHOOSE(CONTROL!$C$9, $D$9, 100%, $F$9) + CHOOSE(CONTROL!$C$27, 0.0021, 0)</f>
        <v>52.653199999999998</v>
      </c>
      <c r="H217" s="14">
        <f>52.5163 * CHOOSE(CONTROL!$C$9, $D$9, 100%, $F$9) + CHOOSE(CONTROL!$C$27, 0.0021, 0)</f>
        <v>52.5184</v>
      </c>
      <c r="I217" s="14">
        <f>52.5163 * CHOOSE(CONTROL!$C$9, $D$9, 100%, $F$9) + CHOOSE(CONTROL!$C$27, 0.0021, 0)</f>
        <v>52.5184</v>
      </c>
      <c r="J217" s="14">
        <f>52.5163 * CHOOSE(CONTROL!$C$9, $D$9, 100%, $F$9) + CHOOSE(CONTROL!$C$27, 0.0021, 0)</f>
        <v>52.5184</v>
      </c>
      <c r="K217" s="14">
        <f>52.5163 * CHOOSE(CONTROL!$C$9, $D$9, 100%, $F$9) + CHOOSE(CONTROL!$C$27, 0.0021, 0)</f>
        <v>52.5184</v>
      </c>
      <c r="L217" s="14"/>
    </row>
    <row r="218" spans="1:12" ht="15" x14ac:dyDescent="0.2">
      <c r="A218" s="13">
        <v>47543</v>
      </c>
      <c r="B218" s="14">
        <f>52.443 * CHOOSE(CONTROL!$C$9, $D$9, 100%, $F$9) + CHOOSE(CONTROL!$C$27, 0.0021, 0)</f>
        <v>52.445099999999996</v>
      </c>
      <c r="C218" s="14">
        <f>52.0108 * CHOOSE(CONTROL!$C$9, $D$9, 100%, $F$9) + CHOOSE(CONTROL!$C$27, 0.0021, 0)</f>
        <v>52.012900000000002</v>
      </c>
      <c r="D218" s="14">
        <f>52.0108 * CHOOSE(CONTROL!$C$9, $D$9, 100%, $F$9) + CHOOSE(CONTROL!$C$27, 0.0021, 0)</f>
        <v>52.012900000000002</v>
      </c>
      <c r="E218" s="14">
        <f>51.8741 * CHOOSE(CONTROL!$C$9, $D$9, 100%, $F$9) + CHOOSE(CONTROL!$C$27, 0.0021, 0)</f>
        <v>51.876199999999997</v>
      </c>
      <c r="F218" s="14">
        <f>51.8741 * CHOOSE(CONTROL!$C$9, $D$9, 100%, $F$9) + CHOOSE(CONTROL!$C$27, 0.0021, 0)</f>
        <v>51.876199999999997</v>
      </c>
      <c r="G218" s="14">
        <f>52.1455 * CHOOSE(CONTROL!$C$9, $D$9, 100%, $F$9) + CHOOSE(CONTROL!$C$27, 0.0021, 0)</f>
        <v>52.147599999999997</v>
      </c>
      <c r="H218" s="14">
        <f>52.0108 * CHOOSE(CONTROL!$C$9, $D$9, 100%, $F$9) + CHOOSE(CONTROL!$C$27, 0.0021, 0)</f>
        <v>52.012900000000002</v>
      </c>
      <c r="I218" s="14">
        <f>52.0108 * CHOOSE(CONTROL!$C$9, $D$9, 100%, $F$9) + CHOOSE(CONTROL!$C$27, 0.0021, 0)</f>
        <v>52.012900000000002</v>
      </c>
      <c r="J218" s="14">
        <f>52.0108 * CHOOSE(CONTROL!$C$9, $D$9, 100%, $F$9) + CHOOSE(CONTROL!$C$27, 0.0021, 0)</f>
        <v>52.012900000000002</v>
      </c>
      <c r="K218" s="14">
        <f>52.0108 * CHOOSE(CONTROL!$C$9, $D$9, 100%, $F$9) + CHOOSE(CONTROL!$C$27, 0.0021, 0)</f>
        <v>52.012900000000002</v>
      </c>
      <c r="L218" s="14"/>
    </row>
    <row r="219" spans="1:12" ht="15" x14ac:dyDescent="0.2">
      <c r="A219" s="13">
        <v>47574</v>
      </c>
      <c r="B219" s="14">
        <f>51.8165 * CHOOSE(CONTROL!$C$9, $D$9, 100%, $F$9) + CHOOSE(CONTROL!$C$27, 0.0021, 0)</f>
        <v>51.818599999999996</v>
      </c>
      <c r="C219" s="14">
        <f>51.3843 * CHOOSE(CONTROL!$C$9, $D$9, 100%, $F$9) + CHOOSE(CONTROL!$C$27, 0.0021, 0)</f>
        <v>51.386400000000002</v>
      </c>
      <c r="D219" s="14">
        <f>51.3843 * CHOOSE(CONTROL!$C$9, $D$9, 100%, $F$9) + CHOOSE(CONTROL!$C$27, 0.0021, 0)</f>
        <v>51.386400000000002</v>
      </c>
      <c r="E219" s="14">
        <f>51.2476 * CHOOSE(CONTROL!$C$9, $D$9, 100%, $F$9) + CHOOSE(CONTROL!$C$27, 0.0021, 0)</f>
        <v>51.249699999999997</v>
      </c>
      <c r="F219" s="14">
        <f>51.2476 * CHOOSE(CONTROL!$C$9, $D$9, 100%, $F$9) + CHOOSE(CONTROL!$C$27, 0.0021, 0)</f>
        <v>51.249699999999997</v>
      </c>
      <c r="G219" s="14">
        <f>51.519 * CHOOSE(CONTROL!$C$9, $D$9, 100%, $F$9) + CHOOSE(CONTROL!$C$27, 0.0021, 0)</f>
        <v>51.521099999999997</v>
      </c>
      <c r="H219" s="14">
        <f>51.3843 * CHOOSE(CONTROL!$C$9, $D$9, 100%, $F$9) + CHOOSE(CONTROL!$C$27, 0.0021, 0)</f>
        <v>51.386400000000002</v>
      </c>
      <c r="I219" s="14">
        <f>51.3843 * CHOOSE(CONTROL!$C$9, $D$9, 100%, $F$9) + CHOOSE(CONTROL!$C$27, 0.0021, 0)</f>
        <v>51.386400000000002</v>
      </c>
      <c r="J219" s="14">
        <f>51.3843 * CHOOSE(CONTROL!$C$9, $D$9, 100%, $F$9) + CHOOSE(CONTROL!$C$27, 0.0021, 0)</f>
        <v>51.386400000000002</v>
      </c>
      <c r="K219" s="14">
        <f>51.3843 * CHOOSE(CONTROL!$C$9, $D$9, 100%, $F$9) + CHOOSE(CONTROL!$C$27, 0.0021, 0)</f>
        <v>51.386400000000002</v>
      </c>
      <c r="L219" s="14"/>
    </row>
    <row r="220" spans="1:12" ht="15" x14ac:dyDescent="0.2">
      <c r="A220" s="13">
        <v>47604</v>
      </c>
      <c r="B220" s="14">
        <f>52.9607 * CHOOSE(CONTROL!$C$9, $D$9, 100%, $F$9) + CHOOSE(CONTROL!$C$27, 0.0021, 0)</f>
        <v>52.962800000000001</v>
      </c>
      <c r="C220" s="14">
        <f>52.5285 * CHOOSE(CONTROL!$C$9, $D$9, 100%, $F$9) + CHOOSE(CONTROL!$C$27, 0.0021, 0)</f>
        <v>52.5306</v>
      </c>
      <c r="D220" s="14">
        <f>52.5285 * CHOOSE(CONTROL!$C$9, $D$9, 100%, $F$9) + CHOOSE(CONTROL!$C$27, 0.0021, 0)</f>
        <v>52.5306</v>
      </c>
      <c r="E220" s="14">
        <f>52.3918 * CHOOSE(CONTROL!$C$9, $D$9, 100%, $F$9) + CHOOSE(CONTROL!$C$27, 0.0021, 0)</f>
        <v>52.393900000000002</v>
      </c>
      <c r="F220" s="14">
        <f>52.3918 * CHOOSE(CONTROL!$C$9, $D$9, 100%, $F$9) + CHOOSE(CONTROL!$C$27, 0.0021, 0)</f>
        <v>52.393900000000002</v>
      </c>
      <c r="G220" s="14">
        <f>52.6632 * CHOOSE(CONTROL!$C$9, $D$9, 100%, $F$9) + CHOOSE(CONTROL!$C$27, 0.0021, 0)</f>
        <v>52.665300000000002</v>
      </c>
      <c r="H220" s="14">
        <f>52.5285 * CHOOSE(CONTROL!$C$9, $D$9, 100%, $F$9) + CHOOSE(CONTROL!$C$27, 0.0021, 0)</f>
        <v>52.5306</v>
      </c>
      <c r="I220" s="14">
        <f>52.5285 * CHOOSE(CONTROL!$C$9, $D$9, 100%, $F$9) + CHOOSE(CONTROL!$C$27, 0.0021, 0)</f>
        <v>52.5306</v>
      </c>
      <c r="J220" s="14">
        <f>52.5285 * CHOOSE(CONTROL!$C$9, $D$9, 100%, $F$9) + CHOOSE(CONTROL!$C$27, 0.0021, 0)</f>
        <v>52.5306</v>
      </c>
      <c r="K220" s="14">
        <f>52.5285 * CHOOSE(CONTROL!$C$9, $D$9, 100%, $F$9) + CHOOSE(CONTROL!$C$27, 0.0021, 0)</f>
        <v>52.5306</v>
      </c>
      <c r="L220" s="14"/>
    </row>
    <row r="221" spans="1:12" ht="15" x14ac:dyDescent="0.2">
      <c r="A221" s="13">
        <v>47635</v>
      </c>
      <c r="B221" s="14">
        <f>53.6906 * CHOOSE(CONTROL!$C$9, $D$9, 100%, $F$9) + CHOOSE(CONTROL!$C$27, 0.0021, 0)</f>
        <v>53.692700000000002</v>
      </c>
      <c r="C221" s="14">
        <f>53.2583 * CHOOSE(CONTROL!$C$9, $D$9, 100%, $F$9) + CHOOSE(CONTROL!$C$27, 0.0021, 0)</f>
        <v>53.260399999999997</v>
      </c>
      <c r="D221" s="14">
        <f>53.2583 * CHOOSE(CONTROL!$C$9, $D$9, 100%, $F$9) + CHOOSE(CONTROL!$C$27, 0.0021, 0)</f>
        <v>53.260399999999997</v>
      </c>
      <c r="E221" s="14">
        <f>53.1217 * CHOOSE(CONTROL!$C$9, $D$9, 100%, $F$9) + CHOOSE(CONTROL!$C$27, 0.0021, 0)</f>
        <v>53.123799999999996</v>
      </c>
      <c r="F221" s="14">
        <f>53.1217 * CHOOSE(CONTROL!$C$9, $D$9, 100%, $F$9) + CHOOSE(CONTROL!$C$27, 0.0021, 0)</f>
        <v>53.123799999999996</v>
      </c>
      <c r="G221" s="14">
        <f>53.393 * CHOOSE(CONTROL!$C$9, $D$9, 100%, $F$9) + CHOOSE(CONTROL!$C$27, 0.0021, 0)</f>
        <v>53.395099999999999</v>
      </c>
      <c r="H221" s="14">
        <f>53.2583 * CHOOSE(CONTROL!$C$9, $D$9, 100%, $F$9) + CHOOSE(CONTROL!$C$27, 0.0021, 0)</f>
        <v>53.260399999999997</v>
      </c>
      <c r="I221" s="14">
        <f>53.2583 * CHOOSE(CONTROL!$C$9, $D$9, 100%, $F$9) + CHOOSE(CONTROL!$C$27, 0.0021, 0)</f>
        <v>53.260399999999997</v>
      </c>
      <c r="J221" s="14">
        <f>53.2583 * CHOOSE(CONTROL!$C$9, $D$9, 100%, $F$9) + CHOOSE(CONTROL!$C$27, 0.0021, 0)</f>
        <v>53.260399999999997</v>
      </c>
      <c r="K221" s="14">
        <f>53.2583 * CHOOSE(CONTROL!$C$9, $D$9, 100%, $F$9) + CHOOSE(CONTROL!$C$27, 0.0021, 0)</f>
        <v>53.260399999999997</v>
      </c>
      <c r="L221" s="14"/>
    </row>
    <row r="222" spans="1:12" ht="15" x14ac:dyDescent="0.2">
      <c r="A222" s="13">
        <v>47665</v>
      </c>
      <c r="B222" s="14">
        <f>54.8304 * CHOOSE(CONTROL!$C$9, $D$9, 100%, $F$9) + CHOOSE(CONTROL!$C$27, 0.0021, 0)</f>
        <v>54.832499999999996</v>
      </c>
      <c r="C222" s="14">
        <f>54.3982 * CHOOSE(CONTROL!$C$9, $D$9, 100%, $F$9) + CHOOSE(CONTROL!$C$27, 0.0021, 0)</f>
        <v>54.400300000000001</v>
      </c>
      <c r="D222" s="14">
        <f>54.3982 * CHOOSE(CONTROL!$C$9, $D$9, 100%, $F$9) + CHOOSE(CONTROL!$C$27, 0.0021, 0)</f>
        <v>54.400300000000001</v>
      </c>
      <c r="E222" s="14">
        <f>54.2615 * CHOOSE(CONTROL!$C$9, $D$9, 100%, $F$9) + CHOOSE(CONTROL!$C$27, 0.0021, 0)</f>
        <v>54.263599999999997</v>
      </c>
      <c r="F222" s="14">
        <f>54.2615 * CHOOSE(CONTROL!$C$9, $D$9, 100%, $F$9) + CHOOSE(CONTROL!$C$27, 0.0021, 0)</f>
        <v>54.263599999999997</v>
      </c>
      <c r="G222" s="14">
        <f>54.5329 * CHOOSE(CONTROL!$C$9, $D$9, 100%, $F$9) + CHOOSE(CONTROL!$C$27, 0.0021, 0)</f>
        <v>54.534999999999997</v>
      </c>
      <c r="H222" s="14">
        <f>54.3982 * CHOOSE(CONTROL!$C$9, $D$9, 100%, $F$9) + CHOOSE(CONTROL!$C$27, 0.0021, 0)</f>
        <v>54.400300000000001</v>
      </c>
      <c r="I222" s="14">
        <f>54.3982 * CHOOSE(CONTROL!$C$9, $D$9, 100%, $F$9) + CHOOSE(CONTROL!$C$27, 0.0021, 0)</f>
        <v>54.400300000000001</v>
      </c>
      <c r="J222" s="14">
        <f>54.3982 * CHOOSE(CONTROL!$C$9, $D$9, 100%, $F$9) + CHOOSE(CONTROL!$C$27, 0.0021, 0)</f>
        <v>54.400300000000001</v>
      </c>
      <c r="K222" s="14">
        <f>54.3982 * CHOOSE(CONTROL!$C$9, $D$9, 100%, $F$9) + CHOOSE(CONTROL!$C$27, 0.0021, 0)</f>
        <v>54.400300000000001</v>
      </c>
      <c r="L222" s="14"/>
    </row>
    <row r="223" spans="1:12" ht="15" x14ac:dyDescent="0.2">
      <c r="A223" s="13">
        <v>47696</v>
      </c>
      <c r="B223" s="14">
        <f>55.146 * CHOOSE(CONTROL!$C$9, $D$9, 100%, $F$9) + CHOOSE(CONTROL!$C$27, 0.0021, 0)</f>
        <v>55.148099999999999</v>
      </c>
      <c r="C223" s="14">
        <f>54.7138 * CHOOSE(CONTROL!$C$9, $D$9, 100%, $F$9) + CHOOSE(CONTROL!$C$27, 0.0021, 0)</f>
        <v>54.715899999999998</v>
      </c>
      <c r="D223" s="14">
        <f>54.7138 * CHOOSE(CONTROL!$C$9, $D$9, 100%, $F$9) + CHOOSE(CONTROL!$C$27, 0.0021, 0)</f>
        <v>54.715899999999998</v>
      </c>
      <c r="E223" s="14">
        <f>54.5771 * CHOOSE(CONTROL!$C$9, $D$9, 100%, $F$9) + CHOOSE(CONTROL!$C$27, 0.0021, 0)</f>
        <v>54.5792</v>
      </c>
      <c r="F223" s="14">
        <f>54.5771 * CHOOSE(CONTROL!$C$9, $D$9, 100%, $F$9) + CHOOSE(CONTROL!$C$27, 0.0021, 0)</f>
        <v>54.5792</v>
      </c>
      <c r="G223" s="14">
        <f>54.8485 * CHOOSE(CONTROL!$C$9, $D$9, 100%, $F$9) + CHOOSE(CONTROL!$C$27, 0.0021, 0)</f>
        <v>54.8506</v>
      </c>
      <c r="H223" s="14">
        <f>54.7138 * CHOOSE(CONTROL!$C$9, $D$9, 100%, $F$9) + CHOOSE(CONTROL!$C$27, 0.0021, 0)</f>
        <v>54.715899999999998</v>
      </c>
      <c r="I223" s="14">
        <f>54.7138 * CHOOSE(CONTROL!$C$9, $D$9, 100%, $F$9) + CHOOSE(CONTROL!$C$27, 0.0021, 0)</f>
        <v>54.715899999999998</v>
      </c>
      <c r="J223" s="14">
        <f>54.7138 * CHOOSE(CONTROL!$C$9, $D$9, 100%, $F$9) + CHOOSE(CONTROL!$C$27, 0.0021, 0)</f>
        <v>54.715899999999998</v>
      </c>
      <c r="K223" s="14">
        <f>54.7138 * CHOOSE(CONTROL!$C$9, $D$9, 100%, $F$9) + CHOOSE(CONTROL!$C$27, 0.0021, 0)</f>
        <v>54.715899999999998</v>
      </c>
      <c r="L223" s="14"/>
    </row>
    <row r="224" spans="1:12" ht="15" x14ac:dyDescent="0.2">
      <c r="A224" s="13">
        <v>47727</v>
      </c>
      <c r="B224" s="14">
        <f>56.2208 * CHOOSE(CONTROL!$C$9, $D$9, 100%, $F$9) + CHOOSE(CONTROL!$C$27, 0.0021, 0)</f>
        <v>56.222899999999996</v>
      </c>
      <c r="C224" s="14">
        <f>55.7886 * CHOOSE(CONTROL!$C$9, $D$9, 100%, $F$9) + CHOOSE(CONTROL!$C$27, 0.0021, 0)</f>
        <v>55.790700000000001</v>
      </c>
      <c r="D224" s="14">
        <f>55.7886 * CHOOSE(CONTROL!$C$9, $D$9, 100%, $F$9) + CHOOSE(CONTROL!$C$27, 0.0021, 0)</f>
        <v>55.790700000000001</v>
      </c>
      <c r="E224" s="14">
        <f>55.6519 * CHOOSE(CONTROL!$C$9, $D$9, 100%, $F$9) + CHOOSE(CONTROL!$C$27, 0.0021, 0)</f>
        <v>55.653999999999996</v>
      </c>
      <c r="F224" s="14">
        <f>55.6519 * CHOOSE(CONTROL!$C$9, $D$9, 100%, $F$9) + CHOOSE(CONTROL!$C$27, 0.0021, 0)</f>
        <v>55.653999999999996</v>
      </c>
      <c r="G224" s="14">
        <f>55.9233 * CHOOSE(CONTROL!$C$9, $D$9, 100%, $F$9) + CHOOSE(CONTROL!$C$27, 0.0021, 0)</f>
        <v>55.925399999999996</v>
      </c>
      <c r="H224" s="14">
        <f>55.7886 * CHOOSE(CONTROL!$C$9, $D$9, 100%, $F$9) + CHOOSE(CONTROL!$C$27, 0.0021, 0)</f>
        <v>55.790700000000001</v>
      </c>
      <c r="I224" s="14">
        <f>55.7886 * CHOOSE(CONTROL!$C$9, $D$9, 100%, $F$9) + CHOOSE(CONTROL!$C$27, 0.0021, 0)</f>
        <v>55.790700000000001</v>
      </c>
      <c r="J224" s="14">
        <f>55.7886 * CHOOSE(CONTROL!$C$9, $D$9, 100%, $F$9) + CHOOSE(CONTROL!$C$27, 0.0021, 0)</f>
        <v>55.790700000000001</v>
      </c>
      <c r="K224" s="14">
        <f>55.7886 * CHOOSE(CONTROL!$C$9, $D$9, 100%, $F$9) + CHOOSE(CONTROL!$C$27, 0.0021, 0)</f>
        <v>55.790700000000001</v>
      </c>
      <c r="L224" s="14"/>
    </row>
    <row r="225" spans="1:12" ht="15" x14ac:dyDescent="0.2">
      <c r="A225" s="13">
        <v>47757</v>
      </c>
      <c r="B225" s="14">
        <f>57.5813 * CHOOSE(CONTROL!$C$9, $D$9, 100%, $F$9) + CHOOSE(CONTROL!$C$27, 0.0021, 0)</f>
        <v>57.583399999999997</v>
      </c>
      <c r="C225" s="14">
        <f>57.149 * CHOOSE(CONTROL!$C$9, $D$9, 100%, $F$9) + CHOOSE(CONTROL!$C$27, 0.0021, 0)</f>
        <v>57.1511</v>
      </c>
      <c r="D225" s="14">
        <f>57.149 * CHOOSE(CONTROL!$C$9, $D$9, 100%, $F$9) + CHOOSE(CONTROL!$C$27, 0.0021, 0)</f>
        <v>57.1511</v>
      </c>
      <c r="E225" s="14">
        <f>57.0124 * CHOOSE(CONTROL!$C$9, $D$9, 100%, $F$9) + CHOOSE(CONTROL!$C$27, 0.0021, 0)</f>
        <v>57.014499999999998</v>
      </c>
      <c r="F225" s="14">
        <f>57.0124 * CHOOSE(CONTROL!$C$9, $D$9, 100%, $F$9) + CHOOSE(CONTROL!$C$27, 0.0021, 0)</f>
        <v>57.014499999999998</v>
      </c>
      <c r="G225" s="14">
        <f>57.2838 * CHOOSE(CONTROL!$C$9, $D$9, 100%, $F$9) + CHOOSE(CONTROL!$C$27, 0.0021, 0)</f>
        <v>57.285899999999998</v>
      </c>
      <c r="H225" s="14">
        <f>57.149 * CHOOSE(CONTROL!$C$9, $D$9, 100%, $F$9) + CHOOSE(CONTROL!$C$27, 0.0021, 0)</f>
        <v>57.1511</v>
      </c>
      <c r="I225" s="14">
        <f>57.149 * CHOOSE(CONTROL!$C$9, $D$9, 100%, $F$9) + CHOOSE(CONTROL!$C$27, 0.0021, 0)</f>
        <v>57.1511</v>
      </c>
      <c r="J225" s="14">
        <f>57.149 * CHOOSE(CONTROL!$C$9, $D$9, 100%, $F$9) + CHOOSE(CONTROL!$C$27, 0.0021, 0)</f>
        <v>57.1511</v>
      </c>
      <c r="K225" s="14">
        <f>57.149 * CHOOSE(CONTROL!$C$9, $D$9, 100%, $F$9) + CHOOSE(CONTROL!$C$27, 0.0021, 0)</f>
        <v>57.1511</v>
      </c>
      <c r="L225" s="14"/>
    </row>
    <row r="226" spans="1:12" ht="15" x14ac:dyDescent="0.2">
      <c r="A226" s="13">
        <v>47788</v>
      </c>
      <c r="B226" s="14">
        <f>57.709 * CHOOSE(CONTROL!$C$9, $D$9, 100%, $F$9) + CHOOSE(CONTROL!$C$27, 0.0021, 0)</f>
        <v>57.711100000000002</v>
      </c>
      <c r="C226" s="14">
        <f>57.2768 * CHOOSE(CONTROL!$C$9, $D$9, 100%, $F$9) + CHOOSE(CONTROL!$C$27, 0.0021, 0)</f>
        <v>57.2789</v>
      </c>
      <c r="D226" s="14">
        <f>57.2768 * CHOOSE(CONTROL!$C$9, $D$9, 100%, $F$9) + CHOOSE(CONTROL!$C$27, 0.0021, 0)</f>
        <v>57.2789</v>
      </c>
      <c r="E226" s="14">
        <f>57.1401 * CHOOSE(CONTROL!$C$9, $D$9, 100%, $F$9) + CHOOSE(CONTROL!$C$27, 0.0021, 0)</f>
        <v>57.142199999999995</v>
      </c>
      <c r="F226" s="14">
        <f>57.1401 * CHOOSE(CONTROL!$C$9, $D$9, 100%, $F$9) + CHOOSE(CONTROL!$C$27, 0.0021, 0)</f>
        <v>57.142199999999995</v>
      </c>
      <c r="G226" s="14">
        <f>57.4115 * CHOOSE(CONTROL!$C$9, $D$9, 100%, $F$9) + CHOOSE(CONTROL!$C$27, 0.0021, 0)</f>
        <v>57.413599999999995</v>
      </c>
      <c r="H226" s="14">
        <f>57.2768 * CHOOSE(CONTROL!$C$9, $D$9, 100%, $F$9) + CHOOSE(CONTROL!$C$27, 0.0021, 0)</f>
        <v>57.2789</v>
      </c>
      <c r="I226" s="14">
        <f>57.2768 * CHOOSE(CONTROL!$C$9, $D$9, 100%, $F$9) + CHOOSE(CONTROL!$C$27, 0.0021, 0)</f>
        <v>57.2789</v>
      </c>
      <c r="J226" s="14">
        <f>57.2768 * CHOOSE(CONTROL!$C$9, $D$9, 100%, $F$9) + CHOOSE(CONTROL!$C$27, 0.0021, 0)</f>
        <v>57.2789</v>
      </c>
      <c r="K226" s="14">
        <f>57.2768 * CHOOSE(CONTROL!$C$9, $D$9, 100%, $F$9) + CHOOSE(CONTROL!$C$27, 0.0021, 0)</f>
        <v>57.2789</v>
      </c>
      <c r="L226" s="14"/>
    </row>
    <row r="227" spans="1:12" ht="15" x14ac:dyDescent="0.2">
      <c r="A227" s="13">
        <v>47818</v>
      </c>
      <c r="B227" s="14">
        <f>56.6224 * CHOOSE(CONTROL!$C$9, $D$9, 100%, $F$9) + CHOOSE(CONTROL!$C$27, 0.0021, 0)</f>
        <v>56.624499999999998</v>
      </c>
      <c r="C227" s="14">
        <f>56.1902 * CHOOSE(CONTROL!$C$9, $D$9, 100%, $F$9) + CHOOSE(CONTROL!$C$27, 0.0021, 0)</f>
        <v>56.192299999999996</v>
      </c>
      <c r="D227" s="14">
        <f>56.1902 * CHOOSE(CONTROL!$C$9, $D$9, 100%, $F$9) + CHOOSE(CONTROL!$C$27, 0.0021, 0)</f>
        <v>56.192299999999996</v>
      </c>
      <c r="E227" s="14">
        <f>56.0535 * CHOOSE(CONTROL!$C$9, $D$9, 100%, $F$9) + CHOOSE(CONTROL!$C$27, 0.0021, 0)</f>
        <v>56.055599999999998</v>
      </c>
      <c r="F227" s="14">
        <f>56.0535 * CHOOSE(CONTROL!$C$9, $D$9, 100%, $F$9) + CHOOSE(CONTROL!$C$27, 0.0021, 0)</f>
        <v>56.055599999999998</v>
      </c>
      <c r="G227" s="14">
        <f>56.3249 * CHOOSE(CONTROL!$C$9, $D$9, 100%, $F$9) + CHOOSE(CONTROL!$C$27, 0.0021, 0)</f>
        <v>56.326999999999998</v>
      </c>
      <c r="H227" s="14">
        <f>56.1902 * CHOOSE(CONTROL!$C$9, $D$9, 100%, $F$9) + CHOOSE(CONTROL!$C$27, 0.0021, 0)</f>
        <v>56.192299999999996</v>
      </c>
      <c r="I227" s="14">
        <f>56.1902 * CHOOSE(CONTROL!$C$9, $D$9, 100%, $F$9) + CHOOSE(CONTROL!$C$27, 0.0021, 0)</f>
        <v>56.192299999999996</v>
      </c>
      <c r="J227" s="14">
        <f>56.1902 * CHOOSE(CONTROL!$C$9, $D$9, 100%, $F$9) + CHOOSE(CONTROL!$C$27, 0.0021, 0)</f>
        <v>56.192299999999996</v>
      </c>
      <c r="K227" s="14">
        <f>56.1902 * CHOOSE(CONTROL!$C$9, $D$9, 100%, $F$9) + CHOOSE(CONTROL!$C$27, 0.0021, 0)</f>
        <v>56.192299999999996</v>
      </c>
      <c r="L227" s="14"/>
    </row>
    <row r="228" spans="1:12" ht="15" x14ac:dyDescent="0.2">
      <c r="A228" s="13">
        <v>47849</v>
      </c>
      <c r="B228" s="14">
        <f>55.9356 * CHOOSE(CONTROL!$C$9, $D$9, 100%, $F$9) + CHOOSE(CONTROL!$C$27, 0.0021, 0)</f>
        <v>55.9377</v>
      </c>
      <c r="C228" s="14">
        <f>55.5034 * CHOOSE(CONTROL!$C$9, $D$9, 100%, $F$9) + CHOOSE(CONTROL!$C$27, 0.0021, 0)</f>
        <v>55.505499999999998</v>
      </c>
      <c r="D228" s="14">
        <f>55.5034 * CHOOSE(CONTROL!$C$9, $D$9, 100%, $F$9) + CHOOSE(CONTROL!$C$27, 0.0021, 0)</f>
        <v>55.505499999999998</v>
      </c>
      <c r="E228" s="14">
        <f>55.3667 * CHOOSE(CONTROL!$C$9, $D$9, 100%, $F$9) + CHOOSE(CONTROL!$C$27, 0.0021, 0)</f>
        <v>55.3688</v>
      </c>
      <c r="F228" s="14">
        <f>55.3667 * CHOOSE(CONTROL!$C$9, $D$9, 100%, $F$9) + CHOOSE(CONTROL!$C$27, 0.0021, 0)</f>
        <v>55.3688</v>
      </c>
      <c r="G228" s="14">
        <f>55.6381 * CHOOSE(CONTROL!$C$9, $D$9, 100%, $F$9) + CHOOSE(CONTROL!$C$27, 0.0021, 0)</f>
        <v>55.6402</v>
      </c>
      <c r="H228" s="14">
        <f>55.5034 * CHOOSE(CONTROL!$C$9, $D$9, 100%, $F$9) + CHOOSE(CONTROL!$C$27, 0.0021, 0)</f>
        <v>55.505499999999998</v>
      </c>
      <c r="I228" s="14">
        <f>55.5034 * CHOOSE(CONTROL!$C$9, $D$9, 100%, $F$9) + CHOOSE(CONTROL!$C$27, 0.0021, 0)</f>
        <v>55.505499999999998</v>
      </c>
      <c r="J228" s="14">
        <f>55.5034 * CHOOSE(CONTROL!$C$9, $D$9, 100%, $F$9) + CHOOSE(CONTROL!$C$27, 0.0021, 0)</f>
        <v>55.505499999999998</v>
      </c>
      <c r="K228" s="14">
        <f>55.5034 * CHOOSE(CONTROL!$C$9, $D$9, 100%, $F$9) + CHOOSE(CONTROL!$C$27, 0.0021, 0)</f>
        <v>55.505499999999998</v>
      </c>
      <c r="L228" s="14"/>
    </row>
    <row r="229" spans="1:12" ht="15" x14ac:dyDescent="0.2">
      <c r="A229" s="13">
        <v>47880</v>
      </c>
      <c r="B229" s="14">
        <f>54.4183 * CHOOSE(CONTROL!$C$9, $D$9, 100%, $F$9) + CHOOSE(CONTROL!$C$27, 0.0021, 0)</f>
        <v>54.420400000000001</v>
      </c>
      <c r="C229" s="14">
        <f>53.9861 * CHOOSE(CONTROL!$C$9, $D$9, 100%, $F$9) + CHOOSE(CONTROL!$C$27, 0.0021, 0)</f>
        <v>53.988199999999999</v>
      </c>
      <c r="D229" s="14">
        <f>53.9861 * CHOOSE(CONTROL!$C$9, $D$9, 100%, $F$9) + CHOOSE(CONTROL!$C$27, 0.0021, 0)</f>
        <v>53.988199999999999</v>
      </c>
      <c r="E229" s="14">
        <f>53.8494 * CHOOSE(CONTROL!$C$9, $D$9, 100%, $F$9) + CHOOSE(CONTROL!$C$27, 0.0021, 0)</f>
        <v>53.851500000000001</v>
      </c>
      <c r="F229" s="14">
        <f>53.8494 * CHOOSE(CONTROL!$C$9, $D$9, 100%, $F$9) + CHOOSE(CONTROL!$C$27, 0.0021, 0)</f>
        <v>53.851500000000001</v>
      </c>
      <c r="G229" s="14">
        <f>54.1208 * CHOOSE(CONTROL!$C$9, $D$9, 100%, $F$9) + CHOOSE(CONTROL!$C$27, 0.0021, 0)</f>
        <v>54.122900000000001</v>
      </c>
      <c r="H229" s="14">
        <f>53.9861 * CHOOSE(CONTROL!$C$9, $D$9, 100%, $F$9) + CHOOSE(CONTROL!$C$27, 0.0021, 0)</f>
        <v>53.988199999999999</v>
      </c>
      <c r="I229" s="14">
        <f>53.9861 * CHOOSE(CONTROL!$C$9, $D$9, 100%, $F$9) + CHOOSE(CONTROL!$C$27, 0.0021, 0)</f>
        <v>53.988199999999999</v>
      </c>
      <c r="J229" s="14">
        <f>53.9861 * CHOOSE(CONTROL!$C$9, $D$9, 100%, $F$9) + CHOOSE(CONTROL!$C$27, 0.0021, 0)</f>
        <v>53.988199999999999</v>
      </c>
      <c r="K229" s="14">
        <f>53.9861 * CHOOSE(CONTROL!$C$9, $D$9, 100%, $F$9) + CHOOSE(CONTROL!$C$27, 0.0021, 0)</f>
        <v>53.988199999999999</v>
      </c>
      <c r="L229" s="14"/>
    </row>
    <row r="230" spans="1:12" ht="15" x14ac:dyDescent="0.2">
      <c r="A230" s="13">
        <v>47908</v>
      </c>
      <c r="B230" s="14">
        <f>53.792 * CHOOSE(CONTROL!$C$9, $D$9, 100%, $F$9) + CHOOSE(CONTROL!$C$27, 0.0021, 0)</f>
        <v>53.7941</v>
      </c>
      <c r="C230" s="14">
        <f>53.3597 * CHOOSE(CONTROL!$C$9, $D$9, 100%, $F$9) + CHOOSE(CONTROL!$C$27, 0.0021, 0)</f>
        <v>53.361799999999995</v>
      </c>
      <c r="D230" s="14">
        <f>53.3597 * CHOOSE(CONTROL!$C$9, $D$9, 100%, $F$9) + CHOOSE(CONTROL!$C$27, 0.0021, 0)</f>
        <v>53.361799999999995</v>
      </c>
      <c r="E230" s="14">
        <f>53.2231 * CHOOSE(CONTROL!$C$9, $D$9, 100%, $F$9) + CHOOSE(CONTROL!$C$27, 0.0021, 0)</f>
        <v>53.225200000000001</v>
      </c>
      <c r="F230" s="14">
        <f>53.2231 * CHOOSE(CONTROL!$C$9, $D$9, 100%, $F$9) + CHOOSE(CONTROL!$C$27, 0.0021, 0)</f>
        <v>53.225200000000001</v>
      </c>
      <c r="G230" s="14">
        <f>53.4944 * CHOOSE(CONTROL!$C$9, $D$9, 100%, $F$9) + CHOOSE(CONTROL!$C$27, 0.0021, 0)</f>
        <v>53.496499999999997</v>
      </c>
      <c r="H230" s="14">
        <f>53.3597 * CHOOSE(CONTROL!$C$9, $D$9, 100%, $F$9) + CHOOSE(CONTROL!$C$27, 0.0021, 0)</f>
        <v>53.361799999999995</v>
      </c>
      <c r="I230" s="14">
        <f>53.3597 * CHOOSE(CONTROL!$C$9, $D$9, 100%, $F$9) + CHOOSE(CONTROL!$C$27, 0.0021, 0)</f>
        <v>53.361799999999995</v>
      </c>
      <c r="J230" s="14">
        <f>53.3597 * CHOOSE(CONTROL!$C$9, $D$9, 100%, $F$9) + CHOOSE(CONTROL!$C$27, 0.0021, 0)</f>
        <v>53.361799999999995</v>
      </c>
      <c r="K230" s="14">
        <f>53.3597 * CHOOSE(CONTROL!$C$9, $D$9, 100%, $F$9) + CHOOSE(CONTROL!$C$27, 0.0021, 0)</f>
        <v>53.361799999999995</v>
      </c>
      <c r="L230" s="14"/>
    </row>
    <row r="231" spans="1:12" ht="15" x14ac:dyDescent="0.2">
      <c r="A231" s="13">
        <v>47939</v>
      </c>
      <c r="B231" s="14">
        <f>53.0441 * CHOOSE(CONTROL!$C$9, $D$9, 100%, $F$9) + CHOOSE(CONTROL!$C$27, 0.0021, 0)</f>
        <v>53.046199999999999</v>
      </c>
      <c r="C231" s="14">
        <f>52.6118 * CHOOSE(CONTROL!$C$9, $D$9, 100%, $F$9) + CHOOSE(CONTROL!$C$27, 0.0021, 0)</f>
        <v>52.613900000000001</v>
      </c>
      <c r="D231" s="14">
        <f>52.6118 * CHOOSE(CONTROL!$C$9, $D$9, 100%, $F$9) + CHOOSE(CONTROL!$C$27, 0.0021, 0)</f>
        <v>52.613900000000001</v>
      </c>
      <c r="E231" s="14">
        <f>52.4752 * CHOOSE(CONTROL!$C$9, $D$9, 100%, $F$9) + CHOOSE(CONTROL!$C$27, 0.0021, 0)</f>
        <v>52.4773</v>
      </c>
      <c r="F231" s="14">
        <f>52.4752 * CHOOSE(CONTROL!$C$9, $D$9, 100%, $F$9) + CHOOSE(CONTROL!$C$27, 0.0021, 0)</f>
        <v>52.4773</v>
      </c>
      <c r="G231" s="14">
        <f>52.7466 * CHOOSE(CONTROL!$C$9, $D$9, 100%, $F$9) + CHOOSE(CONTROL!$C$27, 0.0021, 0)</f>
        <v>52.748699999999999</v>
      </c>
      <c r="H231" s="14">
        <f>52.6118 * CHOOSE(CONTROL!$C$9, $D$9, 100%, $F$9) + CHOOSE(CONTROL!$C$27, 0.0021, 0)</f>
        <v>52.613900000000001</v>
      </c>
      <c r="I231" s="14">
        <f>52.6118 * CHOOSE(CONTROL!$C$9, $D$9, 100%, $F$9) + CHOOSE(CONTROL!$C$27, 0.0021, 0)</f>
        <v>52.613900000000001</v>
      </c>
      <c r="J231" s="14">
        <f>52.6118 * CHOOSE(CONTROL!$C$9, $D$9, 100%, $F$9) + CHOOSE(CONTROL!$C$27, 0.0021, 0)</f>
        <v>52.613900000000001</v>
      </c>
      <c r="K231" s="14">
        <f>52.6118 * CHOOSE(CONTROL!$C$9, $D$9, 100%, $F$9) + CHOOSE(CONTROL!$C$27, 0.0021, 0)</f>
        <v>52.613900000000001</v>
      </c>
      <c r="L231" s="14"/>
    </row>
    <row r="232" spans="1:12" ht="15" x14ac:dyDescent="0.2">
      <c r="A232" s="13">
        <v>47969</v>
      </c>
      <c r="B232" s="14">
        <f>54.1099 * CHOOSE(CONTROL!$C$9, $D$9, 100%, $F$9) + CHOOSE(CONTROL!$C$27, 0.0021, 0)</f>
        <v>54.112000000000002</v>
      </c>
      <c r="C232" s="14">
        <f>53.6777 * CHOOSE(CONTROL!$C$9, $D$9, 100%, $F$9) + CHOOSE(CONTROL!$C$27, 0.0021, 0)</f>
        <v>53.6798</v>
      </c>
      <c r="D232" s="14">
        <f>53.6777 * CHOOSE(CONTROL!$C$9, $D$9, 100%, $F$9) + CHOOSE(CONTROL!$C$27, 0.0021, 0)</f>
        <v>53.6798</v>
      </c>
      <c r="E232" s="14">
        <f>53.541 * CHOOSE(CONTROL!$C$9, $D$9, 100%, $F$9) + CHOOSE(CONTROL!$C$27, 0.0021, 0)</f>
        <v>53.543099999999995</v>
      </c>
      <c r="F232" s="14">
        <f>53.541 * CHOOSE(CONTROL!$C$9, $D$9, 100%, $F$9) + CHOOSE(CONTROL!$C$27, 0.0021, 0)</f>
        <v>53.543099999999995</v>
      </c>
      <c r="G232" s="14">
        <f>53.8124 * CHOOSE(CONTROL!$C$9, $D$9, 100%, $F$9) + CHOOSE(CONTROL!$C$27, 0.0021, 0)</f>
        <v>53.814499999999995</v>
      </c>
      <c r="H232" s="14">
        <f>53.6777 * CHOOSE(CONTROL!$C$9, $D$9, 100%, $F$9) + CHOOSE(CONTROL!$C$27, 0.0021, 0)</f>
        <v>53.6798</v>
      </c>
      <c r="I232" s="14">
        <f>53.6777 * CHOOSE(CONTROL!$C$9, $D$9, 100%, $F$9) + CHOOSE(CONTROL!$C$27, 0.0021, 0)</f>
        <v>53.6798</v>
      </c>
      <c r="J232" s="14">
        <f>53.6777 * CHOOSE(CONTROL!$C$9, $D$9, 100%, $F$9) + CHOOSE(CONTROL!$C$27, 0.0021, 0)</f>
        <v>53.6798</v>
      </c>
      <c r="K232" s="14">
        <f>53.6777 * CHOOSE(CONTROL!$C$9, $D$9, 100%, $F$9) + CHOOSE(CONTROL!$C$27, 0.0021, 0)</f>
        <v>53.6798</v>
      </c>
      <c r="L232" s="14"/>
    </row>
    <row r="233" spans="1:12" ht="15" x14ac:dyDescent="0.2">
      <c r="A233" s="13">
        <v>48000</v>
      </c>
      <c r="B233" s="14">
        <f>54.7483 * CHOOSE(CONTROL!$C$9, $D$9, 100%, $F$9) + CHOOSE(CONTROL!$C$27, 0.0021, 0)</f>
        <v>54.750399999999999</v>
      </c>
      <c r="C233" s="14">
        <f>54.316 * CHOOSE(CONTROL!$C$9, $D$9, 100%, $F$9) + CHOOSE(CONTROL!$C$27, 0.0021, 0)</f>
        <v>54.318100000000001</v>
      </c>
      <c r="D233" s="14">
        <f>54.316 * CHOOSE(CONTROL!$C$9, $D$9, 100%, $F$9) + CHOOSE(CONTROL!$C$27, 0.0021, 0)</f>
        <v>54.318100000000001</v>
      </c>
      <c r="E233" s="14">
        <f>54.1794 * CHOOSE(CONTROL!$C$9, $D$9, 100%, $F$9) + CHOOSE(CONTROL!$C$27, 0.0021, 0)</f>
        <v>54.1815</v>
      </c>
      <c r="F233" s="14">
        <f>54.1794 * CHOOSE(CONTROL!$C$9, $D$9, 100%, $F$9) + CHOOSE(CONTROL!$C$27, 0.0021, 0)</f>
        <v>54.1815</v>
      </c>
      <c r="G233" s="14">
        <f>54.4508 * CHOOSE(CONTROL!$C$9, $D$9, 100%, $F$9) + CHOOSE(CONTROL!$C$27, 0.0021, 0)</f>
        <v>54.4529</v>
      </c>
      <c r="H233" s="14">
        <f>54.316 * CHOOSE(CONTROL!$C$9, $D$9, 100%, $F$9) + CHOOSE(CONTROL!$C$27, 0.0021, 0)</f>
        <v>54.318100000000001</v>
      </c>
      <c r="I233" s="14">
        <f>54.316 * CHOOSE(CONTROL!$C$9, $D$9, 100%, $F$9) + CHOOSE(CONTROL!$C$27, 0.0021, 0)</f>
        <v>54.318100000000001</v>
      </c>
      <c r="J233" s="14">
        <f>54.316 * CHOOSE(CONTROL!$C$9, $D$9, 100%, $F$9) + CHOOSE(CONTROL!$C$27, 0.0021, 0)</f>
        <v>54.318100000000001</v>
      </c>
      <c r="K233" s="14">
        <f>54.316 * CHOOSE(CONTROL!$C$9, $D$9, 100%, $F$9) + CHOOSE(CONTROL!$C$27, 0.0021, 0)</f>
        <v>54.318100000000001</v>
      </c>
      <c r="L233" s="14"/>
    </row>
    <row r="234" spans="1:12" ht="15" x14ac:dyDescent="0.2">
      <c r="A234" s="13">
        <v>48030</v>
      </c>
      <c r="B234" s="14">
        <f>55.8014 * CHOOSE(CONTROL!$C$9, $D$9, 100%, $F$9) + CHOOSE(CONTROL!$C$27, 0.0021, 0)</f>
        <v>55.8035</v>
      </c>
      <c r="C234" s="14">
        <f>55.3691 * CHOOSE(CONTROL!$C$9, $D$9, 100%, $F$9) + CHOOSE(CONTROL!$C$27, 0.0021, 0)</f>
        <v>55.371200000000002</v>
      </c>
      <c r="D234" s="14">
        <f>55.3691 * CHOOSE(CONTROL!$C$9, $D$9, 100%, $F$9) + CHOOSE(CONTROL!$C$27, 0.0021, 0)</f>
        <v>55.371200000000002</v>
      </c>
      <c r="E234" s="14">
        <f>55.2325 * CHOOSE(CONTROL!$C$9, $D$9, 100%, $F$9) + CHOOSE(CONTROL!$C$27, 0.0021, 0)</f>
        <v>55.2346</v>
      </c>
      <c r="F234" s="14">
        <f>55.2325 * CHOOSE(CONTROL!$C$9, $D$9, 100%, $F$9) + CHOOSE(CONTROL!$C$27, 0.0021, 0)</f>
        <v>55.2346</v>
      </c>
      <c r="G234" s="14">
        <f>55.5038 * CHOOSE(CONTROL!$C$9, $D$9, 100%, $F$9) + CHOOSE(CONTROL!$C$27, 0.0021, 0)</f>
        <v>55.505899999999997</v>
      </c>
      <c r="H234" s="14">
        <f>55.3691 * CHOOSE(CONTROL!$C$9, $D$9, 100%, $F$9) + CHOOSE(CONTROL!$C$27, 0.0021, 0)</f>
        <v>55.371200000000002</v>
      </c>
      <c r="I234" s="14">
        <f>55.3691 * CHOOSE(CONTROL!$C$9, $D$9, 100%, $F$9) + CHOOSE(CONTROL!$C$27, 0.0021, 0)</f>
        <v>55.371200000000002</v>
      </c>
      <c r="J234" s="14">
        <f>55.3691 * CHOOSE(CONTROL!$C$9, $D$9, 100%, $F$9) + CHOOSE(CONTROL!$C$27, 0.0021, 0)</f>
        <v>55.371200000000002</v>
      </c>
      <c r="K234" s="14">
        <f>55.3691 * CHOOSE(CONTROL!$C$9, $D$9, 100%, $F$9) + CHOOSE(CONTROL!$C$27, 0.0021, 0)</f>
        <v>55.371200000000002</v>
      </c>
      <c r="L234" s="14"/>
    </row>
    <row r="235" spans="1:12" ht="15" x14ac:dyDescent="0.2">
      <c r="A235" s="13">
        <v>48061</v>
      </c>
      <c r="B235" s="14">
        <f>56.1228 * CHOOSE(CONTROL!$C$9, $D$9, 100%, $F$9) + CHOOSE(CONTROL!$C$27, 0.0021, 0)</f>
        <v>56.124899999999997</v>
      </c>
      <c r="C235" s="14">
        <f>55.6906 * CHOOSE(CONTROL!$C$9, $D$9, 100%, $F$9) + CHOOSE(CONTROL!$C$27, 0.0021, 0)</f>
        <v>55.692700000000002</v>
      </c>
      <c r="D235" s="14">
        <f>55.6906 * CHOOSE(CONTROL!$C$9, $D$9, 100%, $F$9) + CHOOSE(CONTROL!$C$27, 0.0021, 0)</f>
        <v>55.692700000000002</v>
      </c>
      <c r="E235" s="14">
        <f>55.5539 * CHOOSE(CONTROL!$C$9, $D$9, 100%, $F$9) + CHOOSE(CONTROL!$C$27, 0.0021, 0)</f>
        <v>55.555999999999997</v>
      </c>
      <c r="F235" s="14">
        <f>55.5539 * CHOOSE(CONTROL!$C$9, $D$9, 100%, $F$9) + CHOOSE(CONTROL!$C$27, 0.0021, 0)</f>
        <v>55.555999999999997</v>
      </c>
      <c r="G235" s="14">
        <f>55.8253 * CHOOSE(CONTROL!$C$9, $D$9, 100%, $F$9) + CHOOSE(CONTROL!$C$27, 0.0021, 0)</f>
        <v>55.827399999999997</v>
      </c>
      <c r="H235" s="14">
        <f>55.6906 * CHOOSE(CONTROL!$C$9, $D$9, 100%, $F$9) + CHOOSE(CONTROL!$C$27, 0.0021, 0)</f>
        <v>55.692700000000002</v>
      </c>
      <c r="I235" s="14">
        <f>55.6906 * CHOOSE(CONTROL!$C$9, $D$9, 100%, $F$9) + CHOOSE(CONTROL!$C$27, 0.0021, 0)</f>
        <v>55.692700000000002</v>
      </c>
      <c r="J235" s="14">
        <f>55.6906 * CHOOSE(CONTROL!$C$9, $D$9, 100%, $F$9) + CHOOSE(CONTROL!$C$27, 0.0021, 0)</f>
        <v>55.692700000000002</v>
      </c>
      <c r="K235" s="14">
        <f>55.6906 * CHOOSE(CONTROL!$C$9, $D$9, 100%, $F$9) + CHOOSE(CONTROL!$C$27, 0.0021, 0)</f>
        <v>55.692700000000002</v>
      </c>
      <c r="L235" s="14"/>
    </row>
    <row r="236" spans="1:12" ht="15" x14ac:dyDescent="0.2">
      <c r="A236" s="13">
        <v>48092</v>
      </c>
      <c r="B236" s="14">
        <f>57.2174 * CHOOSE(CONTROL!$C$9, $D$9, 100%, $F$9) + CHOOSE(CONTROL!$C$27, 0.0021, 0)</f>
        <v>57.219499999999996</v>
      </c>
      <c r="C236" s="14">
        <f>56.7852 * CHOOSE(CONTROL!$C$9, $D$9, 100%, $F$9) + CHOOSE(CONTROL!$C$27, 0.0021, 0)</f>
        <v>56.787300000000002</v>
      </c>
      <c r="D236" s="14">
        <f>56.7852 * CHOOSE(CONTROL!$C$9, $D$9, 100%, $F$9) + CHOOSE(CONTROL!$C$27, 0.0021, 0)</f>
        <v>56.787300000000002</v>
      </c>
      <c r="E236" s="14">
        <f>56.6485 * CHOOSE(CONTROL!$C$9, $D$9, 100%, $F$9) + CHOOSE(CONTROL!$C$27, 0.0021, 0)</f>
        <v>56.650599999999997</v>
      </c>
      <c r="F236" s="14">
        <f>56.6485 * CHOOSE(CONTROL!$C$9, $D$9, 100%, $F$9) + CHOOSE(CONTROL!$C$27, 0.0021, 0)</f>
        <v>56.650599999999997</v>
      </c>
      <c r="G236" s="14">
        <f>56.9199 * CHOOSE(CONTROL!$C$9, $D$9, 100%, $F$9) + CHOOSE(CONTROL!$C$27, 0.0021, 0)</f>
        <v>56.921999999999997</v>
      </c>
      <c r="H236" s="14">
        <f>56.7852 * CHOOSE(CONTROL!$C$9, $D$9, 100%, $F$9) + CHOOSE(CONTROL!$C$27, 0.0021, 0)</f>
        <v>56.787300000000002</v>
      </c>
      <c r="I236" s="14">
        <f>56.7852 * CHOOSE(CONTROL!$C$9, $D$9, 100%, $F$9) + CHOOSE(CONTROL!$C$27, 0.0021, 0)</f>
        <v>56.787300000000002</v>
      </c>
      <c r="J236" s="14">
        <f>56.7852 * CHOOSE(CONTROL!$C$9, $D$9, 100%, $F$9) + CHOOSE(CONTROL!$C$27, 0.0021, 0)</f>
        <v>56.787300000000002</v>
      </c>
      <c r="K236" s="14">
        <f>56.7852 * CHOOSE(CONTROL!$C$9, $D$9, 100%, $F$9) + CHOOSE(CONTROL!$C$27, 0.0021, 0)</f>
        <v>56.787300000000002</v>
      </c>
      <c r="L236" s="14"/>
    </row>
    <row r="237" spans="1:12" ht="15" x14ac:dyDescent="0.2">
      <c r="A237" s="13">
        <v>48122</v>
      </c>
      <c r="B237" s="14">
        <f>58.6031 * CHOOSE(CONTROL!$C$9, $D$9, 100%, $F$9) + CHOOSE(CONTROL!$C$27, 0.0021, 0)</f>
        <v>58.605199999999996</v>
      </c>
      <c r="C237" s="14">
        <f>58.1708 * CHOOSE(CONTROL!$C$9, $D$9, 100%, $F$9) + CHOOSE(CONTROL!$C$27, 0.0021, 0)</f>
        <v>58.172899999999998</v>
      </c>
      <c r="D237" s="14">
        <f>58.1708 * CHOOSE(CONTROL!$C$9, $D$9, 100%, $F$9) + CHOOSE(CONTROL!$C$27, 0.0021, 0)</f>
        <v>58.172899999999998</v>
      </c>
      <c r="E237" s="14">
        <f>58.0342 * CHOOSE(CONTROL!$C$9, $D$9, 100%, $F$9) + CHOOSE(CONTROL!$C$27, 0.0021, 0)</f>
        <v>58.036299999999997</v>
      </c>
      <c r="F237" s="14">
        <f>58.0342 * CHOOSE(CONTROL!$C$9, $D$9, 100%, $F$9) + CHOOSE(CONTROL!$C$27, 0.0021, 0)</f>
        <v>58.036299999999997</v>
      </c>
      <c r="G237" s="14">
        <f>58.3055 * CHOOSE(CONTROL!$C$9, $D$9, 100%, $F$9) + CHOOSE(CONTROL!$C$27, 0.0021, 0)</f>
        <v>58.307600000000001</v>
      </c>
      <c r="H237" s="14">
        <f>58.1708 * CHOOSE(CONTROL!$C$9, $D$9, 100%, $F$9) + CHOOSE(CONTROL!$C$27, 0.0021, 0)</f>
        <v>58.172899999999998</v>
      </c>
      <c r="I237" s="14">
        <f>58.1708 * CHOOSE(CONTROL!$C$9, $D$9, 100%, $F$9) + CHOOSE(CONTROL!$C$27, 0.0021, 0)</f>
        <v>58.172899999999998</v>
      </c>
      <c r="J237" s="14">
        <f>58.1708 * CHOOSE(CONTROL!$C$9, $D$9, 100%, $F$9) + CHOOSE(CONTROL!$C$27, 0.0021, 0)</f>
        <v>58.172899999999998</v>
      </c>
      <c r="K237" s="14">
        <f>58.1708 * CHOOSE(CONTROL!$C$9, $D$9, 100%, $F$9) + CHOOSE(CONTROL!$C$27, 0.0021, 0)</f>
        <v>58.172899999999998</v>
      </c>
      <c r="L237" s="14"/>
    </row>
    <row r="238" spans="1:12" ht="15" x14ac:dyDescent="0.2">
      <c r="A238" s="13">
        <v>48153</v>
      </c>
      <c r="B238" s="14">
        <f>58.7331 * CHOOSE(CONTROL!$C$9, $D$9, 100%, $F$9) + CHOOSE(CONTROL!$C$27, 0.0021, 0)</f>
        <v>58.735199999999999</v>
      </c>
      <c r="C238" s="14">
        <f>58.3009 * CHOOSE(CONTROL!$C$9, $D$9, 100%, $F$9) + CHOOSE(CONTROL!$C$27, 0.0021, 0)</f>
        <v>58.302999999999997</v>
      </c>
      <c r="D238" s="14">
        <f>58.3009 * CHOOSE(CONTROL!$C$9, $D$9, 100%, $F$9) + CHOOSE(CONTROL!$C$27, 0.0021, 0)</f>
        <v>58.302999999999997</v>
      </c>
      <c r="E238" s="14">
        <f>58.1642 * CHOOSE(CONTROL!$C$9, $D$9, 100%, $F$9) + CHOOSE(CONTROL!$C$27, 0.0021, 0)</f>
        <v>58.1663</v>
      </c>
      <c r="F238" s="14">
        <f>58.1642 * CHOOSE(CONTROL!$C$9, $D$9, 100%, $F$9) + CHOOSE(CONTROL!$C$27, 0.0021, 0)</f>
        <v>58.1663</v>
      </c>
      <c r="G238" s="14">
        <f>58.4356 * CHOOSE(CONTROL!$C$9, $D$9, 100%, $F$9) + CHOOSE(CONTROL!$C$27, 0.0021, 0)</f>
        <v>58.4377</v>
      </c>
      <c r="H238" s="14">
        <f>58.3009 * CHOOSE(CONTROL!$C$9, $D$9, 100%, $F$9) + CHOOSE(CONTROL!$C$27, 0.0021, 0)</f>
        <v>58.302999999999997</v>
      </c>
      <c r="I238" s="14">
        <f>58.3009 * CHOOSE(CONTROL!$C$9, $D$9, 100%, $F$9) + CHOOSE(CONTROL!$C$27, 0.0021, 0)</f>
        <v>58.302999999999997</v>
      </c>
      <c r="J238" s="14">
        <f>58.3009 * CHOOSE(CONTROL!$C$9, $D$9, 100%, $F$9) + CHOOSE(CONTROL!$C$27, 0.0021, 0)</f>
        <v>58.302999999999997</v>
      </c>
      <c r="K238" s="14">
        <f>58.3009 * CHOOSE(CONTROL!$C$9, $D$9, 100%, $F$9) + CHOOSE(CONTROL!$C$27, 0.0021, 0)</f>
        <v>58.302999999999997</v>
      </c>
      <c r="L238" s="14"/>
    </row>
    <row r="239" spans="1:12" ht="15" x14ac:dyDescent="0.2">
      <c r="A239" s="13">
        <v>48183</v>
      </c>
      <c r="B239" s="14">
        <f>57.6265 * CHOOSE(CONTROL!$C$9, $D$9, 100%, $F$9) + CHOOSE(CONTROL!$C$27, 0.0021, 0)</f>
        <v>57.628599999999999</v>
      </c>
      <c r="C239" s="14">
        <f>57.1942 * CHOOSE(CONTROL!$C$9, $D$9, 100%, $F$9) + CHOOSE(CONTROL!$C$27, 0.0021, 0)</f>
        <v>57.196300000000001</v>
      </c>
      <c r="D239" s="14">
        <f>57.1942 * CHOOSE(CONTROL!$C$9, $D$9, 100%, $F$9) + CHOOSE(CONTROL!$C$27, 0.0021, 0)</f>
        <v>57.196300000000001</v>
      </c>
      <c r="E239" s="14">
        <f>57.0576 * CHOOSE(CONTROL!$C$9, $D$9, 100%, $F$9) + CHOOSE(CONTROL!$C$27, 0.0021, 0)</f>
        <v>57.059699999999999</v>
      </c>
      <c r="F239" s="14">
        <f>57.0576 * CHOOSE(CONTROL!$C$9, $D$9, 100%, $F$9) + CHOOSE(CONTROL!$C$27, 0.0021, 0)</f>
        <v>57.059699999999999</v>
      </c>
      <c r="G239" s="14">
        <f>57.3289 * CHOOSE(CONTROL!$C$9, $D$9, 100%, $F$9) + CHOOSE(CONTROL!$C$27, 0.0021, 0)</f>
        <v>57.330999999999996</v>
      </c>
      <c r="H239" s="14">
        <f>57.1942 * CHOOSE(CONTROL!$C$9, $D$9, 100%, $F$9) + CHOOSE(CONTROL!$C$27, 0.0021, 0)</f>
        <v>57.196300000000001</v>
      </c>
      <c r="I239" s="14">
        <f>57.1942 * CHOOSE(CONTROL!$C$9, $D$9, 100%, $F$9) + CHOOSE(CONTROL!$C$27, 0.0021, 0)</f>
        <v>57.196300000000001</v>
      </c>
      <c r="J239" s="14">
        <f>57.1942 * CHOOSE(CONTROL!$C$9, $D$9, 100%, $F$9) + CHOOSE(CONTROL!$C$27, 0.0021, 0)</f>
        <v>57.196300000000001</v>
      </c>
      <c r="K239" s="14">
        <f>57.1942 * CHOOSE(CONTROL!$C$9, $D$9, 100%, $F$9) + CHOOSE(CONTROL!$C$27, 0.0021, 0)</f>
        <v>57.196300000000001</v>
      </c>
      <c r="L239" s="14"/>
    </row>
    <row r="240" spans="1:12" ht="15" x14ac:dyDescent="0.2">
      <c r="A240" s="13">
        <v>48214</v>
      </c>
      <c r="B240" s="14">
        <f>56.927 * CHOOSE(CONTROL!$C$9, $D$9, 100%, $F$9) + CHOOSE(CONTROL!$C$27, 0.0021, 0)</f>
        <v>56.929099999999998</v>
      </c>
      <c r="C240" s="14">
        <f>56.4948 * CHOOSE(CONTROL!$C$9, $D$9, 100%, $F$9) + CHOOSE(CONTROL!$C$27, 0.0021, 0)</f>
        <v>56.496899999999997</v>
      </c>
      <c r="D240" s="14">
        <f>56.4948 * CHOOSE(CONTROL!$C$9, $D$9, 100%, $F$9) + CHOOSE(CONTROL!$C$27, 0.0021, 0)</f>
        <v>56.496899999999997</v>
      </c>
      <c r="E240" s="14">
        <f>56.3581 * CHOOSE(CONTROL!$C$9, $D$9, 100%, $F$9) + CHOOSE(CONTROL!$C$27, 0.0021, 0)</f>
        <v>56.360199999999999</v>
      </c>
      <c r="F240" s="14">
        <f>56.3581 * CHOOSE(CONTROL!$C$9, $D$9, 100%, $F$9) + CHOOSE(CONTROL!$C$27, 0.0021, 0)</f>
        <v>56.360199999999999</v>
      </c>
      <c r="G240" s="14">
        <f>56.6295 * CHOOSE(CONTROL!$C$9, $D$9, 100%, $F$9) + CHOOSE(CONTROL!$C$27, 0.0021, 0)</f>
        <v>56.631599999999999</v>
      </c>
      <c r="H240" s="14">
        <f>56.4948 * CHOOSE(CONTROL!$C$9, $D$9, 100%, $F$9) + CHOOSE(CONTROL!$C$27, 0.0021, 0)</f>
        <v>56.496899999999997</v>
      </c>
      <c r="I240" s="14">
        <f>56.4948 * CHOOSE(CONTROL!$C$9, $D$9, 100%, $F$9) + CHOOSE(CONTROL!$C$27, 0.0021, 0)</f>
        <v>56.496899999999997</v>
      </c>
      <c r="J240" s="14">
        <f>56.4948 * CHOOSE(CONTROL!$C$9, $D$9, 100%, $F$9) + CHOOSE(CONTROL!$C$27, 0.0021, 0)</f>
        <v>56.496899999999997</v>
      </c>
      <c r="K240" s="14">
        <f>56.4948 * CHOOSE(CONTROL!$C$9, $D$9, 100%, $F$9) + CHOOSE(CONTROL!$C$27, 0.0021, 0)</f>
        <v>56.496899999999997</v>
      </c>
      <c r="L240" s="14"/>
    </row>
    <row r="241" spans="1:12" ht="15" x14ac:dyDescent="0.2">
      <c r="A241" s="13">
        <v>48245</v>
      </c>
      <c r="B241" s="14">
        <f>55.3816 * CHOOSE(CONTROL!$C$9, $D$9, 100%, $F$9) + CHOOSE(CONTROL!$C$27, 0.0021, 0)</f>
        <v>55.383699999999997</v>
      </c>
      <c r="C241" s="14">
        <f>54.9494 * CHOOSE(CONTROL!$C$9, $D$9, 100%, $F$9) + CHOOSE(CONTROL!$C$27, 0.0021, 0)</f>
        <v>54.951499999999996</v>
      </c>
      <c r="D241" s="14">
        <f>54.9494 * CHOOSE(CONTROL!$C$9, $D$9, 100%, $F$9) + CHOOSE(CONTROL!$C$27, 0.0021, 0)</f>
        <v>54.951499999999996</v>
      </c>
      <c r="E241" s="14">
        <f>54.8127 * CHOOSE(CONTROL!$C$9, $D$9, 100%, $F$9) + CHOOSE(CONTROL!$C$27, 0.0021, 0)</f>
        <v>54.814799999999998</v>
      </c>
      <c r="F241" s="14">
        <f>54.8127 * CHOOSE(CONTROL!$C$9, $D$9, 100%, $F$9) + CHOOSE(CONTROL!$C$27, 0.0021, 0)</f>
        <v>54.814799999999998</v>
      </c>
      <c r="G241" s="14">
        <f>55.0841 * CHOOSE(CONTROL!$C$9, $D$9, 100%, $F$9) + CHOOSE(CONTROL!$C$27, 0.0021, 0)</f>
        <v>55.086199999999998</v>
      </c>
      <c r="H241" s="14">
        <f>54.9494 * CHOOSE(CONTROL!$C$9, $D$9, 100%, $F$9) + CHOOSE(CONTROL!$C$27, 0.0021, 0)</f>
        <v>54.951499999999996</v>
      </c>
      <c r="I241" s="14">
        <f>54.9494 * CHOOSE(CONTROL!$C$9, $D$9, 100%, $F$9) + CHOOSE(CONTROL!$C$27, 0.0021, 0)</f>
        <v>54.951499999999996</v>
      </c>
      <c r="J241" s="14">
        <f>54.9494 * CHOOSE(CONTROL!$C$9, $D$9, 100%, $F$9) + CHOOSE(CONTROL!$C$27, 0.0021, 0)</f>
        <v>54.951499999999996</v>
      </c>
      <c r="K241" s="14">
        <f>54.9494 * CHOOSE(CONTROL!$C$9, $D$9, 100%, $F$9) + CHOOSE(CONTROL!$C$27, 0.0021, 0)</f>
        <v>54.951499999999996</v>
      </c>
      <c r="L241" s="14"/>
    </row>
    <row r="242" spans="1:12" ht="15" x14ac:dyDescent="0.2">
      <c r="A242" s="13">
        <v>48274</v>
      </c>
      <c r="B242" s="14">
        <f>54.7437 * CHOOSE(CONTROL!$C$9, $D$9, 100%, $F$9) + CHOOSE(CONTROL!$C$27, 0.0021, 0)</f>
        <v>54.745799999999996</v>
      </c>
      <c r="C242" s="14">
        <f>54.3115 * CHOOSE(CONTROL!$C$9, $D$9, 100%, $F$9) + CHOOSE(CONTROL!$C$27, 0.0021, 0)</f>
        <v>54.313600000000001</v>
      </c>
      <c r="D242" s="14">
        <f>54.3115 * CHOOSE(CONTROL!$C$9, $D$9, 100%, $F$9) + CHOOSE(CONTROL!$C$27, 0.0021, 0)</f>
        <v>54.313600000000001</v>
      </c>
      <c r="E242" s="14">
        <f>54.1748 * CHOOSE(CONTROL!$C$9, $D$9, 100%, $F$9) + CHOOSE(CONTROL!$C$27, 0.0021, 0)</f>
        <v>54.176899999999996</v>
      </c>
      <c r="F242" s="14">
        <f>54.1748 * CHOOSE(CONTROL!$C$9, $D$9, 100%, $F$9) + CHOOSE(CONTROL!$C$27, 0.0021, 0)</f>
        <v>54.176899999999996</v>
      </c>
      <c r="G242" s="14">
        <f>54.4462 * CHOOSE(CONTROL!$C$9, $D$9, 100%, $F$9) + CHOOSE(CONTROL!$C$27, 0.0021, 0)</f>
        <v>54.448299999999996</v>
      </c>
      <c r="H242" s="14">
        <f>54.3115 * CHOOSE(CONTROL!$C$9, $D$9, 100%, $F$9) + CHOOSE(CONTROL!$C$27, 0.0021, 0)</f>
        <v>54.313600000000001</v>
      </c>
      <c r="I242" s="14">
        <f>54.3115 * CHOOSE(CONTROL!$C$9, $D$9, 100%, $F$9) + CHOOSE(CONTROL!$C$27, 0.0021, 0)</f>
        <v>54.313600000000001</v>
      </c>
      <c r="J242" s="14">
        <f>54.3115 * CHOOSE(CONTROL!$C$9, $D$9, 100%, $F$9) + CHOOSE(CONTROL!$C$27, 0.0021, 0)</f>
        <v>54.313600000000001</v>
      </c>
      <c r="K242" s="14">
        <f>54.3115 * CHOOSE(CONTROL!$C$9, $D$9, 100%, $F$9) + CHOOSE(CONTROL!$C$27, 0.0021, 0)</f>
        <v>54.313600000000001</v>
      </c>
      <c r="L242" s="14"/>
    </row>
    <row r="243" spans="1:12" ht="15" x14ac:dyDescent="0.2">
      <c r="A243" s="13">
        <v>48305</v>
      </c>
      <c r="B243" s="14">
        <f>53.982 * CHOOSE(CONTROL!$C$9, $D$9, 100%, $F$9) + CHOOSE(CONTROL!$C$27, 0.0021, 0)</f>
        <v>53.984099999999998</v>
      </c>
      <c r="C243" s="14">
        <f>53.5498 * CHOOSE(CONTROL!$C$9, $D$9, 100%, $F$9) + CHOOSE(CONTROL!$C$27, 0.0021, 0)</f>
        <v>53.551899999999996</v>
      </c>
      <c r="D243" s="14">
        <f>53.5498 * CHOOSE(CONTROL!$C$9, $D$9, 100%, $F$9) + CHOOSE(CONTROL!$C$27, 0.0021, 0)</f>
        <v>53.551899999999996</v>
      </c>
      <c r="E243" s="14">
        <f>53.4131 * CHOOSE(CONTROL!$C$9, $D$9, 100%, $F$9) + CHOOSE(CONTROL!$C$27, 0.0021, 0)</f>
        <v>53.415199999999999</v>
      </c>
      <c r="F243" s="14">
        <f>53.4131 * CHOOSE(CONTROL!$C$9, $D$9, 100%, $F$9) + CHOOSE(CONTROL!$C$27, 0.0021, 0)</f>
        <v>53.415199999999999</v>
      </c>
      <c r="G243" s="14">
        <f>53.6845 * CHOOSE(CONTROL!$C$9, $D$9, 100%, $F$9) + CHOOSE(CONTROL!$C$27, 0.0021, 0)</f>
        <v>53.686599999999999</v>
      </c>
      <c r="H243" s="14">
        <f>53.5498 * CHOOSE(CONTROL!$C$9, $D$9, 100%, $F$9) + CHOOSE(CONTROL!$C$27, 0.0021, 0)</f>
        <v>53.551899999999996</v>
      </c>
      <c r="I243" s="14">
        <f>53.5498 * CHOOSE(CONTROL!$C$9, $D$9, 100%, $F$9) + CHOOSE(CONTROL!$C$27, 0.0021, 0)</f>
        <v>53.551899999999996</v>
      </c>
      <c r="J243" s="14">
        <f>53.5498 * CHOOSE(CONTROL!$C$9, $D$9, 100%, $F$9) + CHOOSE(CONTROL!$C$27, 0.0021, 0)</f>
        <v>53.551899999999996</v>
      </c>
      <c r="K243" s="14">
        <f>53.5498 * CHOOSE(CONTROL!$C$9, $D$9, 100%, $F$9) + CHOOSE(CONTROL!$C$27, 0.0021, 0)</f>
        <v>53.551899999999996</v>
      </c>
      <c r="L243" s="14"/>
    </row>
    <row r="244" spans="1:12" ht="15" x14ac:dyDescent="0.2">
      <c r="A244" s="13">
        <v>48335</v>
      </c>
      <c r="B244" s="14">
        <f>55.0675 * CHOOSE(CONTROL!$C$9, $D$9, 100%, $F$9) + CHOOSE(CONTROL!$C$27, 0.0021, 0)</f>
        <v>55.069600000000001</v>
      </c>
      <c r="C244" s="14">
        <f>54.6353 * CHOOSE(CONTROL!$C$9, $D$9, 100%, $F$9) + CHOOSE(CONTROL!$C$27, 0.0021, 0)</f>
        <v>54.6374</v>
      </c>
      <c r="D244" s="14">
        <f>54.6353 * CHOOSE(CONTROL!$C$9, $D$9, 100%, $F$9) + CHOOSE(CONTROL!$C$27, 0.0021, 0)</f>
        <v>54.6374</v>
      </c>
      <c r="E244" s="14">
        <f>54.4986 * CHOOSE(CONTROL!$C$9, $D$9, 100%, $F$9) + CHOOSE(CONTROL!$C$27, 0.0021, 0)</f>
        <v>54.500700000000002</v>
      </c>
      <c r="F244" s="14">
        <f>54.4986 * CHOOSE(CONTROL!$C$9, $D$9, 100%, $F$9) + CHOOSE(CONTROL!$C$27, 0.0021, 0)</f>
        <v>54.500700000000002</v>
      </c>
      <c r="G244" s="14">
        <f>54.77 * CHOOSE(CONTROL!$C$9, $D$9, 100%, $F$9) + CHOOSE(CONTROL!$C$27, 0.0021, 0)</f>
        <v>54.772100000000002</v>
      </c>
      <c r="H244" s="14">
        <f>54.6353 * CHOOSE(CONTROL!$C$9, $D$9, 100%, $F$9) + CHOOSE(CONTROL!$C$27, 0.0021, 0)</f>
        <v>54.6374</v>
      </c>
      <c r="I244" s="14">
        <f>54.6353 * CHOOSE(CONTROL!$C$9, $D$9, 100%, $F$9) + CHOOSE(CONTROL!$C$27, 0.0021, 0)</f>
        <v>54.6374</v>
      </c>
      <c r="J244" s="14">
        <f>54.6353 * CHOOSE(CONTROL!$C$9, $D$9, 100%, $F$9) + CHOOSE(CONTROL!$C$27, 0.0021, 0)</f>
        <v>54.6374</v>
      </c>
      <c r="K244" s="14">
        <f>54.6353 * CHOOSE(CONTROL!$C$9, $D$9, 100%, $F$9) + CHOOSE(CONTROL!$C$27, 0.0021, 0)</f>
        <v>54.6374</v>
      </c>
      <c r="L244" s="14"/>
    </row>
    <row r="245" spans="1:12" ht="15" x14ac:dyDescent="0.2">
      <c r="A245" s="13">
        <v>48366</v>
      </c>
      <c r="B245" s="14">
        <f>55.7177 * CHOOSE(CONTROL!$C$9, $D$9, 100%, $F$9) + CHOOSE(CONTROL!$C$27, 0.0021, 0)</f>
        <v>55.719799999999999</v>
      </c>
      <c r="C245" s="14">
        <f>55.2855 * CHOOSE(CONTROL!$C$9, $D$9, 100%, $F$9) + CHOOSE(CONTROL!$C$27, 0.0021, 0)</f>
        <v>55.287599999999998</v>
      </c>
      <c r="D245" s="14">
        <f>55.2855 * CHOOSE(CONTROL!$C$9, $D$9, 100%, $F$9) + CHOOSE(CONTROL!$C$27, 0.0021, 0)</f>
        <v>55.287599999999998</v>
      </c>
      <c r="E245" s="14">
        <f>55.1488 * CHOOSE(CONTROL!$C$9, $D$9, 100%, $F$9) + CHOOSE(CONTROL!$C$27, 0.0021, 0)</f>
        <v>55.1509</v>
      </c>
      <c r="F245" s="14">
        <f>55.1488 * CHOOSE(CONTROL!$C$9, $D$9, 100%, $F$9) + CHOOSE(CONTROL!$C$27, 0.0021, 0)</f>
        <v>55.1509</v>
      </c>
      <c r="G245" s="14">
        <f>55.4202 * CHOOSE(CONTROL!$C$9, $D$9, 100%, $F$9) + CHOOSE(CONTROL!$C$27, 0.0021, 0)</f>
        <v>55.4223</v>
      </c>
      <c r="H245" s="14">
        <f>55.2855 * CHOOSE(CONTROL!$C$9, $D$9, 100%, $F$9) + CHOOSE(CONTROL!$C$27, 0.0021, 0)</f>
        <v>55.287599999999998</v>
      </c>
      <c r="I245" s="14">
        <f>55.2855 * CHOOSE(CONTROL!$C$9, $D$9, 100%, $F$9) + CHOOSE(CONTROL!$C$27, 0.0021, 0)</f>
        <v>55.287599999999998</v>
      </c>
      <c r="J245" s="14">
        <f>55.2855 * CHOOSE(CONTROL!$C$9, $D$9, 100%, $F$9) + CHOOSE(CONTROL!$C$27, 0.0021, 0)</f>
        <v>55.287599999999998</v>
      </c>
      <c r="K245" s="14">
        <f>55.2855 * CHOOSE(CONTROL!$C$9, $D$9, 100%, $F$9) + CHOOSE(CONTROL!$C$27, 0.0021, 0)</f>
        <v>55.287599999999998</v>
      </c>
      <c r="L245" s="14"/>
    </row>
    <row r="246" spans="1:12" ht="15" x14ac:dyDescent="0.2">
      <c r="A246" s="13">
        <v>48396</v>
      </c>
      <c r="B246" s="14">
        <f>56.7903 * CHOOSE(CONTROL!$C$9, $D$9, 100%, $F$9) + CHOOSE(CONTROL!$C$27, 0.0021, 0)</f>
        <v>56.792400000000001</v>
      </c>
      <c r="C246" s="14">
        <f>56.358 * CHOOSE(CONTROL!$C$9, $D$9, 100%, $F$9) + CHOOSE(CONTROL!$C$27, 0.0021, 0)</f>
        <v>56.360099999999996</v>
      </c>
      <c r="D246" s="14">
        <f>56.358 * CHOOSE(CONTROL!$C$9, $D$9, 100%, $F$9) + CHOOSE(CONTROL!$C$27, 0.0021, 0)</f>
        <v>56.360099999999996</v>
      </c>
      <c r="E246" s="14">
        <f>56.2213 * CHOOSE(CONTROL!$C$9, $D$9, 100%, $F$9) + CHOOSE(CONTROL!$C$27, 0.0021, 0)</f>
        <v>56.223399999999998</v>
      </c>
      <c r="F246" s="14">
        <f>56.2213 * CHOOSE(CONTROL!$C$9, $D$9, 100%, $F$9) + CHOOSE(CONTROL!$C$27, 0.0021, 0)</f>
        <v>56.223399999999998</v>
      </c>
      <c r="G246" s="14">
        <f>56.4927 * CHOOSE(CONTROL!$C$9, $D$9, 100%, $F$9) + CHOOSE(CONTROL!$C$27, 0.0021, 0)</f>
        <v>56.494799999999998</v>
      </c>
      <c r="H246" s="14">
        <f>56.358 * CHOOSE(CONTROL!$C$9, $D$9, 100%, $F$9) + CHOOSE(CONTROL!$C$27, 0.0021, 0)</f>
        <v>56.360099999999996</v>
      </c>
      <c r="I246" s="14">
        <f>56.358 * CHOOSE(CONTROL!$C$9, $D$9, 100%, $F$9) + CHOOSE(CONTROL!$C$27, 0.0021, 0)</f>
        <v>56.360099999999996</v>
      </c>
      <c r="J246" s="14">
        <f>56.358 * CHOOSE(CONTROL!$C$9, $D$9, 100%, $F$9) + CHOOSE(CONTROL!$C$27, 0.0021, 0)</f>
        <v>56.360099999999996</v>
      </c>
      <c r="K246" s="14">
        <f>56.358 * CHOOSE(CONTROL!$C$9, $D$9, 100%, $F$9) + CHOOSE(CONTROL!$C$27, 0.0021, 0)</f>
        <v>56.360099999999996</v>
      </c>
      <c r="L246" s="14"/>
    </row>
    <row r="247" spans="1:12" ht="15" x14ac:dyDescent="0.2">
      <c r="A247" s="13">
        <v>48427</v>
      </c>
      <c r="B247" s="14">
        <f>57.1176 * CHOOSE(CONTROL!$C$9, $D$9, 100%, $F$9) + CHOOSE(CONTROL!$C$27, 0.0021, 0)</f>
        <v>57.119700000000002</v>
      </c>
      <c r="C247" s="14">
        <f>56.6854 * CHOOSE(CONTROL!$C$9, $D$9, 100%, $F$9) + CHOOSE(CONTROL!$C$27, 0.0021, 0)</f>
        <v>56.6875</v>
      </c>
      <c r="D247" s="14">
        <f>56.6854 * CHOOSE(CONTROL!$C$9, $D$9, 100%, $F$9) + CHOOSE(CONTROL!$C$27, 0.0021, 0)</f>
        <v>56.6875</v>
      </c>
      <c r="E247" s="14">
        <f>56.5487 * CHOOSE(CONTROL!$C$9, $D$9, 100%, $F$9) + CHOOSE(CONTROL!$C$27, 0.0021, 0)</f>
        <v>56.550799999999995</v>
      </c>
      <c r="F247" s="14">
        <f>56.5487 * CHOOSE(CONTROL!$C$9, $D$9, 100%, $F$9) + CHOOSE(CONTROL!$C$27, 0.0021, 0)</f>
        <v>56.550799999999995</v>
      </c>
      <c r="G247" s="14">
        <f>56.8201 * CHOOSE(CONTROL!$C$9, $D$9, 100%, $F$9) + CHOOSE(CONTROL!$C$27, 0.0021, 0)</f>
        <v>56.822199999999995</v>
      </c>
      <c r="H247" s="14">
        <f>56.6854 * CHOOSE(CONTROL!$C$9, $D$9, 100%, $F$9) + CHOOSE(CONTROL!$C$27, 0.0021, 0)</f>
        <v>56.6875</v>
      </c>
      <c r="I247" s="14">
        <f>56.6854 * CHOOSE(CONTROL!$C$9, $D$9, 100%, $F$9) + CHOOSE(CONTROL!$C$27, 0.0021, 0)</f>
        <v>56.6875</v>
      </c>
      <c r="J247" s="14">
        <f>56.6854 * CHOOSE(CONTROL!$C$9, $D$9, 100%, $F$9) + CHOOSE(CONTROL!$C$27, 0.0021, 0)</f>
        <v>56.6875</v>
      </c>
      <c r="K247" s="14">
        <f>56.6854 * CHOOSE(CONTROL!$C$9, $D$9, 100%, $F$9) + CHOOSE(CONTROL!$C$27, 0.0021, 0)</f>
        <v>56.6875</v>
      </c>
      <c r="L247" s="14"/>
    </row>
    <row r="248" spans="1:12" ht="15" x14ac:dyDescent="0.2">
      <c r="A248" s="13">
        <v>48458</v>
      </c>
      <c r="B248" s="14">
        <f>58.2325 * CHOOSE(CONTROL!$C$9, $D$9, 100%, $F$9) + CHOOSE(CONTROL!$C$27, 0.0021, 0)</f>
        <v>58.2346</v>
      </c>
      <c r="C248" s="14">
        <f>57.8003 * CHOOSE(CONTROL!$C$9, $D$9, 100%, $F$9) + CHOOSE(CONTROL!$C$27, 0.0021, 0)</f>
        <v>57.802399999999999</v>
      </c>
      <c r="D248" s="14">
        <f>57.8003 * CHOOSE(CONTROL!$C$9, $D$9, 100%, $F$9) + CHOOSE(CONTROL!$C$27, 0.0021, 0)</f>
        <v>57.802399999999999</v>
      </c>
      <c r="E248" s="14">
        <f>57.6636 * CHOOSE(CONTROL!$C$9, $D$9, 100%, $F$9) + CHOOSE(CONTROL!$C$27, 0.0021, 0)</f>
        <v>57.665700000000001</v>
      </c>
      <c r="F248" s="14">
        <f>57.6636 * CHOOSE(CONTROL!$C$9, $D$9, 100%, $F$9) + CHOOSE(CONTROL!$C$27, 0.0021, 0)</f>
        <v>57.665700000000001</v>
      </c>
      <c r="G248" s="14">
        <f>57.935 * CHOOSE(CONTROL!$C$9, $D$9, 100%, $F$9) + CHOOSE(CONTROL!$C$27, 0.0021, 0)</f>
        <v>57.937100000000001</v>
      </c>
      <c r="H248" s="14">
        <f>57.8003 * CHOOSE(CONTROL!$C$9, $D$9, 100%, $F$9) + CHOOSE(CONTROL!$C$27, 0.0021, 0)</f>
        <v>57.802399999999999</v>
      </c>
      <c r="I248" s="14">
        <f>57.8003 * CHOOSE(CONTROL!$C$9, $D$9, 100%, $F$9) + CHOOSE(CONTROL!$C$27, 0.0021, 0)</f>
        <v>57.802399999999999</v>
      </c>
      <c r="J248" s="14">
        <f>57.8003 * CHOOSE(CONTROL!$C$9, $D$9, 100%, $F$9) + CHOOSE(CONTROL!$C$27, 0.0021, 0)</f>
        <v>57.802399999999999</v>
      </c>
      <c r="K248" s="14">
        <f>57.8003 * CHOOSE(CONTROL!$C$9, $D$9, 100%, $F$9) + CHOOSE(CONTROL!$C$27, 0.0021, 0)</f>
        <v>57.802399999999999</v>
      </c>
      <c r="L248" s="14"/>
    </row>
    <row r="249" spans="1:12" ht="15" x14ac:dyDescent="0.2">
      <c r="A249" s="13">
        <v>48488</v>
      </c>
      <c r="B249" s="14">
        <f>59.6437 * CHOOSE(CONTROL!$C$9, $D$9, 100%, $F$9) + CHOOSE(CONTROL!$C$27, 0.0021, 0)</f>
        <v>59.645800000000001</v>
      </c>
      <c r="C249" s="14">
        <f>59.2115 * CHOOSE(CONTROL!$C$9, $D$9, 100%, $F$9) + CHOOSE(CONTROL!$C$27, 0.0021, 0)</f>
        <v>59.2136</v>
      </c>
      <c r="D249" s="14">
        <f>59.2115 * CHOOSE(CONTROL!$C$9, $D$9, 100%, $F$9) + CHOOSE(CONTROL!$C$27, 0.0021, 0)</f>
        <v>59.2136</v>
      </c>
      <c r="E249" s="14">
        <f>59.0748 * CHOOSE(CONTROL!$C$9, $D$9, 100%, $F$9) + CHOOSE(CONTROL!$C$27, 0.0021, 0)</f>
        <v>59.076900000000002</v>
      </c>
      <c r="F249" s="14">
        <f>59.0748 * CHOOSE(CONTROL!$C$9, $D$9, 100%, $F$9) + CHOOSE(CONTROL!$C$27, 0.0021, 0)</f>
        <v>59.076900000000002</v>
      </c>
      <c r="G249" s="14">
        <f>59.3462 * CHOOSE(CONTROL!$C$9, $D$9, 100%, $F$9) + CHOOSE(CONTROL!$C$27, 0.0021, 0)</f>
        <v>59.348300000000002</v>
      </c>
      <c r="H249" s="14">
        <f>59.2115 * CHOOSE(CONTROL!$C$9, $D$9, 100%, $F$9) + CHOOSE(CONTROL!$C$27, 0.0021, 0)</f>
        <v>59.2136</v>
      </c>
      <c r="I249" s="14">
        <f>59.2115 * CHOOSE(CONTROL!$C$9, $D$9, 100%, $F$9) + CHOOSE(CONTROL!$C$27, 0.0021, 0)</f>
        <v>59.2136</v>
      </c>
      <c r="J249" s="14">
        <f>59.2115 * CHOOSE(CONTROL!$C$9, $D$9, 100%, $F$9) + CHOOSE(CONTROL!$C$27, 0.0021, 0)</f>
        <v>59.2136</v>
      </c>
      <c r="K249" s="14">
        <f>59.2115 * CHOOSE(CONTROL!$C$9, $D$9, 100%, $F$9) + CHOOSE(CONTROL!$C$27, 0.0021, 0)</f>
        <v>59.2136</v>
      </c>
      <c r="L249" s="14"/>
    </row>
    <row r="250" spans="1:12" ht="15" x14ac:dyDescent="0.2">
      <c r="A250" s="13">
        <v>48519</v>
      </c>
      <c r="B250" s="14">
        <f>59.7762 * CHOOSE(CONTROL!$C$9, $D$9, 100%, $F$9) + CHOOSE(CONTROL!$C$27, 0.0021, 0)</f>
        <v>59.778300000000002</v>
      </c>
      <c r="C250" s="14">
        <f>59.344 * CHOOSE(CONTROL!$C$9, $D$9, 100%, $F$9) + CHOOSE(CONTROL!$C$27, 0.0021, 0)</f>
        <v>59.3461</v>
      </c>
      <c r="D250" s="14">
        <f>59.344 * CHOOSE(CONTROL!$C$9, $D$9, 100%, $F$9) + CHOOSE(CONTROL!$C$27, 0.0021, 0)</f>
        <v>59.3461</v>
      </c>
      <c r="E250" s="14">
        <f>59.2073 * CHOOSE(CONTROL!$C$9, $D$9, 100%, $F$9) + CHOOSE(CONTROL!$C$27, 0.0021, 0)</f>
        <v>59.209399999999995</v>
      </c>
      <c r="F250" s="14">
        <f>59.2073 * CHOOSE(CONTROL!$C$9, $D$9, 100%, $F$9) + CHOOSE(CONTROL!$C$27, 0.0021, 0)</f>
        <v>59.209399999999995</v>
      </c>
      <c r="G250" s="14">
        <f>59.4787 * CHOOSE(CONTROL!$C$9, $D$9, 100%, $F$9) + CHOOSE(CONTROL!$C$27, 0.0021, 0)</f>
        <v>59.480800000000002</v>
      </c>
      <c r="H250" s="14">
        <f>59.344 * CHOOSE(CONTROL!$C$9, $D$9, 100%, $F$9) + CHOOSE(CONTROL!$C$27, 0.0021, 0)</f>
        <v>59.3461</v>
      </c>
      <c r="I250" s="14">
        <f>59.344 * CHOOSE(CONTROL!$C$9, $D$9, 100%, $F$9) + CHOOSE(CONTROL!$C$27, 0.0021, 0)</f>
        <v>59.3461</v>
      </c>
      <c r="J250" s="14">
        <f>59.344 * CHOOSE(CONTROL!$C$9, $D$9, 100%, $F$9) + CHOOSE(CONTROL!$C$27, 0.0021, 0)</f>
        <v>59.3461</v>
      </c>
      <c r="K250" s="14">
        <f>59.344 * CHOOSE(CONTROL!$C$9, $D$9, 100%, $F$9) + CHOOSE(CONTROL!$C$27, 0.0021, 0)</f>
        <v>59.3461</v>
      </c>
      <c r="L250" s="14"/>
    </row>
    <row r="251" spans="1:12" ht="15" x14ac:dyDescent="0.2">
      <c r="A251" s="13">
        <v>48549</v>
      </c>
      <c r="B251" s="14">
        <f>58.6491 * CHOOSE(CONTROL!$C$9, $D$9, 100%, $F$9) + CHOOSE(CONTROL!$C$27, 0.0021, 0)</f>
        <v>58.651199999999996</v>
      </c>
      <c r="C251" s="14">
        <f>58.2168 * CHOOSE(CONTROL!$C$9, $D$9, 100%, $F$9) + CHOOSE(CONTROL!$C$27, 0.0021, 0)</f>
        <v>58.218899999999998</v>
      </c>
      <c r="D251" s="14">
        <f>58.2168 * CHOOSE(CONTROL!$C$9, $D$9, 100%, $F$9) + CHOOSE(CONTROL!$C$27, 0.0021, 0)</f>
        <v>58.218899999999998</v>
      </c>
      <c r="E251" s="14">
        <f>58.0802 * CHOOSE(CONTROL!$C$9, $D$9, 100%, $F$9) + CHOOSE(CONTROL!$C$27, 0.0021, 0)</f>
        <v>58.082299999999996</v>
      </c>
      <c r="F251" s="14">
        <f>58.0802 * CHOOSE(CONTROL!$C$9, $D$9, 100%, $F$9) + CHOOSE(CONTROL!$C$27, 0.0021, 0)</f>
        <v>58.082299999999996</v>
      </c>
      <c r="G251" s="14">
        <f>58.3516 * CHOOSE(CONTROL!$C$9, $D$9, 100%, $F$9) + CHOOSE(CONTROL!$C$27, 0.0021, 0)</f>
        <v>58.353699999999996</v>
      </c>
      <c r="H251" s="14">
        <f>58.2168 * CHOOSE(CONTROL!$C$9, $D$9, 100%, $F$9) + CHOOSE(CONTROL!$C$27, 0.0021, 0)</f>
        <v>58.218899999999998</v>
      </c>
      <c r="I251" s="14">
        <f>58.2168 * CHOOSE(CONTROL!$C$9, $D$9, 100%, $F$9) + CHOOSE(CONTROL!$C$27, 0.0021, 0)</f>
        <v>58.218899999999998</v>
      </c>
      <c r="J251" s="14">
        <f>58.2168 * CHOOSE(CONTROL!$C$9, $D$9, 100%, $F$9) + CHOOSE(CONTROL!$C$27, 0.0021, 0)</f>
        <v>58.218899999999998</v>
      </c>
      <c r="K251" s="14">
        <f>58.2168 * CHOOSE(CONTROL!$C$9, $D$9, 100%, $F$9) + CHOOSE(CONTROL!$C$27, 0.0021, 0)</f>
        <v>58.218899999999998</v>
      </c>
      <c r="L251" s="14"/>
    </row>
    <row r="252" spans="1:12" ht="15" x14ac:dyDescent="0.2">
      <c r="A252" s="13">
        <v>48580</v>
      </c>
      <c r="B252" s="14">
        <f>57.9367 * CHOOSE(CONTROL!$C$9, $D$9, 100%, $F$9) + CHOOSE(CONTROL!$C$27, 0.0021, 0)</f>
        <v>57.938800000000001</v>
      </c>
      <c r="C252" s="14">
        <f>57.5044 * CHOOSE(CONTROL!$C$9, $D$9, 100%, $F$9) + CHOOSE(CONTROL!$C$27, 0.0021, 0)</f>
        <v>57.506499999999996</v>
      </c>
      <c r="D252" s="14">
        <f>57.5044 * CHOOSE(CONTROL!$C$9, $D$9, 100%, $F$9) + CHOOSE(CONTROL!$C$27, 0.0021, 0)</f>
        <v>57.506499999999996</v>
      </c>
      <c r="E252" s="14">
        <f>57.3678 * CHOOSE(CONTROL!$C$9, $D$9, 100%, $F$9) + CHOOSE(CONTROL!$C$27, 0.0021, 0)</f>
        <v>57.369900000000001</v>
      </c>
      <c r="F252" s="14">
        <f>57.3678 * CHOOSE(CONTROL!$C$9, $D$9, 100%, $F$9) + CHOOSE(CONTROL!$C$27, 0.0021, 0)</f>
        <v>57.369900000000001</v>
      </c>
      <c r="G252" s="14">
        <f>57.6392 * CHOOSE(CONTROL!$C$9, $D$9, 100%, $F$9) + CHOOSE(CONTROL!$C$27, 0.0021, 0)</f>
        <v>57.641300000000001</v>
      </c>
      <c r="H252" s="14">
        <f>57.5044 * CHOOSE(CONTROL!$C$9, $D$9, 100%, $F$9) + CHOOSE(CONTROL!$C$27, 0.0021, 0)</f>
        <v>57.506499999999996</v>
      </c>
      <c r="I252" s="14">
        <f>57.5044 * CHOOSE(CONTROL!$C$9, $D$9, 100%, $F$9) + CHOOSE(CONTROL!$C$27, 0.0021, 0)</f>
        <v>57.506499999999996</v>
      </c>
      <c r="J252" s="14">
        <f>57.5044 * CHOOSE(CONTROL!$C$9, $D$9, 100%, $F$9) + CHOOSE(CONTROL!$C$27, 0.0021, 0)</f>
        <v>57.506499999999996</v>
      </c>
      <c r="K252" s="14">
        <f>57.5044 * CHOOSE(CONTROL!$C$9, $D$9, 100%, $F$9) + CHOOSE(CONTROL!$C$27, 0.0021, 0)</f>
        <v>57.506499999999996</v>
      </c>
      <c r="L252" s="14"/>
    </row>
    <row r="253" spans="1:12" ht="15" x14ac:dyDescent="0.2">
      <c r="A253" s="13">
        <v>48611</v>
      </c>
      <c r="B253" s="14">
        <f>56.3628 * CHOOSE(CONTROL!$C$9, $D$9, 100%, $F$9) + CHOOSE(CONTROL!$C$27, 0.0021, 0)</f>
        <v>56.364899999999999</v>
      </c>
      <c r="C253" s="14">
        <f>55.9305 * CHOOSE(CONTROL!$C$9, $D$9, 100%, $F$9) + CHOOSE(CONTROL!$C$27, 0.0021, 0)</f>
        <v>55.932600000000001</v>
      </c>
      <c r="D253" s="14">
        <f>55.9305 * CHOOSE(CONTROL!$C$9, $D$9, 100%, $F$9) + CHOOSE(CONTROL!$C$27, 0.0021, 0)</f>
        <v>55.932600000000001</v>
      </c>
      <c r="E253" s="14">
        <f>55.7939 * CHOOSE(CONTROL!$C$9, $D$9, 100%, $F$9) + CHOOSE(CONTROL!$C$27, 0.0021, 0)</f>
        <v>55.795999999999999</v>
      </c>
      <c r="F253" s="14">
        <f>55.7939 * CHOOSE(CONTROL!$C$9, $D$9, 100%, $F$9) + CHOOSE(CONTROL!$C$27, 0.0021, 0)</f>
        <v>55.795999999999999</v>
      </c>
      <c r="G253" s="14">
        <f>56.0652 * CHOOSE(CONTROL!$C$9, $D$9, 100%, $F$9) + CHOOSE(CONTROL!$C$27, 0.0021, 0)</f>
        <v>56.067299999999996</v>
      </c>
      <c r="H253" s="14">
        <f>55.9305 * CHOOSE(CONTROL!$C$9, $D$9, 100%, $F$9) + CHOOSE(CONTROL!$C$27, 0.0021, 0)</f>
        <v>55.932600000000001</v>
      </c>
      <c r="I253" s="14">
        <f>55.9305 * CHOOSE(CONTROL!$C$9, $D$9, 100%, $F$9) + CHOOSE(CONTROL!$C$27, 0.0021, 0)</f>
        <v>55.932600000000001</v>
      </c>
      <c r="J253" s="14">
        <f>55.9305 * CHOOSE(CONTROL!$C$9, $D$9, 100%, $F$9) + CHOOSE(CONTROL!$C$27, 0.0021, 0)</f>
        <v>55.932600000000001</v>
      </c>
      <c r="K253" s="14">
        <f>55.9305 * CHOOSE(CONTROL!$C$9, $D$9, 100%, $F$9) + CHOOSE(CONTROL!$C$27, 0.0021, 0)</f>
        <v>55.932600000000001</v>
      </c>
      <c r="L253" s="14"/>
    </row>
    <row r="254" spans="1:12" ht="15" x14ac:dyDescent="0.2">
      <c r="A254" s="13">
        <v>48639</v>
      </c>
      <c r="B254" s="14">
        <f>55.7131 * CHOOSE(CONTROL!$C$9, $D$9, 100%, $F$9) + CHOOSE(CONTROL!$C$27, 0.0021, 0)</f>
        <v>55.715199999999996</v>
      </c>
      <c r="C254" s="14">
        <f>55.2808 * CHOOSE(CONTROL!$C$9, $D$9, 100%, $F$9) + CHOOSE(CONTROL!$C$27, 0.0021, 0)</f>
        <v>55.282899999999998</v>
      </c>
      <c r="D254" s="14">
        <f>55.2808 * CHOOSE(CONTROL!$C$9, $D$9, 100%, $F$9) + CHOOSE(CONTROL!$C$27, 0.0021, 0)</f>
        <v>55.282899999999998</v>
      </c>
      <c r="E254" s="14">
        <f>55.1442 * CHOOSE(CONTROL!$C$9, $D$9, 100%, $F$9) + CHOOSE(CONTROL!$C$27, 0.0021, 0)</f>
        <v>55.146299999999997</v>
      </c>
      <c r="F254" s="14">
        <f>55.1442 * CHOOSE(CONTROL!$C$9, $D$9, 100%, $F$9) + CHOOSE(CONTROL!$C$27, 0.0021, 0)</f>
        <v>55.146299999999997</v>
      </c>
      <c r="G254" s="14">
        <f>55.4155 * CHOOSE(CONTROL!$C$9, $D$9, 100%, $F$9) + CHOOSE(CONTROL!$C$27, 0.0021, 0)</f>
        <v>55.4176</v>
      </c>
      <c r="H254" s="14">
        <f>55.2808 * CHOOSE(CONTROL!$C$9, $D$9, 100%, $F$9) + CHOOSE(CONTROL!$C$27, 0.0021, 0)</f>
        <v>55.282899999999998</v>
      </c>
      <c r="I254" s="14">
        <f>55.2808 * CHOOSE(CONTROL!$C$9, $D$9, 100%, $F$9) + CHOOSE(CONTROL!$C$27, 0.0021, 0)</f>
        <v>55.282899999999998</v>
      </c>
      <c r="J254" s="14">
        <f>55.2808 * CHOOSE(CONTROL!$C$9, $D$9, 100%, $F$9) + CHOOSE(CONTROL!$C$27, 0.0021, 0)</f>
        <v>55.282899999999998</v>
      </c>
      <c r="K254" s="14">
        <f>55.2808 * CHOOSE(CONTROL!$C$9, $D$9, 100%, $F$9) + CHOOSE(CONTROL!$C$27, 0.0021, 0)</f>
        <v>55.282899999999998</v>
      </c>
      <c r="L254" s="14"/>
    </row>
    <row r="255" spans="1:12" ht="15" x14ac:dyDescent="0.2">
      <c r="A255" s="13">
        <v>48670</v>
      </c>
      <c r="B255" s="14">
        <f>54.9373 * CHOOSE(CONTROL!$C$9, $D$9, 100%, $F$9) + CHOOSE(CONTROL!$C$27, 0.0021, 0)</f>
        <v>54.939399999999999</v>
      </c>
      <c r="C255" s="14">
        <f>54.505 * CHOOSE(CONTROL!$C$9, $D$9, 100%, $F$9) + CHOOSE(CONTROL!$C$27, 0.0021, 0)</f>
        <v>54.507100000000001</v>
      </c>
      <c r="D255" s="14">
        <f>54.505 * CHOOSE(CONTROL!$C$9, $D$9, 100%, $F$9) + CHOOSE(CONTROL!$C$27, 0.0021, 0)</f>
        <v>54.507100000000001</v>
      </c>
      <c r="E255" s="14">
        <f>54.3684 * CHOOSE(CONTROL!$C$9, $D$9, 100%, $F$9) + CHOOSE(CONTROL!$C$27, 0.0021, 0)</f>
        <v>54.3705</v>
      </c>
      <c r="F255" s="14">
        <f>54.3684 * CHOOSE(CONTROL!$C$9, $D$9, 100%, $F$9) + CHOOSE(CONTROL!$C$27, 0.0021, 0)</f>
        <v>54.3705</v>
      </c>
      <c r="G255" s="14">
        <f>54.6398 * CHOOSE(CONTROL!$C$9, $D$9, 100%, $F$9) + CHOOSE(CONTROL!$C$27, 0.0021, 0)</f>
        <v>54.6419</v>
      </c>
      <c r="H255" s="14">
        <f>54.505 * CHOOSE(CONTROL!$C$9, $D$9, 100%, $F$9) + CHOOSE(CONTROL!$C$27, 0.0021, 0)</f>
        <v>54.507100000000001</v>
      </c>
      <c r="I255" s="14">
        <f>54.505 * CHOOSE(CONTROL!$C$9, $D$9, 100%, $F$9) + CHOOSE(CONTROL!$C$27, 0.0021, 0)</f>
        <v>54.507100000000001</v>
      </c>
      <c r="J255" s="14">
        <f>54.505 * CHOOSE(CONTROL!$C$9, $D$9, 100%, $F$9) + CHOOSE(CONTROL!$C$27, 0.0021, 0)</f>
        <v>54.507100000000001</v>
      </c>
      <c r="K255" s="14">
        <f>54.505 * CHOOSE(CONTROL!$C$9, $D$9, 100%, $F$9) + CHOOSE(CONTROL!$C$27, 0.0021, 0)</f>
        <v>54.507100000000001</v>
      </c>
      <c r="L255" s="14"/>
    </row>
    <row r="256" spans="1:12" ht="15" x14ac:dyDescent="0.2">
      <c r="A256" s="13">
        <v>48700</v>
      </c>
      <c r="B256" s="14">
        <f>56.0429 * CHOOSE(CONTROL!$C$9, $D$9, 100%, $F$9) + CHOOSE(CONTROL!$C$27, 0.0021, 0)</f>
        <v>56.045000000000002</v>
      </c>
      <c r="C256" s="14">
        <f>55.6106 * CHOOSE(CONTROL!$C$9, $D$9, 100%, $F$9) + CHOOSE(CONTROL!$C$27, 0.0021, 0)</f>
        <v>55.612699999999997</v>
      </c>
      <c r="D256" s="14">
        <f>55.6106 * CHOOSE(CONTROL!$C$9, $D$9, 100%, $F$9) + CHOOSE(CONTROL!$C$27, 0.0021, 0)</f>
        <v>55.612699999999997</v>
      </c>
      <c r="E256" s="14">
        <f>55.4739 * CHOOSE(CONTROL!$C$9, $D$9, 100%, $F$9) + CHOOSE(CONTROL!$C$27, 0.0021, 0)</f>
        <v>55.475999999999999</v>
      </c>
      <c r="F256" s="14">
        <f>55.4739 * CHOOSE(CONTROL!$C$9, $D$9, 100%, $F$9) + CHOOSE(CONTROL!$C$27, 0.0021, 0)</f>
        <v>55.475999999999999</v>
      </c>
      <c r="G256" s="14">
        <f>55.7453 * CHOOSE(CONTROL!$C$9, $D$9, 100%, $F$9) + CHOOSE(CONTROL!$C$27, 0.0021, 0)</f>
        <v>55.747399999999999</v>
      </c>
      <c r="H256" s="14">
        <f>55.6106 * CHOOSE(CONTROL!$C$9, $D$9, 100%, $F$9) + CHOOSE(CONTROL!$C$27, 0.0021, 0)</f>
        <v>55.612699999999997</v>
      </c>
      <c r="I256" s="14">
        <f>55.6106 * CHOOSE(CONTROL!$C$9, $D$9, 100%, $F$9) + CHOOSE(CONTROL!$C$27, 0.0021, 0)</f>
        <v>55.612699999999997</v>
      </c>
      <c r="J256" s="14">
        <f>55.6106 * CHOOSE(CONTROL!$C$9, $D$9, 100%, $F$9) + CHOOSE(CONTROL!$C$27, 0.0021, 0)</f>
        <v>55.612699999999997</v>
      </c>
      <c r="K256" s="14">
        <f>55.6106 * CHOOSE(CONTROL!$C$9, $D$9, 100%, $F$9) + CHOOSE(CONTROL!$C$27, 0.0021, 0)</f>
        <v>55.612699999999997</v>
      </c>
      <c r="L256" s="14"/>
    </row>
    <row r="257" spans="1:12" ht="15" x14ac:dyDescent="0.2">
      <c r="A257" s="13">
        <v>48731</v>
      </c>
      <c r="B257" s="14">
        <f>56.705 * CHOOSE(CONTROL!$C$9, $D$9, 100%, $F$9) + CHOOSE(CONTROL!$C$27, 0.0021, 0)</f>
        <v>56.707099999999997</v>
      </c>
      <c r="C257" s="14">
        <f>56.2728 * CHOOSE(CONTROL!$C$9, $D$9, 100%, $F$9) + CHOOSE(CONTROL!$C$27, 0.0021, 0)</f>
        <v>56.274899999999995</v>
      </c>
      <c r="D257" s="14">
        <f>56.2728 * CHOOSE(CONTROL!$C$9, $D$9, 100%, $F$9) + CHOOSE(CONTROL!$C$27, 0.0021, 0)</f>
        <v>56.274899999999995</v>
      </c>
      <c r="E257" s="14">
        <f>56.1361 * CHOOSE(CONTROL!$C$9, $D$9, 100%, $F$9) + CHOOSE(CONTROL!$C$27, 0.0021, 0)</f>
        <v>56.138199999999998</v>
      </c>
      <c r="F257" s="14">
        <f>56.1361 * CHOOSE(CONTROL!$C$9, $D$9, 100%, $F$9) + CHOOSE(CONTROL!$C$27, 0.0021, 0)</f>
        <v>56.138199999999998</v>
      </c>
      <c r="G257" s="14">
        <f>56.4075 * CHOOSE(CONTROL!$C$9, $D$9, 100%, $F$9) + CHOOSE(CONTROL!$C$27, 0.0021, 0)</f>
        <v>56.409599999999998</v>
      </c>
      <c r="H257" s="14">
        <f>56.2728 * CHOOSE(CONTROL!$C$9, $D$9, 100%, $F$9) + CHOOSE(CONTROL!$C$27, 0.0021, 0)</f>
        <v>56.274899999999995</v>
      </c>
      <c r="I257" s="14">
        <f>56.2728 * CHOOSE(CONTROL!$C$9, $D$9, 100%, $F$9) + CHOOSE(CONTROL!$C$27, 0.0021, 0)</f>
        <v>56.274899999999995</v>
      </c>
      <c r="J257" s="14">
        <f>56.2728 * CHOOSE(CONTROL!$C$9, $D$9, 100%, $F$9) + CHOOSE(CONTROL!$C$27, 0.0021, 0)</f>
        <v>56.274899999999995</v>
      </c>
      <c r="K257" s="14">
        <f>56.2728 * CHOOSE(CONTROL!$C$9, $D$9, 100%, $F$9) + CHOOSE(CONTROL!$C$27, 0.0021, 0)</f>
        <v>56.274899999999995</v>
      </c>
      <c r="L257" s="14"/>
    </row>
    <row r="258" spans="1:12" ht="15" x14ac:dyDescent="0.2">
      <c r="A258" s="13">
        <v>48761</v>
      </c>
      <c r="B258" s="14">
        <f>57.7974 * CHOOSE(CONTROL!$C$9, $D$9, 100%, $F$9) + CHOOSE(CONTROL!$C$27, 0.0021, 0)</f>
        <v>57.799500000000002</v>
      </c>
      <c r="C258" s="14">
        <f>57.3652 * CHOOSE(CONTROL!$C$9, $D$9, 100%, $F$9) + CHOOSE(CONTROL!$C$27, 0.0021, 0)</f>
        <v>57.3673</v>
      </c>
      <c r="D258" s="14">
        <f>57.3652 * CHOOSE(CONTROL!$C$9, $D$9, 100%, $F$9) + CHOOSE(CONTROL!$C$27, 0.0021, 0)</f>
        <v>57.3673</v>
      </c>
      <c r="E258" s="14">
        <f>57.2285 * CHOOSE(CONTROL!$C$9, $D$9, 100%, $F$9) + CHOOSE(CONTROL!$C$27, 0.0021, 0)</f>
        <v>57.230599999999995</v>
      </c>
      <c r="F258" s="14">
        <f>57.2285 * CHOOSE(CONTROL!$C$9, $D$9, 100%, $F$9) + CHOOSE(CONTROL!$C$27, 0.0021, 0)</f>
        <v>57.230599999999995</v>
      </c>
      <c r="G258" s="14">
        <f>57.4999 * CHOOSE(CONTROL!$C$9, $D$9, 100%, $F$9) + CHOOSE(CONTROL!$C$27, 0.0021, 0)</f>
        <v>57.501999999999995</v>
      </c>
      <c r="H258" s="14">
        <f>57.3652 * CHOOSE(CONTROL!$C$9, $D$9, 100%, $F$9) + CHOOSE(CONTROL!$C$27, 0.0021, 0)</f>
        <v>57.3673</v>
      </c>
      <c r="I258" s="14">
        <f>57.3652 * CHOOSE(CONTROL!$C$9, $D$9, 100%, $F$9) + CHOOSE(CONTROL!$C$27, 0.0021, 0)</f>
        <v>57.3673</v>
      </c>
      <c r="J258" s="14">
        <f>57.3652 * CHOOSE(CONTROL!$C$9, $D$9, 100%, $F$9) + CHOOSE(CONTROL!$C$27, 0.0021, 0)</f>
        <v>57.3673</v>
      </c>
      <c r="K258" s="14">
        <f>57.3652 * CHOOSE(CONTROL!$C$9, $D$9, 100%, $F$9) + CHOOSE(CONTROL!$C$27, 0.0021, 0)</f>
        <v>57.3673</v>
      </c>
      <c r="L258" s="14"/>
    </row>
    <row r="259" spans="1:12" ht="15" x14ac:dyDescent="0.2">
      <c r="A259" s="13">
        <v>48792</v>
      </c>
      <c r="B259" s="14">
        <f>58.1308 * CHOOSE(CONTROL!$C$9, $D$9, 100%, $F$9) + CHOOSE(CONTROL!$C$27, 0.0021, 0)</f>
        <v>58.132899999999999</v>
      </c>
      <c r="C259" s="14">
        <f>57.6986 * CHOOSE(CONTROL!$C$9, $D$9, 100%, $F$9) + CHOOSE(CONTROL!$C$27, 0.0021, 0)</f>
        <v>57.700699999999998</v>
      </c>
      <c r="D259" s="14">
        <f>57.6986 * CHOOSE(CONTROL!$C$9, $D$9, 100%, $F$9) + CHOOSE(CONTROL!$C$27, 0.0021, 0)</f>
        <v>57.700699999999998</v>
      </c>
      <c r="E259" s="14">
        <f>57.5619 * CHOOSE(CONTROL!$C$9, $D$9, 100%, $F$9) + CHOOSE(CONTROL!$C$27, 0.0021, 0)</f>
        <v>57.564</v>
      </c>
      <c r="F259" s="14">
        <f>57.5619 * CHOOSE(CONTROL!$C$9, $D$9, 100%, $F$9) + CHOOSE(CONTROL!$C$27, 0.0021, 0)</f>
        <v>57.564</v>
      </c>
      <c r="G259" s="14">
        <f>57.8333 * CHOOSE(CONTROL!$C$9, $D$9, 100%, $F$9) + CHOOSE(CONTROL!$C$27, 0.0021, 0)</f>
        <v>57.8354</v>
      </c>
      <c r="H259" s="14">
        <f>57.6986 * CHOOSE(CONTROL!$C$9, $D$9, 100%, $F$9) + CHOOSE(CONTROL!$C$27, 0.0021, 0)</f>
        <v>57.700699999999998</v>
      </c>
      <c r="I259" s="14">
        <f>57.6986 * CHOOSE(CONTROL!$C$9, $D$9, 100%, $F$9) + CHOOSE(CONTROL!$C$27, 0.0021, 0)</f>
        <v>57.700699999999998</v>
      </c>
      <c r="J259" s="14">
        <f>57.6986 * CHOOSE(CONTROL!$C$9, $D$9, 100%, $F$9) + CHOOSE(CONTROL!$C$27, 0.0021, 0)</f>
        <v>57.700699999999998</v>
      </c>
      <c r="K259" s="14">
        <f>57.6986 * CHOOSE(CONTROL!$C$9, $D$9, 100%, $F$9) + CHOOSE(CONTROL!$C$27, 0.0021, 0)</f>
        <v>57.700699999999998</v>
      </c>
      <c r="L259" s="14"/>
    </row>
    <row r="260" spans="1:12" ht="15" x14ac:dyDescent="0.2">
      <c r="A260" s="13">
        <v>48823</v>
      </c>
      <c r="B260" s="14">
        <f>59.2663 * CHOOSE(CONTROL!$C$9, $D$9, 100%, $F$9) + CHOOSE(CONTROL!$C$27, 0.0021, 0)</f>
        <v>59.2684</v>
      </c>
      <c r="C260" s="14">
        <f>58.8341 * CHOOSE(CONTROL!$C$9, $D$9, 100%, $F$9) + CHOOSE(CONTROL!$C$27, 0.0021, 0)</f>
        <v>58.836199999999998</v>
      </c>
      <c r="D260" s="14">
        <f>58.8341 * CHOOSE(CONTROL!$C$9, $D$9, 100%, $F$9) + CHOOSE(CONTROL!$C$27, 0.0021, 0)</f>
        <v>58.836199999999998</v>
      </c>
      <c r="E260" s="14">
        <f>58.6974 * CHOOSE(CONTROL!$C$9, $D$9, 100%, $F$9) + CHOOSE(CONTROL!$C$27, 0.0021, 0)</f>
        <v>58.6995</v>
      </c>
      <c r="F260" s="14">
        <f>58.6974 * CHOOSE(CONTROL!$C$9, $D$9, 100%, $F$9) + CHOOSE(CONTROL!$C$27, 0.0021, 0)</f>
        <v>58.6995</v>
      </c>
      <c r="G260" s="14">
        <f>58.9688 * CHOOSE(CONTROL!$C$9, $D$9, 100%, $F$9) + CHOOSE(CONTROL!$C$27, 0.0021, 0)</f>
        <v>58.9709</v>
      </c>
      <c r="H260" s="14">
        <f>58.8341 * CHOOSE(CONTROL!$C$9, $D$9, 100%, $F$9) + CHOOSE(CONTROL!$C$27, 0.0021, 0)</f>
        <v>58.836199999999998</v>
      </c>
      <c r="I260" s="14">
        <f>58.8341 * CHOOSE(CONTROL!$C$9, $D$9, 100%, $F$9) + CHOOSE(CONTROL!$C$27, 0.0021, 0)</f>
        <v>58.836199999999998</v>
      </c>
      <c r="J260" s="14">
        <f>58.8341 * CHOOSE(CONTROL!$C$9, $D$9, 100%, $F$9) + CHOOSE(CONTROL!$C$27, 0.0021, 0)</f>
        <v>58.836199999999998</v>
      </c>
      <c r="K260" s="14">
        <f>58.8341 * CHOOSE(CONTROL!$C$9, $D$9, 100%, $F$9) + CHOOSE(CONTROL!$C$27, 0.0021, 0)</f>
        <v>58.836199999999998</v>
      </c>
      <c r="L260" s="14"/>
    </row>
    <row r="261" spans="1:12" ht="15" x14ac:dyDescent="0.2">
      <c r="A261" s="13">
        <v>48853</v>
      </c>
      <c r="B261" s="14">
        <f>60.7036 * CHOOSE(CONTROL!$C$9, $D$9, 100%, $F$9) + CHOOSE(CONTROL!$C$27, 0.0021, 0)</f>
        <v>60.7057</v>
      </c>
      <c r="C261" s="14">
        <f>60.2714 * CHOOSE(CONTROL!$C$9, $D$9, 100%, $F$9) + CHOOSE(CONTROL!$C$27, 0.0021, 0)</f>
        <v>60.273499999999999</v>
      </c>
      <c r="D261" s="14">
        <f>60.2714 * CHOOSE(CONTROL!$C$9, $D$9, 100%, $F$9) + CHOOSE(CONTROL!$C$27, 0.0021, 0)</f>
        <v>60.273499999999999</v>
      </c>
      <c r="E261" s="14">
        <f>60.1347 * CHOOSE(CONTROL!$C$9, $D$9, 100%, $F$9) + CHOOSE(CONTROL!$C$27, 0.0021, 0)</f>
        <v>60.136800000000001</v>
      </c>
      <c r="F261" s="14">
        <f>60.1347 * CHOOSE(CONTROL!$C$9, $D$9, 100%, $F$9) + CHOOSE(CONTROL!$C$27, 0.0021, 0)</f>
        <v>60.136800000000001</v>
      </c>
      <c r="G261" s="14">
        <f>60.4061 * CHOOSE(CONTROL!$C$9, $D$9, 100%, $F$9) + CHOOSE(CONTROL!$C$27, 0.0021, 0)</f>
        <v>60.408200000000001</v>
      </c>
      <c r="H261" s="14">
        <f>60.2714 * CHOOSE(CONTROL!$C$9, $D$9, 100%, $F$9) + CHOOSE(CONTROL!$C$27, 0.0021, 0)</f>
        <v>60.273499999999999</v>
      </c>
      <c r="I261" s="14">
        <f>60.2714 * CHOOSE(CONTROL!$C$9, $D$9, 100%, $F$9) + CHOOSE(CONTROL!$C$27, 0.0021, 0)</f>
        <v>60.273499999999999</v>
      </c>
      <c r="J261" s="14">
        <f>60.2714 * CHOOSE(CONTROL!$C$9, $D$9, 100%, $F$9) + CHOOSE(CONTROL!$C$27, 0.0021, 0)</f>
        <v>60.273499999999999</v>
      </c>
      <c r="K261" s="14">
        <f>60.2714 * CHOOSE(CONTROL!$C$9, $D$9, 100%, $F$9) + CHOOSE(CONTROL!$C$27, 0.0021, 0)</f>
        <v>60.273499999999999</v>
      </c>
      <c r="L261" s="14"/>
    </row>
    <row r="262" spans="1:12" ht="15" x14ac:dyDescent="0.2">
      <c r="A262" s="13">
        <v>48884</v>
      </c>
      <c r="B262" s="14">
        <f>60.8386 * CHOOSE(CONTROL!$C$9, $D$9, 100%, $F$9) + CHOOSE(CONTROL!$C$27, 0.0021, 0)</f>
        <v>60.840699999999998</v>
      </c>
      <c r="C262" s="14">
        <f>60.4063 * CHOOSE(CONTROL!$C$9, $D$9, 100%, $F$9) + CHOOSE(CONTROL!$C$27, 0.0021, 0)</f>
        <v>60.4084</v>
      </c>
      <c r="D262" s="14">
        <f>60.4063 * CHOOSE(CONTROL!$C$9, $D$9, 100%, $F$9) + CHOOSE(CONTROL!$C$27, 0.0021, 0)</f>
        <v>60.4084</v>
      </c>
      <c r="E262" s="14">
        <f>60.2697 * CHOOSE(CONTROL!$C$9, $D$9, 100%, $F$9) + CHOOSE(CONTROL!$C$27, 0.0021, 0)</f>
        <v>60.271799999999999</v>
      </c>
      <c r="F262" s="14">
        <f>60.2697 * CHOOSE(CONTROL!$C$9, $D$9, 100%, $F$9) + CHOOSE(CONTROL!$C$27, 0.0021, 0)</f>
        <v>60.271799999999999</v>
      </c>
      <c r="G262" s="14">
        <f>60.541 * CHOOSE(CONTROL!$C$9, $D$9, 100%, $F$9) + CHOOSE(CONTROL!$C$27, 0.0021, 0)</f>
        <v>60.543099999999995</v>
      </c>
      <c r="H262" s="14">
        <f>60.4063 * CHOOSE(CONTROL!$C$9, $D$9, 100%, $F$9) + CHOOSE(CONTROL!$C$27, 0.0021, 0)</f>
        <v>60.4084</v>
      </c>
      <c r="I262" s="14">
        <f>60.4063 * CHOOSE(CONTROL!$C$9, $D$9, 100%, $F$9) + CHOOSE(CONTROL!$C$27, 0.0021, 0)</f>
        <v>60.4084</v>
      </c>
      <c r="J262" s="14">
        <f>60.4063 * CHOOSE(CONTROL!$C$9, $D$9, 100%, $F$9) + CHOOSE(CONTROL!$C$27, 0.0021, 0)</f>
        <v>60.4084</v>
      </c>
      <c r="K262" s="14">
        <f>60.4063 * CHOOSE(CONTROL!$C$9, $D$9, 100%, $F$9) + CHOOSE(CONTROL!$C$27, 0.0021, 0)</f>
        <v>60.4084</v>
      </c>
      <c r="L262" s="14"/>
    </row>
    <row r="263" spans="1:12" ht="15" x14ac:dyDescent="0.2">
      <c r="A263" s="13">
        <v>48914</v>
      </c>
      <c r="B263" s="14">
        <f>59.6906 * CHOOSE(CONTROL!$C$9, $D$9, 100%, $F$9) + CHOOSE(CONTROL!$C$27, 0.0021, 0)</f>
        <v>59.692700000000002</v>
      </c>
      <c r="C263" s="14">
        <f>59.2584 * CHOOSE(CONTROL!$C$9, $D$9, 100%, $F$9) + CHOOSE(CONTROL!$C$27, 0.0021, 0)</f>
        <v>59.2605</v>
      </c>
      <c r="D263" s="14">
        <f>59.2584 * CHOOSE(CONTROL!$C$9, $D$9, 100%, $F$9) + CHOOSE(CONTROL!$C$27, 0.0021, 0)</f>
        <v>59.2605</v>
      </c>
      <c r="E263" s="14">
        <f>59.1217 * CHOOSE(CONTROL!$C$9, $D$9, 100%, $F$9) + CHOOSE(CONTROL!$C$27, 0.0021, 0)</f>
        <v>59.123799999999996</v>
      </c>
      <c r="F263" s="14">
        <f>59.1217 * CHOOSE(CONTROL!$C$9, $D$9, 100%, $F$9) + CHOOSE(CONTROL!$C$27, 0.0021, 0)</f>
        <v>59.123799999999996</v>
      </c>
      <c r="G263" s="14">
        <f>59.3931 * CHOOSE(CONTROL!$C$9, $D$9, 100%, $F$9) + CHOOSE(CONTROL!$C$27, 0.0021, 0)</f>
        <v>59.395199999999996</v>
      </c>
      <c r="H263" s="14">
        <f>59.2584 * CHOOSE(CONTROL!$C$9, $D$9, 100%, $F$9) + CHOOSE(CONTROL!$C$27, 0.0021, 0)</f>
        <v>59.2605</v>
      </c>
      <c r="I263" s="14">
        <f>59.2584 * CHOOSE(CONTROL!$C$9, $D$9, 100%, $F$9) + CHOOSE(CONTROL!$C$27, 0.0021, 0)</f>
        <v>59.2605</v>
      </c>
      <c r="J263" s="14">
        <f>59.2584 * CHOOSE(CONTROL!$C$9, $D$9, 100%, $F$9) + CHOOSE(CONTROL!$C$27, 0.0021, 0)</f>
        <v>59.2605</v>
      </c>
      <c r="K263" s="14">
        <f>59.2584 * CHOOSE(CONTROL!$C$9, $D$9, 100%, $F$9) + CHOOSE(CONTROL!$C$27, 0.0021, 0)</f>
        <v>59.2605</v>
      </c>
      <c r="L263" s="14"/>
    </row>
    <row r="264" spans="1:12" ht="15" x14ac:dyDescent="0.2">
      <c r="A264" s="13">
        <v>48945</v>
      </c>
      <c r="B264" s="14">
        <f>58.965 * CHOOSE(CONTROL!$C$9, $D$9, 100%, $F$9) + CHOOSE(CONTROL!$C$27, 0.0021, 0)</f>
        <v>58.967100000000002</v>
      </c>
      <c r="C264" s="14">
        <f>58.5328 * CHOOSE(CONTROL!$C$9, $D$9, 100%, $F$9) + CHOOSE(CONTROL!$C$27, 0.0021, 0)</f>
        <v>58.5349</v>
      </c>
      <c r="D264" s="14">
        <f>58.5328 * CHOOSE(CONTROL!$C$9, $D$9, 100%, $F$9) + CHOOSE(CONTROL!$C$27, 0.0021, 0)</f>
        <v>58.5349</v>
      </c>
      <c r="E264" s="14">
        <f>58.3961 * CHOOSE(CONTROL!$C$9, $D$9, 100%, $F$9) + CHOOSE(CONTROL!$C$27, 0.0021, 0)</f>
        <v>58.398199999999996</v>
      </c>
      <c r="F264" s="14">
        <f>58.3961 * CHOOSE(CONTROL!$C$9, $D$9, 100%, $F$9) + CHOOSE(CONTROL!$C$27, 0.0021, 0)</f>
        <v>58.398199999999996</v>
      </c>
      <c r="G264" s="14">
        <f>58.6675 * CHOOSE(CONTROL!$C$9, $D$9, 100%, $F$9) + CHOOSE(CONTROL!$C$27, 0.0021, 0)</f>
        <v>58.669599999999996</v>
      </c>
      <c r="H264" s="14">
        <f>58.5328 * CHOOSE(CONTROL!$C$9, $D$9, 100%, $F$9) + CHOOSE(CONTROL!$C$27, 0.0021, 0)</f>
        <v>58.5349</v>
      </c>
      <c r="I264" s="14">
        <f>58.5328 * CHOOSE(CONTROL!$C$9, $D$9, 100%, $F$9) + CHOOSE(CONTROL!$C$27, 0.0021, 0)</f>
        <v>58.5349</v>
      </c>
      <c r="J264" s="14">
        <f>58.5328 * CHOOSE(CONTROL!$C$9, $D$9, 100%, $F$9) + CHOOSE(CONTROL!$C$27, 0.0021, 0)</f>
        <v>58.5349</v>
      </c>
      <c r="K264" s="14">
        <f>58.5328 * CHOOSE(CONTROL!$C$9, $D$9, 100%, $F$9) + CHOOSE(CONTROL!$C$27, 0.0021, 0)</f>
        <v>58.5349</v>
      </c>
      <c r="L264" s="14"/>
    </row>
    <row r="265" spans="1:12" ht="15" x14ac:dyDescent="0.2">
      <c r="A265" s="13">
        <v>48976</v>
      </c>
      <c r="B265" s="14">
        <f>57.362 * CHOOSE(CONTROL!$C$9, $D$9, 100%, $F$9) + CHOOSE(CONTROL!$C$27, 0.0021, 0)</f>
        <v>57.364100000000001</v>
      </c>
      <c r="C265" s="14">
        <f>56.9298 * CHOOSE(CONTROL!$C$9, $D$9, 100%, $F$9) + CHOOSE(CONTROL!$C$27, 0.0021, 0)</f>
        <v>56.931899999999999</v>
      </c>
      <c r="D265" s="14">
        <f>56.9298 * CHOOSE(CONTROL!$C$9, $D$9, 100%, $F$9) + CHOOSE(CONTROL!$C$27, 0.0021, 0)</f>
        <v>56.931899999999999</v>
      </c>
      <c r="E265" s="14">
        <f>56.7931 * CHOOSE(CONTROL!$C$9, $D$9, 100%, $F$9) + CHOOSE(CONTROL!$C$27, 0.0021, 0)</f>
        <v>56.795200000000001</v>
      </c>
      <c r="F265" s="14">
        <f>56.7931 * CHOOSE(CONTROL!$C$9, $D$9, 100%, $F$9) + CHOOSE(CONTROL!$C$27, 0.0021, 0)</f>
        <v>56.795200000000001</v>
      </c>
      <c r="G265" s="14">
        <f>57.0645 * CHOOSE(CONTROL!$C$9, $D$9, 100%, $F$9) + CHOOSE(CONTROL!$C$27, 0.0021, 0)</f>
        <v>57.066600000000001</v>
      </c>
      <c r="H265" s="14">
        <f>56.9298 * CHOOSE(CONTROL!$C$9, $D$9, 100%, $F$9) + CHOOSE(CONTROL!$C$27, 0.0021, 0)</f>
        <v>56.931899999999999</v>
      </c>
      <c r="I265" s="14">
        <f>56.9298 * CHOOSE(CONTROL!$C$9, $D$9, 100%, $F$9) + CHOOSE(CONTROL!$C$27, 0.0021, 0)</f>
        <v>56.931899999999999</v>
      </c>
      <c r="J265" s="14">
        <f>56.9298 * CHOOSE(CONTROL!$C$9, $D$9, 100%, $F$9) + CHOOSE(CONTROL!$C$27, 0.0021, 0)</f>
        <v>56.931899999999999</v>
      </c>
      <c r="K265" s="14">
        <f>56.9298 * CHOOSE(CONTROL!$C$9, $D$9, 100%, $F$9) + CHOOSE(CONTROL!$C$27, 0.0021, 0)</f>
        <v>56.931899999999999</v>
      </c>
      <c r="L265" s="14"/>
    </row>
    <row r="266" spans="1:12" ht="15" x14ac:dyDescent="0.2">
      <c r="A266" s="13">
        <v>49004</v>
      </c>
      <c r="B266" s="14">
        <f>56.7003 * CHOOSE(CONTROL!$C$9, $D$9, 100%, $F$9) + CHOOSE(CONTROL!$C$27, 0.0021, 0)</f>
        <v>56.702399999999997</v>
      </c>
      <c r="C266" s="14">
        <f>56.2681 * CHOOSE(CONTROL!$C$9, $D$9, 100%, $F$9) + CHOOSE(CONTROL!$C$27, 0.0021, 0)</f>
        <v>56.270199999999996</v>
      </c>
      <c r="D266" s="14">
        <f>56.2681 * CHOOSE(CONTROL!$C$9, $D$9, 100%, $F$9) + CHOOSE(CONTROL!$C$27, 0.0021, 0)</f>
        <v>56.270199999999996</v>
      </c>
      <c r="E266" s="14">
        <f>56.1314 * CHOOSE(CONTROL!$C$9, $D$9, 100%, $F$9) + CHOOSE(CONTROL!$C$27, 0.0021, 0)</f>
        <v>56.133499999999998</v>
      </c>
      <c r="F266" s="14">
        <f>56.1314 * CHOOSE(CONTROL!$C$9, $D$9, 100%, $F$9) + CHOOSE(CONTROL!$C$27, 0.0021, 0)</f>
        <v>56.133499999999998</v>
      </c>
      <c r="G266" s="14">
        <f>56.4028 * CHOOSE(CONTROL!$C$9, $D$9, 100%, $F$9) + CHOOSE(CONTROL!$C$27, 0.0021, 0)</f>
        <v>56.404899999999998</v>
      </c>
      <c r="H266" s="14">
        <f>56.2681 * CHOOSE(CONTROL!$C$9, $D$9, 100%, $F$9) + CHOOSE(CONTROL!$C$27, 0.0021, 0)</f>
        <v>56.270199999999996</v>
      </c>
      <c r="I266" s="14">
        <f>56.2681 * CHOOSE(CONTROL!$C$9, $D$9, 100%, $F$9) + CHOOSE(CONTROL!$C$27, 0.0021, 0)</f>
        <v>56.270199999999996</v>
      </c>
      <c r="J266" s="14">
        <f>56.2681 * CHOOSE(CONTROL!$C$9, $D$9, 100%, $F$9) + CHOOSE(CONTROL!$C$27, 0.0021, 0)</f>
        <v>56.270199999999996</v>
      </c>
      <c r="K266" s="14">
        <f>56.2681 * CHOOSE(CONTROL!$C$9, $D$9, 100%, $F$9) + CHOOSE(CONTROL!$C$27, 0.0021, 0)</f>
        <v>56.270199999999996</v>
      </c>
      <c r="L266" s="14"/>
    </row>
    <row r="267" spans="1:12" ht="15" x14ac:dyDescent="0.2">
      <c r="A267" s="13">
        <v>49035</v>
      </c>
      <c r="B267" s="14">
        <f>55.9102 * CHOOSE(CONTROL!$C$9, $D$9, 100%, $F$9) + CHOOSE(CONTROL!$C$27, 0.0021, 0)</f>
        <v>55.912300000000002</v>
      </c>
      <c r="C267" s="14">
        <f>55.478 * CHOOSE(CONTROL!$C$9, $D$9, 100%, $F$9) + CHOOSE(CONTROL!$C$27, 0.0021, 0)</f>
        <v>55.4801</v>
      </c>
      <c r="D267" s="14">
        <f>55.478 * CHOOSE(CONTROL!$C$9, $D$9, 100%, $F$9) + CHOOSE(CONTROL!$C$27, 0.0021, 0)</f>
        <v>55.4801</v>
      </c>
      <c r="E267" s="14">
        <f>55.3413 * CHOOSE(CONTROL!$C$9, $D$9, 100%, $F$9) + CHOOSE(CONTROL!$C$27, 0.0021, 0)</f>
        <v>55.343399999999995</v>
      </c>
      <c r="F267" s="14">
        <f>55.3413 * CHOOSE(CONTROL!$C$9, $D$9, 100%, $F$9) + CHOOSE(CONTROL!$C$27, 0.0021, 0)</f>
        <v>55.343399999999995</v>
      </c>
      <c r="G267" s="14">
        <f>55.6127 * CHOOSE(CONTROL!$C$9, $D$9, 100%, $F$9) + CHOOSE(CONTROL!$C$27, 0.0021, 0)</f>
        <v>55.614799999999995</v>
      </c>
      <c r="H267" s="14">
        <f>55.478 * CHOOSE(CONTROL!$C$9, $D$9, 100%, $F$9) + CHOOSE(CONTROL!$C$27, 0.0021, 0)</f>
        <v>55.4801</v>
      </c>
      <c r="I267" s="14">
        <f>55.478 * CHOOSE(CONTROL!$C$9, $D$9, 100%, $F$9) + CHOOSE(CONTROL!$C$27, 0.0021, 0)</f>
        <v>55.4801</v>
      </c>
      <c r="J267" s="14">
        <f>55.478 * CHOOSE(CONTROL!$C$9, $D$9, 100%, $F$9) + CHOOSE(CONTROL!$C$27, 0.0021, 0)</f>
        <v>55.4801</v>
      </c>
      <c r="K267" s="14">
        <f>55.478 * CHOOSE(CONTROL!$C$9, $D$9, 100%, $F$9) + CHOOSE(CONTROL!$C$27, 0.0021, 0)</f>
        <v>55.4801</v>
      </c>
      <c r="L267" s="14"/>
    </row>
    <row r="268" spans="1:12" ht="15" x14ac:dyDescent="0.2">
      <c r="A268" s="13">
        <v>49065</v>
      </c>
      <c r="B268" s="14">
        <f>57.0362 * CHOOSE(CONTROL!$C$9, $D$9, 100%, $F$9) + CHOOSE(CONTROL!$C$27, 0.0021, 0)</f>
        <v>57.0383</v>
      </c>
      <c r="C268" s="14">
        <f>56.604 * CHOOSE(CONTROL!$C$9, $D$9, 100%, $F$9) + CHOOSE(CONTROL!$C$27, 0.0021, 0)</f>
        <v>56.606099999999998</v>
      </c>
      <c r="D268" s="14">
        <f>56.604 * CHOOSE(CONTROL!$C$9, $D$9, 100%, $F$9) + CHOOSE(CONTROL!$C$27, 0.0021, 0)</f>
        <v>56.606099999999998</v>
      </c>
      <c r="E268" s="14">
        <f>56.4673 * CHOOSE(CONTROL!$C$9, $D$9, 100%, $F$9) + CHOOSE(CONTROL!$C$27, 0.0021, 0)</f>
        <v>56.4694</v>
      </c>
      <c r="F268" s="14">
        <f>56.4673 * CHOOSE(CONTROL!$C$9, $D$9, 100%, $F$9) + CHOOSE(CONTROL!$C$27, 0.0021, 0)</f>
        <v>56.4694</v>
      </c>
      <c r="G268" s="14">
        <f>56.7387 * CHOOSE(CONTROL!$C$9, $D$9, 100%, $F$9) + CHOOSE(CONTROL!$C$27, 0.0021, 0)</f>
        <v>56.7408</v>
      </c>
      <c r="H268" s="14">
        <f>56.604 * CHOOSE(CONTROL!$C$9, $D$9, 100%, $F$9) + CHOOSE(CONTROL!$C$27, 0.0021, 0)</f>
        <v>56.606099999999998</v>
      </c>
      <c r="I268" s="14">
        <f>56.604 * CHOOSE(CONTROL!$C$9, $D$9, 100%, $F$9) + CHOOSE(CONTROL!$C$27, 0.0021, 0)</f>
        <v>56.606099999999998</v>
      </c>
      <c r="J268" s="14">
        <f>56.604 * CHOOSE(CONTROL!$C$9, $D$9, 100%, $F$9) + CHOOSE(CONTROL!$C$27, 0.0021, 0)</f>
        <v>56.606099999999998</v>
      </c>
      <c r="K268" s="14">
        <f>56.604 * CHOOSE(CONTROL!$C$9, $D$9, 100%, $F$9) + CHOOSE(CONTROL!$C$27, 0.0021, 0)</f>
        <v>56.606099999999998</v>
      </c>
      <c r="L268" s="14"/>
    </row>
    <row r="269" spans="1:12" ht="15" x14ac:dyDescent="0.2">
      <c r="A269" s="13">
        <v>49096</v>
      </c>
      <c r="B269" s="14">
        <f>57.7106 * CHOOSE(CONTROL!$C$9, $D$9, 100%, $F$9) + CHOOSE(CONTROL!$C$27, 0.0021, 0)</f>
        <v>57.712699999999998</v>
      </c>
      <c r="C269" s="14">
        <f>57.2784 * CHOOSE(CONTROL!$C$9, $D$9, 100%, $F$9) + CHOOSE(CONTROL!$C$27, 0.0021, 0)</f>
        <v>57.280499999999996</v>
      </c>
      <c r="D269" s="14">
        <f>57.2784 * CHOOSE(CONTROL!$C$9, $D$9, 100%, $F$9) + CHOOSE(CONTROL!$C$27, 0.0021, 0)</f>
        <v>57.280499999999996</v>
      </c>
      <c r="E269" s="14">
        <f>57.1417 * CHOOSE(CONTROL!$C$9, $D$9, 100%, $F$9) + CHOOSE(CONTROL!$C$27, 0.0021, 0)</f>
        <v>57.143799999999999</v>
      </c>
      <c r="F269" s="14">
        <f>57.1417 * CHOOSE(CONTROL!$C$9, $D$9, 100%, $F$9) + CHOOSE(CONTROL!$C$27, 0.0021, 0)</f>
        <v>57.143799999999999</v>
      </c>
      <c r="G269" s="14">
        <f>57.4131 * CHOOSE(CONTROL!$C$9, $D$9, 100%, $F$9) + CHOOSE(CONTROL!$C$27, 0.0021, 0)</f>
        <v>57.415199999999999</v>
      </c>
      <c r="H269" s="14">
        <f>57.2784 * CHOOSE(CONTROL!$C$9, $D$9, 100%, $F$9) + CHOOSE(CONTROL!$C$27, 0.0021, 0)</f>
        <v>57.280499999999996</v>
      </c>
      <c r="I269" s="14">
        <f>57.2784 * CHOOSE(CONTROL!$C$9, $D$9, 100%, $F$9) + CHOOSE(CONTROL!$C$27, 0.0021, 0)</f>
        <v>57.280499999999996</v>
      </c>
      <c r="J269" s="14">
        <f>57.2784 * CHOOSE(CONTROL!$C$9, $D$9, 100%, $F$9) + CHOOSE(CONTROL!$C$27, 0.0021, 0)</f>
        <v>57.280499999999996</v>
      </c>
      <c r="K269" s="14">
        <f>57.2784 * CHOOSE(CONTROL!$C$9, $D$9, 100%, $F$9) + CHOOSE(CONTROL!$C$27, 0.0021, 0)</f>
        <v>57.280499999999996</v>
      </c>
      <c r="L269" s="14"/>
    </row>
    <row r="270" spans="1:12" ht="15" x14ac:dyDescent="0.2">
      <c r="A270" s="13">
        <v>49126</v>
      </c>
      <c r="B270" s="14">
        <f>58.8232 * CHOOSE(CONTROL!$C$9, $D$9, 100%, $F$9) + CHOOSE(CONTROL!$C$27, 0.0021, 0)</f>
        <v>58.825299999999999</v>
      </c>
      <c r="C270" s="14">
        <f>58.3909 * CHOOSE(CONTROL!$C$9, $D$9, 100%, $F$9) + CHOOSE(CONTROL!$C$27, 0.0021, 0)</f>
        <v>58.393000000000001</v>
      </c>
      <c r="D270" s="14">
        <f>58.3909 * CHOOSE(CONTROL!$C$9, $D$9, 100%, $F$9) + CHOOSE(CONTROL!$C$27, 0.0021, 0)</f>
        <v>58.393000000000001</v>
      </c>
      <c r="E270" s="14">
        <f>58.2543 * CHOOSE(CONTROL!$C$9, $D$9, 100%, $F$9) + CHOOSE(CONTROL!$C$27, 0.0021, 0)</f>
        <v>58.256399999999999</v>
      </c>
      <c r="F270" s="14">
        <f>58.2543 * CHOOSE(CONTROL!$C$9, $D$9, 100%, $F$9) + CHOOSE(CONTROL!$C$27, 0.0021, 0)</f>
        <v>58.256399999999999</v>
      </c>
      <c r="G270" s="14">
        <f>58.5257 * CHOOSE(CONTROL!$C$9, $D$9, 100%, $F$9) + CHOOSE(CONTROL!$C$27, 0.0021, 0)</f>
        <v>58.527799999999999</v>
      </c>
      <c r="H270" s="14">
        <f>58.3909 * CHOOSE(CONTROL!$C$9, $D$9, 100%, $F$9) + CHOOSE(CONTROL!$C$27, 0.0021, 0)</f>
        <v>58.393000000000001</v>
      </c>
      <c r="I270" s="14">
        <f>58.3909 * CHOOSE(CONTROL!$C$9, $D$9, 100%, $F$9) + CHOOSE(CONTROL!$C$27, 0.0021, 0)</f>
        <v>58.393000000000001</v>
      </c>
      <c r="J270" s="14">
        <f>58.3909 * CHOOSE(CONTROL!$C$9, $D$9, 100%, $F$9) + CHOOSE(CONTROL!$C$27, 0.0021, 0)</f>
        <v>58.393000000000001</v>
      </c>
      <c r="K270" s="14">
        <f>58.3909 * CHOOSE(CONTROL!$C$9, $D$9, 100%, $F$9) + CHOOSE(CONTROL!$C$27, 0.0021, 0)</f>
        <v>58.393000000000001</v>
      </c>
      <c r="L270" s="14"/>
    </row>
    <row r="271" spans="1:12" ht="15" x14ac:dyDescent="0.2">
      <c r="A271" s="13">
        <v>49157</v>
      </c>
      <c r="B271" s="14">
        <f>59.1628 * CHOOSE(CONTROL!$C$9, $D$9, 100%, $F$9) + CHOOSE(CONTROL!$C$27, 0.0021, 0)</f>
        <v>59.164899999999996</v>
      </c>
      <c r="C271" s="14">
        <f>58.7305 * CHOOSE(CONTROL!$C$9, $D$9, 100%, $F$9) + CHOOSE(CONTROL!$C$27, 0.0021, 0)</f>
        <v>58.732599999999998</v>
      </c>
      <c r="D271" s="14">
        <f>58.7305 * CHOOSE(CONTROL!$C$9, $D$9, 100%, $F$9) + CHOOSE(CONTROL!$C$27, 0.0021, 0)</f>
        <v>58.732599999999998</v>
      </c>
      <c r="E271" s="14">
        <f>58.5939 * CHOOSE(CONTROL!$C$9, $D$9, 100%, $F$9) + CHOOSE(CONTROL!$C$27, 0.0021, 0)</f>
        <v>58.595999999999997</v>
      </c>
      <c r="F271" s="14">
        <f>58.5939 * CHOOSE(CONTROL!$C$9, $D$9, 100%, $F$9) + CHOOSE(CONTROL!$C$27, 0.0021, 0)</f>
        <v>58.595999999999997</v>
      </c>
      <c r="G271" s="14">
        <f>58.8652 * CHOOSE(CONTROL!$C$9, $D$9, 100%, $F$9) + CHOOSE(CONTROL!$C$27, 0.0021, 0)</f>
        <v>58.8673</v>
      </c>
      <c r="H271" s="14">
        <f>58.7305 * CHOOSE(CONTROL!$C$9, $D$9, 100%, $F$9) + CHOOSE(CONTROL!$C$27, 0.0021, 0)</f>
        <v>58.732599999999998</v>
      </c>
      <c r="I271" s="14">
        <f>58.7305 * CHOOSE(CONTROL!$C$9, $D$9, 100%, $F$9) + CHOOSE(CONTROL!$C$27, 0.0021, 0)</f>
        <v>58.732599999999998</v>
      </c>
      <c r="J271" s="14">
        <f>58.7305 * CHOOSE(CONTROL!$C$9, $D$9, 100%, $F$9) + CHOOSE(CONTROL!$C$27, 0.0021, 0)</f>
        <v>58.732599999999998</v>
      </c>
      <c r="K271" s="14">
        <f>58.7305 * CHOOSE(CONTROL!$C$9, $D$9, 100%, $F$9) + CHOOSE(CONTROL!$C$27, 0.0021, 0)</f>
        <v>58.732599999999998</v>
      </c>
      <c r="L271" s="14"/>
    </row>
    <row r="272" spans="1:12" ht="15" x14ac:dyDescent="0.2">
      <c r="A272" s="13">
        <v>49188</v>
      </c>
      <c r="B272" s="14">
        <f>60.3192 * CHOOSE(CONTROL!$C$9, $D$9, 100%, $F$9) + CHOOSE(CONTROL!$C$27, 0.0021, 0)</f>
        <v>60.321300000000001</v>
      </c>
      <c r="C272" s="14">
        <f>59.887 * CHOOSE(CONTROL!$C$9, $D$9, 100%, $F$9) + CHOOSE(CONTROL!$C$27, 0.0021, 0)</f>
        <v>59.889099999999999</v>
      </c>
      <c r="D272" s="14">
        <f>59.887 * CHOOSE(CONTROL!$C$9, $D$9, 100%, $F$9) + CHOOSE(CONTROL!$C$27, 0.0021, 0)</f>
        <v>59.889099999999999</v>
      </c>
      <c r="E272" s="14">
        <f>59.7503 * CHOOSE(CONTROL!$C$9, $D$9, 100%, $F$9) + CHOOSE(CONTROL!$C$27, 0.0021, 0)</f>
        <v>59.752400000000002</v>
      </c>
      <c r="F272" s="14">
        <f>59.7503 * CHOOSE(CONTROL!$C$9, $D$9, 100%, $F$9) + CHOOSE(CONTROL!$C$27, 0.0021, 0)</f>
        <v>59.752400000000002</v>
      </c>
      <c r="G272" s="14">
        <f>60.0217 * CHOOSE(CONTROL!$C$9, $D$9, 100%, $F$9) + CHOOSE(CONTROL!$C$27, 0.0021, 0)</f>
        <v>60.023800000000001</v>
      </c>
      <c r="H272" s="14">
        <f>59.887 * CHOOSE(CONTROL!$C$9, $D$9, 100%, $F$9) + CHOOSE(CONTROL!$C$27, 0.0021, 0)</f>
        <v>59.889099999999999</v>
      </c>
      <c r="I272" s="14">
        <f>59.887 * CHOOSE(CONTROL!$C$9, $D$9, 100%, $F$9) + CHOOSE(CONTROL!$C$27, 0.0021, 0)</f>
        <v>59.889099999999999</v>
      </c>
      <c r="J272" s="14">
        <f>59.887 * CHOOSE(CONTROL!$C$9, $D$9, 100%, $F$9) + CHOOSE(CONTROL!$C$27, 0.0021, 0)</f>
        <v>59.889099999999999</v>
      </c>
      <c r="K272" s="14">
        <f>59.887 * CHOOSE(CONTROL!$C$9, $D$9, 100%, $F$9) + CHOOSE(CONTROL!$C$27, 0.0021, 0)</f>
        <v>59.889099999999999</v>
      </c>
      <c r="L272" s="14"/>
    </row>
    <row r="273" spans="1:12" ht="15" x14ac:dyDescent="0.2">
      <c r="A273" s="13">
        <v>49218</v>
      </c>
      <c r="B273" s="14">
        <f>61.7831 * CHOOSE(CONTROL!$C$9, $D$9, 100%, $F$9) + CHOOSE(CONTROL!$C$27, 0.0021, 0)</f>
        <v>61.785199999999996</v>
      </c>
      <c r="C273" s="14">
        <f>61.3509 * CHOOSE(CONTROL!$C$9, $D$9, 100%, $F$9) + CHOOSE(CONTROL!$C$27, 0.0021, 0)</f>
        <v>61.353000000000002</v>
      </c>
      <c r="D273" s="14">
        <f>61.3509 * CHOOSE(CONTROL!$C$9, $D$9, 100%, $F$9) + CHOOSE(CONTROL!$C$27, 0.0021, 0)</f>
        <v>61.353000000000002</v>
      </c>
      <c r="E273" s="14">
        <f>61.2142 * CHOOSE(CONTROL!$C$9, $D$9, 100%, $F$9) + CHOOSE(CONTROL!$C$27, 0.0021, 0)</f>
        <v>61.216299999999997</v>
      </c>
      <c r="F273" s="14">
        <f>61.2142 * CHOOSE(CONTROL!$C$9, $D$9, 100%, $F$9) + CHOOSE(CONTROL!$C$27, 0.0021, 0)</f>
        <v>61.216299999999997</v>
      </c>
      <c r="G273" s="14">
        <f>61.4856 * CHOOSE(CONTROL!$C$9, $D$9, 100%, $F$9) + CHOOSE(CONTROL!$C$27, 0.0021, 0)</f>
        <v>61.487699999999997</v>
      </c>
      <c r="H273" s="14">
        <f>61.3509 * CHOOSE(CONTROL!$C$9, $D$9, 100%, $F$9) + CHOOSE(CONTROL!$C$27, 0.0021, 0)</f>
        <v>61.353000000000002</v>
      </c>
      <c r="I273" s="14">
        <f>61.3509 * CHOOSE(CONTROL!$C$9, $D$9, 100%, $F$9) + CHOOSE(CONTROL!$C$27, 0.0021, 0)</f>
        <v>61.353000000000002</v>
      </c>
      <c r="J273" s="14">
        <f>61.3509 * CHOOSE(CONTROL!$C$9, $D$9, 100%, $F$9) + CHOOSE(CONTROL!$C$27, 0.0021, 0)</f>
        <v>61.353000000000002</v>
      </c>
      <c r="K273" s="14">
        <f>61.3509 * CHOOSE(CONTROL!$C$9, $D$9, 100%, $F$9) + CHOOSE(CONTROL!$C$27, 0.0021, 0)</f>
        <v>61.353000000000002</v>
      </c>
      <c r="L273" s="14"/>
    </row>
    <row r="274" spans="1:12" ht="15" x14ac:dyDescent="0.2">
      <c r="A274" s="13">
        <v>49249</v>
      </c>
      <c r="B274" s="14">
        <f>61.9205 * CHOOSE(CONTROL!$C$9, $D$9, 100%, $F$9) + CHOOSE(CONTROL!$C$27, 0.0021, 0)</f>
        <v>61.922599999999996</v>
      </c>
      <c r="C274" s="14">
        <f>61.4883 * CHOOSE(CONTROL!$C$9, $D$9, 100%, $F$9) + CHOOSE(CONTROL!$C$27, 0.0021, 0)</f>
        <v>61.490400000000001</v>
      </c>
      <c r="D274" s="14">
        <f>61.4883 * CHOOSE(CONTROL!$C$9, $D$9, 100%, $F$9) + CHOOSE(CONTROL!$C$27, 0.0021, 0)</f>
        <v>61.490400000000001</v>
      </c>
      <c r="E274" s="14">
        <f>61.3516 * CHOOSE(CONTROL!$C$9, $D$9, 100%, $F$9) + CHOOSE(CONTROL!$C$27, 0.0021, 0)</f>
        <v>61.353699999999996</v>
      </c>
      <c r="F274" s="14">
        <f>61.3516 * CHOOSE(CONTROL!$C$9, $D$9, 100%, $F$9) + CHOOSE(CONTROL!$C$27, 0.0021, 0)</f>
        <v>61.353699999999996</v>
      </c>
      <c r="G274" s="14">
        <f>61.623 * CHOOSE(CONTROL!$C$9, $D$9, 100%, $F$9) + CHOOSE(CONTROL!$C$27, 0.0021, 0)</f>
        <v>61.625099999999996</v>
      </c>
      <c r="H274" s="14">
        <f>61.4883 * CHOOSE(CONTROL!$C$9, $D$9, 100%, $F$9) + CHOOSE(CONTROL!$C$27, 0.0021, 0)</f>
        <v>61.490400000000001</v>
      </c>
      <c r="I274" s="14">
        <f>61.4883 * CHOOSE(CONTROL!$C$9, $D$9, 100%, $F$9) + CHOOSE(CONTROL!$C$27, 0.0021, 0)</f>
        <v>61.490400000000001</v>
      </c>
      <c r="J274" s="14">
        <f>61.4883 * CHOOSE(CONTROL!$C$9, $D$9, 100%, $F$9) + CHOOSE(CONTROL!$C$27, 0.0021, 0)</f>
        <v>61.490400000000001</v>
      </c>
      <c r="K274" s="14">
        <f>61.4883 * CHOOSE(CONTROL!$C$9, $D$9, 100%, $F$9) + CHOOSE(CONTROL!$C$27, 0.0021, 0)</f>
        <v>61.490400000000001</v>
      </c>
      <c r="L274" s="14"/>
    </row>
    <row r="275" spans="1:12" ht="15" x14ac:dyDescent="0.2">
      <c r="A275" s="13">
        <v>49279</v>
      </c>
      <c r="B275" s="14">
        <f>60.7514 * CHOOSE(CONTROL!$C$9, $D$9, 100%, $F$9) + CHOOSE(CONTROL!$C$27, 0.0021, 0)</f>
        <v>60.753499999999995</v>
      </c>
      <c r="C275" s="14">
        <f>60.3191 * CHOOSE(CONTROL!$C$9, $D$9, 100%, $F$9) + CHOOSE(CONTROL!$C$27, 0.0021, 0)</f>
        <v>60.321199999999997</v>
      </c>
      <c r="D275" s="14">
        <f>60.3191 * CHOOSE(CONTROL!$C$9, $D$9, 100%, $F$9) + CHOOSE(CONTROL!$C$27, 0.0021, 0)</f>
        <v>60.321199999999997</v>
      </c>
      <c r="E275" s="14">
        <f>60.1825 * CHOOSE(CONTROL!$C$9, $D$9, 100%, $F$9) + CHOOSE(CONTROL!$C$27, 0.0021, 0)</f>
        <v>60.184599999999996</v>
      </c>
      <c r="F275" s="14">
        <f>60.1825 * CHOOSE(CONTROL!$C$9, $D$9, 100%, $F$9) + CHOOSE(CONTROL!$C$27, 0.0021, 0)</f>
        <v>60.184599999999996</v>
      </c>
      <c r="G275" s="14">
        <f>60.4538 * CHOOSE(CONTROL!$C$9, $D$9, 100%, $F$9) + CHOOSE(CONTROL!$C$27, 0.0021, 0)</f>
        <v>60.4559</v>
      </c>
      <c r="H275" s="14">
        <f>60.3191 * CHOOSE(CONTROL!$C$9, $D$9, 100%, $F$9) + CHOOSE(CONTROL!$C$27, 0.0021, 0)</f>
        <v>60.321199999999997</v>
      </c>
      <c r="I275" s="14">
        <f>60.3191 * CHOOSE(CONTROL!$C$9, $D$9, 100%, $F$9) + CHOOSE(CONTROL!$C$27, 0.0021, 0)</f>
        <v>60.321199999999997</v>
      </c>
      <c r="J275" s="14">
        <f>60.3191 * CHOOSE(CONTROL!$C$9, $D$9, 100%, $F$9) + CHOOSE(CONTROL!$C$27, 0.0021, 0)</f>
        <v>60.321199999999997</v>
      </c>
      <c r="K275" s="14">
        <f>60.3191 * CHOOSE(CONTROL!$C$9, $D$9, 100%, $F$9) + CHOOSE(CONTROL!$C$27, 0.0021, 0)</f>
        <v>60.321199999999997</v>
      </c>
      <c r="L275" s="14"/>
    </row>
    <row r="276" spans="1:12" ht="15" x14ac:dyDescent="0.2">
      <c r="A276" s="13">
        <v>49310</v>
      </c>
      <c r="B276" s="14">
        <f>60.0124 * CHOOSE(CONTROL!$C$9, $D$9, 100%, $F$9) + CHOOSE(CONTROL!$C$27, 0.0021, 0)</f>
        <v>60.014499999999998</v>
      </c>
      <c r="C276" s="14">
        <f>59.5802 * CHOOSE(CONTROL!$C$9, $D$9, 100%, $F$9) + CHOOSE(CONTROL!$C$27, 0.0021, 0)</f>
        <v>59.582299999999996</v>
      </c>
      <c r="D276" s="14">
        <f>59.5802 * CHOOSE(CONTROL!$C$9, $D$9, 100%, $F$9) + CHOOSE(CONTROL!$C$27, 0.0021, 0)</f>
        <v>59.582299999999996</v>
      </c>
      <c r="E276" s="14">
        <f>59.4435 * CHOOSE(CONTROL!$C$9, $D$9, 100%, $F$9) + CHOOSE(CONTROL!$C$27, 0.0021, 0)</f>
        <v>59.445599999999999</v>
      </c>
      <c r="F276" s="14">
        <f>59.4435 * CHOOSE(CONTROL!$C$9, $D$9, 100%, $F$9) + CHOOSE(CONTROL!$C$27, 0.0021, 0)</f>
        <v>59.445599999999999</v>
      </c>
      <c r="G276" s="14">
        <f>59.7149 * CHOOSE(CONTROL!$C$9, $D$9, 100%, $F$9) + CHOOSE(CONTROL!$C$27, 0.0021, 0)</f>
        <v>59.716999999999999</v>
      </c>
      <c r="H276" s="14">
        <f>59.5802 * CHOOSE(CONTROL!$C$9, $D$9, 100%, $F$9) + CHOOSE(CONTROL!$C$27, 0.0021, 0)</f>
        <v>59.582299999999996</v>
      </c>
      <c r="I276" s="14">
        <f>59.5802 * CHOOSE(CONTROL!$C$9, $D$9, 100%, $F$9) + CHOOSE(CONTROL!$C$27, 0.0021, 0)</f>
        <v>59.582299999999996</v>
      </c>
      <c r="J276" s="14">
        <f>59.5802 * CHOOSE(CONTROL!$C$9, $D$9, 100%, $F$9) + CHOOSE(CONTROL!$C$27, 0.0021, 0)</f>
        <v>59.582299999999996</v>
      </c>
      <c r="K276" s="14">
        <f>59.5802 * CHOOSE(CONTROL!$C$9, $D$9, 100%, $F$9) + CHOOSE(CONTROL!$C$27, 0.0021, 0)</f>
        <v>59.582299999999996</v>
      </c>
      <c r="L276" s="14"/>
    </row>
    <row r="277" spans="1:12" ht="15" x14ac:dyDescent="0.2">
      <c r="A277" s="13">
        <v>49341</v>
      </c>
      <c r="B277" s="14">
        <f>58.3798 * CHOOSE(CONTROL!$C$9, $D$9, 100%, $F$9) + CHOOSE(CONTROL!$C$27, 0.0021, 0)</f>
        <v>58.381900000000002</v>
      </c>
      <c r="C277" s="14">
        <f>57.9475 * CHOOSE(CONTROL!$C$9, $D$9, 100%, $F$9) + CHOOSE(CONTROL!$C$27, 0.0021, 0)</f>
        <v>57.949599999999997</v>
      </c>
      <c r="D277" s="14">
        <f>57.9475 * CHOOSE(CONTROL!$C$9, $D$9, 100%, $F$9) + CHOOSE(CONTROL!$C$27, 0.0021, 0)</f>
        <v>57.949599999999997</v>
      </c>
      <c r="E277" s="14">
        <f>57.8109 * CHOOSE(CONTROL!$C$9, $D$9, 100%, $F$9) + CHOOSE(CONTROL!$C$27, 0.0021, 0)</f>
        <v>57.812999999999995</v>
      </c>
      <c r="F277" s="14">
        <f>57.8109 * CHOOSE(CONTROL!$C$9, $D$9, 100%, $F$9) + CHOOSE(CONTROL!$C$27, 0.0021, 0)</f>
        <v>57.812999999999995</v>
      </c>
      <c r="G277" s="14">
        <f>58.0822 * CHOOSE(CONTROL!$C$9, $D$9, 100%, $F$9) + CHOOSE(CONTROL!$C$27, 0.0021, 0)</f>
        <v>58.084299999999999</v>
      </c>
      <c r="H277" s="14">
        <f>57.9475 * CHOOSE(CONTROL!$C$9, $D$9, 100%, $F$9) + CHOOSE(CONTROL!$C$27, 0.0021, 0)</f>
        <v>57.949599999999997</v>
      </c>
      <c r="I277" s="14">
        <f>57.9475 * CHOOSE(CONTROL!$C$9, $D$9, 100%, $F$9) + CHOOSE(CONTROL!$C$27, 0.0021, 0)</f>
        <v>57.949599999999997</v>
      </c>
      <c r="J277" s="14">
        <f>57.9475 * CHOOSE(CONTROL!$C$9, $D$9, 100%, $F$9) + CHOOSE(CONTROL!$C$27, 0.0021, 0)</f>
        <v>57.949599999999997</v>
      </c>
      <c r="K277" s="14">
        <f>57.9475 * CHOOSE(CONTROL!$C$9, $D$9, 100%, $F$9) + CHOOSE(CONTROL!$C$27, 0.0021, 0)</f>
        <v>57.949599999999997</v>
      </c>
      <c r="L277" s="14"/>
    </row>
    <row r="278" spans="1:12" ht="15" x14ac:dyDescent="0.2">
      <c r="A278" s="13">
        <v>49369</v>
      </c>
      <c r="B278" s="14">
        <f>57.7058 * CHOOSE(CONTROL!$C$9, $D$9, 100%, $F$9) + CHOOSE(CONTROL!$C$27, 0.0021, 0)</f>
        <v>57.707900000000002</v>
      </c>
      <c r="C278" s="14">
        <f>57.2736 * CHOOSE(CONTROL!$C$9, $D$9, 100%, $F$9) + CHOOSE(CONTROL!$C$27, 0.0021, 0)</f>
        <v>57.275700000000001</v>
      </c>
      <c r="D278" s="14">
        <f>57.2736 * CHOOSE(CONTROL!$C$9, $D$9, 100%, $F$9) + CHOOSE(CONTROL!$C$27, 0.0021, 0)</f>
        <v>57.275700000000001</v>
      </c>
      <c r="E278" s="14">
        <f>57.1369 * CHOOSE(CONTROL!$C$9, $D$9, 100%, $F$9) + CHOOSE(CONTROL!$C$27, 0.0021, 0)</f>
        <v>57.138999999999996</v>
      </c>
      <c r="F278" s="14">
        <f>57.1369 * CHOOSE(CONTROL!$C$9, $D$9, 100%, $F$9) + CHOOSE(CONTROL!$C$27, 0.0021, 0)</f>
        <v>57.138999999999996</v>
      </c>
      <c r="G278" s="14">
        <f>57.4083 * CHOOSE(CONTROL!$C$9, $D$9, 100%, $F$9) + CHOOSE(CONTROL!$C$27, 0.0021, 0)</f>
        <v>57.410399999999996</v>
      </c>
      <c r="H278" s="14">
        <f>57.2736 * CHOOSE(CONTROL!$C$9, $D$9, 100%, $F$9) + CHOOSE(CONTROL!$C$27, 0.0021, 0)</f>
        <v>57.275700000000001</v>
      </c>
      <c r="I278" s="14">
        <f>57.2736 * CHOOSE(CONTROL!$C$9, $D$9, 100%, $F$9) + CHOOSE(CONTROL!$C$27, 0.0021, 0)</f>
        <v>57.275700000000001</v>
      </c>
      <c r="J278" s="14">
        <f>57.2736 * CHOOSE(CONTROL!$C$9, $D$9, 100%, $F$9) + CHOOSE(CONTROL!$C$27, 0.0021, 0)</f>
        <v>57.275700000000001</v>
      </c>
      <c r="K278" s="14">
        <f>57.2736 * CHOOSE(CONTROL!$C$9, $D$9, 100%, $F$9) + CHOOSE(CONTROL!$C$27, 0.0021, 0)</f>
        <v>57.275700000000001</v>
      </c>
      <c r="L278" s="14"/>
    </row>
    <row r="279" spans="1:12" ht="15" x14ac:dyDescent="0.2">
      <c r="A279" s="13">
        <v>49400</v>
      </c>
      <c r="B279" s="14">
        <f>56.9011 * CHOOSE(CONTROL!$C$9, $D$9, 100%, $F$9) + CHOOSE(CONTROL!$C$27, 0.0021, 0)</f>
        <v>56.903199999999998</v>
      </c>
      <c r="C279" s="14">
        <f>56.4689 * CHOOSE(CONTROL!$C$9, $D$9, 100%, $F$9) + CHOOSE(CONTROL!$C$27, 0.0021, 0)</f>
        <v>56.470999999999997</v>
      </c>
      <c r="D279" s="14">
        <f>56.4689 * CHOOSE(CONTROL!$C$9, $D$9, 100%, $F$9) + CHOOSE(CONTROL!$C$27, 0.0021, 0)</f>
        <v>56.470999999999997</v>
      </c>
      <c r="E279" s="14">
        <f>56.3322 * CHOOSE(CONTROL!$C$9, $D$9, 100%, $F$9) + CHOOSE(CONTROL!$C$27, 0.0021, 0)</f>
        <v>56.334299999999999</v>
      </c>
      <c r="F279" s="14">
        <f>56.3322 * CHOOSE(CONTROL!$C$9, $D$9, 100%, $F$9) + CHOOSE(CONTROL!$C$27, 0.0021, 0)</f>
        <v>56.334299999999999</v>
      </c>
      <c r="G279" s="14">
        <f>56.6036 * CHOOSE(CONTROL!$C$9, $D$9, 100%, $F$9) + CHOOSE(CONTROL!$C$27, 0.0021, 0)</f>
        <v>56.605699999999999</v>
      </c>
      <c r="H279" s="14">
        <f>56.4689 * CHOOSE(CONTROL!$C$9, $D$9, 100%, $F$9) + CHOOSE(CONTROL!$C$27, 0.0021, 0)</f>
        <v>56.470999999999997</v>
      </c>
      <c r="I279" s="14">
        <f>56.4689 * CHOOSE(CONTROL!$C$9, $D$9, 100%, $F$9) + CHOOSE(CONTROL!$C$27, 0.0021, 0)</f>
        <v>56.470999999999997</v>
      </c>
      <c r="J279" s="14">
        <f>56.4689 * CHOOSE(CONTROL!$C$9, $D$9, 100%, $F$9) + CHOOSE(CONTROL!$C$27, 0.0021, 0)</f>
        <v>56.470999999999997</v>
      </c>
      <c r="K279" s="14">
        <f>56.4689 * CHOOSE(CONTROL!$C$9, $D$9, 100%, $F$9) + CHOOSE(CONTROL!$C$27, 0.0021, 0)</f>
        <v>56.470999999999997</v>
      </c>
      <c r="L279" s="14"/>
    </row>
    <row r="280" spans="1:12" ht="15" x14ac:dyDescent="0.2">
      <c r="A280" s="13">
        <v>49430</v>
      </c>
      <c r="B280" s="14">
        <f>58.0479 * CHOOSE(CONTROL!$C$9, $D$9, 100%, $F$9) + CHOOSE(CONTROL!$C$27, 0.0021, 0)</f>
        <v>58.05</v>
      </c>
      <c r="C280" s="14">
        <f>57.6157 * CHOOSE(CONTROL!$C$9, $D$9, 100%, $F$9) + CHOOSE(CONTROL!$C$27, 0.0021, 0)</f>
        <v>57.617799999999995</v>
      </c>
      <c r="D280" s="14">
        <f>57.6157 * CHOOSE(CONTROL!$C$9, $D$9, 100%, $F$9) + CHOOSE(CONTROL!$C$27, 0.0021, 0)</f>
        <v>57.617799999999995</v>
      </c>
      <c r="E280" s="14">
        <f>57.479 * CHOOSE(CONTROL!$C$9, $D$9, 100%, $F$9) + CHOOSE(CONTROL!$C$27, 0.0021, 0)</f>
        <v>57.481099999999998</v>
      </c>
      <c r="F280" s="14">
        <f>57.479 * CHOOSE(CONTROL!$C$9, $D$9, 100%, $F$9) + CHOOSE(CONTROL!$C$27, 0.0021, 0)</f>
        <v>57.481099999999998</v>
      </c>
      <c r="G280" s="14">
        <f>57.7504 * CHOOSE(CONTROL!$C$9, $D$9, 100%, $F$9) + CHOOSE(CONTROL!$C$27, 0.0021, 0)</f>
        <v>57.752499999999998</v>
      </c>
      <c r="H280" s="14">
        <f>57.6157 * CHOOSE(CONTROL!$C$9, $D$9, 100%, $F$9) + CHOOSE(CONTROL!$C$27, 0.0021, 0)</f>
        <v>57.617799999999995</v>
      </c>
      <c r="I280" s="14">
        <f>57.6157 * CHOOSE(CONTROL!$C$9, $D$9, 100%, $F$9) + CHOOSE(CONTROL!$C$27, 0.0021, 0)</f>
        <v>57.617799999999995</v>
      </c>
      <c r="J280" s="14">
        <f>57.6157 * CHOOSE(CONTROL!$C$9, $D$9, 100%, $F$9) + CHOOSE(CONTROL!$C$27, 0.0021, 0)</f>
        <v>57.617799999999995</v>
      </c>
      <c r="K280" s="14">
        <f>57.6157 * CHOOSE(CONTROL!$C$9, $D$9, 100%, $F$9) + CHOOSE(CONTROL!$C$27, 0.0021, 0)</f>
        <v>57.617799999999995</v>
      </c>
      <c r="L280" s="14"/>
    </row>
    <row r="281" spans="1:12" ht="15" x14ac:dyDescent="0.2">
      <c r="A281" s="34">
        <v>49461</v>
      </c>
      <c r="B281" s="14">
        <f>58.7348 * CHOOSE(CONTROL!$C$9, $D$9, 100%, $F$9) + CHOOSE(CONTROL!$C$27, 0.0021, 0)</f>
        <v>58.736899999999999</v>
      </c>
      <c r="C281" s="14">
        <f>58.3026 * CHOOSE(CONTROL!$C$9, $D$9, 100%, $F$9) + CHOOSE(CONTROL!$C$27, 0.0021, 0)</f>
        <v>58.304699999999997</v>
      </c>
      <c r="D281" s="14">
        <f>58.3026 * CHOOSE(CONTROL!$C$9, $D$9, 100%, $F$9) + CHOOSE(CONTROL!$C$27, 0.0021, 0)</f>
        <v>58.304699999999997</v>
      </c>
      <c r="E281" s="14">
        <f>58.1659 * CHOOSE(CONTROL!$C$9, $D$9, 100%, $F$9) + CHOOSE(CONTROL!$C$27, 0.0021, 0)</f>
        <v>58.167999999999999</v>
      </c>
      <c r="F281" s="14">
        <f>58.1659 * CHOOSE(CONTROL!$C$9, $D$9, 100%, $F$9) + CHOOSE(CONTROL!$C$27, 0.0021, 0)</f>
        <v>58.167999999999999</v>
      </c>
      <c r="G281" s="14">
        <f>58.4373 * CHOOSE(CONTROL!$C$9, $D$9, 100%, $F$9) + CHOOSE(CONTROL!$C$27, 0.0021, 0)</f>
        <v>58.439399999999999</v>
      </c>
      <c r="H281" s="14">
        <f>58.3026 * CHOOSE(CONTROL!$C$9, $D$9, 100%, $F$9) + CHOOSE(CONTROL!$C$27, 0.0021, 0)</f>
        <v>58.304699999999997</v>
      </c>
      <c r="I281" s="14">
        <f>58.3026 * CHOOSE(CONTROL!$C$9, $D$9, 100%, $F$9) + CHOOSE(CONTROL!$C$27, 0.0021, 0)</f>
        <v>58.304699999999997</v>
      </c>
      <c r="J281" s="14">
        <f>58.3026 * CHOOSE(CONTROL!$C$9, $D$9, 100%, $F$9) + CHOOSE(CONTROL!$C$27, 0.0021, 0)</f>
        <v>58.304699999999997</v>
      </c>
      <c r="K281" s="14">
        <f>58.3026 * CHOOSE(CONTROL!$C$9, $D$9, 100%, $F$9) + CHOOSE(CONTROL!$C$27, 0.0021, 0)</f>
        <v>58.304699999999997</v>
      </c>
      <c r="L281" s="14"/>
    </row>
    <row r="282" spans="1:12" ht="15" x14ac:dyDescent="0.2">
      <c r="A282" s="34">
        <v>49491</v>
      </c>
      <c r="B282" s="14">
        <f>59.8679 * CHOOSE(CONTROL!$C$9, $D$9, 100%, $F$9) + CHOOSE(CONTROL!$C$27, 0.0021, 0)</f>
        <v>59.87</v>
      </c>
      <c r="C282" s="14">
        <f>59.4357 * CHOOSE(CONTROL!$C$9, $D$9, 100%, $F$9) + CHOOSE(CONTROL!$C$27, 0.0021, 0)</f>
        <v>59.437799999999996</v>
      </c>
      <c r="D282" s="14">
        <f>59.4357 * CHOOSE(CONTROL!$C$9, $D$9, 100%, $F$9) + CHOOSE(CONTROL!$C$27, 0.0021, 0)</f>
        <v>59.437799999999996</v>
      </c>
      <c r="E282" s="14">
        <f>59.299 * CHOOSE(CONTROL!$C$9, $D$9, 100%, $F$9) + CHOOSE(CONTROL!$C$27, 0.0021, 0)</f>
        <v>59.301099999999998</v>
      </c>
      <c r="F282" s="14">
        <f>59.299 * CHOOSE(CONTROL!$C$9, $D$9, 100%, $F$9) + CHOOSE(CONTROL!$C$27, 0.0021, 0)</f>
        <v>59.301099999999998</v>
      </c>
      <c r="G282" s="14">
        <f>59.5704 * CHOOSE(CONTROL!$C$9, $D$9, 100%, $F$9) + CHOOSE(CONTROL!$C$27, 0.0021, 0)</f>
        <v>59.572499999999998</v>
      </c>
      <c r="H282" s="14">
        <f>59.4357 * CHOOSE(CONTROL!$C$9, $D$9, 100%, $F$9) + CHOOSE(CONTROL!$C$27, 0.0021, 0)</f>
        <v>59.437799999999996</v>
      </c>
      <c r="I282" s="14">
        <f>59.4357 * CHOOSE(CONTROL!$C$9, $D$9, 100%, $F$9) + CHOOSE(CONTROL!$C$27, 0.0021, 0)</f>
        <v>59.437799999999996</v>
      </c>
      <c r="J282" s="14">
        <f>59.4357 * CHOOSE(CONTROL!$C$9, $D$9, 100%, $F$9) + CHOOSE(CONTROL!$C$27, 0.0021, 0)</f>
        <v>59.437799999999996</v>
      </c>
      <c r="K282" s="14">
        <f>59.4357 * CHOOSE(CONTROL!$C$9, $D$9, 100%, $F$9) + CHOOSE(CONTROL!$C$27, 0.0021, 0)</f>
        <v>59.437799999999996</v>
      </c>
      <c r="L282" s="14"/>
    </row>
    <row r="283" spans="1:12" ht="15" x14ac:dyDescent="0.2">
      <c r="A283" s="34">
        <v>49522</v>
      </c>
      <c r="B283" s="14">
        <f>60.2138 * CHOOSE(CONTROL!$C$9, $D$9, 100%, $F$9) + CHOOSE(CONTROL!$C$27, 0.0021, 0)</f>
        <v>60.215899999999998</v>
      </c>
      <c r="C283" s="14">
        <f>59.7815 * CHOOSE(CONTROL!$C$9, $D$9, 100%, $F$9) + CHOOSE(CONTROL!$C$27, 0.0021, 0)</f>
        <v>59.7836</v>
      </c>
      <c r="D283" s="14">
        <f>59.7815 * CHOOSE(CONTROL!$C$9, $D$9, 100%, $F$9) + CHOOSE(CONTROL!$C$27, 0.0021, 0)</f>
        <v>59.7836</v>
      </c>
      <c r="E283" s="14">
        <f>59.6449 * CHOOSE(CONTROL!$C$9, $D$9, 100%, $F$9) + CHOOSE(CONTROL!$C$27, 0.0021, 0)</f>
        <v>59.646999999999998</v>
      </c>
      <c r="F283" s="14">
        <f>59.6449 * CHOOSE(CONTROL!$C$9, $D$9, 100%, $F$9) + CHOOSE(CONTROL!$C$27, 0.0021, 0)</f>
        <v>59.646999999999998</v>
      </c>
      <c r="G283" s="14">
        <f>59.9163 * CHOOSE(CONTROL!$C$9, $D$9, 100%, $F$9) + CHOOSE(CONTROL!$C$27, 0.0021, 0)</f>
        <v>59.918399999999998</v>
      </c>
      <c r="H283" s="14">
        <f>59.7815 * CHOOSE(CONTROL!$C$9, $D$9, 100%, $F$9) + CHOOSE(CONTROL!$C$27, 0.0021, 0)</f>
        <v>59.7836</v>
      </c>
      <c r="I283" s="14">
        <f>59.7815 * CHOOSE(CONTROL!$C$9, $D$9, 100%, $F$9) + CHOOSE(CONTROL!$C$27, 0.0021, 0)</f>
        <v>59.7836</v>
      </c>
      <c r="J283" s="14">
        <f>59.7815 * CHOOSE(CONTROL!$C$9, $D$9, 100%, $F$9) + CHOOSE(CONTROL!$C$27, 0.0021, 0)</f>
        <v>59.7836</v>
      </c>
      <c r="K283" s="14">
        <f>59.7815 * CHOOSE(CONTROL!$C$9, $D$9, 100%, $F$9) + CHOOSE(CONTROL!$C$27, 0.0021, 0)</f>
        <v>59.7836</v>
      </c>
      <c r="L283" s="14"/>
    </row>
    <row r="284" spans="1:12" ht="15" x14ac:dyDescent="0.2">
      <c r="A284" s="34">
        <v>49553</v>
      </c>
      <c r="B284" s="14">
        <f>61.3916 * CHOOSE(CONTROL!$C$9, $D$9, 100%, $F$9) + CHOOSE(CONTROL!$C$27, 0.0021, 0)</f>
        <v>61.393699999999995</v>
      </c>
      <c r="C284" s="14">
        <f>60.9594 * CHOOSE(CONTROL!$C$9, $D$9, 100%, $F$9) + CHOOSE(CONTROL!$C$27, 0.0021, 0)</f>
        <v>60.961500000000001</v>
      </c>
      <c r="D284" s="14">
        <f>60.9594 * CHOOSE(CONTROL!$C$9, $D$9, 100%, $F$9) + CHOOSE(CONTROL!$C$27, 0.0021, 0)</f>
        <v>60.961500000000001</v>
      </c>
      <c r="E284" s="14">
        <f>60.8227 * CHOOSE(CONTROL!$C$9, $D$9, 100%, $F$9) + CHOOSE(CONTROL!$C$27, 0.0021, 0)</f>
        <v>60.824799999999996</v>
      </c>
      <c r="F284" s="14">
        <f>60.8227 * CHOOSE(CONTROL!$C$9, $D$9, 100%, $F$9) + CHOOSE(CONTROL!$C$27, 0.0021, 0)</f>
        <v>60.824799999999996</v>
      </c>
      <c r="G284" s="14">
        <f>61.0941 * CHOOSE(CONTROL!$C$9, $D$9, 100%, $F$9) + CHOOSE(CONTROL!$C$27, 0.0021, 0)</f>
        <v>61.096199999999996</v>
      </c>
      <c r="H284" s="14">
        <f>60.9594 * CHOOSE(CONTROL!$C$9, $D$9, 100%, $F$9) + CHOOSE(CONTROL!$C$27, 0.0021, 0)</f>
        <v>60.961500000000001</v>
      </c>
      <c r="I284" s="14">
        <f>60.9594 * CHOOSE(CONTROL!$C$9, $D$9, 100%, $F$9) + CHOOSE(CONTROL!$C$27, 0.0021, 0)</f>
        <v>60.961500000000001</v>
      </c>
      <c r="J284" s="14">
        <f>60.9594 * CHOOSE(CONTROL!$C$9, $D$9, 100%, $F$9) + CHOOSE(CONTROL!$C$27, 0.0021, 0)</f>
        <v>60.961500000000001</v>
      </c>
      <c r="K284" s="14">
        <f>60.9594 * CHOOSE(CONTROL!$C$9, $D$9, 100%, $F$9) + CHOOSE(CONTROL!$C$27, 0.0021, 0)</f>
        <v>60.961500000000001</v>
      </c>
      <c r="L284" s="14"/>
    </row>
    <row r="285" spans="1:12" ht="15" x14ac:dyDescent="0.2">
      <c r="A285" s="34">
        <v>49583</v>
      </c>
      <c r="B285" s="14">
        <f>62.8825 * CHOOSE(CONTROL!$C$9, $D$9, 100%, $F$9) + CHOOSE(CONTROL!$C$27, 0.0021, 0)</f>
        <v>62.884599999999999</v>
      </c>
      <c r="C285" s="14">
        <f>62.4503 * CHOOSE(CONTROL!$C$9, $D$9, 100%, $F$9) + CHOOSE(CONTROL!$C$27, 0.0021, 0)</f>
        <v>62.452399999999997</v>
      </c>
      <c r="D285" s="14">
        <f>62.4503 * CHOOSE(CONTROL!$C$9, $D$9, 100%, $F$9) + CHOOSE(CONTROL!$C$27, 0.0021, 0)</f>
        <v>62.452399999999997</v>
      </c>
      <c r="E285" s="14">
        <f>62.3136 * CHOOSE(CONTROL!$C$9, $D$9, 100%, $F$9) + CHOOSE(CONTROL!$C$27, 0.0021, 0)</f>
        <v>62.3157</v>
      </c>
      <c r="F285" s="14">
        <f>62.3136 * CHOOSE(CONTROL!$C$9, $D$9, 100%, $F$9) + CHOOSE(CONTROL!$C$27, 0.0021, 0)</f>
        <v>62.3157</v>
      </c>
      <c r="G285" s="14">
        <f>62.585 * CHOOSE(CONTROL!$C$9, $D$9, 100%, $F$9) + CHOOSE(CONTROL!$C$27, 0.0021, 0)</f>
        <v>62.5871</v>
      </c>
      <c r="H285" s="14">
        <f>62.4503 * CHOOSE(CONTROL!$C$9, $D$9, 100%, $F$9) + CHOOSE(CONTROL!$C$27, 0.0021, 0)</f>
        <v>62.452399999999997</v>
      </c>
      <c r="I285" s="14">
        <f>62.4503 * CHOOSE(CONTROL!$C$9, $D$9, 100%, $F$9) + CHOOSE(CONTROL!$C$27, 0.0021, 0)</f>
        <v>62.452399999999997</v>
      </c>
      <c r="J285" s="14">
        <f>62.4503 * CHOOSE(CONTROL!$C$9, $D$9, 100%, $F$9) + CHOOSE(CONTROL!$C$27, 0.0021, 0)</f>
        <v>62.452399999999997</v>
      </c>
      <c r="K285" s="14">
        <f>62.4503 * CHOOSE(CONTROL!$C$9, $D$9, 100%, $F$9) + CHOOSE(CONTROL!$C$27, 0.0021, 0)</f>
        <v>62.452399999999997</v>
      </c>
      <c r="L285" s="14"/>
    </row>
    <row r="286" spans="1:12" ht="15" x14ac:dyDescent="0.2">
      <c r="A286" s="34">
        <v>49614</v>
      </c>
      <c r="B286" s="14">
        <f>63.0225 * CHOOSE(CONTROL!$C$9, $D$9, 100%, $F$9) + CHOOSE(CONTROL!$C$27, 0.0021, 0)</f>
        <v>63.0246</v>
      </c>
      <c r="C286" s="14">
        <f>62.5903 * CHOOSE(CONTROL!$C$9, $D$9, 100%, $F$9) + CHOOSE(CONTROL!$C$27, 0.0021, 0)</f>
        <v>62.592399999999998</v>
      </c>
      <c r="D286" s="14">
        <f>62.5903 * CHOOSE(CONTROL!$C$9, $D$9, 100%, $F$9) + CHOOSE(CONTROL!$C$27, 0.0021, 0)</f>
        <v>62.592399999999998</v>
      </c>
      <c r="E286" s="14">
        <f>62.4536 * CHOOSE(CONTROL!$C$9, $D$9, 100%, $F$9) + CHOOSE(CONTROL!$C$27, 0.0021, 0)</f>
        <v>62.4557</v>
      </c>
      <c r="F286" s="14">
        <f>62.4536 * CHOOSE(CONTROL!$C$9, $D$9, 100%, $F$9) + CHOOSE(CONTROL!$C$27, 0.0021, 0)</f>
        <v>62.4557</v>
      </c>
      <c r="G286" s="14">
        <f>62.725 * CHOOSE(CONTROL!$C$9, $D$9, 100%, $F$9) + CHOOSE(CONTROL!$C$27, 0.0021, 0)</f>
        <v>62.7271</v>
      </c>
      <c r="H286" s="14">
        <f>62.5903 * CHOOSE(CONTROL!$C$9, $D$9, 100%, $F$9) + CHOOSE(CONTROL!$C$27, 0.0021, 0)</f>
        <v>62.592399999999998</v>
      </c>
      <c r="I286" s="14">
        <f>62.5903 * CHOOSE(CONTROL!$C$9, $D$9, 100%, $F$9) + CHOOSE(CONTROL!$C$27, 0.0021, 0)</f>
        <v>62.592399999999998</v>
      </c>
      <c r="J286" s="14">
        <f>62.5903 * CHOOSE(CONTROL!$C$9, $D$9, 100%, $F$9) + CHOOSE(CONTROL!$C$27, 0.0021, 0)</f>
        <v>62.592399999999998</v>
      </c>
      <c r="K286" s="14">
        <f>62.5903 * CHOOSE(CONTROL!$C$9, $D$9, 100%, $F$9) + CHOOSE(CONTROL!$C$27, 0.0021, 0)</f>
        <v>62.592399999999998</v>
      </c>
      <c r="L286" s="14"/>
    </row>
    <row r="287" spans="1:12" ht="15" x14ac:dyDescent="0.2">
      <c r="A287" s="34">
        <v>49644</v>
      </c>
      <c r="B287" s="14">
        <f>61.8317 * CHOOSE(CONTROL!$C$9, $D$9, 100%, $F$9) + CHOOSE(CONTROL!$C$27, 0.0021, 0)</f>
        <v>61.833799999999997</v>
      </c>
      <c r="C287" s="14">
        <f>61.3995 * CHOOSE(CONTROL!$C$9, $D$9, 100%, $F$9) + CHOOSE(CONTROL!$C$27, 0.0021, 0)</f>
        <v>61.401600000000002</v>
      </c>
      <c r="D287" s="14">
        <f>61.3995 * CHOOSE(CONTROL!$C$9, $D$9, 100%, $F$9) + CHOOSE(CONTROL!$C$27, 0.0021, 0)</f>
        <v>61.401600000000002</v>
      </c>
      <c r="E287" s="14">
        <f>61.2628 * CHOOSE(CONTROL!$C$9, $D$9, 100%, $F$9) + CHOOSE(CONTROL!$C$27, 0.0021, 0)</f>
        <v>61.264899999999997</v>
      </c>
      <c r="F287" s="14">
        <f>61.2628 * CHOOSE(CONTROL!$C$9, $D$9, 100%, $F$9) + CHOOSE(CONTROL!$C$27, 0.0021, 0)</f>
        <v>61.264899999999997</v>
      </c>
      <c r="G287" s="14">
        <f>61.5342 * CHOOSE(CONTROL!$C$9, $D$9, 100%, $F$9) + CHOOSE(CONTROL!$C$27, 0.0021, 0)</f>
        <v>61.536299999999997</v>
      </c>
      <c r="H287" s="14">
        <f>61.3995 * CHOOSE(CONTROL!$C$9, $D$9, 100%, $F$9) + CHOOSE(CONTROL!$C$27, 0.0021, 0)</f>
        <v>61.401600000000002</v>
      </c>
      <c r="I287" s="14">
        <f>61.3995 * CHOOSE(CONTROL!$C$9, $D$9, 100%, $F$9) + CHOOSE(CONTROL!$C$27, 0.0021, 0)</f>
        <v>61.401600000000002</v>
      </c>
      <c r="J287" s="14">
        <f>61.3995 * CHOOSE(CONTROL!$C$9, $D$9, 100%, $F$9) + CHOOSE(CONTROL!$C$27, 0.0021, 0)</f>
        <v>61.401600000000002</v>
      </c>
      <c r="K287" s="14">
        <f>61.3995 * CHOOSE(CONTROL!$C$9, $D$9, 100%, $F$9) + CHOOSE(CONTROL!$C$27, 0.0021, 0)</f>
        <v>61.401600000000002</v>
      </c>
      <c r="L287" s="14"/>
    </row>
    <row r="288" spans="1:12" ht="15" x14ac:dyDescent="0.2">
      <c r="A288" s="34">
        <v>49675</v>
      </c>
      <c r="B288" s="14">
        <f>61.0791 * CHOOSE(CONTROL!$C$9, $D$9, 100%, $F$9) + CHOOSE(CONTROL!$C$27, 0.0021, 0)</f>
        <v>61.081199999999995</v>
      </c>
      <c r="C288" s="14">
        <f>60.6469 * CHOOSE(CONTROL!$C$9, $D$9, 100%, $F$9) + CHOOSE(CONTROL!$C$27, 0.0021, 0)</f>
        <v>60.649000000000001</v>
      </c>
      <c r="D288" s="14">
        <f>60.6469 * CHOOSE(CONTROL!$C$9, $D$9, 100%, $F$9) + CHOOSE(CONTROL!$C$27, 0.0021, 0)</f>
        <v>60.649000000000001</v>
      </c>
      <c r="E288" s="14">
        <f>60.5102 * CHOOSE(CONTROL!$C$9, $D$9, 100%, $F$9) + CHOOSE(CONTROL!$C$27, 0.0021, 0)</f>
        <v>60.512299999999996</v>
      </c>
      <c r="F288" s="14">
        <f>60.5102 * CHOOSE(CONTROL!$C$9, $D$9, 100%, $F$9) + CHOOSE(CONTROL!$C$27, 0.0021, 0)</f>
        <v>60.512299999999996</v>
      </c>
      <c r="G288" s="14">
        <f>60.7816 * CHOOSE(CONTROL!$C$9, $D$9, 100%, $F$9) + CHOOSE(CONTROL!$C$27, 0.0021, 0)</f>
        <v>60.783699999999996</v>
      </c>
      <c r="H288" s="14">
        <f>60.6469 * CHOOSE(CONTROL!$C$9, $D$9, 100%, $F$9) + CHOOSE(CONTROL!$C$27, 0.0021, 0)</f>
        <v>60.649000000000001</v>
      </c>
      <c r="I288" s="14">
        <f>60.6469 * CHOOSE(CONTROL!$C$9, $D$9, 100%, $F$9) + CHOOSE(CONTROL!$C$27, 0.0021, 0)</f>
        <v>60.649000000000001</v>
      </c>
      <c r="J288" s="14">
        <f>60.6469 * CHOOSE(CONTROL!$C$9, $D$9, 100%, $F$9) + CHOOSE(CONTROL!$C$27, 0.0021, 0)</f>
        <v>60.649000000000001</v>
      </c>
      <c r="K288" s="14">
        <f>60.6469 * CHOOSE(CONTROL!$C$9, $D$9, 100%, $F$9) + CHOOSE(CONTROL!$C$27, 0.0021, 0)</f>
        <v>60.649000000000001</v>
      </c>
      <c r="L288" s="14"/>
    </row>
    <row r="289" spans="1:12" ht="15" x14ac:dyDescent="0.2">
      <c r="A289" s="34">
        <v>49706</v>
      </c>
      <c r="B289" s="14">
        <f>59.4163 * CHOOSE(CONTROL!$C$9, $D$9, 100%, $F$9) + CHOOSE(CONTROL!$C$27, 0.0021, 0)</f>
        <v>59.418399999999998</v>
      </c>
      <c r="C289" s="14">
        <f>58.9841 * CHOOSE(CONTROL!$C$9, $D$9, 100%, $F$9) + CHOOSE(CONTROL!$C$27, 0.0021, 0)</f>
        <v>58.986199999999997</v>
      </c>
      <c r="D289" s="14">
        <f>58.9841 * CHOOSE(CONTROL!$C$9, $D$9, 100%, $F$9) + CHOOSE(CONTROL!$C$27, 0.0021, 0)</f>
        <v>58.986199999999997</v>
      </c>
      <c r="E289" s="14">
        <f>58.8474 * CHOOSE(CONTROL!$C$9, $D$9, 100%, $F$9) + CHOOSE(CONTROL!$C$27, 0.0021, 0)</f>
        <v>58.849499999999999</v>
      </c>
      <c r="F289" s="14">
        <f>58.8474 * CHOOSE(CONTROL!$C$9, $D$9, 100%, $F$9) + CHOOSE(CONTROL!$C$27, 0.0021, 0)</f>
        <v>58.849499999999999</v>
      </c>
      <c r="G289" s="14">
        <f>59.1188 * CHOOSE(CONTROL!$C$9, $D$9, 100%, $F$9) + CHOOSE(CONTROL!$C$27, 0.0021, 0)</f>
        <v>59.120899999999999</v>
      </c>
      <c r="H289" s="14">
        <f>58.9841 * CHOOSE(CONTROL!$C$9, $D$9, 100%, $F$9) + CHOOSE(CONTROL!$C$27, 0.0021, 0)</f>
        <v>58.986199999999997</v>
      </c>
      <c r="I289" s="14">
        <f>58.9841 * CHOOSE(CONTROL!$C$9, $D$9, 100%, $F$9) + CHOOSE(CONTROL!$C$27, 0.0021, 0)</f>
        <v>58.986199999999997</v>
      </c>
      <c r="J289" s="14">
        <f>58.9841 * CHOOSE(CONTROL!$C$9, $D$9, 100%, $F$9) + CHOOSE(CONTROL!$C$27, 0.0021, 0)</f>
        <v>58.986199999999997</v>
      </c>
      <c r="K289" s="14">
        <f>58.9841 * CHOOSE(CONTROL!$C$9, $D$9, 100%, $F$9) + CHOOSE(CONTROL!$C$27, 0.0021, 0)</f>
        <v>58.986199999999997</v>
      </c>
      <c r="L289" s="14"/>
    </row>
    <row r="290" spans="1:12" ht="15" x14ac:dyDescent="0.2">
      <c r="A290" s="34">
        <v>49735</v>
      </c>
      <c r="B290" s="14">
        <f>58.7299 * CHOOSE(CONTROL!$C$9, $D$9, 100%, $F$9) + CHOOSE(CONTROL!$C$27, 0.0021, 0)</f>
        <v>58.731999999999999</v>
      </c>
      <c r="C290" s="14">
        <f>58.2976 * CHOOSE(CONTROL!$C$9, $D$9, 100%, $F$9) + CHOOSE(CONTROL!$C$27, 0.0021, 0)</f>
        <v>58.299700000000001</v>
      </c>
      <c r="D290" s="14">
        <f>58.2976 * CHOOSE(CONTROL!$C$9, $D$9, 100%, $F$9) + CHOOSE(CONTROL!$C$27, 0.0021, 0)</f>
        <v>58.299700000000001</v>
      </c>
      <c r="E290" s="14">
        <f>58.161 * CHOOSE(CONTROL!$C$9, $D$9, 100%, $F$9) + CHOOSE(CONTROL!$C$27, 0.0021, 0)</f>
        <v>58.1631</v>
      </c>
      <c r="F290" s="14">
        <f>58.161 * CHOOSE(CONTROL!$C$9, $D$9, 100%, $F$9) + CHOOSE(CONTROL!$C$27, 0.0021, 0)</f>
        <v>58.1631</v>
      </c>
      <c r="G290" s="14">
        <f>58.4324 * CHOOSE(CONTROL!$C$9, $D$9, 100%, $F$9) + CHOOSE(CONTROL!$C$27, 0.0021, 0)</f>
        <v>58.4345</v>
      </c>
      <c r="H290" s="14">
        <f>58.2976 * CHOOSE(CONTROL!$C$9, $D$9, 100%, $F$9) + CHOOSE(CONTROL!$C$27, 0.0021, 0)</f>
        <v>58.299700000000001</v>
      </c>
      <c r="I290" s="14">
        <f>58.2976 * CHOOSE(CONTROL!$C$9, $D$9, 100%, $F$9) + CHOOSE(CONTROL!$C$27, 0.0021, 0)</f>
        <v>58.299700000000001</v>
      </c>
      <c r="J290" s="14">
        <f>58.2976 * CHOOSE(CONTROL!$C$9, $D$9, 100%, $F$9) + CHOOSE(CONTROL!$C$27, 0.0021, 0)</f>
        <v>58.299700000000001</v>
      </c>
      <c r="K290" s="14">
        <f>58.2976 * CHOOSE(CONTROL!$C$9, $D$9, 100%, $F$9) + CHOOSE(CONTROL!$C$27, 0.0021, 0)</f>
        <v>58.299700000000001</v>
      </c>
      <c r="L290" s="14"/>
    </row>
    <row r="291" spans="1:12" ht="15" x14ac:dyDescent="0.2">
      <c r="A291" s="34">
        <v>49766</v>
      </c>
      <c r="B291" s="14">
        <f>57.9103 * CHOOSE(CONTROL!$C$9, $D$9, 100%, $F$9) + CHOOSE(CONTROL!$C$27, 0.0021, 0)</f>
        <v>57.912399999999998</v>
      </c>
      <c r="C291" s="14">
        <f>57.4781 * CHOOSE(CONTROL!$C$9, $D$9, 100%, $F$9) + CHOOSE(CONTROL!$C$27, 0.0021, 0)</f>
        <v>57.480199999999996</v>
      </c>
      <c r="D291" s="14">
        <f>57.4781 * CHOOSE(CONTROL!$C$9, $D$9, 100%, $F$9) + CHOOSE(CONTROL!$C$27, 0.0021, 0)</f>
        <v>57.480199999999996</v>
      </c>
      <c r="E291" s="14">
        <f>57.3414 * CHOOSE(CONTROL!$C$9, $D$9, 100%, $F$9) + CHOOSE(CONTROL!$C$27, 0.0021, 0)</f>
        <v>57.343499999999999</v>
      </c>
      <c r="F291" s="14">
        <f>57.3414 * CHOOSE(CONTROL!$C$9, $D$9, 100%, $F$9) + CHOOSE(CONTROL!$C$27, 0.0021, 0)</f>
        <v>57.343499999999999</v>
      </c>
      <c r="G291" s="14">
        <f>57.6128 * CHOOSE(CONTROL!$C$9, $D$9, 100%, $F$9) + CHOOSE(CONTROL!$C$27, 0.0021, 0)</f>
        <v>57.614899999999999</v>
      </c>
      <c r="H291" s="14">
        <f>57.4781 * CHOOSE(CONTROL!$C$9, $D$9, 100%, $F$9) + CHOOSE(CONTROL!$C$27, 0.0021, 0)</f>
        <v>57.480199999999996</v>
      </c>
      <c r="I291" s="14">
        <f>57.4781 * CHOOSE(CONTROL!$C$9, $D$9, 100%, $F$9) + CHOOSE(CONTROL!$C$27, 0.0021, 0)</f>
        <v>57.480199999999996</v>
      </c>
      <c r="J291" s="14">
        <f>57.4781 * CHOOSE(CONTROL!$C$9, $D$9, 100%, $F$9) + CHOOSE(CONTROL!$C$27, 0.0021, 0)</f>
        <v>57.480199999999996</v>
      </c>
      <c r="K291" s="14">
        <f>57.4781 * CHOOSE(CONTROL!$C$9, $D$9, 100%, $F$9) + CHOOSE(CONTROL!$C$27, 0.0021, 0)</f>
        <v>57.480199999999996</v>
      </c>
      <c r="L291" s="14"/>
    </row>
    <row r="292" spans="1:12" ht="15" x14ac:dyDescent="0.2">
      <c r="A292" s="34">
        <v>49796</v>
      </c>
      <c r="B292" s="14">
        <f>59.0783 * CHOOSE(CONTROL!$C$9, $D$9, 100%, $F$9) + CHOOSE(CONTROL!$C$27, 0.0021, 0)</f>
        <v>59.080399999999997</v>
      </c>
      <c r="C292" s="14">
        <f>58.6461 * CHOOSE(CONTROL!$C$9, $D$9, 100%, $F$9) + CHOOSE(CONTROL!$C$27, 0.0021, 0)</f>
        <v>58.648199999999996</v>
      </c>
      <c r="D292" s="14">
        <f>58.6461 * CHOOSE(CONTROL!$C$9, $D$9, 100%, $F$9) + CHOOSE(CONTROL!$C$27, 0.0021, 0)</f>
        <v>58.648199999999996</v>
      </c>
      <c r="E292" s="14">
        <f>58.5094 * CHOOSE(CONTROL!$C$9, $D$9, 100%, $F$9) + CHOOSE(CONTROL!$C$27, 0.0021, 0)</f>
        <v>58.511499999999998</v>
      </c>
      <c r="F292" s="14">
        <f>58.5094 * CHOOSE(CONTROL!$C$9, $D$9, 100%, $F$9) + CHOOSE(CONTROL!$C$27, 0.0021, 0)</f>
        <v>58.511499999999998</v>
      </c>
      <c r="G292" s="14">
        <f>58.7808 * CHOOSE(CONTROL!$C$9, $D$9, 100%, $F$9) + CHOOSE(CONTROL!$C$27, 0.0021, 0)</f>
        <v>58.782899999999998</v>
      </c>
      <c r="H292" s="14">
        <f>58.6461 * CHOOSE(CONTROL!$C$9, $D$9, 100%, $F$9) + CHOOSE(CONTROL!$C$27, 0.0021, 0)</f>
        <v>58.648199999999996</v>
      </c>
      <c r="I292" s="14">
        <f>58.6461 * CHOOSE(CONTROL!$C$9, $D$9, 100%, $F$9) + CHOOSE(CONTROL!$C$27, 0.0021, 0)</f>
        <v>58.648199999999996</v>
      </c>
      <c r="J292" s="14">
        <f>58.6461 * CHOOSE(CONTROL!$C$9, $D$9, 100%, $F$9) + CHOOSE(CONTROL!$C$27, 0.0021, 0)</f>
        <v>58.648199999999996</v>
      </c>
      <c r="K292" s="14">
        <f>58.6461 * CHOOSE(CONTROL!$C$9, $D$9, 100%, $F$9) + CHOOSE(CONTROL!$C$27, 0.0021, 0)</f>
        <v>58.648199999999996</v>
      </c>
      <c r="L292" s="14"/>
    </row>
    <row r="293" spans="1:12" ht="15" x14ac:dyDescent="0.2">
      <c r="A293" s="34">
        <v>49827</v>
      </c>
      <c r="B293" s="14">
        <f>59.7779 * CHOOSE(CONTROL!$C$9, $D$9, 100%, $F$9) + CHOOSE(CONTROL!$C$27, 0.0021, 0)</f>
        <v>59.78</v>
      </c>
      <c r="C293" s="14">
        <f>59.3457 * CHOOSE(CONTROL!$C$9, $D$9, 100%, $F$9) + CHOOSE(CONTROL!$C$27, 0.0021, 0)</f>
        <v>59.347799999999999</v>
      </c>
      <c r="D293" s="14">
        <f>59.3457 * CHOOSE(CONTROL!$C$9, $D$9, 100%, $F$9) + CHOOSE(CONTROL!$C$27, 0.0021, 0)</f>
        <v>59.347799999999999</v>
      </c>
      <c r="E293" s="14">
        <f>59.209 * CHOOSE(CONTROL!$C$9, $D$9, 100%, $F$9) + CHOOSE(CONTROL!$C$27, 0.0021, 0)</f>
        <v>59.211100000000002</v>
      </c>
      <c r="F293" s="14">
        <f>59.209 * CHOOSE(CONTROL!$C$9, $D$9, 100%, $F$9) + CHOOSE(CONTROL!$C$27, 0.0021, 0)</f>
        <v>59.211100000000002</v>
      </c>
      <c r="G293" s="14">
        <f>59.4804 * CHOOSE(CONTROL!$C$9, $D$9, 100%, $F$9) + CHOOSE(CONTROL!$C$27, 0.0021, 0)</f>
        <v>59.482500000000002</v>
      </c>
      <c r="H293" s="14">
        <f>59.3457 * CHOOSE(CONTROL!$C$9, $D$9, 100%, $F$9) + CHOOSE(CONTROL!$C$27, 0.0021, 0)</f>
        <v>59.347799999999999</v>
      </c>
      <c r="I293" s="14">
        <f>59.3457 * CHOOSE(CONTROL!$C$9, $D$9, 100%, $F$9) + CHOOSE(CONTROL!$C$27, 0.0021, 0)</f>
        <v>59.347799999999999</v>
      </c>
      <c r="J293" s="14">
        <f>59.3457 * CHOOSE(CONTROL!$C$9, $D$9, 100%, $F$9) + CHOOSE(CONTROL!$C$27, 0.0021, 0)</f>
        <v>59.347799999999999</v>
      </c>
      <c r="K293" s="14">
        <f>59.3457 * CHOOSE(CONTROL!$C$9, $D$9, 100%, $F$9) + CHOOSE(CONTROL!$C$27, 0.0021, 0)</f>
        <v>59.347799999999999</v>
      </c>
      <c r="L293" s="14"/>
    </row>
    <row r="294" spans="1:12" ht="15" x14ac:dyDescent="0.2">
      <c r="A294" s="34">
        <v>49857</v>
      </c>
      <c r="B294" s="14">
        <f>60.932 * CHOOSE(CONTROL!$C$9, $D$9, 100%, $F$9) + CHOOSE(CONTROL!$C$27, 0.0021, 0)</f>
        <v>60.934100000000001</v>
      </c>
      <c r="C294" s="14">
        <f>60.4997 * CHOOSE(CONTROL!$C$9, $D$9, 100%, $F$9) + CHOOSE(CONTROL!$C$27, 0.0021, 0)</f>
        <v>60.501799999999996</v>
      </c>
      <c r="D294" s="14">
        <f>60.4997 * CHOOSE(CONTROL!$C$9, $D$9, 100%, $F$9) + CHOOSE(CONTROL!$C$27, 0.0021, 0)</f>
        <v>60.501799999999996</v>
      </c>
      <c r="E294" s="14">
        <f>60.3631 * CHOOSE(CONTROL!$C$9, $D$9, 100%, $F$9) + CHOOSE(CONTROL!$C$27, 0.0021, 0)</f>
        <v>60.365200000000002</v>
      </c>
      <c r="F294" s="14">
        <f>60.3631 * CHOOSE(CONTROL!$C$9, $D$9, 100%, $F$9) + CHOOSE(CONTROL!$C$27, 0.0021, 0)</f>
        <v>60.365200000000002</v>
      </c>
      <c r="G294" s="14">
        <f>60.6344 * CHOOSE(CONTROL!$C$9, $D$9, 100%, $F$9) + CHOOSE(CONTROL!$C$27, 0.0021, 0)</f>
        <v>60.636499999999998</v>
      </c>
      <c r="H294" s="14">
        <f>60.4997 * CHOOSE(CONTROL!$C$9, $D$9, 100%, $F$9) + CHOOSE(CONTROL!$C$27, 0.0021, 0)</f>
        <v>60.501799999999996</v>
      </c>
      <c r="I294" s="14">
        <f>60.4997 * CHOOSE(CONTROL!$C$9, $D$9, 100%, $F$9) + CHOOSE(CONTROL!$C$27, 0.0021, 0)</f>
        <v>60.501799999999996</v>
      </c>
      <c r="J294" s="14">
        <f>60.4997 * CHOOSE(CONTROL!$C$9, $D$9, 100%, $F$9) + CHOOSE(CONTROL!$C$27, 0.0021, 0)</f>
        <v>60.501799999999996</v>
      </c>
      <c r="K294" s="14">
        <f>60.4997 * CHOOSE(CONTROL!$C$9, $D$9, 100%, $F$9) + CHOOSE(CONTROL!$C$27, 0.0021, 0)</f>
        <v>60.501799999999996</v>
      </c>
      <c r="L294" s="14"/>
    </row>
    <row r="295" spans="1:12" ht="15" x14ac:dyDescent="0.2">
      <c r="A295" s="34">
        <v>49888</v>
      </c>
      <c r="B295" s="14">
        <f>61.2842 * CHOOSE(CONTROL!$C$9, $D$9, 100%, $F$9) + CHOOSE(CONTROL!$C$27, 0.0021, 0)</f>
        <v>61.286299999999997</v>
      </c>
      <c r="C295" s="14">
        <f>60.852 * CHOOSE(CONTROL!$C$9, $D$9, 100%, $F$9) + CHOOSE(CONTROL!$C$27, 0.0021, 0)</f>
        <v>60.854099999999995</v>
      </c>
      <c r="D295" s="14">
        <f>60.852 * CHOOSE(CONTROL!$C$9, $D$9, 100%, $F$9) + CHOOSE(CONTROL!$C$27, 0.0021, 0)</f>
        <v>60.854099999999995</v>
      </c>
      <c r="E295" s="14">
        <f>60.7153 * CHOOSE(CONTROL!$C$9, $D$9, 100%, $F$9) + CHOOSE(CONTROL!$C$27, 0.0021, 0)</f>
        <v>60.717399999999998</v>
      </c>
      <c r="F295" s="14">
        <f>60.7153 * CHOOSE(CONTROL!$C$9, $D$9, 100%, $F$9) + CHOOSE(CONTROL!$C$27, 0.0021, 0)</f>
        <v>60.717399999999998</v>
      </c>
      <c r="G295" s="14">
        <f>60.9867 * CHOOSE(CONTROL!$C$9, $D$9, 100%, $F$9) + CHOOSE(CONTROL!$C$27, 0.0021, 0)</f>
        <v>60.988799999999998</v>
      </c>
      <c r="H295" s="14">
        <f>60.852 * CHOOSE(CONTROL!$C$9, $D$9, 100%, $F$9) + CHOOSE(CONTROL!$C$27, 0.0021, 0)</f>
        <v>60.854099999999995</v>
      </c>
      <c r="I295" s="14">
        <f>60.852 * CHOOSE(CONTROL!$C$9, $D$9, 100%, $F$9) + CHOOSE(CONTROL!$C$27, 0.0021, 0)</f>
        <v>60.854099999999995</v>
      </c>
      <c r="J295" s="14">
        <f>60.852 * CHOOSE(CONTROL!$C$9, $D$9, 100%, $F$9) + CHOOSE(CONTROL!$C$27, 0.0021, 0)</f>
        <v>60.854099999999995</v>
      </c>
      <c r="K295" s="14">
        <f>60.852 * CHOOSE(CONTROL!$C$9, $D$9, 100%, $F$9) + CHOOSE(CONTROL!$C$27, 0.0021, 0)</f>
        <v>60.854099999999995</v>
      </c>
      <c r="L295" s="14"/>
    </row>
    <row r="296" spans="1:12" ht="15" x14ac:dyDescent="0.2">
      <c r="A296" s="34">
        <v>49919</v>
      </c>
      <c r="B296" s="14">
        <f>62.4838 * CHOOSE(CONTROL!$C$9, $D$9, 100%, $F$9) + CHOOSE(CONTROL!$C$27, 0.0021, 0)</f>
        <v>62.485900000000001</v>
      </c>
      <c r="C296" s="14">
        <f>62.0516 * CHOOSE(CONTROL!$C$9, $D$9, 100%, $F$9) + CHOOSE(CONTROL!$C$27, 0.0021, 0)</f>
        <v>62.053699999999999</v>
      </c>
      <c r="D296" s="14">
        <f>62.0516 * CHOOSE(CONTROL!$C$9, $D$9, 100%, $F$9) + CHOOSE(CONTROL!$C$27, 0.0021, 0)</f>
        <v>62.053699999999999</v>
      </c>
      <c r="E296" s="14">
        <f>61.9149 * CHOOSE(CONTROL!$C$9, $D$9, 100%, $F$9) + CHOOSE(CONTROL!$C$27, 0.0021, 0)</f>
        <v>61.917000000000002</v>
      </c>
      <c r="F296" s="14">
        <f>61.9149 * CHOOSE(CONTROL!$C$9, $D$9, 100%, $F$9) + CHOOSE(CONTROL!$C$27, 0.0021, 0)</f>
        <v>61.917000000000002</v>
      </c>
      <c r="G296" s="14">
        <f>62.1863 * CHOOSE(CONTROL!$C$9, $D$9, 100%, $F$9) + CHOOSE(CONTROL!$C$27, 0.0021, 0)</f>
        <v>62.188400000000001</v>
      </c>
      <c r="H296" s="14">
        <f>62.0516 * CHOOSE(CONTROL!$C$9, $D$9, 100%, $F$9) + CHOOSE(CONTROL!$C$27, 0.0021, 0)</f>
        <v>62.053699999999999</v>
      </c>
      <c r="I296" s="14">
        <f>62.0516 * CHOOSE(CONTROL!$C$9, $D$9, 100%, $F$9) + CHOOSE(CONTROL!$C$27, 0.0021, 0)</f>
        <v>62.053699999999999</v>
      </c>
      <c r="J296" s="14">
        <f>62.0516 * CHOOSE(CONTROL!$C$9, $D$9, 100%, $F$9) + CHOOSE(CONTROL!$C$27, 0.0021, 0)</f>
        <v>62.053699999999999</v>
      </c>
      <c r="K296" s="14">
        <f>62.0516 * CHOOSE(CONTROL!$C$9, $D$9, 100%, $F$9) + CHOOSE(CONTROL!$C$27, 0.0021, 0)</f>
        <v>62.053699999999999</v>
      </c>
      <c r="L296" s="14"/>
    </row>
    <row r="297" spans="1:12" ht="15" x14ac:dyDescent="0.2">
      <c r="A297" s="34">
        <v>49949</v>
      </c>
      <c r="B297" s="14">
        <f>64.0023 * CHOOSE(CONTROL!$C$9, $D$9, 100%, $F$9) + CHOOSE(CONTROL!$C$27, 0.0021, 0)</f>
        <v>64.004400000000004</v>
      </c>
      <c r="C297" s="14">
        <f>63.5701 * CHOOSE(CONTROL!$C$9, $D$9, 100%, $F$9) + CHOOSE(CONTROL!$C$27, 0.0021, 0)</f>
        <v>63.572199999999995</v>
      </c>
      <c r="D297" s="14">
        <f>63.5701 * CHOOSE(CONTROL!$C$9, $D$9, 100%, $F$9) + CHOOSE(CONTROL!$C$27, 0.0021, 0)</f>
        <v>63.572199999999995</v>
      </c>
      <c r="E297" s="14">
        <f>63.4334 * CHOOSE(CONTROL!$C$9, $D$9, 100%, $F$9) + CHOOSE(CONTROL!$C$27, 0.0021, 0)</f>
        <v>63.435499999999998</v>
      </c>
      <c r="F297" s="14">
        <f>63.4334 * CHOOSE(CONTROL!$C$9, $D$9, 100%, $F$9) + CHOOSE(CONTROL!$C$27, 0.0021, 0)</f>
        <v>63.435499999999998</v>
      </c>
      <c r="G297" s="14">
        <f>63.7048 * CHOOSE(CONTROL!$C$9, $D$9, 100%, $F$9) + CHOOSE(CONTROL!$C$27, 0.0021, 0)</f>
        <v>63.706899999999997</v>
      </c>
      <c r="H297" s="14">
        <f>63.5701 * CHOOSE(CONTROL!$C$9, $D$9, 100%, $F$9) + CHOOSE(CONTROL!$C$27, 0.0021, 0)</f>
        <v>63.572199999999995</v>
      </c>
      <c r="I297" s="14">
        <f>63.5701 * CHOOSE(CONTROL!$C$9, $D$9, 100%, $F$9) + CHOOSE(CONTROL!$C$27, 0.0021, 0)</f>
        <v>63.572199999999995</v>
      </c>
      <c r="J297" s="14">
        <f>63.5701 * CHOOSE(CONTROL!$C$9, $D$9, 100%, $F$9) + CHOOSE(CONTROL!$C$27, 0.0021, 0)</f>
        <v>63.572199999999995</v>
      </c>
      <c r="K297" s="14">
        <f>63.5701 * CHOOSE(CONTROL!$C$9, $D$9, 100%, $F$9) + CHOOSE(CONTROL!$C$27, 0.0021, 0)</f>
        <v>63.572199999999995</v>
      </c>
      <c r="L297" s="14"/>
    </row>
    <row r="298" spans="1:12" ht="15" x14ac:dyDescent="0.2">
      <c r="A298" s="34">
        <v>49980</v>
      </c>
      <c r="B298" s="14">
        <f>64.1449 * CHOOSE(CONTROL!$C$9, $D$9, 100%, $F$9) + CHOOSE(CONTROL!$C$27, 0.0021, 0)</f>
        <v>64.147000000000006</v>
      </c>
      <c r="C298" s="14">
        <f>63.7126 * CHOOSE(CONTROL!$C$9, $D$9, 100%, $F$9) + CHOOSE(CONTROL!$C$27, 0.0021, 0)</f>
        <v>63.714700000000001</v>
      </c>
      <c r="D298" s="14">
        <f>63.7126 * CHOOSE(CONTROL!$C$9, $D$9, 100%, $F$9) + CHOOSE(CONTROL!$C$27, 0.0021, 0)</f>
        <v>63.714700000000001</v>
      </c>
      <c r="E298" s="14">
        <f>63.5759 * CHOOSE(CONTROL!$C$9, $D$9, 100%, $F$9) + CHOOSE(CONTROL!$C$27, 0.0021, 0)</f>
        <v>63.577999999999996</v>
      </c>
      <c r="F298" s="14">
        <f>63.5759 * CHOOSE(CONTROL!$C$9, $D$9, 100%, $F$9) + CHOOSE(CONTROL!$C$27, 0.0021, 0)</f>
        <v>63.577999999999996</v>
      </c>
      <c r="G298" s="14">
        <f>63.8473 * CHOOSE(CONTROL!$C$9, $D$9, 100%, $F$9) + CHOOSE(CONTROL!$C$27, 0.0021, 0)</f>
        <v>63.849399999999996</v>
      </c>
      <c r="H298" s="14">
        <f>63.7126 * CHOOSE(CONTROL!$C$9, $D$9, 100%, $F$9) + CHOOSE(CONTROL!$C$27, 0.0021, 0)</f>
        <v>63.714700000000001</v>
      </c>
      <c r="I298" s="14">
        <f>63.7126 * CHOOSE(CONTROL!$C$9, $D$9, 100%, $F$9) + CHOOSE(CONTROL!$C$27, 0.0021, 0)</f>
        <v>63.714700000000001</v>
      </c>
      <c r="J298" s="14">
        <f>63.7126 * CHOOSE(CONTROL!$C$9, $D$9, 100%, $F$9) + CHOOSE(CONTROL!$C$27, 0.0021, 0)</f>
        <v>63.714700000000001</v>
      </c>
      <c r="K298" s="14">
        <f>63.7126 * CHOOSE(CONTROL!$C$9, $D$9, 100%, $F$9) + CHOOSE(CONTROL!$C$27, 0.0021, 0)</f>
        <v>63.714700000000001</v>
      </c>
      <c r="L298" s="14"/>
    </row>
    <row r="299" spans="1:12" ht="15" x14ac:dyDescent="0.2">
      <c r="A299" s="34">
        <v>50010</v>
      </c>
      <c r="B299" s="14">
        <f>62.9321 * CHOOSE(CONTROL!$C$9, $D$9, 100%, $F$9) + CHOOSE(CONTROL!$C$27, 0.0021, 0)</f>
        <v>62.934199999999997</v>
      </c>
      <c r="C299" s="14">
        <f>62.4998 * CHOOSE(CONTROL!$C$9, $D$9, 100%, $F$9) + CHOOSE(CONTROL!$C$27, 0.0021, 0)</f>
        <v>62.501899999999999</v>
      </c>
      <c r="D299" s="14">
        <f>62.4998 * CHOOSE(CONTROL!$C$9, $D$9, 100%, $F$9) + CHOOSE(CONTROL!$C$27, 0.0021, 0)</f>
        <v>62.501899999999999</v>
      </c>
      <c r="E299" s="14">
        <f>62.3632 * CHOOSE(CONTROL!$C$9, $D$9, 100%, $F$9) + CHOOSE(CONTROL!$C$27, 0.0021, 0)</f>
        <v>62.365299999999998</v>
      </c>
      <c r="F299" s="14">
        <f>62.3632 * CHOOSE(CONTROL!$C$9, $D$9, 100%, $F$9) + CHOOSE(CONTROL!$C$27, 0.0021, 0)</f>
        <v>62.365299999999998</v>
      </c>
      <c r="G299" s="14">
        <f>62.6345 * CHOOSE(CONTROL!$C$9, $D$9, 100%, $F$9) + CHOOSE(CONTROL!$C$27, 0.0021, 0)</f>
        <v>62.636600000000001</v>
      </c>
      <c r="H299" s="14">
        <f>62.4998 * CHOOSE(CONTROL!$C$9, $D$9, 100%, $F$9) + CHOOSE(CONTROL!$C$27, 0.0021, 0)</f>
        <v>62.501899999999999</v>
      </c>
      <c r="I299" s="14">
        <f>62.4998 * CHOOSE(CONTROL!$C$9, $D$9, 100%, $F$9) + CHOOSE(CONTROL!$C$27, 0.0021, 0)</f>
        <v>62.501899999999999</v>
      </c>
      <c r="J299" s="14">
        <f>62.4998 * CHOOSE(CONTROL!$C$9, $D$9, 100%, $F$9) + CHOOSE(CONTROL!$C$27, 0.0021, 0)</f>
        <v>62.501899999999999</v>
      </c>
      <c r="K299" s="14">
        <f>62.4998 * CHOOSE(CONTROL!$C$9, $D$9, 100%, $F$9) + CHOOSE(CONTROL!$C$27, 0.0021, 0)</f>
        <v>62.501899999999999</v>
      </c>
      <c r="L299" s="14"/>
    </row>
    <row r="300" spans="1:12" ht="15" x14ac:dyDescent="0.2">
      <c r="A300" s="34">
        <v>50041</v>
      </c>
      <c r="B300" s="14">
        <f>62.1655 * CHOOSE(CONTROL!$C$9, $D$9, 100%, $F$9) + CHOOSE(CONTROL!$C$27, 0.0021, 0)</f>
        <v>62.1676</v>
      </c>
      <c r="C300" s="14">
        <f>61.7333 * CHOOSE(CONTROL!$C$9, $D$9, 100%, $F$9) + CHOOSE(CONTROL!$C$27, 0.0021, 0)</f>
        <v>61.735399999999998</v>
      </c>
      <c r="D300" s="14">
        <f>61.7333 * CHOOSE(CONTROL!$C$9, $D$9, 100%, $F$9) + CHOOSE(CONTROL!$C$27, 0.0021, 0)</f>
        <v>61.735399999999998</v>
      </c>
      <c r="E300" s="14">
        <f>61.5966 * CHOOSE(CONTROL!$C$9, $D$9, 100%, $F$9) + CHOOSE(CONTROL!$C$27, 0.0021, 0)</f>
        <v>61.598700000000001</v>
      </c>
      <c r="F300" s="14">
        <f>61.5966 * CHOOSE(CONTROL!$C$9, $D$9, 100%, $F$9) + CHOOSE(CONTROL!$C$27, 0.0021, 0)</f>
        <v>61.598700000000001</v>
      </c>
      <c r="G300" s="14">
        <f>61.868 * CHOOSE(CONTROL!$C$9, $D$9, 100%, $F$9) + CHOOSE(CONTROL!$C$27, 0.0021, 0)</f>
        <v>61.870100000000001</v>
      </c>
      <c r="H300" s="14">
        <f>61.7333 * CHOOSE(CONTROL!$C$9, $D$9, 100%, $F$9) + CHOOSE(CONTROL!$C$27, 0.0021, 0)</f>
        <v>61.735399999999998</v>
      </c>
      <c r="I300" s="14">
        <f>61.7333 * CHOOSE(CONTROL!$C$9, $D$9, 100%, $F$9) + CHOOSE(CONTROL!$C$27, 0.0021, 0)</f>
        <v>61.735399999999998</v>
      </c>
      <c r="J300" s="14">
        <f>61.7333 * CHOOSE(CONTROL!$C$9, $D$9, 100%, $F$9) + CHOOSE(CONTROL!$C$27, 0.0021, 0)</f>
        <v>61.735399999999998</v>
      </c>
      <c r="K300" s="14">
        <f>61.7333 * CHOOSE(CONTROL!$C$9, $D$9, 100%, $F$9) + CHOOSE(CONTROL!$C$27, 0.0021, 0)</f>
        <v>61.735399999999998</v>
      </c>
      <c r="L300" s="14"/>
    </row>
    <row r="301" spans="1:12" ht="15" x14ac:dyDescent="0.2">
      <c r="A301" s="34">
        <v>50072</v>
      </c>
      <c r="B301" s="14">
        <f>60.472 * CHOOSE(CONTROL!$C$9, $D$9, 100%, $F$9) + CHOOSE(CONTROL!$C$27, 0.0021, 0)</f>
        <v>60.4741</v>
      </c>
      <c r="C301" s="14">
        <f>60.0397 * CHOOSE(CONTROL!$C$9, $D$9, 100%, $F$9) + CHOOSE(CONTROL!$C$27, 0.0021, 0)</f>
        <v>60.041800000000002</v>
      </c>
      <c r="D301" s="14">
        <f>60.0397 * CHOOSE(CONTROL!$C$9, $D$9, 100%, $F$9) + CHOOSE(CONTROL!$C$27, 0.0021, 0)</f>
        <v>60.041800000000002</v>
      </c>
      <c r="E301" s="14">
        <f>59.9031 * CHOOSE(CONTROL!$C$9, $D$9, 100%, $F$9) + CHOOSE(CONTROL!$C$27, 0.0021, 0)</f>
        <v>59.905200000000001</v>
      </c>
      <c r="F301" s="14">
        <f>59.9031 * CHOOSE(CONTROL!$C$9, $D$9, 100%, $F$9) + CHOOSE(CONTROL!$C$27, 0.0021, 0)</f>
        <v>59.905200000000001</v>
      </c>
      <c r="G301" s="14">
        <f>60.1745 * CHOOSE(CONTROL!$C$9, $D$9, 100%, $F$9) + CHOOSE(CONTROL!$C$27, 0.0021, 0)</f>
        <v>60.176600000000001</v>
      </c>
      <c r="H301" s="14">
        <f>60.0397 * CHOOSE(CONTROL!$C$9, $D$9, 100%, $F$9) + CHOOSE(CONTROL!$C$27, 0.0021, 0)</f>
        <v>60.041800000000002</v>
      </c>
      <c r="I301" s="14">
        <f>60.0397 * CHOOSE(CONTROL!$C$9, $D$9, 100%, $F$9) + CHOOSE(CONTROL!$C$27, 0.0021, 0)</f>
        <v>60.041800000000002</v>
      </c>
      <c r="J301" s="14">
        <f>60.0397 * CHOOSE(CONTROL!$C$9, $D$9, 100%, $F$9) + CHOOSE(CONTROL!$C$27, 0.0021, 0)</f>
        <v>60.041800000000002</v>
      </c>
      <c r="K301" s="14">
        <f>60.0397 * CHOOSE(CONTROL!$C$9, $D$9, 100%, $F$9) + CHOOSE(CONTROL!$C$27, 0.0021, 0)</f>
        <v>60.041800000000002</v>
      </c>
      <c r="L301" s="14"/>
    </row>
    <row r="302" spans="1:12" ht="15" x14ac:dyDescent="0.2">
      <c r="A302" s="34">
        <v>50100</v>
      </c>
      <c r="B302" s="14">
        <f>59.7729 * CHOOSE(CONTROL!$C$9, $D$9, 100%, $F$9) + CHOOSE(CONTROL!$C$27, 0.0021, 0)</f>
        <v>59.774999999999999</v>
      </c>
      <c r="C302" s="14">
        <f>59.3407 * CHOOSE(CONTROL!$C$9, $D$9, 100%, $F$9) + CHOOSE(CONTROL!$C$27, 0.0021, 0)</f>
        <v>59.342799999999997</v>
      </c>
      <c r="D302" s="14">
        <f>59.3407 * CHOOSE(CONTROL!$C$9, $D$9, 100%, $F$9) + CHOOSE(CONTROL!$C$27, 0.0021, 0)</f>
        <v>59.342799999999997</v>
      </c>
      <c r="E302" s="14">
        <f>59.204 * CHOOSE(CONTROL!$C$9, $D$9, 100%, $F$9) + CHOOSE(CONTROL!$C$27, 0.0021, 0)</f>
        <v>59.206099999999999</v>
      </c>
      <c r="F302" s="14">
        <f>59.204 * CHOOSE(CONTROL!$C$9, $D$9, 100%, $F$9) + CHOOSE(CONTROL!$C$27, 0.0021, 0)</f>
        <v>59.206099999999999</v>
      </c>
      <c r="G302" s="14">
        <f>59.4754 * CHOOSE(CONTROL!$C$9, $D$9, 100%, $F$9) + CHOOSE(CONTROL!$C$27, 0.0021, 0)</f>
        <v>59.477499999999999</v>
      </c>
      <c r="H302" s="14">
        <f>59.3407 * CHOOSE(CONTROL!$C$9, $D$9, 100%, $F$9) + CHOOSE(CONTROL!$C$27, 0.0021, 0)</f>
        <v>59.342799999999997</v>
      </c>
      <c r="I302" s="14">
        <f>59.3407 * CHOOSE(CONTROL!$C$9, $D$9, 100%, $F$9) + CHOOSE(CONTROL!$C$27, 0.0021, 0)</f>
        <v>59.342799999999997</v>
      </c>
      <c r="J302" s="14">
        <f>59.3407 * CHOOSE(CONTROL!$C$9, $D$9, 100%, $F$9) + CHOOSE(CONTROL!$C$27, 0.0021, 0)</f>
        <v>59.342799999999997</v>
      </c>
      <c r="K302" s="14">
        <f>59.3407 * CHOOSE(CONTROL!$C$9, $D$9, 100%, $F$9) + CHOOSE(CONTROL!$C$27, 0.0021, 0)</f>
        <v>59.342799999999997</v>
      </c>
      <c r="L302" s="14"/>
    </row>
    <row r="303" spans="1:12" ht="15" x14ac:dyDescent="0.2">
      <c r="A303" s="34">
        <v>50131</v>
      </c>
      <c r="B303" s="14">
        <f>58.9382 * CHOOSE(CONTROL!$C$9, $D$9, 100%, $F$9) + CHOOSE(CONTROL!$C$27, 0.0021, 0)</f>
        <v>58.940300000000001</v>
      </c>
      <c r="C303" s="14">
        <f>58.5059 * CHOOSE(CONTROL!$C$9, $D$9, 100%, $F$9) + CHOOSE(CONTROL!$C$27, 0.0021, 0)</f>
        <v>58.507999999999996</v>
      </c>
      <c r="D303" s="14">
        <f>58.5059 * CHOOSE(CONTROL!$C$9, $D$9, 100%, $F$9) + CHOOSE(CONTROL!$C$27, 0.0021, 0)</f>
        <v>58.507999999999996</v>
      </c>
      <c r="E303" s="14">
        <f>58.3693 * CHOOSE(CONTROL!$C$9, $D$9, 100%, $F$9) + CHOOSE(CONTROL!$C$27, 0.0021, 0)</f>
        <v>58.371400000000001</v>
      </c>
      <c r="F303" s="14">
        <f>58.3693 * CHOOSE(CONTROL!$C$9, $D$9, 100%, $F$9) + CHOOSE(CONTROL!$C$27, 0.0021, 0)</f>
        <v>58.371400000000001</v>
      </c>
      <c r="G303" s="14">
        <f>58.6406 * CHOOSE(CONTROL!$C$9, $D$9, 100%, $F$9) + CHOOSE(CONTROL!$C$27, 0.0021, 0)</f>
        <v>58.642699999999998</v>
      </c>
      <c r="H303" s="14">
        <f>58.5059 * CHOOSE(CONTROL!$C$9, $D$9, 100%, $F$9) + CHOOSE(CONTROL!$C$27, 0.0021, 0)</f>
        <v>58.507999999999996</v>
      </c>
      <c r="I303" s="14">
        <f>58.5059 * CHOOSE(CONTROL!$C$9, $D$9, 100%, $F$9) + CHOOSE(CONTROL!$C$27, 0.0021, 0)</f>
        <v>58.507999999999996</v>
      </c>
      <c r="J303" s="14">
        <f>58.5059 * CHOOSE(CONTROL!$C$9, $D$9, 100%, $F$9) + CHOOSE(CONTROL!$C$27, 0.0021, 0)</f>
        <v>58.507999999999996</v>
      </c>
      <c r="K303" s="14">
        <f>58.5059 * CHOOSE(CONTROL!$C$9, $D$9, 100%, $F$9) + CHOOSE(CONTROL!$C$27, 0.0021, 0)</f>
        <v>58.507999999999996</v>
      </c>
      <c r="L303" s="14"/>
    </row>
    <row r="304" spans="1:12" ht="15" x14ac:dyDescent="0.2">
      <c r="A304" s="34">
        <v>50161</v>
      </c>
      <c r="B304" s="14">
        <f>60.1278 * CHOOSE(CONTROL!$C$9, $D$9, 100%, $F$9) + CHOOSE(CONTROL!$C$27, 0.0021, 0)</f>
        <v>60.129899999999999</v>
      </c>
      <c r="C304" s="14">
        <f>59.6955 * CHOOSE(CONTROL!$C$9, $D$9, 100%, $F$9) + CHOOSE(CONTROL!$C$27, 0.0021, 0)</f>
        <v>59.697600000000001</v>
      </c>
      <c r="D304" s="14">
        <f>59.6955 * CHOOSE(CONTROL!$C$9, $D$9, 100%, $F$9) + CHOOSE(CONTROL!$C$27, 0.0021, 0)</f>
        <v>59.697600000000001</v>
      </c>
      <c r="E304" s="14">
        <f>59.5589 * CHOOSE(CONTROL!$C$9, $D$9, 100%, $F$9) + CHOOSE(CONTROL!$C$27, 0.0021, 0)</f>
        <v>59.561</v>
      </c>
      <c r="F304" s="14">
        <f>59.5589 * CHOOSE(CONTROL!$C$9, $D$9, 100%, $F$9) + CHOOSE(CONTROL!$C$27, 0.0021, 0)</f>
        <v>59.561</v>
      </c>
      <c r="G304" s="14">
        <f>59.8302 * CHOOSE(CONTROL!$C$9, $D$9, 100%, $F$9) + CHOOSE(CONTROL!$C$27, 0.0021, 0)</f>
        <v>59.832299999999996</v>
      </c>
      <c r="H304" s="14">
        <f>59.6955 * CHOOSE(CONTROL!$C$9, $D$9, 100%, $F$9) + CHOOSE(CONTROL!$C$27, 0.0021, 0)</f>
        <v>59.697600000000001</v>
      </c>
      <c r="I304" s="14">
        <f>59.6955 * CHOOSE(CONTROL!$C$9, $D$9, 100%, $F$9) + CHOOSE(CONTROL!$C$27, 0.0021, 0)</f>
        <v>59.697600000000001</v>
      </c>
      <c r="J304" s="14">
        <f>59.6955 * CHOOSE(CONTROL!$C$9, $D$9, 100%, $F$9) + CHOOSE(CONTROL!$C$27, 0.0021, 0)</f>
        <v>59.697600000000001</v>
      </c>
      <c r="K304" s="14">
        <f>59.6955 * CHOOSE(CONTROL!$C$9, $D$9, 100%, $F$9) + CHOOSE(CONTROL!$C$27, 0.0021, 0)</f>
        <v>59.697600000000001</v>
      </c>
      <c r="L304" s="14"/>
    </row>
    <row r="305" spans="1:12" ht="15" x14ac:dyDescent="0.2">
      <c r="A305" s="34">
        <v>50192</v>
      </c>
      <c r="B305" s="14">
        <f>60.8403 * CHOOSE(CONTROL!$C$9, $D$9, 100%, $F$9) + CHOOSE(CONTROL!$C$27, 0.0021, 0)</f>
        <v>60.842399999999998</v>
      </c>
      <c r="C305" s="14">
        <f>60.408 * CHOOSE(CONTROL!$C$9, $D$9, 100%, $F$9) + CHOOSE(CONTROL!$C$27, 0.0021, 0)</f>
        <v>60.4101</v>
      </c>
      <c r="D305" s="14">
        <f>60.408 * CHOOSE(CONTROL!$C$9, $D$9, 100%, $F$9) + CHOOSE(CONTROL!$C$27, 0.0021, 0)</f>
        <v>60.4101</v>
      </c>
      <c r="E305" s="14">
        <f>60.2714 * CHOOSE(CONTROL!$C$9, $D$9, 100%, $F$9) + CHOOSE(CONTROL!$C$27, 0.0021, 0)</f>
        <v>60.273499999999999</v>
      </c>
      <c r="F305" s="14">
        <f>60.2714 * CHOOSE(CONTROL!$C$9, $D$9, 100%, $F$9) + CHOOSE(CONTROL!$C$27, 0.0021, 0)</f>
        <v>60.273499999999999</v>
      </c>
      <c r="G305" s="14">
        <f>60.5427 * CHOOSE(CONTROL!$C$9, $D$9, 100%, $F$9) + CHOOSE(CONTROL!$C$27, 0.0021, 0)</f>
        <v>60.544800000000002</v>
      </c>
      <c r="H305" s="14">
        <f>60.408 * CHOOSE(CONTROL!$C$9, $D$9, 100%, $F$9) + CHOOSE(CONTROL!$C$27, 0.0021, 0)</f>
        <v>60.4101</v>
      </c>
      <c r="I305" s="14">
        <f>60.408 * CHOOSE(CONTROL!$C$9, $D$9, 100%, $F$9) + CHOOSE(CONTROL!$C$27, 0.0021, 0)</f>
        <v>60.4101</v>
      </c>
      <c r="J305" s="14">
        <f>60.408 * CHOOSE(CONTROL!$C$9, $D$9, 100%, $F$9) + CHOOSE(CONTROL!$C$27, 0.0021, 0)</f>
        <v>60.4101</v>
      </c>
      <c r="K305" s="14">
        <f>60.408 * CHOOSE(CONTROL!$C$9, $D$9, 100%, $F$9) + CHOOSE(CONTROL!$C$27, 0.0021, 0)</f>
        <v>60.4101</v>
      </c>
      <c r="L305" s="14"/>
    </row>
    <row r="306" spans="1:12" ht="15" x14ac:dyDescent="0.2">
      <c r="A306" s="34">
        <v>50222</v>
      </c>
      <c r="B306" s="14">
        <f>62.0157 * CHOOSE(CONTROL!$C$9, $D$9, 100%, $F$9) + CHOOSE(CONTROL!$C$27, 0.0021, 0)</f>
        <v>62.017800000000001</v>
      </c>
      <c r="C306" s="14">
        <f>61.5834 * CHOOSE(CONTROL!$C$9, $D$9, 100%, $F$9) + CHOOSE(CONTROL!$C$27, 0.0021, 0)</f>
        <v>61.585499999999996</v>
      </c>
      <c r="D306" s="14">
        <f>61.5834 * CHOOSE(CONTROL!$C$9, $D$9, 100%, $F$9) + CHOOSE(CONTROL!$C$27, 0.0021, 0)</f>
        <v>61.585499999999996</v>
      </c>
      <c r="E306" s="14">
        <f>61.4468 * CHOOSE(CONTROL!$C$9, $D$9, 100%, $F$9) + CHOOSE(CONTROL!$C$27, 0.0021, 0)</f>
        <v>61.448900000000002</v>
      </c>
      <c r="F306" s="14">
        <f>61.4468 * CHOOSE(CONTROL!$C$9, $D$9, 100%, $F$9) + CHOOSE(CONTROL!$C$27, 0.0021, 0)</f>
        <v>61.448900000000002</v>
      </c>
      <c r="G306" s="14">
        <f>61.7181 * CHOOSE(CONTROL!$C$9, $D$9, 100%, $F$9) + CHOOSE(CONTROL!$C$27, 0.0021, 0)</f>
        <v>61.720199999999998</v>
      </c>
      <c r="H306" s="14">
        <f>61.5834 * CHOOSE(CONTROL!$C$9, $D$9, 100%, $F$9) + CHOOSE(CONTROL!$C$27, 0.0021, 0)</f>
        <v>61.585499999999996</v>
      </c>
      <c r="I306" s="14">
        <f>61.5834 * CHOOSE(CONTROL!$C$9, $D$9, 100%, $F$9) + CHOOSE(CONTROL!$C$27, 0.0021, 0)</f>
        <v>61.585499999999996</v>
      </c>
      <c r="J306" s="14">
        <f>61.5834 * CHOOSE(CONTROL!$C$9, $D$9, 100%, $F$9) + CHOOSE(CONTROL!$C$27, 0.0021, 0)</f>
        <v>61.585499999999996</v>
      </c>
      <c r="K306" s="14">
        <f>61.5834 * CHOOSE(CONTROL!$C$9, $D$9, 100%, $F$9) + CHOOSE(CONTROL!$C$27, 0.0021, 0)</f>
        <v>61.585499999999996</v>
      </c>
      <c r="L306" s="14"/>
    </row>
    <row r="307" spans="1:12" ht="15" x14ac:dyDescent="0.2">
      <c r="A307" s="34">
        <v>50253</v>
      </c>
      <c r="B307" s="14">
        <f>62.3744 * CHOOSE(CONTROL!$C$9, $D$9, 100%, $F$9) + CHOOSE(CONTROL!$C$27, 0.0021, 0)</f>
        <v>62.3765</v>
      </c>
      <c r="C307" s="14">
        <f>61.9422 * CHOOSE(CONTROL!$C$9, $D$9, 100%, $F$9) + CHOOSE(CONTROL!$C$27, 0.0021, 0)</f>
        <v>61.944299999999998</v>
      </c>
      <c r="D307" s="14">
        <f>61.9422 * CHOOSE(CONTROL!$C$9, $D$9, 100%, $F$9) + CHOOSE(CONTROL!$C$27, 0.0021, 0)</f>
        <v>61.944299999999998</v>
      </c>
      <c r="E307" s="14">
        <f>61.8055 * CHOOSE(CONTROL!$C$9, $D$9, 100%, $F$9) + CHOOSE(CONTROL!$C$27, 0.0021, 0)</f>
        <v>61.807600000000001</v>
      </c>
      <c r="F307" s="14">
        <f>61.8055 * CHOOSE(CONTROL!$C$9, $D$9, 100%, $F$9) + CHOOSE(CONTROL!$C$27, 0.0021, 0)</f>
        <v>61.807600000000001</v>
      </c>
      <c r="G307" s="14">
        <f>62.0769 * CHOOSE(CONTROL!$C$9, $D$9, 100%, $F$9) + CHOOSE(CONTROL!$C$27, 0.0021, 0)</f>
        <v>62.079000000000001</v>
      </c>
      <c r="H307" s="14">
        <f>61.9422 * CHOOSE(CONTROL!$C$9, $D$9, 100%, $F$9) + CHOOSE(CONTROL!$C$27, 0.0021, 0)</f>
        <v>61.944299999999998</v>
      </c>
      <c r="I307" s="14">
        <f>61.9422 * CHOOSE(CONTROL!$C$9, $D$9, 100%, $F$9) + CHOOSE(CONTROL!$C$27, 0.0021, 0)</f>
        <v>61.944299999999998</v>
      </c>
      <c r="J307" s="14">
        <f>61.9422 * CHOOSE(CONTROL!$C$9, $D$9, 100%, $F$9) + CHOOSE(CONTROL!$C$27, 0.0021, 0)</f>
        <v>61.944299999999998</v>
      </c>
      <c r="K307" s="14">
        <f>61.9422 * CHOOSE(CONTROL!$C$9, $D$9, 100%, $F$9) + CHOOSE(CONTROL!$C$27, 0.0021, 0)</f>
        <v>61.944299999999998</v>
      </c>
      <c r="L307" s="14"/>
    </row>
    <row r="308" spans="1:12" ht="15" x14ac:dyDescent="0.2">
      <c r="A308" s="34">
        <v>50284</v>
      </c>
      <c r="B308" s="14">
        <f>63.5962 * CHOOSE(CONTROL!$C$9, $D$9, 100%, $F$9) + CHOOSE(CONTROL!$C$27, 0.0021, 0)</f>
        <v>63.598300000000002</v>
      </c>
      <c r="C308" s="14">
        <f>63.164 * CHOOSE(CONTROL!$C$9, $D$9, 100%, $F$9) + CHOOSE(CONTROL!$C$27, 0.0021, 0)</f>
        <v>63.1661</v>
      </c>
      <c r="D308" s="14">
        <f>63.164 * CHOOSE(CONTROL!$C$9, $D$9, 100%, $F$9) + CHOOSE(CONTROL!$C$27, 0.0021, 0)</f>
        <v>63.1661</v>
      </c>
      <c r="E308" s="14">
        <f>63.0273 * CHOOSE(CONTROL!$C$9, $D$9, 100%, $F$9) + CHOOSE(CONTROL!$C$27, 0.0021, 0)</f>
        <v>63.029399999999995</v>
      </c>
      <c r="F308" s="14">
        <f>63.0273 * CHOOSE(CONTROL!$C$9, $D$9, 100%, $F$9) + CHOOSE(CONTROL!$C$27, 0.0021, 0)</f>
        <v>63.029399999999995</v>
      </c>
      <c r="G308" s="14">
        <f>63.2987 * CHOOSE(CONTROL!$C$9, $D$9, 100%, $F$9) + CHOOSE(CONTROL!$C$27, 0.0021, 0)</f>
        <v>63.300799999999995</v>
      </c>
      <c r="H308" s="14">
        <f>63.164 * CHOOSE(CONTROL!$C$9, $D$9, 100%, $F$9) + CHOOSE(CONTROL!$C$27, 0.0021, 0)</f>
        <v>63.1661</v>
      </c>
      <c r="I308" s="14">
        <f>63.164 * CHOOSE(CONTROL!$C$9, $D$9, 100%, $F$9) + CHOOSE(CONTROL!$C$27, 0.0021, 0)</f>
        <v>63.1661</v>
      </c>
      <c r="J308" s="14">
        <f>63.164 * CHOOSE(CONTROL!$C$9, $D$9, 100%, $F$9) + CHOOSE(CONTROL!$C$27, 0.0021, 0)</f>
        <v>63.1661</v>
      </c>
      <c r="K308" s="14">
        <f>63.164 * CHOOSE(CONTROL!$C$9, $D$9, 100%, $F$9) + CHOOSE(CONTROL!$C$27, 0.0021, 0)</f>
        <v>63.1661</v>
      </c>
      <c r="L308" s="14"/>
    </row>
    <row r="309" spans="1:12" ht="15" x14ac:dyDescent="0.2">
      <c r="A309" s="34">
        <v>50314</v>
      </c>
      <c r="B309" s="14">
        <f>65.1427 * CHOOSE(CONTROL!$C$9, $D$9, 100%, $F$9) + CHOOSE(CONTROL!$C$27, 0.0021, 0)</f>
        <v>65.144800000000004</v>
      </c>
      <c r="C309" s="14">
        <f>64.7105 * CHOOSE(CONTROL!$C$9, $D$9, 100%, $F$9) + CHOOSE(CONTROL!$C$27, 0.0021, 0)</f>
        <v>64.712599999999995</v>
      </c>
      <c r="D309" s="14">
        <f>64.7105 * CHOOSE(CONTROL!$C$9, $D$9, 100%, $F$9) + CHOOSE(CONTROL!$C$27, 0.0021, 0)</f>
        <v>64.712599999999995</v>
      </c>
      <c r="E309" s="14">
        <f>64.5738 * CHOOSE(CONTROL!$C$9, $D$9, 100%, $F$9) + CHOOSE(CONTROL!$C$27, 0.0021, 0)</f>
        <v>64.575900000000004</v>
      </c>
      <c r="F309" s="14">
        <f>64.5738 * CHOOSE(CONTROL!$C$9, $D$9, 100%, $F$9) + CHOOSE(CONTROL!$C$27, 0.0021, 0)</f>
        <v>64.575900000000004</v>
      </c>
      <c r="G309" s="14">
        <f>64.8452 * CHOOSE(CONTROL!$C$9, $D$9, 100%, $F$9) + CHOOSE(CONTROL!$C$27, 0.0021, 0)</f>
        <v>64.847300000000004</v>
      </c>
      <c r="H309" s="14">
        <f>64.7105 * CHOOSE(CONTROL!$C$9, $D$9, 100%, $F$9) + CHOOSE(CONTROL!$C$27, 0.0021, 0)</f>
        <v>64.712599999999995</v>
      </c>
      <c r="I309" s="14">
        <f>64.7105 * CHOOSE(CONTROL!$C$9, $D$9, 100%, $F$9) + CHOOSE(CONTROL!$C$27, 0.0021, 0)</f>
        <v>64.712599999999995</v>
      </c>
      <c r="J309" s="14">
        <f>64.7105 * CHOOSE(CONTROL!$C$9, $D$9, 100%, $F$9) + CHOOSE(CONTROL!$C$27, 0.0021, 0)</f>
        <v>64.712599999999995</v>
      </c>
      <c r="K309" s="14">
        <f>64.7105 * CHOOSE(CONTROL!$C$9, $D$9, 100%, $F$9) + CHOOSE(CONTROL!$C$27, 0.0021, 0)</f>
        <v>64.712599999999995</v>
      </c>
      <c r="L309" s="14"/>
    </row>
    <row r="310" spans="1:12" ht="15" x14ac:dyDescent="0.2">
      <c r="A310" s="34">
        <v>50345</v>
      </c>
      <c r="B310" s="14">
        <f>65.2879 * CHOOSE(CONTROL!$C$9, $D$9, 100%, $F$9) + CHOOSE(CONTROL!$C$27, 0.0021, 0)</f>
        <v>65.289999999999992</v>
      </c>
      <c r="C310" s="14">
        <f>64.8557 * CHOOSE(CONTROL!$C$9, $D$9, 100%, $F$9) + CHOOSE(CONTROL!$C$27, 0.0021, 0)</f>
        <v>64.857799999999997</v>
      </c>
      <c r="D310" s="14">
        <f>64.8557 * CHOOSE(CONTROL!$C$9, $D$9, 100%, $F$9) + CHOOSE(CONTROL!$C$27, 0.0021, 0)</f>
        <v>64.857799999999997</v>
      </c>
      <c r="E310" s="14">
        <f>64.719 * CHOOSE(CONTROL!$C$9, $D$9, 100%, $F$9) + CHOOSE(CONTROL!$C$27, 0.0021, 0)</f>
        <v>64.721099999999993</v>
      </c>
      <c r="F310" s="14">
        <f>64.719 * CHOOSE(CONTROL!$C$9, $D$9, 100%, $F$9) + CHOOSE(CONTROL!$C$27, 0.0021, 0)</f>
        <v>64.721099999999993</v>
      </c>
      <c r="G310" s="14">
        <f>64.9904 * CHOOSE(CONTROL!$C$9, $D$9, 100%, $F$9) + CHOOSE(CONTROL!$C$27, 0.0021, 0)</f>
        <v>64.992499999999993</v>
      </c>
      <c r="H310" s="14">
        <f>64.8557 * CHOOSE(CONTROL!$C$9, $D$9, 100%, $F$9) + CHOOSE(CONTROL!$C$27, 0.0021, 0)</f>
        <v>64.857799999999997</v>
      </c>
      <c r="I310" s="14">
        <f>64.8557 * CHOOSE(CONTROL!$C$9, $D$9, 100%, $F$9) + CHOOSE(CONTROL!$C$27, 0.0021, 0)</f>
        <v>64.857799999999997</v>
      </c>
      <c r="J310" s="14">
        <f>64.8557 * CHOOSE(CONTROL!$C$9, $D$9, 100%, $F$9) + CHOOSE(CONTROL!$C$27, 0.0021, 0)</f>
        <v>64.857799999999997</v>
      </c>
      <c r="K310" s="14">
        <f>64.8557 * CHOOSE(CONTROL!$C$9, $D$9, 100%, $F$9) + CHOOSE(CONTROL!$C$27, 0.0021, 0)</f>
        <v>64.857799999999997</v>
      </c>
      <c r="L310" s="14"/>
    </row>
    <row r="311" spans="1:12" ht="15" x14ac:dyDescent="0.2">
      <c r="A311" s="34">
        <v>50375</v>
      </c>
      <c r="B311" s="14">
        <f>64.0527 * CHOOSE(CONTROL!$C$9, $D$9, 100%, $F$9) + CHOOSE(CONTROL!$C$27, 0.0021, 0)</f>
        <v>64.0548</v>
      </c>
      <c r="C311" s="14">
        <f>63.6205 * CHOOSE(CONTROL!$C$9, $D$9, 100%, $F$9) + CHOOSE(CONTROL!$C$27, 0.0021, 0)</f>
        <v>63.622599999999998</v>
      </c>
      <c r="D311" s="14">
        <f>63.6205 * CHOOSE(CONTROL!$C$9, $D$9, 100%, $F$9) + CHOOSE(CONTROL!$C$27, 0.0021, 0)</f>
        <v>63.622599999999998</v>
      </c>
      <c r="E311" s="14">
        <f>63.4838 * CHOOSE(CONTROL!$C$9, $D$9, 100%, $F$9) + CHOOSE(CONTROL!$C$27, 0.0021, 0)</f>
        <v>63.485900000000001</v>
      </c>
      <c r="F311" s="14">
        <f>63.4838 * CHOOSE(CONTROL!$C$9, $D$9, 100%, $F$9) + CHOOSE(CONTROL!$C$27, 0.0021, 0)</f>
        <v>63.485900000000001</v>
      </c>
      <c r="G311" s="14">
        <f>63.7552 * CHOOSE(CONTROL!$C$9, $D$9, 100%, $F$9) + CHOOSE(CONTROL!$C$27, 0.0021, 0)</f>
        <v>63.757300000000001</v>
      </c>
      <c r="H311" s="14">
        <f>63.6205 * CHOOSE(CONTROL!$C$9, $D$9, 100%, $F$9) + CHOOSE(CONTROL!$C$27, 0.0021, 0)</f>
        <v>63.622599999999998</v>
      </c>
      <c r="I311" s="14">
        <f>63.6205 * CHOOSE(CONTROL!$C$9, $D$9, 100%, $F$9) + CHOOSE(CONTROL!$C$27, 0.0021, 0)</f>
        <v>63.622599999999998</v>
      </c>
      <c r="J311" s="14">
        <f>63.6205 * CHOOSE(CONTROL!$C$9, $D$9, 100%, $F$9) + CHOOSE(CONTROL!$C$27, 0.0021, 0)</f>
        <v>63.622599999999998</v>
      </c>
      <c r="K311" s="14">
        <f>63.6205 * CHOOSE(CONTROL!$C$9, $D$9, 100%, $F$9) + CHOOSE(CONTROL!$C$27, 0.0021, 0)</f>
        <v>63.622599999999998</v>
      </c>
      <c r="L311" s="14"/>
    </row>
    <row r="312" spans="1:12" ht="15.75" x14ac:dyDescent="0.25">
      <c r="A312" s="33">
        <v>50436</v>
      </c>
      <c r="B312" s="14">
        <f>63.272 * CHOOSE(CONTROL!$C$9, $D$9, 100%, $F$9) + CHOOSE(CONTROL!$C$27, 0.0021, 0)</f>
        <v>63.274099999999997</v>
      </c>
      <c r="C312" s="14">
        <f>62.8398 * CHOOSE(CONTROL!$C$9, $D$9, 100%, $F$9) + CHOOSE(CONTROL!$C$27, 0.0021, 0)</f>
        <v>62.841899999999995</v>
      </c>
      <c r="D312" s="14">
        <f>62.8398 * CHOOSE(CONTROL!$C$9, $D$9, 100%, $F$9) + CHOOSE(CONTROL!$C$27, 0.0021, 0)</f>
        <v>62.841899999999995</v>
      </c>
      <c r="E312" s="14">
        <f>62.7031 * CHOOSE(CONTROL!$C$9, $D$9, 100%, $F$9) + CHOOSE(CONTROL!$C$27, 0.0021, 0)</f>
        <v>62.705199999999998</v>
      </c>
      <c r="F312" s="14">
        <f>62.7031 * CHOOSE(CONTROL!$C$9, $D$9, 100%, $F$9) + CHOOSE(CONTROL!$C$27, 0.0021, 0)</f>
        <v>62.705199999999998</v>
      </c>
      <c r="G312" s="14">
        <f>62.9745 * CHOOSE(CONTROL!$C$9, $D$9, 100%, $F$9) + CHOOSE(CONTROL!$C$27, 0.0021, 0)</f>
        <v>62.976599999999998</v>
      </c>
      <c r="H312" s="14">
        <f>62.8398 * CHOOSE(CONTROL!$C$9, $D$9, 100%, $F$9) + CHOOSE(CONTROL!$C$27, 0.0021, 0)</f>
        <v>62.841899999999995</v>
      </c>
      <c r="I312" s="14">
        <f>62.8398 * CHOOSE(CONTROL!$C$9, $D$9, 100%, $F$9) + CHOOSE(CONTROL!$C$27, 0.0021, 0)</f>
        <v>62.841899999999995</v>
      </c>
      <c r="J312" s="14">
        <f>62.8398 * CHOOSE(CONTROL!$C$9, $D$9, 100%, $F$9) + CHOOSE(CONTROL!$C$27, 0.0021, 0)</f>
        <v>62.841899999999995</v>
      </c>
      <c r="K312" s="14">
        <f>62.8398 * CHOOSE(CONTROL!$C$9, $D$9, 100%, $F$9) + CHOOSE(CONTROL!$C$27, 0.0021, 0)</f>
        <v>62.841899999999995</v>
      </c>
      <c r="L312" s="14"/>
    </row>
    <row r="313" spans="1:12" ht="15.75" x14ac:dyDescent="0.25">
      <c r="A313" s="33">
        <v>50464</v>
      </c>
      <c r="B313" s="14">
        <f>61.5472 * CHOOSE(CONTROL!$C$9, $D$9, 100%, $F$9) + CHOOSE(CONTROL!$C$27, 0.0021, 0)</f>
        <v>61.549299999999995</v>
      </c>
      <c r="C313" s="14">
        <f>61.1149 * CHOOSE(CONTROL!$C$9, $D$9, 100%, $F$9) + CHOOSE(CONTROL!$C$27, 0.0021, 0)</f>
        <v>61.116999999999997</v>
      </c>
      <c r="D313" s="14">
        <f>61.1149 * CHOOSE(CONTROL!$C$9, $D$9, 100%, $F$9) + CHOOSE(CONTROL!$C$27, 0.0021, 0)</f>
        <v>61.116999999999997</v>
      </c>
      <c r="E313" s="14">
        <f>60.9783 * CHOOSE(CONTROL!$C$9, $D$9, 100%, $F$9) + CHOOSE(CONTROL!$C$27, 0.0021, 0)</f>
        <v>60.980399999999996</v>
      </c>
      <c r="F313" s="14">
        <f>60.9783 * CHOOSE(CONTROL!$C$9, $D$9, 100%, $F$9) + CHOOSE(CONTROL!$C$27, 0.0021, 0)</f>
        <v>60.980399999999996</v>
      </c>
      <c r="G313" s="14">
        <f>61.2497 * CHOOSE(CONTROL!$C$9, $D$9, 100%, $F$9) + CHOOSE(CONTROL!$C$27, 0.0021, 0)</f>
        <v>61.251799999999996</v>
      </c>
      <c r="H313" s="14">
        <f>61.1149 * CHOOSE(CONTROL!$C$9, $D$9, 100%, $F$9) + CHOOSE(CONTROL!$C$27, 0.0021, 0)</f>
        <v>61.116999999999997</v>
      </c>
      <c r="I313" s="14">
        <f>61.1149 * CHOOSE(CONTROL!$C$9, $D$9, 100%, $F$9) + CHOOSE(CONTROL!$C$27, 0.0021, 0)</f>
        <v>61.116999999999997</v>
      </c>
      <c r="J313" s="14">
        <f>61.1149 * CHOOSE(CONTROL!$C$9, $D$9, 100%, $F$9) + CHOOSE(CONTROL!$C$27, 0.0021, 0)</f>
        <v>61.116999999999997</v>
      </c>
      <c r="K313" s="14">
        <f>61.1149 * CHOOSE(CONTROL!$C$9, $D$9, 100%, $F$9) + CHOOSE(CONTROL!$C$27, 0.0021, 0)</f>
        <v>61.116999999999997</v>
      </c>
      <c r="L313" s="14"/>
    </row>
    <row r="314" spans="1:12" ht="15.75" x14ac:dyDescent="0.25">
      <c r="A314" s="33">
        <v>50495</v>
      </c>
      <c r="B314" s="14">
        <f>60.8352 * CHOOSE(CONTROL!$C$9, $D$9, 100%, $F$9) + CHOOSE(CONTROL!$C$27, 0.0021, 0)</f>
        <v>60.837299999999999</v>
      </c>
      <c r="C314" s="14">
        <f>60.4029 * CHOOSE(CONTROL!$C$9, $D$9, 100%, $F$9) + CHOOSE(CONTROL!$C$27, 0.0021, 0)</f>
        <v>60.405000000000001</v>
      </c>
      <c r="D314" s="14">
        <f>60.4029 * CHOOSE(CONTROL!$C$9, $D$9, 100%, $F$9) + CHOOSE(CONTROL!$C$27, 0.0021, 0)</f>
        <v>60.405000000000001</v>
      </c>
      <c r="E314" s="14">
        <f>60.2663 * CHOOSE(CONTROL!$C$9, $D$9, 100%, $F$9) + CHOOSE(CONTROL!$C$27, 0.0021, 0)</f>
        <v>60.2684</v>
      </c>
      <c r="F314" s="14">
        <f>60.2663 * CHOOSE(CONTROL!$C$9, $D$9, 100%, $F$9) + CHOOSE(CONTROL!$C$27, 0.0021, 0)</f>
        <v>60.2684</v>
      </c>
      <c r="G314" s="14">
        <f>60.5377 * CHOOSE(CONTROL!$C$9, $D$9, 100%, $F$9) + CHOOSE(CONTROL!$C$27, 0.0021, 0)</f>
        <v>60.5398</v>
      </c>
      <c r="H314" s="14">
        <f>60.4029 * CHOOSE(CONTROL!$C$9, $D$9, 100%, $F$9) + CHOOSE(CONTROL!$C$27, 0.0021, 0)</f>
        <v>60.405000000000001</v>
      </c>
      <c r="I314" s="14">
        <f>60.4029 * CHOOSE(CONTROL!$C$9, $D$9, 100%, $F$9) + CHOOSE(CONTROL!$C$27, 0.0021, 0)</f>
        <v>60.405000000000001</v>
      </c>
      <c r="J314" s="14">
        <f>60.4029 * CHOOSE(CONTROL!$C$9, $D$9, 100%, $F$9) + CHOOSE(CONTROL!$C$27, 0.0021, 0)</f>
        <v>60.405000000000001</v>
      </c>
      <c r="K314" s="14">
        <f>60.4029 * CHOOSE(CONTROL!$C$9, $D$9, 100%, $F$9) + CHOOSE(CONTROL!$C$27, 0.0021, 0)</f>
        <v>60.405000000000001</v>
      </c>
      <c r="L314" s="14"/>
    </row>
    <row r="315" spans="1:12" ht="15.75" x14ac:dyDescent="0.25">
      <c r="A315" s="33">
        <v>50525</v>
      </c>
      <c r="B315" s="14">
        <f>59.985 * CHOOSE(CONTROL!$C$9, $D$9, 100%, $F$9) + CHOOSE(CONTROL!$C$27, 0.0021, 0)</f>
        <v>59.987099999999998</v>
      </c>
      <c r="C315" s="14">
        <f>59.5528 * CHOOSE(CONTROL!$C$9, $D$9, 100%, $F$9) + CHOOSE(CONTROL!$C$27, 0.0021, 0)</f>
        <v>59.554899999999996</v>
      </c>
      <c r="D315" s="14">
        <f>59.5528 * CHOOSE(CONTROL!$C$9, $D$9, 100%, $F$9) + CHOOSE(CONTROL!$C$27, 0.0021, 0)</f>
        <v>59.554899999999996</v>
      </c>
      <c r="E315" s="14">
        <f>59.4161 * CHOOSE(CONTROL!$C$9, $D$9, 100%, $F$9) + CHOOSE(CONTROL!$C$27, 0.0021, 0)</f>
        <v>59.418199999999999</v>
      </c>
      <c r="F315" s="14">
        <f>59.4161 * CHOOSE(CONTROL!$C$9, $D$9, 100%, $F$9) + CHOOSE(CONTROL!$C$27, 0.0021, 0)</f>
        <v>59.418199999999999</v>
      </c>
      <c r="G315" s="14">
        <f>59.6875 * CHOOSE(CONTROL!$C$9, $D$9, 100%, $F$9) + CHOOSE(CONTROL!$C$27, 0.0021, 0)</f>
        <v>59.689599999999999</v>
      </c>
      <c r="H315" s="14">
        <f>59.5528 * CHOOSE(CONTROL!$C$9, $D$9, 100%, $F$9) + CHOOSE(CONTROL!$C$27, 0.0021, 0)</f>
        <v>59.554899999999996</v>
      </c>
      <c r="I315" s="14">
        <f>59.5528 * CHOOSE(CONTROL!$C$9, $D$9, 100%, $F$9) + CHOOSE(CONTROL!$C$27, 0.0021, 0)</f>
        <v>59.554899999999996</v>
      </c>
      <c r="J315" s="14">
        <f>59.5528 * CHOOSE(CONTROL!$C$9, $D$9, 100%, $F$9) + CHOOSE(CONTROL!$C$27, 0.0021, 0)</f>
        <v>59.554899999999996</v>
      </c>
      <c r="K315" s="14">
        <f>59.5528 * CHOOSE(CONTROL!$C$9, $D$9, 100%, $F$9) + CHOOSE(CONTROL!$C$27, 0.0021, 0)</f>
        <v>59.554899999999996</v>
      </c>
      <c r="L315" s="14"/>
    </row>
    <row r="316" spans="1:12" ht="15.75" x14ac:dyDescent="0.25">
      <c r="A316" s="33">
        <v>50556</v>
      </c>
      <c r="B316" s="14">
        <f>61.1966 * CHOOSE(CONTROL!$C$9, $D$9, 100%, $F$9) + CHOOSE(CONTROL!$C$27, 0.0021, 0)</f>
        <v>61.198699999999995</v>
      </c>
      <c r="C316" s="14">
        <f>60.7644 * CHOOSE(CONTROL!$C$9, $D$9, 100%, $F$9) + CHOOSE(CONTROL!$C$27, 0.0021, 0)</f>
        <v>60.766500000000001</v>
      </c>
      <c r="D316" s="14">
        <f>60.7644 * CHOOSE(CONTROL!$C$9, $D$9, 100%, $F$9) + CHOOSE(CONTROL!$C$27, 0.0021, 0)</f>
        <v>60.766500000000001</v>
      </c>
      <c r="E316" s="14">
        <f>60.6277 * CHOOSE(CONTROL!$C$9, $D$9, 100%, $F$9) + CHOOSE(CONTROL!$C$27, 0.0021, 0)</f>
        <v>60.629799999999996</v>
      </c>
      <c r="F316" s="14">
        <f>60.6277 * CHOOSE(CONTROL!$C$9, $D$9, 100%, $F$9) + CHOOSE(CONTROL!$C$27, 0.0021, 0)</f>
        <v>60.629799999999996</v>
      </c>
      <c r="G316" s="14">
        <f>60.8991 * CHOOSE(CONTROL!$C$9, $D$9, 100%, $F$9) + CHOOSE(CONTROL!$C$27, 0.0021, 0)</f>
        <v>60.901199999999996</v>
      </c>
      <c r="H316" s="14">
        <f>60.7644 * CHOOSE(CONTROL!$C$9, $D$9, 100%, $F$9) + CHOOSE(CONTROL!$C$27, 0.0021, 0)</f>
        <v>60.766500000000001</v>
      </c>
      <c r="I316" s="14">
        <f>60.7644 * CHOOSE(CONTROL!$C$9, $D$9, 100%, $F$9) + CHOOSE(CONTROL!$C$27, 0.0021, 0)</f>
        <v>60.766500000000001</v>
      </c>
      <c r="J316" s="14">
        <f>60.7644 * CHOOSE(CONTROL!$C$9, $D$9, 100%, $F$9) + CHOOSE(CONTROL!$C$27, 0.0021, 0)</f>
        <v>60.766500000000001</v>
      </c>
      <c r="K316" s="14">
        <f>60.7644 * CHOOSE(CONTROL!$C$9, $D$9, 100%, $F$9) + CHOOSE(CONTROL!$C$27, 0.0021, 0)</f>
        <v>60.766500000000001</v>
      </c>
      <c r="L316" s="14"/>
    </row>
    <row r="317" spans="1:12" ht="15.75" x14ac:dyDescent="0.25">
      <c r="A317" s="33">
        <v>50586</v>
      </c>
      <c r="B317" s="14">
        <f>61.9223 * CHOOSE(CONTROL!$C$9, $D$9, 100%, $F$9) + CHOOSE(CONTROL!$C$27, 0.0021, 0)</f>
        <v>61.924399999999999</v>
      </c>
      <c r="C317" s="14">
        <f>61.49 * CHOOSE(CONTROL!$C$9, $D$9, 100%, $F$9) + CHOOSE(CONTROL!$C$27, 0.0021, 0)</f>
        <v>61.492100000000001</v>
      </c>
      <c r="D317" s="14">
        <f>61.49 * CHOOSE(CONTROL!$C$9, $D$9, 100%, $F$9) + CHOOSE(CONTROL!$C$27, 0.0021, 0)</f>
        <v>61.492100000000001</v>
      </c>
      <c r="E317" s="14">
        <f>61.3534 * CHOOSE(CONTROL!$C$9, $D$9, 100%, $F$9) + CHOOSE(CONTROL!$C$27, 0.0021, 0)</f>
        <v>61.355499999999999</v>
      </c>
      <c r="F317" s="14">
        <f>61.3534 * CHOOSE(CONTROL!$C$9, $D$9, 100%, $F$9) + CHOOSE(CONTROL!$C$27, 0.0021, 0)</f>
        <v>61.355499999999999</v>
      </c>
      <c r="G317" s="14">
        <f>61.6248 * CHOOSE(CONTROL!$C$9, $D$9, 100%, $F$9) + CHOOSE(CONTROL!$C$27, 0.0021, 0)</f>
        <v>61.626899999999999</v>
      </c>
      <c r="H317" s="14">
        <f>61.49 * CHOOSE(CONTROL!$C$9, $D$9, 100%, $F$9) + CHOOSE(CONTROL!$C$27, 0.0021, 0)</f>
        <v>61.492100000000001</v>
      </c>
      <c r="I317" s="14">
        <f>61.49 * CHOOSE(CONTROL!$C$9, $D$9, 100%, $F$9) + CHOOSE(CONTROL!$C$27, 0.0021, 0)</f>
        <v>61.492100000000001</v>
      </c>
      <c r="J317" s="14">
        <f>61.49 * CHOOSE(CONTROL!$C$9, $D$9, 100%, $F$9) + CHOOSE(CONTROL!$C$27, 0.0021, 0)</f>
        <v>61.492100000000001</v>
      </c>
      <c r="K317" s="14">
        <f>61.49 * CHOOSE(CONTROL!$C$9, $D$9, 100%, $F$9) + CHOOSE(CONTROL!$C$27, 0.0021, 0)</f>
        <v>61.492100000000001</v>
      </c>
      <c r="L317" s="14"/>
    </row>
    <row r="318" spans="1:12" ht="15.75" x14ac:dyDescent="0.25">
      <c r="A318" s="33">
        <v>50617</v>
      </c>
      <c r="B318" s="14">
        <f>63.1194 * CHOOSE(CONTROL!$C$9, $D$9, 100%, $F$9) + CHOOSE(CONTROL!$C$27, 0.0021, 0)</f>
        <v>63.121499999999997</v>
      </c>
      <c r="C318" s="14">
        <f>62.6872 * CHOOSE(CONTROL!$C$9, $D$9, 100%, $F$9) + CHOOSE(CONTROL!$C$27, 0.0021, 0)</f>
        <v>62.689299999999996</v>
      </c>
      <c r="D318" s="14">
        <f>62.6872 * CHOOSE(CONTROL!$C$9, $D$9, 100%, $F$9) + CHOOSE(CONTROL!$C$27, 0.0021, 0)</f>
        <v>62.689299999999996</v>
      </c>
      <c r="E318" s="14">
        <f>62.5505 * CHOOSE(CONTROL!$C$9, $D$9, 100%, $F$9) + CHOOSE(CONTROL!$C$27, 0.0021, 0)</f>
        <v>62.552599999999998</v>
      </c>
      <c r="F318" s="14">
        <f>62.5505 * CHOOSE(CONTROL!$C$9, $D$9, 100%, $F$9) + CHOOSE(CONTROL!$C$27, 0.0021, 0)</f>
        <v>62.552599999999998</v>
      </c>
      <c r="G318" s="14">
        <f>62.8219 * CHOOSE(CONTROL!$C$9, $D$9, 100%, $F$9) + CHOOSE(CONTROL!$C$27, 0.0021, 0)</f>
        <v>62.823999999999998</v>
      </c>
      <c r="H318" s="14">
        <f>62.6872 * CHOOSE(CONTROL!$C$9, $D$9, 100%, $F$9) + CHOOSE(CONTROL!$C$27, 0.0021, 0)</f>
        <v>62.689299999999996</v>
      </c>
      <c r="I318" s="14">
        <f>62.6872 * CHOOSE(CONTROL!$C$9, $D$9, 100%, $F$9) + CHOOSE(CONTROL!$C$27, 0.0021, 0)</f>
        <v>62.689299999999996</v>
      </c>
      <c r="J318" s="14">
        <f>62.6872 * CHOOSE(CONTROL!$C$9, $D$9, 100%, $F$9) + CHOOSE(CONTROL!$C$27, 0.0021, 0)</f>
        <v>62.689299999999996</v>
      </c>
      <c r="K318" s="14">
        <f>62.6872 * CHOOSE(CONTROL!$C$9, $D$9, 100%, $F$9) + CHOOSE(CONTROL!$C$27, 0.0021, 0)</f>
        <v>62.689299999999996</v>
      </c>
      <c r="L318" s="14"/>
    </row>
    <row r="319" spans="1:12" ht="15.75" x14ac:dyDescent="0.25">
      <c r="A319" s="33">
        <v>50648</v>
      </c>
      <c r="B319" s="14">
        <f>63.4848 * CHOOSE(CONTROL!$C$9, $D$9, 100%, $F$9) + CHOOSE(CONTROL!$C$27, 0.0021, 0)</f>
        <v>63.486899999999999</v>
      </c>
      <c r="C319" s="14">
        <f>63.0525 * CHOOSE(CONTROL!$C$9, $D$9, 100%, $F$9) + CHOOSE(CONTROL!$C$27, 0.0021, 0)</f>
        <v>63.054600000000001</v>
      </c>
      <c r="D319" s="14">
        <f>63.0525 * CHOOSE(CONTROL!$C$9, $D$9, 100%, $F$9) + CHOOSE(CONTROL!$C$27, 0.0021, 0)</f>
        <v>63.054600000000001</v>
      </c>
      <c r="E319" s="14">
        <f>62.9159 * CHOOSE(CONTROL!$C$9, $D$9, 100%, $F$9) + CHOOSE(CONTROL!$C$27, 0.0021, 0)</f>
        <v>62.917999999999999</v>
      </c>
      <c r="F319" s="14">
        <f>62.9159 * CHOOSE(CONTROL!$C$9, $D$9, 100%, $F$9) + CHOOSE(CONTROL!$C$27, 0.0021, 0)</f>
        <v>62.917999999999999</v>
      </c>
      <c r="G319" s="14">
        <f>63.1873 * CHOOSE(CONTROL!$C$9, $D$9, 100%, $F$9) + CHOOSE(CONTROL!$C$27, 0.0021, 0)</f>
        <v>63.189399999999999</v>
      </c>
      <c r="H319" s="14">
        <f>63.0525 * CHOOSE(CONTROL!$C$9, $D$9, 100%, $F$9) + CHOOSE(CONTROL!$C$27, 0.0021, 0)</f>
        <v>63.054600000000001</v>
      </c>
      <c r="I319" s="14">
        <f>63.0525 * CHOOSE(CONTROL!$C$9, $D$9, 100%, $F$9) + CHOOSE(CONTROL!$C$27, 0.0021, 0)</f>
        <v>63.054600000000001</v>
      </c>
      <c r="J319" s="14">
        <f>63.0525 * CHOOSE(CONTROL!$C$9, $D$9, 100%, $F$9) + CHOOSE(CONTROL!$C$27, 0.0021, 0)</f>
        <v>63.054600000000001</v>
      </c>
      <c r="K319" s="14">
        <f>63.0525 * CHOOSE(CONTROL!$C$9, $D$9, 100%, $F$9) + CHOOSE(CONTROL!$C$27, 0.0021, 0)</f>
        <v>63.054600000000001</v>
      </c>
      <c r="L319" s="14"/>
    </row>
    <row r="320" spans="1:12" ht="15.75" x14ac:dyDescent="0.25">
      <c r="A320" s="33">
        <v>50678</v>
      </c>
      <c r="B320" s="14">
        <f>64.7291 * CHOOSE(CONTROL!$C$9, $D$9, 100%, $F$9) + CHOOSE(CONTROL!$C$27, 0.0021, 0)</f>
        <v>64.731200000000001</v>
      </c>
      <c r="C320" s="14">
        <f>64.2969 * CHOOSE(CONTROL!$C$9, $D$9, 100%, $F$9) + CHOOSE(CONTROL!$C$27, 0.0021, 0)</f>
        <v>64.298999999999992</v>
      </c>
      <c r="D320" s="14">
        <f>64.2969 * CHOOSE(CONTROL!$C$9, $D$9, 100%, $F$9) + CHOOSE(CONTROL!$C$27, 0.0021, 0)</f>
        <v>64.298999999999992</v>
      </c>
      <c r="E320" s="14">
        <f>64.1602 * CHOOSE(CONTROL!$C$9, $D$9, 100%, $F$9) + CHOOSE(CONTROL!$C$27, 0.0021, 0)</f>
        <v>64.162300000000002</v>
      </c>
      <c r="F320" s="14">
        <f>64.1602 * CHOOSE(CONTROL!$C$9, $D$9, 100%, $F$9) + CHOOSE(CONTROL!$C$27, 0.0021, 0)</f>
        <v>64.162300000000002</v>
      </c>
      <c r="G320" s="14">
        <f>64.4316 * CHOOSE(CONTROL!$C$9, $D$9, 100%, $F$9) + CHOOSE(CONTROL!$C$27, 0.0021, 0)</f>
        <v>64.433700000000002</v>
      </c>
      <c r="H320" s="14">
        <f>64.2969 * CHOOSE(CONTROL!$C$9, $D$9, 100%, $F$9) + CHOOSE(CONTROL!$C$27, 0.0021, 0)</f>
        <v>64.298999999999992</v>
      </c>
      <c r="I320" s="14">
        <f>64.2969 * CHOOSE(CONTROL!$C$9, $D$9, 100%, $F$9) + CHOOSE(CONTROL!$C$27, 0.0021, 0)</f>
        <v>64.298999999999992</v>
      </c>
      <c r="J320" s="14">
        <f>64.2969 * CHOOSE(CONTROL!$C$9, $D$9, 100%, $F$9) + CHOOSE(CONTROL!$C$27, 0.0021, 0)</f>
        <v>64.298999999999992</v>
      </c>
      <c r="K320" s="14">
        <f>64.2969 * CHOOSE(CONTROL!$C$9, $D$9, 100%, $F$9) + CHOOSE(CONTROL!$C$27, 0.0021, 0)</f>
        <v>64.298999999999992</v>
      </c>
      <c r="L320" s="14"/>
    </row>
    <row r="321" spans="1:12" ht="15.75" x14ac:dyDescent="0.25">
      <c r="A321" s="33">
        <v>50709</v>
      </c>
      <c r="B321" s="14">
        <f>66.3043 * CHOOSE(CONTROL!$C$9, $D$9, 100%, $F$9) + CHOOSE(CONTROL!$C$27, 0.0021, 0)</f>
        <v>66.306399999999996</v>
      </c>
      <c r="C321" s="14">
        <f>65.872 * CHOOSE(CONTROL!$C$9, $D$9, 100%, $F$9) + CHOOSE(CONTROL!$C$27, 0.0021, 0)</f>
        <v>65.874099999999999</v>
      </c>
      <c r="D321" s="14">
        <f>65.872 * CHOOSE(CONTROL!$C$9, $D$9, 100%, $F$9) + CHOOSE(CONTROL!$C$27, 0.0021, 0)</f>
        <v>65.874099999999999</v>
      </c>
      <c r="E321" s="14">
        <f>65.7354 * CHOOSE(CONTROL!$C$9, $D$9, 100%, $F$9) + CHOOSE(CONTROL!$C$27, 0.0021, 0)</f>
        <v>65.737499999999997</v>
      </c>
      <c r="F321" s="14">
        <f>65.7354 * CHOOSE(CONTROL!$C$9, $D$9, 100%, $F$9) + CHOOSE(CONTROL!$C$27, 0.0021, 0)</f>
        <v>65.737499999999997</v>
      </c>
      <c r="G321" s="14">
        <f>66.0067 * CHOOSE(CONTROL!$C$9, $D$9, 100%, $F$9) + CHOOSE(CONTROL!$C$27, 0.0021, 0)</f>
        <v>66.008799999999994</v>
      </c>
      <c r="H321" s="14">
        <f>65.872 * CHOOSE(CONTROL!$C$9, $D$9, 100%, $F$9) + CHOOSE(CONTROL!$C$27, 0.0021, 0)</f>
        <v>65.874099999999999</v>
      </c>
      <c r="I321" s="14">
        <f>65.872 * CHOOSE(CONTROL!$C$9, $D$9, 100%, $F$9) + CHOOSE(CONTROL!$C$27, 0.0021, 0)</f>
        <v>65.874099999999999</v>
      </c>
      <c r="J321" s="14">
        <f>65.872 * CHOOSE(CONTROL!$C$9, $D$9, 100%, $F$9) + CHOOSE(CONTROL!$C$27, 0.0021, 0)</f>
        <v>65.874099999999999</v>
      </c>
      <c r="K321" s="14">
        <f>65.872 * CHOOSE(CONTROL!$C$9, $D$9, 100%, $F$9) + CHOOSE(CONTROL!$C$27, 0.0021, 0)</f>
        <v>65.874099999999999</v>
      </c>
      <c r="L321" s="14"/>
    </row>
    <row r="322" spans="1:12" ht="15.75" x14ac:dyDescent="0.25">
      <c r="A322" s="33">
        <v>50739</v>
      </c>
      <c r="B322" s="14">
        <f>66.4521 * CHOOSE(CONTROL!$C$9, $D$9, 100%, $F$9) + CHOOSE(CONTROL!$C$27, 0.0021, 0)</f>
        <v>66.4542</v>
      </c>
      <c r="C322" s="14">
        <f>66.0199 * CHOOSE(CONTROL!$C$9, $D$9, 100%, $F$9) + CHOOSE(CONTROL!$C$27, 0.0021, 0)</f>
        <v>66.022000000000006</v>
      </c>
      <c r="D322" s="14">
        <f>66.0199 * CHOOSE(CONTROL!$C$9, $D$9, 100%, $F$9) + CHOOSE(CONTROL!$C$27, 0.0021, 0)</f>
        <v>66.022000000000006</v>
      </c>
      <c r="E322" s="14">
        <f>65.8832 * CHOOSE(CONTROL!$C$9, $D$9, 100%, $F$9) + CHOOSE(CONTROL!$C$27, 0.0021, 0)</f>
        <v>65.885300000000001</v>
      </c>
      <c r="F322" s="14">
        <f>65.8832 * CHOOSE(CONTROL!$C$9, $D$9, 100%, $F$9) + CHOOSE(CONTROL!$C$27, 0.0021, 0)</f>
        <v>65.885300000000001</v>
      </c>
      <c r="G322" s="14">
        <f>66.1546 * CHOOSE(CONTROL!$C$9, $D$9, 100%, $F$9) + CHOOSE(CONTROL!$C$27, 0.0021, 0)</f>
        <v>66.156700000000001</v>
      </c>
      <c r="H322" s="14">
        <f>66.0199 * CHOOSE(CONTROL!$C$9, $D$9, 100%, $F$9) + CHOOSE(CONTROL!$C$27, 0.0021, 0)</f>
        <v>66.022000000000006</v>
      </c>
      <c r="I322" s="14">
        <f>66.0199 * CHOOSE(CONTROL!$C$9, $D$9, 100%, $F$9) + CHOOSE(CONTROL!$C$27, 0.0021, 0)</f>
        <v>66.022000000000006</v>
      </c>
      <c r="J322" s="14">
        <f>66.0199 * CHOOSE(CONTROL!$C$9, $D$9, 100%, $F$9) + CHOOSE(CONTROL!$C$27, 0.0021, 0)</f>
        <v>66.022000000000006</v>
      </c>
      <c r="K322" s="14">
        <f>66.0199 * CHOOSE(CONTROL!$C$9, $D$9, 100%, $F$9) + CHOOSE(CONTROL!$C$27, 0.0021, 0)</f>
        <v>66.022000000000006</v>
      </c>
      <c r="L322" s="14"/>
    </row>
    <row r="323" spans="1:12" ht="15.75" x14ac:dyDescent="0.25">
      <c r="A323" s="33">
        <v>50770</v>
      </c>
      <c r="B323" s="14">
        <f>65.1941 * CHOOSE(CONTROL!$C$9, $D$9, 100%, $F$9) + CHOOSE(CONTROL!$C$27, 0.0021, 0)</f>
        <v>65.196200000000005</v>
      </c>
      <c r="C323" s="14">
        <f>64.7619 * CHOOSE(CONTROL!$C$9, $D$9, 100%, $F$9) + CHOOSE(CONTROL!$C$27, 0.0021, 0)</f>
        <v>64.763999999999996</v>
      </c>
      <c r="D323" s="14">
        <f>64.7619 * CHOOSE(CONTROL!$C$9, $D$9, 100%, $F$9) + CHOOSE(CONTROL!$C$27, 0.0021, 0)</f>
        <v>64.763999999999996</v>
      </c>
      <c r="E323" s="14">
        <f>64.6252 * CHOOSE(CONTROL!$C$9, $D$9, 100%, $F$9) + CHOOSE(CONTROL!$C$27, 0.0021, 0)</f>
        <v>64.627300000000005</v>
      </c>
      <c r="F323" s="14">
        <f>64.6252 * CHOOSE(CONTROL!$C$9, $D$9, 100%, $F$9) + CHOOSE(CONTROL!$C$27, 0.0021, 0)</f>
        <v>64.627300000000005</v>
      </c>
      <c r="G323" s="14">
        <f>64.8966 * CHOOSE(CONTROL!$C$9, $D$9, 100%, $F$9) + CHOOSE(CONTROL!$C$27, 0.0021, 0)</f>
        <v>64.898700000000005</v>
      </c>
      <c r="H323" s="14">
        <f>64.7619 * CHOOSE(CONTROL!$C$9, $D$9, 100%, $F$9) + CHOOSE(CONTROL!$C$27, 0.0021, 0)</f>
        <v>64.763999999999996</v>
      </c>
      <c r="I323" s="14">
        <f>64.7619 * CHOOSE(CONTROL!$C$9, $D$9, 100%, $F$9) + CHOOSE(CONTROL!$C$27, 0.0021, 0)</f>
        <v>64.763999999999996</v>
      </c>
      <c r="J323" s="14">
        <f>64.7619 * CHOOSE(CONTROL!$C$9, $D$9, 100%, $F$9) + CHOOSE(CONTROL!$C$27, 0.0021, 0)</f>
        <v>64.763999999999996</v>
      </c>
      <c r="K323" s="14">
        <f>64.7619 * CHOOSE(CONTROL!$C$9, $D$9, 100%, $F$9) + CHOOSE(CONTROL!$C$27, 0.0021, 0)</f>
        <v>64.763999999999996</v>
      </c>
      <c r="L323" s="14"/>
    </row>
    <row r="324" spans="1:12" ht="15.75" x14ac:dyDescent="0.25">
      <c r="A324" s="33">
        <v>50801</v>
      </c>
      <c r="B324" s="14">
        <f>64.399 * CHOOSE(CONTROL!$C$9, $D$9, 100%, $F$9) + CHOOSE(CONTROL!$C$27, 0.0021, 0)</f>
        <v>64.4011</v>
      </c>
      <c r="C324" s="14">
        <f>63.9667 * CHOOSE(CONTROL!$C$9, $D$9, 100%, $F$9) + CHOOSE(CONTROL!$C$27, 0.0021, 0)</f>
        <v>63.968800000000002</v>
      </c>
      <c r="D324" s="14">
        <f>63.9667 * CHOOSE(CONTROL!$C$9, $D$9, 100%, $F$9) + CHOOSE(CONTROL!$C$27, 0.0021, 0)</f>
        <v>63.968800000000002</v>
      </c>
      <c r="E324" s="14">
        <f>63.8301 * CHOOSE(CONTROL!$C$9, $D$9, 100%, $F$9) + CHOOSE(CONTROL!$C$27, 0.0021, 0)</f>
        <v>63.8322</v>
      </c>
      <c r="F324" s="14">
        <f>63.8301 * CHOOSE(CONTROL!$C$9, $D$9, 100%, $F$9) + CHOOSE(CONTROL!$C$27, 0.0021, 0)</f>
        <v>63.8322</v>
      </c>
      <c r="G324" s="14">
        <f>64.1015 * CHOOSE(CONTROL!$C$9, $D$9, 100%, $F$9) + CHOOSE(CONTROL!$C$27, 0.0021, 0)</f>
        <v>64.1036</v>
      </c>
      <c r="H324" s="14">
        <f>63.9667 * CHOOSE(CONTROL!$C$9, $D$9, 100%, $F$9) + CHOOSE(CONTROL!$C$27, 0.0021, 0)</f>
        <v>63.968800000000002</v>
      </c>
      <c r="I324" s="14">
        <f>63.9667 * CHOOSE(CONTROL!$C$9, $D$9, 100%, $F$9) + CHOOSE(CONTROL!$C$27, 0.0021, 0)</f>
        <v>63.968800000000002</v>
      </c>
      <c r="J324" s="14">
        <f>63.9667 * CHOOSE(CONTROL!$C$9, $D$9, 100%, $F$9) + CHOOSE(CONTROL!$C$27, 0.0021, 0)</f>
        <v>63.968800000000002</v>
      </c>
      <c r="K324" s="14">
        <f>63.9667 * CHOOSE(CONTROL!$C$9, $D$9, 100%, $F$9) + CHOOSE(CONTROL!$C$27, 0.0021, 0)</f>
        <v>63.968800000000002</v>
      </c>
      <c r="L324" s="14"/>
    </row>
    <row r="325" spans="1:12" ht="15.75" x14ac:dyDescent="0.25">
      <c r="A325" s="33">
        <v>50829</v>
      </c>
      <c r="B325" s="14">
        <f>62.6423 * CHOOSE(CONTROL!$C$9, $D$9, 100%, $F$9) + CHOOSE(CONTROL!$C$27, 0.0021, 0)</f>
        <v>62.644399999999997</v>
      </c>
      <c r="C325" s="14">
        <f>62.21 * CHOOSE(CONTROL!$C$9, $D$9, 100%, $F$9) + CHOOSE(CONTROL!$C$27, 0.0021, 0)</f>
        <v>62.2121</v>
      </c>
      <c r="D325" s="14">
        <f>62.21 * CHOOSE(CONTROL!$C$9, $D$9, 100%, $F$9) + CHOOSE(CONTROL!$C$27, 0.0021, 0)</f>
        <v>62.2121</v>
      </c>
      <c r="E325" s="14">
        <f>62.0734 * CHOOSE(CONTROL!$C$9, $D$9, 100%, $F$9) + CHOOSE(CONTROL!$C$27, 0.0021, 0)</f>
        <v>62.075499999999998</v>
      </c>
      <c r="F325" s="14">
        <f>62.0734 * CHOOSE(CONTROL!$C$9, $D$9, 100%, $F$9) + CHOOSE(CONTROL!$C$27, 0.0021, 0)</f>
        <v>62.075499999999998</v>
      </c>
      <c r="G325" s="14">
        <f>62.3447 * CHOOSE(CONTROL!$C$9, $D$9, 100%, $F$9) + CHOOSE(CONTROL!$C$27, 0.0021, 0)</f>
        <v>62.346800000000002</v>
      </c>
      <c r="H325" s="14">
        <f>62.21 * CHOOSE(CONTROL!$C$9, $D$9, 100%, $F$9) + CHOOSE(CONTROL!$C$27, 0.0021, 0)</f>
        <v>62.2121</v>
      </c>
      <c r="I325" s="14">
        <f>62.21 * CHOOSE(CONTROL!$C$9, $D$9, 100%, $F$9) + CHOOSE(CONTROL!$C$27, 0.0021, 0)</f>
        <v>62.2121</v>
      </c>
      <c r="J325" s="14">
        <f>62.21 * CHOOSE(CONTROL!$C$9, $D$9, 100%, $F$9) + CHOOSE(CONTROL!$C$27, 0.0021, 0)</f>
        <v>62.2121</v>
      </c>
      <c r="K325" s="14">
        <f>62.21 * CHOOSE(CONTROL!$C$9, $D$9, 100%, $F$9) + CHOOSE(CONTROL!$C$27, 0.0021, 0)</f>
        <v>62.2121</v>
      </c>
      <c r="L325" s="14"/>
    </row>
    <row r="326" spans="1:12" ht="15.75" x14ac:dyDescent="0.25">
      <c r="A326" s="33">
        <v>50860</v>
      </c>
      <c r="B326" s="14">
        <f>61.9171 * CHOOSE(CONTROL!$C$9, $D$9, 100%, $F$9) + CHOOSE(CONTROL!$C$27, 0.0021, 0)</f>
        <v>61.919199999999996</v>
      </c>
      <c r="C326" s="14">
        <f>61.4849 * CHOOSE(CONTROL!$C$9, $D$9, 100%, $F$9) + CHOOSE(CONTROL!$C$27, 0.0021, 0)</f>
        <v>61.487000000000002</v>
      </c>
      <c r="D326" s="14">
        <f>61.4849 * CHOOSE(CONTROL!$C$9, $D$9, 100%, $F$9) + CHOOSE(CONTROL!$C$27, 0.0021, 0)</f>
        <v>61.487000000000002</v>
      </c>
      <c r="E326" s="14">
        <f>61.3482 * CHOOSE(CONTROL!$C$9, $D$9, 100%, $F$9) + CHOOSE(CONTROL!$C$27, 0.0021, 0)</f>
        <v>61.350299999999997</v>
      </c>
      <c r="F326" s="14">
        <f>61.3482 * CHOOSE(CONTROL!$C$9, $D$9, 100%, $F$9) + CHOOSE(CONTROL!$C$27, 0.0021, 0)</f>
        <v>61.350299999999997</v>
      </c>
      <c r="G326" s="14">
        <f>61.6196 * CHOOSE(CONTROL!$C$9, $D$9, 100%, $F$9) + CHOOSE(CONTROL!$C$27, 0.0021, 0)</f>
        <v>61.621699999999997</v>
      </c>
      <c r="H326" s="14">
        <f>61.4849 * CHOOSE(CONTROL!$C$9, $D$9, 100%, $F$9) + CHOOSE(CONTROL!$C$27, 0.0021, 0)</f>
        <v>61.487000000000002</v>
      </c>
      <c r="I326" s="14">
        <f>61.4849 * CHOOSE(CONTROL!$C$9, $D$9, 100%, $F$9) + CHOOSE(CONTROL!$C$27, 0.0021, 0)</f>
        <v>61.487000000000002</v>
      </c>
      <c r="J326" s="14">
        <f>61.4849 * CHOOSE(CONTROL!$C$9, $D$9, 100%, $F$9) + CHOOSE(CONTROL!$C$27, 0.0021, 0)</f>
        <v>61.487000000000002</v>
      </c>
      <c r="K326" s="14">
        <f>61.4849 * CHOOSE(CONTROL!$C$9, $D$9, 100%, $F$9) + CHOOSE(CONTROL!$C$27, 0.0021, 0)</f>
        <v>61.487000000000002</v>
      </c>
      <c r="L326" s="14"/>
    </row>
    <row r="327" spans="1:12" ht="15.75" x14ac:dyDescent="0.25">
      <c r="A327" s="33">
        <v>50890</v>
      </c>
      <c r="B327" s="14">
        <f>61.0512 * CHOOSE(CONTROL!$C$9, $D$9, 100%, $F$9) + CHOOSE(CONTROL!$C$27, 0.0021, 0)</f>
        <v>61.0533</v>
      </c>
      <c r="C327" s="14">
        <f>60.619 * CHOOSE(CONTROL!$C$9, $D$9, 100%, $F$9) + CHOOSE(CONTROL!$C$27, 0.0021, 0)</f>
        <v>60.621099999999998</v>
      </c>
      <c r="D327" s="14">
        <f>60.619 * CHOOSE(CONTROL!$C$9, $D$9, 100%, $F$9) + CHOOSE(CONTROL!$C$27, 0.0021, 0)</f>
        <v>60.621099999999998</v>
      </c>
      <c r="E327" s="14">
        <f>60.4823 * CHOOSE(CONTROL!$C$9, $D$9, 100%, $F$9) + CHOOSE(CONTROL!$C$27, 0.0021, 0)</f>
        <v>60.484400000000001</v>
      </c>
      <c r="F327" s="14">
        <f>60.4823 * CHOOSE(CONTROL!$C$9, $D$9, 100%, $F$9) + CHOOSE(CONTROL!$C$27, 0.0021, 0)</f>
        <v>60.484400000000001</v>
      </c>
      <c r="G327" s="14">
        <f>60.7537 * CHOOSE(CONTROL!$C$9, $D$9, 100%, $F$9) + CHOOSE(CONTROL!$C$27, 0.0021, 0)</f>
        <v>60.755800000000001</v>
      </c>
      <c r="H327" s="14">
        <f>60.619 * CHOOSE(CONTROL!$C$9, $D$9, 100%, $F$9) + CHOOSE(CONTROL!$C$27, 0.0021, 0)</f>
        <v>60.621099999999998</v>
      </c>
      <c r="I327" s="14">
        <f>60.619 * CHOOSE(CONTROL!$C$9, $D$9, 100%, $F$9) + CHOOSE(CONTROL!$C$27, 0.0021, 0)</f>
        <v>60.621099999999998</v>
      </c>
      <c r="J327" s="14">
        <f>60.619 * CHOOSE(CONTROL!$C$9, $D$9, 100%, $F$9) + CHOOSE(CONTROL!$C$27, 0.0021, 0)</f>
        <v>60.621099999999998</v>
      </c>
      <c r="K327" s="14">
        <f>60.619 * CHOOSE(CONTROL!$C$9, $D$9, 100%, $F$9) + CHOOSE(CONTROL!$C$27, 0.0021, 0)</f>
        <v>60.621099999999998</v>
      </c>
      <c r="L327" s="14"/>
    </row>
    <row r="328" spans="1:12" ht="15.75" x14ac:dyDescent="0.25">
      <c r="A328" s="33">
        <v>50921</v>
      </c>
      <c r="B328" s="14">
        <f>62.2852 * CHOOSE(CONTROL!$C$9, $D$9, 100%, $F$9) + CHOOSE(CONTROL!$C$27, 0.0021, 0)</f>
        <v>62.287300000000002</v>
      </c>
      <c r="C328" s="14">
        <f>61.853 * CHOOSE(CONTROL!$C$9, $D$9, 100%, $F$9) + CHOOSE(CONTROL!$C$27, 0.0021, 0)</f>
        <v>61.8551</v>
      </c>
      <c r="D328" s="14">
        <f>61.853 * CHOOSE(CONTROL!$C$9, $D$9, 100%, $F$9) + CHOOSE(CONTROL!$C$27, 0.0021, 0)</f>
        <v>61.8551</v>
      </c>
      <c r="E328" s="14">
        <f>61.7163 * CHOOSE(CONTROL!$C$9, $D$9, 100%, $F$9) + CHOOSE(CONTROL!$C$27, 0.0021, 0)</f>
        <v>61.718399999999995</v>
      </c>
      <c r="F328" s="14">
        <f>61.7163 * CHOOSE(CONTROL!$C$9, $D$9, 100%, $F$9) + CHOOSE(CONTROL!$C$27, 0.0021, 0)</f>
        <v>61.718399999999995</v>
      </c>
      <c r="G328" s="14">
        <f>61.9877 * CHOOSE(CONTROL!$C$9, $D$9, 100%, $F$9) + CHOOSE(CONTROL!$C$27, 0.0021, 0)</f>
        <v>61.989799999999995</v>
      </c>
      <c r="H328" s="14">
        <f>61.853 * CHOOSE(CONTROL!$C$9, $D$9, 100%, $F$9) + CHOOSE(CONTROL!$C$27, 0.0021, 0)</f>
        <v>61.8551</v>
      </c>
      <c r="I328" s="14">
        <f>61.853 * CHOOSE(CONTROL!$C$9, $D$9, 100%, $F$9) + CHOOSE(CONTROL!$C$27, 0.0021, 0)</f>
        <v>61.8551</v>
      </c>
      <c r="J328" s="14">
        <f>61.853 * CHOOSE(CONTROL!$C$9, $D$9, 100%, $F$9) + CHOOSE(CONTROL!$C$27, 0.0021, 0)</f>
        <v>61.8551</v>
      </c>
      <c r="K328" s="14">
        <f>61.853 * CHOOSE(CONTROL!$C$9, $D$9, 100%, $F$9) + CHOOSE(CONTROL!$C$27, 0.0021, 0)</f>
        <v>61.8551</v>
      </c>
      <c r="L328" s="14"/>
    </row>
    <row r="329" spans="1:12" ht="15.75" x14ac:dyDescent="0.25">
      <c r="A329" s="33">
        <v>50951</v>
      </c>
      <c r="B329" s="14">
        <f>63.0243 * CHOOSE(CONTROL!$C$9, $D$9, 100%, $F$9) + CHOOSE(CONTROL!$C$27, 0.0021, 0)</f>
        <v>63.026399999999995</v>
      </c>
      <c r="C329" s="14">
        <f>62.592 * CHOOSE(CONTROL!$C$9, $D$9, 100%, $F$9) + CHOOSE(CONTROL!$C$27, 0.0021, 0)</f>
        <v>62.594099999999997</v>
      </c>
      <c r="D329" s="14">
        <f>62.592 * CHOOSE(CONTROL!$C$9, $D$9, 100%, $F$9) + CHOOSE(CONTROL!$C$27, 0.0021, 0)</f>
        <v>62.594099999999997</v>
      </c>
      <c r="E329" s="14">
        <f>62.4554 * CHOOSE(CONTROL!$C$9, $D$9, 100%, $F$9) + CHOOSE(CONTROL!$C$27, 0.0021, 0)</f>
        <v>62.457499999999996</v>
      </c>
      <c r="F329" s="14">
        <f>62.4554 * CHOOSE(CONTROL!$C$9, $D$9, 100%, $F$9) + CHOOSE(CONTROL!$C$27, 0.0021, 0)</f>
        <v>62.457499999999996</v>
      </c>
      <c r="G329" s="14">
        <f>62.7268 * CHOOSE(CONTROL!$C$9, $D$9, 100%, $F$9) + CHOOSE(CONTROL!$C$27, 0.0021, 0)</f>
        <v>62.728899999999996</v>
      </c>
      <c r="H329" s="14">
        <f>62.592 * CHOOSE(CONTROL!$C$9, $D$9, 100%, $F$9) + CHOOSE(CONTROL!$C$27, 0.0021, 0)</f>
        <v>62.594099999999997</v>
      </c>
      <c r="I329" s="14">
        <f>62.592 * CHOOSE(CONTROL!$C$9, $D$9, 100%, $F$9) + CHOOSE(CONTROL!$C$27, 0.0021, 0)</f>
        <v>62.594099999999997</v>
      </c>
      <c r="J329" s="14">
        <f>62.592 * CHOOSE(CONTROL!$C$9, $D$9, 100%, $F$9) + CHOOSE(CONTROL!$C$27, 0.0021, 0)</f>
        <v>62.594099999999997</v>
      </c>
      <c r="K329" s="14">
        <f>62.592 * CHOOSE(CONTROL!$C$9, $D$9, 100%, $F$9) + CHOOSE(CONTROL!$C$27, 0.0021, 0)</f>
        <v>62.594099999999997</v>
      </c>
      <c r="L329" s="14"/>
    </row>
    <row r="330" spans="1:12" ht="15.75" x14ac:dyDescent="0.25">
      <c r="A330" s="33">
        <v>50982</v>
      </c>
      <c r="B330" s="14">
        <f>64.2435 * CHOOSE(CONTROL!$C$9, $D$9, 100%, $F$9) + CHOOSE(CONTROL!$C$27, 0.0021, 0)</f>
        <v>64.245599999999996</v>
      </c>
      <c r="C330" s="14">
        <f>63.8113 * CHOOSE(CONTROL!$C$9, $D$9, 100%, $F$9) + CHOOSE(CONTROL!$C$27, 0.0021, 0)</f>
        <v>63.813400000000001</v>
      </c>
      <c r="D330" s="14">
        <f>63.8113 * CHOOSE(CONTROL!$C$9, $D$9, 100%, $F$9) + CHOOSE(CONTROL!$C$27, 0.0021, 0)</f>
        <v>63.813400000000001</v>
      </c>
      <c r="E330" s="14">
        <f>63.6746 * CHOOSE(CONTROL!$C$9, $D$9, 100%, $F$9) + CHOOSE(CONTROL!$C$27, 0.0021, 0)</f>
        <v>63.676699999999997</v>
      </c>
      <c r="F330" s="14">
        <f>63.6746 * CHOOSE(CONTROL!$C$9, $D$9, 100%, $F$9) + CHOOSE(CONTROL!$C$27, 0.0021, 0)</f>
        <v>63.676699999999997</v>
      </c>
      <c r="G330" s="14">
        <f>63.946 * CHOOSE(CONTROL!$C$9, $D$9, 100%, $F$9) + CHOOSE(CONTROL!$C$27, 0.0021, 0)</f>
        <v>63.948099999999997</v>
      </c>
      <c r="H330" s="14">
        <f>63.8113 * CHOOSE(CONTROL!$C$9, $D$9, 100%, $F$9) + CHOOSE(CONTROL!$C$27, 0.0021, 0)</f>
        <v>63.813400000000001</v>
      </c>
      <c r="I330" s="14">
        <f>63.8113 * CHOOSE(CONTROL!$C$9, $D$9, 100%, $F$9) + CHOOSE(CONTROL!$C$27, 0.0021, 0)</f>
        <v>63.813400000000001</v>
      </c>
      <c r="J330" s="14">
        <f>63.8113 * CHOOSE(CONTROL!$C$9, $D$9, 100%, $F$9) + CHOOSE(CONTROL!$C$27, 0.0021, 0)</f>
        <v>63.813400000000001</v>
      </c>
      <c r="K330" s="14">
        <f>63.8113 * CHOOSE(CONTROL!$C$9, $D$9, 100%, $F$9) + CHOOSE(CONTROL!$C$27, 0.0021, 0)</f>
        <v>63.813400000000001</v>
      </c>
      <c r="L330" s="14"/>
    </row>
    <row r="331" spans="1:12" ht="15.75" x14ac:dyDescent="0.25">
      <c r="A331" s="33">
        <v>51013</v>
      </c>
      <c r="B331" s="14">
        <f>64.6157 * CHOOSE(CONTROL!$C$9, $D$9, 100%, $F$9) + CHOOSE(CONTROL!$C$27, 0.0021, 0)</f>
        <v>64.617800000000003</v>
      </c>
      <c r="C331" s="14">
        <f>64.1834 * CHOOSE(CONTROL!$C$9, $D$9, 100%, $F$9) + CHOOSE(CONTROL!$C$27, 0.0021, 0)</f>
        <v>64.185500000000005</v>
      </c>
      <c r="D331" s="14">
        <f>64.1834 * CHOOSE(CONTROL!$C$9, $D$9, 100%, $F$9) + CHOOSE(CONTROL!$C$27, 0.0021, 0)</f>
        <v>64.185500000000005</v>
      </c>
      <c r="E331" s="14">
        <f>64.0468 * CHOOSE(CONTROL!$C$9, $D$9, 100%, $F$9) + CHOOSE(CONTROL!$C$27, 0.0021, 0)</f>
        <v>64.048900000000003</v>
      </c>
      <c r="F331" s="14">
        <f>64.0468 * CHOOSE(CONTROL!$C$9, $D$9, 100%, $F$9) + CHOOSE(CONTROL!$C$27, 0.0021, 0)</f>
        <v>64.048900000000003</v>
      </c>
      <c r="G331" s="14">
        <f>64.3181 * CHOOSE(CONTROL!$C$9, $D$9, 100%, $F$9) + CHOOSE(CONTROL!$C$27, 0.0021, 0)</f>
        <v>64.3202</v>
      </c>
      <c r="H331" s="14">
        <f>64.1834 * CHOOSE(CONTROL!$C$9, $D$9, 100%, $F$9) + CHOOSE(CONTROL!$C$27, 0.0021, 0)</f>
        <v>64.185500000000005</v>
      </c>
      <c r="I331" s="14">
        <f>64.1834 * CHOOSE(CONTROL!$C$9, $D$9, 100%, $F$9) + CHOOSE(CONTROL!$C$27, 0.0021, 0)</f>
        <v>64.185500000000005</v>
      </c>
      <c r="J331" s="14">
        <f>64.1834 * CHOOSE(CONTROL!$C$9, $D$9, 100%, $F$9) + CHOOSE(CONTROL!$C$27, 0.0021, 0)</f>
        <v>64.185500000000005</v>
      </c>
      <c r="K331" s="14">
        <f>64.1834 * CHOOSE(CONTROL!$C$9, $D$9, 100%, $F$9) + CHOOSE(CONTROL!$C$27, 0.0021, 0)</f>
        <v>64.185500000000005</v>
      </c>
      <c r="L331" s="14"/>
    </row>
    <row r="332" spans="1:12" ht="15.75" x14ac:dyDescent="0.25">
      <c r="A332" s="33">
        <v>51043</v>
      </c>
      <c r="B332" s="14">
        <f>65.883 * CHOOSE(CONTROL!$C$9, $D$9, 100%, $F$9) + CHOOSE(CONTROL!$C$27, 0.0021, 0)</f>
        <v>65.885099999999994</v>
      </c>
      <c r="C332" s="14">
        <f>65.4508 * CHOOSE(CONTROL!$C$9, $D$9, 100%, $F$9) + CHOOSE(CONTROL!$C$27, 0.0021, 0)</f>
        <v>65.4529</v>
      </c>
      <c r="D332" s="14">
        <f>65.4508 * CHOOSE(CONTROL!$C$9, $D$9, 100%, $F$9) + CHOOSE(CONTROL!$C$27, 0.0021, 0)</f>
        <v>65.4529</v>
      </c>
      <c r="E332" s="14">
        <f>65.3141 * CHOOSE(CONTROL!$C$9, $D$9, 100%, $F$9) + CHOOSE(CONTROL!$C$27, 0.0021, 0)</f>
        <v>65.316199999999995</v>
      </c>
      <c r="F332" s="14">
        <f>65.3141 * CHOOSE(CONTROL!$C$9, $D$9, 100%, $F$9) + CHOOSE(CONTROL!$C$27, 0.0021, 0)</f>
        <v>65.316199999999995</v>
      </c>
      <c r="G332" s="14">
        <f>65.5855 * CHOOSE(CONTROL!$C$9, $D$9, 100%, $F$9) + CHOOSE(CONTROL!$C$27, 0.0021, 0)</f>
        <v>65.587599999999995</v>
      </c>
      <c r="H332" s="14">
        <f>65.4508 * CHOOSE(CONTROL!$C$9, $D$9, 100%, $F$9) + CHOOSE(CONTROL!$C$27, 0.0021, 0)</f>
        <v>65.4529</v>
      </c>
      <c r="I332" s="14">
        <f>65.4508 * CHOOSE(CONTROL!$C$9, $D$9, 100%, $F$9) + CHOOSE(CONTROL!$C$27, 0.0021, 0)</f>
        <v>65.4529</v>
      </c>
      <c r="J332" s="14">
        <f>65.4508 * CHOOSE(CONTROL!$C$9, $D$9, 100%, $F$9) + CHOOSE(CONTROL!$C$27, 0.0021, 0)</f>
        <v>65.4529</v>
      </c>
      <c r="K332" s="14">
        <f>65.4508 * CHOOSE(CONTROL!$C$9, $D$9, 100%, $F$9) + CHOOSE(CONTROL!$C$27, 0.0021, 0)</f>
        <v>65.4529</v>
      </c>
      <c r="L332" s="14"/>
    </row>
    <row r="333" spans="1:12" ht="15.75" x14ac:dyDescent="0.25">
      <c r="A333" s="33">
        <v>51074</v>
      </c>
      <c r="B333" s="14">
        <f>67.4873 * CHOOSE(CONTROL!$C$9, $D$9, 100%, $F$9) + CHOOSE(CONTROL!$C$27, 0.0021, 0)</f>
        <v>67.489400000000003</v>
      </c>
      <c r="C333" s="14">
        <f>67.055 * CHOOSE(CONTROL!$C$9, $D$9, 100%, $F$9) + CHOOSE(CONTROL!$C$27, 0.0021, 0)</f>
        <v>67.057100000000005</v>
      </c>
      <c r="D333" s="14">
        <f>67.055 * CHOOSE(CONTROL!$C$9, $D$9, 100%, $F$9) + CHOOSE(CONTROL!$C$27, 0.0021, 0)</f>
        <v>67.057100000000005</v>
      </c>
      <c r="E333" s="14">
        <f>66.9184 * CHOOSE(CONTROL!$C$9, $D$9, 100%, $F$9) + CHOOSE(CONTROL!$C$27, 0.0021, 0)</f>
        <v>66.920500000000004</v>
      </c>
      <c r="F333" s="14">
        <f>66.9184 * CHOOSE(CONTROL!$C$9, $D$9, 100%, $F$9) + CHOOSE(CONTROL!$C$27, 0.0021, 0)</f>
        <v>66.920500000000004</v>
      </c>
      <c r="G333" s="14">
        <f>67.1897 * CHOOSE(CONTROL!$C$9, $D$9, 100%, $F$9) + CHOOSE(CONTROL!$C$27, 0.0021, 0)</f>
        <v>67.191800000000001</v>
      </c>
      <c r="H333" s="14">
        <f>67.055 * CHOOSE(CONTROL!$C$9, $D$9, 100%, $F$9) + CHOOSE(CONTROL!$C$27, 0.0021, 0)</f>
        <v>67.057100000000005</v>
      </c>
      <c r="I333" s="14">
        <f>67.055 * CHOOSE(CONTROL!$C$9, $D$9, 100%, $F$9) + CHOOSE(CONTROL!$C$27, 0.0021, 0)</f>
        <v>67.057100000000005</v>
      </c>
      <c r="J333" s="14">
        <f>67.055 * CHOOSE(CONTROL!$C$9, $D$9, 100%, $F$9) + CHOOSE(CONTROL!$C$27, 0.0021, 0)</f>
        <v>67.057100000000005</v>
      </c>
      <c r="K333" s="14">
        <f>67.055 * CHOOSE(CONTROL!$C$9, $D$9, 100%, $F$9) + CHOOSE(CONTROL!$C$27, 0.0021, 0)</f>
        <v>67.057100000000005</v>
      </c>
      <c r="L333" s="14"/>
    </row>
    <row r="334" spans="1:12" ht="15.75" x14ac:dyDescent="0.25">
      <c r="A334" s="33">
        <v>51104</v>
      </c>
      <c r="B334" s="14">
        <f>67.6379 * CHOOSE(CONTROL!$C$9, $D$9, 100%, $F$9) + CHOOSE(CONTROL!$C$27, 0.0021, 0)</f>
        <v>67.64</v>
      </c>
      <c r="C334" s="14">
        <f>67.2056 * CHOOSE(CONTROL!$C$9, $D$9, 100%, $F$9) + CHOOSE(CONTROL!$C$27, 0.0021, 0)</f>
        <v>67.207700000000003</v>
      </c>
      <c r="D334" s="14">
        <f>67.2056 * CHOOSE(CONTROL!$C$9, $D$9, 100%, $F$9) + CHOOSE(CONTROL!$C$27, 0.0021, 0)</f>
        <v>67.207700000000003</v>
      </c>
      <c r="E334" s="14">
        <f>67.069 * CHOOSE(CONTROL!$C$9, $D$9, 100%, $F$9) + CHOOSE(CONTROL!$C$27, 0.0021, 0)</f>
        <v>67.071100000000001</v>
      </c>
      <c r="F334" s="14">
        <f>67.069 * CHOOSE(CONTROL!$C$9, $D$9, 100%, $F$9) + CHOOSE(CONTROL!$C$27, 0.0021, 0)</f>
        <v>67.071100000000001</v>
      </c>
      <c r="G334" s="14">
        <f>67.3403 * CHOOSE(CONTROL!$C$9, $D$9, 100%, $F$9) + CHOOSE(CONTROL!$C$27, 0.0021, 0)</f>
        <v>67.342399999999998</v>
      </c>
      <c r="H334" s="14">
        <f>67.2056 * CHOOSE(CONTROL!$C$9, $D$9, 100%, $F$9) + CHOOSE(CONTROL!$C$27, 0.0021, 0)</f>
        <v>67.207700000000003</v>
      </c>
      <c r="I334" s="14">
        <f>67.2056 * CHOOSE(CONTROL!$C$9, $D$9, 100%, $F$9) + CHOOSE(CONTROL!$C$27, 0.0021, 0)</f>
        <v>67.207700000000003</v>
      </c>
      <c r="J334" s="14">
        <f>67.2056 * CHOOSE(CONTROL!$C$9, $D$9, 100%, $F$9) + CHOOSE(CONTROL!$C$27, 0.0021, 0)</f>
        <v>67.207700000000003</v>
      </c>
      <c r="K334" s="14">
        <f>67.2056 * CHOOSE(CONTROL!$C$9, $D$9, 100%, $F$9) + CHOOSE(CONTROL!$C$27, 0.0021, 0)</f>
        <v>67.207700000000003</v>
      </c>
      <c r="L334" s="14"/>
    </row>
    <row r="335" spans="1:12" ht="15.75" x14ac:dyDescent="0.25">
      <c r="A335" s="33">
        <v>51135</v>
      </c>
      <c r="B335" s="14">
        <f>66.3566 * CHOOSE(CONTROL!$C$9, $D$9, 100%, $F$9) + CHOOSE(CONTROL!$C$27, 0.0021, 0)</f>
        <v>66.358699999999999</v>
      </c>
      <c r="C335" s="14">
        <f>65.9243 * CHOOSE(CONTROL!$C$9, $D$9, 100%, $F$9) + CHOOSE(CONTROL!$C$27, 0.0021, 0)</f>
        <v>65.926400000000001</v>
      </c>
      <c r="D335" s="14">
        <f>65.9243 * CHOOSE(CONTROL!$C$9, $D$9, 100%, $F$9) + CHOOSE(CONTROL!$C$27, 0.0021, 0)</f>
        <v>65.926400000000001</v>
      </c>
      <c r="E335" s="14">
        <f>65.7877 * CHOOSE(CONTROL!$C$9, $D$9, 100%, $F$9) + CHOOSE(CONTROL!$C$27, 0.0021, 0)</f>
        <v>65.7898</v>
      </c>
      <c r="F335" s="14">
        <f>65.7877 * CHOOSE(CONTROL!$C$9, $D$9, 100%, $F$9) + CHOOSE(CONTROL!$C$27, 0.0021, 0)</f>
        <v>65.7898</v>
      </c>
      <c r="G335" s="14">
        <f>66.0591 * CHOOSE(CONTROL!$C$9, $D$9, 100%, $F$9) + CHOOSE(CONTROL!$C$27, 0.0021, 0)</f>
        <v>66.061199999999999</v>
      </c>
      <c r="H335" s="14">
        <f>65.9243 * CHOOSE(CONTROL!$C$9, $D$9, 100%, $F$9) + CHOOSE(CONTROL!$C$27, 0.0021, 0)</f>
        <v>65.926400000000001</v>
      </c>
      <c r="I335" s="14">
        <f>65.9243 * CHOOSE(CONTROL!$C$9, $D$9, 100%, $F$9) + CHOOSE(CONTROL!$C$27, 0.0021, 0)</f>
        <v>65.926400000000001</v>
      </c>
      <c r="J335" s="14">
        <f>65.9243 * CHOOSE(CONTROL!$C$9, $D$9, 100%, $F$9) + CHOOSE(CONTROL!$C$27, 0.0021, 0)</f>
        <v>65.926400000000001</v>
      </c>
      <c r="K335" s="14">
        <f>65.9243 * CHOOSE(CONTROL!$C$9, $D$9, 100%, $F$9) + CHOOSE(CONTROL!$C$27, 0.0021, 0)</f>
        <v>65.926400000000001</v>
      </c>
      <c r="L335" s="14"/>
    </row>
    <row r="336" spans="1:12" ht="15.75" x14ac:dyDescent="0.25">
      <c r="A336" s="33">
        <v>51166</v>
      </c>
      <c r="B336" s="14">
        <f>65.5468 * CHOOSE(CONTROL!$C$9, $D$9, 100%, $F$9) + CHOOSE(CONTROL!$C$27, 0.0021, 0)</f>
        <v>65.548900000000003</v>
      </c>
      <c r="C336" s="14">
        <f>65.1145 * CHOOSE(CONTROL!$C$9, $D$9, 100%, $F$9) + CHOOSE(CONTROL!$C$27, 0.0021, 0)</f>
        <v>65.116600000000005</v>
      </c>
      <c r="D336" s="14">
        <f>65.1145 * CHOOSE(CONTROL!$C$9, $D$9, 100%, $F$9) + CHOOSE(CONTROL!$C$27, 0.0021, 0)</f>
        <v>65.116600000000005</v>
      </c>
      <c r="E336" s="14">
        <f>64.9779 * CHOOSE(CONTROL!$C$9, $D$9, 100%, $F$9) + CHOOSE(CONTROL!$C$27, 0.0021, 0)</f>
        <v>64.98</v>
      </c>
      <c r="F336" s="14">
        <f>64.9779 * CHOOSE(CONTROL!$C$9, $D$9, 100%, $F$9) + CHOOSE(CONTROL!$C$27, 0.0021, 0)</f>
        <v>64.98</v>
      </c>
      <c r="G336" s="14">
        <f>65.2492 * CHOOSE(CONTROL!$C$9, $D$9, 100%, $F$9) + CHOOSE(CONTROL!$C$27, 0.0021, 0)</f>
        <v>65.251300000000001</v>
      </c>
      <c r="H336" s="14">
        <f>65.1145 * CHOOSE(CONTROL!$C$9, $D$9, 100%, $F$9) + CHOOSE(CONTROL!$C$27, 0.0021, 0)</f>
        <v>65.116600000000005</v>
      </c>
      <c r="I336" s="14">
        <f>65.1145 * CHOOSE(CONTROL!$C$9, $D$9, 100%, $F$9) + CHOOSE(CONTROL!$C$27, 0.0021, 0)</f>
        <v>65.116600000000005</v>
      </c>
      <c r="J336" s="14">
        <f>65.1145 * CHOOSE(CONTROL!$C$9, $D$9, 100%, $F$9) + CHOOSE(CONTROL!$C$27, 0.0021, 0)</f>
        <v>65.116600000000005</v>
      </c>
      <c r="K336" s="14">
        <f>65.1145 * CHOOSE(CONTROL!$C$9, $D$9, 100%, $F$9) + CHOOSE(CONTROL!$C$27, 0.0021, 0)</f>
        <v>65.116600000000005</v>
      </c>
      <c r="L336" s="14"/>
    </row>
    <row r="337" spans="1:12" ht="15.75" x14ac:dyDescent="0.25">
      <c r="A337" s="33">
        <v>51194</v>
      </c>
      <c r="B337" s="14">
        <f>63.7576 * CHOOSE(CONTROL!$C$9, $D$9, 100%, $F$9) + CHOOSE(CONTROL!$C$27, 0.0021, 0)</f>
        <v>63.759699999999995</v>
      </c>
      <c r="C337" s="14">
        <f>63.3253 * CHOOSE(CONTROL!$C$9, $D$9, 100%, $F$9) + CHOOSE(CONTROL!$C$27, 0.0021, 0)</f>
        <v>63.327399999999997</v>
      </c>
      <c r="D337" s="14">
        <f>63.3253 * CHOOSE(CONTROL!$C$9, $D$9, 100%, $F$9) + CHOOSE(CONTROL!$C$27, 0.0021, 0)</f>
        <v>63.327399999999997</v>
      </c>
      <c r="E337" s="14">
        <f>63.1887 * CHOOSE(CONTROL!$C$9, $D$9, 100%, $F$9) + CHOOSE(CONTROL!$C$27, 0.0021, 0)</f>
        <v>63.190799999999996</v>
      </c>
      <c r="F337" s="14">
        <f>63.1887 * CHOOSE(CONTROL!$C$9, $D$9, 100%, $F$9) + CHOOSE(CONTROL!$C$27, 0.0021, 0)</f>
        <v>63.190799999999996</v>
      </c>
      <c r="G337" s="14">
        <f>63.4601 * CHOOSE(CONTROL!$C$9, $D$9, 100%, $F$9) + CHOOSE(CONTROL!$C$27, 0.0021, 0)</f>
        <v>63.462199999999996</v>
      </c>
      <c r="H337" s="14">
        <f>63.3253 * CHOOSE(CONTROL!$C$9, $D$9, 100%, $F$9) + CHOOSE(CONTROL!$C$27, 0.0021, 0)</f>
        <v>63.327399999999997</v>
      </c>
      <c r="I337" s="14">
        <f>63.3253 * CHOOSE(CONTROL!$C$9, $D$9, 100%, $F$9) + CHOOSE(CONTROL!$C$27, 0.0021, 0)</f>
        <v>63.327399999999997</v>
      </c>
      <c r="J337" s="14">
        <f>63.3253 * CHOOSE(CONTROL!$C$9, $D$9, 100%, $F$9) + CHOOSE(CONTROL!$C$27, 0.0021, 0)</f>
        <v>63.327399999999997</v>
      </c>
      <c r="K337" s="14">
        <f>63.3253 * CHOOSE(CONTROL!$C$9, $D$9, 100%, $F$9) + CHOOSE(CONTROL!$C$27, 0.0021, 0)</f>
        <v>63.327399999999997</v>
      </c>
      <c r="L337" s="14"/>
    </row>
    <row r="338" spans="1:12" ht="15.75" x14ac:dyDescent="0.25">
      <c r="A338" s="33">
        <v>51226</v>
      </c>
      <c r="B338" s="14">
        <f>63.019 * CHOOSE(CONTROL!$C$9, $D$9, 100%, $F$9) + CHOOSE(CONTROL!$C$27, 0.0021, 0)</f>
        <v>63.021099999999997</v>
      </c>
      <c r="C338" s="14">
        <f>62.5868 * CHOOSE(CONTROL!$C$9, $D$9, 100%, $F$9) + CHOOSE(CONTROL!$C$27, 0.0021, 0)</f>
        <v>62.588899999999995</v>
      </c>
      <c r="D338" s="14">
        <f>62.5868 * CHOOSE(CONTROL!$C$9, $D$9, 100%, $F$9) + CHOOSE(CONTROL!$C$27, 0.0021, 0)</f>
        <v>62.588899999999995</v>
      </c>
      <c r="E338" s="14">
        <f>62.4501 * CHOOSE(CONTROL!$C$9, $D$9, 100%, $F$9) + CHOOSE(CONTROL!$C$27, 0.0021, 0)</f>
        <v>62.452199999999998</v>
      </c>
      <c r="F338" s="14">
        <f>62.4501 * CHOOSE(CONTROL!$C$9, $D$9, 100%, $F$9) + CHOOSE(CONTROL!$C$27, 0.0021, 0)</f>
        <v>62.452199999999998</v>
      </c>
      <c r="G338" s="14">
        <f>62.7215 * CHOOSE(CONTROL!$C$9, $D$9, 100%, $F$9) + CHOOSE(CONTROL!$C$27, 0.0021, 0)</f>
        <v>62.723599999999998</v>
      </c>
      <c r="H338" s="14">
        <f>62.5868 * CHOOSE(CONTROL!$C$9, $D$9, 100%, $F$9) + CHOOSE(CONTROL!$C$27, 0.0021, 0)</f>
        <v>62.588899999999995</v>
      </c>
      <c r="I338" s="14">
        <f>62.5868 * CHOOSE(CONTROL!$C$9, $D$9, 100%, $F$9) + CHOOSE(CONTROL!$C$27, 0.0021, 0)</f>
        <v>62.588899999999995</v>
      </c>
      <c r="J338" s="14">
        <f>62.5868 * CHOOSE(CONTROL!$C$9, $D$9, 100%, $F$9) + CHOOSE(CONTROL!$C$27, 0.0021, 0)</f>
        <v>62.588899999999995</v>
      </c>
      <c r="K338" s="14">
        <f>62.5868 * CHOOSE(CONTROL!$C$9, $D$9, 100%, $F$9) + CHOOSE(CONTROL!$C$27, 0.0021, 0)</f>
        <v>62.588899999999995</v>
      </c>
      <c r="L338" s="14"/>
    </row>
    <row r="339" spans="1:12" ht="15.75" x14ac:dyDescent="0.25">
      <c r="A339" s="33">
        <v>51256</v>
      </c>
      <c r="B339" s="14">
        <f>62.1371 * CHOOSE(CONTROL!$C$9, $D$9, 100%, $F$9) + CHOOSE(CONTROL!$C$27, 0.0021, 0)</f>
        <v>62.139199999999995</v>
      </c>
      <c r="C339" s="14">
        <f>61.7049 * CHOOSE(CONTROL!$C$9, $D$9, 100%, $F$9) + CHOOSE(CONTROL!$C$27, 0.0021, 0)</f>
        <v>61.707000000000001</v>
      </c>
      <c r="D339" s="14">
        <f>61.7049 * CHOOSE(CONTROL!$C$9, $D$9, 100%, $F$9) + CHOOSE(CONTROL!$C$27, 0.0021, 0)</f>
        <v>61.707000000000001</v>
      </c>
      <c r="E339" s="14">
        <f>61.5682 * CHOOSE(CONTROL!$C$9, $D$9, 100%, $F$9) + CHOOSE(CONTROL!$C$27, 0.0021, 0)</f>
        <v>61.570299999999996</v>
      </c>
      <c r="F339" s="14">
        <f>61.5682 * CHOOSE(CONTROL!$C$9, $D$9, 100%, $F$9) + CHOOSE(CONTROL!$C$27, 0.0021, 0)</f>
        <v>61.570299999999996</v>
      </c>
      <c r="G339" s="14">
        <f>61.8396 * CHOOSE(CONTROL!$C$9, $D$9, 100%, $F$9) + CHOOSE(CONTROL!$C$27, 0.0021, 0)</f>
        <v>61.841699999999996</v>
      </c>
      <c r="H339" s="14">
        <f>61.7049 * CHOOSE(CONTROL!$C$9, $D$9, 100%, $F$9) + CHOOSE(CONTROL!$C$27, 0.0021, 0)</f>
        <v>61.707000000000001</v>
      </c>
      <c r="I339" s="14">
        <f>61.7049 * CHOOSE(CONTROL!$C$9, $D$9, 100%, $F$9) + CHOOSE(CONTROL!$C$27, 0.0021, 0)</f>
        <v>61.707000000000001</v>
      </c>
      <c r="J339" s="14">
        <f>61.7049 * CHOOSE(CONTROL!$C$9, $D$9, 100%, $F$9) + CHOOSE(CONTROL!$C$27, 0.0021, 0)</f>
        <v>61.707000000000001</v>
      </c>
      <c r="K339" s="14">
        <f>61.7049 * CHOOSE(CONTROL!$C$9, $D$9, 100%, $F$9) + CHOOSE(CONTROL!$C$27, 0.0021, 0)</f>
        <v>61.707000000000001</v>
      </c>
      <c r="L339" s="14"/>
    </row>
    <row r="340" spans="1:12" ht="15.75" x14ac:dyDescent="0.25">
      <c r="A340" s="33">
        <v>51287</v>
      </c>
      <c r="B340" s="14">
        <f>63.3939 * CHOOSE(CONTROL!$C$9, $D$9, 100%, $F$9) + CHOOSE(CONTROL!$C$27, 0.0021, 0)</f>
        <v>63.396000000000001</v>
      </c>
      <c r="C340" s="14">
        <f>62.9617 * CHOOSE(CONTROL!$C$9, $D$9, 100%, $F$9) + CHOOSE(CONTROL!$C$27, 0.0021, 0)</f>
        <v>62.963799999999999</v>
      </c>
      <c r="D340" s="14">
        <f>62.9617 * CHOOSE(CONTROL!$C$9, $D$9, 100%, $F$9) + CHOOSE(CONTROL!$C$27, 0.0021, 0)</f>
        <v>62.963799999999999</v>
      </c>
      <c r="E340" s="14">
        <f>62.825 * CHOOSE(CONTROL!$C$9, $D$9, 100%, $F$9) + CHOOSE(CONTROL!$C$27, 0.0021, 0)</f>
        <v>62.827100000000002</v>
      </c>
      <c r="F340" s="14">
        <f>62.825 * CHOOSE(CONTROL!$C$9, $D$9, 100%, $F$9) + CHOOSE(CONTROL!$C$27, 0.0021, 0)</f>
        <v>62.827100000000002</v>
      </c>
      <c r="G340" s="14">
        <f>63.0964 * CHOOSE(CONTROL!$C$9, $D$9, 100%, $F$9) + CHOOSE(CONTROL!$C$27, 0.0021, 0)</f>
        <v>63.098500000000001</v>
      </c>
      <c r="H340" s="14">
        <f>62.9617 * CHOOSE(CONTROL!$C$9, $D$9, 100%, $F$9) + CHOOSE(CONTROL!$C$27, 0.0021, 0)</f>
        <v>62.963799999999999</v>
      </c>
      <c r="I340" s="14">
        <f>62.9617 * CHOOSE(CONTROL!$C$9, $D$9, 100%, $F$9) + CHOOSE(CONTROL!$C$27, 0.0021, 0)</f>
        <v>62.963799999999999</v>
      </c>
      <c r="J340" s="14">
        <f>62.9617 * CHOOSE(CONTROL!$C$9, $D$9, 100%, $F$9) + CHOOSE(CONTROL!$C$27, 0.0021, 0)</f>
        <v>62.963799999999999</v>
      </c>
      <c r="K340" s="14">
        <f>62.9617 * CHOOSE(CONTROL!$C$9, $D$9, 100%, $F$9) + CHOOSE(CONTROL!$C$27, 0.0021, 0)</f>
        <v>62.963799999999999</v>
      </c>
      <c r="L340" s="14"/>
    </row>
    <row r="341" spans="1:12" ht="15.75" x14ac:dyDescent="0.25">
      <c r="A341" s="33">
        <v>51317</v>
      </c>
      <c r="B341" s="14">
        <f>64.1467 * CHOOSE(CONTROL!$C$9, $D$9, 100%, $F$9) + CHOOSE(CONTROL!$C$27, 0.0021, 0)</f>
        <v>64.148799999999994</v>
      </c>
      <c r="C341" s="14">
        <f>63.7144 * CHOOSE(CONTROL!$C$9, $D$9, 100%, $F$9) + CHOOSE(CONTROL!$C$27, 0.0021, 0)</f>
        <v>63.716499999999996</v>
      </c>
      <c r="D341" s="14">
        <f>63.7144 * CHOOSE(CONTROL!$C$9, $D$9, 100%, $F$9) + CHOOSE(CONTROL!$C$27, 0.0021, 0)</f>
        <v>63.716499999999996</v>
      </c>
      <c r="E341" s="14">
        <f>63.5778 * CHOOSE(CONTROL!$C$9, $D$9, 100%, $F$9) + CHOOSE(CONTROL!$C$27, 0.0021, 0)</f>
        <v>63.579900000000002</v>
      </c>
      <c r="F341" s="14">
        <f>63.5778 * CHOOSE(CONTROL!$C$9, $D$9, 100%, $F$9) + CHOOSE(CONTROL!$C$27, 0.0021, 0)</f>
        <v>63.579900000000002</v>
      </c>
      <c r="G341" s="14">
        <f>63.8491 * CHOOSE(CONTROL!$C$9, $D$9, 100%, $F$9) + CHOOSE(CONTROL!$C$27, 0.0021, 0)</f>
        <v>63.851199999999999</v>
      </c>
      <c r="H341" s="14">
        <f>63.7144 * CHOOSE(CONTROL!$C$9, $D$9, 100%, $F$9) + CHOOSE(CONTROL!$C$27, 0.0021, 0)</f>
        <v>63.716499999999996</v>
      </c>
      <c r="I341" s="14">
        <f>63.7144 * CHOOSE(CONTROL!$C$9, $D$9, 100%, $F$9) + CHOOSE(CONTROL!$C$27, 0.0021, 0)</f>
        <v>63.716499999999996</v>
      </c>
      <c r="J341" s="14">
        <f>63.7144 * CHOOSE(CONTROL!$C$9, $D$9, 100%, $F$9) + CHOOSE(CONTROL!$C$27, 0.0021, 0)</f>
        <v>63.716499999999996</v>
      </c>
      <c r="K341" s="14">
        <f>63.7144 * CHOOSE(CONTROL!$C$9, $D$9, 100%, $F$9) + CHOOSE(CONTROL!$C$27, 0.0021, 0)</f>
        <v>63.716499999999996</v>
      </c>
      <c r="L341" s="14"/>
    </row>
    <row r="342" spans="1:12" ht="15.75" x14ac:dyDescent="0.25">
      <c r="A342" s="33">
        <v>51348</v>
      </c>
      <c r="B342" s="14">
        <f>65.3884 * CHOOSE(CONTROL!$C$9, $D$9, 100%, $F$9) + CHOOSE(CONTROL!$C$27, 0.0021, 0)</f>
        <v>65.390500000000003</v>
      </c>
      <c r="C342" s="14">
        <f>64.9562 * CHOOSE(CONTROL!$C$9, $D$9, 100%, $F$9) + CHOOSE(CONTROL!$C$27, 0.0021, 0)</f>
        <v>64.958299999999994</v>
      </c>
      <c r="D342" s="14">
        <f>64.9562 * CHOOSE(CONTROL!$C$9, $D$9, 100%, $F$9) + CHOOSE(CONTROL!$C$27, 0.0021, 0)</f>
        <v>64.958299999999994</v>
      </c>
      <c r="E342" s="14">
        <f>64.8195 * CHOOSE(CONTROL!$C$9, $D$9, 100%, $F$9) + CHOOSE(CONTROL!$C$27, 0.0021, 0)</f>
        <v>64.821600000000004</v>
      </c>
      <c r="F342" s="14">
        <f>64.8195 * CHOOSE(CONTROL!$C$9, $D$9, 100%, $F$9) + CHOOSE(CONTROL!$C$27, 0.0021, 0)</f>
        <v>64.821600000000004</v>
      </c>
      <c r="G342" s="14">
        <f>65.0909 * CHOOSE(CONTROL!$C$9, $D$9, 100%, $F$9) + CHOOSE(CONTROL!$C$27, 0.0021, 0)</f>
        <v>65.093000000000004</v>
      </c>
      <c r="H342" s="14">
        <f>64.9562 * CHOOSE(CONTROL!$C$9, $D$9, 100%, $F$9) + CHOOSE(CONTROL!$C$27, 0.0021, 0)</f>
        <v>64.958299999999994</v>
      </c>
      <c r="I342" s="14">
        <f>64.9562 * CHOOSE(CONTROL!$C$9, $D$9, 100%, $F$9) + CHOOSE(CONTROL!$C$27, 0.0021, 0)</f>
        <v>64.958299999999994</v>
      </c>
      <c r="J342" s="14">
        <f>64.9562 * CHOOSE(CONTROL!$C$9, $D$9, 100%, $F$9) + CHOOSE(CONTROL!$C$27, 0.0021, 0)</f>
        <v>64.958299999999994</v>
      </c>
      <c r="K342" s="14">
        <f>64.9562 * CHOOSE(CONTROL!$C$9, $D$9, 100%, $F$9) + CHOOSE(CONTROL!$C$27, 0.0021, 0)</f>
        <v>64.958299999999994</v>
      </c>
      <c r="L342" s="14"/>
    </row>
    <row r="343" spans="1:12" ht="15.75" x14ac:dyDescent="0.25">
      <c r="A343" s="33">
        <v>51379</v>
      </c>
      <c r="B343" s="14">
        <f>65.7675 * CHOOSE(CONTROL!$C$9, $D$9, 100%, $F$9) + CHOOSE(CONTROL!$C$27, 0.0021, 0)</f>
        <v>65.769599999999997</v>
      </c>
      <c r="C343" s="14">
        <f>65.3352 * CHOOSE(CONTROL!$C$9, $D$9, 100%, $F$9) + CHOOSE(CONTROL!$C$27, 0.0021, 0)</f>
        <v>65.337299999999999</v>
      </c>
      <c r="D343" s="14">
        <f>65.3352 * CHOOSE(CONTROL!$C$9, $D$9, 100%, $F$9) + CHOOSE(CONTROL!$C$27, 0.0021, 0)</f>
        <v>65.337299999999999</v>
      </c>
      <c r="E343" s="14">
        <f>65.1986 * CHOOSE(CONTROL!$C$9, $D$9, 100%, $F$9) + CHOOSE(CONTROL!$C$27, 0.0021, 0)</f>
        <v>65.200699999999998</v>
      </c>
      <c r="F343" s="14">
        <f>65.1986 * CHOOSE(CONTROL!$C$9, $D$9, 100%, $F$9) + CHOOSE(CONTROL!$C$27, 0.0021, 0)</f>
        <v>65.200699999999998</v>
      </c>
      <c r="G343" s="14">
        <f>65.4699 * CHOOSE(CONTROL!$C$9, $D$9, 100%, $F$9) + CHOOSE(CONTROL!$C$27, 0.0021, 0)</f>
        <v>65.471999999999994</v>
      </c>
      <c r="H343" s="14">
        <f>65.3352 * CHOOSE(CONTROL!$C$9, $D$9, 100%, $F$9) + CHOOSE(CONTROL!$C$27, 0.0021, 0)</f>
        <v>65.337299999999999</v>
      </c>
      <c r="I343" s="14">
        <f>65.3352 * CHOOSE(CONTROL!$C$9, $D$9, 100%, $F$9) + CHOOSE(CONTROL!$C$27, 0.0021, 0)</f>
        <v>65.337299999999999</v>
      </c>
      <c r="J343" s="14">
        <f>65.3352 * CHOOSE(CONTROL!$C$9, $D$9, 100%, $F$9) + CHOOSE(CONTROL!$C$27, 0.0021, 0)</f>
        <v>65.337299999999999</v>
      </c>
      <c r="K343" s="14">
        <f>65.3352 * CHOOSE(CONTROL!$C$9, $D$9, 100%, $F$9) + CHOOSE(CONTROL!$C$27, 0.0021, 0)</f>
        <v>65.337299999999999</v>
      </c>
      <c r="L343" s="14"/>
    </row>
    <row r="344" spans="1:12" ht="15.75" x14ac:dyDescent="0.25">
      <c r="A344" s="33">
        <v>51409</v>
      </c>
      <c r="B344" s="14">
        <f>67.0582 * CHOOSE(CONTROL!$C$9, $D$9, 100%, $F$9) + CHOOSE(CONTROL!$C$27, 0.0021, 0)</f>
        <v>67.060299999999998</v>
      </c>
      <c r="C344" s="14">
        <f>66.626 * CHOOSE(CONTROL!$C$9, $D$9, 100%, $F$9) + CHOOSE(CONTROL!$C$27, 0.0021, 0)</f>
        <v>66.628100000000003</v>
      </c>
      <c r="D344" s="14">
        <f>66.626 * CHOOSE(CONTROL!$C$9, $D$9, 100%, $F$9) + CHOOSE(CONTROL!$C$27, 0.0021, 0)</f>
        <v>66.628100000000003</v>
      </c>
      <c r="E344" s="14">
        <f>66.4893 * CHOOSE(CONTROL!$C$9, $D$9, 100%, $F$9) + CHOOSE(CONTROL!$C$27, 0.0021, 0)</f>
        <v>66.491399999999999</v>
      </c>
      <c r="F344" s="14">
        <f>66.4893 * CHOOSE(CONTROL!$C$9, $D$9, 100%, $F$9) + CHOOSE(CONTROL!$C$27, 0.0021, 0)</f>
        <v>66.491399999999999</v>
      </c>
      <c r="G344" s="14">
        <f>66.7607 * CHOOSE(CONTROL!$C$9, $D$9, 100%, $F$9) + CHOOSE(CONTROL!$C$27, 0.0021, 0)</f>
        <v>66.762799999999999</v>
      </c>
      <c r="H344" s="14">
        <f>66.626 * CHOOSE(CONTROL!$C$9, $D$9, 100%, $F$9) + CHOOSE(CONTROL!$C$27, 0.0021, 0)</f>
        <v>66.628100000000003</v>
      </c>
      <c r="I344" s="14">
        <f>66.626 * CHOOSE(CONTROL!$C$9, $D$9, 100%, $F$9) + CHOOSE(CONTROL!$C$27, 0.0021, 0)</f>
        <v>66.628100000000003</v>
      </c>
      <c r="J344" s="14">
        <f>66.626 * CHOOSE(CONTROL!$C$9, $D$9, 100%, $F$9) + CHOOSE(CONTROL!$C$27, 0.0021, 0)</f>
        <v>66.628100000000003</v>
      </c>
      <c r="K344" s="14">
        <f>66.626 * CHOOSE(CONTROL!$C$9, $D$9, 100%, $F$9) + CHOOSE(CONTROL!$C$27, 0.0021, 0)</f>
        <v>66.628100000000003</v>
      </c>
      <c r="L344" s="14"/>
    </row>
    <row r="345" spans="1:12" ht="15.75" x14ac:dyDescent="0.25">
      <c r="A345" s="33">
        <v>51440</v>
      </c>
      <c r="B345" s="14">
        <f>68.6921 * CHOOSE(CONTROL!$C$9, $D$9, 100%, $F$9) + CHOOSE(CONTROL!$C$27, 0.0021, 0)</f>
        <v>68.694199999999995</v>
      </c>
      <c r="C345" s="14">
        <f>68.2599 * CHOOSE(CONTROL!$C$9, $D$9, 100%, $F$9) + CHOOSE(CONTROL!$C$27, 0.0021, 0)</f>
        <v>68.262</v>
      </c>
      <c r="D345" s="14">
        <f>68.2599 * CHOOSE(CONTROL!$C$9, $D$9, 100%, $F$9) + CHOOSE(CONTROL!$C$27, 0.0021, 0)</f>
        <v>68.262</v>
      </c>
      <c r="E345" s="14">
        <f>68.1232 * CHOOSE(CONTROL!$C$9, $D$9, 100%, $F$9) + CHOOSE(CONTROL!$C$27, 0.0021, 0)</f>
        <v>68.125299999999996</v>
      </c>
      <c r="F345" s="14">
        <f>68.1232 * CHOOSE(CONTROL!$C$9, $D$9, 100%, $F$9) + CHOOSE(CONTROL!$C$27, 0.0021, 0)</f>
        <v>68.125299999999996</v>
      </c>
      <c r="G345" s="14">
        <f>68.3946 * CHOOSE(CONTROL!$C$9, $D$9, 100%, $F$9) + CHOOSE(CONTROL!$C$27, 0.0021, 0)</f>
        <v>68.396699999999996</v>
      </c>
      <c r="H345" s="14">
        <f>68.2599 * CHOOSE(CONTROL!$C$9, $D$9, 100%, $F$9) + CHOOSE(CONTROL!$C$27, 0.0021, 0)</f>
        <v>68.262</v>
      </c>
      <c r="I345" s="14">
        <f>68.2599 * CHOOSE(CONTROL!$C$9, $D$9, 100%, $F$9) + CHOOSE(CONTROL!$C$27, 0.0021, 0)</f>
        <v>68.262</v>
      </c>
      <c r="J345" s="14">
        <f>68.2599 * CHOOSE(CONTROL!$C$9, $D$9, 100%, $F$9) + CHOOSE(CONTROL!$C$27, 0.0021, 0)</f>
        <v>68.262</v>
      </c>
      <c r="K345" s="14">
        <f>68.2599 * CHOOSE(CONTROL!$C$9, $D$9, 100%, $F$9) + CHOOSE(CONTROL!$C$27, 0.0021, 0)</f>
        <v>68.262</v>
      </c>
      <c r="L345" s="14"/>
    </row>
    <row r="346" spans="1:12" ht="15.75" x14ac:dyDescent="0.25">
      <c r="A346" s="33">
        <v>51470</v>
      </c>
      <c r="B346" s="14">
        <f>68.8455 * CHOOSE(CONTROL!$C$9, $D$9, 100%, $F$9) + CHOOSE(CONTROL!$C$27, 0.0021, 0)</f>
        <v>68.8476</v>
      </c>
      <c r="C346" s="14">
        <f>68.4132 * CHOOSE(CONTROL!$C$9, $D$9, 100%, $F$9) + CHOOSE(CONTROL!$C$27, 0.0021, 0)</f>
        <v>68.415300000000002</v>
      </c>
      <c r="D346" s="14">
        <f>68.4132 * CHOOSE(CONTROL!$C$9, $D$9, 100%, $F$9) + CHOOSE(CONTROL!$C$27, 0.0021, 0)</f>
        <v>68.415300000000002</v>
      </c>
      <c r="E346" s="14">
        <f>68.2766 * CHOOSE(CONTROL!$C$9, $D$9, 100%, $F$9) + CHOOSE(CONTROL!$C$27, 0.0021, 0)</f>
        <v>68.278700000000001</v>
      </c>
      <c r="F346" s="14">
        <f>68.2766 * CHOOSE(CONTROL!$C$9, $D$9, 100%, $F$9) + CHOOSE(CONTROL!$C$27, 0.0021, 0)</f>
        <v>68.278700000000001</v>
      </c>
      <c r="G346" s="14">
        <f>68.548 * CHOOSE(CONTROL!$C$9, $D$9, 100%, $F$9) + CHOOSE(CONTROL!$C$27, 0.0021, 0)</f>
        <v>68.5501</v>
      </c>
      <c r="H346" s="14">
        <f>68.4132 * CHOOSE(CONTROL!$C$9, $D$9, 100%, $F$9) + CHOOSE(CONTROL!$C$27, 0.0021, 0)</f>
        <v>68.415300000000002</v>
      </c>
      <c r="I346" s="14">
        <f>68.4132 * CHOOSE(CONTROL!$C$9, $D$9, 100%, $F$9) + CHOOSE(CONTROL!$C$27, 0.0021, 0)</f>
        <v>68.415300000000002</v>
      </c>
      <c r="J346" s="14">
        <f>68.4132 * CHOOSE(CONTROL!$C$9, $D$9, 100%, $F$9) + CHOOSE(CONTROL!$C$27, 0.0021, 0)</f>
        <v>68.415300000000002</v>
      </c>
      <c r="K346" s="14">
        <f>68.4132 * CHOOSE(CONTROL!$C$9, $D$9, 100%, $F$9) + CHOOSE(CONTROL!$C$27, 0.0021, 0)</f>
        <v>68.415300000000002</v>
      </c>
      <c r="L346" s="14"/>
    </row>
    <row r="347" spans="1:12" ht="15.75" x14ac:dyDescent="0.25">
      <c r="A347" s="33">
        <v>51501</v>
      </c>
      <c r="B347" s="14">
        <f>67.5405 * CHOOSE(CONTROL!$C$9, $D$9, 100%, $F$9) + CHOOSE(CONTROL!$C$27, 0.0021, 0)</f>
        <v>67.542599999999993</v>
      </c>
      <c r="C347" s="14">
        <f>67.1083 * CHOOSE(CONTROL!$C$9, $D$9, 100%, $F$9) + CHOOSE(CONTROL!$C$27, 0.0021, 0)</f>
        <v>67.110399999999998</v>
      </c>
      <c r="D347" s="14">
        <f>67.1083 * CHOOSE(CONTROL!$C$9, $D$9, 100%, $F$9) + CHOOSE(CONTROL!$C$27, 0.0021, 0)</f>
        <v>67.110399999999998</v>
      </c>
      <c r="E347" s="14">
        <f>66.9716 * CHOOSE(CONTROL!$C$9, $D$9, 100%, $F$9) + CHOOSE(CONTROL!$C$27, 0.0021, 0)</f>
        <v>66.973699999999994</v>
      </c>
      <c r="F347" s="14">
        <f>66.9716 * CHOOSE(CONTROL!$C$9, $D$9, 100%, $F$9) + CHOOSE(CONTROL!$C$27, 0.0021, 0)</f>
        <v>66.973699999999994</v>
      </c>
      <c r="G347" s="14">
        <f>67.243 * CHOOSE(CONTROL!$C$9, $D$9, 100%, $F$9) + CHOOSE(CONTROL!$C$27, 0.0021, 0)</f>
        <v>67.245099999999994</v>
      </c>
      <c r="H347" s="14">
        <f>67.1083 * CHOOSE(CONTROL!$C$9, $D$9, 100%, $F$9) + CHOOSE(CONTROL!$C$27, 0.0021, 0)</f>
        <v>67.110399999999998</v>
      </c>
      <c r="I347" s="14">
        <f>67.1083 * CHOOSE(CONTROL!$C$9, $D$9, 100%, $F$9) + CHOOSE(CONTROL!$C$27, 0.0021, 0)</f>
        <v>67.110399999999998</v>
      </c>
      <c r="J347" s="14">
        <f>67.1083 * CHOOSE(CONTROL!$C$9, $D$9, 100%, $F$9) + CHOOSE(CONTROL!$C$27, 0.0021, 0)</f>
        <v>67.110399999999998</v>
      </c>
      <c r="K347" s="14">
        <f>67.1083 * CHOOSE(CONTROL!$C$9, $D$9, 100%, $F$9) + CHOOSE(CONTROL!$C$27, 0.0021, 0)</f>
        <v>67.110399999999998</v>
      </c>
      <c r="L347" s="14"/>
    </row>
    <row r="348" spans="1:12" ht="15.75" x14ac:dyDescent="0.25">
      <c r="A348" s="33">
        <v>51532</v>
      </c>
      <c r="B348" s="14">
        <f>66.7157 * CHOOSE(CONTROL!$C$9, $D$9, 100%, $F$9) + CHOOSE(CONTROL!$C$27, 0.0021, 0)</f>
        <v>66.717799999999997</v>
      </c>
      <c r="C348" s="14">
        <f>66.2835 * CHOOSE(CONTROL!$C$9, $D$9, 100%, $F$9) + CHOOSE(CONTROL!$C$27, 0.0021, 0)</f>
        <v>66.285600000000002</v>
      </c>
      <c r="D348" s="14">
        <f>66.2835 * CHOOSE(CONTROL!$C$9, $D$9, 100%, $F$9) + CHOOSE(CONTROL!$C$27, 0.0021, 0)</f>
        <v>66.285600000000002</v>
      </c>
      <c r="E348" s="14">
        <f>66.1468 * CHOOSE(CONTROL!$C$9, $D$9, 100%, $F$9) + CHOOSE(CONTROL!$C$27, 0.0021, 0)</f>
        <v>66.148899999999998</v>
      </c>
      <c r="F348" s="14">
        <f>66.1468 * CHOOSE(CONTROL!$C$9, $D$9, 100%, $F$9) + CHOOSE(CONTROL!$C$27, 0.0021, 0)</f>
        <v>66.148899999999998</v>
      </c>
      <c r="G348" s="14">
        <f>66.4182 * CHOOSE(CONTROL!$C$9, $D$9, 100%, $F$9) + CHOOSE(CONTROL!$C$27, 0.0021, 0)</f>
        <v>66.420299999999997</v>
      </c>
      <c r="H348" s="14">
        <f>66.2835 * CHOOSE(CONTROL!$C$9, $D$9, 100%, $F$9) + CHOOSE(CONTROL!$C$27, 0.0021, 0)</f>
        <v>66.285600000000002</v>
      </c>
      <c r="I348" s="14">
        <f>66.2835 * CHOOSE(CONTROL!$C$9, $D$9, 100%, $F$9) + CHOOSE(CONTROL!$C$27, 0.0021, 0)</f>
        <v>66.285600000000002</v>
      </c>
      <c r="J348" s="14">
        <f>66.2835 * CHOOSE(CONTROL!$C$9, $D$9, 100%, $F$9) + CHOOSE(CONTROL!$C$27, 0.0021, 0)</f>
        <v>66.285600000000002</v>
      </c>
      <c r="K348" s="14">
        <f>66.2835 * CHOOSE(CONTROL!$C$9, $D$9, 100%, $F$9) + CHOOSE(CONTROL!$C$27, 0.0021, 0)</f>
        <v>66.285600000000002</v>
      </c>
      <c r="L348" s="14"/>
    </row>
    <row r="349" spans="1:12" ht="15.75" x14ac:dyDescent="0.25">
      <c r="A349" s="33">
        <v>51560</v>
      </c>
      <c r="B349" s="14">
        <f>64.8935 * CHOOSE(CONTROL!$C$9, $D$9, 100%, $F$9) + CHOOSE(CONTROL!$C$27, 0.0021, 0)</f>
        <v>64.895600000000002</v>
      </c>
      <c r="C349" s="14">
        <f>64.4613 * CHOOSE(CONTROL!$C$9, $D$9, 100%, $F$9) + CHOOSE(CONTROL!$C$27, 0.0021, 0)</f>
        <v>64.463399999999993</v>
      </c>
      <c r="D349" s="14">
        <f>64.4613 * CHOOSE(CONTROL!$C$9, $D$9, 100%, $F$9) + CHOOSE(CONTROL!$C$27, 0.0021, 0)</f>
        <v>64.463399999999993</v>
      </c>
      <c r="E349" s="14">
        <f>64.3246 * CHOOSE(CONTROL!$C$9, $D$9, 100%, $F$9) + CHOOSE(CONTROL!$C$27, 0.0021, 0)</f>
        <v>64.326700000000002</v>
      </c>
      <c r="F349" s="14">
        <f>64.3246 * CHOOSE(CONTROL!$C$9, $D$9, 100%, $F$9) + CHOOSE(CONTROL!$C$27, 0.0021, 0)</f>
        <v>64.326700000000002</v>
      </c>
      <c r="G349" s="14">
        <f>64.596 * CHOOSE(CONTROL!$C$9, $D$9, 100%, $F$9) + CHOOSE(CONTROL!$C$27, 0.0021, 0)</f>
        <v>64.598100000000002</v>
      </c>
      <c r="H349" s="14">
        <f>64.4613 * CHOOSE(CONTROL!$C$9, $D$9, 100%, $F$9) + CHOOSE(CONTROL!$C$27, 0.0021, 0)</f>
        <v>64.463399999999993</v>
      </c>
      <c r="I349" s="14">
        <f>64.4613 * CHOOSE(CONTROL!$C$9, $D$9, 100%, $F$9) + CHOOSE(CONTROL!$C$27, 0.0021, 0)</f>
        <v>64.463399999999993</v>
      </c>
      <c r="J349" s="14">
        <f>64.4613 * CHOOSE(CONTROL!$C$9, $D$9, 100%, $F$9) + CHOOSE(CONTROL!$C$27, 0.0021, 0)</f>
        <v>64.463399999999993</v>
      </c>
      <c r="K349" s="14">
        <f>64.4613 * CHOOSE(CONTROL!$C$9, $D$9, 100%, $F$9) + CHOOSE(CONTROL!$C$27, 0.0021, 0)</f>
        <v>64.463399999999993</v>
      </c>
      <c r="L349" s="14"/>
    </row>
    <row r="350" spans="1:12" ht="15.75" x14ac:dyDescent="0.25">
      <c r="A350" s="33">
        <v>51591</v>
      </c>
      <c r="B350" s="14">
        <f>64.1413 * CHOOSE(CONTROL!$C$9, $D$9, 100%, $F$9) + CHOOSE(CONTROL!$C$27, 0.0021, 0)</f>
        <v>64.1434</v>
      </c>
      <c r="C350" s="14">
        <f>63.709 * CHOOSE(CONTROL!$C$9, $D$9, 100%, $F$9) + CHOOSE(CONTROL!$C$27, 0.0021, 0)</f>
        <v>63.711100000000002</v>
      </c>
      <c r="D350" s="14">
        <f>63.709 * CHOOSE(CONTROL!$C$9, $D$9, 100%, $F$9) + CHOOSE(CONTROL!$C$27, 0.0021, 0)</f>
        <v>63.711100000000002</v>
      </c>
      <c r="E350" s="14">
        <f>63.5724 * CHOOSE(CONTROL!$C$9, $D$9, 100%, $F$9) + CHOOSE(CONTROL!$C$27, 0.0021, 0)</f>
        <v>63.5745</v>
      </c>
      <c r="F350" s="14">
        <f>63.5724 * CHOOSE(CONTROL!$C$9, $D$9, 100%, $F$9) + CHOOSE(CONTROL!$C$27, 0.0021, 0)</f>
        <v>63.5745</v>
      </c>
      <c r="G350" s="14">
        <f>63.8438 * CHOOSE(CONTROL!$C$9, $D$9, 100%, $F$9) + CHOOSE(CONTROL!$C$27, 0.0021, 0)</f>
        <v>63.8459</v>
      </c>
      <c r="H350" s="14">
        <f>63.709 * CHOOSE(CONTROL!$C$9, $D$9, 100%, $F$9) + CHOOSE(CONTROL!$C$27, 0.0021, 0)</f>
        <v>63.711100000000002</v>
      </c>
      <c r="I350" s="14">
        <f>63.709 * CHOOSE(CONTROL!$C$9, $D$9, 100%, $F$9) + CHOOSE(CONTROL!$C$27, 0.0021, 0)</f>
        <v>63.711100000000002</v>
      </c>
      <c r="J350" s="14">
        <f>63.709 * CHOOSE(CONTROL!$C$9, $D$9, 100%, $F$9) + CHOOSE(CONTROL!$C$27, 0.0021, 0)</f>
        <v>63.711100000000002</v>
      </c>
      <c r="K350" s="14">
        <f>63.709 * CHOOSE(CONTROL!$C$9, $D$9, 100%, $F$9) + CHOOSE(CONTROL!$C$27, 0.0021, 0)</f>
        <v>63.711100000000002</v>
      </c>
      <c r="L350" s="14"/>
    </row>
    <row r="351" spans="1:12" ht="15.75" x14ac:dyDescent="0.25">
      <c r="A351" s="33">
        <v>51621</v>
      </c>
      <c r="B351" s="14">
        <f>63.2431 * CHOOSE(CONTROL!$C$9, $D$9, 100%, $F$9) + CHOOSE(CONTROL!$C$27, 0.0021, 0)</f>
        <v>63.245199999999997</v>
      </c>
      <c r="C351" s="14">
        <f>62.8109 * CHOOSE(CONTROL!$C$9, $D$9, 100%, $F$9) + CHOOSE(CONTROL!$C$27, 0.0021, 0)</f>
        <v>62.812999999999995</v>
      </c>
      <c r="D351" s="14">
        <f>62.8109 * CHOOSE(CONTROL!$C$9, $D$9, 100%, $F$9) + CHOOSE(CONTROL!$C$27, 0.0021, 0)</f>
        <v>62.812999999999995</v>
      </c>
      <c r="E351" s="14">
        <f>62.6742 * CHOOSE(CONTROL!$C$9, $D$9, 100%, $F$9) + CHOOSE(CONTROL!$C$27, 0.0021, 0)</f>
        <v>62.676299999999998</v>
      </c>
      <c r="F351" s="14">
        <f>62.6742 * CHOOSE(CONTROL!$C$9, $D$9, 100%, $F$9) + CHOOSE(CONTROL!$C$27, 0.0021, 0)</f>
        <v>62.676299999999998</v>
      </c>
      <c r="G351" s="14">
        <f>62.9456 * CHOOSE(CONTROL!$C$9, $D$9, 100%, $F$9) + CHOOSE(CONTROL!$C$27, 0.0021, 0)</f>
        <v>62.947699999999998</v>
      </c>
      <c r="H351" s="14">
        <f>62.8109 * CHOOSE(CONTROL!$C$9, $D$9, 100%, $F$9) + CHOOSE(CONTROL!$C$27, 0.0021, 0)</f>
        <v>62.812999999999995</v>
      </c>
      <c r="I351" s="14">
        <f>62.8109 * CHOOSE(CONTROL!$C$9, $D$9, 100%, $F$9) + CHOOSE(CONTROL!$C$27, 0.0021, 0)</f>
        <v>62.812999999999995</v>
      </c>
      <c r="J351" s="14">
        <f>62.8109 * CHOOSE(CONTROL!$C$9, $D$9, 100%, $F$9) + CHOOSE(CONTROL!$C$27, 0.0021, 0)</f>
        <v>62.812999999999995</v>
      </c>
      <c r="K351" s="14">
        <f>62.8109 * CHOOSE(CONTROL!$C$9, $D$9, 100%, $F$9) + CHOOSE(CONTROL!$C$27, 0.0021, 0)</f>
        <v>62.812999999999995</v>
      </c>
      <c r="L351" s="14"/>
    </row>
    <row r="352" spans="1:12" ht="15.75" x14ac:dyDescent="0.25">
      <c r="A352" s="33">
        <v>51652</v>
      </c>
      <c r="B352" s="14">
        <f>64.5231 * CHOOSE(CONTROL!$C$9, $D$9, 100%, $F$9) + CHOOSE(CONTROL!$C$27, 0.0021, 0)</f>
        <v>64.525199999999998</v>
      </c>
      <c r="C352" s="14">
        <f>64.0909 * CHOOSE(CONTROL!$C$9, $D$9, 100%, $F$9) + CHOOSE(CONTROL!$C$27, 0.0021, 0)</f>
        <v>64.093000000000004</v>
      </c>
      <c r="D352" s="14">
        <f>64.0909 * CHOOSE(CONTROL!$C$9, $D$9, 100%, $F$9) + CHOOSE(CONTROL!$C$27, 0.0021, 0)</f>
        <v>64.093000000000004</v>
      </c>
      <c r="E352" s="14">
        <f>63.9542 * CHOOSE(CONTROL!$C$9, $D$9, 100%, $F$9) + CHOOSE(CONTROL!$C$27, 0.0021, 0)</f>
        <v>63.956299999999999</v>
      </c>
      <c r="F352" s="14">
        <f>63.9542 * CHOOSE(CONTROL!$C$9, $D$9, 100%, $F$9) + CHOOSE(CONTROL!$C$27, 0.0021, 0)</f>
        <v>63.956299999999999</v>
      </c>
      <c r="G352" s="14">
        <f>64.2256 * CHOOSE(CONTROL!$C$9, $D$9, 100%, $F$9) + CHOOSE(CONTROL!$C$27, 0.0021, 0)</f>
        <v>64.227699999999999</v>
      </c>
      <c r="H352" s="14">
        <f>64.0909 * CHOOSE(CONTROL!$C$9, $D$9, 100%, $F$9) + CHOOSE(CONTROL!$C$27, 0.0021, 0)</f>
        <v>64.093000000000004</v>
      </c>
      <c r="I352" s="14">
        <f>64.0909 * CHOOSE(CONTROL!$C$9, $D$9, 100%, $F$9) + CHOOSE(CONTROL!$C$27, 0.0021, 0)</f>
        <v>64.093000000000004</v>
      </c>
      <c r="J352" s="14">
        <f>64.0909 * CHOOSE(CONTROL!$C$9, $D$9, 100%, $F$9) + CHOOSE(CONTROL!$C$27, 0.0021, 0)</f>
        <v>64.093000000000004</v>
      </c>
      <c r="K352" s="14">
        <f>64.0909 * CHOOSE(CONTROL!$C$9, $D$9, 100%, $F$9) + CHOOSE(CONTROL!$C$27, 0.0021, 0)</f>
        <v>64.093000000000004</v>
      </c>
      <c r="L352" s="14"/>
    </row>
    <row r="353" spans="1:12" ht="15.75" x14ac:dyDescent="0.25">
      <c r="A353" s="33">
        <v>51682</v>
      </c>
      <c r="B353" s="14">
        <f>65.2898 * CHOOSE(CONTROL!$C$9, $D$9, 100%, $F$9) + CHOOSE(CONTROL!$C$27, 0.0021, 0)</f>
        <v>65.291899999999998</v>
      </c>
      <c r="C353" s="14">
        <f>64.8575 * CHOOSE(CONTROL!$C$9, $D$9, 100%, $F$9) + CHOOSE(CONTROL!$C$27, 0.0021, 0)</f>
        <v>64.8596</v>
      </c>
      <c r="D353" s="14">
        <f>64.8575 * CHOOSE(CONTROL!$C$9, $D$9, 100%, $F$9) + CHOOSE(CONTROL!$C$27, 0.0021, 0)</f>
        <v>64.8596</v>
      </c>
      <c r="E353" s="14">
        <f>64.7209 * CHOOSE(CONTROL!$C$9, $D$9, 100%, $F$9) + CHOOSE(CONTROL!$C$27, 0.0021, 0)</f>
        <v>64.722999999999999</v>
      </c>
      <c r="F353" s="14">
        <f>64.7209 * CHOOSE(CONTROL!$C$9, $D$9, 100%, $F$9) + CHOOSE(CONTROL!$C$27, 0.0021, 0)</f>
        <v>64.722999999999999</v>
      </c>
      <c r="G353" s="14">
        <f>64.9923 * CHOOSE(CONTROL!$C$9, $D$9, 100%, $F$9) + CHOOSE(CONTROL!$C$27, 0.0021, 0)</f>
        <v>64.994399999999999</v>
      </c>
      <c r="H353" s="14">
        <f>64.8575 * CHOOSE(CONTROL!$C$9, $D$9, 100%, $F$9) + CHOOSE(CONTROL!$C$27, 0.0021, 0)</f>
        <v>64.8596</v>
      </c>
      <c r="I353" s="14">
        <f>64.8575 * CHOOSE(CONTROL!$C$9, $D$9, 100%, $F$9) + CHOOSE(CONTROL!$C$27, 0.0021, 0)</f>
        <v>64.8596</v>
      </c>
      <c r="J353" s="14">
        <f>64.8575 * CHOOSE(CONTROL!$C$9, $D$9, 100%, $F$9) + CHOOSE(CONTROL!$C$27, 0.0021, 0)</f>
        <v>64.8596</v>
      </c>
      <c r="K353" s="14">
        <f>64.8575 * CHOOSE(CONTROL!$C$9, $D$9, 100%, $F$9) + CHOOSE(CONTROL!$C$27, 0.0021, 0)</f>
        <v>64.8596</v>
      </c>
      <c r="L353" s="14"/>
    </row>
    <row r="354" spans="1:12" ht="15.75" x14ac:dyDescent="0.25">
      <c r="A354" s="33">
        <v>51713</v>
      </c>
      <c r="B354" s="14">
        <f>66.5545 * CHOOSE(CONTROL!$C$9, $D$9, 100%, $F$9) + CHOOSE(CONTROL!$C$27, 0.0021, 0)</f>
        <v>66.556600000000003</v>
      </c>
      <c r="C354" s="14">
        <f>66.1222 * CHOOSE(CONTROL!$C$9, $D$9, 100%, $F$9) + CHOOSE(CONTROL!$C$27, 0.0021, 0)</f>
        <v>66.124300000000005</v>
      </c>
      <c r="D354" s="14">
        <f>66.1222 * CHOOSE(CONTROL!$C$9, $D$9, 100%, $F$9) + CHOOSE(CONTROL!$C$27, 0.0021, 0)</f>
        <v>66.124300000000005</v>
      </c>
      <c r="E354" s="14">
        <f>65.9856 * CHOOSE(CONTROL!$C$9, $D$9, 100%, $F$9) + CHOOSE(CONTROL!$C$27, 0.0021, 0)</f>
        <v>65.987700000000004</v>
      </c>
      <c r="F354" s="14">
        <f>65.9856 * CHOOSE(CONTROL!$C$9, $D$9, 100%, $F$9) + CHOOSE(CONTROL!$C$27, 0.0021, 0)</f>
        <v>65.987700000000004</v>
      </c>
      <c r="G354" s="14">
        <f>66.257 * CHOOSE(CONTROL!$C$9, $D$9, 100%, $F$9) + CHOOSE(CONTROL!$C$27, 0.0021, 0)</f>
        <v>66.259100000000004</v>
      </c>
      <c r="H354" s="14">
        <f>66.1222 * CHOOSE(CONTROL!$C$9, $D$9, 100%, $F$9) + CHOOSE(CONTROL!$C$27, 0.0021, 0)</f>
        <v>66.124300000000005</v>
      </c>
      <c r="I354" s="14">
        <f>66.1222 * CHOOSE(CONTROL!$C$9, $D$9, 100%, $F$9) + CHOOSE(CONTROL!$C$27, 0.0021, 0)</f>
        <v>66.124300000000005</v>
      </c>
      <c r="J354" s="14">
        <f>66.1222 * CHOOSE(CONTROL!$C$9, $D$9, 100%, $F$9) + CHOOSE(CONTROL!$C$27, 0.0021, 0)</f>
        <v>66.124300000000005</v>
      </c>
      <c r="K354" s="14">
        <f>66.1222 * CHOOSE(CONTROL!$C$9, $D$9, 100%, $F$9) + CHOOSE(CONTROL!$C$27, 0.0021, 0)</f>
        <v>66.124300000000005</v>
      </c>
      <c r="L354" s="14"/>
    </row>
    <row r="355" spans="1:12" ht="15.75" x14ac:dyDescent="0.25">
      <c r="A355" s="33">
        <v>51744</v>
      </c>
      <c r="B355" s="14">
        <f>66.9405 * CHOOSE(CONTROL!$C$9, $D$9, 100%, $F$9) + CHOOSE(CONTROL!$C$27, 0.0021, 0)</f>
        <v>66.942599999999999</v>
      </c>
      <c r="C355" s="14">
        <f>66.5083 * CHOOSE(CONTROL!$C$9, $D$9, 100%, $F$9) + CHOOSE(CONTROL!$C$27, 0.0021, 0)</f>
        <v>66.510400000000004</v>
      </c>
      <c r="D355" s="14">
        <f>66.5083 * CHOOSE(CONTROL!$C$9, $D$9, 100%, $F$9) + CHOOSE(CONTROL!$C$27, 0.0021, 0)</f>
        <v>66.510400000000004</v>
      </c>
      <c r="E355" s="14">
        <f>66.3716 * CHOOSE(CONTROL!$C$9, $D$9, 100%, $F$9) + CHOOSE(CONTROL!$C$27, 0.0021, 0)</f>
        <v>66.373699999999999</v>
      </c>
      <c r="F355" s="14">
        <f>66.3716 * CHOOSE(CONTROL!$C$9, $D$9, 100%, $F$9) + CHOOSE(CONTROL!$C$27, 0.0021, 0)</f>
        <v>66.373699999999999</v>
      </c>
      <c r="G355" s="14">
        <f>66.643 * CHOOSE(CONTROL!$C$9, $D$9, 100%, $F$9) + CHOOSE(CONTROL!$C$27, 0.0021, 0)</f>
        <v>66.645099999999999</v>
      </c>
      <c r="H355" s="14">
        <f>66.5083 * CHOOSE(CONTROL!$C$9, $D$9, 100%, $F$9) + CHOOSE(CONTROL!$C$27, 0.0021, 0)</f>
        <v>66.510400000000004</v>
      </c>
      <c r="I355" s="14">
        <f>66.5083 * CHOOSE(CONTROL!$C$9, $D$9, 100%, $F$9) + CHOOSE(CONTROL!$C$27, 0.0021, 0)</f>
        <v>66.510400000000004</v>
      </c>
      <c r="J355" s="14">
        <f>66.5083 * CHOOSE(CONTROL!$C$9, $D$9, 100%, $F$9) + CHOOSE(CONTROL!$C$27, 0.0021, 0)</f>
        <v>66.510400000000004</v>
      </c>
      <c r="K355" s="14">
        <f>66.5083 * CHOOSE(CONTROL!$C$9, $D$9, 100%, $F$9) + CHOOSE(CONTROL!$C$27, 0.0021, 0)</f>
        <v>66.510400000000004</v>
      </c>
      <c r="L355" s="14"/>
    </row>
    <row r="356" spans="1:12" ht="15.75" x14ac:dyDescent="0.25">
      <c r="A356" s="33">
        <v>51774</v>
      </c>
      <c r="B356" s="14">
        <f>68.2551 * CHOOSE(CONTROL!$C$9, $D$9, 100%, $F$9) + CHOOSE(CONTROL!$C$27, 0.0021, 0)</f>
        <v>68.257199999999997</v>
      </c>
      <c r="C356" s="14">
        <f>67.8229 * CHOOSE(CONTROL!$C$9, $D$9, 100%, $F$9) + CHOOSE(CONTROL!$C$27, 0.0021, 0)</f>
        <v>67.825000000000003</v>
      </c>
      <c r="D356" s="14">
        <f>67.8229 * CHOOSE(CONTROL!$C$9, $D$9, 100%, $F$9) + CHOOSE(CONTROL!$C$27, 0.0021, 0)</f>
        <v>67.825000000000003</v>
      </c>
      <c r="E356" s="14">
        <f>67.6862 * CHOOSE(CONTROL!$C$9, $D$9, 100%, $F$9) + CHOOSE(CONTROL!$C$27, 0.0021, 0)</f>
        <v>67.688299999999998</v>
      </c>
      <c r="F356" s="14">
        <f>67.6862 * CHOOSE(CONTROL!$C$9, $D$9, 100%, $F$9) + CHOOSE(CONTROL!$C$27, 0.0021, 0)</f>
        <v>67.688299999999998</v>
      </c>
      <c r="G356" s="14">
        <f>67.9576 * CHOOSE(CONTROL!$C$9, $D$9, 100%, $F$9) + CHOOSE(CONTROL!$C$27, 0.0021, 0)</f>
        <v>67.959699999999998</v>
      </c>
      <c r="H356" s="14">
        <f>67.8229 * CHOOSE(CONTROL!$C$9, $D$9, 100%, $F$9) + CHOOSE(CONTROL!$C$27, 0.0021, 0)</f>
        <v>67.825000000000003</v>
      </c>
      <c r="I356" s="14">
        <f>67.8229 * CHOOSE(CONTROL!$C$9, $D$9, 100%, $F$9) + CHOOSE(CONTROL!$C$27, 0.0021, 0)</f>
        <v>67.825000000000003</v>
      </c>
      <c r="J356" s="14">
        <f>67.8229 * CHOOSE(CONTROL!$C$9, $D$9, 100%, $F$9) + CHOOSE(CONTROL!$C$27, 0.0021, 0)</f>
        <v>67.825000000000003</v>
      </c>
      <c r="K356" s="14">
        <f>67.8229 * CHOOSE(CONTROL!$C$9, $D$9, 100%, $F$9) + CHOOSE(CONTROL!$C$27, 0.0021, 0)</f>
        <v>67.825000000000003</v>
      </c>
      <c r="L356" s="14"/>
    </row>
    <row r="357" spans="1:12" ht="15.75" x14ac:dyDescent="0.25">
      <c r="A357" s="33">
        <v>51805</v>
      </c>
      <c r="B357" s="14">
        <f>69.9192 * CHOOSE(CONTROL!$C$9, $D$9, 100%, $F$9) + CHOOSE(CONTROL!$C$27, 0.0021, 0)</f>
        <v>69.921300000000002</v>
      </c>
      <c r="C357" s="14">
        <f>69.487 * CHOOSE(CONTROL!$C$9, $D$9, 100%, $F$9) + CHOOSE(CONTROL!$C$27, 0.0021, 0)</f>
        <v>69.489099999999993</v>
      </c>
      <c r="D357" s="14">
        <f>69.487 * CHOOSE(CONTROL!$C$9, $D$9, 100%, $F$9) + CHOOSE(CONTROL!$C$27, 0.0021, 0)</f>
        <v>69.489099999999993</v>
      </c>
      <c r="E357" s="14">
        <f>69.3503 * CHOOSE(CONTROL!$C$9, $D$9, 100%, $F$9) + CHOOSE(CONTROL!$C$27, 0.0021, 0)</f>
        <v>69.352400000000003</v>
      </c>
      <c r="F357" s="14">
        <f>69.3503 * CHOOSE(CONTROL!$C$9, $D$9, 100%, $F$9) + CHOOSE(CONTROL!$C$27, 0.0021, 0)</f>
        <v>69.352400000000003</v>
      </c>
      <c r="G357" s="14">
        <f>69.6217 * CHOOSE(CONTROL!$C$9, $D$9, 100%, $F$9) + CHOOSE(CONTROL!$C$27, 0.0021, 0)</f>
        <v>69.623800000000003</v>
      </c>
      <c r="H357" s="14">
        <f>69.487 * CHOOSE(CONTROL!$C$9, $D$9, 100%, $F$9) + CHOOSE(CONTROL!$C$27, 0.0021, 0)</f>
        <v>69.489099999999993</v>
      </c>
      <c r="I357" s="14">
        <f>69.487 * CHOOSE(CONTROL!$C$9, $D$9, 100%, $F$9) + CHOOSE(CONTROL!$C$27, 0.0021, 0)</f>
        <v>69.489099999999993</v>
      </c>
      <c r="J357" s="14">
        <f>69.487 * CHOOSE(CONTROL!$C$9, $D$9, 100%, $F$9) + CHOOSE(CONTROL!$C$27, 0.0021, 0)</f>
        <v>69.489099999999993</v>
      </c>
      <c r="K357" s="14">
        <f>69.487 * CHOOSE(CONTROL!$C$9, $D$9, 100%, $F$9) + CHOOSE(CONTROL!$C$27, 0.0021, 0)</f>
        <v>69.489099999999993</v>
      </c>
      <c r="L357" s="14"/>
    </row>
    <row r="358" spans="1:12" ht="15.75" x14ac:dyDescent="0.25">
      <c r="A358" s="33">
        <v>51835</v>
      </c>
      <c r="B358" s="14">
        <f>70.0754 * CHOOSE(CONTROL!$C$9, $D$9, 100%, $F$9) + CHOOSE(CONTROL!$C$27, 0.0021, 0)</f>
        <v>70.077500000000001</v>
      </c>
      <c r="C358" s="14">
        <f>69.6432 * CHOOSE(CONTROL!$C$9, $D$9, 100%, $F$9) + CHOOSE(CONTROL!$C$27, 0.0021, 0)</f>
        <v>69.645299999999992</v>
      </c>
      <c r="D358" s="14">
        <f>69.6432 * CHOOSE(CONTROL!$C$9, $D$9, 100%, $F$9) + CHOOSE(CONTROL!$C$27, 0.0021, 0)</f>
        <v>69.645299999999992</v>
      </c>
      <c r="E358" s="14">
        <f>69.5065 * CHOOSE(CONTROL!$C$9, $D$9, 100%, $F$9) + CHOOSE(CONTROL!$C$27, 0.0021, 0)</f>
        <v>69.508600000000001</v>
      </c>
      <c r="F358" s="14">
        <f>69.5065 * CHOOSE(CONTROL!$C$9, $D$9, 100%, $F$9) + CHOOSE(CONTROL!$C$27, 0.0021, 0)</f>
        <v>69.508600000000001</v>
      </c>
      <c r="G358" s="14">
        <f>69.7779 * CHOOSE(CONTROL!$C$9, $D$9, 100%, $F$9) + CHOOSE(CONTROL!$C$27, 0.0021, 0)</f>
        <v>69.78</v>
      </c>
      <c r="H358" s="14">
        <f>69.6432 * CHOOSE(CONTROL!$C$9, $D$9, 100%, $F$9) + CHOOSE(CONTROL!$C$27, 0.0021, 0)</f>
        <v>69.645299999999992</v>
      </c>
      <c r="I358" s="14">
        <f>69.6432 * CHOOSE(CONTROL!$C$9, $D$9, 100%, $F$9) + CHOOSE(CONTROL!$C$27, 0.0021, 0)</f>
        <v>69.645299999999992</v>
      </c>
      <c r="J358" s="14">
        <f>69.6432 * CHOOSE(CONTROL!$C$9, $D$9, 100%, $F$9) + CHOOSE(CONTROL!$C$27, 0.0021, 0)</f>
        <v>69.645299999999992</v>
      </c>
      <c r="K358" s="14">
        <f>69.6432 * CHOOSE(CONTROL!$C$9, $D$9, 100%, $F$9) + CHOOSE(CONTROL!$C$27, 0.0021, 0)</f>
        <v>69.645299999999992</v>
      </c>
      <c r="L358" s="14"/>
    </row>
    <row r="359" spans="1:12" ht="15.75" x14ac:dyDescent="0.25">
      <c r="A359" s="33">
        <v>51866</v>
      </c>
      <c r="B359" s="14">
        <f>68.7464 * CHOOSE(CONTROL!$C$9, $D$9, 100%, $F$9) + CHOOSE(CONTROL!$C$27, 0.0021, 0)</f>
        <v>68.748499999999993</v>
      </c>
      <c r="C359" s="14">
        <f>68.3141 * CHOOSE(CONTROL!$C$9, $D$9, 100%, $F$9) + CHOOSE(CONTROL!$C$27, 0.0021, 0)</f>
        <v>68.316199999999995</v>
      </c>
      <c r="D359" s="14">
        <f>68.3141 * CHOOSE(CONTROL!$C$9, $D$9, 100%, $F$9) + CHOOSE(CONTROL!$C$27, 0.0021, 0)</f>
        <v>68.316199999999995</v>
      </c>
      <c r="E359" s="14">
        <f>68.1775 * CHOOSE(CONTROL!$C$9, $D$9, 100%, $F$9) + CHOOSE(CONTROL!$C$27, 0.0021, 0)</f>
        <v>68.179599999999994</v>
      </c>
      <c r="F359" s="14">
        <f>68.1775 * CHOOSE(CONTROL!$C$9, $D$9, 100%, $F$9) + CHOOSE(CONTROL!$C$27, 0.0021, 0)</f>
        <v>68.179599999999994</v>
      </c>
      <c r="G359" s="14">
        <f>68.4488 * CHOOSE(CONTROL!$C$9, $D$9, 100%, $F$9) + CHOOSE(CONTROL!$C$27, 0.0021, 0)</f>
        <v>68.450900000000004</v>
      </c>
      <c r="H359" s="14">
        <f>68.3141 * CHOOSE(CONTROL!$C$9, $D$9, 100%, $F$9) + CHOOSE(CONTROL!$C$27, 0.0021, 0)</f>
        <v>68.316199999999995</v>
      </c>
      <c r="I359" s="14">
        <f>68.3141 * CHOOSE(CONTROL!$C$9, $D$9, 100%, $F$9) + CHOOSE(CONTROL!$C$27, 0.0021, 0)</f>
        <v>68.316199999999995</v>
      </c>
      <c r="J359" s="14">
        <f>68.3141 * CHOOSE(CONTROL!$C$9, $D$9, 100%, $F$9) + CHOOSE(CONTROL!$C$27, 0.0021, 0)</f>
        <v>68.316199999999995</v>
      </c>
      <c r="K359" s="14">
        <f>68.3141 * CHOOSE(CONTROL!$C$9, $D$9, 100%, $F$9) + CHOOSE(CONTROL!$C$27, 0.0021, 0)</f>
        <v>68.316199999999995</v>
      </c>
      <c r="L359" s="14"/>
    </row>
    <row r="360" spans="1:12" ht="15.75" x14ac:dyDescent="0.25">
      <c r="A360" s="33">
        <v>51897</v>
      </c>
      <c r="B360" s="14">
        <f>67.9063 * CHOOSE(CONTROL!$C$9, $D$9, 100%, $F$9) + CHOOSE(CONTROL!$C$27, 0.0021, 0)</f>
        <v>67.9084</v>
      </c>
      <c r="C360" s="14">
        <f>67.4741 * CHOOSE(CONTROL!$C$9, $D$9, 100%, $F$9) + CHOOSE(CONTROL!$C$27, 0.0021, 0)</f>
        <v>67.476200000000006</v>
      </c>
      <c r="D360" s="14">
        <f>67.4741 * CHOOSE(CONTROL!$C$9, $D$9, 100%, $F$9) + CHOOSE(CONTROL!$C$27, 0.0021, 0)</f>
        <v>67.476200000000006</v>
      </c>
      <c r="E360" s="14">
        <f>67.3374 * CHOOSE(CONTROL!$C$9, $D$9, 100%, $F$9) + CHOOSE(CONTROL!$C$27, 0.0021, 0)</f>
        <v>67.339500000000001</v>
      </c>
      <c r="F360" s="14">
        <f>67.3374 * CHOOSE(CONTROL!$C$9, $D$9, 100%, $F$9) + CHOOSE(CONTROL!$C$27, 0.0021, 0)</f>
        <v>67.339500000000001</v>
      </c>
      <c r="G360" s="14">
        <f>67.6088 * CHOOSE(CONTROL!$C$9, $D$9, 100%, $F$9) + CHOOSE(CONTROL!$C$27, 0.0021, 0)</f>
        <v>67.610900000000001</v>
      </c>
      <c r="H360" s="14">
        <f>67.4741 * CHOOSE(CONTROL!$C$9, $D$9, 100%, $F$9) + CHOOSE(CONTROL!$C$27, 0.0021, 0)</f>
        <v>67.476200000000006</v>
      </c>
      <c r="I360" s="14">
        <f>67.4741 * CHOOSE(CONTROL!$C$9, $D$9, 100%, $F$9) + CHOOSE(CONTROL!$C$27, 0.0021, 0)</f>
        <v>67.476200000000006</v>
      </c>
      <c r="J360" s="14">
        <f>67.4741 * CHOOSE(CONTROL!$C$9, $D$9, 100%, $F$9) + CHOOSE(CONTROL!$C$27, 0.0021, 0)</f>
        <v>67.476200000000006</v>
      </c>
      <c r="K360" s="14">
        <f>67.4741 * CHOOSE(CONTROL!$C$9, $D$9, 100%, $F$9) + CHOOSE(CONTROL!$C$27, 0.0021, 0)</f>
        <v>67.476200000000006</v>
      </c>
      <c r="L360" s="14"/>
    </row>
    <row r="361" spans="1:12" ht="15.75" x14ac:dyDescent="0.25">
      <c r="A361" s="33">
        <v>51925</v>
      </c>
      <c r="B361" s="14">
        <f>66.0504 * CHOOSE(CONTROL!$C$9, $D$9, 100%, $F$9) + CHOOSE(CONTROL!$C$27, 0.0021, 0)</f>
        <v>66.052499999999995</v>
      </c>
      <c r="C361" s="14">
        <f>65.6182 * CHOOSE(CONTROL!$C$9, $D$9, 100%, $F$9) + CHOOSE(CONTROL!$C$27, 0.0021, 0)</f>
        <v>65.6203</v>
      </c>
      <c r="D361" s="14">
        <f>65.6182 * CHOOSE(CONTROL!$C$9, $D$9, 100%, $F$9) + CHOOSE(CONTROL!$C$27, 0.0021, 0)</f>
        <v>65.6203</v>
      </c>
      <c r="E361" s="14">
        <f>65.4815 * CHOOSE(CONTROL!$C$9, $D$9, 100%, $F$9) + CHOOSE(CONTROL!$C$27, 0.0021, 0)</f>
        <v>65.483599999999996</v>
      </c>
      <c r="F361" s="14">
        <f>65.4815 * CHOOSE(CONTROL!$C$9, $D$9, 100%, $F$9) + CHOOSE(CONTROL!$C$27, 0.0021, 0)</f>
        <v>65.483599999999996</v>
      </c>
      <c r="G361" s="14">
        <f>65.7529 * CHOOSE(CONTROL!$C$9, $D$9, 100%, $F$9) + CHOOSE(CONTROL!$C$27, 0.0021, 0)</f>
        <v>65.754999999999995</v>
      </c>
      <c r="H361" s="14">
        <f>65.6182 * CHOOSE(CONTROL!$C$9, $D$9, 100%, $F$9) + CHOOSE(CONTROL!$C$27, 0.0021, 0)</f>
        <v>65.6203</v>
      </c>
      <c r="I361" s="14">
        <f>65.6182 * CHOOSE(CONTROL!$C$9, $D$9, 100%, $F$9) + CHOOSE(CONTROL!$C$27, 0.0021, 0)</f>
        <v>65.6203</v>
      </c>
      <c r="J361" s="14">
        <f>65.6182 * CHOOSE(CONTROL!$C$9, $D$9, 100%, $F$9) + CHOOSE(CONTROL!$C$27, 0.0021, 0)</f>
        <v>65.6203</v>
      </c>
      <c r="K361" s="14">
        <f>65.6182 * CHOOSE(CONTROL!$C$9, $D$9, 100%, $F$9) + CHOOSE(CONTROL!$C$27, 0.0021, 0)</f>
        <v>65.6203</v>
      </c>
      <c r="L361" s="14"/>
    </row>
    <row r="362" spans="1:12" ht="15.75" x14ac:dyDescent="0.25">
      <c r="A362" s="33">
        <v>51956</v>
      </c>
      <c r="B362" s="14">
        <f>65.2843 * CHOOSE(CONTROL!$C$9, $D$9, 100%, $F$9) + CHOOSE(CONTROL!$C$27, 0.0021, 0)</f>
        <v>65.2864</v>
      </c>
      <c r="C362" s="14">
        <f>64.8521 * CHOOSE(CONTROL!$C$9, $D$9, 100%, $F$9) + CHOOSE(CONTROL!$C$27, 0.0021, 0)</f>
        <v>64.854199999999992</v>
      </c>
      <c r="D362" s="14">
        <f>64.8521 * CHOOSE(CONTROL!$C$9, $D$9, 100%, $F$9) + CHOOSE(CONTROL!$C$27, 0.0021, 0)</f>
        <v>64.854199999999992</v>
      </c>
      <c r="E362" s="14">
        <f>64.7154 * CHOOSE(CONTROL!$C$9, $D$9, 100%, $F$9) + CHOOSE(CONTROL!$C$27, 0.0021, 0)</f>
        <v>64.717500000000001</v>
      </c>
      <c r="F362" s="14">
        <f>64.7154 * CHOOSE(CONTROL!$C$9, $D$9, 100%, $F$9) + CHOOSE(CONTROL!$C$27, 0.0021, 0)</f>
        <v>64.717500000000001</v>
      </c>
      <c r="G362" s="14">
        <f>64.9868 * CHOOSE(CONTROL!$C$9, $D$9, 100%, $F$9) + CHOOSE(CONTROL!$C$27, 0.0021, 0)</f>
        <v>64.988900000000001</v>
      </c>
      <c r="H362" s="14">
        <f>64.8521 * CHOOSE(CONTROL!$C$9, $D$9, 100%, $F$9) + CHOOSE(CONTROL!$C$27, 0.0021, 0)</f>
        <v>64.854199999999992</v>
      </c>
      <c r="I362" s="14">
        <f>64.8521 * CHOOSE(CONTROL!$C$9, $D$9, 100%, $F$9) + CHOOSE(CONTROL!$C$27, 0.0021, 0)</f>
        <v>64.854199999999992</v>
      </c>
      <c r="J362" s="14">
        <f>64.8521 * CHOOSE(CONTROL!$C$9, $D$9, 100%, $F$9) + CHOOSE(CONTROL!$C$27, 0.0021, 0)</f>
        <v>64.854199999999992</v>
      </c>
      <c r="K362" s="14">
        <f>64.8521 * CHOOSE(CONTROL!$C$9, $D$9, 100%, $F$9) + CHOOSE(CONTROL!$C$27, 0.0021, 0)</f>
        <v>64.854199999999992</v>
      </c>
      <c r="L362" s="14"/>
    </row>
    <row r="363" spans="1:12" ht="15.75" x14ac:dyDescent="0.25">
      <c r="A363" s="33">
        <v>51986</v>
      </c>
      <c r="B363" s="14">
        <f>64.3695 * CHOOSE(CONTROL!$C$9, $D$9, 100%, $F$9) + CHOOSE(CONTROL!$C$27, 0.0021, 0)</f>
        <v>64.371600000000001</v>
      </c>
      <c r="C363" s="14">
        <f>63.9373 * CHOOSE(CONTROL!$C$9, $D$9, 100%, $F$9) + CHOOSE(CONTROL!$C$27, 0.0021, 0)</f>
        <v>63.939399999999999</v>
      </c>
      <c r="D363" s="14">
        <f>63.9373 * CHOOSE(CONTROL!$C$9, $D$9, 100%, $F$9) + CHOOSE(CONTROL!$C$27, 0.0021, 0)</f>
        <v>63.939399999999999</v>
      </c>
      <c r="E363" s="14">
        <f>63.8006 * CHOOSE(CONTROL!$C$9, $D$9, 100%, $F$9) + CHOOSE(CONTROL!$C$27, 0.0021, 0)</f>
        <v>63.802700000000002</v>
      </c>
      <c r="F363" s="14">
        <f>63.8006 * CHOOSE(CONTROL!$C$9, $D$9, 100%, $F$9) + CHOOSE(CONTROL!$C$27, 0.0021, 0)</f>
        <v>63.802700000000002</v>
      </c>
      <c r="G363" s="14">
        <f>64.072 * CHOOSE(CONTROL!$C$9, $D$9, 100%, $F$9) + CHOOSE(CONTROL!$C$27, 0.0021, 0)</f>
        <v>64.074100000000001</v>
      </c>
      <c r="H363" s="14">
        <f>63.9373 * CHOOSE(CONTROL!$C$9, $D$9, 100%, $F$9) + CHOOSE(CONTROL!$C$27, 0.0021, 0)</f>
        <v>63.939399999999999</v>
      </c>
      <c r="I363" s="14">
        <f>63.9373 * CHOOSE(CONTROL!$C$9, $D$9, 100%, $F$9) + CHOOSE(CONTROL!$C$27, 0.0021, 0)</f>
        <v>63.939399999999999</v>
      </c>
      <c r="J363" s="14">
        <f>63.9373 * CHOOSE(CONTROL!$C$9, $D$9, 100%, $F$9) + CHOOSE(CONTROL!$C$27, 0.0021, 0)</f>
        <v>63.939399999999999</v>
      </c>
      <c r="K363" s="14">
        <f>63.9373 * CHOOSE(CONTROL!$C$9, $D$9, 100%, $F$9) + CHOOSE(CONTROL!$C$27, 0.0021, 0)</f>
        <v>63.939399999999999</v>
      </c>
      <c r="L363" s="14"/>
    </row>
    <row r="364" spans="1:12" ht="15.75" x14ac:dyDescent="0.25">
      <c r="A364" s="33">
        <v>52017</v>
      </c>
      <c r="B364" s="14">
        <f>65.6732 * CHOOSE(CONTROL!$C$9, $D$9, 100%, $F$9) + CHOOSE(CONTROL!$C$27, 0.0021, 0)</f>
        <v>65.675299999999993</v>
      </c>
      <c r="C364" s="14">
        <f>65.2409 * CHOOSE(CONTROL!$C$9, $D$9, 100%, $F$9) + CHOOSE(CONTROL!$C$27, 0.0021, 0)</f>
        <v>65.242999999999995</v>
      </c>
      <c r="D364" s="14">
        <f>65.2409 * CHOOSE(CONTROL!$C$9, $D$9, 100%, $F$9) + CHOOSE(CONTROL!$C$27, 0.0021, 0)</f>
        <v>65.242999999999995</v>
      </c>
      <c r="E364" s="14">
        <f>65.1043 * CHOOSE(CONTROL!$C$9, $D$9, 100%, $F$9) + CHOOSE(CONTROL!$C$27, 0.0021, 0)</f>
        <v>65.106399999999994</v>
      </c>
      <c r="F364" s="14">
        <f>65.1043 * CHOOSE(CONTROL!$C$9, $D$9, 100%, $F$9) + CHOOSE(CONTROL!$C$27, 0.0021, 0)</f>
        <v>65.106399999999994</v>
      </c>
      <c r="G364" s="14">
        <f>65.3757 * CHOOSE(CONTROL!$C$9, $D$9, 100%, $F$9) + CHOOSE(CONTROL!$C$27, 0.0021, 0)</f>
        <v>65.377799999999993</v>
      </c>
      <c r="H364" s="14">
        <f>65.2409 * CHOOSE(CONTROL!$C$9, $D$9, 100%, $F$9) + CHOOSE(CONTROL!$C$27, 0.0021, 0)</f>
        <v>65.242999999999995</v>
      </c>
      <c r="I364" s="14">
        <f>65.2409 * CHOOSE(CONTROL!$C$9, $D$9, 100%, $F$9) + CHOOSE(CONTROL!$C$27, 0.0021, 0)</f>
        <v>65.242999999999995</v>
      </c>
      <c r="J364" s="14">
        <f>65.2409 * CHOOSE(CONTROL!$C$9, $D$9, 100%, $F$9) + CHOOSE(CONTROL!$C$27, 0.0021, 0)</f>
        <v>65.242999999999995</v>
      </c>
      <c r="K364" s="14">
        <f>65.2409 * CHOOSE(CONTROL!$C$9, $D$9, 100%, $F$9) + CHOOSE(CONTROL!$C$27, 0.0021, 0)</f>
        <v>65.242999999999995</v>
      </c>
      <c r="L364" s="14"/>
    </row>
    <row r="365" spans="1:12" ht="15.75" x14ac:dyDescent="0.25">
      <c r="A365" s="33">
        <v>52047</v>
      </c>
      <c r="B365" s="14">
        <f>66.454 * CHOOSE(CONTROL!$C$9, $D$9, 100%, $F$9) + CHOOSE(CONTROL!$C$27, 0.0021, 0)</f>
        <v>66.456099999999992</v>
      </c>
      <c r="C365" s="14">
        <f>66.0218 * CHOOSE(CONTROL!$C$9, $D$9, 100%, $F$9) + CHOOSE(CONTROL!$C$27, 0.0021, 0)</f>
        <v>66.023899999999998</v>
      </c>
      <c r="D365" s="14">
        <f>66.0218 * CHOOSE(CONTROL!$C$9, $D$9, 100%, $F$9) + CHOOSE(CONTROL!$C$27, 0.0021, 0)</f>
        <v>66.023899999999998</v>
      </c>
      <c r="E365" s="14">
        <f>65.8851 * CHOOSE(CONTROL!$C$9, $D$9, 100%, $F$9) + CHOOSE(CONTROL!$C$27, 0.0021, 0)</f>
        <v>65.887199999999993</v>
      </c>
      <c r="F365" s="14">
        <f>65.8851 * CHOOSE(CONTROL!$C$9, $D$9, 100%, $F$9) + CHOOSE(CONTROL!$C$27, 0.0021, 0)</f>
        <v>65.887199999999993</v>
      </c>
      <c r="G365" s="14">
        <f>66.1565 * CHOOSE(CONTROL!$C$9, $D$9, 100%, $F$9) + CHOOSE(CONTROL!$C$27, 0.0021, 0)</f>
        <v>66.158599999999993</v>
      </c>
      <c r="H365" s="14">
        <f>66.0218 * CHOOSE(CONTROL!$C$9, $D$9, 100%, $F$9) + CHOOSE(CONTROL!$C$27, 0.0021, 0)</f>
        <v>66.023899999999998</v>
      </c>
      <c r="I365" s="14">
        <f>66.0218 * CHOOSE(CONTROL!$C$9, $D$9, 100%, $F$9) + CHOOSE(CONTROL!$C$27, 0.0021, 0)</f>
        <v>66.023899999999998</v>
      </c>
      <c r="J365" s="14">
        <f>66.0218 * CHOOSE(CONTROL!$C$9, $D$9, 100%, $F$9) + CHOOSE(CONTROL!$C$27, 0.0021, 0)</f>
        <v>66.023899999999998</v>
      </c>
      <c r="K365" s="14">
        <f>66.0218 * CHOOSE(CONTROL!$C$9, $D$9, 100%, $F$9) + CHOOSE(CONTROL!$C$27, 0.0021, 0)</f>
        <v>66.023899999999998</v>
      </c>
      <c r="L365" s="14"/>
    </row>
    <row r="366" spans="1:12" ht="15.75" x14ac:dyDescent="0.25">
      <c r="A366" s="33">
        <v>52078</v>
      </c>
      <c r="B366" s="14">
        <f>67.7421 * CHOOSE(CONTROL!$C$9, $D$9, 100%, $F$9) + CHOOSE(CONTROL!$C$27, 0.0021, 0)</f>
        <v>67.744199999999992</v>
      </c>
      <c r="C366" s="14">
        <f>67.3099 * CHOOSE(CONTROL!$C$9, $D$9, 100%, $F$9) + CHOOSE(CONTROL!$C$27, 0.0021, 0)</f>
        <v>67.311999999999998</v>
      </c>
      <c r="D366" s="14">
        <f>67.3099 * CHOOSE(CONTROL!$C$9, $D$9, 100%, $F$9) + CHOOSE(CONTROL!$C$27, 0.0021, 0)</f>
        <v>67.311999999999998</v>
      </c>
      <c r="E366" s="14">
        <f>67.1732 * CHOOSE(CONTROL!$C$9, $D$9, 100%, $F$9) + CHOOSE(CONTROL!$C$27, 0.0021, 0)</f>
        <v>67.175299999999993</v>
      </c>
      <c r="F366" s="14">
        <f>67.1732 * CHOOSE(CONTROL!$C$9, $D$9, 100%, $F$9) + CHOOSE(CONTROL!$C$27, 0.0021, 0)</f>
        <v>67.175299999999993</v>
      </c>
      <c r="G366" s="14">
        <f>67.4446 * CHOOSE(CONTROL!$C$9, $D$9, 100%, $F$9) + CHOOSE(CONTROL!$C$27, 0.0021, 0)</f>
        <v>67.446699999999993</v>
      </c>
      <c r="H366" s="14">
        <f>67.3099 * CHOOSE(CONTROL!$C$9, $D$9, 100%, $F$9) + CHOOSE(CONTROL!$C$27, 0.0021, 0)</f>
        <v>67.311999999999998</v>
      </c>
      <c r="I366" s="14">
        <f>67.3099 * CHOOSE(CONTROL!$C$9, $D$9, 100%, $F$9) + CHOOSE(CONTROL!$C$27, 0.0021, 0)</f>
        <v>67.311999999999998</v>
      </c>
      <c r="J366" s="14">
        <f>67.3099 * CHOOSE(CONTROL!$C$9, $D$9, 100%, $F$9) + CHOOSE(CONTROL!$C$27, 0.0021, 0)</f>
        <v>67.311999999999998</v>
      </c>
      <c r="K366" s="14">
        <f>67.3099 * CHOOSE(CONTROL!$C$9, $D$9, 100%, $F$9) + CHOOSE(CONTROL!$C$27, 0.0021, 0)</f>
        <v>67.311999999999998</v>
      </c>
      <c r="L366" s="14"/>
    </row>
    <row r="367" spans="1:12" ht="15.75" x14ac:dyDescent="0.25">
      <c r="A367" s="33">
        <v>52109</v>
      </c>
      <c r="B367" s="14">
        <f>68.1353 * CHOOSE(CONTROL!$C$9, $D$9, 100%, $F$9) + CHOOSE(CONTROL!$C$27, 0.0021, 0)</f>
        <v>68.1374</v>
      </c>
      <c r="C367" s="14">
        <f>67.703 * CHOOSE(CONTROL!$C$9, $D$9, 100%, $F$9) + CHOOSE(CONTROL!$C$27, 0.0021, 0)</f>
        <v>67.705100000000002</v>
      </c>
      <c r="D367" s="14">
        <f>67.703 * CHOOSE(CONTROL!$C$9, $D$9, 100%, $F$9) + CHOOSE(CONTROL!$C$27, 0.0021, 0)</f>
        <v>67.705100000000002</v>
      </c>
      <c r="E367" s="14">
        <f>67.5664 * CHOOSE(CONTROL!$C$9, $D$9, 100%, $F$9) + CHOOSE(CONTROL!$C$27, 0.0021, 0)</f>
        <v>67.5685</v>
      </c>
      <c r="F367" s="14">
        <f>67.5664 * CHOOSE(CONTROL!$C$9, $D$9, 100%, $F$9) + CHOOSE(CONTROL!$C$27, 0.0021, 0)</f>
        <v>67.5685</v>
      </c>
      <c r="G367" s="14">
        <f>67.8377 * CHOOSE(CONTROL!$C$9, $D$9, 100%, $F$9) + CHOOSE(CONTROL!$C$27, 0.0021, 0)</f>
        <v>67.839799999999997</v>
      </c>
      <c r="H367" s="14">
        <f>67.703 * CHOOSE(CONTROL!$C$9, $D$9, 100%, $F$9) + CHOOSE(CONTROL!$C$27, 0.0021, 0)</f>
        <v>67.705100000000002</v>
      </c>
      <c r="I367" s="14">
        <f>67.703 * CHOOSE(CONTROL!$C$9, $D$9, 100%, $F$9) + CHOOSE(CONTROL!$C$27, 0.0021, 0)</f>
        <v>67.705100000000002</v>
      </c>
      <c r="J367" s="14">
        <f>67.703 * CHOOSE(CONTROL!$C$9, $D$9, 100%, $F$9) + CHOOSE(CONTROL!$C$27, 0.0021, 0)</f>
        <v>67.705100000000002</v>
      </c>
      <c r="K367" s="14">
        <f>67.703 * CHOOSE(CONTROL!$C$9, $D$9, 100%, $F$9) + CHOOSE(CONTROL!$C$27, 0.0021, 0)</f>
        <v>67.705100000000002</v>
      </c>
      <c r="L367" s="14"/>
    </row>
    <row r="368" spans="1:12" ht="15.75" x14ac:dyDescent="0.25">
      <c r="A368" s="33">
        <v>52139</v>
      </c>
      <c r="B368" s="14">
        <f>69.4742 * CHOOSE(CONTROL!$C$9, $D$9, 100%, $F$9) + CHOOSE(CONTROL!$C$27, 0.0021, 0)</f>
        <v>69.476299999999995</v>
      </c>
      <c r="C368" s="14">
        <f>69.0419 * CHOOSE(CONTROL!$C$9, $D$9, 100%, $F$9) + CHOOSE(CONTROL!$C$27, 0.0021, 0)</f>
        <v>69.043999999999997</v>
      </c>
      <c r="D368" s="14">
        <f>69.0419 * CHOOSE(CONTROL!$C$9, $D$9, 100%, $F$9) + CHOOSE(CONTROL!$C$27, 0.0021, 0)</f>
        <v>69.043999999999997</v>
      </c>
      <c r="E368" s="14">
        <f>68.9053 * CHOOSE(CONTROL!$C$9, $D$9, 100%, $F$9) + CHOOSE(CONTROL!$C$27, 0.0021, 0)</f>
        <v>68.907399999999996</v>
      </c>
      <c r="F368" s="14">
        <f>68.9053 * CHOOSE(CONTROL!$C$9, $D$9, 100%, $F$9) + CHOOSE(CONTROL!$C$27, 0.0021, 0)</f>
        <v>68.907399999999996</v>
      </c>
      <c r="G368" s="14">
        <f>69.1767 * CHOOSE(CONTROL!$C$9, $D$9, 100%, $F$9) + CHOOSE(CONTROL!$C$27, 0.0021, 0)</f>
        <v>69.178799999999995</v>
      </c>
      <c r="H368" s="14">
        <f>69.0419 * CHOOSE(CONTROL!$C$9, $D$9, 100%, $F$9) + CHOOSE(CONTROL!$C$27, 0.0021, 0)</f>
        <v>69.043999999999997</v>
      </c>
      <c r="I368" s="14">
        <f>69.0419 * CHOOSE(CONTROL!$C$9, $D$9, 100%, $F$9) + CHOOSE(CONTROL!$C$27, 0.0021, 0)</f>
        <v>69.043999999999997</v>
      </c>
      <c r="J368" s="14">
        <f>69.0419 * CHOOSE(CONTROL!$C$9, $D$9, 100%, $F$9) + CHOOSE(CONTROL!$C$27, 0.0021, 0)</f>
        <v>69.043999999999997</v>
      </c>
      <c r="K368" s="14">
        <f>69.0419 * CHOOSE(CONTROL!$C$9, $D$9, 100%, $F$9) + CHOOSE(CONTROL!$C$27, 0.0021, 0)</f>
        <v>69.043999999999997</v>
      </c>
      <c r="L368" s="14"/>
    </row>
    <row r="369" spans="1:12" ht="15.75" x14ac:dyDescent="0.25">
      <c r="A369" s="33">
        <v>52170</v>
      </c>
      <c r="B369" s="14">
        <f>71.169 * CHOOSE(CONTROL!$C$9, $D$9, 100%, $F$9) + CHOOSE(CONTROL!$C$27, 0.0021, 0)</f>
        <v>71.171099999999996</v>
      </c>
      <c r="C369" s="14">
        <f>70.7368 * CHOOSE(CONTROL!$C$9, $D$9, 100%, $F$9) + CHOOSE(CONTROL!$C$27, 0.0021, 0)</f>
        <v>70.738900000000001</v>
      </c>
      <c r="D369" s="14">
        <f>70.7368 * CHOOSE(CONTROL!$C$9, $D$9, 100%, $F$9) + CHOOSE(CONTROL!$C$27, 0.0021, 0)</f>
        <v>70.738900000000001</v>
      </c>
      <c r="E369" s="14">
        <f>70.6001 * CHOOSE(CONTROL!$C$9, $D$9, 100%, $F$9) + CHOOSE(CONTROL!$C$27, 0.0021, 0)</f>
        <v>70.602199999999996</v>
      </c>
      <c r="F369" s="14">
        <f>70.6001 * CHOOSE(CONTROL!$C$9, $D$9, 100%, $F$9) + CHOOSE(CONTROL!$C$27, 0.0021, 0)</f>
        <v>70.602199999999996</v>
      </c>
      <c r="G369" s="14">
        <f>70.8715 * CHOOSE(CONTROL!$C$9, $D$9, 100%, $F$9) + CHOOSE(CONTROL!$C$27, 0.0021, 0)</f>
        <v>70.873599999999996</v>
      </c>
      <c r="H369" s="14">
        <f>70.7368 * CHOOSE(CONTROL!$C$9, $D$9, 100%, $F$9) + CHOOSE(CONTROL!$C$27, 0.0021, 0)</f>
        <v>70.738900000000001</v>
      </c>
      <c r="I369" s="14">
        <f>70.7368 * CHOOSE(CONTROL!$C$9, $D$9, 100%, $F$9) + CHOOSE(CONTROL!$C$27, 0.0021, 0)</f>
        <v>70.738900000000001</v>
      </c>
      <c r="J369" s="14">
        <f>70.7368 * CHOOSE(CONTROL!$C$9, $D$9, 100%, $F$9) + CHOOSE(CONTROL!$C$27, 0.0021, 0)</f>
        <v>70.738900000000001</v>
      </c>
      <c r="K369" s="14">
        <f>70.7368 * CHOOSE(CONTROL!$C$9, $D$9, 100%, $F$9) + CHOOSE(CONTROL!$C$27, 0.0021, 0)</f>
        <v>70.738900000000001</v>
      </c>
      <c r="L369" s="14"/>
    </row>
    <row r="370" spans="1:12" ht="15.75" x14ac:dyDescent="0.25">
      <c r="A370" s="33">
        <v>52200</v>
      </c>
      <c r="B370" s="14">
        <f>71.3281 * CHOOSE(CONTROL!$C$9, $D$9, 100%, $F$9) + CHOOSE(CONTROL!$C$27, 0.0021, 0)</f>
        <v>71.330200000000005</v>
      </c>
      <c r="C370" s="14">
        <f>70.8959 * CHOOSE(CONTROL!$C$9, $D$9, 100%, $F$9) + CHOOSE(CONTROL!$C$27, 0.0021, 0)</f>
        <v>70.897999999999996</v>
      </c>
      <c r="D370" s="14">
        <f>70.8959 * CHOOSE(CONTROL!$C$9, $D$9, 100%, $F$9) + CHOOSE(CONTROL!$C$27, 0.0021, 0)</f>
        <v>70.897999999999996</v>
      </c>
      <c r="E370" s="14">
        <f>70.7592 * CHOOSE(CONTROL!$C$9, $D$9, 100%, $F$9) + CHOOSE(CONTROL!$C$27, 0.0021, 0)</f>
        <v>70.761300000000006</v>
      </c>
      <c r="F370" s="14">
        <f>70.7592 * CHOOSE(CONTROL!$C$9, $D$9, 100%, $F$9) + CHOOSE(CONTROL!$C$27, 0.0021, 0)</f>
        <v>70.761300000000006</v>
      </c>
      <c r="G370" s="14">
        <f>71.0306 * CHOOSE(CONTROL!$C$9, $D$9, 100%, $F$9) + CHOOSE(CONTROL!$C$27, 0.0021, 0)</f>
        <v>71.032700000000006</v>
      </c>
      <c r="H370" s="14">
        <f>70.8959 * CHOOSE(CONTROL!$C$9, $D$9, 100%, $F$9) + CHOOSE(CONTROL!$C$27, 0.0021, 0)</f>
        <v>70.897999999999996</v>
      </c>
      <c r="I370" s="14">
        <f>70.8959 * CHOOSE(CONTROL!$C$9, $D$9, 100%, $F$9) + CHOOSE(CONTROL!$C$27, 0.0021, 0)</f>
        <v>70.897999999999996</v>
      </c>
      <c r="J370" s="14">
        <f>70.8959 * CHOOSE(CONTROL!$C$9, $D$9, 100%, $F$9) + CHOOSE(CONTROL!$C$27, 0.0021, 0)</f>
        <v>70.897999999999996</v>
      </c>
      <c r="K370" s="14">
        <f>70.8959 * CHOOSE(CONTROL!$C$9, $D$9, 100%, $F$9) + CHOOSE(CONTROL!$C$27, 0.0021, 0)</f>
        <v>70.897999999999996</v>
      </c>
      <c r="L370" s="14"/>
    </row>
    <row r="371" spans="1:12" ht="15.75" x14ac:dyDescent="0.25">
      <c r="A371" s="33">
        <v>52231</v>
      </c>
      <c r="B371" s="14">
        <f>69.9745 * CHOOSE(CONTROL!$C$9, $D$9, 100%, $F$9) + CHOOSE(CONTROL!$C$27, 0.0021, 0)</f>
        <v>69.976600000000005</v>
      </c>
      <c r="C371" s="14">
        <f>69.5423 * CHOOSE(CONTROL!$C$9, $D$9, 100%, $F$9) + CHOOSE(CONTROL!$C$27, 0.0021, 0)</f>
        <v>69.544399999999996</v>
      </c>
      <c r="D371" s="14">
        <f>69.5423 * CHOOSE(CONTROL!$C$9, $D$9, 100%, $F$9) + CHOOSE(CONTROL!$C$27, 0.0021, 0)</f>
        <v>69.544399999999996</v>
      </c>
      <c r="E371" s="14">
        <f>69.4056 * CHOOSE(CONTROL!$C$9, $D$9, 100%, $F$9) + CHOOSE(CONTROL!$C$27, 0.0021, 0)</f>
        <v>69.407700000000006</v>
      </c>
      <c r="F371" s="14">
        <f>69.4056 * CHOOSE(CONTROL!$C$9, $D$9, 100%, $F$9) + CHOOSE(CONTROL!$C$27, 0.0021, 0)</f>
        <v>69.407700000000006</v>
      </c>
      <c r="G371" s="14">
        <f>69.677 * CHOOSE(CONTROL!$C$9, $D$9, 100%, $F$9) + CHOOSE(CONTROL!$C$27, 0.0021, 0)</f>
        <v>69.679100000000005</v>
      </c>
      <c r="H371" s="14">
        <f>69.5423 * CHOOSE(CONTROL!$C$9, $D$9, 100%, $F$9) + CHOOSE(CONTROL!$C$27, 0.0021, 0)</f>
        <v>69.544399999999996</v>
      </c>
      <c r="I371" s="14">
        <f>69.5423 * CHOOSE(CONTROL!$C$9, $D$9, 100%, $F$9) + CHOOSE(CONTROL!$C$27, 0.0021, 0)</f>
        <v>69.544399999999996</v>
      </c>
      <c r="J371" s="14">
        <f>69.5423 * CHOOSE(CONTROL!$C$9, $D$9, 100%, $F$9) + CHOOSE(CONTROL!$C$27, 0.0021, 0)</f>
        <v>69.544399999999996</v>
      </c>
      <c r="K371" s="14">
        <f>69.5423 * CHOOSE(CONTROL!$C$9, $D$9, 100%, $F$9) + CHOOSE(CONTROL!$C$27, 0.0021, 0)</f>
        <v>69.544399999999996</v>
      </c>
      <c r="L371" s="14"/>
    </row>
    <row r="372" spans="1:12" ht="15.75" x14ac:dyDescent="0.25">
      <c r="A372" s="33">
        <v>52262</v>
      </c>
      <c r="B372" s="14">
        <f>69.1189 * CHOOSE(CONTROL!$C$9, $D$9, 100%, $F$9) + CHOOSE(CONTROL!$C$27, 0.0021, 0)</f>
        <v>69.120999999999995</v>
      </c>
      <c r="C372" s="14">
        <f>68.6867 * CHOOSE(CONTROL!$C$9, $D$9, 100%, $F$9) + CHOOSE(CONTROL!$C$27, 0.0021, 0)</f>
        <v>68.688800000000001</v>
      </c>
      <c r="D372" s="14">
        <f>68.6867 * CHOOSE(CONTROL!$C$9, $D$9, 100%, $F$9) + CHOOSE(CONTROL!$C$27, 0.0021, 0)</f>
        <v>68.688800000000001</v>
      </c>
      <c r="E372" s="14">
        <f>68.55 * CHOOSE(CONTROL!$C$9, $D$9, 100%, $F$9) + CHOOSE(CONTROL!$C$27, 0.0021, 0)</f>
        <v>68.552099999999996</v>
      </c>
      <c r="F372" s="14">
        <f>68.55 * CHOOSE(CONTROL!$C$9, $D$9, 100%, $F$9) + CHOOSE(CONTROL!$C$27, 0.0021, 0)</f>
        <v>68.552099999999996</v>
      </c>
      <c r="G372" s="14">
        <f>68.8214 * CHOOSE(CONTROL!$C$9, $D$9, 100%, $F$9) + CHOOSE(CONTROL!$C$27, 0.0021, 0)</f>
        <v>68.823499999999996</v>
      </c>
      <c r="H372" s="14">
        <f>68.6867 * CHOOSE(CONTROL!$C$9, $D$9, 100%, $F$9) + CHOOSE(CONTROL!$C$27, 0.0021, 0)</f>
        <v>68.688800000000001</v>
      </c>
      <c r="I372" s="14">
        <f>68.6867 * CHOOSE(CONTROL!$C$9, $D$9, 100%, $F$9) + CHOOSE(CONTROL!$C$27, 0.0021, 0)</f>
        <v>68.688800000000001</v>
      </c>
      <c r="J372" s="14">
        <f>68.6867 * CHOOSE(CONTROL!$C$9, $D$9, 100%, $F$9) + CHOOSE(CONTROL!$C$27, 0.0021, 0)</f>
        <v>68.688800000000001</v>
      </c>
      <c r="K372" s="14">
        <f>68.6867 * CHOOSE(CONTROL!$C$9, $D$9, 100%, $F$9) + CHOOSE(CONTROL!$C$27, 0.0021, 0)</f>
        <v>68.688800000000001</v>
      </c>
      <c r="L372" s="14"/>
    </row>
    <row r="373" spans="1:12" ht="15.75" x14ac:dyDescent="0.25">
      <c r="A373" s="33">
        <v>52290</v>
      </c>
      <c r="B373" s="14">
        <f>67.2287 * CHOOSE(CONTROL!$C$9, $D$9, 100%, $F$9) + CHOOSE(CONTROL!$C$27, 0.0021, 0)</f>
        <v>67.230800000000002</v>
      </c>
      <c r="C373" s="14">
        <f>66.7965 * CHOOSE(CONTROL!$C$9, $D$9, 100%, $F$9) + CHOOSE(CONTROL!$C$27, 0.0021, 0)</f>
        <v>66.798599999999993</v>
      </c>
      <c r="D373" s="14">
        <f>66.7965 * CHOOSE(CONTROL!$C$9, $D$9, 100%, $F$9) + CHOOSE(CONTROL!$C$27, 0.0021, 0)</f>
        <v>66.798599999999993</v>
      </c>
      <c r="E373" s="14">
        <f>66.6598 * CHOOSE(CONTROL!$C$9, $D$9, 100%, $F$9) + CHOOSE(CONTROL!$C$27, 0.0021, 0)</f>
        <v>66.661900000000003</v>
      </c>
      <c r="F373" s="14">
        <f>66.6598 * CHOOSE(CONTROL!$C$9, $D$9, 100%, $F$9) + CHOOSE(CONTROL!$C$27, 0.0021, 0)</f>
        <v>66.661900000000003</v>
      </c>
      <c r="G373" s="14">
        <f>66.9312 * CHOOSE(CONTROL!$C$9, $D$9, 100%, $F$9) + CHOOSE(CONTROL!$C$27, 0.0021, 0)</f>
        <v>66.933300000000003</v>
      </c>
      <c r="H373" s="14">
        <f>66.7965 * CHOOSE(CONTROL!$C$9, $D$9, 100%, $F$9) + CHOOSE(CONTROL!$C$27, 0.0021, 0)</f>
        <v>66.798599999999993</v>
      </c>
      <c r="I373" s="14">
        <f>66.7965 * CHOOSE(CONTROL!$C$9, $D$9, 100%, $F$9) + CHOOSE(CONTROL!$C$27, 0.0021, 0)</f>
        <v>66.798599999999993</v>
      </c>
      <c r="J373" s="14">
        <f>66.7965 * CHOOSE(CONTROL!$C$9, $D$9, 100%, $F$9) + CHOOSE(CONTROL!$C$27, 0.0021, 0)</f>
        <v>66.798599999999993</v>
      </c>
      <c r="K373" s="14">
        <f>66.7965 * CHOOSE(CONTROL!$C$9, $D$9, 100%, $F$9) + CHOOSE(CONTROL!$C$27, 0.0021, 0)</f>
        <v>66.798599999999993</v>
      </c>
      <c r="L373" s="14"/>
    </row>
    <row r="374" spans="1:12" ht="15.75" x14ac:dyDescent="0.25">
      <c r="A374" s="33">
        <v>52321</v>
      </c>
      <c r="B374" s="14">
        <f>66.4484 * CHOOSE(CONTROL!$C$9, $D$9, 100%, $F$9) + CHOOSE(CONTROL!$C$27, 0.0021, 0)</f>
        <v>66.450500000000005</v>
      </c>
      <c r="C374" s="14">
        <f>66.0162 * CHOOSE(CONTROL!$C$9, $D$9, 100%, $F$9) + CHOOSE(CONTROL!$C$27, 0.0021, 0)</f>
        <v>66.018299999999996</v>
      </c>
      <c r="D374" s="14">
        <f>66.0162 * CHOOSE(CONTROL!$C$9, $D$9, 100%, $F$9) + CHOOSE(CONTROL!$C$27, 0.0021, 0)</f>
        <v>66.018299999999996</v>
      </c>
      <c r="E374" s="14">
        <f>65.8795 * CHOOSE(CONTROL!$C$9, $D$9, 100%, $F$9) + CHOOSE(CONTROL!$C$27, 0.0021, 0)</f>
        <v>65.881599999999992</v>
      </c>
      <c r="F374" s="14">
        <f>65.8795 * CHOOSE(CONTROL!$C$9, $D$9, 100%, $F$9) + CHOOSE(CONTROL!$C$27, 0.0021, 0)</f>
        <v>65.881599999999992</v>
      </c>
      <c r="G374" s="14">
        <f>66.1509 * CHOOSE(CONTROL!$C$9, $D$9, 100%, $F$9) + CHOOSE(CONTROL!$C$27, 0.0021, 0)</f>
        <v>66.152999999999992</v>
      </c>
      <c r="H374" s="14">
        <f>66.0162 * CHOOSE(CONTROL!$C$9, $D$9, 100%, $F$9) + CHOOSE(CONTROL!$C$27, 0.0021, 0)</f>
        <v>66.018299999999996</v>
      </c>
      <c r="I374" s="14">
        <f>66.0162 * CHOOSE(CONTROL!$C$9, $D$9, 100%, $F$9) + CHOOSE(CONTROL!$C$27, 0.0021, 0)</f>
        <v>66.018299999999996</v>
      </c>
      <c r="J374" s="14">
        <f>66.0162 * CHOOSE(CONTROL!$C$9, $D$9, 100%, $F$9) + CHOOSE(CONTROL!$C$27, 0.0021, 0)</f>
        <v>66.018299999999996</v>
      </c>
      <c r="K374" s="14">
        <f>66.0162 * CHOOSE(CONTROL!$C$9, $D$9, 100%, $F$9) + CHOOSE(CONTROL!$C$27, 0.0021, 0)</f>
        <v>66.018299999999996</v>
      </c>
      <c r="L374" s="14"/>
    </row>
    <row r="375" spans="1:12" ht="15.75" x14ac:dyDescent="0.25">
      <c r="A375" s="33">
        <v>52351</v>
      </c>
      <c r="B375" s="14">
        <f>65.5168 * CHOOSE(CONTROL!$C$9, $D$9, 100%, $F$9) + CHOOSE(CONTROL!$C$27, 0.0021, 0)</f>
        <v>65.518900000000002</v>
      </c>
      <c r="C375" s="14">
        <f>65.0845 * CHOOSE(CONTROL!$C$9, $D$9, 100%, $F$9) + CHOOSE(CONTROL!$C$27, 0.0021, 0)</f>
        <v>65.086600000000004</v>
      </c>
      <c r="D375" s="14">
        <f>65.0845 * CHOOSE(CONTROL!$C$9, $D$9, 100%, $F$9) + CHOOSE(CONTROL!$C$27, 0.0021, 0)</f>
        <v>65.086600000000004</v>
      </c>
      <c r="E375" s="14">
        <f>64.9479 * CHOOSE(CONTROL!$C$9, $D$9, 100%, $F$9) + CHOOSE(CONTROL!$C$27, 0.0021, 0)</f>
        <v>64.95</v>
      </c>
      <c r="F375" s="14">
        <f>64.9479 * CHOOSE(CONTROL!$C$9, $D$9, 100%, $F$9) + CHOOSE(CONTROL!$C$27, 0.0021, 0)</f>
        <v>64.95</v>
      </c>
      <c r="G375" s="14">
        <f>65.2192 * CHOOSE(CONTROL!$C$9, $D$9, 100%, $F$9) + CHOOSE(CONTROL!$C$27, 0.0021, 0)</f>
        <v>65.221299999999999</v>
      </c>
      <c r="H375" s="14">
        <f>65.0845 * CHOOSE(CONTROL!$C$9, $D$9, 100%, $F$9) + CHOOSE(CONTROL!$C$27, 0.0021, 0)</f>
        <v>65.086600000000004</v>
      </c>
      <c r="I375" s="14">
        <f>65.0845 * CHOOSE(CONTROL!$C$9, $D$9, 100%, $F$9) + CHOOSE(CONTROL!$C$27, 0.0021, 0)</f>
        <v>65.086600000000004</v>
      </c>
      <c r="J375" s="14">
        <f>65.0845 * CHOOSE(CONTROL!$C$9, $D$9, 100%, $F$9) + CHOOSE(CONTROL!$C$27, 0.0021, 0)</f>
        <v>65.086600000000004</v>
      </c>
      <c r="K375" s="14">
        <f>65.0845 * CHOOSE(CONTROL!$C$9, $D$9, 100%, $F$9) + CHOOSE(CONTROL!$C$27, 0.0021, 0)</f>
        <v>65.086600000000004</v>
      </c>
      <c r="L375" s="14"/>
    </row>
    <row r="376" spans="1:12" ht="15.75" x14ac:dyDescent="0.25">
      <c r="A376" s="33">
        <v>52382</v>
      </c>
      <c r="B376" s="14">
        <f>66.8445 * CHOOSE(CONTROL!$C$9, $D$9, 100%, $F$9) + CHOOSE(CONTROL!$C$27, 0.0021, 0)</f>
        <v>66.846599999999995</v>
      </c>
      <c r="C376" s="14">
        <f>66.4123 * CHOOSE(CONTROL!$C$9, $D$9, 100%, $F$9) + CHOOSE(CONTROL!$C$27, 0.0021, 0)</f>
        <v>66.414400000000001</v>
      </c>
      <c r="D376" s="14">
        <f>66.4123 * CHOOSE(CONTROL!$C$9, $D$9, 100%, $F$9) + CHOOSE(CONTROL!$C$27, 0.0021, 0)</f>
        <v>66.414400000000001</v>
      </c>
      <c r="E376" s="14">
        <f>66.2756 * CHOOSE(CONTROL!$C$9, $D$9, 100%, $F$9) + CHOOSE(CONTROL!$C$27, 0.0021, 0)</f>
        <v>66.277699999999996</v>
      </c>
      <c r="F376" s="14">
        <f>66.2756 * CHOOSE(CONTROL!$C$9, $D$9, 100%, $F$9) + CHOOSE(CONTROL!$C$27, 0.0021, 0)</f>
        <v>66.277699999999996</v>
      </c>
      <c r="G376" s="14">
        <f>66.547 * CHOOSE(CONTROL!$C$9, $D$9, 100%, $F$9) + CHOOSE(CONTROL!$C$27, 0.0021, 0)</f>
        <v>66.549099999999996</v>
      </c>
      <c r="H376" s="14">
        <f>66.4123 * CHOOSE(CONTROL!$C$9, $D$9, 100%, $F$9) + CHOOSE(CONTROL!$C$27, 0.0021, 0)</f>
        <v>66.414400000000001</v>
      </c>
      <c r="I376" s="14">
        <f>66.4123 * CHOOSE(CONTROL!$C$9, $D$9, 100%, $F$9) + CHOOSE(CONTROL!$C$27, 0.0021, 0)</f>
        <v>66.414400000000001</v>
      </c>
      <c r="J376" s="14">
        <f>66.4123 * CHOOSE(CONTROL!$C$9, $D$9, 100%, $F$9) + CHOOSE(CONTROL!$C$27, 0.0021, 0)</f>
        <v>66.414400000000001</v>
      </c>
      <c r="K376" s="14">
        <f>66.4123 * CHOOSE(CONTROL!$C$9, $D$9, 100%, $F$9) + CHOOSE(CONTROL!$C$27, 0.0021, 0)</f>
        <v>66.414400000000001</v>
      </c>
      <c r="L376" s="14"/>
    </row>
    <row r="377" spans="1:12" ht="15.75" x14ac:dyDescent="0.25">
      <c r="A377" s="33">
        <v>52412</v>
      </c>
      <c r="B377" s="14">
        <f>67.6398 * CHOOSE(CONTROL!$C$9, $D$9, 100%, $F$9) + CHOOSE(CONTROL!$C$27, 0.0021, 0)</f>
        <v>67.641899999999993</v>
      </c>
      <c r="C377" s="14">
        <f>67.2075 * CHOOSE(CONTROL!$C$9, $D$9, 100%, $F$9) + CHOOSE(CONTROL!$C$27, 0.0021, 0)</f>
        <v>67.209599999999995</v>
      </c>
      <c r="D377" s="14">
        <f>67.2075 * CHOOSE(CONTROL!$C$9, $D$9, 100%, $F$9) + CHOOSE(CONTROL!$C$27, 0.0021, 0)</f>
        <v>67.209599999999995</v>
      </c>
      <c r="E377" s="14">
        <f>67.0709 * CHOOSE(CONTROL!$C$9, $D$9, 100%, $F$9) + CHOOSE(CONTROL!$C$27, 0.0021, 0)</f>
        <v>67.072999999999993</v>
      </c>
      <c r="F377" s="14">
        <f>67.0709 * CHOOSE(CONTROL!$C$9, $D$9, 100%, $F$9) + CHOOSE(CONTROL!$C$27, 0.0021, 0)</f>
        <v>67.072999999999993</v>
      </c>
      <c r="G377" s="14">
        <f>67.3422 * CHOOSE(CONTROL!$C$9, $D$9, 100%, $F$9) + CHOOSE(CONTROL!$C$27, 0.0021, 0)</f>
        <v>67.344300000000004</v>
      </c>
      <c r="H377" s="14">
        <f>67.2075 * CHOOSE(CONTROL!$C$9, $D$9, 100%, $F$9) + CHOOSE(CONTROL!$C$27, 0.0021, 0)</f>
        <v>67.209599999999995</v>
      </c>
      <c r="I377" s="14">
        <f>67.2075 * CHOOSE(CONTROL!$C$9, $D$9, 100%, $F$9) + CHOOSE(CONTROL!$C$27, 0.0021, 0)</f>
        <v>67.209599999999995</v>
      </c>
      <c r="J377" s="14">
        <f>67.2075 * CHOOSE(CONTROL!$C$9, $D$9, 100%, $F$9) + CHOOSE(CONTROL!$C$27, 0.0021, 0)</f>
        <v>67.209599999999995</v>
      </c>
      <c r="K377" s="14">
        <f>67.2075 * CHOOSE(CONTROL!$C$9, $D$9, 100%, $F$9) + CHOOSE(CONTROL!$C$27, 0.0021, 0)</f>
        <v>67.209599999999995</v>
      </c>
      <c r="L377" s="14"/>
    </row>
    <row r="378" spans="1:12" ht="15.75" x14ac:dyDescent="0.25">
      <c r="A378" s="33">
        <v>52443</v>
      </c>
      <c r="B378" s="14">
        <f>68.9517 * CHOOSE(CONTROL!$C$9, $D$9, 100%, $F$9) + CHOOSE(CONTROL!$C$27, 0.0021, 0)</f>
        <v>68.953800000000001</v>
      </c>
      <c r="C378" s="14">
        <f>68.5194 * CHOOSE(CONTROL!$C$9, $D$9, 100%, $F$9) + CHOOSE(CONTROL!$C$27, 0.0021, 0)</f>
        <v>68.521500000000003</v>
      </c>
      <c r="D378" s="14">
        <f>68.5194 * CHOOSE(CONTROL!$C$9, $D$9, 100%, $F$9) + CHOOSE(CONTROL!$C$27, 0.0021, 0)</f>
        <v>68.521500000000003</v>
      </c>
      <c r="E378" s="14">
        <f>68.3828 * CHOOSE(CONTROL!$C$9, $D$9, 100%, $F$9) + CHOOSE(CONTROL!$C$27, 0.0021, 0)</f>
        <v>68.384900000000002</v>
      </c>
      <c r="F378" s="14">
        <f>68.3828 * CHOOSE(CONTROL!$C$9, $D$9, 100%, $F$9) + CHOOSE(CONTROL!$C$27, 0.0021, 0)</f>
        <v>68.384900000000002</v>
      </c>
      <c r="G378" s="14">
        <f>68.6541 * CHOOSE(CONTROL!$C$9, $D$9, 100%, $F$9) + CHOOSE(CONTROL!$C$27, 0.0021, 0)</f>
        <v>68.656199999999998</v>
      </c>
      <c r="H378" s="14">
        <f>68.5194 * CHOOSE(CONTROL!$C$9, $D$9, 100%, $F$9) + CHOOSE(CONTROL!$C$27, 0.0021, 0)</f>
        <v>68.521500000000003</v>
      </c>
      <c r="I378" s="14">
        <f>68.5194 * CHOOSE(CONTROL!$C$9, $D$9, 100%, $F$9) + CHOOSE(CONTROL!$C$27, 0.0021, 0)</f>
        <v>68.521500000000003</v>
      </c>
      <c r="J378" s="14">
        <f>68.5194 * CHOOSE(CONTROL!$C$9, $D$9, 100%, $F$9) + CHOOSE(CONTROL!$C$27, 0.0021, 0)</f>
        <v>68.521500000000003</v>
      </c>
      <c r="K378" s="14">
        <f>68.5194 * CHOOSE(CONTROL!$C$9, $D$9, 100%, $F$9) + CHOOSE(CONTROL!$C$27, 0.0021, 0)</f>
        <v>68.521500000000003</v>
      </c>
      <c r="L378" s="14"/>
    </row>
    <row r="379" spans="1:12" ht="15.75" x14ac:dyDescent="0.25">
      <c r="A379" s="33">
        <v>52474</v>
      </c>
      <c r="B379" s="14">
        <f>69.3521 * CHOOSE(CONTROL!$C$9, $D$9, 100%, $F$9) + CHOOSE(CONTROL!$C$27, 0.0021, 0)</f>
        <v>69.354199999999992</v>
      </c>
      <c r="C379" s="14">
        <f>68.9199 * CHOOSE(CONTROL!$C$9, $D$9, 100%, $F$9) + CHOOSE(CONTROL!$C$27, 0.0021, 0)</f>
        <v>68.921999999999997</v>
      </c>
      <c r="D379" s="14">
        <f>68.9199 * CHOOSE(CONTROL!$C$9, $D$9, 100%, $F$9) + CHOOSE(CONTROL!$C$27, 0.0021, 0)</f>
        <v>68.921999999999997</v>
      </c>
      <c r="E379" s="14">
        <f>68.7832 * CHOOSE(CONTROL!$C$9, $D$9, 100%, $F$9) + CHOOSE(CONTROL!$C$27, 0.0021, 0)</f>
        <v>68.785299999999992</v>
      </c>
      <c r="F379" s="14">
        <f>68.7832 * CHOOSE(CONTROL!$C$9, $D$9, 100%, $F$9) + CHOOSE(CONTROL!$C$27, 0.0021, 0)</f>
        <v>68.785299999999992</v>
      </c>
      <c r="G379" s="14">
        <f>69.0546 * CHOOSE(CONTROL!$C$9, $D$9, 100%, $F$9) + CHOOSE(CONTROL!$C$27, 0.0021, 0)</f>
        <v>69.056699999999992</v>
      </c>
      <c r="H379" s="14">
        <f>68.9199 * CHOOSE(CONTROL!$C$9, $D$9, 100%, $F$9) + CHOOSE(CONTROL!$C$27, 0.0021, 0)</f>
        <v>68.921999999999997</v>
      </c>
      <c r="I379" s="14">
        <f>68.9199 * CHOOSE(CONTROL!$C$9, $D$9, 100%, $F$9) + CHOOSE(CONTROL!$C$27, 0.0021, 0)</f>
        <v>68.921999999999997</v>
      </c>
      <c r="J379" s="14">
        <f>68.9199 * CHOOSE(CONTROL!$C$9, $D$9, 100%, $F$9) + CHOOSE(CONTROL!$C$27, 0.0021, 0)</f>
        <v>68.921999999999997</v>
      </c>
      <c r="K379" s="14">
        <f>68.9199 * CHOOSE(CONTROL!$C$9, $D$9, 100%, $F$9) + CHOOSE(CONTROL!$C$27, 0.0021, 0)</f>
        <v>68.921999999999997</v>
      </c>
      <c r="L379" s="14"/>
    </row>
    <row r="380" spans="1:12" ht="15.75" x14ac:dyDescent="0.25">
      <c r="A380" s="33">
        <v>52504</v>
      </c>
      <c r="B380" s="14">
        <f>70.7158 * CHOOSE(CONTROL!$C$9, $D$9, 100%, $F$9) + CHOOSE(CONTROL!$C$27, 0.0021, 0)</f>
        <v>70.7179</v>
      </c>
      <c r="C380" s="14">
        <f>70.2835 * CHOOSE(CONTROL!$C$9, $D$9, 100%, $F$9) + CHOOSE(CONTROL!$C$27, 0.0021, 0)</f>
        <v>70.285600000000002</v>
      </c>
      <c r="D380" s="14">
        <f>70.2835 * CHOOSE(CONTROL!$C$9, $D$9, 100%, $F$9) + CHOOSE(CONTROL!$C$27, 0.0021, 0)</f>
        <v>70.285600000000002</v>
      </c>
      <c r="E380" s="14">
        <f>70.1469 * CHOOSE(CONTROL!$C$9, $D$9, 100%, $F$9) + CHOOSE(CONTROL!$C$27, 0.0021, 0)</f>
        <v>70.149000000000001</v>
      </c>
      <c r="F380" s="14">
        <f>70.1469 * CHOOSE(CONTROL!$C$9, $D$9, 100%, $F$9) + CHOOSE(CONTROL!$C$27, 0.0021, 0)</f>
        <v>70.149000000000001</v>
      </c>
      <c r="G380" s="14">
        <f>70.4182 * CHOOSE(CONTROL!$C$9, $D$9, 100%, $F$9) + CHOOSE(CONTROL!$C$27, 0.0021, 0)</f>
        <v>70.420299999999997</v>
      </c>
      <c r="H380" s="14">
        <f>70.2835 * CHOOSE(CONTROL!$C$9, $D$9, 100%, $F$9) + CHOOSE(CONTROL!$C$27, 0.0021, 0)</f>
        <v>70.285600000000002</v>
      </c>
      <c r="I380" s="14">
        <f>70.2835 * CHOOSE(CONTROL!$C$9, $D$9, 100%, $F$9) + CHOOSE(CONTROL!$C$27, 0.0021, 0)</f>
        <v>70.285600000000002</v>
      </c>
      <c r="J380" s="14">
        <f>70.2835 * CHOOSE(CONTROL!$C$9, $D$9, 100%, $F$9) + CHOOSE(CONTROL!$C$27, 0.0021, 0)</f>
        <v>70.285600000000002</v>
      </c>
      <c r="K380" s="14">
        <f>70.2835 * CHOOSE(CONTROL!$C$9, $D$9, 100%, $F$9) + CHOOSE(CONTROL!$C$27, 0.0021, 0)</f>
        <v>70.285600000000002</v>
      </c>
      <c r="L380" s="14"/>
    </row>
    <row r="381" spans="1:12" ht="15.75" x14ac:dyDescent="0.25">
      <c r="A381" s="33">
        <v>52535</v>
      </c>
      <c r="B381" s="14">
        <f>72.4419 * CHOOSE(CONTROL!$C$9, $D$9, 100%, $F$9) + CHOOSE(CONTROL!$C$27, 0.0021, 0)</f>
        <v>72.444000000000003</v>
      </c>
      <c r="C381" s="14">
        <f>72.0097 * CHOOSE(CONTROL!$C$9, $D$9, 100%, $F$9) + CHOOSE(CONTROL!$C$27, 0.0021, 0)</f>
        <v>72.011799999999994</v>
      </c>
      <c r="D381" s="14">
        <f>72.0097 * CHOOSE(CONTROL!$C$9, $D$9, 100%, $F$9) + CHOOSE(CONTROL!$C$27, 0.0021, 0)</f>
        <v>72.011799999999994</v>
      </c>
      <c r="E381" s="14">
        <f>71.873 * CHOOSE(CONTROL!$C$9, $D$9, 100%, $F$9) + CHOOSE(CONTROL!$C$27, 0.0021, 0)</f>
        <v>71.875100000000003</v>
      </c>
      <c r="F381" s="14">
        <f>71.873 * CHOOSE(CONTROL!$C$9, $D$9, 100%, $F$9) + CHOOSE(CONTROL!$C$27, 0.0021, 0)</f>
        <v>71.875100000000003</v>
      </c>
      <c r="G381" s="14">
        <f>72.1444 * CHOOSE(CONTROL!$C$9, $D$9, 100%, $F$9) + CHOOSE(CONTROL!$C$27, 0.0021, 0)</f>
        <v>72.146500000000003</v>
      </c>
      <c r="H381" s="14">
        <f>72.0097 * CHOOSE(CONTROL!$C$9, $D$9, 100%, $F$9) + CHOOSE(CONTROL!$C$27, 0.0021, 0)</f>
        <v>72.011799999999994</v>
      </c>
      <c r="I381" s="14">
        <f>72.0097 * CHOOSE(CONTROL!$C$9, $D$9, 100%, $F$9) + CHOOSE(CONTROL!$C$27, 0.0021, 0)</f>
        <v>72.011799999999994</v>
      </c>
      <c r="J381" s="14">
        <f>72.0097 * CHOOSE(CONTROL!$C$9, $D$9, 100%, $F$9) + CHOOSE(CONTROL!$C$27, 0.0021, 0)</f>
        <v>72.011799999999994</v>
      </c>
      <c r="K381" s="14">
        <f>72.0097 * CHOOSE(CONTROL!$C$9, $D$9, 100%, $F$9) + CHOOSE(CONTROL!$C$27, 0.0021, 0)</f>
        <v>72.011799999999994</v>
      </c>
      <c r="L381" s="14"/>
    </row>
    <row r="382" spans="1:12" ht="15.75" x14ac:dyDescent="0.25">
      <c r="A382" s="33">
        <v>52565</v>
      </c>
      <c r="B382" s="14">
        <f>72.604 * CHOOSE(CONTROL!$C$9, $D$9, 100%, $F$9) + CHOOSE(CONTROL!$C$27, 0.0021, 0)</f>
        <v>72.606099999999998</v>
      </c>
      <c r="C382" s="14">
        <f>72.1717 * CHOOSE(CONTROL!$C$9, $D$9, 100%, $F$9) + CHOOSE(CONTROL!$C$27, 0.0021, 0)</f>
        <v>72.1738</v>
      </c>
      <c r="D382" s="14">
        <f>72.1717 * CHOOSE(CONTROL!$C$9, $D$9, 100%, $F$9) + CHOOSE(CONTROL!$C$27, 0.0021, 0)</f>
        <v>72.1738</v>
      </c>
      <c r="E382" s="14">
        <f>72.0351 * CHOOSE(CONTROL!$C$9, $D$9, 100%, $F$9) + CHOOSE(CONTROL!$C$27, 0.0021, 0)</f>
        <v>72.037199999999999</v>
      </c>
      <c r="F382" s="14">
        <f>72.0351 * CHOOSE(CONTROL!$C$9, $D$9, 100%, $F$9) + CHOOSE(CONTROL!$C$27, 0.0021, 0)</f>
        <v>72.037199999999999</v>
      </c>
      <c r="G382" s="14">
        <f>72.3064 * CHOOSE(CONTROL!$C$9, $D$9, 100%, $F$9) + CHOOSE(CONTROL!$C$27, 0.0021, 0)</f>
        <v>72.308499999999995</v>
      </c>
      <c r="H382" s="14">
        <f>72.1717 * CHOOSE(CONTROL!$C$9, $D$9, 100%, $F$9) + CHOOSE(CONTROL!$C$27, 0.0021, 0)</f>
        <v>72.1738</v>
      </c>
      <c r="I382" s="14">
        <f>72.1717 * CHOOSE(CONTROL!$C$9, $D$9, 100%, $F$9) + CHOOSE(CONTROL!$C$27, 0.0021, 0)</f>
        <v>72.1738</v>
      </c>
      <c r="J382" s="14">
        <f>72.1717 * CHOOSE(CONTROL!$C$9, $D$9, 100%, $F$9) + CHOOSE(CONTROL!$C$27, 0.0021, 0)</f>
        <v>72.1738</v>
      </c>
      <c r="K382" s="14">
        <f>72.1717 * CHOOSE(CONTROL!$C$9, $D$9, 100%, $F$9) + CHOOSE(CONTROL!$C$27, 0.0021, 0)</f>
        <v>72.1738</v>
      </c>
      <c r="L382" s="14"/>
    </row>
    <row r="383" spans="1:12" ht="15.75" x14ac:dyDescent="0.25">
      <c r="A383" s="33">
        <v>52596</v>
      </c>
      <c r="B383" s="14">
        <f>71.2253 * CHOOSE(CONTROL!$C$9, $D$9, 100%, $F$9) + CHOOSE(CONTROL!$C$27, 0.0021, 0)</f>
        <v>71.227400000000003</v>
      </c>
      <c r="C383" s="14">
        <f>70.7931 * CHOOSE(CONTROL!$C$9, $D$9, 100%, $F$9) + CHOOSE(CONTROL!$C$27, 0.0021, 0)</f>
        <v>70.795199999999994</v>
      </c>
      <c r="D383" s="14">
        <f>70.7931 * CHOOSE(CONTROL!$C$9, $D$9, 100%, $F$9) + CHOOSE(CONTROL!$C$27, 0.0021, 0)</f>
        <v>70.795199999999994</v>
      </c>
      <c r="E383" s="14">
        <f>70.6564 * CHOOSE(CONTROL!$C$9, $D$9, 100%, $F$9) + CHOOSE(CONTROL!$C$27, 0.0021, 0)</f>
        <v>70.658500000000004</v>
      </c>
      <c r="F383" s="14">
        <f>70.6564 * CHOOSE(CONTROL!$C$9, $D$9, 100%, $F$9) + CHOOSE(CONTROL!$C$27, 0.0021, 0)</f>
        <v>70.658500000000004</v>
      </c>
      <c r="G383" s="14">
        <f>70.9278 * CHOOSE(CONTROL!$C$9, $D$9, 100%, $F$9) + CHOOSE(CONTROL!$C$27, 0.0021, 0)</f>
        <v>70.929900000000004</v>
      </c>
      <c r="H383" s="14">
        <f>70.7931 * CHOOSE(CONTROL!$C$9, $D$9, 100%, $F$9) + CHOOSE(CONTROL!$C$27, 0.0021, 0)</f>
        <v>70.795199999999994</v>
      </c>
      <c r="I383" s="14">
        <f>70.7931 * CHOOSE(CONTROL!$C$9, $D$9, 100%, $F$9) + CHOOSE(CONTROL!$C$27, 0.0021, 0)</f>
        <v>70.795199999999994</v>
      </c>
      <c r="J383" s="14">
        <f>70.7931 * CHOOSE(CONTROL!$C$9, $D$9, 100%, $F$9) + CHOOSE(CONTROL!$C$27, 0.0021, 0)</f>
        <v>70.795199999999994</v>
      </c>
      <c r="K383" s="14">
        <f>70.7931 * CHOOSE(CONTROL!$C$9, $D$9, 100%, $F$9) + CHOOSE(CONTROL!$C$27, 0.0021, 0)</f>
        <v>70.795199999999994</v>
      </c>
      <c r="L383" s="14"/>
    </row>
    <row r="384" spans="1:12" ht="15.75" x14ac:dyDescent="0.25">
      <c r="A384" s="33">
        <v>52627</v>
      </c>
      <c r="B384" s="14">
        <f>70.3539 * CHOOSE(CONTROL!$C$9, $D$9, 100%, $F$9) + CHOOSE(CONTROL!$C$27, 0.0021, 0)</f>
        <v>70.355999999999995</v>
      </c>
      <c r="C384" s="14">
        <f>69.9217 * CHOOSE(CONTROL!$C$9, $D$9, 100%, $F$9) + CHOOSE(CONTROL!$C$27, 0.0021, 0)</f>
        <v>69.9238</v>
      </c>
      <c r="D384" s="14">
        <f>69.9217 * CHOOSE(CONTROL!$C$9, $D$9, 100%, $F$9) + CHOOSE(CONTROL!$C$27, 0.0021, 0)</f>
        <v>69.9238</v>
      </c>
      <c r="E384" s="14">
        <f>69.785 * CHOOSE(CONTROL!$C$9, $D$9, 100%, $F$9) + CHOOSE(CONTROL!$C$27, 0.0021, 0)</f>
        <v>69.787099999999995</v>
      </c>
      <c r="F384" s="14">
        <f>69.785 * CHOOSE(CONTROL!$C$9, $D$9, 100%, $F$9) + CHOOSE(CONTROL!$C$27, 0.0021, 0)</f>
        <v>69.787099999999995</v>
      </c>
      <c r="G384" s="14">
        <f>70.0564 * CHOOSE(CONTROL!$C$9, $D$9, 100%, $F$9) + CHOOSE(CONTROL!$C$27, 0.0021, 0)</f>
        <v>70.058499999999995</v>
      </c>
      <c r="H384" s="14">
        <f>69.9217 * CHOOSE(CONTROL!$C$9, $D$9, 100%, $F$9) + CHOOSE(CONTROL!$C$27, 0.0021, 0)</f>
        <v>69.9238</v>
      </c>
      <c r="I384" s="14">
        <f>69.9217 * CHOOSE(CONTROL!$C$9, $D$9, 100%, $F$9) + CHOOSE(CONTROL!$C$27, 0.0021, 0)</f>
        <v>69.9238</v>
      </c>
      <c r="J384" s="14">
        <f>69.9217 * CHOOSE(CONTROL!$C$9, $D$9, 100%, $F$9) + CHOOSE(CONTROL!$C$27, 0.0021, 0)</f>
        <v>69.9238</v>
      </c>
      <c r="K384" s="14">
        <f>69.9217 * CHOOSE(CONTROL!$C$9, $D$9, 100%, $F$9) + CHOOSE(CONTROL!$C$27, 0.0021, 0)</f>
        <v>69.9238</v>
      </c>
      <c r="L384" s="14"/>
    </row>
    <row r="385" spans="1:12" ht="15.75" x14ac:dyDescent="0.25">
      <c r="A385" s="33">
        <v>52655</v>
      </c>
      <c r="B385" s="14">
        <f>68.4288 * CHOOSE(CONTROL!$C$9, $D$9, 100%, $F$9) + CHOOSE(CONTROL!$C$27, 0.0021, 0)</f>
        <v>68.430899999999994</v>
      </c>
      <c r="C385" s="14">
        <f>67.9965 * CHOOSE(CONTROL!$C$9, $D$9, 100%, $F$9) + CHOOSE(CONTROL!$C$27, 0.0021, 0)</f>
        <v>67.998599999999996</v>
      </c>
      <c r="D385" s="14">
        <f>67.9965 * CHOOSE(CONTROL!$C$9, $D$9, 100%, $F$9) + CHOOSE(CONTROL!$C$27, 0.0021, 0)</f>
        <v>67.998599999999996</v>
      </c>
      <c r="E385" s="14">
        <f>67.8599 * CHOOSE(CONTROL!$C$9, $D$9, 100%, $F$9) + CHOOSE(CONTROL!$C$27, 0.0021, 0)</f>
        <v>67.861999999999995</v>
      </c>
      <c r="F385" s="14">
        <f>67.8599 * CHOOSE(CONTROL!$C$9, $D$9, 100%, $F$9) + CHOOSE(CONTROL!$C$27, 0.0021, 0)</f>
        <v>67.861999999999995</v>
      </c>
      <c r="G385" s="14">
        <f>68.1313 * CHOOSE(CONTROL!$C$9, $D$9, 100%, $F$9) + CHOOSE(CONTROL!$C$27, 0.0021, 0)</f>
        <v>68.133399999999995</v>
      </c>
      <c r="H385" s="14">
        <f>67.9965 * CHOOSE(CONTROL!$C$9, $D$9, 100%, $F$9) + CHOOSE(CONTROL!$C$27, 0.0021, 0)</f>
        <v>67.998599999999996</v>
      </c>
      <c r="I385" s="14">
        <f>67.9965 * CHOOSE(CONTROL!$C$9, $D$9, 100%, $F$9) + CHOOSE(CONTROL!$C$27, 0.0021, 0)</f>
        <v>67.998599999999996</v>
      </c>
      <c r="J385" s="14">
        <f>67.9965 * CHOOSE(CONTROL!$C$9, $D$9, 100%, $F$9) + CHOOSE(CONTROL!$C$27, 0.0021, 0)</f>
        <v>67.998599999999996</v>
      </c>
      <c r="K385" s="14">
        <f>67.9965 * CHOOSE(CONTROL!$C$9, $D$9, 100%, $F$9) + CHOOSE(CONTROL!$C$27, 0.0021, 0)</f>
        <v>67.998599999999996</v>
      </c>
      <c r="L385" s="14"/>
    </row>
    <row r="386" spans="1:12" ht="15.75" x14ac:dyDescent="0.25">
      <c r="A386" s="33">
        <v>52687</v>
      </c>
      <c r="B386" s="14">
        <f>67.6341 * CHOOSE(CONTROL!$C$9, $D$9, 100%, $F$9) + CHOOSE(CONTROL!$C$27, 0.0021, 0)</f>
        <v>67.636200000000002</v>
      </c>
      <c r="C386" s="14">
        <f>67.2018 * CHOOSE(CONTROL!$C$9, $D$9, 100%, $F$9) + CHOOSE(CONTROL!$C$27, 0.0021, 0)</f>
        <v>67.203900000000004</v>
      </c>
      <c r="D386" s="14">
        <f>67.2018 * CHOOSE(CONTROL!$C$9, $D$9, 100%, $F$9) + CHOOSE(CONTROL!$C$27, 0.0021, 0)</f>
        <v>67.203900000000004</v>
      </c>
      <c r="E386" s="14">
        <f>67.0652 * CHOOSE(CONTROL!$C$9, $D$9, 100%, $F$9) + CHOOSE(CONTROL!$C$27, 0.0021, 0)</f>
        <v>67.067300000000003</v>
      </c>
      <c r="F386" s="14">
        <f>67.0652 * CHOOSE(CONTROL!$C$9, $D$9, 100%, $F$9) + CHOOSE(CONTROL!$C$27, 0.0021, 0)</f>
        <v>67.067300000000003</v>
      </c>
      <c r="G386" s="14">
        <f>67.3366 * CHOOSE(CONTROL!$C$9, $D$9, 100%, $F$9) + CHOOSE(CONTROL!$C$27, 0.0021, 0)</f>
        <v>67.338700000000003</v>
      </c>
      <c r="H386" s="14">
        <f>67.2018 * CHOOSE(CONTROL!$C$9, $D$9, 100%, $F$9) + CHOOSE(CONTROL!$C$27, 0.0021, 0)</f>
        <v>67.203900000000004</v>
      </c>
      <c r="I386" s="14">
        <f>67.2018 * CHOOSE(CONTROL!$C$9, $D$9, 100%, $F$9) + CHOOSE(CONTROL!$C$27, 0.0021, 0)</f>
        <v>67.203900000000004</v>
      </c>
      <c r="J386" s="14">
        <f>67.2018 * CHOOSE(CONTROL!$C$9, $D$9, 100%, $F$9) + CHOOSE(CONTROL!$C$27, 0.0021, 0)</f>
        <v>67.203900000000004</v>
      </c>
      <c r="K386" s="14">
        <f>67.2018 * CHOOSE(CONTROL!$C$9, $D$9, 100%, $F$9) + CHOOSE(CONTROL!$C$27, 0.0021, 0)</f>
        <v>67.203900000000004</v>
      </c>
      <c r="L386" s="14"/>
    </row>
    <row r="387" spans="1:12" ht="15.75" x14ac:dyDescent="0.25">
      <c r="A387" s="33">
        <v>52717</v>
      </c>
      <c r="B387" s="14">
        <f>66.6852 * CHOOSE(CONTROL!$C$9, $D$9, 100%, $F$9) + CHOOSE(CONTROL!$C$27, 0.0021, 0)</f>
        <v>66.687299999999993</v>
      </c>
      <c r="C387" s="14">
        <f>66.253 * CHOOSE(CONTROL!$C$9, $D$9, 100%, $F$9) + CHOOSE(CONTROL!$C$27, 0.0021, 0)</f>
        <v>66.255099999999999</v>
      </c>
      <c r="D387" s="14">
        <f>66.253 * CHOOSE(CONTROL!$C$9, $D$9, 100%, $F$9) + CHOOSE(CONTROL!$C$27, 0.0021, 0)</f>
        <v>66.255099999999999</v>
      </c>
      <c r="E387" s="14">
        <f>66.1163 * CHOOSE(CONTROL!$C$9, $D$9, 100%, $F$9) + CHOOSE(CONTROL!$C$27, 0.0021, 0)</f>
        <v>66.118399999999994</v>
      </c>
      <c r="F387" s="14">
        <f>66.1163 * CHOOSE(CONTROL!$C$9, $D$9, 100%, $F$9) + CHOOSE(CONTROL!$C$27, 0.0021, 0)</f>
        <v>66.118399999999994</v>
      </c>
      <c r="G387" s="14">
        <f>66.3877 * CHOOSE(CONTROL!$C$9, $D$9, 100%, $F$9) + CHOOSE(CONTROL!$C$27, 0.0021, 0)</f>
        <v>66.389799999999994</v>
      </c>
      <c r="H387" s="14">
        <f>66.253 * CHOOSE(CONTROL!$C$9, $D$9, 100%, $F$9) + CHOOSE(CONTROL!$C$27, 0.0021, 0)</f>
        <v>66.255099999999999</v>
      </c>
      <c r="I387" s="14">
        <f>66.253 * CHOOSE(CONTROL!$C$9, $D$9, 100%, $F$9) + CHOOSE(CONTROL!$C$27, 0.0021, 0)</f>
        <v>66.255099999999999</v>
      </c>
      <c r="J387" s="14">
        <f>66.253 * CHOOSE(CONTROL!$C$9, $D$9, 100%, $F$9) + CHOOSE(CONTROL!$C$27, 0.0021, 0)</f>
        <v>66.255099999999999</v>
      </c>
      <c r="K387" s="14">
        <f>66.253 * CHOOSE(CONTROL!$C$9, $D$9, 100%, $F$9) + CHOOSE(CONTROL!$C$27, 0.0021, 0)</f>
        <v>66.255099999999999</v>
      </c>
      <c r="L387" s="14"/>
    </row>
    <row r="388" spans="1:12" ht="15.75" x14ac:dyDescent="0.25">
      <c r="A388" s="33">
        <v>52748</v>
      </c>
      <c r="B388" s="14">
        <f>68.0375 * CHOOSE(CONTROL!$C$9, $D$9, 100%, $F$9) + CHOOSE(CONTROL!$C$27, 0.0021, 0)</f>
        <v>68.039599999999993</v>
      </c>
      <c r="C388" s="14">
        <f>67.6052 * CHOOSE(CONTROL!$C$9, $D$9, 100%, $F$9) + CHOOSE(CONTROL!$C$27, 0.0021, 0)</f>
        <v>67.607299999999995</v>
      </c>
      <c r="D388" s="14">
        <f>67.6052 * CHOOSE(CONTROL!$C$9, $D$9, 100%, $F$9) + CHOOSE(CONTROL!$C$27, 0.0021, 0)</f>
        <v>67.607299999999995</v>
      </c>
      <c r="E388" s="14">
        <f>67.4686 * CHOOSE(CONTROL!$C$9, $D$9, 100%, $F$9) + CHOOSE(CONTROL!$C$27, 0.0021, 0)</f>
        <v>67.470699999999994</v>
      </c>
      <c r="F388" s="14">
        <f>67.4686 * CHOOSE(CONTROL!$C$9, $D$9, 100%, $F$9) + CHOOSE(CONTROL!$C$27, 0.0021, 0)</f>
        <v>67.470699999999994</v>
      </c>
      <c r="G388" s="14">
        <f>67.74 * CHOOSE(CONTROL!$C$9, $D$9, 100%, $F$9) + CHOOSE(CONTROL!$C$27, 0.0021, 0)</f>
        <v>67.742099999999994</v>
      </c>
      <c r="H388" s="14">
        <f>67.6052 * CHOOSE(CONTROL!$C$9, $D$9, 100%, $F$9) + CHOOSE(CONTROL!$C$27, 0.0021, 0)</f>
        <v>67.607299999999995</v>
      </c>
      <c r="I388" s="14">
        <f>67.6052 * CHOOSE(CONTROL!$C$9, $D$9, 100%, $F$9) + CHOOSE(CONTROL!$C$27, 0.0021, 0)</f>
        <v>67.607299999999995</v>
      </c>
      <c r="J388" s="14">
        <f>67.6052 * CHOOSE(CONTROL!$C$9, $D$9, 100%, $F$9) + CHOOSE(CONTROL!$C$27, 0.0021, 0)</f>
        <v>67.607299999999995</v>
      </c>
      <c r="K388" s="14">
        <f>67.6052 * CHOOSE(CONTROL!$C$9, $D$9, 100%, $F$9) + CHOOSE(CONTROL!$C$27, 0.0021, 0)</f>
        <v>67.607299999999995</v>
      </c>
      <c r="L388" s="14"/>
    </row>
    <row r="389" spans="1:12" ht="15.75" x14ac:dyDescent="0.25">
      <c r="A389" s="33">
        <v>52778</v>
      </c>
      <c r="B389" s="14">
        <f>68.8474 * CHOOSE(CONTROL!$C$9, $D$9, 100%, $F$9) + CHOOSE(CONTROL!$C$27, 0.0021, 0)</f>
        <v>68.849499999999992</v>
      </c>
      <c r="C389" s="14">
        <f>68.4152 * CHOOSE(CONTROL!$C$9, $D$9, 100%, $F$9) + CHOOSE(CONTROL!$C$27, 0.0021, 0)</f>
        <v>68.417299999999997</v>
      </c>
      <c r="D389" s="14">
        <f>68.4152 * CHOOSE(CONTROL!$C$9, $D$9, 100%, $F$9) + CHOOSE(CONTROL!$C$27, 0.0021, 0)</f>
        <v>68.417299999999997</v>
      </c>
      <c r="E389" s="14">
        <f>68.2785 * CHOOSE(CONTROL!$C$9, $D$9, 100%, $F$9) + CHOOSE(CONTROL!$C$27, 0.0021, 0)</f>
        <v>68.280599999999993</v>
      </c>
      <c r="F389" s="14">
        <f>68.2785 * CHOOSE(CONTROL!$C$9, $D$9, 100%, $F$9) + CHOOSE(CONTROL!$C$27, 0.0021, 0)</f>
        <v>68.280599999999993</v>
      </c>
      <c r="G389" s="14">
        <f>68.5499 * CHOOSE(CONTROL!$C$9, $D$9, 100%, $F$9) + CHOOSE(CONTROL!$C$27, 0.0021, 0)</f>
        <v>68.551999999999992</v>
      </c>
      <c r="H389" s="14">
        <f>68.4152 * CHOOSE(CONTROL!$C$9, $D$9, 100%, $F$9) + CHOOSE(CONTROL!$C$27, 0.0021, 0)</f>
        <v>68.417299999999997</v>
      </c>
      <c r="I389" s="14">
        <f>68.4152 * CHOOSE(CONTROL!$C$9, $D$9, 100%, $F$9) + CHOOSE(CONTROL!$C$27, 0.0021, 0)</f>
        <v>68.417299999999997</v>
      </c>
      <c r="J389" s="14">
        <f>68.4152 * CHOOSE(CONTROL!$C$9, $D$9, 100%, $F$9) + CHOOSE(CONTROL!$C$27, 0.0021, 0)</f>
        <v>68.417299999999997</v>
      </c>
      <c r="K389" s="14">
        <f>68.4152 * CHOOSE(CONTROL!$C$9, $D$9, 100%, $F$9) + CHOOSE(CONTROL!$C$27, 0.0021, 0)</f>
        <v>68.417299999999997</v>
      </c>
      <c r="L389" s="14"/>
    </row>
    <row r="390" spans="1:12" ht="15.75" x14ac:dyDescent="0.25">
      <c r="A390" s="33">
        <v>52809</v>
      </c>
      <c r="B390" s="14">
        <f>70.1836 * CHOOSE(CONTROL!$C$9, $D$9, 100%, $F$9) + CHOOSE(CONTROL!$C$27, 0.0021, 0)</f>
        <v>70.185699999999997</v>
      </c>
      <c r="C390" s="14">
        <f>69.7513 * CHOOSE(CONTROL!$C$9, $D$9, 100%, $F$9) + CHOOSE(CONTROL!$C$27, 0.0021, 0)</f>
        <v>69.753399999999999</v>
      </c>
      <c r="D390" s="14">
        <f>69.7513 * CHOOSE(CONTROL!$C$9, $D$9, 100%, $F$9) + CHOOSE(CONTROL!$C$27, 0.0021, 0)</f>
        <v>69.753399999999999</v>
      </c>
      <c r="E390" s="14">
        <f>69.6147 * CHOOSE(CONTROL!$C$9, $D$9, 100%, $F$9) + CHOOSE(CONTROL!$C$27, 0.0021, 0)</f>
        <v>69.616799999999998</v>
      </c>
      <c r="F390" s="14">
        <f>69.6147 * CHOOSE(CONTROL!$C$9, $D$9, 100%, $F$9) + CHOOSE(CONTROL!$C$27, 0.0021, 0)</f>
        <v>69.616799999999998</v>
      </c>
      <c r="G390" s="14">
        <f>69.8861 * CHOOSE(CONTROL!$C$9, $D$9, 100%, $F$9) + CHOOSE(CONTROL!$C$27, 0.0021, 0)</f>
        <v>69.888199999999998</v>
      </c>
      <c r="H390" s="14">
        <f>69.7513 * CHOOSE(CONTROL!$C$9, $D$9, 100%, $F$9) + CHOOSE(CONTROL!$C$27, 0.0021, 0)</f>
        <v>69.753399999999999</v>
      </c>
      <c r="I390" s="14">
        <f>69.7513 * CHOOSE(CONTROL!$C$9, $D$9, 100%, $F$9) + CHOOSE(CONTROL!$C$27, 0.0021, 0)</f>
        <v>69.753399999999999</v>
      </c>
      <c r="J390" s="14">
        <f>69.7513 * CHOOSE(CONTROL!$C$9, $D$9, 100%, $F$9) + CHOOSE(CONTROL!$C$27, 0.0021, 0)</f>
        <v>69.753399999999999</v>
      </c>
      <c r="K390" s="14">
        <f>69.7513 * CHOOSE(CONTROL!$C$9, $D$9, 100%, $F$9) + CHOOSE(CONTROL!$C$27, 0.0021, 0)</f>
        <v>69.753399999999999</v>
      </c>
      <c r="L390" s="14"/>
    </row>
    <row r="391" spans="1:12" ht="15.75" x14ac:dyDescent="0.25">
      <c r="A391" s="33">
        <v>52840</v>
      </c>
      <c r="B391" s="14">
        <f>70.5914 * CHOOSE(CONTROL!$C$9, $D$9, 100%, $F$9) + CHOOSE(CONTROL!$C$27, 0.0021, 0)</f>
        <v>70.593499999999992</v>
      </c>
      <c r="C391" s="14">
        <f>70.1592 * CHOOSE(CONTROL!$C$9, $D$9, 100%, $F$9) + CHOOSE(CONTROL!$C$27, 0.0021, 0)</f>
        <v>70.161299999999997</v>
      </c>
      <c r="D391" s="14">
        <f>70.1592 * CHOOSE(CONTROL!$C$9, $D$9, 100%, $F$9) + CHOOSE(CONTROL!$C$27, 0.0021, 0)</f>
        <v>70.161299999999997</v>
      </c>
      <c r="E391" s="14">
        <f>70.0225 * CHOOSE(CONTROL!$C$9, $D$9, 100%, $F$9) + CHOOSE(CONTROL!$C$27, 0.0021, 0)</f>
        <v>70.024599999999992</v>
      </c>
      <c r="F391" s="14">
        <f>70.0225 * CHOOSE(CONTROL!$C$9, $D$9, 100%, $F$9) + CHOOSE(CONTROL!$C$27, 0.0021, 0)</f>
        <v>70.024599999999992</v>
      </c>
      <c r="G391" s="14">
        <f>70.2939 * CHOOSE(CONTROL!$C$9, $D$9, 100%, $F$9) + CHOOSE(CONTROL!$C$27, 0.0021, 0)</f>
        <v>70.295999999999992</v>
      </c>
      <c r="H391" s="14">
        <f>70.1592 * CHOOSE(CONTROL!$C$9, $D$9, 100%, $F$9) + CHOOSE(CONTROL!$C$27, 0.0021, 0)</f>
        <v>70.161299999999997</v>
      </c>
      <c r="I391" s="14">
        <f>70.1592 * CHOOSE(CONTROL!$C$9, $D$9, 100%, $F$9) + CHOOSE(CONTROL!$C$27, 0.0021, 0)</f>
        <v>70.161299999999997</v>
      </c>
      <c r="J391" s="14">
        <f>70.1592 * CHOOSE(CONTROL!$C$9, $D$9, 100%, $F$9) + CHOOSE(CONTROL!$C$27, 0.0021, 0)</f>
        <v>70.161299999999997</v>
      </c>
      <c r="K391" s="14">
        <f>70.1592 * CHOOSE(CONTROL!$C$9, $D$9, 100%, $F$9) + CHOOSE(CONTROL!$C$27, 0.0021, 0)</f>
        <v>70.161299999999997</v>
      </c>
      <c r="L391" s="14"/>
    </row>
    <row r="392" spans="1:12" ht="15.75" x14ac:dyDescent="0.25">
      <c r="A392" s="33">
        <v>52870</v>
      </c>
      <c r="B392" s="14">
        <f>71.9803 * CHOOSE(CONTROL!$C$9, $D$9, 100%, $F$9) + CHOOSE(CONTROL!$C$27, 0.0021, 0)</f>
        <v>71.982399999999998</v>
      </c>
      <c r="C392" s="14">
        <f>71.548 * CHOOSE(CONTROL!$C$9, $D$9, 100%, $F$9) + CHOOSE(CONTROL!$C$27, 0.0021, 0)</f>
        <v>71.5501</v>
      </c>
      <c r="D392" s="14">
        <f>71.548 * CHOOSE(CONTROL!$C$9, $D$9, 100%, $F$9) + CHOOSE(CONTROL!$C$27, 0.0021, 0)</f>
        <v>71.5501</v>
      </c>
      <c r="E392" s="14">
        <f>71.4114 * CHOOSE(CONTROL!$C$9, $D$9, 100%, $F$9) + CHOOSE(CONTROL!$C$27, 0.0021, 0)</f>
        <v>71.413499999999999</v>
      </c>
      <c r="F392" s="14">
        <f>71.4114 * CHOOSE(CONTROL!$C$9, $D$9, 100%, $F$9) + CHOOSE(CONTROL!$C$27, 0.0021, 0)</f>
        <v>71.413499999999999</v>
      </c>
      <c r="G392" s="14">
        <f>71.6827 * CHOOSE(CONTROL!$C$9, $D$9, 100%, $F$9) + CHOOSE(CONTROL!$C$27, 0.0021, 0)</f>
        <v>71.684799999999996</v>
      </c>
      <c r="H392" s="14">
        <f>71.548 * CHOOSE(CONTROL!$C$9, $D$9, 100%, $F$9) + CHOOSE(CONTROL!$C$27, 0.0021, 0)</f>
        <v>71.5501</v>
      </c>
      <c r="I392" s="14">
        <f>71.548 * CHOOSE(CONTROL!$C$9, $D$9, 100%, $F$9) + CHOOSE(CONTROL!$C$27, 0.0021, 0)</f>
        <v>71.5501</v>
      </c>
      <c r="J392" s="14">
        <f>71.548 * CHOOSE(CONTROL!$C$9, $D$9, 100%, $F$9) + CHOOSE(CONTROL!$C$27, 0.0021, 0)</f>
        <v>71.5501</v>
      </c>
      <c r="K392" s="14">
        <f>71.548 * CHOOSE(CONTROL!$C$9, $D$9, 100%, $F$9) + CHOOSE(CONTROL!$C$27, 0.0021, 0)</f>
        <v>71.5501</v>
      </c>
      <c r="L392" s="14"/>
    </row>
    <row r="393" spans="1:12" ht="15.75" x14ac:dyDescent="0.25">
      <c r="A393" s="33">
        <v>52901</v>
      </c>
      <c r="B393" s="14">
        <f>73.7383 * CHOOSE(CONTROL!$C$9, $D$9, 100%, $F$9) + CHOOSE(CONTROL!$C$27, 0.0021, 0)</f>
        <v>73.740399999999994</v>
      </c>
      <c r="C393" s="14">
        <f>73.3061 * CHOOSE(CONTROL!$C$9, $D$9, 100%, $F$9) + CHOOSE(CONTROL!$C$27, 0.0021, 0)</f>
        <v>73.308199999999999</v>
      </c>
      <c r="D393" s="14">
        <f>73.3061 * CHOOSE(CONTROL!$C$9, $D$9, 100%, $F$9) + CHOOSE(CONTROL!$C$27, 0.0021, 0)</f>
        <v>73.308199999999999</v>
      </c>
      <c r="E393" s="14">
        <f>73.1694 * CHOOSE(CONTROL!$C$9, $D$9, 100%, $F$9) + CHOOSE(CONTROL!$C$27, 0.0021, 0)</f>
        <v>73.171499999999995</v>
      </c>
      <c r="F393" s="14">
        <f>73.1694 * CHOOSE(CONTROL!$C$9, $D$9, 100%, $F$9) + CHOOSE(CONTROL!$C$27, 0.0021, 0)</f>
        <v>73.171499999999995</v>
      </c>
      <c r="G393" s="14">
        <f>73.4408 * CHOOSE(CONTROL!$C$9, $D$9, 100%, $F$9) + CHOOSE(CONTROL!$C$27, 0.0021, 0)</f>
        <v>73.442899999999995</v>
      </c>
      <c r="H393" s="14">
        <f>73.3061 * CHOOSE(CONTROL!$C$9, $D$9, 100%, $F$9) + CHOOSE(CONTROL!$C$27, 0.0021, 0)</f>
        <v>73.308199999999999</v>
      </c>
      <c r="I393" s="14">
        <f>73.3061 * CHOOSE(CONTROL!$C$9, $D$9, 100%, $F$9) + CHOOSE(CONTROL!$C$27, 0.0021, 0)</f>
        <v>73.308199999999999</v>
      </c>
      <c r="J393" s="14">
        <f>73.3061 * CHOOSE(CONTROL!$C$9, $D$9, 100%, $F$9) + CHOOSE(CONTROL!$C$27, 0.0021, 0)</f>
        <v>73.308199999999999</v>
      </c>
      <c r="K393" s="14">
        <f>73.3061 * CHOOSE(CONTROL!$C$9, $D$9, 100%, $F$9) + CHOOSE(CONTROL!$C$27, 0.0021, 0)</f>
        <v>73.308199999999999</v>
      </c>
      <c r="L393" s="14"/>
    </row>
    <row r="394" spans="1:12" ht="15.75" x14ac:dyDescent="0.25">
      <c r="A394" s="33">
        <v>52931</v>
      </c>
      <c r="B394" s="14">
        <f>73.9034 * CHOOSE(CONTROL!$C$9, $D$9, 100%, $F$9) + CHOOSE(CONTROL!$C$27, 0.0021, 0)</f>
        <v>73.905500000000004</v>
      </c>
      <c r="C394" s="14">
        <f>73.4711 * CHOOSE(CONTROL!$C$9, $D$9, 100%, $F$9) + CHOOSE(CONTROL!$C$27, 0.0021, 0)</f>
        <v>73.473200000000006</v>
      </c>
      <c r="D394" s="14">
        <f>73.4711 * CHOOSE(CONTROL!$C$9, $D$9, 100%, $F$9) + CHOOSE(CONTROL!$C$27, 0.0021, 0)</f>
        <v>73.473200000000006</v>
      </c>
      <c r="E394" s="14">
        <f>73.3345 * CHOOSE(CONTROL!$C$9, $D$9, 100%, $F$9) + CHOOSE(CONTROL!$C$27, 0.0021, 0)</f>
        <v>73.336600000000004</v>
      </c>
      <c r="F394" s="14">
        <f>73.3345 * CHOOSE(CONTROL!$C$9, $D$9, 100%, $F$9) + CHOOSE(CONTROL!$C$27, 0.0021, 0)</f>
        <v>73.336600000000004</v>
      </c>
      <c r="G394" s="14">
        <f>73.6058 * CHOOSE(CONTROL!$C$9, $D$9, 100%, $F$9) + CHOOSE(CONTROL!$C$27, 0.0021, 0)</f>
        <v>73.607900000000001</v>
      </c>
      <c r="H394" s="14">
        <f>73.4711 * CHOOSE(CONTROL!$C$9, $D$9, 100%, $F$9) + CHOOSE(CONTROL!$C$27, 0.0021, 0)</f>
        <v>73.473200000000006</v>
      </c>
      <c r="I394" s="14">
        <f>73.4711 * CHOOSE(CONTROL!$C$9, $D$9, 100%, $F$9) + CHOOSE(CONTROL!$C$27, 0.0021, 0)</f>
        <v>73.473200000000006</v>
      </c>
      <c r="J394" s="14">
        <f>73.4711 * CHOOSE(CONTROL!$C$9, $D$9, 100%, $F$9) + CHOOSE(CONTROL!$C$27, 0.0021, 0)</f>
        <v>73.473200000000006</v>
      </c>
      <c r="K394" s="14">
        <f>73.4711 * CHOOSE(CONTROL!$C$9, $D$9, 100%, $F$9) + CHOOSE(CONTROL!$C$27, 0.0021, 0)</f>
        <v>73.473200000000006</v>
      </c>
      <c r="L394" s="14"/>
    </row>
    <row r="395" spans="1:12" ht="15.75" x14ac:dyDescent="0.25">
      <c r="A395" s="33">
        <v>52962</v>
      </c>
      <c r="B395" s="14">
        <f>72.4992 * CHOOSE(CONTROL!$C$9, $D$9, 100%, $F$9) + CHOOSE(CONTROL!$C$27, 0.0021, 0)</f>
        <v>72.501300000000001</v>
      </c>
      <c r="C395" s="14">
        <f>72.067 * CHOOSE(CONTROL!$C$9, $D$9, 100%, $F$9) + CHOOSE(CONTROL!$C$27, 0.0021, 0)</f>
        <v>72.069099999999992</v>
      </c>
      <c r="D395" s="14">
        <f>72.067 * CHOOSE(CONTROL!$C$9, $D$9, 100%, $F$9) + CHOOSE(CONTROL!$C$27, 0.0021, 0)</f>
        <v>72.069099999999992</v>
      </c>
      <c r="E395" s="14">
        <f>71.9303 * CHOOSE(CONTROL!$C$9, $D$9, 100%, $F$9) + CHOOSE(CONTROL!$C$27, 0.0021, 0)</f>
        <v>71.932400000000001</v>
      </c>
      <c r="F395" s="14">
        <f>71.9303 * CHOOSE(CONTROL!$C$9, $D$9, 100%, $F$9) + CHOOSE(CONTROL!$C$27, 0.0021, 0)</f>
        <v>71.932400000000001</v>
      </c>
      <c r="G395" s="14">
        <f>72.2017 * CHOOSE(CONTROL!$C$9, $D$9, 100%, $F$9) + CHOOSE(CONTROL!$C$27, 0.0021, 0)</f>
        <v>72.203800000000001</v>
      </c>
      <c r="H395" s="14">
        <f>72.067 * CHOOSE(CONTROL!$C$9, $D$9, 100%, $F$9) + CHOOSE(CONTROL!$C$27, 0.0021, 0)</f>
        <v>72.069099999999992</v>
      </c>
      <c r="I395" s="14">
        <f>72.067 * CHOOSE(CONTROL!$C$9, $D$9, 100%, $F$9) + CHOOSE(CONTROL!$C$27, 0.0021, 0)</f>
        <v>72.069099999999992</v>
      </c>
      <c r="J395" s="14">
        <f>72.067 * CHOOSE(CONTROL!$C$9, $D$9, 100%, $F$9) + CHOOSE(CONTROL!$C$27, 0.0021, 0)</f>
        <v>72.069099999999992</v>
      </c>
      <c r="K395" s="14">
        <f>72.067 * CHOOSE(CONTROL!$C$9, $D$9, 100%, $F$9) + CHOOSE(CONTROL!$C$27, 0.0021, 0)</f>
        <v>72.069099999999992</v>
      </c>
      <c r="L395" s="14"/>
    </row>
    <row r="396" spans="1:12" ht="15.75" x14ac:dyDescent="0.25">
      <c r="A396" s="33">
        <v>52993</v>
      </c>
      <c r="B396" s="14">
        <f>71.6118 * CHOOSE(CONTROL!$C$9, $D$9, 100%, $F$9) + CHOOSE(CONTROL!$C$27, 0.0021, 0)</f>
        <v>71.613900000000001</v>
      </c>
      <c r="C396" s="14">
        <f>71.1795 * CHOOSE(CONTROL!$C$9, $D$9, 100%, $F$9) + CHOOSE(CONTROL!$C$27, 0.0021, 0)</f>
        <v>71.181600000000003</v>
      </c>
      <c r="D396" s="14">
        <f>71.1795 * CHOOSE(CONTROL!$C$9, $D$9, 100%, $F$9) + CHOOSE(CONTROL!$C$27, 0.0021, 0)</f>
        <v>71.181600000000003</v>
      </c>
      <c r="E396" s="14">
        <f>71.0429 * CHOOSE(CONTROL!$C$9, $D$9, 100%, $F$9) + CHOOSE(CONTROL!$C$27, 0.0021, 0)</f>
        <v>71.045000000000002</v>
      </c>
      <c r="F396" s="14">
        <f>71.0429 * CHOOSE(CONTROL!$C$9, $D$9, 100%, $F$9) + CHOOSE(CONTROL!$C$27, 0.0021, 0)</f>
        <v>71.045000000000002</v>
      </c>
      <c r="G396" s="14">
        <f>71.3142 * CHOOSE(CONTROL!$C$9, $D$9, 100%, $F$9) + CHOOSE(CONTROL!$C$27, 0.0021, 0)</f>
        <v>71.316299999999998</v>
      </c>
      <c r="H396" s="14">
        <f>71.1795 * CHOOSE(CONTROL!$C$9, $D$9, 100%, $F$9) + CHOOSE(CONTROL!$C$27, 0.0021, 0)</f>
        <v>71.181600000000003</v>
      </c>
      <c r="I396" s="14">
        <f>71.1795 * CHOOSE(CONTROL!$C$9, $D$9, 100%, $F$9) + CHOOSE(CONTROL!$C$27, 0.0021, 0)</f>
        <v>71.181600000000003</v>
      </c>
      <c r="J396" s="14">
        <f>71.1795 * CHOOSE(CONTROL!$C$9, $D$9, 100%, $F$9) + CHOOSE(CONTROL!$C$27, 0.0021, 0)</f>
        <v>71.181600000000003</v>
      </c>
      <c r="K396" s="14">
        <f>71.1795 * CHOOSE(CONTROL!$C$9, $D$9, 100%, $F$9) + CHOOSE(CONTROL!$C$27, 0.0021, 0)</f>
        <v>71.181600000000003</v>
      </c>
      <c r="L396" s="14"/>
    </row>
    <row r="397" spans="1:12" ht="15.75" x14ac:dyDescent="0.25">
      <c r="A397" s="33">
        <v>53021</v>
      </c>
      <c r="B397" s="14">
        <f>69.651 * CHOOSE(CONTROL!$C$9, $D$9, 100%, $F$9) + CHOOSE(CONTROL!$C$27, 0.0021, 0)</f>
        <v>69.653099999999995</v>
      </c>
      <c r="C397" s="14">
        <f>69.2188 * CHOOSE(CONTROL!$C$9, $D$9, 100%, $F$9) + CHOOSE(CONTROL!$C$27, 0.0021, 0)</f>
        <v>69.2209</v>
      </c>
      <c r="D397" s="14">
        <f>69.2188 * CHOOSE(CONTROL!$C$9, $D$9, 100%, $F$9) + CHOOSE(CONTROL!$C$27, 0.0021, 0)</f>
        <v>69.2209</v>
      </c>
      <c r="E397" s="14">
        <f>69.0821 * CHOOSE(CONTROL!$C$9, $D$9, 100%, $F$9) + CHOOSE(CONTROL!$C$27, 0.0021, 0)</f>
        <v>69.084199999999996</v>
      </c>
      <c r="F397" s="14">
        <f>69.0821 * CHOOSE(CONTROL!$C$9, $D$9, 100%, $F$9) + CHOOSE(CONTROL!$C$27, 0.0021, 0)</f>
        <v>69.084199999999996</v>
      </c>
      <c r="G397" s="14">
        <f>69.3535 * CHOOSE(CONTROL!$C$9, $D$9, 100%, $F$9) + CHOOSE(CONTROL!$C$27, 0.0021, 0)</f>
        <v>69.355599999999995</v>
      </c>
      <c r="H397" s="14">
        <f>69.2188 * CHOOSE(CONTROL!$C$9, $D$9, 100%, $F$9) + CHOOSE(CONTROL!$C$27, 0.0021, 0)</f>
        <v>69.2209</v>
      </c>
      <c r="I397" s="14">
        <f>69.2188 * CHOOSE(CONTROL!$C$9, $D$9, 100%, $F$9) + CHOOSE(CONTROL!$C$27, 0.0021, 0)</f>
        <v>69.2209</v>
      </c>
      <c r="J397" s="14">
        <f>69.2188 * CHOOSE(CONTROL!$C$9, $D$9, 100%, $F$9) + CHOOSE(CONTROL!$C$27, 0.0021, 0)</f>
        <v>69.2209</v>
      </c>
      <c r="K397" s="14">
        <f>69.2188 * CHOOSE(CONTROL!$C$9, $D$9, 100%, $F$9) + CHOOSE(CONTROL!$C$27, 0.0021, 0)</f>
        <v>69.2209</v>
      </c>
      <c r="L397" s="14"/>
    </row>
    <row r="398" spans="1:12" ht="15.75" x14ac:dyDescent="0.25">
      <c r="A398" s="33">
        <v>53052</v>
      </c>
      <c r="B398" s="14">
        <f>68.8417 * CHOOSE(CONTROL!$C$9, $D$9, 100%, $F$9) + CHOOSE(CONTROL!$C$27, 0.0021, 0)</f>
        <v>68.843800000000002</v>
      </c>
      <c r="C398" s="14">
        <f>68.4094 * CHOOSE(CONTROL!$C$9, $D$9, 100%, $F$9) + CHOOSE(CONTROL!$C$27, 0.0021, 0)</f>
        <v>68.411500000000004</v>
      </c>
      <c r="D398" s="14">
        <f>68.4094 * CHOOSE(CONTROL!$C$9, $D$9, 100%, $F$9) + CHOOSE(CONTROL!$C$27, 0.0021, 0)</f>
        <v>68.411500000000004</v>
      </c>
      <c r="E398" s="14">
        <f>68.2728 * CHOOSE(CONTROL!$C$9, $D$9, 100%, $F$9) + CHOOSE(CONTROL!$C$27, 0.0021, 0)</f>
        <v>68.274900000000002</v>
      </c>
      <c r="F398" s="14">
        <f>68.2728 * CHOOSE(CONTROL!$C$9, $D$9, 100%, $F$9) + CHOOSE(CONTROL!$C$27, 0.0021, 0)</f>
        <v>68.274900000000002</v>
      </c>
      <c r="G398" s="14">
        <f>68.5441 * CHOOSE(CONTROL!$C$9, $D$9, 100%, $F$9) + CHOOSE(CONTROL!$C$27, 0.0021, 0)</f>
        <v>68.546199999999999</v>
      </c>
      <c r="H398" s="14">
        <f>68.4094 * CHOOSE(CONTROL!$C$9, $D$9, 100%, $F$9) + CHOOSE(CONTROL!$C$27, 0.0021, 0)</f>
        <v>68.411500000000004</v>
      </c>
      <c r="I398" s="14">
        <f>68.4094 * CHOOSE(CONTROL!$C$9, $D$9, 100%, $F$9) + CHOOSE(CONTROL!$C$27, 0.0021, 0)</f>
        <v>68.411500000000004</v>
      </c>
      <c r="J398" s="14">
        <f>68.4094 * CHOOSE(CONTROL!$C$9, $D$9, 100%, $F$9) + CHOOSE(CONTROL!$C$27, 0.0021, 0)</f>
        <v>68.411500000000004</v>
      </c>
      <c r="K398" s="14">
        <f>68.4094 * CHOOSE(CONTROL!$C$9, $D$9, 100%, $F$9) + CHOOSE(CONTROL!$C$27, 0.0021, 0)</f>
        <v>68.411500000000004</v>
      </c>
      <c r="L398" s="14"/>
    </row>
    <row r="399" spans="1:12" ht="15.75" x14ac:dyDescent="0.25">
      <c r="A399" s="33">
        <v>53082</v>
      </c>
      <c r="B399" s="14">
        <f>67.8752 * CHOOSE(CONTROL!$C$9, $D$9, 100%, $F$9) + CHOOSE(CONTROL!$C$27, 0.0021, 0)</f>
        <v>67.877300000000005</v>
      </c>
      <c r="C399" s="14">
        <f>67.443 * CHOOSE(CONTROL!$C$9, $D$9, 100%, $F$9) + CHOOSE(CONTROL!$C$27, 0.0021, 0)</f>
        <v>67.445099999999996</v>
      </c>
      <c r="D399" s="14">
        <f>67.443 * CHOOSE(CONTROL!$C$9, $D$9, 100%, $F$9) + CHOOSE(CONTROL!$C$27, 0.0021, 0)</f>
        <v>67.445099999999996</v>
      </c>
      <c r="E399" s="14">
        <f>67.3063 * CHOOSE(CONTROL!$C$9, $D$9, 100%, $F$9) + CHOOSE(CONTROL!$C$27, 0.0021, 0)</f>
        <v>67.308399999999992</v>
      </c>
      <c r="F399" s="14">
        <f>67.3063 * CHOOSE(CONTROL!$C$9, $D$9, 100%, $F$9) + CHOOSE(CONTROL!$C$27, 0.0021, 0)</f>
        <v>67.308399999999992</v>
      </c>
      <c r="G399" s="14">
        <f>67.5777 * CHOOSE(CONTROL!$C$9, $D$9, 100%, $F$9) + CHOOSE(CONTROL!$C$27, 0.0021, 0)</f>
        <v>67.579799999999992</v>
      </c>
      <c r="H399" s="14">
        <f>67.443 * CHOOSE(CONTROL!$C$9, $D$9, 100%, $F$9) + CHOOSE(CONTROL!$C$27, 0.0021, 0)</f>
        <v>67.445099999999996</v>
      </c>
      <c r="I399" s="14">
        <f>67.443 * CHOOSE(CONTROL!$C$9, $D$9, 100%, $F$9) + CHOOSE(CONTROL!$C$27, 0.0021, 0)</f>
        <v>67.445099999999996</v>
      </c>
      <c r="J399" s="14">
        <f>67.443 * CHOOSE(CONTROL!$C$9, $D$9, 100%, $F$9) + CHOOSE(CONTROL!$C$27, 0.0021, 0)</f>
        <v>67.445099999999996</v>
      </c>
      <c r="K399" s="14">
        <f>67.443 * CHOOSE(CONTROL!$C$9, $D$9, 100%, $F$9) + CHOOSE(CONTROL!$C$27, 0.0021, 0)</f>
        <v>67.445099999999996</v>
      </c>
      <c r="L399" s="14"/>
    </row>
    <row r="400" spans="1:12" ht="15.75" x14ac:dyDescent="0.25">
      <c r="A400" s="33">
        <v>53113</v>
      </c>
      <c r="B400" s="14">
        <f>69.2525 * CHOOSE(CONTROL!$C$9, $D$9, 100%, $F$9) + CHOOSE(CONTROL!$C$27, 0.0021, 0)</f>
        <v>69.254599999999996</v>
      </c>
      <c r="C400" s="14">
        <f>68.8203 * CHOOSE(CONTROL!$C$9, $D$9, 100%, $F$9) + CHOOSE(CONTROL!$C$27, 0.0021, 0)</f>
        <v>68.822400000000002</v>
      </c>
      <c r="D400" s="14">
        <f>68.8203 * CHOOSE(CONTROL!$C$9, $D$9, 100%, $F$9) + CHOOSE(CONTROL!$C$27, 0.0021, 0)</f>
        <v>68.822400000000002</v>
      </c>
      <c r="E400" s="14">
        <f>68.6836 * CHOOSE(CONTROL!$C$9, $D$9, 100%, $F$9) + CHOOSE(CONTROL!$C$27, 0.0021, 0)</f>
        <v>68.685699999999997</v>
      </c>
      <c r="F400" s="14">
        <f>68.6836 * CHOOSE(CONTROL!$C$9, $D$9, 100%, $F$9) + CHOOSE(CONTROL!$C$27, 0.0021, 0)</f>
        <v>68.685699999999997</v>
      </c>
      <c r="G400" s="14">
        <f>68.955 * CHOOSE(CONTROL!$C$9, $D$9, 100%, $F$9) + CHOOSE(CONTROL!$C$27, 0.0021, 0)</f>
        <v>68.957099999999997</v>
      </c>
      <c r="H400" s="14">
        <f>68.8203 * CHOOSE(CONTROL!$C$9, $D$9, 100%, $F$9) + CHOOSE(CONTROL!$C$27, 0.0021, 0)</f>
        <v>68.822400000000002</v>
      </c>
      <c r="I400" s="14">
        <f>68.8203 * CHOOSE(CONTROL!$C$9, $D$9, 100%, $F$9) + CHOOSE(CONTROL!$C$27, 0.0021, 0)</f>
        <v>68.822400000000002</v>
      </c>
      <c r="J400" s="14">
        <f>68.8203 * CHOOSE(CONTROL!$C$9, $D$9, 100%, $F$9) + CHOOSE(CONTROL!$C$27, 0.0021, 0)</f>
        <v>68.822400000000002</v>
      </c>
      <c r="K400" s="14">
        <f>68.8203 * CHOOSE(CONTROL!$C$9, $D$9, 100%, $F$9) + CHOOSE(CONTROL!$C$27, 0.0021, 0)</f>
        <v>68.822400000000002</v>
      </c>
      <c r="L400" s="14"/>
    </row>
    <row r="401" spans="1:12" ht="15.75" x14ac:dyDescent="0.25">
      <c r="A401" s="33">
        <v>53143</v>
      </c>
      <c r="B401" s="14">
        <f>70.0774 * CHOOSE(CONTROL!$C$9, $D$9, 100%, $F$9) + CHOOSE(CONTROL!$C$27, 0.0021, 0)</f>
        <v>70.079499999999996</v>
      </c>
      <c r="C401" s="14">
        <f>69.6452 * CHOOSE(CONTROL!$C$9, $D$9, 100%, $F$9) + CHOOSE(CONTROL!$C$27, 0.0021, 0)</f>
        <v>69.647300000000001</v>
      </c>
      <c r="D401" s="14">
        <f>69.6452 * CHOOSE(CONTROL!$C$9, $D$9, 100%, $F$9) + CHOOSE(CONTROL!$C$27, 0.0021, 0)</f>
        <v>69.647300000000001</v>
      </c>
      <c r="E401" s="14">
        <f>69.5085 * CHOOSE(CONTROL!$C$9, $D$9, 100%, $F$9) + CHOOSE(CONTROL!$C$27, 0.0021, 0)</f>
        <v>69.510599999999997</v>
      </c>
      <c r="F401" s="14">
        <f>69.5085 * CHOOSE(CONTROL!$C$9, $D$9, 100%, $F$9) + CHOOSE(CONTROL!$C$27, 0.0021, 0)</f>
        <v>69.510599999999997</v>
      </c>
      <c r="G401" s="14">
        <f>69.7799 * CHOOSE(CONTROL!$C$9, $D$9, 100%, $F$9) + CHOOSE(CONTROL!$C$27, 0.0021, 0)</f>
        <v>69.781999999999996</v>
      </c>
      <c r="H401" s="14">
        <f>69.6452 * CHOOSE(CONTROL!$C$9, $D$9, 100%, $F$9) + CHOOSE(CONTROL!$C$27, 0.0021, 0)</f>
        <v>69.647300000000001</v>
      </c>
      <c r="I401" s="14">
        <f>69.6452 * CHOOSE(CONTROL!$C$9, $D$9, 100%, $F$9) + CHOOSE(CONTROL!$C$27, 0.0021, 0)</f>
        <v>69.647300000000001</v>
      </c>
      <c r="J401" s="14">
        <f>69.6452 * CHOOSE(CONTROL!$C$9, $D$9, 100%, $F$9) + CHOOSE(CONTROL!$C$27, 0.0021, 0)</f>
        <v>69.647300000000001</v>
      </c>
      <c r="K401" s="14">
        <f>69.6452 * CHOOSE(CONTROL!$C$9, $D$9, 100%, $F$9) + CHOOSE(CONTROL!$C$27, 0.0021, 0)</f>
        <v>69.647300000000001</v>
      </c>
      <c r="L401" s="14"/>
    </row>
    <row r="402" spans="1:12" ht="15.75" x14ac:dyDescent="0.25">
      <c r="A402" s="33">
        <v>53174</v>
      </c>
      <c r="B402" s="14">
        <f>71.4383 * CHOOSE(CONTROL!$C$9, $D$9, 100%, $F$9) + CHOOSE(CONTROL!$C$27, 0.0021, 0)</f>
        <v>71.440399999999997</v>
      </c>
      <c r="C402" s="14">
        <f>71.006 * CHOOSE(CONTROL!$C$9, $D$9, 100%, $F$9) + CHOOSE(CONTROL!$C$27, 0.0021, 0)</f>
        <v>71.008099999999999</v>
      </c>
      <c r="D402" s="14">
        <f>71.006 * CHOOSE(CONTROL!$C$9, $D$9, 100%, $F$9) + CHOOSE(CONTROL!$C$27, 0.0021, 0)</f>
        <v>71.008099999999999</v>
      </c>
      <c r="E402" s="14">
        <f>70.8694 * CHOOSE(CONTROL!$C$9, $D$9, 100%, $F$9) + CHOOSE(CONTROL!$C$27, 0.0021, 0)</f>
        <v>70.871499999999997</v>
      </c>
      <c r="F402" s="14">
        <f>70.8694 * CHOOSE(CONTROL!$C$9, $D$9, 100%, $F$9) + CHOOSE(CONTROL!$C$27, 0.0021, 0)</f>
        <v>70.871499999999997</v>
      </c>
      <c r="G402" s="14">
        <f>71.1407 * CHOOSE(CONTROL!$C$9, $D$9, 100%, $F$9) + CHOOSE(CONTROL!$C$27, 0.0021, 0)</f>
        <v>71.142799999999994</v>
      </c>
      <c r="H402" s="14">
        <f>71.006 * CHOOSE(CONTROL!$C$9, $D$9, 100%, $F$9) + CHOOSE(CONTROL!$C$27, 0.0021, 0)</f>
        <v>71.008099999999999</v>
      </c>
      <c r="I402" s="14">
        <f>71.006 * CHOOSE(CONTROL!$C$9, $D$9, 100%, $F$9) + CHOOSE(CONTROL!$C$27, 0.0021, 0)</f>
        <v>71.008099999999999</v>
      </c>
      <c r="J402" s="14">
        <f>71.006 * CHOOSE(CONTROL!$C$9, $D$9, 100%, $F$9) + CHOOSE(CONTROL!$C$27, 0.0021, 0)</f>
        <v>71.008099999999999</v>
      </c>
      <c r="K402" s="14">
        <f>71.006 * CHOOSE(CONTROL!$C$9, $D$9, 100%, $F$9) + CHOOSE(CONTROL!$C$27, 0.0021, 0)</f>
        <v>71.008099999999999</v>
      </c>
      <c r="L402" s="14"/>
    </row>
    <row r="403" spans="1:12" ht="15.75" x14ac:dyDescent="0.25">
      <c r="A403" s="33">
        <v>53205</v>
      </c>
      <c r="B403" s="14">
        <f>71.8536 * CHOOSE(CONTROL!$C$9, $D$9, 100%, $F$9) + CHOOSE(CONTROL!$C$27, 0.0021, 0)</f>
        <v>71.855699999999999</v>
      </c>
      <c r="C403" s="14">
        <f>71.4214 * CHOOSE(CONTROL!$C$9, $D$9, 100%, $F$9) + CHOOSE(CONTROL!$C$27, 0.0021, 0)</f>
        <v>71.423500000000004</v>
      </c>
      <c r="D403" s="14">
        <f>71.4214 * CHOOSE(CONTROL!$C$9, $D$9, 100%, $F$9) + CHOOSE(CONTROL!$C$27, 0.0021, 0)</f>
        <v>71.423500000000004</v>
      </c>
      <c r="E403" s="14">
        <f>71.2847 * CHOOSE(CONTROL!$C$9, $D$9, 100%, $F$9) + CHOOSE(CONTROL!$C$27, 0.0021, 0)</f>
        <v>71.286799999999999</v>
      </c>
      <c r="F403" s="14">
        <f>71.2847 * CHOOSE(CONTROL!$C$9, $D$9, 100%, $F$9) + CHOOSE(CONTROL!$C$27, 0.0021, 0)</f>
        <v>71.286799999999999</v>
      </c>
      <c r="G403" s="14">
        <f>71.5561 * CHOOSE(CONTROL!$C$9, $D$9, 100%, $F$9) + CHOOSE(CONTROL!$C$27, 0.0021, 0)</f>
        <v>71.558199999999999</v>
      </c>
      <c r="H403" s="14">
        <f>71.4214 * CHOOSE(CONTROL!$C$9, $D$9, 100%, $F$9) + CHOOSE(CONTROL!$C$27, 0.0021, 0)</f>
        <v>71.423500000000004</v>
      </c>
      <c r="I403" s="14">
        <f>71.4214 * CHOOSE(CONTROL!$C$9, $D$9, 100%, $F$9) + CHOOSE(CONTROL!$C$27, 0.0021, 0)</f>
        <v>71.423500000000004</v>
      </c>
      <c r="J403" s="14">
        <f>71.4214 * CHOOSE(CONTROL!$C$9, $D$9, 100%, $F$9) + CHOOSE(CONTROL!$C$27, 0.0021, 0)</f>
        <v>71.423500000000004</v>
      </c>
      <c r="K403" s="14">
        <f>71.4214 * CHOOSE(CONTROL!$C$9, $D$9, 100%, $F$9) + CHOOSE(CONTROL!$C$27, 0.0021, 0)</f>
        <v>71.423500000000004</v>
      </c>
      <c r="L403" s="14"/>
    </row>
    <row r="404" spans="1:12" ht="15.75" x14ac:dyDescent="0.25">
      <c r="A404" s="33">
        <v>53235</v>
      </c>
      <c r="B404" s="14">
        <f>73.2682 * CHOOSE(CONTROL!$C$9, $D$9, 100%, $F$9) + CHOOSE(CONTROL!$C$27, 0.0021, 0)</f>
        <v>73.270299999999992</v>
      </c>
      <c r="C404" s="14">
        <f>72.8359 * CHOOSE(CONTROL!$C$9, $D$9, 100%, $F$9) + CHOOSE(CONTROL!$C$27, 0.0021, 0)</f>
        <v>72.837999999999994</v>
      </c>
      <c r="D404" s="14">
        <f>72.8359 * CHOOSE(CONTROL!$C$9, $D$9, 100%, $F$9) + CHOOSE(CONTROL!$C$27, 0.0021, 0)</f>
        <v>72.837999999999994</v>
      </c>
      <c r="E404" s="14">
        <f>72.6993 * CHOOSE(CONTROL!$C$9, $D$9, 100%, $F$9) + CHOOSE(CONTROL!$C$27, 0.0021, 0)</f>
        <v>72.701399999999992</v>
      </c>
      <c r="F404" s="14">
        <f>72.6993 * CHOOSE(CONTROL!$C$9, $D$9, 100%, $F$9) + CHOOSE(CONTROL!$C$27, 0.0021, 0)</f>
        <v>72.701399999999992</v>
      </c>
      <c r="G404" s="14">
        <f>72.9706 * CHOOSE(CONTROL!$C$9, $D$9, 100%, $F$9) + CHOOSE(CONTROL!$C$27, 0.0021, 0)</f>
        <v>72.972700000000003</v>
      </c>
      <c r="H404" s="14">
        <f>72.8359 * CHOOSE(CONTROL!$C$9, $D$9, 100%, $F$9) + CHOOSE(CONTROL!$C$27, 0.0021, 0)</f>
        <v>72.837999999999994</v>
      </c>
      <c r="I404" s="14">
        <f>72.8359 * CHOOSE(CONTROL!$C$9, $D$9, 100%, $F$9) + CHOOSE(CONTROL!$C$27, 0.0021, 0)</f>
        <v>72.837999999999994</v>
      </c>
      <c r="J404" s="14">
        <f>72.8359 * CHOOSE(CONTROL!$C$9, $D$9, 100%, $F$9) + CHOOSE(CONTROL!$C$27, 0.0021, 0)</f>
        <v>72.837999999999994</v>
      </c>
      <c r="K404" s="14">
        <f>72.8359 * CHOOSE(CONTROL!$C$9, $D$9, 100%, $F$9) + CHOOSE(CONTROL!$C$27, 0.0021, 0)</f>
        <v>72.837999999999994</v>
      </c>
      <c r="L404" s="14"/>
    </row>
    <row r="405" spans="1:12" ht="15.75" x14ac:dyDescent="0.25">
      <c r="A405" s="33">
        <v>53266</v>
      </c>
      <c r="B405" s="14">
        <f>75.0587 * CHOOSE(CONTROL!$C$9, $D$9, 100%, $F$9) + CHOOSE(CONTROL!$C$27, 0.0021, 0)</f>
        <v>75.0608</v>
      </c>
      <c r="C405" s="14">
        <f>74.6265 * CHOOSE(CONTROL!$C$9, $D$9, 100%, $F$9) + CHOOSE(CONTROL!$C$27, 0.0021, 0)</f>
        <v>74.628599999999992</v>
      </c>
      <c r="D405" s="14">
        <f>74.6265 * CHOOSE(CONTROL!$C$9, $D$9, 100%, $F$9) + CHOOSE(CONTROL!$C$27, 0.0021, 0)</f>
        <v>74.628599999999992</v>
      </c>
      <c r="E405" s="14">
        <f>74.4898 * CHOOSE(CONTROL!$C$9, $D$9, 100%, $F$9) + CHOOSE(CONTROL!$C$27, 0.0021, 0)</f>
        <v>74.491900000000001</v>
      </c>
      <c r="F405" s="14">
        <f>74.4898 * CHOOSE(CONTROL!$C$9, $D$9, 100%, $F$9) + CHOOSE(CONTROL!$C$27, 0.0021, 0)</f>
        <v>74.491900000000001</v>
      </c>
      <c r="G405" s="14">
        <f>74.7612 * CHOOSE(CONTROL!$C$9, $D$9, 100%, $F$9) + CHOOSE(CONTROL!$C$27, 0.0021, 0)</f>
        <v>74.763300000000001</v>
      </c>
      <c r="H405" s="14">
        <f>74.6265 * CHOOSE(CONTROL!$C$9, $D$9, 100%, $F$9) + CHOOSE(CONTROL!$C$27, 0.0021, 0)</f>
        <v>74.628599999999992</v>
      </c>
      <c r="I405" s="14">
        <f>74.6265 * CHOOSE(CONTROL!$C$9, $D$9, 100%, $F$9) + CHOOSE(CONTROL!$C$27, 0.0021, 0)</f>
        <v>74.628599999999992</v>
      </c>
      <c r="J405" s="14">
        <f>74.6265 * CHOOSE(CONTROL!$C$9, $D$9, 100%, $F$9) + CHOOSE(CONTROL!$C$27, 0.0021, 0)</f>
        <v>74.628599999999992</v>
      </c>
      <c r="K405" s="14">
        <f>74.6265 * CHOOSE(CONTROL!$C$9, $D$9, 100%, $F$9) + CHOOSE(CONTROL!$C$27, 0.0021, 0)</f>
        <v>74.628599999999992</v>
      </c>
      <c r="L405" s="14"/>
    </row>
    <row r="406" spans="1:12" ht="15.75" x14ac:dyDescent="0.25">
      <c r="A406" s="33">
        <v>53296</v>
      </c>
      <c r="B406" s="14">
        <f>75.2268 * CHOOSE(CONTROL!$C$9, $D$9, 100%, $F$9) + CHOOSE(CONTROL!$C$27, 0.0021, 0)</f>
        <v>75.228899999999996</v>
      </c>
      <c r="C406" s="14">
        <f>74.7946 * CHOOSE(CONTROL!$C$9, $D$9, 100%, $F$9) + CHOOSE(CONTROL!$C$27, 0.0021, 0)</f>
        <v>74.796700000000001</v>
      </c>
      <c r="D406" s="14">
        <f>74.7946 * CHOOSE(CONTROL!$C$9, $D$9, 100%, $F$9) + CHOOSE(CONTROL!$C$27, 0.0021, 0)</f>
        <v>74.796700000000001</v>
      </c>
      <c r="E406" s="14">
        <f>74.6579 * CHOOSE(CONTROL!$C$9, $D$9, 100%, $F$9) + CHOOSE(CONTROL!$C$27, 0.0021, 0)</f>
        <v>74.66</v>
      </c>
      <c r="F406" s="14">
        <f>74.6579 * CHOOSE(CONTROL!$C$9, $D$9, 100%, $F$9) + CHOOSE(CONTROL!$C$27, 0.0021, 0)</f>
        <v>74.66</v>
      </c>
      <c r="G406" s="14">
        <f>74.9293 * CHOOSE(CONTROL!$C$9, $D$9, 100%, $F$9) + CHOOSE(CONTROL!$C$27, 0.0021, 0)</f>
        <v>74.931399999999996</v>
      </c>
      <c r="H406" s="14">
        <f>74.7946 * CHOOSE(CONTROL!$C$9, $D$9, 100%, $F$9) + CHOOSE(CONTROL!$C$27, 0.0021, 0)</f>
        <v>74.796700000000001</v>
      </c>
      <c r="I406" s="14">
        <f>74.7946 * CHOOSE(CONTROL!$C$9, $D$9, 100%, $F$9) + CHOOSE(CONTROL!$C$27, 0.0021, 0)</f>
        <v>74.796700000000001</v>
      </c>
      <c r="J406" s="14">
        <f>74.7946 * CHOOSE(CONTROL!$C$9, $D$9, 100%, $F$9) + CHOOSE(CONTROL!$C$27, 0.0021, 0)</f>
        <v>74.796700000000001</v>
      </c>
      <c r="K406" s="14">
        <f>74.7946 * CHOOSE(CONTROL!$C$9, $D$9, 100%, $F$9) + CHOOSE(CONTROL!$C$27, 0.0021, 0)</f>
        <v>74.796700000000001</v>
      </c>
      <c r="L406" s="14"/>
    </row>
    <row r="407" spans="1:12" ht="15.75" x14ac:dyDescent="0.25">
      <c r="A407" s="33">
        <v>53327</v>
      </c>
      <c r="B407" s="14">
        <f>73.7967 * CHOOSE(CONTROL!$C$9, $D$9, 100%, $F$9) + CHOOSE(CONTROL!$C$27, 0.0021, 0)</f>
        <v>73.7988</v>
      </c>
      <c r="C407" s="14">
        <f>73.3645 * CHOOSE(CONTROL!$C$9, $D$9, 100%, $F$9) + CHOOSE(CONTROL!$C$27, 0.0021, 0)</f>
        <v>73.366600000000005</v>
      </c>
      <c r="D407" s="14">
        <f>73.3645 * CHOOSE(CONTROL!$C$9, $D$9, 100%, $F$9) + CHOOSE(CONTROL!$C$27, 0.0021, 0)</f>
        <v>73.366600000000005</v>
      </c>
      <c r="E407" s="14">
        <f>73.2278 * CHOOSE(CONTROL!$C$9, $D$9, 100%, $F$9) + CHOOSE(CONTROL!$C$27, 0.0021, 0)</f>
        <v>73.229900000000001</v>
      </c>
      <c r="F407" s="14">
        <f>73.2278 * CHOOSE(CONTROL!$C$9, $D$9, 100%, $F$9) + CHOOSE(CONTROL!$C$27, 0.0021, 0)</f>
        <v>73.229900000000001</v>
      </c>
      <c r="G407" s="14">
        <f>73.4992 * CHOOSE(CONTROL!$C$9, $D$9, 100%, $F$9) + CHOOSE(CONTROL!$C$27, 0.0021, 0)</f>
        <v>73.501300000000001</v>
      </c>
      <c r="H407" s="14">
        <f>73.3645 * CHOOSE(CONTROL!$C$9, $D$9, 100%, $F$9) + CHOOSE(CONTROL!$C$27, 0.0021, 0)</f>
        <v>73.366600000000005</v>
      </c>
      <c r="I407" s="14">
        <f>73.3645 * CHOOSE(CONTROL!$C$9, $D$9, 100%, $F$9) + CHOOSE(CONTROL!$C$27, 0.0021, 0)</f>
        <v>73.366600000000005</v>
      </c>
      <c r="J407" s="14">
        <f>73.3645 * CHOOSE(CONTROL!$C$9, $D$9, 100%, $F$9) + CHOOSE(CONTROL!$C$27, 0.0021, 0)</f>
        <v>73.366600000000005</v>
      </c>
      <c r="K407" s="14">
        <f>73.3645 * CHOOSE(CONTROL!$C$9, $D$9, 100%, $F$9) + CHOOSE(CONTROL!$C$27, 0.0021, 0)</f>
        <v>73.366600000000005</v>
      </c>
      <c r="L407" s="14"/>
    </row>
    <row r="408" spans="1:12" ht="15.75" x14ac:dyDescent="0.25">
      <c r="A408" s="33">
        <v>53358</v>
      </c>
      <c r="B408" s="14">
        <f>72.8928 * CHOOSE(CONTROL!$C$9, $D$9, 100%, $F$9) + CHOOSE(CONTROL!$C$27, 0.0021, 0)</f>
        <v>72.894899999999993</v>
      </c>
      <c r="C408" s="14">
        <f>72.4606 * CHOOSE(CONTROL!$C$9, $D$9, 100%, $F$9) + CHOOSE(CONTROL!$C$27, 0.0021, 0)</f>
        <v>72.462699999999998</v>
      </c>
      <c r="D408" s="14">
        <f>72.4606 * CHOOSE(CONTROL!$C$9, $D$9, 100%, $F$9) + CHOOSE(CONTROL!$C$27, 0.0021, 0)</f>
        <v>72.462699999999998</v>
      </c>
      <c r="E408" s="14">
        <f>72.3239 * CHOOSE(CONTROL!$C$9, $D$9, 100%, $F$9) + CHOOSE(CONTROL!$C$27, 0.0021, 0)</f>
        <v>72.325999999999993</v>
      </c>
      <c r="F408" s="14">
        <f>72.3239 * CHOOSE(CONTROL!$C$9, $D$9, 100%, $F$9) + CHOOSE(CONTROL!$C$27, 0.0021, 0)</f>
        <v>72.325999999999993</v>
      </c>
      <c r="G408" s="14">
        <f>72.5953 * CHOOSE(CONTROL!$C$9, $D$9, 100%, $F$9) + CHOOSE(CONTROL!$C$27, 0.0021, 0)</f>
        <v>72.597399999999993</v>
      </c>
      <c r="H408" s="14">
        <f>72.4606 * CHOOSE(CONTROL!$C$9, $D$9, 100%, $F$9) + CHOOSE(CONTROL!$C$27, 0.0021, 0)</f>
        <v>72.462699999999998</v>
      </c>
      <c r="I408" s="14">
        <f>72.4606 * CHOOSE(CONTROL!$C$9, $D$9, 100%, $F$9) + CHOOSE(CONTROL!$C$27, 0.0021, 0)</f>
        <v>72.462699999999998</v>
      </c>
      <c r="J408" s="14">
        <f>72.4606 * CHOOSE(CONTROL!$C$9, $D$9, 100%, $F$9) + CHOOSE(CONTROL!$C$27, 0.0021, 0)</f>
        <v>72.462699999999998</v>
      </c>
      <c r="K408" s="14">
        <f>72.4606 * CHOOSE(CONTROL!$C$9, $D$9, 100%, $F$9) + CHOOSE(CONTROL!$C$27, 0.0021, 0)</f>
        <v>72.462699999999998</v>
      </c>
      <c r="L408" s="14"/>
    </row>
    <row r="409" spans="1:12" ht="15.75" x14ac:dyDescent="0.25">
      <c r="A409" s="33">
        <v>53386</v>
      </c>
      <c r="B409" s="14">
        <f>70.8959 * CHOOSE(CONTROL!$C$9, $D$9, 100%, $F$9) + CHOOSE(CONTROL!$C$27, 0.0021, 0)</f>
        <v>70.897999999999996</v>
      </c>
      <c r="C409" s="14">
        <f>70.4636 * CHOOSE(CONTROL!$C$9, $D$9, 100%, $F$9) + CHOOSE(CONTROL!$C$27, 0.0021, 0)</f>
        <v>70.465699999999998</v>
      </c>
      <c r="D409" s="14">
        <f>70.4636 * CHOOSE(CONTROL!$C$9, $D$9, 100%, $F$9) + CHOOSE(CONTROL!$C$27, 0.0021, 0)</f>
        <v>70.465699999999998</v>
      </c>
      <c r="E409" s="14">
        <f>70.327 * CHOOSE(CONTROL!$C$9, $D$9, 100%, $F$9) + CHOOSE(CONTROL!$C$27, 0.0021, 0)</f>
        <v>70.329099999999997</v>
      </c>
      <c r="F409" s="14">
        <f>70.327 * CHOOSE(CONTROL!$C$9, $D$9, 100%, $F$9) + CHOOSE(CONTROL!$C$27, 0.0021, 0)</f>
        <v>70.329099999999997</v>
      </c>
      <c r="G409" s="14">
        <f>70.5984 * CHOOSE(CONTROL!$C$9, $D$9, 100%, $F$9) + CHOOSE(CONTROL!$C$27, 0.0021, 0)</f>
        <v>70.600499999999997</v>
      </c>
      <c r="H409" s="14">
        <f>70.4636 * CHOOSE(CONTROL!$C$9, $D$9, 100%, $F$9) + CHOOSE(CONTROL!$C$27, 0.0021, 0)</f>
        <v>70.465699999999998</v>
      </c>
      <c r="I409" s="14">
        <f>70.4636 * CHOOSE(CONTROL!$C$9, $D$9, 100%, $F$9) + CHOOSE(CONTROL!$C$27, 0.0021, 0)</f>
        <v>70.465699999999998</v>
      </c>
      <c r="J409" s="14">
        <f>70.4636 * CHOOSE(CONTROL!$C$9, $D$9, 100%, $F$9) + CHOOSE(CONTROL!$C$27, 0.0021, 0)</f>
        <v>70.465699999999998</v>
      </c>
      <c r="K409" s="14">
        <f>70.4636 * CHOOSE(CONTROL!$C$9, $D$9, 100%, $F$9) + CHOOSE(CONTROL!$C$27, 0.0021, 0)</f>
        <v>70.465699999999998</v>
      </c>
      <c r="L409" s="14"/>
    </row>
    <row r="410" spans="1:12" ht="15.75" x14ac:dyDescent="0.25">
      <c r="A410" s="33">
        <v>53417</v>
      </c>
      <c r="B410" s="14">
        <f>70.0715 * CHOOSE(CONTROL!$C$9, $D$9, 100%, $F$9) + CHOOSE(CONTROL!$C$27, 0.0021, 0)</f>
        <v>70.073599999999999</v>
      </c>
      <c r="C410" s="14">
        <f>69.6393 * CHOOSE(CONTROL!$C$9, $D$9, 100%, $F$9) + CHOOSE(CONTROL!$C$27, 0.0021, 0)</f>
        <v>69.641400000000004</v>
      </c>
      <c r="D410" s="14">
        <f>69.6393 * CHOOSE(CONTROL!$C$9, $D$9, 100%, $F$9) + CHOOSE(CONTROL!$C$27, 0.0021, 0)</f>
        <v>69.641400000000004</v>
      </c>
      <c r="E410" s="14">
        <f>69.5026 * CHOOSE(CONTROL!$C$9, $D$9, 100%, $F$9) + CHOOSE(CONTROL!$C$27, 0.0021, 0)</f>
        <v>69.5047</v>
      </c>
      <c r="F410" s="14">
        <f>69.5026 * CHOOSE(CONTROL!$C$9, $D$9, 100%, $F$9) + CHOOSE(CONTROL!$C$27, 0.0021, 0)</f>
        <v>69.5047</v>
      </c>
      <c r="G410" s="14">
        <f>69.774 * CHOOSE(CONTROL!$C$9, $D$9, 100%, $F$9) + CHOOSE(CONTROL!$C$27, 0.0021, 0)</f>
        <v>69.7761</v>
      </c>
      <c r="H410" s="14">
        <f>69.6393 * CHOOSE(CONTROL!$C$9, $D$9, 100%, $F$9) + CHOOSE(CONTROL!$C$27, 0.0021, 0)</f>
        <v>69.641400000000004</v>
      </c>
      <c r="I410" s="14">
        <f>69.6393 * CHOOSE(CONTROL!$C$9, $D$9, 100%, $F$9) + CHOOSE(CONTROL!$C$27, 0.0021, 0)</f>
        <v>69.641400000000004</v>
      </c>
      <c r="J410" s="14">
        <f>69.6393 * CHOOSE(CONTROL!$C$9, $D$9, 100%, $F$9) + CHOOSE(CONTROL!$C$27, 0.0021, 0)</f>
        <v>69.641400000000004</v>
      </c>
      <c r="K410" s="14">
        <f>69.6393 * CHOOSE(CONTROL!$C$9, $D$9, 100%, $F$9) + CHOOSE(CONTROL!$C$27, 0.0021, 0)</f>
        <v>69.641400000000004</v>
      </c>
      <c r="L410" s="14"/>
    </row>
    <row r="411" spans="1:12" ht="15.75" x14ac:dyDescent="0.25">
      <c r="A411" s="33">
        <v>53447</v>
      </c>
      <c r="B411" s="14">
        <f>69.0873 * CHOOSE(CONTROL!$C$9, $D$9, 100%, $F$9) + CHOOSE(CONTROL!$C$27, 0.0021, 0)</f>
        <v>69.089399999999998</v>
      </c>
      <c r="C411" s="14">
        <f>68.655 * CHOOSE(CONTROL!$C$9, $D$9, 100%, $F$9) + CHOOSE(CONTROL!$C$27, 0.0021, 0)</f>
        <v>68.6571</v>
      </c>
      <c r="D411" s="14">
        <f>68.655 * CHOOSE(CONTROL!$C$9, $D$9, 100%, $F$9) + CHOOSE(CONTROL!$C$27, 0.0021, 0)</f>
        <v>68.6571</v>
      </c>
      <c r="E411" s="14">
        <f>68.5184 * CHOOSE(CONTROL!$C$9, $D$9, 100%, $F$9) + CHOOSE(CONTROL!$C$27, 0.0021, 0)</f>
        <v>68.520499999999998</v>
      </c>
      <c r="F411" s="14">
        <f>68.5184 * CHOOSE(CONTROL!$C$9, $D$9, 100%, $F$9) + CHOOSE(CONTROL!$C$27, 0.0021, 0)</f>
        <v>68.520499999999998</v>
      </c>
      <c r="G411" s="14">
        <f>68.7897 * CHOOSE(CONTROL!$C$9, $D$9, 100%, $F$9) + CHOOSE(CONTROL!$C$27, 0.0021, 0)</f>
        <v>68.791799999999995</v>
      </c>
      <c r="H411" s="14">
        <f>68.655 * CHOOSE(CONTROL!$C$9, $D$9, 100%, $F$9) + CHOOSE(CONTROL!$C$27, 0.0021, 0)</f>
        <v>68.6571</v>
      </c>
      <c r="I411" s="14">
        <f>68.655 * CHOOSE(CONTROL!$C$9, $D$9, 100%, $F$9) + CHOOSE(CONTROL!$C$27, 0.0021, 0)</f>
        <v>68.6571</v>
      </c>
      <c r="J411" s="14">
        <f>68.655 * CHOOSE(CONTROL!$C$9, $D$9, 100%, $F$9) + CHOOSE(CONTROL!$C$27, 0.0021, 0)</f>
        <v>68.6571</v>
      </c>
      <c r="K411" s="14">
        <f>68.655 * CHOOSE(CONTROL!$C$9, $D$9, 100%, $F$9) + CHOOSE(CONTROL!$C$27, 0.0021, 0)</f>
        <v>68.6571</v>
      </c>
      <c r="L411" s="14"/>
    </row>
    <row r="412" spans="1:12" ht="15.75" x14ac:dyDescent="0.25">
      <c r="A412" s="33">
        <v>53478</v>
      </c>
      <c r="B412" s="14">
        <f>70.49 * CHOOSE(CONTROL!$C$9, $D$9, 100%, $F$9) + CHOOSE(CONTROL!$C$27, 0.0021, 0)</f>
        <v>70.492099999999994</v>
      </c>
      <c r="C412" s="14">
        <f>70.0577 * CHOOSE(CONTROL!$C$9, $D$9, 100%, $F$9) + CHOOSE(CONTROL!$C$27, 0.0021, 0)</f>
        <v>70.059799999999996</v>
      </c>
      <c r="D412" s="14">
        <f>70.0577 * CHOOSE(CONTROL!$C$9, $D$9, 100%, $F$9) + CHOOSE(CONTROL!$C$27, 0.0021, 0)</f>
        <v>70.059799999999996</v>
      </c>
      <c r="E412" s="14">
        <f>69.9211 * CHOOSE(CONTROL!$C$9, $D$9, 100%, $F$9) + CHOOSE(CONTROL!$C$27, 0.0021, 0)</f>
        <v>69.923199999999994</v>
      </c>
      <c r="F412" s="14">
        <f>69.9211 * CHOOSE(CONTROL!$C$9, $D$9, 100%, $F$9) + CHOOSE(CONTROL!$C$27, 0.0021, 0)</f>
        <v>69.923199999999994</v>
      </c>
      <c r="G412" s="14">
        <f>70.1924 * CHOOSE(CONTROL!$C$9, $D$9, 100%, $F$9) + CHOOSE(CONTROL!$C$27, 0.0021, 0)</f>
        <v>70.194500000000005</v>
      </c>
      <c r="H412" s="14">
        <f>70.0577 * CHOOSE(CONTROL!$C$9, $D$9, 100%, $F$9) + CHOOSE(CONTROL!$C$27, 0.0021, 0)</f>
        <v>70.059799999999996</v>
      </c>
      <c r="I412" s="14">
        <f>70.0577 * CHOOSE(CONTROL!$C$9, $D$9, 100%, $F$9) + CHOOSE(CONTROL!$C$27, 0.0021, 0)</f>
        <v>70.059799999999996</v>
      </c>
      <c r="J412" s="14">
        <f>70.0577 * CHOOSE(CONTROL!$C$9, $D$9, 100%, $F$9) + CHOOSE(CONTROL!$C$27, 0.0021, 0)</f>
        <v>70.059799999999996</v>
      </c>
      <c r="K412" s="14">
        <f>70.0577 * CHOOSE(CONTROL!$C$9, $D$9, 100%, $F$9) + CHOOSE(CONTROL!$C$27, 0.0021, 0)</f>
        <v>70.059799999999996</v>
      </c>
      <c r="L412" s="14"/>
    </row>
    <row r="413" spans="1:12" ht="15.75" x14ac:dyDescent="0.25">
      <c r="A413" s="33">
        <v>53508</v>
      </c>
      <c r="B413" s="14">
        <f>71.3302 * CHOOSE(CONTROL!$C$9, $D$9, 100%, $F$9) + CHOOSE(CONTROL!$C$27, 0.0021, 0)</f>
        <v>71.332300000000004</v>
      </c>
      <c r="C413" s="14">
        <f>70.8979 * CHOOSE(CONTROL!$C$9, $D$9, 100%, $F$9) + CHOOSE(CONTROL!$C$27, 0.0021, 0)</f>
        <v>70.900000000000006</v>
      </c>
      <c r="D413" s="14">
        <f>70.8979 * CHOOSE(CONTROL!$C$9, $D$9, 100%, $F$9) + CHOOSE(CONTROL!$C$27, 0.0021, 0)</f>
        <v>70.900000000000006</v>
      </c>
      <c r="E413" s="14">
        <f>70.7612 * CHOOSE(CONTROL!$C$9, $D$9, 100%, $F$9) + CHOOSE(CONTROL!$C$27, 0.0021, 0)</f>
        <v>70.763300000000001</v>
      </c>
      <c r="F413" s="14">
        <f>70.7612 * CHOOSE(CONTROL!$C$9, $D$9, 100%, $F$9) + CHOOSE(CONTROL!$C$27, 0.0021, 0)</f>
        <v>70.763300000000001</v>
      </c>
      <c r="G413" s="14">
        <f>71.0326 * CHOOSE(CONTROL!$C$9, $D$9, 100%, $F$9) + CHOOSE(CONTROL!$C$27, 0.0021, 0)</f>
        <v>71.034700000000001</v>
      </c>
      <c r="H413" s="14">
        <f>70.8979 * CHOOSE(CONTROL!$C$9, $D$9, 100%, $F$9) + CHOOSE(CONTROL!$C$27, 0.0021, 0)</f>
        <v>70.900000000000006</v>
      </c>
      <c r="I413" s="14">
        <f>70.8979 * CHOOSE(CONTROL!$C$9, $D$9, 100%, $F$9) + CHOOSE(CONTROL!$C$27, 0.0021, 0)</f>
        <v>70.900000000000006</v>
      </c>
      <c r="J413" s="14">
        <f>70.8979 * CHOOSE(CONTROL!$C$9, $D$9, 100%, $F$9) + CHOOSE(CONTROL!$C$27, 0.0021, 0)</f>
        <v>70.900000000000006</v>
      </c>
      <c r="K413" s="14">
        <f>70.8979 * CHOOSE(CONTROL!$C$9, $D$9, 100%, $F$9) + CHOOSE(CONTROL!$C$27, 0.0021, 0)</f>
        <v>70.900000000000006</v>
      </c>
      <c r="L413" s="14"/>
    </row>
    <row r="414" spans="1:12" ht="15.75" x14ac:dyDescent="0.25">
      <c r="A414" s="33">
        <v>53539</v>
      </c>
      <c r="B414" s="14">
        <f>72.7161 * CHOOSE(CONTROL!$C$9, $D$9, 100%, $F$9) + CHOOSE(CONTROL!$C$27, 0.0021, 0)</f>
        <v>72.718199999999996</v>
      </c>
      <c r="C414" s="14">
        <f>72.2839 * CHOOSE(CONTROL!$C$9, $D$9, 100%, $F$9) + CHOOSE(CONTROL!$C$27, 0.0021, 0)</f>
        <v>72.286000000000001</v>
      </c>
      <c r="D414" s="14">
        <f>72.2839 * CHOOSE(CONTROL!$C$9, $D$9, 100%, $F$9) + CHOOSE(CONTROL!$C$27, 0.0021, 0)</f>
        <v>72.286000000000001</v>
      </c>
      <c r="E414" s="14">
        <f>72.1472 * CHOOSE(CONTROL!$C$9, $D$9, 100%, $F$9) + CHOOSE(CONTROL!$C$27, 0.0021, 0)</f>
        <v>72.149299999999997</v>
      </c>
      <c r="F414" s="14">
        <f>72.1472 * CHOOSE(CONTROL!$C$9, $D$9, 100%, $F$9) + CHOOSE(CONTROL!$C$27, 0.0021, 0)</f>
        <v>72.149299999999997</v>
      </c>
      <c r="G414" s="14">
        <f>72.4186 * CHOOSE(CONTROL!$C$9, $D$9, 100%, $F$9) + CHOOSE(CONTROL!$C$27, 0.0021, 0)</f>
        <v>72.420699999999997</v>
      </c>
      <c r="H414" s="14">
        <f>72.2839 * CHOOSE(CONTROL!$C$9, $D$9, 100%, $F$9) + CHOOSE(CONTROL!$C$27, 0.0021, 0)</f>
        <v>72.286000000000001</v>
      </c>
      <c r="I414" s="14">
        <f>72.2839 * CHOOSE(CONTROL!$C$9, $D$9, 100%, $F$9) + CHOOSE(CONTROL!$C$27, 0.0021, 0)</f>
        <v>72.286000000000001</v>
      </c>
      <c r="J414" s="14">
        <f>72.2839 * CHOOSE(CONTROL!$C$9, $D$9, 100%, $F$9) + CHOOSE(CONTROL!$C$27, 0.0021, 0)</f>
        <v>72.286000000000001</v>
      </c>
      <c r="K414" s="14">
        <f>72.2839 * CHOOSE(CONTROL!$C$9, $D$9, 100%, $F$9) + CHOOSE(CONTROL!$C$27, 0.0021, 0)</f>
        <v>72.286000000000001</v>
      </c>
      <c r="L414" s="14"/>
    </row>
    <row r="415" spans="1:12" ht="15.75" x14ac:dyDescent="0.25">
      <c r="A415" s="33">
        <v>53570</v>
      </c>
      <c r="B415" s="14">
        <f>73.1392 * CHOOSE(CONTROL!$C$9, $D$9, 100%, $F$9) + CHOOSE(CONTROL!$C$27, 0.0021, 0)</f>
        <v>73.141300000000001</v>
      </c>
      <c r="C415" s="14">
        <f>72.7069 * CHOOSE(CONTROL!$C$9, $D$9, 100%, $F$9) + CHOOSE(CONTROL!$C$27, 0.0021, 0)</f>
        <v>72.709000000000003</v>
      </c>
      <c r="D415" s="14">
        <f>72.7069 * CHOOSE(CONTROL!$C$9, $D$9, 100%, $F$9) + CHOOSE(CONTROL!$C$27, 0.0021, 0)</f>
        <v>72.709000000000003</v>
      </c>
      <c r="E415" s="14">
        <f>72.5703 * CHOOSE(CONTROL!$C$9, $D$9, 100%, $F$9) + CHOOSE(CONTROL!$C$27, 0.0021, 0)</f>
        <v>72.572400000000002</v>
      </c>
      <c r="F415" s="14">
        <f>72.5703 * CHOOSE(CONTROL!$C$9, $D$9, 100%, $F$9) + CHOOSE(CONTROL!$C$27, 0.0021, 0)</f>
        <v>72.572400000000002</v>
      </c>
      <c r="G415" s="14">
        <f>72.8416 * CHOOSE(CONTROL!$C$9, $D$9, 100%, $F$9) + CHOOSE(CONTROL!$C$27, 0.0021, 0)</f>
        <v>72.843699999999998</v>
      </c>
      <c r="H415" s="14">
        <f>72.7069 * CHOOSE(CONTROL!$C$9, $D$9, 100%, $F$9) + CHOOSE(CONTROL!$C$27, 0.0021, 0)</f>
        <v>72.709000000000003</v>
      </c>
      <c r="I415" s="14">
        <f>72.7069 * CHOOSE(CONTROL!$C$9, $D$9, 100%, $F$9) + CHOOSE(CONTROL!$C$27, 0.0021, 0)</f>
        <v>72.709000000000003</v>
      </c>
      <c r="J415" s="14">
        <f>72.7069 * CHOOSE(CONTROL!$C$9, $D$9, 100%, $F$9) + CHOOSE(CONTROL!$C$27, 0.0021, 0)</f>
        <v>72.709000000000003</v>
      </c>
      <c r="K415" s="14">
        <f>72.7069 * CHOOSE(CONTROL!$C$9, $D$9, 100%, $F$9) + CHOOSE(CONTROL!$C$27, 0.0021, 0)</f>
        <v>72.709000000000003</v>
      </c>
      <c r="L415" s="14"/>
    </row>
    <row r="416" spans="1:12" ht="15.75" x14ac:dyDescent="0.25">
      <c r="A416" s="33">
        <v>53600</v>
      </c>
      <c r="B416" s="14">
        <f>74.5798 * CHOOSE(CONTROL!$C$9, $D$9, 100%, $F$9) + CHOOSE(CONTROL!$C$27, 0.0021, 0)</f>
        <v>74.581900000000005</v>
      </c>
      <c r="C416" s="14">
        <f>74.1476 * CHOOSE(CONTROL!$C$9, $D$9, 100%, $F$9) + CHOOSE(CONTROL!$C$27, 0.0021, 0)</f>
        <v>74.149699999999996</v>
      </c>
      <c r="D416" s="14">
        <f>74.1476 * CHOOSE(CONTROL!$C$9, $D$9, 100%, $F$9) + CHOOSE(CONTROL!$C$27, 0.0021, 0)</f>
        <v>74.149699999999996</v>
      </c>
      <c r="E416" s="14">
        <f>74.0109 * CHOOSE(CONTROL!$C$9, $D$9, 100%, $F$9) + CHOOSE(CONTROL!$C$27, 0.0021, 0)</f>
        <v>74.013000000000005</v>
      </c>
      <c r="F416" s="14">
        <f>74.0109 * CHOOSE(CONTROL!$C$9, $D$9, 100%, $F$9) + CHOOSE(CONTROL!$C$27, 0.0021, 0)</f>
        <v>74.013000000000005</v>
      </c>
      <c r="G416" s="14">
        <f>74.2823 * CHOOSE(CONTROL!$C$9, $D$9, 100%, $F$9) + CHOOSE(CONTROL!$C$27, 0.0021, 0)</f>
        <v>74.284400000000005</v>
      </c>
      <c r="H416" s="14">
        <f>74.1476 * CHOOSE(CONTROL!$C$9, $D$9, 100%, $F$9) + CHOOSE(CONTROL!$C$27, 0.0021, 0)</f>
        <v>74.149699999999996</v>
      </c>
      <c r="I416" s="14">
        <f>74.1476 * CHOOSE(CONTROL!$C$9, $D$9, 100%, $F$9) + CHOOSE(CONTROL!$C$27, 0.0021, 0)</f>
        <v>74.149699999999996</v>
      </c>
      <c r="J416" s="14">
        <f>74.1476 * CHOOSE(CONTROL!$C$9, $D$9, 100%, $F$9) + CHOOSE(CONTROL!$C$27, 0.0021, 0)</f>
        <v>74.149699999999996</v>
      </c>
      <c r="K416" s="14">
        <f>74.1476 * CHOOSE(CONTROL!$C$9, $D$9, 100%, $F$9) + CHOOSE(CONTROL!$C$27, 0.0021, 0)</f>
        <v>74.149699999999996</v>
      </c>
      <c r="L416" s="14"/>
    </row>
    <row r="417" spans="1:12" ht="15.75" x14ac:dyDescent="0.25">
      <c r="A417" s="33">
        <v>53631</v>
      </c>
      <c r="B417" s="14">
        <f>76.4035 * CHOOSE(CONTROL!$C$9, $D$9, 100%, $F$9) + CHOOSE(CONTROL!$C$27, 0.0021, 0)</f>
        <v>76.405599999999993</v>
      </c>
      <c r="C417" s="14">
        <f>75.9712 * CHOOSE(CONTROL!$C$9, $D$9, 100%, $F$9) + CHOOSE(CONTROL!$C$27, 0.0021, 0)</f>
        <v>75.973299999999995</v>
      </c>
      <c r="D417" s="14">
        <f>75.9712 * CHOOSE(CONTROL!$C$9, $D$9, 100%, $F$9) + CHOOSE(CONTROL!$C$27, 0.0021, 0)</f>
        <v>75.973299999999995</v>
      </c>
      <c r="E417" s="14">
        <f>75.8346 * CHOOSE(CONTROL!$C$9, $D$9, 100%, $F$9) + CHOOSE(CONTROL!$C$27, 0.0021, 0)</f>
        <v>75.836699999999993</v>
      </c>
      <c r="F417" s="14">
        <f>75.8346 * CHOOSE(CONTROL!$C$9, $D$9, 100%, $F$9) + CHOOSE(CONTROL!$C$27, 0.0021, 0)</f>
        <v>75.836699999999993</v>
      </c>
      <c r="G417" s="14">
        <f>76.106 * CHOOSE(CONTROL!$C$9, $D$9, 100%, $F$9) + CHOOSE(CONTROL!$C$27, 0.0021, 0)</f>
        <v>76.108099999999993</v>
      </c>
      <c r="H417" s="14">
        <f>75.9712 * CHOOSE(CONTROL!$C$9, $D$9, 100%, $F$9) + CHOOSE(CONTROL!$C$27, 0.0021, 0)</f>
        <v>75.973299999999995</v>
      </c>
      <c r="I417" s="14">
        <f>75.9712 * CHOOSE(CONTROL!$C$9, $D$9, 100%, $F$9) + CHOOSE(CONTROL!$C$27, 0.0021, 0)</f>
        <v>75.973299999999995</v>
      </c>
      <c r="J417" s="14">
        <f>75.9712 * CHOOSE(CONTROL!$C$9, $D$9, 100%, $F$9) + CHOOSE(CONTROL!$C$27, 0.0021, 0)</f>
        <v>75.973299999999995</v>
      </c>
      <c r="K417" s="14">
        <f>75.9712 * CHOOSE(CONTROL!$C$9, $D$9, 100%, $F$9) + CHOOSE(CONTROL!$C$27, 0.0021, 0)</f>
        <v>75.973299999999995</v>
      </c>
      <c r="L417" s="14"/>
    </row>
    <row r="418" spans="1:12" ht="15.75" x14ac:dyDescent="0.25">
      <c r="A418" s="33">
        <v>53661</v>
      </c>
      <c r="B418" s="14">
        <f>76.5747 * CHOOSE(CONTROL!$C$9, $D$9, 100%, $F$9) + CHOOSE(CONTROL!$C$27, 0.0021, 0)</f>
        <v>76.576800000000006</v>
      </c>
      <c r="C418" s="14">
        <f>76.1424 * CHOOSE(CONTROL!$C$9, $D$9, 100%, $F$9) + CHOOSE(CONTROL!$C$27, 0.0021, 0)</f>
        <v>76.144499999999994</v>
      </c>
      <c r="D418" s="14">
        <f>76.1424 * CHOOSE(CONTROL!$C$9, $D$9, 100%, $F$9) + CHOOSE(CONTROL!$C$27, 0.0021, 0)</f>
        <v>76.144499999999994</v>
      </c>
      <c r="E418" s="14">
        <f>76.0058 * CHOOSE(CONTROL!$C$9, $D$9, 100%, $F$9) + CHOOSE(CONTROL!$C$27, 0.0021, 0)</f>
        <v>76.007899999999992</v>
      </c>
      <c r="F418" s="14">
        <f>76.0058 * CHOOSE(CONTROL!$C$9, $D$9, 100%, $F$9) + CHOOSE(CONTROL!$C$27, 0.0021, 0)</f>
        <v>76.007899999999992</v>
      </c>
      <c r="G418" s="14">
        <f>76.2772 * CHOOSE(CONTROL!$C$9, $D$9, 100%, $F$9) + CHOOSE(CONTROL!$C$27, 0.0021, 0)</f>
        <v>76.279299999999992</v>
      </c>
      <c r="H418" s="14">
        <f>76.1424 * CHOOSE(CONTROL!$C$9, $D$9, 100%, $F$9) + CHOOSE(CONTROL!$C$27, 0.0021, 0)</f>
        <v>76.144499999999994</v>
      </c>
      <c r="I418" s="14">
        <f>76.1424 * CHOOSE(CONTROL!$C$9, $D$9, 100%, $F$9) + CHOOSE(CONTROL!$C$27, 0.0021, 0)</f>
        <v>76.144499999999994</v>
      </c>
      <c r="J418" s="14">
        <f>76.1424 * CHOOSE(CONTROL!$C$9, $D$9, 100%, $F$9) + CHOOSE(CONTROL!$C$27, 0.0021, 0)</f>
        <v>76.144499999999994</v>
      </c>
      <c r="K418" s="14">
        <f>76.1424 * CHOOSE(CONTROL!$C$9, $D$9, 100%, $F$9) + CHOOSE(CONTROL!$C$27, 0.0021, 0)</f>
        <v>76.144499999999994</v>
      </c>
      <c r="L418" s="14"/>
    </row>
    <row r="419" spans="1:12" ht="15.75" x14ac:dyDescent="0.25">
      <c r="A419" s="33">
        <v>53692</v>
      </c>
      <c r="B419" s="14">
        <f>75.1182 * CHOOSE(CONTROL!$C$9, $D$9, 100%, $F$9) + CHOOSE(CONTROL!$C$27, 0.0021, 0)</f>
        <v>75.1203</v>
      </c>
      <c r="C419" s="14">
        <f>74.6859 * CHOOSE(CONTROL!$C$9, $D$9, 100%, $F$9) + CHOOSE(CONTROL!$C$27, 0.0021, 0)</f>
        <v>74.688000000000002</v>
      </c>
      <c r="D419" s="14">
        <f>74.6859 * CHOOSE(CONTROL!$C$9, $D$9, 100%, $F$9) + CHOOSE(CONTROL!$C$27, 0.0021, 0)</f>
        <v>74.688000000000002</v>
      </c>
      <c r="E419" s="14">
        <f>74.5493 * CHOOSE(CONTROL!$C$9, $D$9, 100%, $F$9) + CHOOSE(CONTROL!$C$27, 0.0021, 0)</f>
        <v>74.551400000000001</v>
      </c>
      <c r="F419" s="14">
        <f>74.5493 * CHOOSE(CONTROL!$C$9, $D$9, 100%, $F$9) + CHOOSE(CONTROL!$C$27, 0.0021, 0)</f>
        <v>74.551400000000001</v>
      </c>
      <c r="G419" s="14">
        <f>74.8206 * CHOOSE(CONTROL!$C$9, $D$9, 100%, $F$9) + CHOOSE(CONTROL!$C$27, 0.0021, 0)</f>
        <v>74.822699999999998</v>
      </c>
      <c r="H419" s="14">
        <f>74.6859 * CHOOSE(CONTROL!$C$9, $D$9, 100%, $F$9) + CHOOSE(CONTROL!$C$27, 0.0021, 0)</f>
        <v>74.688000000000002</v>
      </c>
      <c r="I419" s="14">
        <f>74.6859 * CHOOSE(CONTROL!$C$9, $D$9, 100%, $F$9) + CHOOSE(CONTROL!$C$27, 0.0021, 0)</f>
        <v>74.688000000000002</v>
      </c>
      <c r="J419" s="14">
        <f>74.6859 * CHOOSE(CONTROL!$C$9, $D$9, 100%, $F$9) + CHOOSE(CONTROL!$C$27, 0.0021, 0)</f>
        <v>74.688000000000002</v>
      </c>
      <c r="K419" s="14">
        <f>74.6859 * CHOOSE(CONTROL!$C$9, $D$9, 100%, $F$9) + CHOOSE(CONTROL!$C$27, 0.0021, 0)</f>
        <v>74.688000000000002</v>
      </c>
      <c r="L419" s="14"/>
    </row>
    <row r="420" spans="1:12" ht="15.75" x14ac:dyDescent="0.25">
      <c r="A420" s="33">
        <v>53723</v>
      </c>
      <c r="B420" s="14">
        <f>74.1976 * CHOOSE(CONTROL!$C$9, $D$9, 100%, $F$9) + CHOOSE(CONTROL!$C$27, 0.0021, 0)</f>
        <v>74.199699999999993</v>
      </c>
      <c r="C420" s="14">
        <f>73.7654 * CHOOSE(CONTROL!$C$9, $D$9, 100%, $F$9) + CHOOSE(CONTROL!$C$27, 0.0021, 0)</f>
        <v>73.767499999999998</v>
      </c>
      <c r="D420" s="14">
        <f>73.7654 * CHOOSE(CONTROL!$C$9, $D$9, 100%, $F$9) + CHOOSE(CONTROL!$C$27, 0.0021, 0)</f>
        <v>73.767499999999998</v>
      </c>
      <c r="E420" s="14">
        <f>73.6287 * CHOOSE(CONTROL!$C$9, $D$9, 100%, $F$9) + CHOOSE(CONTROL!$C$27, 0.0021, 0)</f>
        <v>73.630799999999994</v>
      </c>
      <c r="F420" s="14">
        <f>73.6287 * CHOOSE(CONTROL!$C$9, $D$9, 100%, $F$9) + CHOOSE(CONTROL!$C$27, 0.0021, 0)</f>
        <v>73.630799999999994</v>
      </c>
      <c r="G420" s="14">
        <f>73.9001 * CHOOSE(CONTROL!$C$9, $D$9, 100%, $F$9) + CHOOSE(CONTROL!$C$27, 0.0021, 0)</f>
        <v>73.902199999999993</v>
      </c>
      <c r="H420" s="14">
        <f>73.7654 * CHOOSE(CONTROL!$C$9, $D$9, 100%, $F$9) + CHOOSE(CONTROL!$C$27, 0.0021, 0)</f>
        <v>73.767499999999998</v>
      </c>
      <c r="I420" s="14">
        <f>73.7654 * CHOOSE(CONTROL!$C$9, $D$9, 100%, $F$9) + CHOOSE(CONTROL!$C$27, 0.0021, 0)</f>
        <v>73.767499999999998</v>
      </c>
      <c r="J420" s="14">
        <f>73.7654 * CHOOSE(CONTROL!$C$9, $D$9, 100%, $F$9) + CHOOSE(CONTROL!$C$27, 0.0021, 0)</f>
        <v>73.767499999999998</v>
      </c>
      <c r="K420" s="14">
        <f>73.7654 * CHOOSE(CONTROL!$C$9, $D$9, 100%, $F$9) + CHOOSE(CONTROL!$C$27, 0.0021, 0)</f>
        <v>73.767499999999998</v>
      </c>
      <c r="L420" s="14"/>
    </row>
    <row r="421" spans="1:12" ht="15.75" x14ac:dyDescent="0.25">
      <c r="A421" s="33">
        <v>53751</v>
      </c>
      <c r="B421" s="14">
        <f>72.1637 * CHOOSE(CONTROL!$C$9, $D$9, 100%, $F$9) + CHOOSE(CONTROL!$C$27, 0.0021, 0)</f>
        <v>72.165800000000004</v>
      </c>
      <c r="C421" s="14">
        <f>71.7315 * CHOOSE(CONTROL!$C$9, $D$9, 100%, $F$9) + CHOOSE(CONTROL!$C$27, 0.0021, 0)</f>
        <v>71.733599999999996</v>
      </c>
      <c r="D421" s="14">
        <f>71.7315 * CHOOSE(CONTROL!$C$9, $D$9, 100%, $F$9) + CHOOSE(CONTROL!$C$27, 0.0021, 0)</f>
        <v>71.733599999999996</v>
      </c>
      <c r="E421" s="14">
        <f>71.5948 * CHOOSE(CONTROL!$C$9, $D$9, 100%, $F$9) + CHOOSE(CONTROL!$C$27, 0.0021, 0)</f>
        <v>71.596900000000005</v>
      </c>
      <c r="F421" s="14">
        <f>71.5948 * CHOOSE(CONTROL!$C$9, $D$9, 100%, $F$9) + CHOOSE(CONTROL!$C$27, 0.0021, 0)</f>
        <v>71.596900000000005</v>
      </c>
      <c r="G421" s="14">
        <f>71.8662 * CHOOSE(CONTROL!$C$9, $D$9, 100%, $F$9) + CHOOSE(CONTROL!$C$27, 0.0021, 0)</f>
        <v>71.868300000000005</v>
      </c>
      <c r="H421" s="14">
        <f>71.7315 * CHOOSE(CONTROL!$C$9, $D$9, 100%, $F$9) + CHOOSE(CONTROL!$C$27, 0.0021, 0)</f>
        <v>71.733599999999996</v>
      </c>
      <c r="I421" s="14">
        <f>71.7315 * CHOOSE(CONTROL!$C$9, $D$9, 100%, $F$9) + CHOOSE(CONTROL!$C$27, 0.0021, 0)</f>
        <v>71.733599999999996</v>
      </c>
      <c r="J421" s="14">
        <f>71.7315 * CHOOSE(CONTROL!$C$9, $D$9, 100%, $F$9) + CHOOSE(CONTROL!$C$27, 0.0021, 0)</f>
        <v>71.733599999999996</v>
      </c>
      <c r="K421" s="14">
        <f>71.7315 * CHOOSE(CONTROL!$C$9, $D$9, 100%, $F$9) + CHOOSE(CONTROL!$C$27, 0.0021, 0)</f>
        <v>71.733599999999996</v>
      </c>
      <c r="L421" s="14"/>
    </row>
    <row r="422" spans="1:12" ht="15.75" x14ac:dyDescent="0.25">
      <c r="A422" s="33">
        <v>53782</v>
      </c>
      <c r="B422" s="14">
        <f>71.3242 * CHOOSE(CONTROL!$C$9, $D$9, 100%, $F$9) + CHOOSE(CONTROL!$C$27, 0.0021, 0)</f>
        <v>71.326300000000003</v>
      </c>
      <c r="C422" s="14">
        <f>70.8919 * CHOOSE(CONTROL!$C$9, $D$9, 100%, $F$9) + CHOOSE(CONTROL!$C$27, 0.0021, 0)</f>
        <v>70.894000000000005</v>
      </c>
      <c r="D422" s="14">
        <f>70.8919 * CHOOSE(CONTROL!$C$9, $D$9, 100%, $F$9) + CHOOSE(CONTROL!$C$27, 0.0021, 0)</f>
        <v>70.894000000000005</v>
      </c>
      <c r="E422" s="14">
        <f>70.7552 * CHOOSE(CONTROL!$C$9, $D$9, 100%, $F$9) + CHOOSE(CONTROL!$C$27, 0.0021, 0)</f>
        <v>70.757300000000001</v>
      </c>
      <c r="F422" s="14">
        <f>70.7552 * CHOOSE(CONTROL!$C$9, $D$9, 100%, $F$9) + CHOOSE(CONTROL!$C$27, 0.0021, 0)</f>
        <v>70.757300000000001</v>
      </c>
      <c r="G422" s="14">
        <f>71.0266 * CHOOSE(CONTROL!$C$9, $D$9, 100%, $F$9) + CHOOSE(CONTROL!$C$27, 0.0021, 0)</f>
        <v>71.028700000000001</v>
      </c>
      <c r="H422" s="14">
        <f>70.8919 * CHOOSE(CONTROL!$C$9, $D$9, 100%, $F$9) + CHOOSE(CONTROL!$C$27, 0.0021, 0)</f>
        <v>70.894000000000005</v>
      </c>
      <c r="I422" s="14">
        <f>70.8919 * CHOOSE(CONTROL!$C$9, $D$9, 100%, $F$9) + CHOOSE(CONTROL!$C$27, 0.0021, 0)</f>
        <v>70.894000000000005</v>
      </c>
      <c r="J422" s="14">
        <f>70.8919 * CHOOSE(CONTROL!$C$9, $D$9, 100%, $F$9) + CHOOSE(CONTROL!$C$27, 0.0021, 0)</f>
        <v>70.894000000000005</v>
      </c>
      <c r="K422" s="14">
        <f>70.8919 * CHOOSE(CONTROL!$C$9, $D$9, 100%, $F$9) + CHOOSE(CONTROL!$C$27, 0.0021, 0)</f>
        <v>70.894000000000005</v>
      </c>
      <c r="L422" s="14"/>
    </row>
    <row r="423" spans="1:12" ht="15.75" x14ac:dyDescent="0.25">
      <c r="A423" s="33">
        <v>53812</v>
      </c>
      <c r="B423" s="14">
        <f>70.3217 * CHOOSE(CONTROL!$C$9, $D$9, 100%, $F$9) + CHOOSE(CONTROL!$C$27, 0.0021, 0)</f>
        <v>70.323800000000006</v>
      </c>
      <c r="C423" s="14">
        <f>69.8894 * CHOOSE(CONTROL!$C$9, $D$9, 100%, $F$9) + CHOOSE(CONTROL!$C$27, 0.0021, 0)</f>
        <v>69.891499999999994</v>
      </c>
      <c r="D423" s="14">
        <f>69.8894 * CHOOSE(CONTROL!$C$9, $D$9, 100%, $F$9) + CHOOSE(CONTROL!$C$27, 0.0021, 0)</f>
        <v>69.891499999999994</v>
      </c>
      <c r="E423" s="14">
        <f>69.7528 * CHOOSE(CONTROL!$C$9, $D$9, 100%, $F$9) + CHOOSE(CONTROL!$C$27, 0.0021, 0)</f>
        <v>69.754899999999992</v>
      </c>
      <c r="F423" s="14">
        <f>69.7528 * CHOOSE(CONTROL!$C$9, $D$9, 100%, $F$9) + CHOOSE(CONTROL!$C$27, 0.0021, 0)</f>
        <v>69.754899999999992</v>
      </c>
      <c r="G423" s="14">
        <f>70.0241 * CHOOSE(CONTROL!$C$9, $D$9, 100%, $F$9) + CHOOSE(CONTROL!$C$27, 0.0021, 0)</f>
        <v>70.026200000000003</v>
      </c>
      <c r="H423" s="14">
        <f>69.8894 * CHOOSE(CONTROL!$C$9, $D$9, 100%, $F$9) + CHOOSE(CONTROL!$C$27, 0.0021, 0)</f>
        <v>69.891499999999994</v>
      </c>
      <c r="I423" s="14">
        <f>69.8894 * CHOOSE(CONTROL!$C$9, $D$9, 100%, $F$9) + CHOOSE(CONTROL!$C$27, 0.0021, 0)</f>
        <v>69.891499999999994</v>
      </c>
      <c r="J423" s="14">
        <f>69.8894 * CHOOSE(CONTROL!$C$9, $D$9, 100%, $F$9) + CHOOSE(CONTROL!$C$27, 0.0021, 0)</f>
        <v>69.891499999999994</v>
      </c>
      <c r="K423" s="14">
        <f>69.8894 * CHOOSE(CONTROL!$C$9, $D$9, 100%, $F$9) + CHOOSE(CONTROL!$C$27, 0.0021, 0)</f>
        <v>69.891499999999994</v>
      </c>
      <c r="L423" s="14"/>
    </row>
    <row r="424" spans="1:12" ht="15.75" x14ac:dyDescent="0.25">
      <c r="A424" s="33">
        <v>53843</v>
      </c>
      <c r="B424" s="14">
        <f>71.7503 * CHOOSE(CONTROL!$C$9, $D$9, 100%, $F$9) + CHOOSE(CONTROL!$C$27, 0.0021, 0)</f>
        <v>71.752399999999994</v>
      </c>
      <c r="C424" s="14">
        <f>71.3181 * CHOOSE(CONTROL!$C$9, $D$9, 100%, $F$9) + CHOOSE(CONTROL!$C$27, 0.0021, 0)</f>
        <v>71.3202</v>
      </c>
      <c r="D424" s="14">
        <f>71.3181 * CHOOSE(CONTROL!$C$9, $D$9, 100%, $F$9) + CHOOSE(CONTROL!$C$27, 0.0021, 0)</f>
        <v>71.3202</v>
      </c>
      <c r="E424" s="14">
        <f>71.1814 * CHOOSE(CONTROL!$C$9, $D$9, 100%, $F$9) + CHOOSE(CONTROL!$C$27, 0.0021, 0)</f>
        <v>71.183499999999995</v>
      </c>
      <c r="F424" s="14">
        <f>71.1814 * CHOOSE(CONTROL!$C$9, $D$9, 100%, $F$9) + CHOOSE(CONTROL!$C$27, 0.0021, 0)</f>
        <v>71.183499999999995</v>
      </c>
      <c r="G424" s="14">
        <f>71.4528 * CHOOSE(CONTROL!$C$9, $D$9, 100%, $F$9) + CHOOSE(CONTROL!$C$27, 0.0021, 0)</f>
        <v>71.454899999999995</v>
      </c>
      <c r="H424" s="14">
        <f>71.3181 * CHOOSE(CONTROL!$C$9, $D$9, 100%, $F$9) + CHOOSE(CONTROL!$C$27, 0.0021, 0)</f>
        <v>71.3202</v>
      </c>
      <c r="I424" s="14">
        <f>71.3181 * CHOOSE(CONTROL!$C$9, $D$9, 100%, $F$9) + CHOOSE(CONTROL!$C$27, 0.0021, 0)</f>
        <v>71.3202</v>
      </c>
      <c r="J424" s="14">
        <f>71.3181 * CHOOSE(CONTROL!$C$9, $D$9, 100%, $F$9) + CHOOSE(CONTROL!$C$27, 0.0021, 0)</f>
        <v>71.3202</v>
      </c>
      <c r="K424" s="14">
        <f>71.3181 * CHOOSE(CONTROL!$C$9, $D$9, 100%, $F$9) + CHOOSE(CONTROL!$C$27, 0.0021, 0)</f>
        <v>71.3202</v>
      </c>
      <c r="L424" s="14"/>
    </row>
    <row r="425" spans="1:12" ht="15.75" x14ac:dyDescent="0.25">
      <c r="A425" s="33">
        <v>53873</v>
      </c>
      <c r="B425" s="14">
        <f>72.606 * CHOOSE(CONTROL!$C$9, $D$9, 100%, $F$9) + CHOOSE(CONTROL!$C$27, 0.0021, 0)</f>
        <v>72.608099999999993</v>
      </c>
      <c r="C425" s="14">
        <f>72.1738 * CHOOSE(CONTROL!$C$9, $D$9, 100%, $F$9) + CHOOSE(CONTROL!$C$27, 0.0021, 0)</f>
        <v>72.175899999999999</v>
      </c>
      <c r="D425" s="14">
        <f>72.1738 * CHOOSE(CONTROL!$C$9, $D$9, 100%, $F$9) + CHOOSE(CONTROL!$C$27, 0.0021, 0)</f>
        <v>72.175899999999999</v>
      </c>
      <c r="E425" s="14">
        <f>72.0371 * CHOOSE(CONTROL!$C$9, $D$9, 100%, $F$9) + CHOOSE(CONTROL!$C$27, 0.0021, 0)</f>
        <v>72.039199999999994</v>
      </c>
      <c r="F425" s="14">
        <f>72.0371 * CHOOSE(CONTROL!$C$9, $D$9, 100%, $F$9) + CHOOSE(CONTROL!$C$27, 0.0021, 0)</f>
        <v>72.039199999999994</v>
      </c>
      <c r="G425" s="14">
        <f>72.3085 * CHOOSE(CONTROL!$C$9, $D$9, 100%, $F$9) + CHOOSE(CONTROL!$C$27, 0.0021, 0)</f>
        <v>72.310599999999994</v>
      </c>
      <c r="H425" s="14">
        <f>72.1738 * CHOOSE(CONTROL!$C$9, $D$9, 100%, $F$9) + CHOOSE(CONTROL!$C$27, 0.0021, 0)</f>
        <v>72.175899999999999</v>
      </c>
      <c r="I425" s="14">
        <f>72.1738 * CHOOSE(CONTROL!$C$9, $D$9, 100%, $F$9) + CHOOSE(CONTROL!$C$27, 0.0021, 0)</f>
        <v>72.175899999999999</v>
      </c>
      <c r="J425" s="14">
        <f>72.1738 * CHOOSE(CONTROL!$C$9, $D$9, 100%, $F$9) + CHOOSE(CONTROL!$C$27, 0.0021, 0)</f>
        <v>72.175899999999999</v>
      </c>
      <c r="K425" s="14">
        <f>72.1738 * CHOOSE(CONTROL!$C$9, $D$9, 100%, $F$9) + CHOOSE(CONTROL!$C$27, 0.0021, 0)</f>
        <v>72.175899999999999</v>
      </c>
      <c r="L425" s="14"/>
    </row>
    <row r="426" spans="1:12" ht="15.75" x14ac:dyDescent="0.25">
      <c r="A426" s="33">
        <v>53904</v>
      </c>
      <c r="B426" s="14">
        <f>74.0176 * CHOOSE(CONTROL!$C$9, $D$9, 100%, $F$9) + CHOOSE(CONTROL!$C$27, 0.0021, 0)</f>
        <v>74.0197</v>
      </c>
      <c r="C426" s="14">
        <f>73.5854 * CHOOSE(CONTROL!$C$9, $D$9, 100%, $F$9) + CHOOSE(CONTROL!$C$27, 0.0021, 0)</f>
        <v>73.587500000000006</v>
      </c>
      <c r="D426" s="14">
        <f>73.5854 * CHOOSE(CONTROL!$C$9, $D$9, 100%, $F$9) + CHOOSE(CONTROL!$C$27, 0.0021, 0)</f>
        <v>73.587500000000006</v>
      </c>
      <c r="E426" s="14">
        <f>73.4487 * CHOOSE(CONTROL!$C$9, $D$9, 100%, $F$9) + CHOOSE(CONTROL!$C$27, 0.0021, 0)</f>
        <v>73.450800000000001</v>
      </c>
      <c r="F426" s="14">
        <f>73.4487 * CHOOSE(CONTROL!$C$9, $D$9, 100%, $F$9) + CHOOSE(CONTROL!$C$27, 0.0021, 0)</f>
        <v>73.450800000000001</v>
      </c>
      <c r="G426" s="14">
        <f>73.7201 * CHOOSE(CONTROL!$C$9, $D$9, 100%, $F$9) + CHOOSE(CONTROL!$C$27, 0.0021, 0)</f>
        <v>73.722200000000001</v>
      </c>
      <c r="H426" s="14">
        <f>73.5854 * CHOOSE(CONTROL!$C$9, $D$9, 100%, $F$9) + CHOOSE(CONTROL!$C$27, 0.0021, 0)</f>
        <v>73.587500000000006</v>
      </c>
      <c r="I426" s="14">
        <f>73.5854 * CHOOSE(CONTROL!$C$9, $D$9, 100%, $F$9) + CHOOSE(CONTROL!$C$27, 0.0021, 0)</f>
        <v>73.587500000000006</v>
      </c>
      <c r="J426" s="14">
        <f>73.5854 * CHOOSE(CONTROL!$C$9, $D$9, 100%, $F$9) + CHOOSE(CONTROL!$C$27, 0.0021, 0)</f>
        <v>73.587500000000006</v>
      </c>
      <c r="K426" s="14">
        <f>73.5854 * CHOOSE(CONTROL!$C$9, $D$9, 100%, $F$9) + CHOOSE(CONTROL!$C$27, 0.0021, 0)</f>
        <v>73.587500000000006</v>
      </c>
      <c r="L426" s="14"/>
    </row>
    <row r="427" spans="1:12" ht="15.75" x14ac:dyDescent="0.25">
      <c r="A427" s="33">
        <v>53935</v>
      </c>
      <c r="B427" s="14">
        <f>74.4485 * CHOOSE(CONTROL!$C$9, $D$9, 100%, $F$9) + CHOOSE(CONTROL!$C$27, 0.0021, 0)</f>
        <v>74.450599999999994</v>
      </c>
      <c r="C427" s="14">
        <f>74.0162 * CHOOSE(CONTROL!$C$9, $D$9, 100%, $F$9) + CHOOSE(CONTROL!$C$27, 0.0021, 0)</f>
        <v>74.018299999999996</v>
      </c>
      <c r="D427" s="14">
        <f>74.0162 * CHOOSE(CONTROL!$C$9, $D$9, 100%, $F$9) + CHOOSE(CONTROL!$C$27, 0.0021, 0)</f>
        <v>74.018299999999996</v>
      </c>
      <c r="E427" s="14">
        <f>73.8796 * CHOOSE(CONTROL!$C$9, $D$9, 100%, $F$9) + CHOOSE(CONTROL!$C$27, 0.0021, 0)</f>
        <v>73.881699999999995</v>
      </c>
      <c r="F427" s="14">
        <f>73.8796 * CHOOSE(CONTROL!$C$9, $D$9, 100%, $F$9) + CHOOSE(CONTROL!$C$27, 0.0021, 0)</f>
        <v>73.881699999999995</v>
      </c>
      <c r="G427" s="14">
        <f>74.1509 * CHOOSE(CONTROL!$C$9, $D$9, 100%, $F$9) + CHOOSE(CONTROL!$C$27, 0.0021, 0)</f>
        <v>74.152999999999992</v>
      </c>
      <c r="H427" s="14">
        <f>74.0162 * CHOOSE(CONTROL!$C$9, $D$9, 100%, $F$9) + CHOOSE(CONTROL!$C$27, 0.0021, 0)</f>
        <v>74.018299999999996</v>
      </c>
      <c r="I427" s="14">
        <f>74.0162 * CHOOSE(CONTROL!$C$9, $D$9, 100%, $F$9) + CHOOSE(CONTROL!$C$27, 0.0021, 0)</f>
        <v>74.018299999999996</v>
      </c>
      <c r="J427" s="14">
        <f>74.0162 * CHOOSE(CONTROL!$C$9, $D$9, 100%, $F$9) + CHOOSE(CONTROL!$C$27, 0.0021, 0)</f>
        <v>74.018299999999996</v>
      </c>
      <c r="K427" s="14">
        <f>74.0162 * CHOOSE(CONTROL!$C$9, $D$9, 100%, $F$9) + CHOOSE(CONTROL!$C$27, 0.0021, 0)</f>
        <v>74.018299999999996</v>
      </c>
      <c r="L427" s="14"/>
    </row>
    <row r="428" spans="1:12" ht="15.75" x14ac:dyDescent="0.25">
      <c r="A428" s="33">
        <v>53965</v>
      </c>
      <c r="B428" s="14">
        <f>75.9158 * CHOOSE(CONTROL!$C$9, $D$9, 100%, $F$9) + CHOOSE(CONTROL!$C$27, 0.0021, 0)</f>
        <v>75.917900000000003</v>
      </c>
      <c r="C428" s="14">
        <f>75.4835 * CHOOSE(CONTROL!$C$9, $D$9, 100%, $F$9) + CHOOSE(CONTROL!$C$27, 0.0021, 0)</f>
        <v>75.485600000000005</v>
      </c>
      <c r="D428" s="14">
        <f>75.4835 * CHOOSE(CONTROL!$C$9, $D$9, 100%, $F$9) + CHOOSE(CONTROL!$C$27, 0.0021, 0)</f>
        <v>75.485600000000005</v>
      </c>
      <c r="E428" s="14">
        <f>75.3469 * CHOOSE(CONTROL!$C$9, $D$9, 100%, $F$9) + CHOOSE(CONTROL!$C$27, 0.0021, 0)</f>
        <v>75.349000000000004</v>
      </c>
      <c r="F428" s="14">
        <f>75.3469 * CHOOSE(CONTROL!$C$9, $D$9, 100%, $F$9) + CHOOSE(CONTROL!$C$27, 0.0021, 0)</f>
        <v>75.349000000000004</v>
      </c>
      <c r="G428" s="14">
        <f>75.6182 * CHOOSE(CONTROL!$C$9, $D$9, 100%, $F$9) + CHOOSE(CONTROL!$C$27, 0.0021, 0)</f>
        <v>75.6203</v>
      </c>
      <c r="H428" s="14">
        <f>75.4835 * CHOOSE(CONTROL!$C$9, $D$9, 100%, $F$9) + CHOOSE(CONTROL!$C$27, 0.0021, 0)</f>
        <v>75.485600000000005</v>
      </c>
      <c r="I428" s="14">
        <f>75.4835 * CHOOSE(CONTROL!$C$9, $D$9, 100%, $F$9) + CHOOSE(CONTROL!$C$27, 0.0021, 0)</f>
        <v>75.485600000000005</v>
      </c>
      <c r="J428" s="14">
        <f>75.4835 * CHOOSE(CONTROL!$C$9, $D$9, 100%, $F$9) + CHOOSE(CONTROL!$C$27, 0.0021, 0)</f>
        <v>75.485600000000005</v>
      </c>
      <c r="K428" s="14">
        <f>75.4835 * CHOOSE(CONTROL!$C$9, $D$9, 100%, $F$9) + CHOOSE(CONTROL!$C$27, 0.0021, 0)</f>
        <v>75.485600000000005</v>
      </c>
      <c r="L428" s="14"/>
    </row>
    <row r="429" spans="1:12" ht="15.75" x14ac:dyDescent="0.25">
      <c r="A429" s="33">
        <v>53996</v>
      </c>
      <c r="B429" s="14">
        <f>77.7731 * CHOOSE(CONTROL!$C$9, $D$9, 100%, $F$9) + CHOOSE(CONTROL!$C$27, 0.0021, 0)</f>
        <v>77.775199999999998</v>
      </c>
      <c r="C429" s="14">
        <f>77.3409 * CHOOSE(CONTROL!$C$9, $D$9, 100%, $F$9) + CHOOSE(CONTROL!$C$27, 0.0021, 0)</f>
        <v>77.343000000000004</v>
      </c>
      <c r="D429" s="14">
        <f>77.3409 * CHOOSE(CONTROL!$C$9, $D$9, 100%, $F$9) + CHOOSE(CONTROL!$C$27, 0.0021, 0)</f>
        <v>77.343000000000004</v>
      </c>
      <c r="E429" s="14">
        <f>77.2042 * CHOOSE(CONTROL!$C$9, $D$9, 100%, $F$9) + CHOOSE(CONTROL!$C$27, 0.0021, 0)</f>
        <v>77.206299999999999</v>
      </c>
      <c r="F429" s="14">
        <f>77.2042 * CHOOSE(CONTROL!$C$9, $D$9, 100%, $F$9) + CHOOSE(CONTROL!$C$27, 0.0021, 0)</f>
        <v>77.206299999999999</v>
      </c>
      <c r="G429" s="14">
        <f>77.4756 * CHOOSE(CONTROL!$C$9, $D$9, 100%, $F$9) + CHOOSE(CONTROL!$C$27, 0.0021, 0)</f>
        <v>77.477699999999999</v>
      </c>
      <c r="H429" s="14">
        <f>77.3409 * CHOOSE(CONTROL!$C$9, $D$9, 100%, $F$9) + CHOOSE(CONTROL!$C$27, 0.0021, 0)</f>
        <v>77.343000000000004</v>
      </c>
      <c r="I429" s="14">
        <f>77.3409 * CHOOSE(CONTROL!$C$9, $D$9, 100%, $F$9) + CHOOSE(CONTROL!$C$27, 0.0021, 0)</f>
        <v>77.343000000000004</v>
      </c>
      <c r="J429" s="14">
        <f>77.3409 * CHOOSE(CONTROL!$C$9, $D$9, 100%, $F$9) + CHOOSE(CONTROL!$C$27, 0.0021, 0)</f>
        <v>77.343000000000004</v>
      </c>
      <c r="K429" s="14">
        <f>77.3409 * CHOOSE(CONTROL!$C$9, $D$9, 100%, $F$9) + CHOOSE(CONTROL!$C$27, 0.0021, 0)</f>
        <v>77.343000000000004</v>
      </c>
      <c r="L429" s="14"/>
    </row>
    <row r="430" spans="1:12" ht="15.75" x14ac:dyDescent="0.25">
      <c r="A430" s="33">
        <v>54026</v>
      </c>
      <c r="B430" s="14">
        <f>77.9475 * CHOOSE(CONTROL!$C$9, $D$9, 100%, $F$9) + CHOOSE(CONTROL!$C$27, 0.0021, 0)</f>
        <v>77.949600000000004</v>
      </c>
      <c r="C430" s="14">
        <f>77.5152 * CHOOSE(CONTROL!$C$9, $D$9, 100%, $F$9) + CHOOSE(CONTROL!$C$27, 0.0021, 0)</f>
        <v>77.517299999999992</v>
      </c>
      <c r="D430" s="14">
        <f>77.5152 * CHOOSE(CONTROL!$C$9, $D$9, 100%, $F$9) + CHOOSE(CONTROL!$C$27, 0.0021, 0)</f>
        <v>77.517299999999992</v>
      </c>
      <c r="E430" s="14">
        <f>77.3786 * CHOOSE(CONTROL!$C$9, $D$9, 100%, $F$9) + CHOOSE(CONTROL!$C$27, 0.0021, 0)</f>
        <v>77.380700000000004</v>
      </c>
      <c r="F430" s="14">
        <f>77.3786 * CHOOSE(CONTROL!$C$9, $D$9, 100%, $F$9) + CHOOSE(CONTROL!$C$27, 0.0021, 0)</f>
        <v>77.380700000000004</v>
      </c>
      <c r="G430" s="14">
        <f>77.6499 * CHOOSE(CONTROL!$C$9, $D$9, 100%, $F$9) + CHOOSE(CONTROL!$C$27, 0.0021, 0)</f>
        <v>77.652000000000001</v>
      </c>
      <c r="H430" s="14">
        <f>77.5152 * CHOOSE(CONTROL!$C$9, $D$9, 100%, $F$9) + CHOOSE(CONTROL!$C$27, 0.0021, 0)</f>
        <v>77.517299999999992</v>
      </c>
      <c r="I430" s="14">
        <f>77.5152 * CHOOSE(CONTROL!$C$9, $D$9, 100%, $F$9) + CHOOSE(CONTROL!$C$27, 0.0021, 0)</f>
        <v>77.517299999999992</v>
      </c>
      <c r="J430" s="14">
        <f>77.5152 * CHOOSE(CONTROL!$C$9, $D$9, 100%, $F$9) + CHOOSE(CONTROL!$C$27, 0.0021, 0)</f>
        <v>77.517299999999992</v>
      </c>
      <c r="K430" s="14">
        <f>77.5152 * CHOOSE(CONTROL!$C$9, $D$9, 100%, $F$9) + CHOOSE(CONTROL!$C$27, 0.0021, 0)</f>
        <v>77.517299999999992</v>
      </c>
      <c r="L430" s="14"/>
    </row>
    <row r="431" spans="1:12" ht="15.75" x14ac:dyDescent="0.25">
      <c r="A431" s="33">
        <v>54057</v>
      </c>
      <c r="B431" s="14">
        <f>76.4641 * CHOOSE(CONTROL!$C$9, $D$9, 100%, $F$9) + CHOOSE(CONTROL!$C$27, 0.0021, 0)</f>
        <v>76.466200000000001</v>
      </c>
      <c r="C431" s="14">
        <f>76.0318 * CHOOSE(CONTROL!$C$9, $D$9, 100%, $F$9) + CHOOSE(CONTROL!$C$27, 0.0021, 0)</f>
        <v>76.033900000000003</v>
      </c>
      <c r="D431" s="14">
        <f>76.0318 * CHOOSE(CONTROL!$C$9, $D$9, 100%, $F$9) + CHOOSE(CONTROL!$C$27, 0.0021, 0)</f>
        <v>76.033900000000003</v>
      </c>
      <c r="E431" s="14">
        <f>75.8951 * CHOOSE(CONTROL!$C$9, $D$9, 100%, $F$9) + CHOOSE(CONTROL!$C$27, 0.0021, 0)</f>
        <v>75.897199999999998</v>
      </c>
      <c r="F431" s="14">
        <f>75.8951 * CHOOSE(CONTROL!$C$9, $D$9, 100%, $F$9) + CHOOSE(CONTROL!$C$27, 0.0021, 0)</f>
        <v>75.897199999999998</v>
      </c>
      <c r="G431" s="14">
        <f>76.1665 * CHOOSE(CONTROL!$C$9, $D$9, 100%, $F$9) + CHOOSE(CONTROL!$C$27, 0.0021, 0)</f>
        <v>76.168599999999998</v>
      </c>
      <c r="H431" s="14">
        <f>76.0318 * CHOOSE(CONTROL!$C$9, $D$9, 100%, $F$9) + CHOOSE(CONTROL!$C$27, 0.0021, 0)</f>
        <v>76.033900000000003</v>
      </c>
      <c r="I431" s="14">
        <f>76.0318 * CHOOSE(CONTROL!$C$9, $D$9, 100%, $F$9) + CHOOSE(CONTROL!$C$27, 0.0021, 0)</f>
        <v>76.033900000000003</v>
      </c>
      <c r="J431" s="14">
        <f>76.0318 * CHOOSE(CONTROL!$C$9, $D$9, 100%, $F$9) + CHOOSE(CONTROL!$C$27, 0.0021, 0)</f>
        <v>76.033900000000003</v>
      </c>
      <c r="K431" s="14">
        <f>76.0318 * CHOOSE(CONTROL!$C$9, $D$9, 100%, $F$9) + CHOOSE(CONTROL!$C$27, 0.0021, 0)</f>
        <v>76.033900000000003</v>
      </c>
      <c r="L431" s="14"/>
    </row>
    <row r="432" spans="1:12" ht="15.75" x14ac:dyDescent="0.25">
      <c r="A432" s="33">
        <v>54088</v>
      </c>
      <c r="B432" s="14">
        <f>75.5265 * CHOOSE(CONTROL!$C$9, $D$9, 100%, $F$9) + CHOOSE(CONTROL!$C$27, 0.0021, 0)</f>
        <v>75.528599999999997</v>
      </c>
      <c r="C432" s="14">
        <f>75.0942 * CHOOSE(CONTROL!$C$9, $D$9, 100%, $F$9) + CHOOSE(CONTROL!$C$27, 0.0021, 0)</f>
        <v>75.096299999999999</v>
      </c>
      <c r="D432" s="14">
        <f>75.0942 * CHOOSE(CONTROL!$C$9, $D$9, 100%, $F$9) + CHOOSE(CONTROL!$C$27, 0.0021, 0)</f>
        <v>75.096299999999999</v>
      </c>
      <c r="E432" s="14">
        <f>74.9576 * CHOOSE(CONTROL!$C$9, $D$9, 100%, $F$9) + CHOOSE(CONTROL!$C$27, 0.0021, 0)</f>
        <v>74.959699999999998</v>
      </c>
      <c r="F432" s="14">
        <f>74.9576 * CHOOSE(CONTROL!$C$9, $D$9, 100%, $F$9) + CHOOSE(CONTROL!$C$27, 0.0021, 0)</f>
        <v>74.959699999999998</v>
      </c>
      <c r="G432" s="14">
        <f>75.2289 * CHOOSE(CONTROL!$C$9, $D$9, 100%, $F$9) + CHOOSE(CONTROL!$C$27, 0.0021, 0)</f>
        <v>75.230999999999995</v>
      </c>
      <c r="H432" s="14">
        <f>75.0942 * CHOOSE(CONTROL!$C$9, $D$9, 100%, $F$9) + CHOOSE(CONTROL!$C$27, 0.0021, 0)</f>
        <v>75.096299999999999</v>
      </c>
      <c r="I432" s="14">
        <f>75.0942 * CHOOSE(CONTROL!$C$9, $D$9, 100%, $F$9) + CHOOSE(CONTROL!$C$27, 0.0021, 0)</f>
        <v>75.096299999999999</v>
      </c>
      <c r="J432" s="14">
        <f>75.0942 * CHOOSE(CONTROL!$C$9, $D$9, 100%, $F$9) + CHOOSE(CONTROL!$C$27, 0.0021, 0)</f>
        <v>75.096299999999999</v>
      </c>
      <c r="K432" s="14">
        <f>75.0942 * CHOOSE(CONTROL!$C$9, $D$9, 100%, $F$9) + CHOOSE(CONTROL!$C$27, 0.0021, 0)</f>
        <v>75.096299999999999</v>
      </c>
      <c r="L432" s="14"/>
    </row>
    <row r="433" spans="1:12" ht="15.75" x14ac:dyDescent="0.25">
      <c r="A433" s="33">
        <v>54116</v>
      </c>
      <c r="B433" s="14">
        <f>73.455 * CHOOSE(CONTROL!$C$9, $D$9, 100%, $F$9) + CHOOSE(CONTROL!$C$27, 0.0021, 0)</f>
        <v>73.457099999999997</v>
      </c>
      <c r="C433" s="14">
        <f>73.0228 * CHOOSE(CONTROL!$C$9, $D$9, 100%, $F$9) + CHOOSE(CONTROL!$C$27, 0.0021, 0)</f>
        <v>73.024900000000002</v>
      </c>
      <c r="D433" s="14">
        <f>73.0228 * CHOOSE(CONTROL!$C$9, $D$9, 100%, $F$9) + CHOOSE(CONTROL!$C$27, 0.0021, 0)</f>
        <v>73.024900000000002</v>
      </c>
      <c r="E433" s="14">
        <f>72.8861 * CHOOSE(CONTROL!$C$9, $D$9, 100%, $F$9) + CHOOSE(CONTROL!$C$27, 0.0021, 0)</f>
        <v>72.888199999999998</v>
      </c>
      <c r="F433" s="14">
        <f>72.8861 * CHOOSE(CONTROL!$C$9, $D$9, 100%, $F$9) + CHOOSE(CONTROL!$C$27, 0.0021, 0)</f>
        <v>72.888199999999998</v>
      </c>
      <c r="G433" s="14">
        <f>73.1575 * CHOOSE(CONTROL!$C$9, $D$9, 100%, $F$9) + CHOOSE(CONTROL!$C$27, 0.0021, 0)</f>
        <v>73.159599999999998</v>
      </c>
      <c r="H433" s="14">
        <f>73.0228 * CHOOSE(CONTROL!$C$9, $D$9, 100%, $F$9) + CHOOSE(CONTROL!$C$27, 0.0021, 0)</f>
        <v>73.024900000000002</v>
      </c>
      <c r="I433" s="14">
        <f>73.0228 * CHOOSE(CONTROL!$C$9, $D$9, 100%, $F$9) + CHOOSE(CONTROL!$C$27, 0.0021, 0)</f>
        <v>73.024900000000002</v>
      </c>
      <c r="J433" s="14">
        <f>73.0228 * CHOOSE(CONTROL!$C$9, $D$9, 100%, $F$9) + CHOOSE(CONTROL!$C$27, 0.0021, 0)</f>
        <v>73.024900000000002</v>
      </c>
      <c r="K433" s="14">
        <f>73.0228 * CHOOSE(CONTROL!$C$9, $D$9, 100%, $F$9) + CHOOSE(CONTROL!$C$27, 0.0021, 0)</f>
        <v>73.024900000000002</v>
      </c>
      <c r="L433" s="14"/>
    </row>
    <row r="434" spans="1:12" ht="15.75" x14ac:dyDescent="0.25">
      <c r="A434" s="33">
        <v>54148</v>
      </c>
      <c r="B434" s="14">
        <f>72.5999 * CHOOSE(CONTROL!$C$9, $D$9, 100%, $F$9) + CHOOSE(CONTROL!$C$27, 0.0021, 0)</f>
        <v>72.602000000000004</v>
      </c>
      <c r="C434" s="14">
        <f>72.1677 * CHOOSE(CONTROL!$C$9, $D$9, 100%, $F$9) + CHOOSE(CONTROL!$C$27, 0.0021, 0)</f>
        <v>72.169799999999995</v>
      </c>
      <c r="D434" s="14">
        <f>72.1677 * CHOOSE(CONTROL!$C$9, $D$9, 100%, $F$9) + CHOOSE(CONTROL!$C$27, 0.0021, 0)</f>
        <v>72.169799999999995</v>
      </c>
      <c r="E434" s="14">
        <f>72.031 * CHOOSE(CONTROL!$C$9, $D$9, 100%, $F$9) + CHOOSE(CONTROL!$C$27, 0.0021, 0)</f>
        <v>72.033100000000005</v>
      </c>
      <c r="F434" s="14">
        <f>72.031 * CHOOSE(CONTROL!$C$9, $D$9, 100%, $F$9) + CHOOSE(CONTROL!$C$27, 0.0021, 0)</f>
        <v>72.033100000000005</v>
      </c>
      <c r="G434" s="14">
        <f>72.3024 * CHOOSE(CONTROL!$C$9, $D$9, 100%, $F$9) + CHOOSE(CONTROL!$C$27, 0.0021, 0)</f>
        <v>72.304500000000004</v>
      </c>
      <c r="H434" s="14">
        <f>72.1677 * CHOOSE(CONTROL!$C$9, $D$9, 100%, $F$9) + CHOOSE(CONTROL!$C$27, 0.0021, 0)</f>
        <v>72.169799999999995</v>
      </c>
      <c r="I434" s="14">
        <f>72.1677 * CHOOSE(CONTROL!$C$9, $D$9, 100%, $F$9) + CHOOSE(CONTROL!$C$27, 0.0021, 0)</f>
        <v>72.169799999999995</v>
      </c>
      <c r="J434" s="14">
        <f>72.1677 * CHOOSE(CONTROL!$C$9, $D$9, 100%, $F$9) + CHOOSE(CONTROL!$C$27, 0.0021, 0)</f>
        <v>72.169799999999995</v>
      </c>
      <c r="K434" s="14">
        <f>72.1677 * CHOOSE(CONTROL!$C$9, $D$9, 100%, $F$9) + CHOOSE(CONTROL!$C$27, 0.0021, 0)</f>
        <v>72.169799999999995</v>
      </c>
      <c r="L434" s="14"/>
    </row>
    <row r="435" spans="1:12" ht="15.75" x14ac:dyDescent="0.25">
      <c r="A435" s="33">
        <v>54178</v>
      </c>
      <c r="B435" s="14">
        <f>71.5789 * CHOOSE(CONTROL!$C$9, $D$9, 100%, $F$9) + CHOOSE(CONTROL!$C$27, 0.0021, 0)</f>
        <v>71.581000000000003</v>
      </c>
      <c r="C435" s="14">
        <f>71.1467 * CHOOSE(CONTROL!$C$9, $D$9, 100%, $F$9) + CHOOSE(CONTROL!$C$27, 0.0021, 0)</f>
        <v>71.148799999999994</v>
      </c>
      <c r="D435" s="14">
        <f>71.1467 * CHOOSE(CONTROL!$C$9, $D$9, 100%, $F$9) + CHOOSE(CONTROL!$C$27, 0.0021, 0)</f>
        <v>71.148799999999994</v>
      </c>
      <c r="E435" s="14">
        <f>71.01 * CHOOSE(CONTROL!$C$9, $D$9, 100%, $F$9) + CHOOSE(CONTROL!$C$27, 0.0021, 0)</f>
        <v>71.012100000000004</v>
      </c>
      <c r="F435" s="14">
        <f>71.01 * CHOOSE(CONTROL!$C$9, $D$9, 100%, $F$9) + CHOOSE(CONTROL!$C$27, 0.0021, 0)</f>
        <v>71.012100000000004</v>
      </c>
      <c r="G435" s="14">
        <f>71.2814 * CHOOSE(CONTROL!$C$9, $D$9, 100%, $F$9) + CHOOSE(CONTROL!$C$27, 0.0021, 0)</f>
        <v>71.283500000000004</v>
      </c>
      <c r="H435" s="14">
        <f>71.1467 * CHOOSE(CONTROL!$C$9, $D$9, 100%, $F$9) + CHOOSE(CONTROL!$C$27, 0.0021, 0)</f>
        <v>71.148799999999994</v>
      </c>
      <c r="I435" s="14">
        <f>71.1467 * CHOOSE(CONTROL!$C$9, $D$9, 100%, $F$9) + CHOOSE(CONTROL!$C$27, 0.0021, 0)</f>
        <v>71.148799999999994</v>
      </c>
      <c r="J435" s="14">
        <f>71.1467 * CHOOSE(CONTROL!$C$9, $D$9, 100%, $F$9) + CHOOSE(CONTROL!$C$27, 0.0021, 0)</f>
        <v>71.148799999999994</v>
      </c>
      <c r="K435" s="14">
        <f>71.1467 * CHOOSE(CONTROL!$C$9, $D$9, 100%, $F$9) + CHOOSE(CONTROL!$C$27, 0.0021, 0)</f>
        <v>71.148799999999994</v>
      </c>
      <c r="L435" s="14"/>
    </row>
    <row r="436" spans="1:12" ht="15.75" x14ac:dyDescent="0.25">
      <c r="A436" s="33">
        <v>54209</v>
      </c>
      <c r="B436" s="14">
        <f>73.034 * CHOOSE(CONTROL!$C$9, $D$9, 100%, $F$9) + CHOOSE(CONTROL!$C$27, 0.0021, 0)</f>
        <v>73.036100000000005</v>
      </c>
      <c r="C436" s="14">
        <f>72.6017 * CHOOSE(CONTROL!$C$9, $D$9, 100%, $F$9) + CHOOSE(CONTROL!$C$27, 0.0021, 0)</f>
        <v>72.603799999999993</v>
      </c>
      <c r="D436" s="14">
        <f>72.6017 * CHOOSE(CONTROL!$C$9, $D$9, 100%, $F$9) + CHOOSE(CONTROL!$C$27, 0.0021, 0)</f>
        <v>72.603799999999993</v>
      </c>
      <c r="E436" s="14">
        <f>72.4651 * CHOOSE(CONTROL!$C$9, $D$9, 100%, $F$9) + CHOOSE(CONTROL!$C$27, 0.0021, 0)</f>
        <v>72.467200000000005</v>
      </c>
      <c r="F436" s="14">
        <f>72.4651 * CHOOSE(CONTROL!$C$9, $D$9, 100%, $F$9) + CHOOSE(CONTROL!$C$27, 0.0021, 0)</f>
        <v>72.467200000000005</v>
      </c>
      <c r="G436" s="14">
        <f>72.7364 * CHOOSE(CONTROL!$C$9, $D$9, 100%, $F$9) + CHOOSE(CONTROL!$C$27, 0.0021, 0)</f>
        <v>72.738500000000002</v>
      </c>
      <c r="H436" s="14">
        <f>72.6017 * CHOOSE(CONTROL!$C$9, $D$9, 100%, $F$9) + CHOOSE(CONTROL!$C$27, 0.0021, 0)</f>
        <v>72.603799999999993</v>
      </c>
      <c r="I436" s="14">
        <f>72.6017 * CHOOSE(CONTROL!$C$9, $D$9, 100%, $F$9) + CHOOSE(CONTROL!$C$27, 0.0021, 0)</f>
        <v>72.603799999999993</v>
      </c>
      <c r="J436" s="14">
        <f>72.6017 * CHOOSE(CONTROL!$C$9, $D$9, 100%, $F$9) + CHOOSE(CONTROL!$C$27, 0.0021, 0)</f>
        <v>72.603799999999993</v>
      </c>
      <c r="K436" s="14">
        <f>72.6017 * CHOOSE(CONTROL!$C$9, $D$9, 100%, $F$9) + CHOOSE(CONTROL!$C$27, 0.0021, 0)</f>
        <v>72.603799999999993</v>
      </c>
      <c r="L436" s="14"/>
    </row>
    <row r="437" spans="1:12" ht="15.75" x14ac:dyDescent="0.25">
      <c r="A437" s="33">
        <v>54239</v>
      </c>
      <c r="B437" s="14">
        <f>73.9055 * CHOOSE(CONTROL!$C$9, $D$9, 100%, $F$9) + CHOOSE(CONTROL!$C$27, 0.0021, 0)</f>
        <v>73.907600000000002</v>
      </c>
      <c r="C437" s="14">
        <f>73.4732 * CHOOSE(CONTROL!$C$9, $D$9, 100%, $F$9) + CHOOSE(CONTROL!$C$27, 0.0021, 0)</f>
        <v>73.475300000000004</v>
      </c>
      <c r="D437" s="14">
        <f>73.4732 * CHOOSE(CONTROL!$C$9, $D$9, 100%, $F$9) + CHOOSE(CONTROL!$C$27, 0.0021, 0)</f>
        <v>73.475300000000004</v>
      </c>
      <c r="E437" s="14">
        <f>73.3366 * CHOOSE(CONTROL!$C$9, $D$9, 100%, $F$9) + CHOOSE(CONTROL!$C$27, 0.0021, 0)</f>
        <v>73.338700000000003</v>
      </c>
      <c r="F437" s="14">
        <f>73.3366 * CHOOSE(CONTROL!$C$9, $D$9, 100%, $F$9) + CHOOSE(CONTROL!$C$27, 0.0021, 0)</f>
        <v>73.338700000000003</v>
      </c>
      <c r="G437" s="14">
        <f>73.6079 * CHOOSE(CONTROL!$C$9, $D$9, 100%, $F$9) + CHOOSE(CONTROL!$C$27, 0.0021, 0)</f>
        <v>73.61</v>
      </c>
      <c r="H437" s="14">
        <f>73.4732 * CHOOSE(CONTROL!$C$9, $D$9, 100%, $F$9) + CHOOSE(CONTROL!$C$27, 0.0021, 0)</f>
        <v>73.475300000000004</v>
      </c>
      <c r="I437" s="14">
        <f>73.4732 * CHOOSE(CONTROL!$C$9, $D$9, 100%, $F$9) + CHOOSE(CONTROL!$C$27, 0.0021, 0)</f>
        <v>73.475300000000004</v>
      </c>
      <c r="J437" s="14">
        <f>73.4732 * CHOOSE(CONTROL!$C$9, $D$9, 100%, $F$9) + CHOOSE(CONTROL!$C$27, 0.0021, 0)</f>
        <v>73.475300000000004</v>
      </c>
      <c r="K437" s="14">
        <f>73.4732 * CHOOSE(CONTROL!$C$9, $D$9, 100%, $F$9) + CHOOSE(CONTROL!$C$27, 0.0021, 0)</f>
        <v>73.475300000000004</v>
      </c>
      <c r="L437" s="14"/>
    </row>
    <row r="438" spans="1:12" ht="15.75" x14ac:dyDescent="0.25">
      <c r="A438" s="33">
        <v>54270</v>
      </c>
      <c r="B438" s="14">
        <f>75.3432 * CHOOSE(CONTROL!$C$9, $D$9, 100%, $F$9) + CHOOSE(CONTROL!$C$27, 0.0021, 0)</f>
        <v>75.345299999999995</v>
      </c>
      <c r="C438" s="14">
        <f>74.9109 * CHOOSE(CONTROL!$C$9, $D$9, 100%, $F$9) + CHOOSE(CONTROL!$C$27, 0.0021, 0)</f>
        <v>74.912999999999997</v>
      </c>
      <c r="D438" s="14">
        <f>74.9109 * CHOOSE(CONTROL!$C$9, $D$9, 100%, $F$9) + CHOOSE(CONTROL!$C$27, 0.0021, 0)</f>
        <v>74.912999999999997</v>
      </c>
      <c r="E438" s="14">
        <f>74.7742 * CHOOSE(CONTROL!$C$9, $D$9, 100%, $F$9) + CHOOSE(CONTROL!$C$27, 0.0021, 0)</f>
        <v>74.776299999999992</v>
      </c>
      <c r="F438" s="14">
        <f>74.7742 * CHOOSE(CONTROL!$C$9, $D$9, 100%, $F$9) + CHOOSE(CONTROL!$C$27, 0.0021, 0)</f>
        <v>74.776299999999992</v>
      </c>
      <c r="G438" s="14">
        <f>75.0456 * CHOOSE(CONTROL!$C$9, $D$9, 100%, $F$9) + CHOOSE(CONTROL!$C$27, 0.0021, 0)</f>
        <v>75.047699999999992</v>
      </c>
      <c r="H438" s="14">
        <f>74.9109 * CHOOSE(CONTROL!$C$9, $D$9, 100%, $F$9) + CHOOSE(CONTROL!$C$27, 0.0021, 0)</f>
        <v>74.912999999999997</v>
      </c>
      <c r="I438" s="14">
        <f>74.9109 * CHOOSE(CONTROL!$C$9, $D$9, 100%, $F$9) + CHOOSE(CONTROL!$C$27, 0.0021, 0)</f>
        <v>74.912999999999997</v>
      </c>
      <c r="J438" s="14">
        <f>74.9109 * CHOOSE(CONTROL!$C$9, $D$9, 100%, $F$9) + CHOOSE(CONTROL!$C$27, 0.0021, 0)</f>
        <v>74.912999999999997</v>
      </c>
      <c r="K438" s="14">
        <f>74.9109 * CHOOSE(CONTROL!$C$9, $D$9, 100%, $F$9) + CHOOSE(CONTROL!$C$27, 0.0021, 0)</f>
        <v>74.912999999999997</v>
      </c>
      <c r="L438" s="14"/>
    </row>
    <row r="439" spans="1:12" ht="15.75" x14ac:dyDescent="0.25">
      <c r="A439" s="33">
        <v>54301</v>
      </c>
      <c r="B439" s="14">
        <f>75.782 * CHOOSE(CONTROL!$C$9, $D$9, 100%, $F$9) + CHOOSE(CONTROL!$C$27, 0.0021, 0)</f>
        <v>75.784099999999995</v>
      </c>
      <c r="C439" s="14">
        <f>75.3497 * CHOOSE(CONTROL!$C$9, $D$9, 100%, $F$9) + CHOOSE(CONTROL!$C$27, 0.0021, 0)</f>
        <v>75.351799999999997</v>
      </c>
      <c r="D439" s="14">
        <f>75.3497 * CHOOSE(CONTROL!$C$9, $D$9, 100%, $F$9) + CHOOSE(CONTROL!$C$27, 0.0021, 0)</f>
        <v>75.351799999999997</v>
      </c>
      <c r="E439" s="14">
        <f>75.2131 * CHOOSE(CONTROL!$C$9, $D$9, 100%, $F$9) + CHOOSE(CONTROL!$C$27, 0.0021, 0)</f>
        <v>75.215199999999996</v>
      </c>
      <c r="F439" s="14">
        <f>75.2131 * CHOOSE(CONTROL!$C$9, $D$9, 100%, $F$9) + CHOOSE(CONTROL!$C$27, 0.0021, 0)</f>
        <v>75.215199999999996</v>
      </c>
      <c r="G439" s="14">
        <f>75.4844 * CHOOSE(CONTROL!$C$9, $D$9, 100%, $F$9) + CHOOSE(CONTROL!$C$27, 0.0021, 0)</f>
        <v>75.486499999999992</v>
      </c>
      <c r="H439" s="14">
        <f>75.3497 * CHOOSE(CONTROL!$C$9, $D$9, 100%, $F$9) + CHOOSE(CONTROL!$C$27, 0.0021, 0)</f>
        <v>75.351799999999997</v>
      </c>
      <c r="I439" s="14">
        <f>75.3497 * CHOOSE(CONTROL!$C$9, $D$9, 100%, $F$9) + CHOOSE(CONTROL!$C$27, 0.0021, 0)</f>
        <v>75.351799999999997</v>
      </c>
      <c r="J439" s="14">
        <f>75.3497 * CHOOSE(CONTROL!$C$9, $D$9, 100%, $F$9) + CHOOSE(CONTROL!$C$27, 0.0021, 0)</f>
        <v>75.351799999999997</v>
      </c>
      <c r="K439" s="14">
        <f>75.3497 * CHOOSE(CONTROL!$C$9, $D$9, 100%, $F$9) + CHOOSE(CONTROL!$C$27, 0.0021, 0)</f>
        <v>75.351799999999997</v>
      </c>
      <c r="L439" s="14"/>
    </row>
    <row r="440" spans="1:12" ht="15.75" x14ac:dyDescent="0.25">
      <c r="A440" s="33">
        <v>54331</v>
      </c>
      <c r="B440" s="14">
        <f>77.2764 * CHOOSE(CONTROL!$C$9, $D$9, 100%, $F$9) + CHOOSE(CONTROL!$C$27, 0.0021, 0)</f>
        <v>77.278499999999994</v>
      </c>
      <c r="C440" s="14">
        <f>76.8441 * CHOOSE(CONTROL!$C$9, $D$9, 100%, $F$9) + CHOOSE(CONTROL!$C$27, 0.0021, 0)</f>
        <v>76.846199999999996</v>
      </c>
      <c r="D440" s="14">
        <f>76.8441 * CHOOSE(CONTROL!$C$9, $D$9, 100%, $F$9) + CHOOSE(CONTROL!$C$27, 0.0021, 0)</f>
        <v>76.846199999999996</v>
      </c>
      <c r="E440" s="14">
        <f>76.7075 * CHOOSE(CONTROL!$C$9, $D$9, 100%, $F$9) + CHOOSE(CONTROL!$C$27, 0.0021, 0)</f>
        <v>76.709599999999995</v>
      </c>
      <c r="F440" s="14">
        <f>76.7075 * CHOOSE(CONTROL!$C$9, $D$9, 100%, $F$9) + CHOOSE(CONTROL!$C$27, 0.0021, 0)</f>
        <v>76.709599999999995</v>
      </c>
      <c r="G440" s="14">
        <f>76.9789 * CHOOSE(CONTROL!$C$9, $D$9, 100%, $F$9) + CHOOSE(CONTROL!$C$27, 0.0021, 0)</f>
        <v>76.980999999999995</v>
      </c>
      <c r="H440" s="14">
        <f>76.8441 * CHOOSE(CONTROL!$C$9, $D$9, 100%, $F$9) + CHOOSE(CONTROL!$C$27, 0.0021, 0)</f>
        <v>76.846199999999996</v>
      </c>
      <c r="I440" s="14">
        <f>76.8441 * CHOOSE(CONTROL!$C$9, $D$9, 100%, $F$9) + CHOOSE(CONTROL!$C$27, 0.0021, 0)</f>
        <v>76.846199999999996</v>
      </c>
      <c r="J440" s="14">
        <f>76.8441 * CHOOSE(CONTROL!$C$9, $D$9, 100%, $F$9) + CHOOSE(CONTROL!$C$27, 0.0021, 0)</f>
        <v>76.846199999999996</v>
      </c>
      <c r="K440" s="14">
        <f>76.8441 * CHOOSE(CONTROL!$C$9, $D$9, 100%, $F$9) + CHOOSE(CONTROL!$C$27, 0.0021, 0)</f>
        <v>76.846199999999996</v>
      </c>
      <c r="L440" s="14"/>
    </row>
    <row r="441" spans="1:12" ht="15.75" x14ac:dyDescent="0.25">
      <c r="A441" s="33">
        <v>54362</v>
      </c>
      <c r="B441" s="14">
        <f>79.1681 * CHOOSE(CONTROL!$C$9, $D$9, 100%, $F$9) + CHOOSE(CONTROL!$C$27, 0.0021, 0)</f>
        <v>79.170199999999994</v>
      </c>
      <c r="C441" s="14">
        <f>78.7358 * CHOOSE(CONTROL!$C$9, $D$9, 100%, $F$9) + CHOOSE(CONTROL!$C$27, 0.0021, 0)</f>
        <v>78.737899999999996</v>
      </c>
      <c r="D441" s="14">
        <f>78.7358 * CHOOSE(CONTROL!$C$9, $D$9, 100%, $F$9) + CHOOSE(CONTROL!$C$27, 0.0021, 0)</f>
        <v>78.737899999999996</v>
      </c>
      <c r="E441" s="14">
        <f>78.5991 * CHOOSE(CONTROL!$C$9, $D$9, 100%, $F$9) + CHOOSE(CONTROL!$C$27, 0.0021, 0)</f>
        <v>78.601200000000006</v>
      </c>
      <c r="F441" s="14">
        <f>78.5991 * CHOOSE(CONTROL!$C$9, $D$9, 100%, $F$9) + CHOOSE(CONTROL!$C$27, 0.0021, 0)</f>
        <v>78.601200000000006</v>
      </c>
      <c r="G441" s="14">
        <f>78.8705 * CHOOSE(CONTROL!$C$9, $D$9, 100%, $F$9) + CHOOSE(CONTROL!$C$27, 0.0021, 0)</f>
        <v>78.872600000000006</v>
      </c>
      <c r="H441" s="14">
        <f>78.7358 * CHOOSE(CONTROL!$C$9, $D$9, 100%, $F$9) + CHOOSE(CONTROL!$C$27, 0.0021, 0)</f>
        <v>78.737899999999996</v>
      </c>
      <c r="I441" s="14">
        <f>78.7358 * CHOOSE(CONTROL!$C$9, $D$9, 100%, $F$9) + CHOOSE(CONTROL!$C$27, 0.0021, 0)</f>
        <v>78.737899999999996</v>
      </c>
      <c r="J441" s="14">
        <f>78.7358 * CHOOSE(CONTROL!$C$9, $D$9, 100%, $F$9) + CHOOSE(CONTROL!$C$27, 0.0021, 0)</f>
        <v>78.737899999999996</v>
      </c>
      <c r="K441" s="14">
        <f>78.7358 * CHOOSE(CONTROL!$C$9, $D$9, 100%, $F$9) + CHOOSE(CONTROL!$C$27, 0.0021, 0)</f>
        <v>78.737899999999996</v>
      </c>
      <c r="L441" s="14"/>
    </row>
    <row r="442" spans="1:12" ht="15.75" x14ac:dyDescent="0.25">
      <c r="A442" s="33">
        <v>54392</v>
      </c>
      <c r="B442" s="14">
        <f>79.3456 * CHOOSE(CONTROL!$C$9, $D$9, 100%, $F$9) + CHOOSE(CONTROL!$C$27, 0.0021, 0)</f>
        <v>79.347700000000003</v>
      </c>
      <c r="C442" s="14">
        <f>78.9134 * CHOOSE(CONTROL!$C$9, $D$9, 100%, $F$9) + CHOOSE(CONTROL!$C$27, 0.0021, 0)</f>
        <v>78.915499999999994</v>
      </c>
      <c r="D442" s="14">
        <f>78.9134 * CHOOSE(CONTROL!$C$9, $D$9, 100%, $F$9) + CHOOSE(CONTROL!$C$27, 0.0021, 0)</f>
        <v>78.915499999999994</v>
      </c>
      <c r="E442" s="14">
        <f>78.7767 * CHOOSE(CONTROL!$C$9, $D$9, 100%, $F$9) + CHOOSE(CONTROL!$C$27, 0.0021, 0)</f>
        <v>78.778800000000004</v>
      </c>
      <c r="F442" s="14">
        <f>78.7767 * CHOOSE(CONTROL!$C$9, $D$9, 100%, $F$9) + CHOOSE(CONTROL!$C$27, 0.0021, 0)</f>
        <v>78.778800000000004</v>
      </c>
      <c r="G442" s="14">
        <f>79.0481 * CHOOSE(CONTROL!$C$9, $D$9, 100%, $F$9) + CHOOSE(CONTROL!$C$27, 0.0021, 0)</f>
        <v>79.050200000000004</v>
      </c>
      <c r="H442" s="14">
        <f>78.9134 * CHOOSE(CONTROL!$C$9, $D$9, 100%, $F$9) + CHOOSE(CONTROL!$C$27, 0.0021, 0)</f>
        <v>78.915499999999994</v>
      </c>
      <c r="I442" s="14">
        <f>78.9134 * CHOOSE(CONTROL!$C$9, $D$9, 100%, $F$9) + CHOOSE(CONTROL!$C$27, 0.0021, 0)</f>
        <v>78.915499999999994</v>
      </c>
      <c r="J442" s="14">
        <f>78.9134 * CHOOSE(CONTROL!$C$9, $D$9, 100%, $F$9) + CHOOSE(CONTROL!$C$27, 0.0021, 0)</f>
        <v>78.915499999999994</v>
      </c>
      <c r="K442" s="14">
        <f>78.9134 * CHOOSE(CONTROL!$C$9, $D$9, 100%, $F$9) + CHOOSE(CONTROL!$C$27, 0.0021, 0)</f>
        <v>78.915499999999994</v>
      </c>
      <c r="L442" s="14"/>
    </row>
    <row r="443" spans="1:12" ht="15.75" x14ac:dyDescent="0.25">
      <c r="A443" s="33">
        <v>54423</v>
      </c>
      <c r="B443" s="14">
        <f>77.8348 * CHOOSE(CONTROL!$C$9, $D$9, 100%, $F$9) + CHOOSE(CONTROL!$C$27, 0.0021, 0)</f>
        <v>77.8369</v>
      </c>
      <c r="C443" s="14">
        <f>77.4026 * CHOOSE(CONTROL!$C$9, $D$9, 100%, $F$9) + CHOOSE(CONTROL!$C$27, 0.0021, 0)</f>
        <v>77.404700000000005</v>
      </c>
      <c r="D443" s="14">
        <f>77.4026 * CHOOSE(CONTROL!$C$9, $D$9, 100%, $F$9) + CHOOSE(CONTROL!$C$27, 0.0021, 0)</f>
        <v>77.404700000000005</v>
      </c>
      <c r="E443" s="14">
        <f>77.2659 * CHOOSE(CONTROL!$C$9, $D$9, 100%, $F$9) + CHOOSE(CONTROL!$C$27, 0.0021, 0)</f>
        <v>77.268000000000001</v>
      </c>
      <c r="F443" s="14">
        <f>77.2659 * CHOOSE(CONTROL!$C$9, $D$9, 100%, $F$9) + CHOOSE(CONTROL!$C$27, 0.0021, 0)</f>
        <v>77.268000000000001</v>
      </c>
      <c r="G443" s="14">
        <f>77.5373 * CHOOSE(CONTROL!$C$9, $D$9, 100%, $F$9) + CHOOSE(CONTROL!$C$27, 0.0021, 0)</f>
        <v>77.539400000000001</v>
      </c>
      <c r="H443" s="14">
        <f>77.4026 * CHOOSE(CONTROL!$C$9, $D$9, 100%, $F$9) + CHOOSE(CONTROL!$C$27, 0.0021, 0)</f>
        <v>77.404700000000005</v>
      </c>
      <c r="I443" s="14">
        <f>77.4026 * CHOOSE(CONTROL!$C$9, $D$9, 100%, $F$9) + CHOOSE(CONTROL!$C$27, 0.0021, 0)</f>
        <v>77.404700000000005</v>
      </c>
      <c r="J443" s="14">
        <f>77.4026 * CHOOSE(CONTROL!$C$9, $D$9, 100%, $F$9) + CHOOSE(CONTROL!$C$27, 0.0021, 0)</f>
        <v>77.404700000000005</v>
      </c>
      <c r="K443" s="14">
        <f>77.4026 * CHOOSE(CONTROL!$C$9, $D$9, 100%, $F$9) + CHOOSE(CONTROL!$C$27, 0.0021, 0)</f>
        <v>77.404700000000005</v>
      </c>
      <c r="L443" s="14"/>
    </row>
    <row r="444" spans="1:12" ht="15.75" x14ac:dyDescent="0.25">
      <c r="A444" s="33">
        <v>54454</v>
      </c>
      <c r="B444" s="14">
        <f>76.8799 * CHOOSE(CONTROL!$C$9, $D$9, 100%, $F$9) + CHOOSE(CONTROL!$C$27, 0.0021, 0)</f>
        <v>76.882000000000005</v>
      </c>
      <c r="C444" s="14">
        <f>76.4476 * CHOOSE(CONTROL!$C$9, $D$9, 100%, $F$9) + CHOOSE(CONTROL!$C$27, 0.0021, 0)</f>
        <v>76.449699999999993</v>
      </c>
      <c r="D444" s="14">
        <f>76.4476 * CHOOSE(CONTROL!$C$9, $D$9, 100%, $F$9) + CHOOSE(CONTROL!$C$27, 0.0021, 0)</f>
        <v>76.449699999999993</v>
      </c>
      <c r="E444" s="14">
        <f>76.311 * CHOOSE(CONTROL!$C$9, $D$9, 100%, $F$9) + CHOOSE(CONTROL!$C$27, 0.0021, 0)</f>
        <v>76.313100000000006</v>
      </c>
      <c r="F444" s="14">
        <f>76.311 * CHOOSE(CONTROL!$C$9, $D$9, 100%, $F$9) + CHOOSE(CONTROL!$C$27, 0.0021, 0)</f>
        <v>76.313100000000006</v>
      </c>
      <c r="G444" s="14">
        <f>76.5824 * CHOOSE(CONTROL!$C$9, $D$9, 100%, $F$9) + CHOOSE(CONTROL!$C$27, 0.0021, 0)</f>
        <v>76.584500000000006</v>
      </c>
      <c r="H444" s="14">
        <f>76.4476 * CHOOSE(CONTROL!$C$9, $D$9, 100%, $F$9) + CHOOSE(CONTROL!$C$27, 0.0021, 0)</f>
        <v>76.449699999999993</v>
      </c>
      <c r="I444" s="14">
        <f>76.4476 * CHOOSE(CONTROL!$C$9, $D$9, 100%, $F$9) + CHOOSE(CONTROL!$C$27, 0.0021, 0)</f>
        <v>76.449699999999993</v>
      </c>
      <c r="J444" s="14">
        <f>76.4476 * CHOOSE(CONTROL!$C$9, $D$9, 100%, $F$9) + CHOOSE(CONTROL!$C$27, 0.0021, 0)</f>
        <v>76.449699999999993</v>
      </c>
      <c r="K444" s="14">
        <f>76.4476 * CHOOSE(CONTROL!$C$9, $D$9, 100%, $F$9) + CHOOSE(CONTROL!$C$27, 0.0021, 0)</f>
        <v>76.449699999999993</v>
      </c>
      <c r="L444" s="14"/>
    </row>
    <row r="445" spans="1:12" ht="15.75" x14ac:dyDescent="0.25">
      <c r="A445" s="33">
        <v>54482</v>
      </c>
      <c r="B445" s="14">
        <f>74.7701 * CHOOSE(CONTROL!$C$9, $D$9, 100%, $F$9) + CHOOSE(CONTROL!$C$27, 0.0021, 0)</f>
        <v>74.772199999999998</v>
      </c>
      <c r="C445" s="14">
        <f>74.3379 * CHOOSE(CONTROL!$C$9, $D$9, 100%, $F$9) + CHOOSE(CONTROL!$C$27, 0.0021, 0)</f>
        <v>74.34</v>
      </c>
      <c r="D445" s="14">
        <f>74.3379 * CHOOSE(CONTROL!$C$9, $D$9, 100%, $F$9) + CHOOSE(CONTROL!$C$27, 0.0021, 0)</f>
        <v>74.34</v>
      </c>
      <c r="E445" s="14">
        <f>74.2012 * CHOOSE(CONTROL!$C$9, $D$9, 100%, $F$9) + CHOOSE(CONTROL!$C$27, 0.0021, 0)</f>
        <v>74.203299999999999</v>
      </c>
      <c r="F445" s="14">
        <f>74.2012 * CHOOSE(CONTROL!$C$9, $D$9, 100%, $F$9) + CHOOSE(CONTROL!$C$27, 0.0021, 0)</f>
        <v>74.203299999999999</v>
      </c>
      <c r="G445" s="14">
        <f>74.4726 * CHOOSE(CONTROL!$C$9, $D$9, 100%, $F$9) + CHOOSE(CONTROL!$C$27, 0.0021, 0)</f>
        <v>74.474699999999999</v>
      </c>
      <c r="H445" s="14">
        <f>74.3379 * CHOOSE(CONTROL!$C$9, $D$9, 100%, $F$9) + CHOOSE(CONTROL!$C$27, 0.0021, 0)</f>
        <v>74.34</v>
      </c>
      <c r="I445" s="14">
        <f>74.3379 * CHOOSE(CONTROL!$C$9, $D$9, 100%, $F$9) + CHOOSE(CONTROL!$C$27, 0.0021, 0)</f>
        <v>74.34</v>
      </c>
      <c r="J445" s="14">
        <f>74.3379 * CHOOSE(CONTROL!$C$9, $D$9, 100%, $F$9) + CHOOSE(CONTROL!$C$27, 0.0021, 0)</f>
        <v>74.34</v>
      </c>
      <c r="K445" s="14">
        <f>74.3379 * CHOOSE(CONTROL!$C$9, $D$9, 100%, $F$9) + CHOOSE(CONTROL!$C$27, 0.0021, 0)</f>
        <v>74.34</v>
      </c>
      <c r="L445" s="14"/>
    </row>
    <row r="446" spans="1:12" ht="15.75" x14ac:dyDescent="0.25">
      <c r="A446" s="33">
        <v>54513</v>
      </c>
      <c r="B446" s="14">
        <f>73.8992 * CHOOSE(CONTROL!$C$9, $D$9, 100%, $F$9) + CHOOSE(CONTROL!$C$27, 0.0021, 0)</f>
        <v>73.901299999999992</v>
      </c>
      <c r="C446" s="14">
        <f>73.467 * CHOOSE(CONTROL!$C$9, $D$9, 100%, $F$9) + CHOOSE(CONTROL!$C$27, 0.0021, 0)</f>
        <v>73.469099999999997</v>
      </c>
      <c r="D446" s="14">
        <f>73.467 * CHOOSE(CONTROL!$C$9, $D$9, 100%, $F$9) + CHOOSE(CONTROL!$C$27, 0.0021, 0)</f>
        <v>73.469099999999997</v>
      </c>
      <c r="E446" s="14">
        <f>73.3303 * CHOOSE(CONTROL!$C$9, $D$9, 100%, $F$9) + CHOOSE(CONTROL!$C$27, 0.0021, 0)</f>
        <v>73.332399999999993</v>
      </c>
      <c r="F446" s="14">
        <f>73.3303 * CHOOSE(CONTROL!$C$9, $D$9, 100%, $F$9) + CHOOSE(CONTROL!$C$27, 0.0021, 0)</f>
        <v>73.332399999999993</v>
      </c>
      <c r="G446" s="14">
        <f>73.6017 * CHOOSE(CONTROL!$C$9, $D$9, 100%, $F$9) + CHOOSE(CONTROL!$C$27, 0.0021, 0)</f>
        <v>73.603799999999993</v>
      </c>
      <c r="H446" s="14">
        <f>73.467 * CHOOSE(CONTROL!$C$9, $D$9, 100%, $F$9) + CHOOSE(CONTROL!$C$27, 0.0021, 0)</f>
        <v>73.469099999999997</v>
      </c>
      <c r="I446" s="14">
        <f>73.467 * CHOOSE(CONTROL!$C$9, $D$9, 100%, $F$9) + CHOOSE(CONTROL!$C$27, 0.0021, 0)</f>
        <v>73.469099999999997</v>
      </c>
      <c r="J446" s="14">
        <f>73.467 * CHOOSE(CONTROL!$C$9, $D$9, 100%, $F$9) + CHOOSE(CONTROL!$C$27, 0.0021, 0)</f>
        <v>73.469099999999997</v>
      </c>
      <c r="K446" s="14">
        <f>73.467 * CHOOSE(CONTROL!$C$9, $D$9, 100%, $F$9) + CHOOSE(CONTROL!$C$27, 0.0021, 0)</f>
        <v>73.469099999999997</v>
      </c>
      <c r="L446" s="14"/>
    </row>
    <row r="447" spans="1:12" ht="15.75" x14ac:dyDescent="0.25">
      <c r="A447" s="33">
        <v>54543</v>
      </c>
      <c r="B447" s="14">
        <f>72.8594 * CHOOSE(CONTROL!$C$9, $D$9, 100%, $F$9) + CHOOSE(CONTROL!$C$27, 0.0021, 0)</f>
        <v>72.861499999999992</v>
      </c>
      <c r="C447" s="14">
        <f>72.4271 * CHOOSE(CONTROL!$C$9, $D$9, 100%, $F$9) + CHOOSE(CONTROL!$C$27, 0.0021, 0)</f>
        <v>72.429199999999994</v>
      </c>
      <c r="D447" s="14">
        <f>72.4271 * CHOOSE(CONTROL!$C$9, $D$9, 100%, $F$9) + CHOOSE(CONTROL!$C$27, 0.0021, 0)</f>
        <v>72.429199999999994</v>
      </c>
      <c r="E447" s="14">
        <f>72.2905 * CHOOSE(CONTROL!$C$9, $D$9, 100%, $F$9) + CHOOSE(CONTROL!$C$27, 0.0021, 0)</f>
        <v>72.292599999999993</v>
      </c>
      <c r="F447" s="14">
        <f>72.2905 * CHOOSE(CONTROL!$C$9, $D$9, 100%, $F$9) + CHOOSE(CONTROL!$C$27, 0.0021, 0)</f>
        <v>72.292599999999993</v>
      </c>
      <c r="G447" s="14">
        <f>72.5618 * CHOOSE(CONTROL!$C$9, $D$9, 100%, $F$9) + CHOOSE(CONTROL!$C$27, 0.0021, 0)</f>
        <v>72.563900000000004</v>
      </c>
      <c r="H447" s="14">
        <f>72.4271 * CHOOSE(CONTROL!$C$9, $D$9, 100%, $F$9) + CHOOSE(CONTROL!$C$27, 0.0021, 0)</f>
        <v>72.429199999999994</v>
      </c>
      <c r="I447" s="14">
        <f>72.4271 * CHOOSE(CONTROL!$C$9, $D$9, 100%, $F$9) + CHOOSE(CONTROL!$C$27, 0.0021, 0)</f>
        <v>72.429199999999994</v>
      </c>
      <c r="J447" s="14">
        <f>72.4271 * CHOOSE(CONTROL!$C$9, $D$9, 100%, $F$9) + CHOOSE(CONTROL!$C$27, 0.0021, 0)</f>
        <v>72.429199999999994</v>
      </c>
      <c r="K447" s="14">
        <f>72.4271 * CHOOSE(CONTROL!$C$9, $D$9, 100%, $F$9) + CHOOSE(CONTROL!$C$27, 0.0021, 0)</f>
        <v>72.429199999999994</v>
      </c>
      <c r="L447" s="14"/>
    </row>
    <row r="448" spans="1:12" ht="15.75" x14ac:dyDescent="0.25">
      <c r="A448" s="33">
        <v>54574</v>
      </c>
      <c r="B448" s="14">
        <f>74.3413 * CHOOSE(CONTROL!$C$9, $D$9, 100%, $F$9) + CHOOSE(CONTROL!$C$27, 0.0021, 0)</f>
        <v>74.343400000000003</v>
      </c>
      <c r="C448" s="14">
        <f>73.9091 * CHOOSE(CONTROL!$C$9, $D$9, 100%, $F$9) + CHOOSE(CONTROL!$C$27, 0.0021, 0)</f>
        <v>73.911199999999994</v>
      </c>
      <c r="D448" s="14">
        <f>73.9091 * CHOOSE(CONTROL!$C$9, $D$9, 100%, $F$9) + CHOOSE(CONTROL!$C$27, 0.0021, 0)</f>
        <v>73.911199999999994</v>
      </c>
      <c r="E448" s="14">
        <f>73.7724 * CHOOSE(CONTROL!$C$9, $D$9, 100%, $F$9) + CHOOSE(CONTROL!$C$27, 0.0021, 0)</f>
        <v>73.774500000000003</v>
      </c>
      <c r="F448" s="14">
        <f>73.7724 * CHOOSE(CONTROL!$C$9, $D$9, 100%, $F$9) + CHOOSE(CONTROL!$C$27, 0.0021, 0)</f>
        <v>73.774500000000003</v>
      </c>
      <c r="G448" s="14">
        <f>74.0438 * CHOOSE(CONTROL!$C$9, $D$9, 100%, $F$9) + CHOOSE(CONTROL!$C$27, 0.0021, 0)</f>
        <v>74.045900000000003</v>
      </c>
      <c r="H448" s="14">
        <f>73.9091 * CHOOSE(CONTROL!$C$9, $D$9, 100%, $F$9) + CHOOSE(CONTROL!$C$27, 0.0021, 0)</f>
        <v>73.911199999999994</v>
      </c>
      <c r="I448" s="14">
        <f>73.9091 * CHOOSE(CONTROL!$C$9, $D$9, 100%, $F$9) + CHOOSE(CONTROL!$C$27, 0.0021, 0)</f>
        <v>73.911199999999994</v>
      </c>
      <c r="J448" s="14">
        <f>73.9091 * CHOOSE(CONTROL!$C$9, $D$9, 100%, $F$9) + CHOOSE(CONTROL!$C$27, 0.0021, 0)</f>
        <v>73.911199999999994</v>
      </c>
      <c r="K448" s="14">
        <f>73.9091 * CHOOSE(CONTROL!$C$9, $D$9, 100%, $F$9) + CHOOSE(CONTROL!$C$27, 0.0021, 0)</f>
        <v>73.911199999999994</v>
      </c>
      <c r="L448" s="14"/>
    </row>
    <row r="449" spans="1:12" ht="15.75" x14ac:dyDescent="0.25">
      <c r="A449" s="33">
        <v>54604</v>
      </c>
      <c r="B449" s="14">
        <f>75.2289 * CHOOSE(CONTROL!$C$9, $D$9, 100%, $F$9) + CHOOSE(CONTROL!$C$27, 0.0021, 0)</f>
        <v>75.230999999999995</v>
      </c>
      <c r="C449" s="14">
        <f>74.7967 * CHOOSE(CONTROL!$C$9, $D$9, 100%, $F$9) + CHOOSE(CONTROL!$C$27, 0.0021, 0)</f>
        <v>74.7988</v>
      </c>
      <c r="D449" s="14">
        <f>74.7967 * CHOOSE(CONTROL!$C$9, $D$9, 100%, $F$9) + CHOOSE(CONTROL!$C$27, 0.0021, 0)</f>
        <v>74.7988</v>
      </c>
      <c r="E449" s="14">
        <f>74.66 * CHOOSE(CONTROL!$C$9, $D$9, 100%, $F$9) + CHOOSE(CONTROL!$C$27, 0.0021, 0)</f>
        <v>74.662099999999995</v>
      </c>
      <c r="F449" s="14">
        <f>74.66 * CHOOSE(CONTROL!$C$9, $D$9, 100%, $F$9) + CHOOSE(CONTROL!$C$27, 0.0021, 0)</f>
        <v>74.662099999999995</v>
      </c>
      <c r="G449" s="14">
        <f>74.9314 * CHOOSE(CONTROL!$C$9, $D$9, 100%, $F$9) + CHOOSE(CONTROL!$C$27, 0.0021, 0)</f>
        <v>74.933499999999995</v>
      </c>
      <c r="H449" s="14">
        <f>74.7967 * CHOOSE(CONTROL!$C$9, $D$9, 100%, $F$9) + CHOOSE(CONTROL!$C$27, 0.0021, 0)</f>
        <v>74.7988</v>
      </c>
      <c r="I449" s="14">
        <f>74.7967 * CHOOSE(CONTROL!$C$9, $D$9, 100%, $F$9) + CHOOSE(CONTROL!$C$27, 0.0021, 0)</f>
        <v>74.7988</v>
      </c>
      <c r="J449" s="14">
        <f>74.7967 * CHOOSE(CONTROL!$C$9, $D$9, 100%, $F$9) + CHOOSE(CONTROL!$C$27, 0.0021, 0)</f>
        <v>74.7988</v>
      </c>
      <c r="K449" s="14">
        <f>74.7967 * CHOOSE(CONTROL!$C$9, $D$9, 100%, $F$9) + CHOOSE(CONTROL!$C$27, 0.0021, 0)</f>
        <v>74.7988</v>
      </c>
      <c r="L449" s="14"/>
    </row>
    <row r="450" spans="1:12" ht="15.75" x14ac:dyDescent="0.25">
      <c r="A450" s="33">
        <v>54635</v>
      </c>
      <c r="B450" s="14">
        <f>76.6932 * CHOOSE(CONTROL!$C$9, $D$9, 100%, $F$9) + CHOOSE(CONTROL!$C$27, 0.0021, 0)</f>
        <v>76.695300000000003</v>
      </c>
      <c r="C450" s="14">
        <f>76.2609 * CHOOSE(CONTROL!$C$9, $D$9, 100%, $F$9) + CHOOSE(CONTROL!$C$27, 0.0021, 0)</f>
        <v>76.263000000000005</v>
      </c>
      <c r="D450" s="14">
        <f>76.2609 * CHOOSE(CONTROL!$C$9, $D$9, 100%, $F$9) + CHOOSE(CONTROL!$C$27, 0.0021, 0)</f>
        <v>76.263000000000005</v>
      </c>
      <c r="E450" s="14">
        <f>76.1243 * CHOOSE(CONTROL!$C$9, $D$9, 100%, $F$9) + CHOOSE(CONTROL!$C$27, 0.0021, 0)</f>
        <v>76.126400000000004</v>
      </c>
      <c r="F450" s="14">
        <f>76.1243 * CHOOSE(CONTROL!$C$9, $D$9, 100%, $F$9) + CHOOSE(CONTROL!$C$27, 0.0021, 0)</f>
        <v>76.126400000000004</v>
      </c>
      <c r="G450" s="14">
        <f>76.3957 * CHOOSE(CONTROL!$C$9, $D$9, 100%, $F$9) + CHOOSE(CONTROL!$C$27, 0.0021, 0)</f>
        <v>76.397800000000004</v>
      </c>
      <c r="H450" s="14">
        <f>76.2609 * CHOOSE(CONTROL!$C$9, $D$9, 100%, $F$9) + CHOOSE(CONTROL!$C$27, 0.0021, 0)</f>
        <v>76.263000000000005</v>
      </c>
      <c r="I450" s="14">
        <f>76.2609 * CHOOSE(CONTROL!$C$9, $D$9, 100%, $F$9) + CHOOSE(CONTROL!$C$27, 0.0021, 0)</f>
        <v>76.263000000000005</v>
      </c>
      <c r="J450" s="14">
        <f>76.2609 * CHOOSE(CONTROL!$C$9, $D$9, 100%, $F$9) + CHOOSE(CONTROL!$C$27, 0.0021, 0)</f>
        <v>76.263000000000005</v>
      </c>
      <c r="K450" s="14">
        <f>76.2609 * CHOOSE(CONTROL!$C$9, $D$9, 100%, $F$9) + CHOOSE(CONTROL!$C$27, 0.0021, 0)</f>
        <v>76.263000000000005</v>
      </c>
      <c r="L450" s="14"/>
    </row>
    <row r="451" spans="1:12" ht="15.75" x14ac:dyDescent="0.25">
      <c r="A451" s="33">
        <v>54666</v>
      </c>
      <c r="B451" s="14">
        <f>77.1401 * CHOOSE(CONTROL!$C$9, $D$9, 100%, $F$9) + CHOOSE(CONTROL!$C$27, 0.0021, 0)</f>
        <v>77.142200000000003</v>
      </c>
      <c r="C451" s="14">
        <f>76.7079 * CHOOSE(CONTROL!$C$9, $D$9, 100%, $F$9) + CHOOSE(CONTROL!$C$27, 0.0021, 0)</f>
        <v>76.709999999999994</v>
      </c>
      <c r="D451" s="14">
        <f>76.7079 * CHOOSE(CONTROL!$C$9, $D$9, 100%, $F$9) + CHOOSE(CONTROL!$C$27, 0.0021, 0)</f>
        <v>76.709999999999994</v>
      </c>
      <c r="E451" s="14">
        <f>76.5712 * CHOOSE(CONTROL!$C$9, $D$9, 100%, $F$9) + CHOOSE(CONTROL!$C$27, 0.0021, 0)</f>
        <v>76.573300000000003</v>
      </c>
      <c r="F451" s="14">
        <f>76.5712 * CHOOSE(CONTROL!$C$9, $D$9, 100%, $F$9) + CHOOSE(CONTROL!$C$27, 0.0021, 0)</f>
        <v>76.573300000000003</v>
      </c>
      <c r="G451" s="14">
        <f>76.8426 * CHOOSE(CONTROL!$C$9, $D$9, 100%, $F$9) + CHOOSE(CONTROL!$C$27, 0.0021, 0)</f>
        <v>76.844700000000003</v>
      </c>
      <c r="H451" s="14">
        <f>76.7079 * CHOOSE(CONTROL!$C$9, $D$9, 100%, $F$9) + CHOOSE(CONTROL!$C$27, 0.0021, 0)</f>
        <v>76.709999999999994</v>
      </c>
      <c r="I451" s="14">
        <f>76.7079 * CHOOSE(CONTROL!$C$9, $D$9, 100%, $F$9) + CHOOSE(CONTROL!$C$27, 0.0021, 0)</f>
        <v>76.709999999999994</v>
      </c>
      <c r="J451" s="14">
        <f>76.7079 * CHOOSE(CONTROL!$C$9, $D$9, 100%, $F$9) + CHOOSE(CONTROL!$C$27, 0.0021, 0)</f>
        <v>76.709999999999994</v>
      </c>
      <c r="K451" s="14">
        <f>76.7079 * CHOOSE(CONTROL!$C$9, $D$9, 100%, $F$9) + CHOOSE(CONTROL!$C$27, 0.0021, 0)</f>
        <v>76.709999999999994</v>
      </c>
      <c r="L451" s="14"/>
    </row>
    <row r="452" spans="1:12" ht="15.75" x14ac:dyDescent="0.25">
      <c r="A452" s="33">
        <v>54696</v>
      </c>
      <c r="B452" s="14">
        <f>78.6622 * CHOOSE(CONTROL!$C$9, $D$9, 100%, $F$9) + CHOOSE(CONTROL!$C$27, 0.0021, 0)</f>
        <v>78.664299999999997</v>
      </c>
      <c r="C452" s="14">
        <f>78.2299 * CHOOSE(CONTROL!$C$9, $D$9, 100%, $F$9) + CHOOSE(CONTROL!$C$27, 0.0021, 0)</f>
        <v>78.231999999999999</v>
      </c>
      <c r="D452" s="14">
        <f>78.2299 * CHOOSE(CONTROL!$C$9, $D$9, 100%, $F$9) + CHOOSE(CONTROL!$C$27, 0.0021, 0)</f>
        <v>78.231999999999999</v>
      </c>
      <c r="E452" s="14">
        <f>78.0932 * CHOOSE(CONTROL!$C$9, $D$9, 100%, $F$9) + CHOOSE(CONTROL!$C$27, 0.0021, 0)</f>
        <v>78.095299999999995</v>
      </c>
      <c r="F452" s="14">
        <f>78.0932 * CHOOSE(CONTROL!$C$9, $D$9, 100%, $F$9) + CHOOSE(CONTROL!$C$27, 0.0021, 0)</f>
        <v>78.095299999999995</v>
      </c>
      <c r="G452" s="14">
        <f>78.3646 * CHOOSE(CONTROL!$C$9, $D$9, 100%, $F$9) + CHOOSE(CONTROL!$C$27, 0.0021, 0)</f>
        <v>78.366699999999994</v>
      </c>
      <c r="H452" s="14">
        <f>78.2299 * CHOOSE(CONTROL!$C$9, $D$9, 100%, $F$9) + CHOOSE(CONTROL!$C$27, 0.0021, 0)</f>
        <v>78.231999999999999</v>
      </c>
      <c r="I452" s="14">
        <f>78.2299 * CHOOSE(CONTROL!$C$9, $D$9, 100%, $F$9) + CHOOSE(CONTROL!$C$27, 0.0021, 0)</f>
        <v>78.231999999999999</v>
      </c>
      <c r="J452" s="14">
        <f>78.2299 * CHOOSE(CONTROL!$C$9, $D$9, 100%, $F$9) + CHOOSE(CONTROL!$C$27, 0.0021, 0)</f>
        <v>78.231999999999999</v>
      </c>
      <c r="K452" s="14">
        <f>78.2299 * CHOOSE(CONTROL!$C$9, $D$9, 100%, $F$9) + CHOOSE(CONTROL!$C$27, 0.0021, 0)</f>
        <v>78.231999999999999</v>
      </c>
      <c r="L452" s="14"/>
    </row>
    <row r="453" spans="1:12" ht="15.75" x14ac:dyDescent="0.25">
      <c r="A453" s="33">
        <v>54727</v>
      </c>
      <c r="B453" s="14">
        <f>80.5888 * CHOOSE(CONTROL!$C$9, $D$9, 100%, $F$9) + CHOOSE(CONTROL!$C$27, 0.0021, 0)</f>
        <v>80.590900000000005</v>
      </c>
      <c r="C453" s="14">
        <f>80.1565 * CHOOSE(CONTROL!$C$9, $D$9, 100%, $F$9) + CHOOSE(CONTROL!$C$27, 0.0021, 0)</f>
        <v>80.158599999999993</v>
      </c>
      <c r="D453" s="14">
        <f>80.1565 * CHOOSE(CONTROL!$C$9, $D$9, 100%, $F$9) + CHOOSE(CONTROL!$C$27, 0.0021, 0)</f>
        <v>80.158599999999993</v>
      </c>
      <c r="E453" s="14">
        <f>80.0199 * CHOOSE(CONTROL!$C$9, $D$9, 100%, $F$9) + CHOOSE(CONTROL!$C$27, 0.0021, 0)</f>
        <v>80.022000000000006</v>
      </c>
      <c r="F453" s="14">
        <f>80.0199 * CHOOSE(CONTROL!$C$9, $D$9, 100%, $F$9) + CHOOSE(CONTROL!$C$27, 0.0021, 0)</f>
        <v>80.022000000000006</v>
      </c>
      <c r="G453" s="14">
        <f>80.2912 * CHOOSE(CONTROL!$C$9, $D$9, 100%, $F$9) + CHOOSE(CONTROL!$C$27, 0.0021, 0)</f>
        <v>80.293300000000002</v>
      </c>
      <c r="H453" s="14">
        <f>80.1565 * CHOOSE(CONTROL!$C$9, $D$9, 100%, $F$9) + CHOOSE(CONTROL!$C$27, 0.0021, 0)</f>
        <v>80.158599999999993</v>
      </c>
      <c r="I453" s="14">
        <f>80.1565 * CHOOSE(CONTROL!$C$9, $D$9, 100%, $F$9) + CHOOSE(CONTROL!$C$27, 0.0021, 0)</f>
        <v>80.158599999999993</v>
      </c>
      <c r="J453" s="14">
        <f>80.1565 * CHOOSE(CONTROL!$C$9, $D$9, 100%, $F$9) + CHOOSE(CONTROL!$C$27, 0.0021, 0)</f>
        <v>80.158599999999993</v>
      </c>
      <c r="K453" s="14">
        <f>80.1565 * CHOOSE(CONTROL!$C$9, $D$9, 100%, $F$9) + CHOOSE(CONTROL!$C$27, 0.0021, 0)</f>
        <v>80.158599999999993</v>
      </c>
      <c r="L453" s="14"/>
    </row>
    <row r="454" spans="1:12" ht="15.75" x14ac:dyDescent="0.25">
      <c r="A454" s="33">
        <v>54757</v>
      </c>
      <c r="B454" s="14">
        <f>80.7696 * CHOOSE(CONTROL!$C$9, $D$9, 100%, $F$9) + CHOOSE(CONTROL!$C$27, 0.0021, 0)</f>
        <v>80.771699999999996</v>
      </c>
      <c r="C454" s="14">
        <f>80.3374 * CHOOSE(CONTROL!$C$9, $D$9, 100%, $F$9) + CHOOSE(CONTROL!$C$27, 0.0021, 0)</f>
        <v>80.339500000000001</v>
      </c>
      <c r="D454" s="14">
        <f>80.3374 * CHOOSE(CONTROL!$C$9, $D$9, 100%, $F$9) + CHOOSE(CONTROL!$C$27, 0.0021, 0)</f>
        <v>80.339500000000001</v>
      </c>
      <c r="E454" s="14">
        <f>80.2007 * CHOOSE(CONTROL!$C$9, $D$9, 100%, $F$9) + CHOOSE(CONTROL!$C$27, 0.0021, 0)</f>
        <v>80.202799999999996</v>
      </c>
      <c r="F454" s="14">
        <f>80.2007 * CHOOSE(CONTROL!$C$9, $D$9, 100%, $F$9) + CHOOSE(CONTROL!$C$27, 0.0021, 0)</f>
        <v>80.202799999999996</v>
      </c>
      <c r="G454" s="14">
        <f>80.4721 * CHOOSE(CONTROL!$C$9, $D$9, 100%, $F$9) + CHOOSE(CONTROL!$C$27, 0.0021, 0)</f>
        <v>80.474199999999996</v>
      </c>
      <c r="H454" s="14">
        <f>80.3374 * CHOOSE(CONTROL!$C$9, $D$9, 100%, $F$9) + CHOOSE(CONTROL!$C$27, 0.0021, 0)</f>
        <v>80.339500000000001</v>
      </c>
      <c r="I454" s="14">
        <f>80.3374 * CHOOSE(CONTROL!$C$9, $D$9, 100%, $F$9) + CHOOSE(CONTROL!$C$27, 0.0021, 0)</f>
        <v>80.339500000000001</v>
      </c>
      <c r="J454" s="14">
        <f>80.3374 * CHOOSE(CONTROL!$C$9, $D$9, 100%, $F$9) + CHOOSE(CONTROL!$C$27, 0.0021, 0)</f>
        <v>80.339500000000001</v>
      </c>
      <c r="K454" s="14">
        <f>80.3374 * CHOOSE(CONTROL!$C$9, $D$9, 100%, $F$9) + CHOOSE(CONTROL!$C$27, 0.0021, 0)</f>
        <v>80.339500000000001</v>
      </c>
      <c r="L454" s="14"/>
    </row>
    <row r="455" spans="1:12" ht="15.75" x14ac:dyDescent="0.25">
      <c r="A455" s="33">
        <v>54788</v>
      </c>
      <c r="B455" s="14">
        <f>79.2309 * CHOOSE(CONTROL!$C$9, $D$9, 100%, $F$9) + CHOOSE(CONTROL!$C$27, 0.0021, 0)</f>
        <v>79.233000000000004</v>
      </c>
      <c r="C455" s="14">
        <f>78.7986 * CHOOSE(CONTROL!$C$9, $D$9, 100%, $F$9) + CHOOSE(CONTROL!$C$27, 0.0021, 0)</f>
        <v>78.800699999999992</v>
      </c>
      <c r="D455" s="14">
        <f>78.7986 * CHOOSE(CONTROL!$C$9, $D$9, 100%, $F$9) + CHOOSE(CONTROL!$C$27, 0.0021, 0)</f>
        <v>78.800699999999992</v>
      </c>
      <c r="E455" s="14">
        <f>78.662 * CHOOSE(CONTROL!$C$9, $D$9, 100%, $F$9) + CHOOSE(CONTROL!$C$27, 0.0021, 0)</f>
        <v>78.664100000000005</v>
      </c>
      <c r="F455" s="14">
        <f>78.662 * CHOOSE(CONTROL!$C$9, $D$9, 100%, $F$9) + CHOOSE(CONTROL!$C$27, 0.0021, 0)</f>
        <v>78.664100000000005</v>
      </c>
      <c r="G455" s="14">
        <f>78.9334 * CHOOSE(CONTROL!$C$9, $D$9, 100%, $F$9) + CHOOSE(CONTROL!$C$27, 0.0021, 0)</f>
        <v>78.935500000000005</v>
      </c>
      <c r="H455" s="14">
        <f>78.7986 * CHOOSE(CONTROL!$C$9, $D$9, 100%, $F$9) + CHOOSE(CONTROL!$C$27, 0.0021, 0)</f>
        <v>78.800699999999992</v>
      </c>
      <c r="I455" s="14">
        <f>78.7986 * CHOOSE(CONTROL!$C$9, $D$9, 100%, $F$9) + CHOOSE(CONTROL!$C$27, 0.0021, 0)</f>
        <v>78.800699999999992</v>
      </c>
      <c r="J455" s="14">
        <f>78.7986 * CHOOSE(CONTROL!$C$9, $D$9, 100%, $F$9) + CHOOSE(CONTROL!$C$27, 0.0021, 0)</f>
        <v>78.800699999999992</v>
      </c>
      <c r="K455" s="14">
        <f>78.7986 * CHOOSE(CONTROL!$C$9, $D$9, 100%, $F$9) + CHOOSE(CONTROL!$C$27, 0.0021, 0)</f>
        <v>78.800699999999992</v>
      </c>
      <c r="L455" s="14"/>
    </row>
    <row r="456" spans="1:12" ht="15.75" x14ac:dyDescent="0.25">
      <c r="A456" s="33">
        <v>54819</v>
      </c>
      <c r="B456" s="14">
        <f>78.2583 * CHOOSE(CONTROL!$C$9, $D$9, 100%, $F$9) + CHOOSE(CONTROL!$C$27, 0.0021, 0)</f>
        <v>78.260400000000004</v>
      </c>
      <c r="C456" s="14">
        <f>77.8261 * CHOOSE(CONTROL!$C$9, $D$9, 100%, $F$9) + CHOOSE(CONTROL!$C$27, 0.0021, 0)</f>
        <v>77.828199999999995</v>
      </c>
      <c r="D456" s="14">
        <f>77.8261 * CHOOSE(CONTROL!$C$9, $D$9, 100%, $F$9) + CHOOSE(CONTROL!$C$27, 0.0021, 0)</f>
        <v>77.828199999999995</v>
      </c>
      <c r="E456" s="14">
        <f>77.6894 * CHOOSE(CONTROL!$C$9, $D$9, 100%, $F$9) + CHOOSE(CONTROL!$C$27, 0.0021, 0)</f>
        <v>77.691500000000005</v>
      </c>
      <c r="F456" s="14">
        <f>77.6894 * CHOOSE(CONTROL!$C$9, $D$9, 100%, $F$9) + CHOOSE(CONTROL!$C$27, 0.0021, 0)</f>
        <v>77.691500000000005</v>
      </c>
      <c r="G456" s="14">
        <f>77.9608 * CHOOSE(CONTROL!$C$9, $D$9, 100%, $F$9) + CHOOSE(CONTROL!$C$27, 0.0021, 0)</f>
        <v>77.962900000000005</v>
      </c>
      <c r="H456" s="14">
        <f>77.8261 * CHOOSE(CONTROL!$C$9, $D$9, 100%, $F$9) + CHOOSE(CONTROL!$C$27, 0.0021, 0)</f>
        <v>77.828199999999995</v>
      </c>
      <c r="I456" s="14">
        <f>77.8261 * CHOOSE(CONTROL!$C$9, $D$9, 100%, $F$9) + CHOOSE(CONTROL!$C$27, 0.0021, 0)</f>
        <v>77.828199999999995</v>
      </c>
      <c r="J456" s="14">
        <f>77.8261 * CHOOSE(CONTROL!$C$9, $D$9, 100%, $F$9) + CHOOSE(CONTROL!$C$27, 0.0021, 0)</f>
        <v>77.828199999999995</v>
      </c>
      <c r="K456" s="14">
        <f>77.8261 * CHOOSE(CONTROL!$C$9, $D$9, 100%, $F$9) + CHOOSE(CONTROL!$C$27, 0.0021, 0)</f>
        <v>77.828199999999995</v>
      </c>
      <c r="L456" s="14"/>
    </row>
    <row r="457" spans="1:12" ht="15.75" x14ac:dyDescent="0.25">
      <c r="A457" s="33">
        <v>54847</v>
      </c>
      <c r="B457" s="14">
        <f>76.1096 * CHOOSE(CONTROL!$C$9, $D$9, 100%, $F$9) + CHOOSE(CONTROL!$C$27, 0.0021, 0)</f>
        <v>76.111699999999999</v>
      </c>
      <c r="C457" s="14">
        <f>75.6773 * CHOOSE(CONTROL!$C$9, $D$9, 100%, $F$9) + CHOOSE(CONTROL!$C$27, 0.0021, 0)</f>
        <v>75.679400000000001</v>
      </c>
      <c r="D457" s="14">
        <f>75.6773 * CHOOSE(CONTROL!$C$9, $D$9, 100%, $F$9) + CHOOSE(CONTROL!$C$27, 0.0021, 0)</f>
        <v>75.679400000000001</v>
      </c>
      <c r="E457" s="14">
        <f>75.5407 * CHOOSE(CONTROL!$C$9, $D$9, 100%, $F$9) + CHOOSE(CONTROL!$C$27, 0.0021, 0)</f>
        <v>75.5428</v>
      </c>
      <c r="F457" s="14">
        <f>75.5407 * CHOOSE(CONTROL!$C$9, $D$9, 100%, $F$9) + CHOOSE(CONTROL!$C$27, 0.0021, 0)</f>
        <v>75.5428</v>
      </c>
      <c r="G457" s="14">
        <f>75.8121 * CHOOSE(CONTROL!$C$9, $D$9, 100%, $F$9) + CHOOSE(CONTROL!$C$27, 0.0021, 0)</f>
        <v>75.8142</v>
      </c>
      <c r="H457" s="14">
        <f>75.6773 * CHOOSE(CONTROL!$C$9, $D$9, 100%, $F$9) + CHOOSE(CONTROL!$C$27, 0.0021, 0)</f>
        <v>75.679400000000001</v>
      </c>
      <c r="I457" s="14">
        <f>75.6773 * CHOOSE(CONTROL!$C$9, $D$9, 100%, $F$9) + CHOOSE(CONTROL!$C$27, 0.0021, 0)</f>
        <v>75.679400000000001</v>
      </c>
      <c r="J457" s="14">
        <f>75.6773 * CHOOSE(CONTROL!$C$9, $D$9, 100%, $F$9) + CHOOSE(CONTROL!$C$27, 0.0021, 0)</f>
        <v>75.679400000000001</v>
      </c>
      <c r="K457" s="14">
        <f>75.6773 * CHOOSE(CONTROL!$C$9, $D$9, 100%, $F$9) + CHOOSE(CONTROL!$C$27, 0.0021, 0)</f>
        <v>75.679400000000001</v>
      </c>
      <c r="L457" s="14"/>
    </row>
    <row r="458" spans="1:12" ht="15.75" x14ac:dyDescent="0.25">
      <c r="A458" s="33">
        <v>54878</v>
      </c>
      <c r="B458" s="14">
        <f>75.2226 * CHOOSE(CONTROL!$C$9, $D$9, 100%, $F$9) + CHOOSE(CONTROL!$C$27, 0.0021, 0)</f>
        <v>75.224699999999999</v>
      </c>
      <c r="C458" s="14">
        <f>74.7903 * CHOOSE(CONTROL!$C$9, $D$9, 100%, $F$9) + CHOOSE(CONTROL!$C$27, 0.0021, 0)</f>
        <v>74.792400000000001</v>
      </c>
      <c r="D458" s="14">
        <f>74.7903 * CHOOSE(CONTROL!$C$9, $D$9, 100%, $F$9) + CHOOSE(CONTROL!$C$27, 0.0021, 0)</f>
        <v>74.792400000000001</v>
      </c>
      <c r="E458" s="14">
        <f>74.6537 * CHOOSE(CONTROL!$C$9, $D$9, 100%, $F$9) + CHOOSE(CONTROL!$C$27, 0.0021, 0)</f>
        <v>74.655799999999999</v>
      </c>
      <c r="F458" s="14">
        <f>74.6537 * CHOOSE(CONTROL!$C$9, $D$9, 100%, $F$9) + CHOOSE(CONTROL!$C$27, 0.0021, 0)</f>
        <v>74.655799999999999</v>
      </c>
      <c r="G458" s="14">
        <f>74.9251 * CHOOSE(CONTROL!$C$9, $D$9, 100%, $F$9) + CHOOSE(CONTROL!$C$27, 0.0021, 0)</f>
        <v>74.927199999999999</v>
      </c>
      <c r="H458" s="14">
        <f>74.7903 * CHOOSE(CONTROL!$C$9, $D$9, 100%, $F$9) + CHOOSE(CONTROL!$C$27, 0.0021, 0)</f>
        <v>74.792400000000001</v>
      </c>
      <c r="I458" s="14">
        <f>74.7903 * CHOOSE(CONTROL!$C$9, $D$9, 100%, $F$9) + CHOOSE(CONTROL!$C$27, 0.0021, 0)</f>
        <v>74.792400000000001</v>
      </c>
      <c r="J458" s="14">
        <f>74.7903 * CHOOSE(CONTROL!$C$9, $D$9, 100%, $F$9) + CHOOSE(CONTROL!$C$27, 0.0021, 0)</f>
        <v>74.792400000000001</v>
      </c>
      <c r="K458" s="14">
        <f>74.7903 * CHOOSE(CONTROL!$C$9, $D$9, 100%, $F$9) + CHOOSE(CONTROL!$C$27, 0.0021, 0)</f>
        <v>74.792400000000001</v>
      </c>
      <c r="L458" s="14"/>
    </row>
    <row r="459" spans="1:12" ht="15.75" x14ac:dyDescent="0.25">
      <c r="A459" s="33">
        <v>54908</v>
      </c>
      <c r="B459" s="14">
        <f>74.1635 * CHOOSE(CONTROL!$C$9, $D$9, 100%, $F$9) + CHOOSE(CONTROL!$C$27, 0.0021, 0)</f>
        <v>74.165599999999998</v>
      </c>
      <c r="C459" s="14">
        <f>73.7313 * CHOOSE(CONTROL!$C$9, $D$9, 100%, $F$9) + CHOOSE(CONTROL!$C$27, 0.0021, 0)</f>
        <v>73.733400000000003</v>
      </c>
      <c r="D459" s="14">
        <f>73.7313 * CHOOSE(CONTROL!$C$9, $D$9, 100%, $F$9) + CHOOSE(CONTROL!$C$27, 0.0021, 0)</f>
        <v>73.733400000000003</v>
      </c>
      <c r="E459" s="14">
        <f>73.5946 * CHOOSE(CONTROL!$C$9, $D$9, 100%, $F$9) + CHOOSE(CONTROL!$C$27, 0.0021, 0)</f>
        <v>73.596699999999998</v>
      </c>
      <c r="F459" s="14">
        <f>73.5946 * CHOOSE(CONTROL!$C$9, $D$9, 100%, $F$9) + CHOOSE(CONTROL!$C$27, 0.0021, 0)</f>
        <v>73.596699999999998</v>
      </c>
      <c r="G459" s="14">
        <f>73.866 * CHOOSE(CONTROL!$C$9, $D$9, 100%, $F$9) + CHOOSE(CONTROL!$C$27, 0.0021, 0)</f>
        <v>73.868099999999998</v>
      </c>
      <c r="H459" s="14">
        <f>73.7313 * CHOOSE(CONTROL!$C$9, $D$9, 100%, $F$9) + CHOOSE(CONTROL!$C$27, 0.0021, 0)</f>
        <v>73.733400000000003</v>
      </c>
      <c r="I459" s="14">
        <f>73.7313 * CHOOSE(CONTROL!$C$9, $D$9, 100%, $F$9) + CHOOSE(CONTROL!$C$27, 0.0021, 0)</f>
        <v>73.733400000000003</v>
      </c>
      <c r="J459" s="14">
        <f>73.7313 * CHOOSE(CONTROL!$C$9, $D$9, 100%, $F$9) + CHOOSE(CONTROL!$C$27, 0.0021, 0)</f>
        <v>73.733400000000003</v>
      </c>
      <c r="K459" s="14">
        <f>73.7313 * CHOOSE(CONTROL!$C$9, $D$9, 100%, $F$9) + CHOOSE(CONTROL!$C$27, 0.0021, 0)</f>
        <v>73.733400000000003</v>
      </c>
      <c r="L459" s="14"/>
    </row>
    <row r="460" spans="1:12" ht="15.75" x14ac:dyDescent="0.25">
      <c r="A460" s="33">
        <v>54939</v>
      </c>
      <c r="B460" s="14">
        <f>75.6728 * CHOOSE(CONTROL!$C$9, $D$9, 100%, $F$9) + CHOOSE(CONTROL!$C$27, 0.0021, 0)</f>
        <v>75.674899999999994</v>
      </c>
      <c r="C460" s="14">
        <f>75.2406 * CHOOSE(CONTROL!$C$9, $D$9, 100%, $F$9) + CHOOSE(CONTROL!$C$27, 0.0021, 0)</f>
        <v>75.242699999999999</v>
      </c>
      <c r="D460" s="14">
        <f>75.2406 * CHOOSE(CONTROL!$C$9, $D$9, 100%, $F$9) + CHOOSE(CONTROL!$C$27, 0.0021, 0)</f>
        <v>75.242699999999999</v>
      </c>
      <c r="E460" s="14">
        <f>75.1039 * CHOOSE(CONTROL!$C$9, $D$9, 100%, $F$9) + CHOOSE(CONTROL!$C$27, 0.0021, 0)</f>
        <v>75.105999999999995</v>
      </c>
      <c r="F460" s="14">
        <f>75.1039 * CHOOSE(CONTROL!$C$9, $D$9, 100%, $F$9) + CHOOSE(CONTROL!$C$27, 0.0021, 0)</f>
        <v>75.105999999999995</v>
      </c>
      <c r="G460" s="14">
        <f>75.3753 * CHOOSE(CONTROL!$C$9, $D$9, 100%, $F$9) + CHOOSE(CONTROL!$C$27, 0.0021, 0)</f>
        <v>75.377399999999994</v>
      </c>
      <c r="H460" s="14">
        <f>75.2406 * CHOOSE(CONTROL!$C$9, $D$9, 100%, $F$9) + CHOOSE(CONTROL!$C$27, 0.0021, 0)</f>
        <v>75.242699999999999</v>
      </c>
      <c r="I460" s="14">
        <f>75.2406 * CHOOSE(CONTROL!$C$9, $D$9, 100%, $F$9) + CHOOSE(CONTROL!$C$27, 0.0021, 0)</f>
        <v>75.242699999999999</v>
      </c>
      <c r="J460" s="14">
        <f>75.2406 * CHOOSE(CONTROL!$C$9, $D$9, 100%, $F$9) + CHOOSE(CONTROL!$C$27, 0.0021, 0)</f>
        <v>75.242699999999999</v>
      </c>
      <c r="K460" s="14">
        <f>75.2406 * CHOOSE(CONTROL!$C$9, $D$9, 100%, $F$9) + CHOOSE(CONTROL!$C$27, 0.0021, 0)</f>
        <v>75.242699999999999</v>
      </c>
      <c r="L460" s="14"/>
    </row>
    <row r="461" spans="1:12" ht="15.75" x14ac:dyDescent="0.25">
      <c r="A461" s="33">
        <v>54969</v>
      </c>
      <c r="B461" s="14">
        <f>76.5769 * CHOOSE(CONTROL!$C$9, $D$9, 100%, $F$9) + CHOOSE(CONTROL!$C$27, 0.0021, 0)</f>
        <v>76.578999999999994</v>
      </c>
      <c r="C461" s="14">
        <f>76.1446 * CHOOSE(CONTROL!$C$9, $D$9, 100%, $F$9) + CHOOSE(CONTROL!$C$27, 0.0021, 0)</f>
        <v>76.146699999999996</v>
      </c>
      <c r="D461" s="14">
        <f>76.1446 * CHOOSE(CONTROL!$C$9, $D$9, 100%, $F$9) + CHOOSE(CONTROL!$C$27, 0.0021, 0)</f>
        <v>76.146699999999996</v>
      </c>
      <c r="E461" s="14">
        <f>76.008 * CHOOSE(CONTROL!$C$9, $D$9, 100%, $F$9) + CHOOSE(CONTROL!$C$27, 0.0021, 0)</f>
        <v>76.010099999999994</v>
      </c>
      <c r="F461" s="14">
        <f>76.008 * CHOOSE(CONTROL!$C$9, $D$9, 100%, $F$9) + CHOOSE(CONTROL!$C$27, 0.0021, 0)</f>
        <v>76.010099999999994</v>
      </c>
      <c r="G461" s="14">
        <f>76.2793 * CHOOSE(CONTROL!$C$9, $D$9, 100%, $F$9) + CHOOSE(CONTROL!$C$27, 0.0021, 0)</f>
        <v>76.281400000000005</v>
      </c>
      <c r="H461" s="14">
        <f>76.1446 * CHOOSE(CONTROL!$C$9, $D$9, 100%, $F$9) + CHOOSE(CONTROL!$C$27, 0.0021, 0)</f>
        <v>76.146699999999996</v>
      </c>
      <c r="I461" s="14">
        <f>76.1446 * CHOOSE(CONTROL!$C$9, $D$9, 100%, $F$9) + CHOOSE(CONTROL!$C$27, 0.0021, 0)</f>
        <v>76.146699999999996</v>
      </c>
      <c r="J461" s="14">
        <f>76.1446 * CHOOSE(CONTROL!$C$9, $D$9, 100%, $F$9) + CHOOSE(CONTROL!$C$27, 0.0021, 0)</f>
        <v>76.146699999999996</v>
      </c>
      <c r="K461" s="14">
        <f>76.1446 * CHOOSE(CONTROL!$C$9, $D$9, 100%, $F$9) + CHOOSE(CONTROL!$C$27, 0.0021, 0)</f>
        <v>76.146699999999996</v>
      </c>
      <c r="L461" s="14"/>
    </row>
    <row r="462" spans="1:12" ht="15.75" x14ac:dyDescent="0.25">
      <c r="A462" s="33">
        <v>55000</v>
      </c>
      <c r="B462" s="14">
        <f>78.0682 * CHOOSE(CONTROL!$C$9, $D$9, 100%, $F$9) + CHOOSE(CONTROL!$C$27, 0.0021, 0)</f>
        <v>78.070300000000003</v>
      </c>
      <c r="C462" s="14">
        <f>77.6359 * CHOOSE(CONTROL!$C$9, $D$9, 100%, $F$9) + CHOOSE(CONTROL!$C$27, 0.0021, 0)</f>
        <v>77.638000000000005</v>
      </c>
      <c r="D462" s="14">
        <f>77.6359 * CHOOSE(CONTROL!$C$9, $D$9, 100%, $F$9) + CHOOSE(CONTROL!$C$27, 0.0021, 0)</f>
        <v>77.638000000000005</v>
      </c>
      <c r="E462" s="14">
        <f>77.4993 * CHOOSE(CONTROL!$C$9, $D$9, 100%, $F$9) + CHOOSE(CONTROL!$C$27, 0.0021, 0)</f>
        <v>77.501400000000004</v>
      </c>
      <c r="F462" s="14">
        <f>77.4993 * CHOOSE(CONTROL!$C$9, $D$9, 100%, $F$9) + CHOOSE(CONTROL!$C$27, 0.0021, 0)</f>
        <v>77.501400000000004</v>
      </c>
      <c r="G462" s="14">
        <f>77.7706 * CHOOSE(CONTROL!$C$9, $D$9, 100%, $F$9) + CHOOSE(CONTROL!$C$27, 0.0021, 0)</f>
        <v>77.7727</v>
      </c>
      <c r="H462" s="14">
        <f>77.6359 * CHOOSE(CONTROL!$C$9, $D$9, 100%, $F$9) + CHOOSE(CONTROL!$C$27, 0.0021, 0)</f>
        <v>77.638000000000005</v>
      </c>
      <c r="I462" s="14">
        <f>77.6359 * CHOOSE(CONTROL!$C$9, $D$9, 100%, $F$9) + CHOOSE(CONTROL!$C$27, 0.0021, 0)</f>
        <v>77.638000000000005</v>
      </c>
      <c r="J462" s="14">
        <f>77.6359 * CHOOSE(CONTROL!$C$9, $D$9, 100%, $F$9) + CHOOSE(CONTROL!$C$27, 0.0021, 0)</f>
        <v>77.638000000000005</v>
      </c>
      <c r="K462" s="14">
        <f>77.6359 * CHOOSE(CONTROL!$C$9, $D$9, 100%, $F$9) + CHOOSE(CONTROL!$C$27, 0.0021, 0)</f>
        <v>77.638000000000005</v>
      </c>
      <c r="L462" s="14"/>
    </row>
    <row r="463" spans="1:12" ht="15.75" x14ac:dyDescent="0.25">
      <c r="A463" s="33">
        <v>55031</v>
      </c>
      <c r="B463" s="14">
        <f>78.5234 * CHOOSE(CONTROL!$C$9, $D$9, 100%, $F$9) + CHOOSE(CONTROL!$C$27, 0.0021, 0)</f>
        <v>78.525499999999994</v>
      </c>
      <c r="C463" s="14">
        <f>78.0911 * CHOOSE(CONTROL!$C$9, $D$9, 100%, $F$9) + CHOOSE(CONTROL!$C$27, 0.0021, 0)</f>
        <v>78.093199999999996</v>
      </c>
      <c r="D463" s="14">
        <f>78.0911 * CHOOSE(CONTROL!$C$9, $D$9, 100%, $F$9) + CHOOSE(CONTROL!$C$27, 0.0021, 0)</f>
        <v>78.093199999999996</v>
      </c>
      <c r="E463" s="14">
        <f>77.9545 * CHOOSE(CONTROL!$C$9, $D$9, 100%, $F$9) + CHOOSE(CONTROL!$C$27, 0.0021, 0)</f>
        <v>77.956599999999995</v>
      </c>
      <c r="F463" s="14">
        <f>77.9545 * CHOOSE(CONTROL!$C$9, $D$9, 100%, $F$9) + CHOOSE(CONTROL!$C$27, 0.0021, 0)</f>
        <v>77.956599999999995</v>
      </c>
      <c r="G463" s="14">
        <f>78.2258 * CHOOSE(CONTROL!$C$9, $D$9, 100%, $F$9) + CHOOSE(CONTROL!$C$27, 0.0021, 0)</f>
        <v>78.227900000000005</v>
      </c>
      <c r="H463" s="14">
        <f>78.0911 * CHOOSE(CONTROL!$C$9, $D$9, 100%, $F$9) + CHOOSE(CONTROL!$C$27, 0.0021, 0)</f>
        <v>78.093199999999996</v>
      </c>
      <c r="I463" s="14">
        <f>78.0911 * CHOOSE(CONTROL!$C$9, $D$9, 100%, $F$9) + CHOOSE(CONTROL!$C$27, 0.0021, 0)</f>
        <v>78.093199999999996</v>
      </c>
      <c r="J463" s="14">
        <f>78.0911 * CHOOSE(CONTROL!$C$9, $D$9, 100%, $F$9) + CHOOSE(CONTROL!$C$27, 0.0021, 0)</f>
        <v>78.093199999999996</v>
      </c>
      <c r="K463" s="14">
        <f>78.0911 * CHOOSE(CONTROL!$C$9, $D$9, 100%, $F$9) + CHOOSE(CONTROL!$C$27, 0.0021, 0)</f>
        <v>78.093199999999996</v>
      </c>
      <c r="L463" s="14"/>
    </row>
    <row r="464" spans="1:12" ht="15.75" x14ac:dyDescent="0.25">
      <c r="A464" s="33">
        <v>55061</v>
      </c>
      <c r="B464" s="14">
        <f>80.0735 * CHOOSE(CONTROL!$C$9, $D$9, 100%, $F$9) + CHOOSE(CONTROL!$C$27, 0.0021, 0)</f>
        <v>80.075599999999994</v>
      </c>
      <c r="C464" s="14">
        <f>79.6413 * CHOOSE(CONTROL!$C$9, $D$9, 100%, $F$9) + CHOOSE(CONTROL!$C$27, 0.0021, 0)</f>
        <v>79.6434</v>
      </c>
      <c r="D464" s="14">
        <f>79.6413 * CHOOSE(CONTROL!$C$9, $D$9, 100%, $F$9) + CHOOSE(CONTROL!$C$27, 0.0021, 0)</f>
        <v>79.6434</v>
      </c>
      <c r="E464" s="14">
        <f>79.5046 * CHOOSE(CONTROL!$C$9, $D$9, 100%, $F$9) + CHOOSE(CONTROL!$C$27, 0.0021, 0)</f>
        <v>79.506699999999995</v>
      </c>
      <c r="F464" s="14">
        <f>79.5046 * CHOOSE(CONTROL!$C$9, $D$9, 100%, $F$9) + CHOOSE(CONTROL!$C$27, 0.0021, 0)</f>
        <v>79.506699999999995</v>
      </c>
      <c r="G464" s="14">
        <f>79.776 * CHOOSE(CONTROL!$C$9, $D$9, 100%, $F$9) + CHOOSE(CONTROL!$C$27, 0.0021, 0)</f>
        <v>79.778099999999995</v>
      </c>
      <c r="H464" s="14">
        <f>79.6413 * CHOOSE(CONTROL!$C$9, $D$9, 100%, $F$9) + CHOOSE(CONTROL!$C$27, 0.0021, 0)</f>
        <v>79.6434</v>
      </c>
      <c r="I464" s="14">
        <f>79.6413 * CHOOSE(CONTROL!$C$9, $D$9, 100%, $F$9) + CHOOSE(CONTROL!$C$27, 0.0021, 0)</f>
        <v>79.6434</v>
      </c>
      <c r="J464" s="14">
        <f>79.6413 * CHOOSE(CONTROL!$C$9, $D$9, 100%, $F$9) + CHOOSE(CONTROL!$C$27, 0.0021, 0)</f>
        <v>79.6434</v>
      </c>
      <c r="K464" s="14">
        <f>79.6413 * CHOOSE(CONTROL!$C$9, $D$9, 100%, $F$9) + CHOOSE(CONTROL!$C$27, 0.0021, 0)</f>
        <v>79.6434</v>
      </c>
      <c r="L464" s="14"/>
    </row>
    <row r="465" spans="1:12" ht="15.75" x14ac:dyDescent="0.25">
      <c r="A465" s="33">
        <v>55092</v>
      </c>
      <c r="B465" s="14">
        <f>82.0358 * CHOOSE(CONTROL!$C$9, $D$9, 100%, $F$9) + CHOOSE(CONTROL!$C$27, 0.0021, 0)</f>
        <v>82.037899999999993</v>
      </c>
      <c r="C465" s="14">
        <f>81.6035 * CHOOSE(CONTROL!$C$9, $D$9, 100%, $F$9) + CHOOSE(CONTROL!$C$27, 0.0021, 0)</f>
        <v>81.605599999999995</v>
      </c>
      <c r="D465" s="14">
        <f>81.6035 * CHOOSE(CONTROL!$C$9, $D$9, 100%, $F$9) + CHOOSE(CONTROL!$C$27, 0.0021, 0)</f>
        <v>81.605599999999995</v>
      </c>
      <c r="E465" s="14">
        <f>81.4668 * CHOOSE(CONTROL!$C$9, $D$9, 100%, $F$9) + CHOOSE(CONTROL!$C$27, 0.0021, 0)</f>
        <v>81.468900000000005</v>
      </c>
      <c r="F465" s="14">
        <f>81.4668 * CHOOSE(CONTROL!$C$9, $D$9, 100%, $F$9) + CHOOSE(CONTROL!$C$27, 0.0021, 0)</f>
        <v>81.468900000000005</v>
      </c>
      <c r="G465" s="14">
        <f>81.7382 * CHOOSE(CONTROL!$C$9, $D$9, 100%, $F$9) + CHOOSE(CONTROL!$C$27, 0.0021, 0)</f>
        <v>81.740300000000005</v>
      </c>
      <c r="H465" s="14">
        <f>81.6035 * CHOOSE(CONTROL!$C$9, $D$9, 100%, $F$9) + CHOOSE(CONTROL!$C$27, 0.0021, 0)</f>
        <v>81.605599999999995</v>
      </c>
      <c r="I465" s="14">
        <f>81.6035 * CHOOSE(CONTROL!$C$9, $D$9, 100%, $F$9) + CHOOSE(CONTROL!$C$27, 0.0021, 0)</f>
        <v>81.605599999999995</v>
      </c>
      <c r="J465" s="14">
        <f>81.6035 * CHOOSE(CONTROL!$C$9, $D$9, 100%, $F$9) + CHOOSE(CONTROL!$C$27, 0.0021, 0)</f>
        <v>81.605599999999995</v>
      </c>
      <c r="K465" s="14">
        <f>81.6035 * CHOOSE(CONTROL!$C$9, $D$9, 100%, $F$9) + CHOOSE(CONTROL!$C$27, 0.0021, 0)</f>
        <v>81.605599999999995</v>
      </c>
      <c r="L465" s="14"/>
    </row>
    <row r="466" spans="1:12" ht="15.75" x14ac:dyDescent="0.25">
      <c r="A466" s="33">
        <v>55122</v>
      </c>
      <c r="B466" s="14">
        <f>82.22 * CHOOSE(CONTROL!$C$9, $D$9, 100%, $F$9) + CHOOSE(CONTROL!$C$27, 0.0021, 0)</f>
        <v>82.222099999999998</v>
      </c>
      <c r="C466" s="14">
        <f>81.7877 * CHOOSE(CONTROL!$C$9, $D$9, 100%, $F$9) + CHOOSE(CONTROL!$C$27, 0.0021, 0)</f>
        <v>81.7898</v>
      </c>
      <c r="D466" s="14">
        <f>81.7877 * CHOOSE(CONTROL!$C$9, $D$9, 100%, $F$9) + CHOOSE(CONTROL!$C$27, 0.0021, 0)</f>
        <v>81.7898</v>
      </c>
      <c r="E466" s="14">
        <f>81.6511 * CHOOSE(CONTROL!$C$9, $D$9, 100%, $F$9) + CHOOSE(CONTROL!$C$27, 0.0021, 0)</f>
        <v>81.653199999999998</v>
      </c>
      <c r="F466" s="14">
        <f>81.6511 * CHOOSE(CONTROL!$C$9, $D$9, 100%, $F$9) + CHOOSE(CONTROL!$C$27, 0.0021, 0)</f>
        <v>81.653199999999998</v>
      </c>
      <c r="G466" s="14">
        <f>81.9224 * CHOOSE(CONTROL!$C$9, $D$9, 100%, $F$9) + CHOOSE(CONTROL!$C$27, 0.0021, 0)</f>
        <v>81.924499999999995</v>
      </c>
      <c r="H466" s="14">
        <f>81.7877 * CHOOSE(CONTROL!$C$9, $D$9, 100%, $F$9) + CHOOSE(CONTROL!$C$27, 0.0021, 0)</f>
        <v>81.7898</v>
      </c>
      <c r="I466" s="14">
        <f>81.7877 * CHOOSE(CONTROL!$C$9, $D$9, 100%, $F$9) + CHOOSE(CONTROL!$C$27, 0.0021, 0)</f>
        <v>81.7898</v>
      </c>
      <c r="J466" s="14">
        <f>81.7877 * CHOOSE(CONTROL!$C$9, $D$9, 100%, $F$9) + CHOOSE(CONTROL!$C$27, 0.0021, 0)</f>
        <v>81.7898</v>
      </c>
      <c r="K466" s="14">
        <f>81.7877 * CHOOSE(CONTROL!$C$9, $D$9, 100%, $F$9) + CHOOSE(CONTROL!$C$27, 0.0021, 0)</f>
        <v>81.7898</v>
      </c>
      <c r="L466" s="14"/>
    </row>
    <row r="467" spans="1:12" ht="15.75" x14ac:dyDescent="0.25">
      <c r="A467" s="33">
        <v>55153</v>
      </c>
      <c r="B467" s="14">
        <f>80.6528 * CHOOSE(CONTROL!$C$9, $D$9, 100%, $F$9) + CHOOSE(CONTROL!$C$27, 0.0021, 0)</f>
        <v>80.654899999999998</v>
      </c>
      <c r="C467" s="14">
        <f>80.2205 * CHOOSE(CONTROL!$C$9, $D$9, 100%, $F$9) + CHOOSE(CONTROL!$C$27, 0.0021, 0)</f>
        <v>80.2226</v>
      </c>
      <c r="D467" s="14">
        <f>80.2205 * CHOOSE(CONTROL!$C$9, $D$9, 100%, $F$9) + CHOOSE(CONTROL!$C$27, 0.0021, 0)</f>
        <v>80.2226</v>
      </c>
      <c r="E467" s="14">
        <f>80.0839 * CHOOSE(CONTROL!$C$9, $D$9, 100%, $F$9) + CHOOSE(CONTROL!$C$27, 0.0021, 0)</f>
        <v>80.085999999999999</v>
      </c>
      <c r="F467" s="14">
        <f>80.0839 * CHOOSE(CONTROL!$C$9, $D$9, 100%, $F$9) + CHOOSE(CONTROL!$C$27, 0.0021, 0)</f>
        <v>80.085999999999999</v>
      </c>
      <c r="G467" s="14">
        <f>80.3552 * CHOOSE(CONTROL!$C$9, $D$9, 100%, $F$9) + CHOOSE(CONTROL!$C$27, 0.0021, 0)</f>
        <v>80.357299999999995</v>
      </c>
      <c r="H467" s="14">
        <f>80.2205 * CHOOSE(CONTROL!$C$9, $D$9, 100%, $F$9) + CHOOSE(CONTROL!$C$27, 0.0021, 0)</f>
        <v>80.2226</v>
      </c>
      <c r="I467" s="14">
        <f>80.2205 * CHOOSE(CONTROL!$C$9, $D$9, 100%, $F$9) + CHOOSE(CONTROL!$C$27, 0.0021, 0)</f>
        <v>80.2226</v>
      </c>
      <c r="J467" s="14">
        <f>80.2205 * CHOOSE(CONTROL!$C$9, $D$9, 100%, $F$9) + CHOOSE(CONTROL!$C$27, 0.0021, 0)</f>
        <v>80.2226</v>
      </c>
      <c r="K467" s="14">
        <f>80.2205 * CHOOSE(CONTROL!$C$9, $D$9, 100%, $F$9) + CHOOSE(CONTROL!$C$27, 0.0021, 0)</f>
        <v>80.2226</v>
      </c>
      <c r="L467" s="14"/>
    </row>
    <row r="468" spans="1:12" ht="15.75" x14ac:dyDescent="0.25">
      <c r="A468" s="33">
        <v>55184</v>
      </c>
      <c r="B468" s="14">
        <f>79.6622 * CHOOSE(CONTROL!$C$9, $D$9, 100%, $F$9) + CHOOSE(CONTROL!$C$27, 0.0021, 0)</f>
        <v>79.664299999999997</v>
      </c>
      <c r="C468" s="14">
        <f>79.23 * CHOOSE(CONTROL!$C$9, $D$9, 100%, $F$9) + CHOOSE(CONTROL!$C$27, 0.0021, 0)</f>
        <v>79.232100000000003</v>
      </c>
      <c r="D468" s="14">
        <f>79.23 * CHOOSE(CONTROL!$C$9, $D$9, 100%, $F$9) + CHOOSE(CONTROL!$C$27, 0.0021, 0)</f>
        <v>79.232100000000003</v>
      </c>
      <c r="E468" s="14">
        <f>79.0933 * CHOOSE(CONTROL!$C$9, $D$9, 100%, $F$9) + CHOOSE(CONTROL!$C$27, 0.0021, 0)</f>
        <v>79.095399999999998</v>
      </c>
      <c r="F468" s="14">
        <f>79.0933 * CHOOSE(CONTROL!$C$9, $D$9, 100%, $F$9) + CHOOSE(CONTROL!$C$27, 0.0021, 0)</f>
        <v>79.095399999999998</v>
      </c>
      <c r="G468" s="14">
        <f>79.3647 * CHOOSE(CONTROL!$C$9, $D$9, 100%, $F$9) + CHOOSE(CONTROL!$C$27, 0.0021, 0)</f>
        <v>79.366799999999998</v>
      </c>
      <c r="H468" s="14">
        <f>79.23 * CHOOSE(CONTROL!$C$9, $D$9, 100%, $F$9) + CHOOSE(CONTROL!$C$27, 0.0021, 0)</f>
        <v>79.232100000000003</v>
      </c>
      <c r="I468" s="14">
        <f>79.23 * CHOOSE(CONTROL!$C$9, $D$9, 100%, $F$9) + CHOOSE(CONTROL!$C$27, 0.0021, 0)</f>
        <v>79.232100000000003</v>
      </c>
      <c r="J468" s="14">
        <f>79.23 * CHOOSE(CONTROL!$C$9, $D$9, 100%, $F$9) + CHOOSE(CONTROL!$C$27, 0.0021, 0)</f>
        <v>79.232100000000003</v>
      </c>
      <c r="K468" s="14">
        <f>79.23 * CHOOSE(CONTROL!$C$9, $D$9, 100%, $F$9) + CHOOSE(CONTROL!$C$27, 0.0021, 0)</f>
        <v>79.232100000000003</v>
      </c>
      <c r="L468" s="14"/>
    </row>
    <row r="469" spans="1:12" ht="15.75" x14ac:dyDescent="0.25">
      <c r="A469" s="33">
        <v>55212</v>
      </c>
      <c r="B469" s="14">
        <f>77.4738 * CHOOSE(CONTROL!$C$9, $D$9, 100%, $F$9) + CHOOSE(CONTROL!$C$27, 0.0021, 0)</f>
        <v>77.475899999999996</v>
      </c>
      <c r="C469" s="14">
        <f>77.0415 * CHOOSE(CONTROL!$C$9, $D$9, 100%, $F$9) + CHOOSE(CONTROL!$C$27, 0.0021, 0)</f>
        <v>77.043599999999998</v>
      </c>
      <c r="D469" s="14">
        <f>77.0415 * CHOOSE(CONTROL!$C$9, $D$9, 100%, $F$9) + CHOOSE(CONTROL!$C$27, 0.0021, 0)</f>
        <v>77.043599999999998</v>
      </c>
      <c r="E469" s="14">
        <f>76.9049 * CHOOSE(CONTROL!$C$9, $D$9, 100%, $F$9) + CHOOSE(CONTROL!$C$27, 0.0021, 0)</f>
        <v>76.906999999999996</v>
      </c>
      <c r="F469" s="14">
        <f>76.9049 * CHOOSE(CONTROL!$C$9, $D$9, 100%, $F$9) + CHOOSE(CONTROL!$C$27, 0.0021, 0)</f>
        <v>76.906999999999996</v>
      </c>
      <c r="G469" s="14">
        <f>77.1763 * CHOOSE(CONTROL!$C$9, $D$9, 100%, $F$9) + CHOOSE(CONTROL!$C$27, 0.0021, 0)</f>
        <v>77.178399999999996</v>
      </c>
      <c r="H469" s="14">
        <f>77.0415 * CHOOSE(CONTROL!$C$9, $D$9, 100%, $F$9) + CHOOSE(CONTROL!$C$27, 0.0021, 0)</f>
        <v>77.043599999999998</v>
      </c>
      <c r="I469" s="14">
        <f>77.0415 * CHOOSE(CONTROL!$C$9, $D$9, 100%, $F$9) + CHOOSE(CONTROL!$C$27, 0.0021, 0)</f>
        <v>77.043599999999998</v>
      </c>
      <c r="J469" s="14">
        <f>77.0415 * CHOOSE(CONTROL!$C$9, $D$9, 100%, $F$9) + CHOOSE(CONTROL!$C$27, 0.0021, 0)</f>
        <v>77.043599999999998</v>
      </c>
      <c r="K469" s="14">
        <f>77.0415 * CHOOSE(CONTROL!$C$9, $D$9, 100%, $F$9) + CHOOSE(CONTROL!$C$27, 0.0021, 0)</f>
        <v>77.043599999999998</v>
      </c>
      <c r="L469" s="14"/>
    </row>
    <row r="470" spans="1:12" ht="15.75" x14ac:dyDescent="0.25">
      <c r="A470" s="33">
        <v>55243</v>
      </c>
      <c r="B470" s="14">
        <f>76.5704 * CHOOSE(CONTROL!$C$9, $D$9, 100%, $F$9) + CHOOSE(CONTROL!$C$27, 0.0021, 0)</f>
        <v>76.572500000000005</v>
      </c>
      <c r="C470" s="14">
        <f>76.1382 * CHOOSE(CONTROL!$C$9, $D$9, 100%, $F$9) + CHOOSE(CONTROL!$C$27, 0.0021, 0)</f>
        <v>76.140299999999996</v>
      </c>
      <c r="D470" s="14">
        <f>76.1382 * CHOOSE(CONTROL!$C$9, $D$9, 100%, $F$9) + CHOOSE(CONTROL!$C$27, 0.0021, 0)</f>
        <v>76.140299999999996</v>
      </c>
      <c r="E470" s="14">
        <f>76.0015 * CHOOSE(CONTROL!$C$9, $D$9, 100%, $F$9) + CHOOSE(CONTROL!$C$27, 0.0021, 0)</f>
        <v>76.003599999999992</v>
      </c>
      <c r="F470" s="14">
        <f>76.0015 * CHOOSE(CONTROL!$C$9, $D$9, 100%, $F$9) + CHOOSE(CONTROL!$C$27, 0.0021, 0)</f>
        <v>76.003599999999992</v>
      </c>
      <c r="G470" s="14">
        <f>76.2729 * CHOOSE(CONTROL!$C$9, $D$9, 100%, $F$9) + CHOOSE(CONTROL!$C$27, 0.0021, 0)</f>
        <v>76.275000000000006</v>
      </c>
      <c r="H470" s="14">
        <f>76.1382 * CHOOSE(CONTROL!$C$9, $D$9, 100%, $F$9) + CHOOSE(CONTROL!$C$27, 0.0021, 0)</f>
        <v>76.140299999999996</v>
      </c>
      <c r="I470" s="14">
        <f>76.1382 * CHOOSE(CONTROL!$C$9, $D$9, 100%, $F$9) + CHOOSE(CONTROL!$C$27, 0.0021, 0)</f>
        <v>76.140299999999996</v>
      </c>
      <c r="J470" s="14">
        <f>76.1382 * CHOOSE(CONTROL!$C$9, $D$9, 100%, $F$9) + CHOOSE(CONTROL!$C$27, 0.0021, 0)</f>
        <v>76.140299999999996</v>
      </c>
      <c r="K470" s="14">
        <f>76.1382 * CHOOSE(CONTROL!$C$9, $D$9, 100%, $F$9) + CHOOSE(CONTROL!$C$27, 0.0021, 0)</f>
        <v>76.140299999999996</v>
      </c>
      <c r="L470" s="14"/>
    </row>
    <row r="471" spans="1:12" ht="15.75" x14ac:dyDescent="0.25">
      <c r="A471" s="33">
        <v>55273</v>
      </c>
      <c r="B471" s="14">
        <f>75.4917 * CHOOSE(CONTROL!$C$9, $D$9, 100%, $F$9) + CHOOSE(CONTROL!$C$27, 0.0021, 0)</f>
        <v>75.493799999999993</v>
      </c>
      <c r="C471" s="14">
        <f>75.0595 * CHOOSE(CONTROL!$C$9, $D$9, 100%, $F$9) + CHOOSE(CONTROL!$C$27, 0.0021, 0)</f>
        <v>75.061599999999999</v>
      </c>
      <c r="D471" s="14">
        <f>75.0595 * CHOOSE(CONTROL!$C$9, $D$9, 100%, $F$9) + CHOOSE(CONTROL!$C$27, 0.0021, 0)</f>
        <v>75.061599999999999</v>
      </c>
      <c r="E471" s="14">
        <f>74.9228 * CHOOSE(CONTROL!$C$9, $D$9, 100%, $F$9) + CHOOSE(CONTROL!$C$27, 0.0021, 0)</f>
        <v>74.924899999999994</v>
      </c>
      <c r="F471" s="14">
        <f>74.9228 * CHOOSE(CONTROL!$C$9, $D$9, 100%, $F$9) + CHOOSE(CONTROL!$C$27, 0.0021, 0)</f>
        <v>74.924899999999994</v>
      </c>
      <c r="G471" s="14">
        <f>75.1942 * CHOOSE(CONTROL!$C$9, $D$9, 100%, $F$9) + CHOOSE(CONTROL!$C$27, 0.0021, 0)</f>
        <v>75.196299999999994</v>
      </c>
      <c r="H471" s="14">
        <f>75.0595 * CHOOSE(CONTROL!$C$9, $D$9, 100%, $F$9) + CHOOSE(CONTROL!$C$27, 0.0021, 0)</f>
        <v>75.061599999999999</v>
      </c>
      <c r="I471" s="14">
        <f>75.0595 * CHOOSE(CONTROL!$C$9, $D$9, 100%, $F$9) + CHOOSE(CONTROL!$C$27, 0.0021, 0)</f>
        <v>75.061599999999999</v>
      </c>
      <c r="J471" s="14">
        <f>75.0595 * CHOOSE(CONTROL!$C$9, $D$9, 100%, $F$9) + CHOOSE(CONTROL!$C$27, 0.0021, 0)</f>
        <v>75.061599999999999</v>
      </c>
      <c r="K471" s="14">
        <f>75.0595 * CHOOSE(CONTROL!$C$9, $D$9, 100%, $F$9) + CHOOSE(CONTROL!$C$27, 0.0021, 0)</f>
        <v>75.061599999999999</v>
      </c>
      <c r="L471" s="14"/>
    </row>
    <row r="472" spans="1:12" ht="15.75" x14ac:dyDescent="0.25">
      <c r="A472" s="33">
        <v>55304</v>
      </c>
      <c r="B472" s="14">
        <f>77.029 * CHOOSE(CONTROL!$C$9, $D$9, 100%, $F$9) + CHOOSE(CONTROL!$C$27, 0.0021, 0)</f>
        <v>77.031099999999995</v>
      </c>
      <c r="C472" s="14">
        <f>76.5967 * CHOOSE(CONTROL!$C$9, $D$9, 100%, $F$9) + CHOOSE(CONTROL!$C$27, 0.0021, 0)</f>
        <v>76.598799999999997</v>
      </c>
      <c r="D472" s="14">
        <f>76.5967 * CHOOSE(CONTROL!$C$9, $D$9, 100%, $F$9) + CHOOSE(CONTROL!$C$27, 0.0021, 0)</f>
        <v>76.598799999999997</v>
      </c>
      <c r="E472" s="14">
        <f>76.4601 * CHOOSE(CONTROL!$C$9, $D$9, 100%, $F$9) + CHOOSE(CONTROL!$C$27, 0.0021, 0)</f>
        <v>76.462199999999996</v>
      </c>
      <c r="F472" s="14">
        <f>76.4601 * CHOOSE(CONTROL!$C$9, $D$9, 100%, $F$9) + CHOOSE(CONTROL!$C$27, 0.0021, 0)</f>
        <v>76.462199999999996</v>
      </c>
      <c r="G472" s="14">
        <f>76.7314 * CHOOSE(CONTROL!$C$9, $D$9, 100%, $F$9) + CHOOSE(CONTROL!$C$27, 0.0021, 0)</f>
        <v>76.733499999999992</v>
      </c>
      <c r="H472" s="14">
        <f>76.5967 * CHOOSE(CONTROL!$C$9, $D$9, 100%, $F$9) + CHOOSE(CONTROL!$C$27, 0.0021, 0)</f>
        <v>76.598799999999997</v>
      </c>
      <c r="I472" s="14">
        <f>76.5967 * CHOOSE(CONTROL!$C$9, $D$9, 100%, $F$9) + CHOOSE(CONTROL!$C$27, 0.0021, 0)</f>
        <v>76.598799999999997</v>
      </c>
      <c r="J472" s="14">
        <f>76.5967 * CHOOSE(CONTROL!$C$9, $D$9, 100%, $F$9) + CHOOSE(CONTROL!$C$27, 0.0021, 0)</f>
        <v>76.598799999999997</v>
      </c>
      <c r="K472" s="14">
        <f>76.5967 * CHOOSE(CONTROL!$C$9, $D$9, 100%, $F$9) + CHOOSE(CONTROL!$C$27, 0.0021, 0)</f>
        <v>76.598799999999997</v>
      </c>
      <c r="L472" s="14"/>
    </row>
    <row r="473" spans="1:12" ht="15.75" x14ac:dyDescent="0.25">
      <c r="A473" s="33">
        <v>55334</v>
      </c>
      <c r="B473" s="14">
        <f>77.9497 * CHOOSE(CONTROL!$C$9, $D$9, 100%, $F$9) + CHOOSE(CONTROL!$C$27, 0.0021, 0)</f>
        <v>77.951800000000006</v>
      </c>
      <c r="C473" s="14">
        <f>77.5174 * CHOOSE(CONTROL!$C$9, $D$9, 100%, $F$9) + CHOOSE(CONTROL!$C$27, 0.0021, 0)</f>
        <v>77.519499999999994</v>
      </c>
      <c r="D473" s="14">
        <f>77.5174 * CHOOSE(CONTROL!$C$9, $D$9, 100%, $F$9) + CHOOSE(CONTROL!$C$27, 0.0021, 0)</f>
        <v>77.519499999999994</v>
      </c>
      <c r="E473" s="14">
        <f>77.3808 * CHOOSE(CONTROL!$C$9, $D$9, 100%, $F$9) + CHOOSE(CONTROL!$C$27, 0.0021, 0)</f>
        <v>77.382899999999992</v>
      </c>
      <c r="F473" s="14">
        <f>77.3808 * CHOOSE(CONTROL!$C$9, $D$9, 100%, $F$9) + CHOOSE(CONTROL!$C$27, 0.0021, 0)</f>
        <v>77.382899999999992</v>
      </c>
      <c r="G473" s="14">
        <f>77.6522 * CHOOSE(CONTROL!$C$9, $D$9, 100%, $F$9) + CHOOSE(CONTROL!$C$27, 0.0021, 0)</f>
        <v>77.654299999999992</v>
      </c>
      <c r="H473" s="14">
        <f>77.5174 * CHOOSE(CONTROL!$C$9, $D$9, 100%, $F$9) + CHOOSE(CONTROL!$C$27, 0.0021, 0)</f>
        <v>77.519499999999994</v>
      </c>
      <c r="I473" s="14">
        <f>77.5174 * CHOOSE(CONTROL!$C$9, $D$9, 100%, $F$9) + CHOOSE(CONTROL!$C$27, 0.0021, 0)</f>
        <v>77.519499999999994</v>
      </c>
      <c r="J473" s="14">
        <f>77.5174 * CHOOSE(CONTROL!$C$9, $D$9, 100%, $F$9) + CHOOSE(CONTROL!$C$27, 0.0021, 0)</f>
        <v>77.519499999999994</v>
      </c>
      <c r="K473" s="14">
        <f>77.5174 * CHOOSE(CONTROL!$C$9, $D$9, 100%, $F$9) + CHOOSE(CONTROL!$C$27, 0.0021, 0)</f>
        <v>77.519499999999994</v>
      </c>
      <c r="L473" s="14"/>
    </row>
    <row r="474" spans="1:12" ht="15.75" x14ac:dyDescent="0.25">
      <c r="A474" s="33">
        <v>55365</v>
      </c>
      <c r="B474" s="14">
        <f>79.4686 * CHOOSE(CONTROL!$C$9, $D$9, 100%, $F$9) + CHOOSE(CONTROL!$C$27, 0.0021, 0)</f>
        <v>79.470699999999994</v>
      </c>
      <c r="C474" s="14">
        <f>79.0363 * CHOOSE(CONTROL!$C$9, $D$9, 100%, $F$9) + CHOOSE(CONTROL!$C$27, 0.0021, 0)</f>
        <v>79.038399999999996</v>
      </c>
      <c r="D474" s="14">
        <f>79.0363 * CHOOSE(CONTROL!$C$9, $D$9, 100%, $F$9) + CHOOSE(CONTROL!$C$27, 0.0021, 0)</f>
        <v>79.038399999999996</v>
      </c>
      <c r="E474" s="14">
        <f>78.8997 * CHOOSE(CONTROL!$C$9, $D$9, 100%, $F$9) + CHOOSE(CONTROL!$C$27, 0.0021, 0)</f>
        <v>78.901799999999994</v>
      </c>
      <c r="F474" s="14">
        <f>78.8997 * CHOOSE(CONTROL!$C$9, $D$9, 100%, $F$9) + CHOOSE(CONTROL!$C$27, 0.0021, 0)</f>
        <v>78.901799999999994</v>
      </c>
      <c r="G474" s="14">
        <f>79.171 * CHOOSE(CONTROL!$C$9, $D$9, 100%, $F$9) + CHOOSE(CONTROL!$C$27, 0.0021, 0)</f>
        <v>79.173100000000005</v>
      </c>
      <c r="H474" s="14">
        <f>79.0363 * CHOOSE(CONTROL!$C$9, $D$9, 100%, $F$9) + CHOOSE(CONTROL!$C$27, 0.0021, 0)</f>
        <v>79.038399999999996</v>
      </c>
      <c r="I474" s="14">
        <f>79.0363 * CHOOSE(CONTROL!$C$9, $D$9, 100%, $F$9) + CHOOSE(CONTROL!$C$27, 0.0021, 0)</f>
        <v>79.038399999999996</v>
      </c>
      <c r="J474" s="14">
        <f>79.0363 * CHOOSE(CONTROL!$C$9, $D$9, 100%, $F$9) + CHOOSE(CONTROL!$C$27, 0.0021, 0)</f>
        <v>79.038399999999996</v>
      </c>
      <c r="K474" s="14">
        <f>79.0363 * CHOOSE(CONTROL!$C$9, $D$9, 100%, $F$9) + CHOOSE(CONTROL!$C$27, 0.0021, 0)</f>
        <v>79.038399999999996</v>
      </c>
      <c r="L474" s="14"/>
    </row>
    <row r="475" spans="1:12" ht="15.75" x14ac:dyDescent="0.25">
      <c r="A475" s="33">
        <v>55396</v>
      </c>
      <c r="B475" s="14">
        <f>79.9322 * CHOOSE(CONTROL!$C$9, $D$9, 100%, $F$9) + CHOOSE(CONTROL!$C$27, 0.0021, 0)</f>
        <v>79.934299999999993</v>
      </c>
      <c r="C475" s="14">
        <f>79.4999 * CHOOSE(CONTROL!$C$9, $D$9, 100%, $F$9) + CHOOSE(CONTROL!$C$27, 0.0021, 0)</f>
        <v>79.501999999999995</v>
      </c>
      <c r="D475" s="14">
        <f>79.4999 * CHOOSE(CONTROL!$C$9, $D$9, 100%, $F$9) + CHOOSE(CONTROL!$C$27, 0.0021, 0)</f>
        <v>79.501999999999995</v>
      </c>
      <c r="E475" s="14">
        <f>79.3633 * CHOOSE(CONTROL!$C$9, $D$9, 100%, $F$9) + CHOOSE(CONTROL!$C$27, 0.0021, 0)</f>
        <v>79.365399999999994</v>
      </c>
      <c r="F475" s="14">
        <f>79.3633 * CHOOSE(CONTROL!$C$9, $D$9, 100%, $F$9) + CHOOSE(CONTROL!$C$27, 0.0021, 0)</f>
        <v>79.365399999999994</v>
      </c>
      <c r="G475" s="14">
        <f>79.6346 * CHOOSE(CONTROL!$C$9, $D$9, 100%, $F$9) + CHOOSE(CONTROL!$C$27, 0.0021, 0)</f>
        <v>79.636700000000005</v>
      </c>
      <c r="H475" s="14">
        <f>79.4999 * CHOOSE(CONTROL!$C$9, $D$9, 100%, $F$9) + CHOOSE(CONTROL!$C$27, 0.0021, 0)</f>
        <v>79.501999999999995</v>
      </c>
      <c r="I475" s="14">
        <f>79.4999 * CHOOSE(CONTROL!$C$9, $D$9, 100%, $F$9) + CHOOSE(CONTROL!$C$27, 0.0021, 0)</f>
        <v>79.501999999999995</v>
      </c>
      <c r="J475" s="14">
        <f>79.4999 * CHOOSE(CONTROL!$C$9, $D$9, 100%, $F$9) + CHOOSE(CONTROL!$C$27, 0.0021, 0)</f>
        <v>79.501999999999995</v>
      </c>
      <c r="K475" s="14">
        <f>79.4999 * CHOOSE(CONTROL!$C$9, $D$9, 100%, $F$9) + CHOOSE(CONTROL!$C$27, 0.0021, 0)</f>
        <v>79.501999999999995</v>
      </c>
      <c r="L475" s="14"/>
    </row>
    <row r="476" spans="1:12" ht="15.75" x14ac:dyDescent="0.25">
      <c r="A476" s="33">
        <v>55426</v>
      </c>
      <c r="B476" s="14">
        <f>81.511 * CHOOSE(CONTROL!$C$9, $D$9, 100%, $F$9) + CHOOSE(CONTROL!$C$27, 0.0021, 0)</f>
        <v>81.513099999999994</v>
      </c>
      <c r="C476" s="14">
        <f>81.0787 * CHOOSE(CONTROL!$C$9, $D$9, 100%, $F$9) + CHOOSE(CONTROL!$C$27, 0.0021, 0)</f>
        <v>81.080799999999996</v>
      </c>
      <c r="D476" s="14">
        <f>81.0787 * CHOOSE(CONTROL!$C$9, $D$9, 100%, $F$9) + CHOOSE(CONTROL!$C$27, 0.0021, 0)</f>
        <v>81.080799999999996</v>
      </c>
      <c r="E476" s="14">
        <f>80.9421 * CHOOSE(CONTROL!$C$9, $D$9, 100%, $F$9) + CHOOSE(CONTROL!$C$27, 0.0021, 0)</f>
        <v>80.944199999999995</v>
      </c>
      <c r="F476" s="14">
        <f>80.9421 * CHOOSE(CONTROL!$C$9, $D$9, 100%, $F$9) + CHOOSE(CONTROL!$C$27, 0.0021, 0)</f>
        <v>80.944199999999995</v>
      </c>
      <c r="G476" s="14">
        <f>81.2134 * CHOOSE(CONTROL!$C$9, $D$9, 100%, $F$9) + CHOOSE(CONTROL!$C$27, 0.0021, 0)</f>
        <v>81.215499999999992</v>
      </c>
      <c r="H476" s="14">
        <f>81.0787 * CHOOSE(CONTROL!$C$9, $D$9, 100%, $F$9) + CHOOSE(CONTROL!$C$27, 0.0021, 0)</f>
        <v>81.080799999999996</v>
      </c>
      <c r="I476" s="14">
        <f>81.0787 * CHOOSE(CONTROL!$C$9, $D$9, 100%, $F$9) + CHOOSE(CONTROL!$C$27, 0.0021, 0)</f>
        <v>81.080799999999996</v>
      </c>
      <c r="J476" s="14">
        <f>81.0787 * CHOOSE(CONTROL!$C$9, $D$9, 100%, $F$9) + CHOOSE(CONTROL!$C$27, 0.0021, 0)</f>
        <v>81.080799999999996</v>
      </c>
      <c r="K476" s="14">
        <f>81.0787 * CHOOSE(CONTROL!$C$9, $D$9, 100%, $F$9) + CHOOSE(CONTROL!$C$27, 0.0021, 0)</f>
        <v>81.080799999999996</v>
      </c>
      <c r="L476" s="14"/>
    </row>
    <row r="477" spans="1:12" ht="15.75" x14ac:dyDescent="0.25">
      <c r="A477" s="33">
        <v>55457</v>
      </c>
      <c r="B477" s="14">
        <f>83.5095 * CHOOSE(CONTROL!$C$9, $D$9, 100%, $F$9) + CHOOSE(CONTROL!$C$27, 0.0021, 0)</f>
        <v>83.511600000000001</v>
      </c>
      <c r="C477" s="14">
        <f>83.0772 * CHOOSE(CONTROL!$C$9, $D$9, 100%, $F$9) + CHOOSE(CONTROL!$C$27, 0.0021, 0)</f>
        <v>83.079300000000003</v>
      </c>
      <c r="D477" s="14">
        <f>83.0772 * CHOOSE(CONTROL!$C$9, $D$9, 100%, $F$9) + CHOOSE(CONTROL!$C$27, 0.0021, 0)</f>
        <v>83.079300000000003</v>
      </c>
      <c r="E477" s="14">
        <f>82.9406 * CHOOSE(CONTROL!$C$9, $D$9, 100%, $F$9) + CHOOSE(CONTROL!$C$27, 0.0021, 0)</f>
        <v>82.942700000000002</v>
      </c>
      <c r="F477" s="14">
        <f>82.9406 * CHOOSE(CONTROL!$C$9, $D$9, 100%, $F$9) + CHOOSE(CONTROL!$C$27, 0.0021, 0)</f>
        <v>82.942700000000002</v>
      </c>
      <c r="G477" s="14">
        <f>83.2119 * CHOOSE(CONTROL!$C$9, $D$9, 100%, $F$9) + CHOOSE(CONTROL!$C$27, 0.0021, 0)</f>
        <v>83.213999999999999</v>
      </c>
      <c r="H477" s="14">
        <f>83.0772 * CHOOSE(CONTROL!$C$9, $D$9, 100%, $F$9) + CHOOSE(CONTROL!$C$27, 0.0021, 0)</f>
        <v>83.079300000000003</v>
      </c>
      <c r="I477" s="14">
        <f>83.0772 * CHOOSE(CONTROL!$C$9, $D$9, 100%, $F$9) + CHOOSE(CONTROL!$C$27, 0.0021, 0)</f>
        <v>83.079300000000003</v>
      </c>
      <c r="J477" s="14">
        <f>83.0772 * CHOOSE(CONTROL!$C$9, $D$9, 100%, $F$9) + CHOOSE(CONTROL!$C$27, 0.0021, 0)</f>
        <v>83.079300000000003</v>
      </c>
      <c r="K477" s="14">
        <f>83.0772 * CHOOSE(CONTROL!$C$9, $D$9, 100%, $F$9) + CHOOSE(CONTROL!$C$27, 0.0021, 0)</f>
        <v>83.079300000000003</v>
      </c>
      <c r="L477" s="14"/>
    </row>
    <row r="478" spans="1:12" ht="15.75" x14ac:dyDescent="0.25">
      <c r="A478" s="33">
        <v>55487</v>
      </c>
      <c r="B478" s="14">
        <f>83.6971 * CHOOSE(CONTROL!$C$9, $D$9, 100%, $F$9) + CHOOSE(CONTROL!$C$27, 0.0021, 0)</f>
        <v>83.699200000000005</v>
      </c>
      <c r="C478" s="14">
        <f>83.2648 * CHOOSE(CONTROL!$C$9, $D$9, 100%, $F$9) + CHOOSE(CONTROL!$C$27, 0.0021, 0)</f>
        <v>83.266899999999993</v>
      </c>
      <c r="D478" s="14">
        <f>83.2648 * CHOOSE(CONTROL!$C$9, $D$9, 100%, $F$9) + CHOOSE(CONTROL!$C$27, 0.0021, 0)</f>
        <v>83.266899999999993</v>
      </c>
      <c r="E478" s="14">
        <f>83.1282 * CHOOSE(CONTROL!$C$9, $D$9, 100%, $F$9) + CHOOSE(CONTROL!$C$27, 0.0021, 0)</f>
        <v>83.130300000000005</v>
      </c>
      <c r="F478" s="14">
        <f>83.1282 * CHOOSE(CONTROL!$C$9, $D$9, 100%, $F$9) + CHOOSE(CONTROL!$C$27, 0.0021, 0)</f>
        <v>83.130300000000005</v>
      </c>
      <c r="G478" s="14">
        <f>83.3996 * CHOOSE(CONTROL!$C$9, $D$9, 100%, $F$9) + CHOOSE(CONTROL!$C$27, 0.0021, 0)</f>
        <v>83.401700000000005</v>
      </c>
      <c r="H478" s="14">
        <f>83.2648 * CHOOSE(CONTROL!$C$9, $D$9, 100%, $F$9) + CHOOSE(CONTROL!$C$27, 0.0021, 0)</f>
        <v>83.266899999999993</v>
      </c>
      <c r="I478" s="14">
        <f>83.2648 * CHOOSE(CONTROL!$C$9, $D$9, 100%, $F$9) + CHOOSE(CONTROL!$C$27, 0.0021, 0)</f>
        <v>83.266899999999993</v>
      </c>
      <c r="J478" s="14">
        <f>83.2648 * CHOOSE(CONTROL!$C$9, $D$9, 100%, $F$9) + CHOOSE(CONTROL!$C$27, 0.0021, 0)</f>
        <v>83.266899999999993</v>
      </c>
      <c r="K478" s="14">
        <f>83.2648 * CHOOSE(CONTROL!$C$9, $D$9, 100%, $F$9) + CHOOSE(CONTROL!$C$27, 0.0021, 0)</f>
        <v>83.266899999999993</v>
      </c>
      <c r="L478" s="14"/>
    </row>
    <row r="479" spans="1:12" ht="15.75" x14ac:dyDescent="0.25">
      <c r="A479" s="33">
        <v>55518</v>
      </c>
      <c r="B479" s="14">
        <f>82.1009 * CHOOSE(CONTROL!$C$9, $D$9, 100%, $F$9) + CHOOSE(CONTROL!$C$27, 0.0021, 0)</f>
        <v>82.102999999999994</v>
      </c>
      <c r="C479" s="14">
        <f>81.6687 * CHOOSE(CONTROL!$C$9, $D$9, 100%, $F$9) + CHOOSE(CONTROL!$C$27, 0.0021, 0)</f>
        <v>81.6708</v>
      </c>
      <c r="D479" s="14">
        <f>81.6687 * CHOOSE(CONTROL!$C$9, $D$9, 100%, $F$9) + CHOOSE(CONTROL!$C$27, 0.0021, 0)</f>
        <v>81.6708</v>
      </c>
      <c r="E479" s="14">
        <f>81.532 * CHOOSE(CONTROL!$C$9, $D$9, 100%, $F$9) + CHOOSE(CONTROL!$C$27, 0.0021, 0)</f>
        <v>81.534099999999995</v>
      </c>
      <c r="F479" s="14">
        <f>81.532 * CHOOSE(CONTROL!$C$9, $D$9, 100%, $F$9) + CHOOSE(CONTROL!$C$27, 0.0021, 0)</f>
        <v>81.534099999999995</v>
      </c>
      <c r="G479" s="14">
        <f>81.8034 * CHOOSE(CONTROL!$C$9, $D$9, 100%, $F$9) + CHOOSE(CONTROL!$C$27, 0.0021, 0)</f>
        <v>81.805499999999995</v>
      </c>
      <c r="H479" s="14">
        <f>81.6687 * CHOOSE(CONTROL!$C$9, $D$9, 100%, $F$9) + CHOOSE(CONTROL!$C$27, 0.0021, 0)</f>
        <v>81.6708</v>
      </c>
      <c r="I479" s="14">
        <f>81.6687 * CHOOSE(CONTROL!$C$9, $D$9, 100%, $F$9) + CHOOSE(CONTROL!$C$27, 0.0021, 0)</f>
        <v>81.6708</v>
      </c>
      <c r="J479" s="14">
        <f>81.6687 * CHOOSE(CONTROL!$C$9, $D$9, 100%, $F$9) + CHOOSE(CONTROL!$C$27, 0.0021, 0)</f>
        <v>81.6708</v>
      </c>
      <c r="K479" s="14">
        <f>81.6687 * CHOOSE(CONTROL!$C$9, $D$9, 100%, $F$9) + CHOOSE(CONTROL!$C$27, 0.0021, 0)</f>
        <v>81.6708</v>
      </c>
      <c r="L479" s="14"/>
    </row>
    <row r="480" spans="1:12" ht="15.75" x14ac:dyDescent="0.25">
      <c r="A480" s="33">
        <v>55549</v>
      </c>
      <c r="B480" s="14">
        <f>81.0921 * CHOOSE(CONTROL!$C$9, $D$9, 100%, $F$9) + CHOOSE(CONTROL!$C$27, 0.0021, 0)</f>
        <v>81.094200000000001</v>
      </c>
      <c r="C480" s="14">
        <f>80.6598 * CHOOSE(CONTROL!$C$9, $D$9, 100%, $F$9) + CHOOSE(CONTROL!$C$27, 0.0021, 0)</f>
        <v>80.661900000000003</v>
      </c>
      <c r="D480" s="14">
        <f>80.6598 * CHOOSE(CONTROL!$C$9, $D$9, 100%, $F$9) + CHOOSE(CONTROL!$C$27, 0.0021, 0)</f>
        <v>80.661900000000003</v>
      </c>
      <c r="E480" s="14">
        <f>80.5232 * CHOOSE(CONTROL!$C$9, $D$9, 100%, $F$9) + CHOOSE(CONTROL!$C$27, 0.0021, 0)</f>
        <v>80.525300000000001</v>
      </c>
      <c r="F480" s="14">
        <f>80.5232 * CHOOSE(CONTROL!$C$9, $D$9, 100%, $F$9) + CHOOSE(CONTROL!$C$27, 0.0021, 0)</f>
        <v>80.525300000000001</v>
      </c>
      <c r="G480" s="14">
        <f>80.7945 * CHOOSE(CONTROL!$C$9, $D$9, 100%, $F$9) + CHOOSE(CONTROL!$C$27, 0.0021, 0)</f>
        <v>80.796599999999998</v>
      </c>
      <c r="H480" s="14">
        <f>80.6598 * CHOOSE(CONTROL!$C$9, $D$9, 100%, $F$9) + CHOOSE(CONTROL!$C$27, 0.0021, 0)</f>
        <v>80.661900000000003</v>
      </c>
      <c r="I480" s="14">
        <f>80.6598 * CHOOSE(CONTROL!$C$9, $D$9, 100%, $F$9) + CHOOSE(CONTROL!$C$27, 0.0021, 0)</f>
        <v>80.661900000000003</v>
      </c>
      <c r="J480" s="14">
        <f>80.6598 * CHOOSE(CONTROL!$C$9, $D$9, 100%, $F$9) + CHOOSE(CONTROL!$C$27, 0.0021, 0)</f>
        <v>80.661900000000003</v>
      </c>
      <c r="K480" s="14">
        <f>80.6598 * CHOOSE(CONTROL!$C$9, $D$9, 100%, $F$9) + CHOOSE(CONTROL!$C$27, 0.0021, 0)</f>
        <v>80.661900000000003</v>
      </c>
      <c r="L480" s="14"/>
    </row>
    <row r="481" spans="1:12" ht="15.75" x14ac:dyDescent="0.25">
      <c r="A481" s="33">
        <v>55577</v>
      </c>
      <c r="B481" s="14">
        <f>78.8632 * CHOOSE(CONTROL!$C$9, $D$9, 100%, $F$9) + CHOOSE(CONTROL!$C$27, 0.0021, 0)</f>
        <v>78.865300000000005</v>
      </c>
      <c r="C481" s="14">
        <f>78.4309 * CHOOSE(CONTROL!$C$9, $D$9, 100%, $F$9) + CHOOSE(CONTROL!$C$27, 0.0021, 0)</f>
        <v>78.432999999999993</v>
      </c>
      <c r="D481" s="14">
        <f>78.4309 * CHOOSE(CONTROL!$C$9, $D$9, 100%, $F$9) + CHOOSE(CONTROL!$C$27, 0.0021, 0)</f>
        <v>78.432999999999993</v>
      </c>
      <c r="E481" s="14">
        <f>78.2943 * CHOOSE(CONTROL!$C$9, $D$9, 100%, $F$9) + CHOOSE(CONTROL!$C$27, 0.0021, 0)</f>
        <v>78.296400000000006</v>
      </c>
      <c r="F481" s="14">
        <f>78.2943 * CHOOSE(CONTROL!$C$9, $D$9, 100%, $F$9) + CHOOSE(CONTROL!$C$27, 0.0021, 0)</f>
        <v>78.296400000000006</v>
      </c>
      <c r="G481" s="14">
        <f>78.5657 * CHOOSE(CONTROL!$C$9, $D$9, 100%, $F$9) + CHOOSE(CONTROL!$C$27, 0.0021, 0)</f>
        <v>78.567800000000005</v>
      </c>
      <c r="H481" s="14">
        <f>78.4309 * CHOOSE(CONTROL!$C$9, $D$9, 100%, $F$9) + CHOOSE(CONTROL!$C$27, 0.0021, 0)</f>
        <v>78.432999999999993</v>
      </c>
      <c r="I481" s="14">
        <f>78.4309 * CHOOSE(CONTROL!$C$9, $D$9, 100%, $F$9) + CHOOSE(CONTROL!$C$27, 0.0021, 0)</f>
        <v>78.432999999999993</v>
      </c>
      <c r="J481" s="14">
        <f>78.4309 * CHOOSE(CONTROL!$C$9, $D$9, 100%, $F$9) + CHOOSE(CONTROL!$C$27, 0.0021, 0)</f>
        <v>78.432999999999993</v>
      </c>
      <c r="K481" s="14">
        <f>78.4309 * CHOOSE(CONTROL!$C$9, $D$9, 100%, $F$9) + CHOOSE(CONTROL!$C$27, 0.0021, 0)</f>
        <v>78.432999999999993</v>
      </c>
      <c r="L481" s="14"/>
    </row>
    <row r="482" spans="1:12" ht="15.75" x14ac:dyDescent="0.25">
      <c r="A482" s="33">
        <v>55609</v>
      </c>
      <c r="B482" s="14">
        <f>77.9431 * CHOOSE(CONTROL!$C$9, $D$9, 100%, $F$9) + CHOOSE(CONTROL!$C$27, 0.0021, 0)</f>
        <v>77.9452</v>
      </c>
      <c r="C482" s="14">
        <f>77.5109 * CHOOSE(CONTROL!$C$9, $D$9, 100%, $F$9) + CHOOSE(CONTROL!$C$27, 0.0021, 0)</f>
        <v>77.513000000000005</v>
      </c>
      <c r="D482" s="14">
        <f>77.5109 * CHOOSE(CONTROL!$C$9, $D$9, 100%, $F$9) + CHOOSE(CONTROL!$C$27, 0.0021, 0)</f>
        <v>77.513000000000005</v>
      </c>
      <c r="E482" s="14">
        <f>77.3742 * CHOOSE(CONTROL!$C$9, $D$9, 100%, $F$9) + CHOOSE(CONTROL!$C$27, 0.0021, 0)</f>
        <v>77.376300000000001</v>
      </c>
      <c r="F482" s="14">
        <f>77.3742 * CHOOSE(CONTROL!$C$9, $D$9, 100%, $F$9) + CHOOSE(CONTROL!$C$27, 0.0021, 0)</f>
        <v>77.376300000000001</v>
      </c>
      <c r="G482" s="14">
        <f>77.6456 * CHOOSE(CONTROL!$C$9, $D$9, 100%, $F$9) + CHOOSE(CONTROL!$C$27, 0.0021, 0)</f>
        <v>77.6477</v>
      </c>
      <c r="H482" s="14">
        <f>77.5109 * CHOOSE(CONTROL!$C$9, $D$9, 100%, $F$9) + CHOOSE(CONTROL!$C$27, 0.0021, 0)</f>
        <v>77.513000000000005</v>
      </c>
      <c r="I482" s="14">
        <f>77.5109 * CHOOSE(CONTROL!$C$9, $D$9, 100%, $F$9) + CHOOSE(CONTROL!$C$27, 0.0021, 0)</f>
        <v>77.513000000000005</v>
      </c>
      <c r="J482" s="14">
        <f>77.5109 * CHOOSE(CONTROL!$C$9, $D$9, 100%, $F$9) + CHOOSE(CONTROL!$C$27, 0.0021, 0)</f>
        <v>77.513000000000005</v>
      </c>
      <c r="K482" s="14">
        <f>77.5109 * CHOOSE(CONTROL!$C$9, $D$9, 100%, $F$9) + CHOOSE(CONTROL!$C$27, 0.0021, 0)</f>
        <v>77.513000000000005</v>
      </c>
      <c r="L482" s="14"/>
    </row>
    <row r="483" spans="1:12" ht="15.75" x14ac:dyDescent="0.25">
      <c r="A483" s="33">
        <v>55639</v>
      </c>
      <c r="B483" s="14">
        <f>76.8445 * CHOOSE(CONTROL!$C$9, $D$9, 100%, $F$9) + CHOOSE(CONTROL!$C$27, 0.0021, 0)</f>
        <v>76.846599999999995</v>
      </c>
      <c r="C483" s="14">
        <f>76.4123 * CHOOSE(CONTROL!$C$9, $D$9, 100%, $F$9) + CHOOSE(CONTROL!$C$27, 0.0021, 0)</f>
        <v>76.414400000000001</v>
      </c>
      <c r="D483" s="14">
        <f>76.4123 * CHOOSE(CONTROL!$C$9, $D$9, 100%, $F$9) + CHOOSE(CONTROL!$C$27, 0.0021, 0)</f>
        <v>76.414400000000001</v>
      </c>
      <c r="E483" s="14">
        <f>76.2756 * CHOOSE(CONTROL!$C$9, $D$9, 100%, $F$9) + CHOOSE(CONTROL!$C$27, 0.0021, 0)</f>
        <v>76.277699999999996</v>
      </c>
      <c r="F483" s="14">
        <f>76.2756 * CHOOSE(CONTROL!$C$9, $D$9, 100%, $F$9) + CHOOSE(CONTROL!$C$27, 0.0021, 0)</f>
        <v>76.277699999999996</v>
      </c>
      <c r="G483" s="14">
        <f>76.547 * CHOOSE(CONTROL!$C$9, $D$9, 100%, $F$9) + CHOOSE(CONTROL!$C$27, 0.0021, 0)</f>
        <v>76.549099999999996</v>
      </c>
      <c r="H483" s="14">
        <f>76.4123 * CHOOSE(CONTROL!$C$9, $D$9, 100%, $F$9) + CHOOSE(CONTROL!$C$27, 0.0021, 0)</f>
        <v>76.414400000000001</v>
      </c>
      <c r="I483" s="14">
        <f>76.4123 * CHOOSE(CONTROL!$C$9, $D$9, 100%, $F$9) + CHOOSE(CONTROL!$C$27, 0.0021, 0)</f>
        <v>76.414400000000001</v>
      </c>
      <c r="J483" s="14">
        <f>76.4123 * CHOOSE(CONTROL!$C$9, $D$9, 100%, $F$9) + CHOOSE(CONTROL!$C$27, 0.0021, 0)</f>
        <v>76.414400000000001</v>
      </c>
      <c r="K483" s="14">
        <f>76.4123 * CHOOSE(CONTROL!$C$9, $D$9, 100%, $F$9) + CHOOSE(CONTROL!$C$27, 0.0021, 0)</f>
        <v>76.414400000000001</v>
      </c>
      <c r="L483" s="14"/>
    </row>
    <row r="484" spans="1:12" ht="15.75" x14ac:dyDescent="0.25">
      <c r="A484" s="33">
        <v>55670</v>
      </c>
      <c r="B484" s="14">
        <f>78.4101 * CHOOSE(CONTROL!$C$9, $D$9, 100%, $F$9) + CHOOSE(CONTROL!$C$27, 0.0021, 0)</f>
        <v>78.412199999999999</v>
      </c>
      <c r="C484" s="14">
        <f>77.9779 * CHOOSE(CONTROL!$C$9, $D$9, 100%, $F$9) + CHOOSE(CONTROL!$C$27, 0.0021, 0)</f>
        <v>77.98</v>
      </c>
      <c r="D484" s="14">
        <f>77.9779 * CHOOSE(CONTROL!$C$9, $D$9, 100%, $F$9) + CHOOSE(CONTROL!$C$27, 0.0021, 0)</f>
        <v>77.98</v>
      </c>
      <c r="E484" s="14">
        <f>77.8412 * CHOOSE(CONTROL!$C$9, $D$9, 100%, $F$9) + CHOOSE(CONTROL!$C$27, 0.0021, 0)</f>
        <v>77.843299999999999</v>
      </c>
      <c r="F484" s="14">
        <f>77.8412 * CHOOSE(CONTROL!$C$9, $D$9, 100%, $F$9) + CHOOSE(CONTROL!$C$27, 0.0021, 0)</f>
        <v>77.843299999999999</v>
      </c>
      <c r="G484" s="14">
        <f>78.1126 * CHOOSE(CONTROL!$C$9, $D$9, 100%, $F$9) + CHOOSE(CONTROL!$C$27, 0.0021, 0)</f>
        <v>78.114699999999999</v>
      </c>
      <c r="H484" s="14">
        <f>77.9779 * CHOOSE(CONTROL!$C$9, $D$9, 100%, $F$9) + CHOOSE(CONTROL!$C$27, 0.0021, 0)</f>
        <v>77.98</v>
      </c>
      <c r="I484" s="14">
        <f>77.9779 * CHOOSE(CONTROL!$C$9, $D$9, 100%, $F$9) + CHOOSE(CONTROL!$C$27, 0.0021, 0)</f>
        <v>77.98</v>
      </c>
      <c r="J484" s="14">
        <f>77.9779 * CHOOSE(CONTROL!$C$9, $D$9, 100%, $F$9) + CHOOSE(CONTROL!$C$27, 0.0021, 0)</f>
        <v>77.98</v>
      </c>
      <c r="K484" s="14">
        <f>77.9779 * CHOOSE(CONTROL!$C$9, $D$9, 100%, $F$9) + CHOOSE(CONTROL!$C$27, 0.0021, 0)</f>
        <v>77.98</v>
      </c>
      <c r="L484" s="14"/>
    </row>
    <row r="485" spans="1:12" ht="15.75" x14ac:dyDescent="0.25">
      <c r="A485" s="33">
        <v>55700</v>
      </c>
      <c r="B485" s="14">
        <f>79.3479 * CHOOSE(CONTROL!$C$9, $D$9, 100%, $F$9) + CHOOSE(CONTROL!$C$27, 0.0021, 0)</f>
        <v>79.349999999999994</v>
      </c>
      <c r="C485" s="14">
        <f>78.9157 * CHOOSE(CONTROL!$C$9, $D$9, 100%, $F$9) + CHOOSE(CONTROL!$C$27, 0.0021, 0)</f>
        <v>78.9178</v>
      </c>
      <c r="D485" s="14">
        <f>78.9157 * CHOOSE(CONTROL!$C$9, $D$9, 100%, $F$9) + CHOOSE(CONTROL!$C$27, 0.0021, 0)</f>
        <v>78.9178</v>
      </c>
      <c r="E485" s="14">
        <f>78.779 * CHOOSE(CONTROL!$C$9, $D$9, 100%, $F$9) + CHOOSE(CONTROL!$C$27, 0.0021, 0)</f>
        <v>78.781099999999995</v>
      </c>
      <c r="F485" s="14">
        <f>78.779 * CHOOSE(CONTROL!$C$9, $D$9, 100%, $F$9) + CHOOSE(CONTROL!$C$27, 0.0021, 0)</f>
        <v>78.781099999999995</v>
      </c>
      <c r="G485" s="14">
        <f>79.0504 * CHOOSE(CONTROL!$C$9, $D$9, 100%, $F$9) + CHOOSE(CONTROL!$C$27, 0.0021, 0)</f>
        <v>79.052499999999995</v>
      </c>
      <c r="H485" s="14">
        <f>78.9157 * CHOOSE(CONTROL!$C$9, $D$9, 100%, $F$9) + CHOOSE(CONTROL!$C$27, 0.0021, 0)</f>
        <v>78.9178</v>
      </c>
      <c r="I485" s="14">
        <f>78.9157 * CHOOSE(CONTROL!$C$9, $D$9, 100%, $F$9) + CHOOSE(CONTROL!$C$27, 0.0021, 0)</f>
        <v>78.9178</v>
      </c>
      <c r="J485" s="14">
        <f>78.9157 * CHOOSE(CONTROL!$C$9, $D$9, 100%, $F$9) + CHOOSE(CONTROL!$C$27, 0.0021, 0)</f>
        <v>78.9178</v>
      </c>
      <c r="K485" s="14">
        <f>78.9157 * CHOOSE(CONTROL!$C$9, $D$9, 100%, $F$9) + CHOOSE(CONTROL!$C$27, 0.0021, 0)</f>
        <v>78.9178</v>
      </c>
      <c r="L485" s="14"/>
    </row>
    <row r="486" spans="1:12" ht="15.75" x14ac:dyDescent="0.25">
      <c r="A486" s="33">
        <v>55731</v>
      </c>
      <c r="B486" s="14">
        <f>80.8948 * CHOOSE(CONTROL!$C$9, $D$9, 100%, $F$9) + CHOOSE(CONTROL!$C$27, 0.0021, 0)</f>
        <v>80.896900000000002</v>
      </c>
      <c r="C486" s="14">
        <f>80.4626 * CHOOSE(CONTROL!$C$9, $D$9, 100%, $F$9) + CHOOSE(CONTROL!$C$27, 0.0021, 0)</f>
        <v>80.464699999999993</v>
      </c>
      <c r="D486" s="14">
        <f>80.4626 * CHOOSE(CONTROL!$C$9, $D$9, 100%, $F$9) + CHOOSE(CONTROL!$C$27, 0.0021, 0)</f>
        <v>80.464699999999993</v>
      </c>
      <c r="E486" s="14">
        <f>80.3259 * CHOOSE(CONTROL!$C$9, $D$9, 100%, $F$9) + CHOOSE(CONTROL!$C$27, 0.0021, 0)</f>
        <v>80.328000000000003</v>
      </c>
      <c r="F486" s="14">
        <f>80.3259 * CHOOSE(CONTROL!$C$9, $D$9, 100%, $F$9) + CHOOSE(CONTROL!$C$27, 0.0021, 0)</f>
        <v>80.328000000000003</v>
      </c>
      <c r="G486" s="14">
        <f>80.5973 * CHOOSE(CONTROL!$C$9, $D$9, 100%, $F$9) + CHOOSE(CONTROL!$C$27, 0.0021, 0)</f>
        <v>80.599400000000003</v>
      </c>
      <c r="H486" s="14">
        <f>80.4626 * CHOOSE(CONTROL!$C$9, $D$9, 100%, $F$9) + CHOOSE(CONTROL!$C$27, 0.0021, 0)</f>
        <v>80.464699999999993</v>
      </c>
      <c r="I486" s="14">
        <f>80.4626 * CHOOSE(CONTROL!$C$9, $D$9, 100%, $F$9) + CHOOSE(CONTROL!$C$27, 0.0021, 0)</f>
        <v>80.464699999999993</v>
      </c>
      <c r="J486" s="14">
        <f>80.4626 * CHOOSE(CONTROL!$C$9, $D$9, 100%, $F$9) + CHOOSE(CONTROL!$C$27, 0.0021, 0)</f>
        <v>80.464699999999993</v>
      </c>
      <c r="K486" s="14">
        <f>80.4626 * CHOOSE(CONTROL!$C$9, $D$9, 100%, $F$9) + CHOOSE(CONTROL!$C$27, 0.0021, 0)</f>
        <v>80.464699999999993</v>
      </c>
      <c r="L486" s="14"/>
    </row>
    <row r="487" spans="1:12" ht="15.75" x14ac:dyDescent="0.25">
      <c r="A487" s="33">
        <v>55762</v>
      </c>
      <c r="B487" s="14">
        <f>81.367 * CHOOSE(CONTROL!$C$9, $D$9, 100%, $F$9) + CHOOSE(CONTROL!$C$27, 0.0021, 0)</f>
        <v>81.369100000000003</v>
      </c>
      <c r="C487" s="14">
        <f>80.9348 * CHOOSE(CONTROL!$C$9, $D$9, 100%, $F$9) + CHOOSE(CONTROL!$C$27, 0.0021, 0)</f>
        <v>80.936899999999994</v>
      </c>
      <c r="D487" s="14">
        <f>80.9348 * CHOOSE(CONTROL!$C$9, $D$9, 100%, $F$9) + CHOOSE(CONTROL!$C$27, 0.0021, 0)</f>
        <v>80.936899999999994</v>
      </c>
      <c r="E487" s="14">
        <f>80.7981 * CHOOSE(CONTROL!$C$9, $D$9, 100%, $F$9) + CHOOSE(CONTROL!$C$27, 0.0021, 0)</f>
        <v>80.800200000000004</v>
      </c>
      <c r="F487" s="14">
        <f>80.7981 * CHOOSE(CONTROL!$C$9, $D$9, 100%, $F$9) + CHOOSE(CONTROL!$C$27, 0.0021, 0)</f>
        <v>80.800200000000004</v>
      </c>
      <c r="G487" s="14">
        <f>81.0695 * CHOOSE(CONTROL!$C$9, $D$9, 100%, $F$9) + CHOOSE(CONTROL!$C$27, 0.0021, 0)</f>
        <v>81.071600000000004</v>
      </c>
      <c r="H487" s="14">
        <f>80.9348 * CHOOSE(CONTROL!$C$9, $D$9, 100%, $F$9) + CHOOSE(CONTROL!$C$27, 0.0021, 0)</f>
        <v>80.936899999999994</v>
      </c>
      <c r="I487" s="14">
        <f>80.9348 * CHOOSE(CONTROL!$C$9, $D$9, 100%, $F$9) + CHOOSE(CONTROL!$C$27, 0.0021, 0)</f>
        <v>80.936899999999994</v>
      </c>
      <c r="J487" s="14">
        <f>80.9348 * CHOOSE(CONTROL!$C$9, $D$9, 100%, $F$9) + CHOOSE(CONTROL!$C$27, 0.0021, 0)</f>
        <v>80.936899999999994</v>
      </c>
      <c r="K487" s="14">
        <f>80.9348 * CHOOSE(CONTROL!$C$9, $D$9, 100%, $F$9) + CHOOSE(CONTROL!$C$27, 0.0021, 0)</f>
        <v>80.936899999999994</v>
      </c>
      <c r="L487" s="14"/>
    </row>
    <row r="488" spans="1:12" ht="15.75" x14ac:dyDescent="0.25">
      <c r="A488" s="33">
        <v>55792</v>
      </c>
      <c r="B488" s="14">
        <f>82.975 * CHOOSE(CONTROL!$C$9, $D$9, 100%, $F$9) + CHOOSE(CONTROL!$C$27, 0.0021, 0)</f>
        <v>82.977099999999993</v>
      </c>
      <c r="C488" s="14">
        <f>82.5427 * CHOOSE(CONTROL!$C$9, $D$9, 100%, $F$9) + CHOOSE(CONTROL!$C$27, 0.0021, 0)</f>
        <v>82.544799999999995</v>
      </c>
      <c r="D488" s="14">
        <f>82.5427 * CHOOSE(CONTROL!$C$9, $D$9, 100%, $F$9) + CHOOSE(CONTROL!$C$27, 0.0021, 0)</f>
        <v>82.544799999999995</v>
      </c>
      <c r="E488" s="14">
        <f>82.4061 * CHOOSE(CONTROL!$C$9, $D$9, 100%, $F$9) + CHOOSE(CONTROL!$C$27, 0.0021, 0)</f>
        <v>82.408199999999994</v>
      </c>
      <c r="F488" s="14">
        <f>82.4061 * CHOOSE(CONTROL!$C$9, $D$9, 100%, $F$9) + CHOOSE(CONTROL!$C$27, 0.0021, 0)</f>
        <v>82.408199999999994</v>
      </c>
      <c r="G488" s="14">
        <f>82.6775 * CHOOSE(CONTROL!$C$9, $D$9, 100%, $F$9) + CHOOSE(CONTROL!$C$27, 0.0021, 0)</f>
        <v>82.679599999999994</v>
      </c>
      <c r="H488" s="14">
        <f>82.5427 * CHOOSE(CONTROL!$C$9, $D$9, 100%, $F$9) + CHOOSE(CONTROL!$C$27, 0.0021, 0)</f>
        <v>82.544799999999995</v>
      </c>
      <c r="I488" s="14">
        <f>82.5427 * CHOOSE(CONTROL!$C$9, $D$9, 100%, $F$9) + CHOOSE(CONTROL!$C$27, 0.0021, 0)</f>
        <v>82.544799999999995</v>
      </c>
      <c r="J488" s="14">
        <f>82.5427 * CHOOSE(CONTROL!$C$9, $D$9, 100%, $F$9) + CHOOSE(CONTROL!$C$27, 0.0021, 0)</f>
        <v>82.544799999999995</v>
      </c>
      <c r="K488" s="14">
        <f>82.5427 * CHOOSE(CONTROL!$C$9, $D$9, 100%, $F$9) + CHOOSE(CONTROL!$C$27, 0.0021, 0)</f>
        <v>82.544799999999995</v>
      </c>
      <c r="L488" s="14"/>
    </row>
    <row r="489" spans="1:12" ht="15.75" x14ac:dyDescent="0.25">
      <c r="A489" s="33">
        <v>55823</v>
      </c>
      <c r="B489" s="14">
        <f>85.0104 * CHOOSE(CONTROL!$C$9, $D$9, 100%, $F$9) + CHOOSE(CONTROL!$C$27, 0.0021, 0)</f>
        <v>85.012500000000003</v>
      </c>
      <c r="C489" s="14">
        <f>84.5782 * CHOOSE(CONTROL!$C$9, $D$9, 100%, $F$9) + CHOOSE(CONTROL!$C$27, 0.0021, 0)</f>
        <v>84.580299999999994</v>
      </c>
      <c r="D489" s="14">
        <f>84.5782 * CHOOSE(CONTROL!$C$9, $D$9, 100%, $F$9) + CHOOSE(CONTROL!$C$27, 0.0021, 0)</f>
        <v>84.580299999999994</v>
      </c>
      <c r="E489" s="14">
        <f>84.4415 * CHOOSE(CONTROL!$C$9, $D$9, 100%, $F$9) + CHOOSE(CONTROL!$C$27, 0.0021, 0)</f>
        <v>84.443600000000004</v>
      </c>
      <c r="F489" s="14">
        <f>84.4415 * CHOOSE(CONTROL!$C$9, $D$9, 100%, $F$9) + CHOOSE(CONTROL!$C$27, 0.0021, 0)</f>
        <v>84.443600000000004</v>
      </c>
      <c r="G489" s="14">
        <f>84.7129 * CHOOSE(CONTROL!$C$9, $D$9, 100%, $F$9) + CHOOSE(CONTROL!$C$27, 0.0021, 0)</f>
        <v>84.715000000000003</v>
      </c>
      <c r="H489" s="14">
        <f>84.5782 * CHOOSE(CONTROL!$C$9, $D$9, 100%, $F$9) + CHOOSE(CONTROL!$C$27, 0.0021, 0)</f>
        <v>84.580299999999994</v>
      </c>
      <c r="I489" s="14">
        <f>84.5782 * CHOOSE(CONTROL!$C$9, $D$9, 100%, $F$9) + CHOOSE(CONTROL!$C$27, 0.0021, 0)</f>
        <v>84.580299999999994</v>
      </c>
      <c r="J489" s="14">
        <f>84.5782 * CHOOSE(CONTROL!$C$9, $D$9, 100%, $F$9) + CHOOSE(CONTROL!$C$27, 0.0021, 0)</f>
        <v>84.580299999999994</v>
      </c>
      <c r="K489" s="14">
        <f>84.5782 * CHOOSE(CONTROL!$C$9, $D$9, 100%, $F$9) + CHOOSE(CONTROL!$C$27, 0.0021, 0)</f>
        <v>84.580299999999994</v>
      </c>
      <c r="L489" s="14"/>
    </row>
    <row r="490" spans="1:12" ht="15.75" x14ac:dyDescent="0.25">
      <c r="A490" s="33">
        <v>55853</v>
      </c>
      <c r="B490" s="14">
        <f>85.2015 * CHOOSE(CONTROL!$C$9, $D$9, 100%, $F$9) + CHOOSE(CONTROL!$C$27, 0.0021, 0)</f>
        <v>85.203599999999994</v>
      </c>
      <c r="C490" s="14">
        <f>84.7693 * CHOOSE(CONTROL!$C$9, $D$9, 100%, $F$9) + CHOOSE(CONTROL!$C$27, 0.0021, 0)</f>
        <v>84.7714</v>
      </c>
      <c r="D490" s="14">
        <f>84.7693 * CHOOSE(CONTROL!$C$9, $D$9, 100%, $F$9) + CHOOSE(CONTROL!$C$27, 0.0021, 0)</f>
        <v>84.7714</v>
      </c>
      <c r="E490" s="14">
        <f>84.6326 * CHOOSE(CONTROL!$C$9, $D$9, 100%, $F$9) + CHOOSE(CONTROL!$C$27, 0.0021, 0)</f>
        <v>84.634699999999995</v>
      </c>
      <c r="F490" s="14">
        <f>84.6326 * CHOOSE(CONTROL!$C$9, $D$9, 100%, $F$9) + CHOOSE(CONTROL!$C$27, 0.0021, 0)</f>
        <v>84.634699999999995</v>
      </c>
      <c r="G490" s="14">
        <f>84.904 * CHOOSE(CONTROL!$C$9, $D$9, 100%, $F$9) + CHOOSE(CONTROL!$C$27, 0.0021, 0)</f>
        <v>84.906099999999995</v>
      </c>
      <c r="H490" s="14">
        <f>84.7693 * CHOOSE(CONTROL!$C$9, $D$9, 100%, $F$9) + CHOOSE(CONTROL!$C$27, 0.0021, 0)</f>
        <v>84.7714</v>
      </c>
      <c r="I490" s="14">
        <f>84.7693 * CHOOSE(CONTROL!$C$9, $D$9, 100%, $F$9) + CHOOSE(CONTROL!$C$27, 0.0021, 0)</f>
        <v>84.7714</v>
      </c>
      <c r="J490" s="14">
        <f>84.7693 * CHOOSE(CONTROL!$C$9, $D$9, 100%, $F$9) + CHOOSE(CONTROL!$C$27, 0.0021, 0)</f>
        <v>84.7714</v>
      </c>
      <c r="K490" s="14">
        <f>84.7693 * CHOOSE(CONTROL!$C$9, $D$9, 100%, $F$9) + CHOOSE(CONTROL!$C$27, 0.0021, 0)</f>
        <v>84.7714</v>
      </c>
      <c r="L490" s="14"/>
    </row>
    <row r="491" spans="1:12" ht="15.75" x14ac:dyDescent="0.25">
      <c r="A491" s="33">
        <v>55884</v>
      </c>
      <c r="B491" s="14">
        <f>83.5758 * CHOOSE(CONTROL!$C$9, $D$9, 100%, $F$9) + CHOOSE(CONTROL!$C$27, 0.0021, 0)</f>
        <v>83.5779</v>
      </c>
      <c r="C491" s="14">
        <f>83.1436 * CHOOSE(CONTROL!$C$9, $D$9, 100%, $F$9) + CHOOSE(CONTROL!$C$27, 0.0021, 0)</f>
        <v>83.145700000000005</v>
      </c>
      <c r="D491" s="14">
        <f>83.1436 * CHOOSE(CONTROL!$C$9, $D$9, 100%, $F$9) + CHOOSE(CONTROL!$C$27, 0.0021, 0)</f>
        <v>83.145700000000005</v>
      </c>
      <c r="E491" s="14">
        <f>83.0069 * CHOOSE(CONTROL!$C$9, $D$9, 100%, $F$9) + CHOOSE(CONTROL!$C$27, 0.0021, 0)</f>
        <v>83.009</v>
      </c>
      <c r="F491" s="14">
        <f>83.0069 * CHOOSE(CONTROL!$C$9, $D$9, 100%, $F$9) + CHOOSE(CONTROL!$C$27, 0.0021, 0)</f>
        <v>83.009</v>
      </c>
      <c r="G491" s="14">
        <f>83.2783 * CHOOSE(CONTROL!$C$9, $D$9, 100%, $F$9) + CHOOSE(CONTROL!$C$27, 0.0021, 0)</f>
        <v>83.2804</v>
      </c>
      <c r="H491" s="14">
        <f>83.1436 * CHOOSE(CONTROL!$C$9, $D$9, 100%, $F$9) + CHOOSE(CONTROL!$C$27, 0.0021, 0)</f>
        <v>83.145700000000005</v>
      </c>
      <c r="I491" s="14">
        <f>83.1436 * CHOOSE(CONTROL!$C$9, $D$9, 100%, $F$9) + CHOOSE(CONTROL!$C$27, 0.0021, 0)</f>
        <v>83.145700000000005</v>
      </c>
      <c r="J491" s="14">
        <f>83.1436 * CHOOSE(CONTROL!$C$9, $D$9, 100%, $F$9) + CHOOSE(CONTROL!$C$27, 0.0021, 0)</f>
        <v>83.145700000000005</v>
      </c>
      <c r="K491" s="14">
        <f>83.1436 * CHOOSE(CONTROL!$C$9, $D$9, 100%, $F$9) + CHOOSE(CONTROL!$C$27, 0.0021, 0)</f>
        <v>83.145700000000005</v>
      </c>
      <c r="L491" s="14"/>
    </row>
    <row r="492" spans="1:12" ht="15.75" x14ac:dyDescent="0.25">
      <c r="A492" s="33">
        <v>55915</v>
      </c>
      <c r="B492" s="14">
        <f>82.5484 * CHOOSE(CONTROL!$C$9, $D$9, 100%, $F$9) + CHOOSE(CONTROL!$C$27, 0.0021, 0)</f>
        <v>82.5505</v>
      </c>
      <c r="C492" s="14">
        <f>82.1161 * CHOOSE(CONTROL!$C$9, $D$9, 100%, $F$9) + CHOOSE(CONTROL!$C$27, 0.0021, 0)</f>
        <v>82.118200000000002</v>
      </c>
      <c r="D492" s="14">
        <f>82.1161 * CHOOSE(CONTROL!$C$9, $D$9, 100%, $F$9) + CHOOSE(CONTROL!$C$27, 0.0021, 0)</f>
        <v>82.118200000000002</v>
      </c>
      <c r="E492" s="14">
        <f>81.9794 * CHOOSE(CONTROL!$C$9, $D$9, 100%, $F$9) + CHOOSE(CONTROL!$C$27, 0.0021, 0)</f>
        <v>81.981499999999997</v>
      </c>
      <c r="F492" s="14">
        <f>81.9794 * CHOOSE(CONTROL!$C$9, $D$9, 100%, $F$9) + CHOOSE(CONTROL!$C$27, 0.0021, 0)</f>
        <v>81.981499999999997</v>
      </c>
      <c r="G492" s="14">
        <f>82.2508 * CHOOSE(CONTROL!$C$9, $D$9, 100%, $F$9) + CHOOSE(CONTROL!$C$27, 0.0021, 0)</f>
        <v>82.252899999999997</v>
      </c>
      <c r="H492" s="14">
        <f>82.1161 * CHOOSE(CONTROL!$C$9, $D$9, 100%, $F$9) + CHOOSE(CONTROL!$C$27, 0.0021, 0)</f>
        <v>82.118200000000002</v>
      </c>
      <c r="I492" s="14">
        <f>82.1161 * CHOOSE(CONTROL!$C$9, $D$9, 100%, $F$9) + CHOOSE(CONTROL!$C$27, 0.0021, 0)</f>
        <v>82.118200000000002</v>
      </c>
      <c r="J492" s="14">
        <f>82.1161 * CHOOSE(CONTROL!$C$9, $D$9, 100%, $F$9) + CHOOSE(CONTROL!$C$27, 0.0021, 0)</f>
        <v>82.118200000000002</v>
      </c>
      <c r="K492" s="14">
        <f>82.1161 * CHOOSE(CONTROL!$C$9, $D$9, 100%, $F$9) + CHOOSE(CONTROL!$C$27, 0.0021, 0)</f>
        <v>82.118200000000002</v>
      </c>
      <c r="L492" s="14"/>
    </row>
    <row r="493" spans="1:12" ht="15.75" x14ac:dyDescent="0.25">
      <c r="A493" s="33">
        <v>55943</v>
      </c>
      <c r="B493" s="14">
        <f>80.2783 * CHOOSE(CONTROL!$C$9, $D$9, 100%, $F$9) + CHOOSE(CONTROL!$C$27, 0.0021, 0)</f>
        <v>80.2804</v>
      </c>
      <c r="C493" s="14">
        <f>79.846 * CHOOSE(CONTROL!$C$9, $D$9, 100%, $F$9) + CHOOSE(CONTROL!$C$27, 0.0021, 0)</f>
        <v>79.848100000000002</v>
      </c>
      <c r="D493" s="14">
        <f>79.846 * CHOOSE(CONTROL!$C$9, $D$9, 100%, $F$9) + CHOOSE(CONTROL!$C$27, 0.0021, 0)</f>
        <v>79.848100000000002</v>
      </c>
      <c r="E493" s="14">
        <f>79.7094 * CHOOSE(CONTROL!$C$9, $D$9, 100%, $F$9) + CHOOSE(CONTROL!$C$27, 0.0021, 0)</f>
        <v>79.711500000000001</v>
      </c>
      <c r="F493" s="14">
        <f>79.7094 * CHOOSE(CONTROL!$C$9, $D$9, 100%, $F$9) + CHOOSE(CONTROL!$C$27, 0.0021, 0)</f>
        <v>79.711500000000001</v>
      </c>
      <c r="G493" s="14">
        <f>79.9807 * CHOOSE(CONTROL!$C$9, $D$9, 100%, $F$9) + CHOOSE(CONTROL!$C$27, 0.0021, 0)</f>
        <v>79.982799999999997</v>
      </c>
      <c r="H493" s="14">
        <f>79.846 * CHOOSE(CONTROL!$C$9, $D$9, 100%, $F$9) + CHOOSE(CONTROL!$C$27, 0.0021, 0)</f>
        <v>79.848100000000002</v>
      </c>
      <c r="I493" s="14">
        <f>79.846 * CHOOSE(CONTROL!$C$9, $D$9, 100%, $F$9) + CHOOSE(CONTROL!$C$27, 0.0021, 0)</f>
        <v>79.848100000000002</v>
      </c>
      <c r="J493" s="14">
        <f>79.846 * CHOOSE(CONTROL!$C$9, $D$9, 100%, $F$9) + CHOOSE(CONTROL!$C$27, 0.0021, 0)</f>
        <v>79.848100000000002</v>
      </c>
      <c r="K493" s="14">
        <f>79.846 * CHOOSE(CONTROL!$C$9, $D$9, 100%, $F$9) + CHOOSE(CONTROL!$C$27, 0.0021, 0)</f>
        <v>79.848100000000002</v>
      </c>
      <c r="L493" s="14"/>
    </row>
    <row r="494" spans="1:12" ht="15.75" x14ac:dyDescent="0.25">
      <c r="A494" s="33">
        <v>55974</v>
      </c>
      <c r="B494" s="14">
        <f>79.3412 * CHOOSE(CONTROL!$C$9, $D$9, 100%, $F$9) + CHOOSE(CONTROL!$C$27, 0.0021, 0)</f>
        <v>79.343299999999999</v>
      </c>
      <c r="C494" s="14">
        <f>78.909 * CHOOSE(CONTROL!$C$9, $D$9, 100%, $F$9) + CHOOSE(CONTROL!$C$27, 0.0021, 0)</f>
        <v>78.911100000000005</v>
      </c>
      <c r="D494" s="14">
        <f>78.909 * CHOOSE(CONTROL!$C$9, $D$9, 100%, $F$9) + CHOOSE(CONTROL!$C$27, 0.0021, 0)</f>
        <v>78.911100000000005</v>
      </c>
      <c r="E494" s="14">
        <f>78.7723 * CHOOSE(CONTROL!$C$9, $D$9, 100%, $F$9) + CHOOSE(CONTROL!$C$27, 0.0021, 0)</f>
        <v>78.7744</v>
      </c>
      <c r="F494" s="14">
        <f>78.7723 * CHOOSE(CONTROL!$C$9, $D$9, 100%, $F$9) + CHOOSE(CONTROL!$C$27, 0.0021, 0)</f>
        <v>78.7744</v>
      </c>
      <c r="G494" s="14">
        <f>79.0437 * CHOOSE(CONTROL!$C$9, $D$9, 100%, $F$9) + CHOOSE(CONTROL!$C$27, 0.0021, 0)</f>
        <v>79.0458</v>
      </c>
      <c r="H494" s="14">
        <f>78.909 * CHOOSE(CONTROL!$C$9, $D$9, 100%, $F$9) + CHOOSE(CONTROL!$C$27, 0.0021, 0)</f>
        <v>78.911100000000005</v>
      </c>
      <c r="I494" s="14">
        <f>78.909 * CHOOSE(CONTROL!$C$9, $D$9, 100%, $F$9) + CHOOSE(CONTROL!$C$27, 0.0021, 0)</f>
        <v>78.911100000000005</v>
      </c>
      <c r="J494" s="14">
        <f>78.909 * CHOOSE(CONTROL!$C$9, $D$9, 100%, $F$9) + CHOOSE(CONTROL!$C$27, 0.0021, 0)</f>
        <v>78.911100000000005</v>
      </c>
      <c r="K494" s="14">
        <f>78.909 * CHOOSE(CONTROL!$C$9, $D$9, 100%, $F$9) + CHOOSE(CONTROL!$C$27, 0.0021, 0)</f>
        <v>78.911100000000005</v>
      </c>
      <c r="L494" s="14"/>
    </row>
    <row r="495" spans="1:12" ht="15.75" x14ac:dyDescent="0.25">
      <c r="A495" s="33">
        <v>56004</v>
      </c>
      <c r="B495" s="14">
        <f>78.2223 * CHOOSE(CONTROL!$C$9, $D$9, 100%, $F$9) + CHOOSE(CONTROL!$C$27, 0.0021, 0)</f>
        <v>78.224400000000003</v>
      </c>
      <c r="C495" s="14">
        <f>77.7901 * CHOOSE(CONTROL!$C$9, $D$9, 100%, $F$9) + CHOOSE(CONTROL!$C$27, 0.0021, 0)</f>
        <v>77.792199999999994</v>
      </c>
      <c r="D495" s="14">
        <f>77.7901 * CHOOSE(CONTROL!$C$9, $D$9, 100%, $F$9) + CHOOSE(CONTROL!$C$27, 0.0021, 0)</f>
        <v>77.792199999999994</v>
      </c>
      <c r="E495" s="14">
        <f>77.6534 * CHOOSE(CONTROL!$C$9, $D$9, 100%, $F$9) + CHOOSE(CONTROL!$C$27, 0.0021, 0)</f>
        <v>77.655500000000004</v>
      </c>
      <c r="F495" s="14">
        <f>77.6534 * CHOOSE(CONTROL!$C$9, $D$9, 100%, $F$9) + CHOOSE(CONTROL!$C$27, 0.0021, 0)</f>
        <v>77.655500000000004</v>
      </c>
      <c r="G495" s="14">
        <f>77.9248 * CHOOSE(CONTROL!$C$9, $D$9, 100%, $F$9) + CHOOSE(CONTROL!$C$27, 0.0021, 0)</f>
        <v>77.926900000000003</v>
      </c>
      <c r="H495" s="14">
        <f>77.7901 * CHOOSE(CONTROL!$C$9, $D$9, 100%, $F$9) + CHOOSE(CONTROL!$C$27, 0.0021, 0)</f>
        <v>77.792199999999994</v>
      </c>
      <c r="I495" s="14">
        <f>77.7901 * CHOOSE(CONTROL!$C$9, $D$9, 100%, $F$9) + CHOOSE(CONTROL!$C$27, 0.0021, 0)</f>
        <v>77.792199999999994</v>
      </c>
      <c r="J495" s="14">
        <f>77.7901 * CHOOSE(CONTROL!$C$9, $D$9, 100%, $F$9) + CHOOSE(CONTROL!$C$27, 0.0021, 0)</f>
        <v>77.792199999999994</v>
      </c>
      <c r="K495" s="14">
        <f>77.7901 * CHOOSE(CONTROL!$C$9, $D$9, 100%, $F$9) + CHOOSE(CONTROL!$C$27, 0.0021, 0)</f>
        <v>77.792199999999994</v>
      </c>
      <c r="L495" s="14"/>
    </row>
    <row r="496" spans="1:12" ht="15.75" x14ac:dyDescent="0.25">
      <c r="A496" s="33">
        <v>56035</v>
      </c>
      <c r="B496" s="14">
        <f>79.8169 * CHOOSE(CONTROL!$C$9, $D$9, 100%, $F$9) + CHOOSE(CONTROL!$C$27, 0.0021, 0)</f>
        <v>79.819000000000003</v>
      </c>
      <c r="C496" s="14">
        <f>79.3846 * CHOOSE(CONTROL!$C$9, $D$9, 100%, $F$9) + CHOOSE(CONTROL!$C$27, 0.0021, 0)</f>
        <v>79.386700000000005</v>
      </c>
      <c r="D496" s="14">
        <f>79.3846 * CHOOSE(CONTROL!$C$9, $D$9, 100%, $F$9) + CHOOSE(CONTROL!$C$27, 0.0021, 0)</f>
        <v>79.386700000000005</v>
      </c>
      <c r="E496" s="14">
        <f>79.248 * CHOOSE(CONTROL!$C$9, $D$9, 100%, $F$9) + CHOOSE(CONTROL!$C$27, 0.0021, 0)</f>
        <v>79.250100000000003</v>
      </c>
      <c r="F496" s="14">
        <f>79.248 * CHOOSE(CONTROL!$C$9, $D$9, 100%, $F$9) + CHOOSE(CONTROL!$C$27, 0.0021, 0)</f>
        <v>79.250100000000003</v>
      </c>
      <c r="G496" s="14">
        <f>79.5193 * CHOOSE(CONTROL!$C$9, $D$9, 100%, $F$9) + CHOOSE(CONTROL!$C$27, 0.0021, 0)</f>
        <v>79.5214</v>
      </c>
      <c r="H496" s="14">
        <f>79.3846 * CHOOSE(CONTROL!$C$9, $D$9, 100%, $F$9) + CHOOSE(CONTROL!$C$27, 0.0021, 0)</f>
        <v>79.386700000000005</v>
      </c>
      <c r="I496" s="14">
        <f>79.3846 * CHOOSE(CONTROL!$C$9, $D$9, 100%, $F$9) + CHOOSE(CONTROL!$C$27, 0.0021, 0)</f>
        <v>79.386700000000005</v>
      </c>
      <c r="J496" s="14">
        <f>79.3846 * CHOOSE(CONTROL!$C$9, $D$9, 100%, $F$9) + CHOOSE(CONTROL!$C$27, 0.0021, 0)</f>
        <v>79.386700000000005</v>
      </c>
      <c r="K496" s="14">
        <f>79.3846 * CHOOSE(CONTROL!$C$9, $D$9, 100%, $F$9) + CHOOSE(CONTROL!$C$27, 0.0021, 0)</f>
        <v>79.386700000000005</v>
      </c>
      <c r="L496" s="14"/>
    </row>
    <row r="497" spans="1:12" ht="15.75" x14ac:dyDescent="0.25">
      <c r="A497" s="33">
        <v>56065</v>
      </c>
      <c r="B497" s="14">
        <f>80.7719 * CHOOSE(CONTROL!$C$9, $D$9, 100%, $F$9) + CHOOSE(CONTROL!$C$27, 0.0021, 0)</f>
        <v>80.774000000000001</v>
      </c>
      <c r="C497" s="14">
        <f>80.3397 * CHOOSE(CONTROL!$C$9, $D$9, 100%, $F$9) + CHOOSE(CONTROL!$C$27, 0.0021, 0)</f>
        <v>80.341799999999992</v>
      </c>
      <c r="D497" s="14">
        <f>80.3397 * CHOOSE(CONTROL!$C$9, $D$9, 100%, $F$9) + CHOOSE(CONTROL!$C$27, 0.0021, 0)</f>
        <v>80.341799999999992</v>
      </c>
      <c r="E497" s="14">
        <f>80.203 * CHOOSE(CONTROL!$C$9, $D$9, 100%, $F$9) + CHOOSE(CONTROL!$C$27, 0.0021, 0)</f>
        <v>80.205100000000002</v>
      </c>
      <c r="F497" s="14">
        <f>80.203 * CHOOSE(CONTROL!$C$9, $D$9, 100%, $F$9) + CHOOSE(CONTROL!$C$27, 0.0021, 0)</f>
        <v>80.205100000000002</v>
      </c>
      <c r="G497" s="14">
        <f>80.4744 * CHOOSE(CONTROL!$C$9, $D$9, 100%, $F$9) + CHOOSE(CONTROL!$C$27, 0.0021, 0)</f>
        <v>80.476500000000001</v>
      </c>
      <c r="H497" s="14">
        <f>80.3397 * CHOOSE(CONTROL!$C$9, $D$9, 100%, $F$9) + CHOOSE(CONTROL!$C$27, 0.0021, 0)</f>
        <v>80.341799999999992</v>
      </c>
      <c r="I497" s="14">
        <f>80.3397 * CHOOSE(CONTROL!$C$9, $D$9, 100%, $F$9) + CHOOSE(CONTROL!$C$27, 0.0021, 0)</f>
        <v>80.341799999999992</v>
      </c>
      <c r="J497" s="14">
        <f>80.3397 * CHOOSE(CONTROL!$C$9, $D$9, 100%, $F$9) + CHOOSE(CONTROL!$C$27, 0.0021, 0)</f>
        <v>80.341799999999992</v>
      </c>
      <c r="K497" s="14">
        <f>80.3397 * CHOOSE(CONTROL!$C$9, $D$9, 100%, $F$9) + CHOOSE(CONTROL!$C$27, 0.0021, 0)</f>
        <v>80.341799999999992</v>
      </c>
      <c r="L497" s="14"/>
    </row>
    <row r="498" spans="1:12" ht="15.75" x14ac:dyDescent="0.25">
      <c r="A498" s="33">
        <v>56096</v>
      </c>
      <c r="B498" s="14">
        <f>82.3475 * CHOOSE(CONTROL!$C$9, $D$9, 100%, $F$9) + CHOOSE(CONTROL!$C$27, 0.0021, 0)</f>
        <v>82.349599999999995</v>
      </c>
      <c r="C498" s="14">
        <f>81.9152 * CHOOSE(CONTROL!$C$9, $D$9, 100%, $F$9) + CHOOSE(CONTROL!$C$27, 0.0021, 0)</f>
        <v>81.917299999999997</v>
      </c>
      <c r="D498" s="14">
        <f>81.9152 * CHOOSE(CONTROL!$C$9, $D$9, 100%, $F$9) + CHOOSE(CONTROL!$C$27, 0.0021, 0)</f>
        <v>81.917299999999997</v>
      </c>
      <c r="E498" s="14">
        <f>81.7786 * CHOOSE(CONTROL!$C$9, $D$9, 100%, $F$9) + CHOOSE(CONTROL!$C$27, 0.0021, 0)</f>
        <v>81.780699999999996</v>
      </c>
      <c r="F498" s="14">
        <f>81.7786 * CHOOSE(CONTROL!$C$9, $D$9, 100%, $F$9) + CHOOSE(CONTROL!$C$27, 0.0021, 0)</f>
        <v>81.780699999999996</v>
      </c>
      <c r="G498" s="14">
        <f>82.0499 * CHOOSE(CONTROL!$C$9, $D$9, 100%, $F$9) + CHOOSE(CONTROL!$C$27, 0.0021, 0)</f>
        <v>82.051999999999992</v>
      </c>
      <c r="H498" s="14">
        <f>81.9152 * CHOOSE(CONTROL!$C$9, $D$9, 100%, $F$9) + CHOOSE(CONTROL!$C$27, 0.0021, 0)</f>
        <v>81.917299999999997</v>
      </c>
      <c r="I498" s="14">
        <f>81.9152 * CHOOSE(CONTROL!$C$9, $D$9, 100%, $F$9) + CHOOSE(CONTROL!$C$27, 0.0021, 0)</f>
        <v>81.917299999999997</v>
      </c>
      <c r="J498" s="14">
        <f>81.9152 * CHOOSE(CONTROL!$C$9, $D$9, 100%, $F$9) + CHOOSE(CONTROL!$C$27, 0.0021, 0)</f>
        <v>81.917299999999997</v>
      </c>
      <c r="K498" s="14">
        <f>81.9152 * CHOOSE(CONTROL!$C$9, $D$9, 100%, $F$9) + CHOOSE(CONTROL!$C$27, 0.0021, 0)</f>
        <v>81.917299999999997</v>
      </c>
      <c r="L498" s="14"/>
    </row>
    <row r="499" spans="1:12" ht="15.75" x14ac:dyDescent="0.25">
      <c r="A499" s="33">
        <v>56127</v>
      </c>
      <c r="B499" s="14">
        <f>82.8284 * CHOOSE(CONTROL!$C$9, $D$9, 100%, $F$9) + CHOOSE(CONTROL!$C$27, 0.0021, 0)</f>
        <v>82.830500000000001</v>
      </c>
      <c r="C499" s="14">
        <f>82.3961 * CHOOSE(CONTROL!$C$9, $D$9, 100%, $F$9) + CHOOSE(CONTROL!$C$27, 0.0021, 0)</f>
        <v>82.398200000000003</v>
      </c>
      <c r="D499" s="14">
        <f>82.3961 * CHOOSE(CONTROL!$C$9, $D$9, 100%, $F$9) + CHOOSE(CONTROL!$C$27, 0.0021, 0)</f>
        <v>82.398200000000003</v>
      </c>
      <c r="E499" s="14">
        <f>82.2595 * CHOOSE(CONTROL!$C$9, $D$9, 100%, $F$9) + CHOOSE(CONTROL!$C$27, 0.0021, 0)</f>
        <v>82.261600000000001</v>
      </c>
      <c r="F499" s="14">
        <f>82.2595 * CHOOSE(CONTROL!$C$9, $D$9, 100%, $F$9) + CHOOSE(CONTROL!$C$27, 0.0021, 0)</f>
        <v>82.261600000000001</v>
      </c>
      <c r="G499" s="14">
        <f>82.5308 * CHOOSE(CONTROL!$C$9, $D$9, 100%, $F$9) + CHOOSE(CONTROL!$C$27, 0.0021, 0)</f>
        <v>82.532899999999998</v>
      </c>
      <c r="H499" s="14">
        <f>82.3961 * CHOOSE(CONTROL!$C$9, $D$9, 100%, $F$9) + CHOOSE(CONTROL!$C$27, 0.0021, 0)</f>
        <v>82.398200000000003</v>
      </c>
      <c r="I499" s="14">
        <f>82.3961 * CHOOSE(CONTROL!$C$9, $D$9, 100%, $F$9) + CHOOSE(CONTROL!$C$27, 0.0021, 0)</f>
        <v>82.398200000000003</v>
      </c>
      <c r="J499" s="14">
        <f>82.3961 * CHOOSE(CONTROL!$C$9, $D$9, 100%, $F$9) + CHOOSE(CONTROL!$C$27, 0.0021, 0)</f>
        <v>82.398200000000003</v>
      </c>
      <c r="K499" s="14">
        <f>82.3961 * CHOOSE(CONTROL!$C$9, $D$9, 100%, $F$9) + CHOOSE(CONTROL!$C$27, 0.0021, 0)</f>
        <v>82.398200000000003</v>
      </c>
      <c r="L499" s="14"/>
    </row>
    <row r="500" spans="1:12" ht="15.75" x14ac:dyDescent="0.25">
      <c r="A500" s="33">
        <v>56157</v>
      </c>
      <c r="B500" s="14">
        <f>84.4661 * CHOOSE(CONTROL!$C$9, $D$9, 100%, $F$9) + CHOOSE(CONTROL!$C$27, 0.0021, 0)</f>
        <v>84.468199999999996</v>
      </c>
      <c r="C500" s="14">
        <f>84.0338 * CHOOSE(CONTROL!$C$9, $D$9, 100%, $F$9) + CHOOSE(CONTROL!$C$27, 0.0021, 0)</f>
        <v>84.035899999999998</v>
      </c>
      <c r="D500" s="14">
        <f>84.0338 * CHOOSE(CONTROL!$C$9, $D$9, 100%, $F$9) + CHOOSE(CONTROL!$C$27, 0.0021, 0)</f>
        <v>84.035899999999998</v>
      </c>
      <c r="E500" s="14">
        <f>83.8972 * CHOOSE(CONTROL!$C$9, $D$9, 100%, $F$9) + CHOOSE(CONTROL!$C$27, 0.0021, 0)</f>
        <v>83.899299999999997</v>
      </c>
      <c r="F500" s="14">
        <f>83.8972 * CHOOSE(CONTROL!$C$9, $D$9, 100%, $F$9) + CHOOSE(CONTROL!$C$27, 0.0021, 0)</f>
        <v>83.899299999999997</v>
      </c>
      <c r="G500" s="14">
        <f>84.1685 * CHOOSE(CONTROL!$C$9, $D$9, 100%, $F$9) + CHOOSE(CONTROL!$C$27, 0.0021, 0)</f>
        <v>84.170599999999993</v>
      </c>
      <c r="H500" s="14">
        <f>84.0338 * CHOOSE(CONTROL!$C$9, $D$9, 100%, $F$9) + CHOOSE(CONTROL!$C$27, 0.0021, 0)</f>
        <v>84.035899999999998</v>
      </c>
      <c r="I500" s="14">
        <f>84.0338 * CHOOSE(CONTROL!$C$9, $D$9, 100%, $F$9) + CHOOSE(CONTROL!$C$27, 0.0021, 0)</f>
        <v>84.035899999999998</v>
      </c>
      <c r="J500" s="14">
        <f>84.0338 * CHOOSE(CONTROL!$C$9, $D$9, 100%, $F$9) + CHOOSE(CONTROL!$C$27, 0.0021, 0)</f>
        <v>84.035899999999998</v>
      </c>
      <c r="K500" s="14">
        <f>84.0338 * CHOOSE(CONTROL!$C$9, $D$9, 100%, $F$9) + CHOOSE(CONTROL!$C$27, 0.0021, 0)</f>
        <v>84.035899999999998</v>
      </c>
      <c r="L500" s="14"/>
    </row>
    <row r="501" spans="1:12" ht="15.75" x14ac:dyDescent="0.25">
      <c r="A501" s="33">
        <v>56188</v>
      </c>
      <c r="B501" s="14">
        <f>86.5391 * CHOOSE(CONTROL!$C$9, $D$9, 100%, $F$9) + CHOOSE(CONTROL!$C$27, 0.0021, 0)</f>
        <v>86.541200000000003</v>
      </c>
      <c r="C501" s="14">
        <f>86.1069 * CHOOSE(CONTROL!$C$9, $D$9, 100%, $F$9) + CHOOSE(CONTROL!$C$27, 0.0021, 0)</f>
        <v>86.108999999999995</v>
      </c>
      <c r="D501" s="14">
        <f>86.1069 * CHOOSE(CONTROL!$C$9, $D$9, 100%, $F$9) + CHOOSE(CONTROL!$C$27, 0.0021, 0)</f>
        <v>86.108999999999995</v>
      </c>
      <c r="E501" s="14">
        <f>85.9702 * CHOOSE(CONTROL!$C$9, $D$9, 100%, $F$9) + CHOOSE(CONTROL!$C$27, 0.0021, 0)</f>
        <v>85.972300000000004</v>
      </c>
      <c r="F501" s="14">
        <f>85.9702 * CHOOSE(CONTROL!$C$9, $D$9, 100%, $F$9) + CHOOSE(CONTROL!$C$27, 0.0021, 0)</f>
        <v>85.972300000000004</v>
      </c>
      <c r="G501" s="14">
        <f>86.2416 * CHOOSE(CONTROL!$C$9, $D$9, 100%, $F$9) + CHOOSE(CONTROL!$C$27, 0.0021, 0)</f>
        <v>86.243700000000004</v>
      </c>
      <c r="H501" s="14">
        <f>86.1069 * CHOOSE(CONTROL!$C$9, $D$9, 100%, $F$9) + CHOOSE(CONTROL!$C$27, 0.0021, 0)</f>
        <v>86.108999999999995</v>
      </c>
      <c r="I501" s="14">
        <f>86.1069 * CHOOSE(CONTROL!$C$9, $D$9, 100%, $F$9) + CHOOSE(CONTROL!$C$27, 0.0021, 0)</f>
        <v>86.108999999999995</v>
      </c>
      <c r="J501" s="14">
        <f>86.1069 * CHOOSE(CONTROL!$C$9, $D$9, 100%, $F$9) + CHOOSE(CONTROL!$C$27, 0.0021, 0)</f>
        <v>86.108999999999995</v>
      </c>
      <c r="K501" s="14">
        <f>86.1069 * CHOOSE(CONTROL!$C$9, $D$9, 100%, $F$9) + CHOOSE(CONTROL!$C$27, 0.0021, 0)</f>
        <v>86.108999999999995</v>
      </c>
      <c r="L501" s="14"/>
    </row>
    <row r="502" spans="1:12" ht="15.75" x14ac:dyDescent="0.25">
      <c r="A502" s="33">
        <v>56218</v>
      </c>
      <c r="B502" s="14">
        <f>86.7337 * CHOOSE(CONTROL!$C$9, $D$9, 100%, $F$9) + CHOOSE(CONTROL!$C$27, 0.0021, 0)</f>
        <v>86.735799999999998</v>
      </c>
      <c r="C502" s="14">
        <f>86.3015 * CHOOSE(CONTROL!$C$9, $D$9, 100%, $F$9) + CHOOSE(CONTROL!$C$27, 0.0021, 0)</f>
        <v>86.303600000000003</v>
      </c>
      <c r="D502" s="14">
        <f>86.3015 * CHOOSE(CONTROL!$C$9, $D$9, 100%, $F$9) + CHOOSE(CONTROL!$C$27, 0.0021, 0)</f>
        <v>86.303600000000003</v>
      </c>
      <c r="E502" s="14">
        <f>86.1648 * CHOOSE(CONTROL!$C$9, $D$9, 100%, $F$9) + CHOOSE(CONTROL!$C$27, 0.0021, 0)</f>
        <v>86.166899999999998</v>
      </c>
      <c r="F502" s="14">
        <f>86.1648 * CHOOSE(CONTROL!$C$9, $D$9, 100%, $F$9) + CHOOSE(CONTROL!$C$27, 0.0021, 0)</f>
        <v>86.166899999999998</v>
      </c>
      <c r="G502" s="14">
        <f>86.4362 * CHOOSE(CONTROL!$C$9, $D$9, 100%, $F$9) + CHOOSE(CONTROL!$C$27, 0.0021, 0)</f>
        <v>86.438299999999998</v>
      </c>
      <c r="H502" s="14">
        <f>86.3015 * CHOOSE(CONTROL!$C$9, $D$9, 100%, $F$9) + CHOOSE(CONTROL!$C$27, 0.0021, 0)</f>
        <v>86.303600000000003</v>
      </c>
      <c r="I502" s="14">
        <f>86.3015 * CHOOSE(CONTROL!$C$9, $D$9, 100%, $F$9) + CHOOSE(CONTROL!$C$27, 0.0021, 0)</f>
        <v>86.303600000000003</v>
      </c>
      <c r="J502" s="14">
        <f>86.3015 * CHOOSE(CONTROL!$C$9, $D$9, 100%, $F$9) + CHOOSE(CONTROL!$C$27, 0.0021, 0)</f>
        <v>86.303600000000003</v>
      </c>
      <c r="K502" s="14">
        <f>86.3015 * CHOOSE(CONTROL!$C$9, $D$9, 100%, $F$9) + CHOOSE(CONTROL!$C$27, 0.0021, 0)</f>
        <v>86.303600000000003</v>
      </c>
      <c r="L502" s="14"/>
    </row>
    <row r="503" spans="1:12" ht="15.75" x14ac:dyDescent="0.25">
      <c r="A503" s="33">
        <v>56249</v>
      </c>
      <c r="B503" s="14">
        <f>85.078 * CHOOSE(CONTROL!$C$9, $D$9, 100%, $F$9) + CHOOSE(CONTROL!$C$27, 0.0021, 0)</f>
        <v>85.080100000000002</v>
      </c>
      <c r="C503" s="14">
        <f>84.6458 * CHOOSE(CONTROL!$C$9, $D$9, 100%, $F$9) + CHOOSE(CONTROL!$C$27, 0.0021, 0)</f>
        <v>84.647899999999993</v>
      </c>
      <c r="D503" s="14">
        <f>84.6458 * CHOOSE(CONTROL!$C$9, $D$9, 100%, $F$9) + CHOOSE(CONTROL!$C$27, 0.0021, 0)</f>
        <v>84.647899999999993</v>
      </c>
      <c r="E503" s="14">
        <f>84.5091 * CHOOSE(CONTROL!$C$9, $D$9, 100%, $F$9) + CHOOSE(CONTROL!$C$27, 0.0021, 0)</f>
        <v>84.511200000000002</v>
      </c>
      <c r="F503" s="14">
        <f>84.5091 * CHOOSE(CONTROL!$C$9, $D$9, 100%, $F$9) + CHOOSE(CONTROL!$C$27, 0.0021, 0)</f>
        <v>84.511200000000002</v>
      </c>
      <c r="G503" s="14">
        <f>84.7805 * CHOOSE(CONTROL!$C$9, $D$9, 100%, $F$9) + CHOOSE(CONTROL!$C$27, 0.0021, 0)</f>
        <v>84.782600000000002</v>
      </c>
      <c r="H503" s="14">
        <f>84.6458 * CHOOSE(CONTROL!$C$9, $D$9, 100%, $F$9) + CHOOSE(CONTROL!$C$27, 0.0021, 0)</f>
        <v>84.647899999999993</v>
      </c>
      <c r="I503" s="14">
        <f>84.6458 * CHOOSE(CONTROL!$C$9, $D$9, 100%, $F$9) + CHOOSE(CONTROL!$C$27, 0.0021, 0)</f>
        <v>84.647899999999993</v>
      </c>
      <c r="J503" s="14">
        <f>84.6458 * CHOOSE(CONTROL!$C$9, $D$9, 100%, $F$9) + CHOOSE(CONTROL!$C$27, 0.0021, 0)</f>
        <v>84.647899999999993</v>
      </c>
      <c r="K503" s="14">
        <f>84.6458 * CHOOSE(CONTROL!$C$9, $D$9, 100%, $F$9) + CHOOSE(CONTROL!$C$27, 0.0021, 0)</f>
        <v>84.647899999999993</v>
      </c>
      <c r="L503" s="14"/>
    </row>
    <row r="504" spans="1:12" ht="15.75" x14ac:dyDescent="0.25">
      <c r="A504" s="33">
        <v>56280</v>
      </c>
      <c r="B504" s="14">
        <f>84.0315 * CHOOSE(CONTROL!$C$9, $D$9, 100%, $F$9) + CHOOSE(CONTROL!$C$27, 0.0021, 0)</f>
        <v>84.033599999999993</v>
      </c>
      <c r="C504" s="14">
        <f>83.5993 * CHOOSE(CONTROL!$C$9, $D$9, 100%, $F$9) + CHOOSE(CONTROL!$C$27, 0.0021, 0)</f>
        <v>83.601399999999998</v>
      </c>
      <c r="D504" s="14">
        <f>83.5993 * CHOOSE(CONTROL!$C$9, $D$9, 100%, $F$9) + CHOOSE(CONTROL!$C$27, 0.0021, 0)</f>
        <v>83.601399999999998</v>
      </c>
      <c r="E504" s="14">
        <f>83.4626 * CHOOSE(CONTROL!$C$9, $D$9, 100%, $F$9) + CHOOSE(CONTROL!$C$27, 0.0021, 0)</f>
        <v>83.464699999999993</v>
      </c>
      <c r="F504" s="14">
        <f>83.4626 * CHOOSE(CONTROL!$C$9, $D$9, 100%, $F$9) + CHOOSE(CONTROL!$C$27, 0.0021, 0)</f>
        <v>83.464699999999993</v>
      </c>
      <c r="G504" s="14">
        <f>83.734 * CHOOSE(CONTROL!$C$9, $D$9, 100%, $F$9) + CHOOSE(CONTROL!$C$27, 0.0021, 0)</f>
        <v>83.736099999999993</v>
      </c>
      <c r="H504" s="14">
        <f>83.5993 * CHOOSE(CONTROL!$C$9, $D$9, 100%, $F$9) + CHOOSE(CONTROL!$C$27, 0.0021, 0)</f>
        <v>83.601399999999998</v>
      </c>
      <c r="I504" s="14">
        <f>83.5993 * CHOOSE(CONTROL!$C$9, $D$9, 100%, $F$9) + CHOOSE(CONTROL!$C$27, 0.0021, 0)</f>
        <v>83.601399999999998</v>
      </c>
      <c r="J504" s="14">
        <f>83.5993 * CHOOSE(CONTROL!$C$9, $D$9, 100%, $F$9) + CHOOSE(CONTROL!$C$27, 0.0021, 0)</f>
        <v>83.601399999999998</v>
      </c>
      <c r="K504" s="14">
        <f>83.5993 * CHOOSE(CONTROL!$C$9, $D$9, 100%, $F$9) + CHOOSE(CONTROL!$C$27, 0.0021, 0)</f>
        <v>83.601399999999998</v>
      </c>
      <c r="L504" s="14"/>
    </row>
    <row r="505" spans="1:12" ht="15.75" x14ac:dyDescent="0.25">
      <c r="A505" s="33">
        <v>56308</v>
      </c>
      <c r="B505" s="14">
        <f>81.7195 * CHOOSE(CONTROL!$C$9, $D$9, 100%, $F$9) + CHOOSE(CONTROL!$C$27, 0.0021, 0)</f>
        <v>81.721599999999995</v>
      </c>
      <c r="C505" s="14">
        <f>81.2873 * CHOOSE(CONTROL!$C$9, $D$9, 100%, $F$9) + CHOOSE(CONTROL!$C$27, 0.0021, 0)</f>
        <v>81.289400000000001</v>
      </c>
      <c r="D505" s="14">
        <f>81.2873 * CHOOSE(CONTROL!$C$9, $D$9, 100%, $F$9) + CHOOSE(CONTROL!$C$27, 0.0021, 0)</f>
        <v>81.289400000000001</v>
      </c>
      <c r="E505" s="14">
        <f>81.1506 * CHOOSE(CONTROL!$C$9, $D$9, 100%, $F$9) + CHOOSE(CONTROL!$C$27, 0.0021, 0)</f>
        <v>81.152699999999996</v>
      </c>
      <c r="F505" s="14">
        <f>81.1506 * CHOOSE(CONTROL!$C$9, $D$9, 100%, $F$9) + CHOOSE(CONTROL!$C$27, 0.0021, 0)</f>
        <v>81.152699999999996</v>
      </c>
      <c r="G505" s="14">
        <f>81.422 * CHOOSE(CONTROL!$C$9, $D$9, 100%, $F$9) + CHOOSE(CONTROL!$C$27, 0.0021, 0)</f>
        <v>81.424099999999996</v>
      </c>
      <c r="H505" s="14">
        <f>81.2873 * CHOOSE(CONTROL!$C$9, $D$9, 100%, $F$9) + CHOOSE(CONTROL!$C$27, 0.0021, 0)</f>
        <v>81.289400000000001</v>
      </c>
      <c r="I505" s="14">
        <f>81.2873 * CHOOSE(CONTROL!$C$9, $D$9, 100%, $F$9) + CHOOSE(CONTROL!$C$27, 0.0021, 0)</f>
        <v>81.289400000000001</v>
      </c>
      <c r="J505" s="14">
        <f>81.2873 * CHOOSE(CONTROL!$C$9, $D$9, 100%, $F$9) + CHOOSE(CONTROL!$C$27, 0.0021, 0)</f>
        <v>81.289400000000001</v>
      </c>
      <c r="K505" s="14">
        <f>81.2873 * CHOOSE(CONTROL!$C$9, $D$9, 100%, $F$9) + CHOOSE(CONTROL!$C$27, 0.0021, 0)</f>
        <v>81.289400000000001</v>
      </c>
      <c r="L505" s="14"/>
    </row>
    <row r="506" spans="1:12" ht="15.75" x14ac:dyDescent="0.25">
      <c r="A506" s="33">
        <v>56339</v>
      </c>
      <c r="B506" s="14">
        <f>80.7651 * CHOOSE(CONTROL!$C$9, $D$9, 100%, $F$9) + CHOOSE(CONTROL!$C$27, 0.0021, 0)</f>
        <v>80.767200000000003</v>
      </c>
      <c r="C506" s="14">
        <f>80.3329 * CHOOSE(CONTROL!$C$9, $D$9, 100%, $F$9) + CHOOSE(CONTROL!$C$27, 0.0021, 0)</f>
        <v>80.334999999999994</v>
      </c>
      <c r="D506" s="14">
        <f>80.3329 * CHOOSE(CONTROL!$C$9, $D$9, 100%, $F$9) + CHOOSE(CONTROL!$C$27, 0.0021, 0)</f>
        <v>80.334999999999994</v>
      </c>
      <c r="E506" s="14">
        <f>80.1962 * CHOOSE(CONTROL!$C$9, $D$9, 100%, $F$9) + CHOOSE(CONTROL!$C$27, 0.0021, 0)</f>
        <v>80.198300000000003</v>
      </c>
      <c r="F506" s="14">
        <f>80.1962 * CHOOSE(CONTROL!$C$9, $D$9, 100%, $F$9) + CHOOSE(CONTROL!$C$27, 0.0021, 0)</f>
        <v>80.198300000000003</v>
      </c>
      <c r="G506" s="14">
        <f>80.4676 * CHOOSE(CONTROL!$C$9, $D$9, 100%, $F$9) + CHOOSE(CONTROL!$C$27, 0.0021, 0)</f>
        <v>80.469700000000003</v>
      </c>
      <c r="H506" s="14">
        <f>80.3329 * CHOOSE(CONTROL!$C$9, $D$9, 100%, $F$9) + CHOOSE(CONTROL!$C$27, 0.0021, 0)</f>
        <v>80.334999999999994</v>
      </c>
      <c r="I506" s="14">
        <f>80.3329 * CHOOSE(CONTROL!$C$9, $D$9, 100%, $F$9) + CHOOSE(CONTROL!$C$27, 0.0021, 0)</f>
        <v>80.334999999999994</v>
      </c>
      <c r="J506" s="14">
        <f>80.3329 * CHOOSE(CONTROL!$C$9, $D$9, 100%, $F$9) + CHOOSE(CONTROL!$C$27, 0.0021, 0)</f>
        <v>80.334999999999994</v>
      </c>
      <c r="K506" s="14">
        <f>80.3329 * CHOOSE(CONTROL!$C$9, $D$9, 100%, $F$9) + CHOOSE(CONTROL!$C$27, 0.0021, 0)</f>
        <v>80.334999999999994</v>
      </c>
      <c r="L506" s="14"/>
    </row>
    <row r="507" spans="1:12" ht="15.75" x14ac:dyDescent="0.25">
      <c r="A507" s="33">
        <v>56369</v>
      </c>
      <c r="B507" s="14">
        <f>79.6255 * CHOOSE(CONTROL!$C$9, $D$9, 100%, $F$9) + CHOOSE(CONTROL!$C$27, 0.0021, 0)</f>
        <v>79.627600000000001</v>
      </c>
      <c r="C507" s="14">
        <f>79.1933 * CHOOSE(CONTROL!$C$9, $D$9, 100%, $F$9) + CHOOSE(CONTROL!$C$27, 0.0021, 0)</f>
        <v>79.195399999999992</v>
      </c>
      <c r="D507" s="14">
        <f>79.1933 * CHOOSE(CONTROL!$C$9, $D$9, 100%, $F$9) + CHOOSE(CONTROL!$C$27, 0.0021, 0)</f>
        <v>79.195399999999992</v>
      </c>
      <c r="E507" s="14">
        <f>79.0566 * CHOOSE(CONTROL!$C$9, $D$9, 100%, $F$9) + CHOOSE(CONTROL!$C$27, 0.0021, 0)</f>
        <v>79.058700000000002</v>
      </c>
      <c r="F507" s="14">
        <f>79.0566 * CHOOSE(CONTROL!$C$9, $D$9, 100%, $F$9) + CHOOSE(CONTROL!$C$27, 0.0021, 0)</f>
        <v>79.058700000000002</v>
      </c>
      <c r="G507" s="14">
        <f>79.328 * CHOOSE(CONTROL!$C$9, $D$9, 100%, $F$9) + CHOOSE(CONTROL!$C$27, 0.0021, 0)</f>
        <v>79.330100000000002</v>
      </c>
      <c r="H507" s="14">
        <f>79.1933 * CHOOSE(CONTROL!$C$9, $D$9, 100%, $F$9) + CHOOSE(CONTROL!$C$27, 0.0021, 0)</f>
        <v>79.195399999999992</v>
      </c>
      <c r="I507" s="14">
        <f>79.1933 * CHOOSE(CONTROL!$C$9, $D$9, 100%, $F$9) + CHOOSE(CONTROL!$C$27, 0.0021, 0)</f>
        <v>79.195399999999992</v>
      </c>
      <c r="J507" s="14">
        <f>79.1933 * CHOOSE(CONTROL!$C$9, $D$9, 100%, $F$9) + CHOOSE(CONTROL!$C$27, 0.0021, 0)</f>
        <v>79.195399999999992</v>
      </c>
      <c r="K507" s="14">
        <f>79.1933 * CHOOSE(CONTROL!$C$9, $D$9, 100%, $F$9) + CHOOSE(CONTROL!$C$27, 0.0021, 0)</f>
        <v>79.195399999999992</v>
      </c>
      <c r="L507" s="14"/>
    </row>
    <row r="508" spans="1:12" ht="15.75" x14ac:dyDescent="0.25">
      <c r="A508" s="33">
        <v>56400</v>
      </c>
      <c r="B508" s="14">
        <f>81.2496 * CHOOSE(CONTROL!$C$9, $D$9, 100%, $F$9) + CHOOSE(CONTROL!$C$27, 0.0021, 0)</f>
        <v>81.2517</v>
      </c>
      <c r="C508" s="14">
        <f>80.8173 * CHOOSE(CONTROL!$C$9, $D$9, 100%, $F$9) + CHOOSE(CONTROL!$C$27, 0.0021, 0)</f>
        <v>80.819400000000002</v>
      </c>
      <c r="D508" s="14">
        <f>80.8173 * CHOOSE(CONTROL!$C$9, $D$9, 100%, $F$9) + CHOOSE(CONTROL!$C$27, 0.0021, 0)</f>
        <v>80.819400000000002</v>
      </c>
      <c r="E508" s="14">
        <f>80.6807 * CHOOSE(CONTROL!$C$9, $D$9, 100%, $F$9) + CHOOSE(CONTROL!$C$27, 0.0021, 0)</f>
        <v>80.6828</v>
      </c>
      <c r="F508" s="14">
        <f>80.6807 * CHOOSE(CONTROL!$C$9, $D$9, 100%, $F$9) + CHOOSE(CONTROL!$C$27, 0.0021, 0)</f>
        <v>80.6828</v>
      </c>
      <c r="G508" s="14">
        <f>80.952 * CHOOSE(CONTROL!$C$9, $D$9, 100%, $F$9) + CHOOSE(CONTROL!$C$27, 0.0021, 0)</f>
        <v>80.954099999999997</v>
      </c>
      <c r="H508" s="14">
        <f>80.8173 * CHOOSE(CONTROL!$C$9, $D$9, 100%, $F$9) + CHOOSE(CONTROL!$C$27, 0.0021, 0)</f>
        <v>80.819400000000002</v>
      </c>
      <c r="I508" s="14">
        <f>80.8173 * CHOOSE(CONTROL!$C$9, $D$9, 100%, $F$9) + CHOOSE(CONTROL!$C$27, 0.0021, 0)</f>
        <v>80.819400000000002</v>
      </c>
      <c r="J508" s="14">
        <f>80.8173 * CHOOSE(CONTROL!$C$9, $D$9, 100%, $F$9) + CHOOSE(CONTROL!$C$27, 0.0021, 0)</f>
        <v>80.819400000000002</v>
      </c>
      <c r="K508" s="14">
        <f>80.8173 * CHOOSE(CONTROL!$C$9, $D$9, 100%, $F$9) + CHOOSE(CONTROL!$C$27, 0.0021, 0)</f>
        <v>80.819400000000002</v>
      </c>
      <c r="L508" s="14"/>
    </row>
    <row r="509" spans="1:12" ht="15.75" x14ac:dyDescent="0.25">
      <c r="A509" s="33">
        <v>56430</v>
      </c>
      <c r="B509" s="14">
        <f>82.2223 * CHOOSE(CONTROL!$C$9, $D$9, 100%, $F$9) + CHOOSE(CONTROL!$C$27, 0.0021, 0)</f>
        <v>82.224400000000003</v>
      </c>
      <c r="C509" s="14">
        <f>81.7901 * CHOOSE(CONTROL!$C$9, $D$9, 100%, $F$9) + CHOOSE(CONTROL!$C$27, 0.0021, 0)</f>
        <v>81.792199999999994</v>
      </c>
      <c r="D509" s="14">
        <f>81.7901 * CHOOSE(CONTROL!$C$9, $D$9, 100%, $F$9) + CHOOSE(CONTROL!$C$27, 0.0021, 0)</f>
        <v>81.792199999999994</v>
      </c>
      <c r="E509" s="14">
        <f>81.6534 * CHOOSE(CONTROL!$C$9, $D$9, 100%, $F$9) + CHOOSE(CONTROL!$C$27, 0.0021, 0)</f>
        <v>81.655500000000004</v>
      </c>
      <c r="F509" s="14">
        <f>81.6534 * CHOOSE(CONTROL!$C$9, $D$9, 100%, $F$9) + CHOOSE(CONTROL!$C$27, 0.0021, 0)</f>
        <v>81.655500000000004</v>
      </c>
      <c r="G509" s="14">
        <f>81.9248 * CHOOSE(CONTROL!$C$9, $D$9, 100%, $F$9) + CHOOSE(CONTROL!$C$27, 0.0021, 0)</f>
        <v>81.926900000000003</v>
      </c>
      <c r="H509" s="14">
        <f>81.7901 * CHOOSE(CONTROL!$C$9, $D$9, 100%, $F$9) + CHOOSE(CONTROL!$C$27, 0.0021, 0)</f>
        <v>81.792199999999994</v>
      </c>
      <c r="I509" s="14">
        <f>81.7901 * CHOOSE(CONTROL!$C$9, $D$9, 100%, $F$9) + CHOOSE(CONTROL!$C$27, 0.0021, 0)</f>
        <v>81.792199999999994</v>
      </c>
      <c r="J509" s="14">
        <f>81.7901 * CHOOSE(CONTROL!$C$9, $D$9, 100%, $F$9) + CHOOSE(CONTROL!$C$27, 0.0021, 0)</f>
        <v>81.792199999999994</v>
      </c>
      <c r="K509" s="14">
        <f>81.7901 * CHOOSE(CONTROL!$C$9, $D$9, 100%, $F$9) + CHOOSE(CONTROL!$C$27, 0.0021, 0)</f>
        <v>81.792199999999994</v>
      </c>
      <c r="L509" s="14"/>
    </row>
    <row r="510" spans="1:12" ht="15.75" x14ac:dyDescent="0.25">
      <c r="A510" s="33">
        <v>56461</v>
      </c>
      <c r="B510" s="14">
        <f>83.827 * CHOOSE(CONTROL!$C$9, $D$9, 100%, $F$9) + CHOOSE(CONTROL!$C$27, 0.0021, 0)</f>
        <v>83.829099999999997</v>
      </c>
      <c r="C510" s="14">
        <f>83.3947 * CHOOSE(CONTROL!$C$9, $D$9, 100%, $F$9) + CHOOSE(CONTROL!$C$27, 0.0021, 0)</f>
        <v>83.396799999999999</v>
      </c>
      <c r="D510" s="14">
        <f>83.3947 * CHOOSE(CONTROL!$C$9, $D$9, 100%, $F$9) + CHOOSE(CONTROL!$C$27, 0.0021, 0)</f>
        <v>83.396799999999999</v>
      </c>
      <c r="E510" s="14">
        <f>83.258 * CHOOSE(CONTROL!$C$9, $D$9, 100%, $F$9) + CHOOSE(CONTROL!$C$27, 0.0021, 0)</f>
        <v>83.260099999999994</v>
      </c>
      <c r="F510" s="14">
        <f>83.258 * CHOOSE(CONTROL!$C$9, $D$9, 100%, $F$9) + CHOOSE(CONTROL!$C$27, 0.0021, 0)</f>
        <v>83.260099999999994</v>
      </c>
      <c r="G510" s="14">
        <f>83.5294 * CHOOSE(CONTROL!$C$9, $D$9, 100%, $F$9) + CHOOSE(CONTROL!$C$27, 0.0021, 0)</f>
        <v>83.531499999999994</v>
      </c>
      <c r="H510" s="14">
        <f>83.3947 * CHOOSE(CONTROL!$C$9, $D$9, 100%, $F$9) + CHOOSE(CONTROL!$C$27, 0.0021, 0)</f>
        <v>83.396799999999999</v>
      </c>
      <c r="I510" s="14">
        <f>83.3947 * CHOOSE(CONTROL!$C$9, $D$9, 100%, $F$9) + CHOOSE(CONTROL!$C$27, 0.0021, 0)</f>
        <v>83.396799999999999</v>
      </c>
      <c r="J510" s="14">
        <f>83.3947 * CHOOSE(CONTROL!$C$9, $D$9, 100%, $F$9) + CHOOSE(CONTROL!$C$27, 0.0021, 0)</f>
        <v>83.396799999999999</v>
      </c>
      <c r="K510" s="14">
        <f>83.3947 * CHOOSE(CONTROL!$C$9, $D$9, 100%, $F$9) + CHOOSE(CONTROL!$C$27, 0.0021, 0)</f>
        <v>83.396799999999999</v>
      </c>
      <c r="L510" s="14"/>
    </row>
    <row r="511" spans="1:12" ht="15.75" x14ac:dyDescent="0.25">
      <c r="A511" s="33">
        <v>56492</v>
      </c>
      <c r="B511" s="14">
        <f>84.3167 * CHOOSE(CONTROL!$C$9, $D$9, 100%, $F$9) + CHOOSE(CONTROL!$C$27, 0.0021, 0)</f>
        <v>84.318799999999996</v>
      </c>
      <c r="C511" s="14">
        <f>83.8845 * CHOOSE(CONTROL!$C$9, $D$9, 100%, $F$9) + CHOOSE(CONTROL!$C$27, 0.0021, 0)</f>
        <v>83.886600000000001</v>
      </c>
      <c r="D511" s="14">
        <f>83.8845 * CHOOSE(CONTROL!$C$9, $D$9, 100%, $F$9) + CHOOSE(CONTROL!$C$27, 0.0021, 0)</f>
        <v>83.886600000000001</v>
      </c>
      <c r="E511" s="14">
        <f>83.7478 * CHOOSE(CONTROL!$C$9, $D$9, 100%, $F$9) + CHOOSE(CONTROL!$C$27, 0.0021, 0)</f>
        <v>83.749899999999997</v>
      </c>
      <c r="F511" s="14">
        <f>83.7478 * CHOOSE(CONTROL!$C$9, $D$9, 100%, $F$9) + CHOOSE(CONTROL!$C$27, 0.0021, 0)</f>
        <v>83.749899999999997</v>
      </c>
      <c r="G511" s="14">
        <f>84.0192 * CHOOSE(CONTROL!$C$9, $D$9, 100%, $F$9) + CHOOSE(CONTROL!$C$27, 0.0021, 0)</f>
        <v>84.021299999999997</v>
      </c>
      <c r="H511" s="14">
        <f>83.8845 * CHOOSE(CONTROL!$C$9, $D$9, 100%, $F$9) + CHOOSE(CONTROL!$C$27, 0.0021, 0)</f>
        <v>83.886600000000001</v>
      </c>
      <c r="I511" s="14">
        <f>83.8845 * CHOOSE(CONTROL!$C$9, $D$9, 100%, $F$9) + CHOOSE(CONTROL!$C$27, 0.0021, 0)</f>
        <v>83.886600000000001</v>
      </c>
      <c r="J511" s="14">
        <f>83.8845 * CHOOSE(CONTROL!$C$9, $D$9, 100%, $F$9) + CHOOSE(CONTROL!$C$27, 0.0021, 0)</f>
        <v>83.886600000000001</v>
      </c>
      <c r="K511" s="14">
        <f>83.8845 * CHOOSE(CONTROL!$C$9, $D$9, 100%, $F$9) + CHOOSE(CONTROL!$C$27, 0.0021, 0)</f>
        <v>83.886600000000001</v>
      </c>
      <c r="L511" s="14"/>
    </row>
    <row r="512" spans="1:12" ht="15.75" x14ac:dyDescent="0.25">
      <c r="A512" s="33">
        <v>56522</v>
      </c>
      <c r="B512" s="14">
        <f>85.9847 * CHOOSE(CONTROL!$C$9, $D$9, 100%, $F$9) + CHOOSE(CONTROL!$C$27, 0.0021, 0)</f>
        <v>85.986800000000002</v>
      </c>
      <c r="C512" s="14">
        <f>85.5525 * CHOOSE(CONTROL!$C$9, $D$9, 100%, $F$9) + CHOOSE(CONTROL!$C$27, 0.0021, 0)</f>
        <v>85.554599999999994</v>
      </c>
      <c r="D512" s="14">
        <f>85.5525 * CHOOSE(CONTROL!$C$9, $D$9, 100%, $F$9) + CHOOSE(CONTROL!$C$27, 0.0021, 0)</f>
        <v>85.554599999999994</v>
      </c>
      <c r="E512" s="14">
        <f>85.4158 * CHOOSE(CONTROL!$C$9, $D$9, 100%, $F$9) + CHOOSE(CONTROL!$C$27, 0.0021, 0)</f>
        <v>85.417900000000003</v>
      </c>
      <c r="F512" s="14">
        <f>85.4158 * CHOOSE(CONTROL!$C$9, $D$9, 100%, $F$9) + CHOOSE(CONTROL!$C$27, 0.0021, 0)</f>
        <v>85.417900000000003</v>
      </c>
      <c r="G512" s="14">
        <f>85.6872 * CHOOSE(CONTROL!$C$9, $D$9, 100%, $F$9) + CHOOSE(CONTROL!$C$27, 0.0021, 0)</f>
        <v>85.689300000000003</v>
      </c>
      <c r="H512" s="14">
        <f>85.5525 * CHOOSE(CONTROL!$C$9, $D$9, 100%, $F$9) + CHOOSE(CONTROL!$C$27, 0.0021, 0)</f>
        <v>85.554599999999994</v>
      </c>
      <c r="I512" s="14">
        <f>85.5525 * CHOOSE(CONTROL!$C$9, $D$9, 100%, $F$9) + CHOOSE(CONTROL!$C$27, 0.0021, 0)</f>
        <v>85.554599999999994</v>
      </c>
      <c r="J512" s="14">
        <f>85.5525 * CHOOSE(CONTROL!$C$9, $D$9, 100%, $F$9) + CHOOSE(CONTROL!$C$27, 0.0021, 0)</f>
        <v>85.554599999999994</v>
      </c>
      <c r="K512" s="14">
        <f>85.5525 * CHOOSE(CONTROL!$C$9, $D$9, 100%, $F$9) + CHOOSE(CONTROL!$C$27, 0.0021, 0)</f>
        <v>85.554599999999994</v>
      </c>
      <c r="L512" s="14"/>
    </row>
    <row r="513" spans="1:12" ht="15.75" x14ac:dyDescent="0.25">
      <c r="A513" s="33">
        <v>56553</v>
      </c>
      <c r="B513" s="14">
        <f>88.0961 * CHOOSE(CONTROL!$C$9, $D$9, 100%, $F$9) + CHOOSE(CONTROL!$C$27, 0.0021, 0)</f>
        <v>88.098200000000006</v>
      </c>
      <c r="C513" s="14">
        <f>87.6638 * CHOOSE(CONTROL!$C$9, $D$9, 100%, $F$9) + CHOOSE(CONTROL!$C$27, 0.0021, 0)</f>
        <v>87.665899999999993</v>
      </c>
      <c r="D513" s="14">
        <f>87.6638 * CHOOSE(CONTROL!$C$9, $D$9, 100%, $F$9) + CHOOSE(CONTROL!$C$27, 0.0021, 0)</f>
        <v>87.665899999999993</v>
      </c>
      <c r="E513" s="14">
        <f>87.5272 * CHOOSE(CONTROL!$C$9, $D$9, 100%, $F$9) + CHOOSE(CONTROL!$C$27, 0.0021, 0)</f>
        <v>87.529299999999992</v>
      </c>
      <c r="F513" s="14">
        <f>87.5272 * CHOOSE(CONTROL!$C$9, $D$9, 100%, $F$9) + CHOOSE(CONTROL!$C$27, 0.0021, 0)</f>
        <v>87.529299999999992</v>
      </c>
      <c r="G513" s="14">
        <f>87.7985 * CHOOSE(CONTROL!$C$9, $D$9, 100%, $F$9) + CHOOSE(CONTROL!$C$27, 0.0021, 0)</f>
        <v>87.800600000000003</v>
      </c>
      <c r="H513" s="14">
        <f>87.6638 * CHOOSE(CONTROL!$C$9, $D$9, 100%, $F$9) + CHOOSE(CONTROL!$C$27, 0.0021, 0)</f>
        <v>87.665899999999993</v>
      </c>
      <c r="I513" s="14">
        <f>87.6638 * CHOOSE(CONTROL!$C$9, $D$9, 100%, $F$9) + CHOOSE(CONTROL!$C$27, 0.0021, 0)</f>
        <v>87.665899999999993</v>
      </c>
      <c r="J513" s="14">
        <f>87.6638 * CHOOSE(CONTROL!$C$9, $D$9, 100%, $F$9) + CHOOSE(CONTROL!$C$27, 0.0021, 0)</f>
        <v>87.665899999999993</v>
      </c>
      <c r="K513" s="14">
        <f>87.6638 * CHOOSE(CONTROL!$C$9, $D$9, 100%, $F$9) + CHOOSE(CONTROL!$C$27, 0.0021, 0)</f>
        <v>87.665899999999993</v>
      </c>
      <c r="L513" s="14"/>
    </row>
    <row r="514" spans="1:12" ht="15.75" x14ac:dyDescent="0.25">
      <c r="A514" s="33">
        <v>56583</v>
      </c>
      <c r="B514" s="14">
        <f>88.2943 * CHOOSE(CONTROL!$C$9, $D$9, 100%, $F$9) + CHOOSE(CONTROL!$C$27, 0.0021, 0)</f>
        <v>88.296400000000006</v>
      </c>
      <c r="C514" s="14">
        <f>87.862 * CHOOSE(CONTROL!$C$9, $D$9, 100%, $F$9) + CHOOSE(CONTROL!$C$27, 0.0021, 0)</f>
        <v>87.864099999999993</v>
      </c>
      <c r="D514" s="14">
        <f>87.862 * CHOOSE(CONTROL!$C$9, $D$9, 100%, $F$9) + CHOOSE(CONTROL!$C$27, 0.0021, 0)</f>
        <v>87.864099999999993</v>
      </c>
      <c r="E514" s="14">
        <f>87.7254 * CHOOSE(CONTROL!$C$9, $D$9, 100%, $F$9) + CHOOSE(CONTROL!$C$27, 0.0021, 0)</f>
        <v>87.727499999999992</v>
      </c>
      <c r="F514" s="14">
        <f>87.7254 * CHOOSE(CONTROL!$C$9, $D$9, 100%, $F$9) + CHOOSE(CONTROL!$C$27, 0.0021, 0)</f>
        <v>87.727499999999992</v>
      </c>
      <c r="G514" s="14">
        <f>87.9967 * CHOOSE(CONTROL!$C$9, $D$9, 100%, $F$9) + CHOOSE(CONTROL!$C$27, 0.0021, 0)</f>
        <v>87.998800000000003</v>
      </c>
      <c r="H514" s="14">
        <f>87.862 * CHOOSE(CONTROL!$C$9, $D$9, 100%, $F$9) + CHOOSE(CONTROL!$C$27, 0.0021, 0)</f>
        <v>87.864099999999993</v>
      </c>
      <c r="I514" s="14">
        <f>87.862 * CHOOSE(CONTROL!$C$9, $D$9, 100%, $F$9) + CHOOSE(CONTROL!$C$27, 0.0021, 0)</f>
        <v>87.864099999999993</v>
      </c>
      <c r="J514" s="14">
        <f>87.862 * CHOOSE(CONTROL!$C$9, $D$9, 100%, $F$9) + CHOOSE(CONTROL!$C$27, 0.0021, 0)</f>
        <v>87.864099999999993</v>
      </c>
      <c r="K514" s="14">
        <f>87.862 * CHOOSE(CONTROL!$C$9, $D$9, 100%, $F$9) + CHOOSE(CONTROL!$C$27, 0.0021, 0)</f>
        <v>87.864099999999993</v>
      </c>
      <c r="L514" s="14"/>
    </row>
    <row r="515" spans="1:12" ht="15.75" x14ac:dyDescent="0.25">
      <c r="A515" s="33">
        <v>56614</v>
      </c>
      <c r="B515" s="14">
        <f>86.608 * CHOOSE(CONTROL!$C$9, $D$9, 100%, $F$9) + CHOOSE(CONTROL!$C$27, 0.0021, 0)</f>
        <v>86.610100000000003</v>
      </c>
      <c r="C515" s="14">
        <f>86.1757 * CHOOSE(CONTROL!$C$9, $D$9, 100%, $F$9) + CHOOSE(CONTROL!$C$27, 0.0021, 0)</f>
        <v>86.177800000000005</v>
      </c>
      <c r="D515" s="14">
        <f>86.1757 * CHOOSE(CONTROL!$C$9, $D$9, 100%, $F$9) + CHOOSE(CONTROL!$C$27, 0.0021, 0)</f>
        <v>86.177800000000005</v>
      </c>
      <c r="E515" s="14">
        <f>86.0391 * CHOOSE(CONTROL!$C$9, $D$9, 100%, $F$9) + CHOOSE(CONTROL!$C$27, 0.0021, 0)</f>
        <v>86.041200000000003</v>
      </c>
      <c r="F515" s="14">
        <f>86.0391 * CHOOSE(CONTROL!$C$9, $D$9, 100%, $F$9) + CHOOSE(CONTROL!$C$27, 0.0021, 0)</f>
        <v>86.041200000000003</v>
      </c>
      <c r="G515" s="14">
        <f>86.3104 * CHOOSE(CONTROL!$C$9, $D$9, 100%, $F$9) + CHOOSE(CONTROL!$C$27, 0.0021, 0)</f>
        <v>86.3125</v>
      </c>
      <c r="H515" s="14">
        <f>86.1757 * CHOOSE(CONTROL!$C$9, $D$9, 100%, $F$9) + CHOOSE(CONTROL!$C$27, 0.0021, 0)</f>
        <v>86.177800000000005</v>
      </c>
      <c r="I515" s="14">
        <f>86.1757 * CHOOSE(CONTROL!$C$9, $D$9, 100%, $F$9) + CHOOSE(CONTROL!$C$27, 0.0021, 0)</f>
        <v>86.177800000000005</v>
      </c>
      <c r="J515" s="14">
        <f>86.1757 * CHOOSE(CONTROL!$C$9, $D$9, 100%, $F$9) + CHOOSE(CONTROL!$C$27, 0.0021, 0)</f>
        <v>86.177800000000005</v>
      </c>
      <c r="K515" s="14">
        <f>86.1757 * CHOOSE(CONTROL!$C$9, $D$9, 100%, $F$9) + CHOOSE(CONTROL!$C$27, 0.0021, 0)</f>
        <v>86.177800000000005</v>
      </c>
      <c r="L515" s="14"/>
    </row>
    <row r="516" spans="1:12" ht="15.75" x14ac:dyDescent="0.25">
      <c r="A516" s="32">
        <v>56645</v>
      </c>
      <c r="B516" s="14">
        <f>85.5421 * CHOOSE(CONTROL!$C$9, $D$9, 100%, $F$9) + CHOOSE(CONTROL!$C$27, 0.0021, 0)</f>
        <v>85.544200000000004</v>
      </c>
      <c r="C516" s="14">
        <f>85.1099 * CHOOSE(CONTROL!$C$9, $D$9, 100%, $F$9) + CHOOSE(CONTROL!$C$27, 0.0021, 0)</f>
        <v>85.111999999999995</v>
      </c>
      <c r="D516" s="14">
        <f>85.1099 * CHOOSE(CONTROL!$C$9, $D$9, 100%, $F$9) + CHOOSE(CONTROL!$C$27, 0.0021, 0)</f>
        <v>85.111999999999995</v>
      </c>
      <c r="E516" s="14">
        <f>84.9732 * CHOOSE(CONTROL!$C$9, $D$9, 100%, $F$9) + CHOOSE(CONTROL!$C$27, 0.0021, 0)</f>
        <v>84.975300000000004</v>
      </c>
      <c r="F516" s="14">
        <f>84.9732 * CHOOSE(CONTROL!$C$9, $D$9, 100%, $F$9) + CHOOSE(CONTROL!$C$27, 0.0021, 0)</f>
        <v>84.975300000000004</v>
      </c>
      <c r="G516" s="14">
        <f>85.2446 * CHOOSE(CONTROL!$C$9, $D$9, 100%, $F$9) + CHOOSE(CONTROL!$C$27, 0.0021, 0)</f>
        <v>85.246700000000004</v>
      </c>
      <c r="H516" s="14">
        <f>85.1099 * CHOOSE(CONTROL!$C$9, $D$9, 100%, $F$9) + CHOOSE(CONTROL!$C$27, 0.0021, 0)</f>
        <v>85.111999999999995</v>
      </c>
      <c r="I516" s="14">
        <f>85.1099 * CHOOSE(CONTROL!$C$9, $D$9, 100%, $F$9) + CHOOSE(CONTROL!$C$27, 0.0021, 0)</f>
        <v>85.111999999999995</v>
      </c>
      <c r="J516" s="14">
        <f>85.1099 * CHOOSE(CONTROL!$C$9, $D$9, 100%, $F$9) + CHOOSE(CONTROL!$C$27, 0.0021, 0)</f>
        <v>85.111999999999995</v>
      </c>
      <c r="K516" s="14">
        <f>85.1099 * CHOOSE(CONTROL!$C$9, $D$9, 100%, $F$9) + CHOOSE(CONTROL!$C$27, 0.0021, 0)</f>
        <v>85.111999999999995</v>
      </c>
      <c r="L516" s="14"/>
    </row>
    <row r="517" spans="1:12" ht="15.75" x14ac:dyDescent="0.25">
      <c r="A517" s="32">
        <v>56673</v>
      </c>
      <c r="B517" s="14">
        <f>83.1874 * CHOOSE(CONTROL!$C$9, $D$9, 100%, $F$9) + CHOOSE(CONTROL!$C$27, 0.0021, 0)</f>
        <v>83.189499999999995</v>
      </c>
      <c r="C517" s="14">
        <f>82.7551 * CHOOSE(CONTROL!$C$9, $D$9, 100%, $F$9) + CHOOSE(CONTROL!$C$27, 0.0021, 0)</f>
        <v>82.757199999999997</v>
      </c>
      <c r="D517" s="14">
        <f>82.7551 * CHOOSE(CONTROL!$C$9, $D$9, 100%, $F$9) + CHOOSE(CONTROL!$C$27, 0.0021, 0)</f>
        <v>82.757199999999997</v>
      </c>
      <c r="E517" s="14">
        <f>82.6185 * CHOOSE(CONTROL!$C$9, $D$9, 100%, $F$9) + CHOOSE(CONTROL!$C$27, 0.0021, 0)</f>
        <v>82.620599999999996</v>
      </c>
      <c r="F517" s="14">
        <f>82.6185 * CHOOSE(CONTROL!$C$9, $D$9, 100%, $F$9) + CHOOSE(CONTROL!$C$27, 0.0021, 0)</f>
        <v>82.620599999999996</v>
      </c>
      <c r="G517" s="14">
        <f>82.8899 * CHOOSE(CONTROL!$C$9, $D$9, 100%, $F$9) + CHOOSE(CONTROL!$C$27, 0.0021, 0)</f>
        <v>82.891999999999996</v>
      </c>
      <c r="H517" s="14">
        <f>82.7551 * CHOOSE(CONTROL!$C$9, $D$9, 100%, $F$9) + CHOOSE(CONTROL!$C$27, 0.0021, 0)</f>
        <v>82.757199999999997</v>
      </c>
      <c r="I517" s="14">
        <f>82.7551 * CHOOSE(CONTROL!$C$9, $D$9, 100%, $F$9) + CHOOSE(CONTROL!$C$27, 0.0021, 0)</f>
        <v>82.757199999999997</v>
      </c>
      <c r="J517" s="14">
        <f>82.7551 * CHOOSE(CONTROL!$C$9, $D$9, 100%, $F$9) + CHOOSE(CONTROL!$C$27, 0.0021, 0)</f>
        <v>82.757199999999997</v>
      </c>
      <c r="K517" s="14">
        <f>82.7551 * CHOOSE(CONTROL!$C$9, $D$9, 100%, $F$9) + CHOOSE(CONTROL!$C$27, 0.0021, 0)</f>
        <v>82.757199999999997</v>
      </c>
      <c r="L517" s="14"/>
    </row>
    <row r="518" spans="1:12" ht="15.75" x14ac:dyDescent="0.25">
      <c r="A518" s="32">
        <v>56704</v>
      </c>
      <c r="B518" s="14">
        <f>82.2154 * CHOOSE(CONTROL!$C$9, $D$9, 100%, $F$9) + CHOOSE(CONTROL!$C$27, 0.0021, 0)</f>
        <v>82.217500000000001</v>
      </c>
      <c r="C518" s="14">
        <f>81.7831 * CHOOSE(CONTROL!$C$9, $D$9, 100%, $F$9) + CHOOSE(CONTROL!$C$27, 0.0021, 0)</f>
        <v>81.785200000000003</v>
      </c>
      <c r="D518" s="14">
        <f>81.7831 * CHOOSE(CONTROL!$C$9, $D$9, 100%, $F$9) + CHOOSE(CONTROL!$C$27, 0.0021, 0)</f>
        <v>81.785200000000003</v>
      </c>
      <c r="E518" s="14">
        <f>81.6464 * CHOOSE(CONTROL!$C$9, $D$9, 100%, $F$9) + CHOOSE(CONTROL!$C$27, 0.0021, 0)</f>
        <v>81.648499999999999</v>
      </c>
      <c r="F518" s="14">
        <f>81.6464 * CHOOSE(CONTROL!$C$9, $D$9, 100%, $F$9) + CHOOSE(CONTROL!$C$27, 0.0021, 0)</f>
        <v>81.648499999999999</v>
      </c>
      <c r="G518" s="14">
        <f>81.9178 * CHOOSE(CONTROL!$C$9, $D$9, 100%, $F$9) + CHOOSE(CONTROL!$C$27, 0.0021, 0)</f>
        <v>81.919899999999998</v>
      </c>
      <c r="H518" s="14">
        <f>81.7831 * CHOOSE(CONTROL!$C$9, $D$9, 100%, $F$9) + CHOOSE(CONTROL!$C$27, 0.0021, 0)</f>
        <v>81.785200000000003</v>
      </c>
      <c r="I518" s="14">
        <f>81.7831 * CHOOSE(CONTROL!$C$9, $D$9, 100%, $F$9) + CHOOSE(CONTROL!$C$27, 0.0021, 0)</f>
        <v>81.785200000000003</v>
      </c>
      <c r="J518" s="14">
        <f>81.7831 * CHOOSE(CONTROL!$C$9, $D$9, 100%, $F$9) + CHOOSE(CONTROL!$C$27, 0.0021, 0)</f>
        <v>81.785200000000003</v>
      </c>
      <c r="K518" s="14">
        <f>81.7831 * CHOOSE(CONTROL!$C$9, $D$9, 100%, $F$9) + CHOOSE(CONTROL!$C$27, 0.0021, 0)</f>
        <v>81.785200000000003</v>
      </c>
      <c r="L518" s="14"/>
    </row>
    <row r="519" spans="1:12" ht="15.75" x14ac:dyDescent="0.25">
      <c r="A519" s="32">
        <v>56734</v>
      </c>
      <c r="B519" s="14">
        <f>81.0547 * CHOOSE(CONTROL!$C$9, $D$9, 100%, $F$9) + CHOOSE(CONTROL!$C$27, 0.0021, 0)</f>
        <v>81.056799999999996</v>
      </c>
      <c r="C519" s="14">
        <f>80.6225 * CHOOSE(CONTROL!$C$9, $D$9, 100%, $F$9) + CHOOSE(CONTROL!$C$27, 0.0021, 0)</f>
        <v>80.624600000000001</v>
      </c>
      <c r="D519" s="14">
        <f>80.6225 * CHOOSE(CONTROL!$C$9, $D$9, 100%, $F$9) + CHOOSE(CONTROL!$C$27, 0.0021, 0)</f>
        <v>80.624600000000001</v>
      </c>
      <c r="E519" s="14">
        <f>80.4858 * CHOOSE(CONTROL!$C$9, $D$9, 100%, $F$9) + CHOOSE(CONTROL!$C$27, 0.0021, 0)</f>
        <v>80.487899999999996</v>
      </c>
      <c r="F519" s="14">
        <f>80.4858 * CHOOSE(CONTROL!$C$9, $D$9, 100%, $F$9) + CHOOSE(CONTROL!$C$27, 0.0021, 0)</f>
        <v>80.487899999999996</v>
      </c>
      <c r="G519" s="14">
        <f>80.7572 * CHOOSE(CONTROL!$C$9, $D$9, 100%, $F$9) + CHOOSE(CONTROL!$C$27, 0.0021, 0)</f>
        <v>80.759299999999996</v>
      </c>
      <c r="H519" s="14">
        <f>80.6225 * CHOOSE(CONTROL!$C$9, $D$9, 100%, $F$9) + CHOOSE(CONTROL!$C$27, 0.0021, 0)</f>
        <v>80.624600000000001</v>
      </c>
      <c r="I519" s="14">
        <f>80.6225 * CHOOSE(CONTROL!$C$9, $D$9, 100%, $F$9) + CHOOSE(CONTROL!$C$27, 0.0021, 0)</f>
        <v>80.624600000000001</v>
      </c>
      <c r="J519" s="14">
        <f>80.6225 * CHOOSE(CONTROL!$C$9, $D$9, 100%, $F$9) + CHOOSE(CONTROL!$C$27, 0.0021, 0)</f>
        <v>80.624600000000001</v>
      </c>
      <c r="K519" s="14">
        <f>80.6225 * CHOOSE(CONTROL!$C$9, $D$9, 100%, $F$9) + CHOOSE(CONTROL!$C$27, 0.0021, 0)</f>
        <v>80.624600000000001</v>
      </c>
      <c r="L519" s="14"/>
    </row>
    <row r="520" spans="1:12" ht="15.75" x14ac:dyDescent="0.25">
      <c r="A520" s="32">
        <v>56765</v>
      </c>
      <c r="B520" s="14">
        <f>82.7088 * CHOOSE(CONTROL!$C$9, $D$9, 100%, $F$9) + CHOOSE(CONTROL!$C$27, 0.0021, 0)</f>
        <v>82.710899999999995</v>
      </c>
      <c r="C520" s="14">
        <f>82.2765 * CHOOSE(CONTROL!$C$9, $D$9, 100%, $F$9) + CHOOSE(CONTROL!$C$27, 0.0021, 0)</f>
        <v>82.278599999999997</v>
      </c>
      <c r="D520" s="14">
        <f>82.2765 * CHOOSE(CONTROL!$C$9, $D$9, 100%, $F$9) + CHOOSE(CONTROL!$C$27, 0.0021, 0)</f>
        <v>82.278599999999997</v>
      </c>
      <c r="E520" s="14">
        <f>82.1399 * CHOOSE(CONTROL!$C$9, $D$9, 100%, $F$9) + CHOOSE(CONTROL!$C$27, 0.0021, 0)</f>
        <v>82.141999999999996</v>
      </c>
      <c r="F520" s="14">
        <f>82.1399 * CHOOSE(CONTROL!$C$9, $D$9, 100%, $F$9) + CHOOSE(CONTROL!$C$27, 0.0021, 0)</f>
        <v>82.141999999999996</v>
      </c>
      <c r="G520" s="14">
        <f>82.4112 * CHOOSE(CONTROL!$C$9, $D$9, 100%, $F$9) + CHOOSE(CONTROL!$C$27, 0.0021, 0)</f>
        <v>82.413299999999992</v>
      </c>
      <c r="H520" s="14">
        <f>82.2765 * CHOOSE(CONTROL!$C$9, $D$9, 100%, $F$9) + CHOOSE(CONTROL!$C$27, 0.0021, 0)</f>
        <v>82.278599999999997</v>
      </c>
      <c r="I520" s="14">
        <f>82.2765 * CHOOSE(CONTROL!$C$9, $D$9, 100%, $F$9) + CHOOSE(CONTROL!$C$27, 0.0021, 0)</f>
        <v>82.278599999999997</v>
      </c>
      <c r="J520" s="14">
        <f>82.2765 * CHOOSE(CONTROL!$C$9, $D$9, 100%, $F$9) + CHOOSE(CONTROL!$C$27, 0.0021, 0)</f>
        <v>82.278599999999997</v>
      </c>
      <c r="K520" s="14">
        <f>82.2765 * CHOOSE(CONTROL!$C$9, $D$9, 100%, $F$9) + CHOOSE(CONTROL!$C$27, 0.0021, 0)</f>
        <v>82.278599999999997</v>
      </c>
      <c r="L520" s="14"/>
    </row>
    <row r="521" spans="1:12" ht="15.75" x14ac:dyDescent="0.25">
      <c r="A521" s="32">
        <v>56795</v>
      </c>
      <c r="B521" s="14">
        <f>83.6995 * CHOOSE(CONTROL!$C$9, $D$9, 100%, $F$9) + CHOOSE(CONTROL!$C$27, 0.0021, 0)</f>
        <v>83.701599999999999</v>
      </c>
      <c r="C521" s="14">
        <f>83.2672 * CHOOSE(CONTROL!$C$9, $D$9, 100%, $F$9) + CHOOSE(CONTROL!$C$27, 0.0021, 0)</f>
        <v>83.269300000000001</v>
      </c>
      <c r="D521" s="14">
        <f>83.2672 * CHOOSE(CONTROL!$C$9, $D$9, 100%, $F$9) + CHOOSE(CONTROL!$C$27, 0.0021, 0)</f>
        <v>83.269300000000001</v>
      </c>
      <c r="E521" s="14">
        <f>83.1306 * CHOOSE(CONTROL!$C$9, $D$9, 100%, $F$9) + CHOOSE(CONTROL!$C$27, 0.0021, 0)</f>
        <v>83.1327</v>
      </c>
      <c r="F521" s="14">
        <f>83.1306 * CHOOSE(CONTROL!$C$9, $D$9, 100%, $F$9) + CHOOSE(CONTROL!$C$27, 0.0021, 0)</f>
        <v>83.1327</v>
      </c>
      <c r="G521" s="14">
        <f>83.4019 * CHOOSE(CONTROL!$C$9, $D$9, 100%, $F$9) + CHOOSE(CONTROL!$C$27, 0.0021, 0)</f>
        <v>83.403999999999996</v>
      </c>
      <c r="H521" s="14">
        <f>83.2672 * CHOOSE(CONTROL!$C$9, $D$9, 100%, $F$9) + CHOOSE(CONTROL!$C$27, 0.0021, 0)</f>
        <v>83.269300000000001</v>
      </c>
      <c r="I521" s="14">
        <f>83.2672 * CHOOSE(CONTROL!$C$9, $D$9, 100%, $F$9) + CHOOSE(CONTROL!$C$27, 0.0021, 0)</f>
        <v>83.269300000000001</v>
      </c>
      <c r="J521" s="14">
        <f>83.2672 * CHOOSE(CONTROL!$C$9, $D$9, 100%, $F$9) + CHOOSE(CONTROL!$C$27, 0.0021, 0)</f>
        <v>83.269300000000001</v>
      </c>
      <c r="K521" s="14">
        <f>83.2672 * CHOOSE(CONTROL!$C$9, $D$9, 100%, $F$9) + CHOOSE(CONTROL!$C$27, 0.0021, 0)</f>
        <v>83.269300000000001</v>
      </c>
      <c r="L521" s="14"/>
    </row>
    <row r="522" spans="1:12" ht="15.75" x14ac:dyDescent="0.25">
      <c r="A522" s="32">
        <v>56826</v>
      </c>
      <c r="B522" s="14">
        <f>85.3338 * CHOOSE(CONTROL!$C$9, $D$9, 100%, $F$9) + CHOOSE(CONTROL!$C$27, 0.0021, 0)</f>
        <v>85.335899999999995</v>
      </c>
      <c r="C522" s="14">
        <f>84.9015 * CHOOSE(CONTROL!$C$9, $D$9, 100%, $F$9) + CHOOSE(CONTROL!$C$27, 0.0021, 0)</f>
        <v>84.903599999999997</v>
      </c>
      <c r="D522" s="14">
        <f>84.9015 * CHOOSE(CONTROL!$C$9, $D$9, 100%, $F$9) + CHOOSE(CONTROL!$C$27, 0.0021, 0)</f>
        <v>84.903599999999997</v>
      </c>
      <c r="E522" s="14">
        <f>84.7649 * CHOOSE(CONTROL!$C$9, $D$9, 100%, $F$9) + CHOOSE(CONTROL!$C$27, 0.0021, 0)</f>
        <v>84.766999999999996</v>
      </c>
      <c r="F522" s="14">
        <f>84.7649 * CHOOSE(CONTROL!$C$9, $D$9, 100%, $F$9) + CHOOSE(CONTROL!$C$27, 0.0021, 0)</f>
        <v>84.766999999999996</v>
      </c>
      <c r="G522" s="14">
        <f>85.0362 * CHOOSE(CONTROL!$C$9, $D$9, 100%, $F$9) + CHOOSE(CONTROL!$C$27, 0.0021, 0)</f>
        <v>85.038299999999992</v>
      </c>
      <c r="H522" s="14">
        <f>84.9015 * CHOOSE(CONTROL!$C$9, $D$9, 100%, $F$9) + CHOOSE(CONTROL!$C$27, 0.0021, 0)</f>
        <v>84.903599999999997</v>
      </c>
      <c r="I522" s="14">
        <f>84.9015 * CHOOSE(CONTROL!$C$9, $D$9, 100%, $F$9) + CHOOSE(CONTROL!$C$27, 0.0021, 0)</f>
        <v>84.903599999999997</v>
      </c>
      <c r="J522" s="14">
        <f>84.9015 * CHOOSE(CONTROL!$C$9, $D$9, 100%, $F$9) + CHOOSE(CONTROL!$C$27, 0.0021, 0)</f>
        <v>84.903599999999997</v>
      </c>
      <c r="K522" s="14">
        <f>84.9015 * CHOOSE(CONTROL!$C$9, $D$9, 100%, $F$9) + CHOOSE(CONTROL!$C$27, 0.0021, 0)</f>
        <v>84.903599999999997</v>
      </c>
      <c r="L522" s="14"/>
    </row>
    <row r="523" spans="1:12" ht="15.75" x14ac:dyDescent="0.25">
      <c r="A523" s="32">
        <v>56857</v>
      </c>
      <c r="B523" s="14">
        <f>85.8326 * CHOOSE(CONTROL!$C$9, $D$9, 100%, $F$9) + CHOOSE(CONTROL!$C$27, 0.0021, 0)</f>
        <v>85.834699999999998</v>
      </c>
      <c r="C523" s="14">
        <f>85.4004 * CHOOSE(CONTROL!$C$9, $D$9, 100%, $F$9) + CHOOSE(CONTROL!$C$27, 0.0021, 0)</f>
        <v>85.402500000000003</v>
      </c>
      <c r="D523" s="14">
        <f>85.4004 * CHOOSE(CONTROL!$C$9, $D$9, 100%, $F$9) + CHOOSE(CONTROL!$C$27, 0.0021, 0)</f>
        <v>85.402500000000003</v>
      </c>
      <c r="E523" s="14">
        <f>85.2637 * CHOOSE(CONTROL!$C$9, $D$9, 100%, $F$9) + CHOOSE(CONTROL!$C$27, 0.0021, 0)</f>
        <v>85.265799999999999</v>
      </c>
      <c r="F523" s="14">
        <f>85.2637 * CHOOSE(CONTROL!$C$9, $D$9, 100%, $F$9) + CHOOSE(CONTROL!$C$27, 0.0021, 0)</f>
        <v>85.265799999999999</v>
      </c>
      <c r="G523" s="14">
        <f>85.5351 * CHOOSE(CONTROL!$C$9, $D$9, 100%, $F$9) + CHOOSE(CONTROL!$C$27, 0.0021, 0)</f>
        <v>85.537199999999999</v>
      </c>
      <c r="H523" s="14">
        <f>85.4004 * CHOOSE(CONTROL!$C$9, $D$9, 100%, $F$9) + CHOOSE(CONTROL!$C$27, 0.0021, 0)</f>
        <v>85.402500000000003</v>
      </c>
      <c r="I523" s="14">
        <f>85.4004 * CHOOSE(CONTROL!$C$9, $D$9, 100%, $F$9) + CHOOSE(CONTROL!$C$27, 0.0021, 0)</f>
        <v>85.402500000000003</v>
      </c>
      <c r="J523" s="14">
        <f>85.4004 * CHOOSE(CONTROL!$C$9, $D$9, 100%, $F$9) + CHOOSE(CONTROL!$C$27, 0.0021, 0)</f>
        <v>85.402500000000003</v>
      </c>
      <c r="K523" s="14">
        <f>85.4004 * CHOOSE(CONTROL!$C$9, $D$9, 100%, $F$9) + CHOOSE(CONTROL!$C$27, 0.0021, 0)</f>
        <v>85.402500000000003</v>
      </c>
      <c r="L523" s="14"/>
    </row>
    <row r="524" spans="1:12" ht="15.75" x14ac:dyDescent="0.25">
      <c r="A524" s="32">
        <v>56887</v>
      </c>
      <c r="B524" s="14">
        <f>87.5314 * CHOOSE(CONTROL!$C$9, $D$9, 100%, $F$9) + CHOOSE(CONTROL!$C$27, 0.0021, 0)</f>
        <v>87.533500000000004</v>
      </c>
      <c r="C524" s="14">
        <f>87.0992 * CHOOSE(CONTROL!$C$9, $D$9, 100%, $F$9) + CHOOSE(CONTROL!$C$27, 0.0021, 0)</f>
        <v>87.101299999999995</v>
      </c>
      <c r="D524" s="14">
        <f>87.0992 * CHOOSE(CONTROL!$C$9, $D$9, 100%, $F$9) + CHOOSE(CONTROL!$C$27, 0.0021, 0)</f>
        <v>87.101299999999995</v>
      </c>
      <c r="E524" s="14">
        <f>86.9625 * CHOOSE(CONTROL!$C$9, $D$9, 100%, $F$9) + CHOOSE(CONTROL!$C$27, 0.0021, 0)</f>
        <v>86.964600000000004</v>
      </c>
      <c r="F524" s="14">
        <f>86.9625 * CHOOSE(CONTROL!$C$9, $D$9, 100%, $F$9) + CHOOSE(CONTROL!$C$27, 0.0021, 0)</f>
        <v>86.964600000000004</v>
      </c>
      <c r="G524" s="14">
        <f>87.2339 * CHOOSE(CONTROL!$C$9, $D$9, 100%, $F$9) + CHOOSE(CONTROL!$C$27, 0.0021, 0)</f>
        <v>87.236000000000004</v>
      </c>
      <c r="H524" s="14">
        <f>87.0992 * CHOOSE(CONTROL!$C$9, $D$9, 100%, $F$9) + CHOOSE(CONTROL!$C$27, 0.0021, 0)</f>
        <v>87.101299999999995</v>
      </c>
      <c r="I524" s="14">
        <f>87.0992 * CHOOSE(CONTROL!$C$9, $D$9, 100%, $F$9) + CHOOSE(CONTROL!$C$27, 0.0021, 0)</f>
        <v>87.101299999999995</v>
      </c>
      <c r="J524" s="14">
        <f>87.0992 * CHOOSE(CONTROL!$C$9, $D$9, 100%, $F$9) + CHOOSE(CONTROL!$C$27, 0.0021, 0)</f>
        <v>87.101299999999995</v>
      </c>
      <c r="K524" s="14">
        <f>87.0992 * CHOOSE(CONTROL!$C$9, $D$9, 100%, $F$9) + CHOOSE(CONTROL!$C$27, 0.0021, 0)</f>
        <v>87.101299999999995</v>
      </c>
      <c r="L524" s="14"/>
    </row>
    <row r="525" spans="1:12" ht="15.75" x14ac:dyDescent="0.25">
      <c r="A525" s="32">
        <v>56918</v>
      </c>
      <c r="B525" s="14">
        <f>89.6818 * CHOOSE(CONTROL!$C$9, $D$9, 100%, $F$9) + CHOOSE(CONTROL!$C$27, 0.0021, 0)</f>
        <v>89.683899999999994</v>
      </c>
      <c r="C525" s="14">
        <f>89.2495 * CHOOSE(CONTROL!$C$9, $D$9, 100%, $F$9) + CHOOSE(CONTROL!$C$27, 0.0021, 0)</f>
        <v>89.251599999999996</v>
      </c>
      <c r="D525" s="14">
        <f>89.2495 * CHOOSE(CONTROL!$C$9, $D$9, 100%, $F$9) + CHOOSE(CONTROL!$C$27, 0.0021, 0)</f>
        <v>89.251599999999996</v>
      </c>
      <c r="E525" s="14">
        <f>89.1129 * CHOOSE(CONTROL!$C$9, $D$9, 100%, $F$9) + CHOOSE(CONTROL!$C$27, 0.0021, 0)</f>
        <v>89.114999999999995</v>
      </c>
      <c r="F525" s="14">
        <f>89.1129 * CHOOSE(CONTROL!$C$9, $D$9, 100%, $F$9) + CHOOSE(CONTROL!$C$27, 0.0021, 0)</f>
        <v>89.114999999999995</v>
      </c>
      <c r="G525" s="14">
        <f>89.3842 * CHOOSE(CONTROL!$C$9, $D$9, 100%, $F$9) + CHOOSE(CONTROL!$C$27, 0.0021, 0)</f>
        <v>89.386300000000006</v>
      </c>
      <c r="H525" s="14">
        <f>89.2495 * CHOOSE(CONTROL!$C$9, $D$9, 100%, $F$9) + CHOOSE(CONTROL!$C$27, 0.0021, 0)</f>
        <v>89.251599999999996</v>
      </c>
      <c r="I525" s="14">
        <f>89.2495 * CHOOSE(CONTROL!$C$9, $D$9, 100%, $F$9) + CHOOSE(CONTROL!$C$27, 0.0021, 0)</f>
        <v>89.251599999999996</v>
      </c>
      <c r="J525" s="14">
        <f>89.2495 * CHOOSE(CONTROL!$C$9, $D$9, 100%, $F$9) + CHOOSE(CONTROL!$C$27, 0.0021, 0)</f>
        <v>89.251599999999996</v>
      </c>
      <c r="K525" s="14">
        <f>89.2495 * CHOOSE(CONTROL!$C$9, $D$9, 100%, $F$9) + CHOOSE(CONTROL!$C$27, 0.0021, 0)</f>
        <v>89.251599999999996</v>
      </c>
      <c r="L525" s="14"/>
    </row>
    <row r="526" spans="1:12" ht="15.75" x14ac:dyDescent="0.25">
      <c r="A526" s="32">
        <v>56948</v>
      </c>
      <c r="B526" s="14">
        <f>89.8836 * CHOOSE(CONTROL!$C$9, $D$9, 100%, $F$9) + CHOOSE(CONTROL!$C$27, 0.0021, 0)</f>
        <v>89.8857</v>
      </c>
      <c r="C526" s="14">
        <f>89.4514 * CHOOSE(CONTROL!$C$9, $D$9, 100%, $F$9) + CHOOSE(CONTROL!$C$27, 0.0021, 0)</f>
        <v>89.453500000000005</v>
      </c>
      <c r="D526" s="14">
        <f>89.4514 * CHOOSE(CONTROL!$C$9, $D$9, 100%, $F$9) + CHOOSE(CONTROL!$C$27, 0.0021, 0)</f>
        <v>89.453500000000005</v>
      </c>
      <c r="E526" s="14">
        <f>89.3147 * CHOOSE(CONTROL!$C$9, $D$9, 100%, $F$9) + CHOOSE(CONTROL!$C$27, 0.0021, 0)</f>
        <v>89.316800000000001</v>
      </c>
      <c r="F526" s="14">
        <f>89.3147 * CHOOSE(CONTROL!$C$9, $D$9, 100%, $F$9) + CHOOSE(CONTROL!$C$27, 0.0021, 0)</f>
        <v>89.316800000000001</v>
      </c>
      <c r="G526" s="14">
        <f>89.5861 * CHOOSE(CONTROL!$C$9, $D$9, 100%, $F$9) + CHOOSE(CONTROL!$C$27, 0.0021, 0)</f>
        <v>89.588200000000001</v>
      </c>
      <c r="H526" s="14">
        <f>89.4514 * CHOOSE(CONTROL!$C$9, $D$9, 100%, $F$9) + CHOOSE(CONTROL!$C$27, 0.0021, 0)</f>
        <v>89.453500000000005</v>
      </c>
      <c r="I526" s="14">
        <f>89.4514 * CHOOSE(CONTROL!$C$9, $D$9, 100%, $F$9) + CHOOSE(CONTROL!$C$27, 0.0021, 0)</f>
        <v>89.453500000000005</v>
      </c>
      <c r="J526" s="14">
        <f>89.4514 * CHOOSE(CONTROL!$C$9, $D$9, 100%, $F$9) + CHOOSE(CONTROL!$C$27, 0.0021, 0)</f>
        <v>89.453500000000005</v>
      </c>
      <c r="K526" s="14">
        <f>89.4514 * CHOOSE(CONTROL!$C$9, $D$9, 100%, $F$9) + CHOOSE(CONTROL!$C$27, 0.0021, 0)</f>
        <v>89.453500000000005</v>
      </c>
      <c r="L526" s="14"/>
    </row>
    <row r="527" spans="1:12" ht="15.75" x14ac:dyDescent="0.25">
      <c r="A527" s="32">
        <v>56979</v>
      </c>
      <c r="B527" s="14">
        <f>88.1662 * CHOOSE(CONTROL!$C$9, $D$9, 100%, $F$9) + CHOOSE(CONTROL!$C$27, 0.0021, 0)</f>
        <v>88.168300000000002</v>
      </c>
      <c r="C527" s="14">
        <f>87.7339 * CHOOSE(CONTROL!$C$9, $D$9, 100%, $F$9) + CHOOSE(CONTROL!$C$27, 0.0021, 0)</f>
        <v>87.736000000000004</v>
      </c>
      <c r="D527" s="14">
        <f>87.7339 * CHOOSE(CONTROL!$C$9, $D$9, 100%, $F$9) + CHOOSE(CONTROL!$C$27, 0.0021, 0)</f>
        <v>87.736000000000004</v>
      </c>
      <c r="E527" s="14">
        <f>87.5973 * CHOOSE(CONTROL!$C$9, $D$9, 100%, $F$9) + CHOOSE(CONTROL!$C$27, 0.0021, 0)</f>
        <v>87.599400000000003</v>
      </c>
      <c r="F527" s="14">
        <f>87.5973 * CHOOSE(CONTROL!$C$9, $D$9, 100%, $F$9) + CHOOSE(CONTROL!$C$27, 0.0021, 0)</f>
        <v>87.599400000000003</v>
      </c>
      <c r="G527" s="14">
        <f>87.8687 * CHOOSE(CONTROL!$C$9, $D$9, 100%, $F$9) + CHOOSE(CONTROL!$C$27, 0.0021, 0)</f>
        <v>87.870800000000003</v>
      </c>
      <c r="H527" s="14">
        <f>87.7339 * CHOOSE(CONTROL!$C$9, $D$9, 100%, $F$9) + CHOOSE(CONTROL!$C$27, 0.0021, 0)</f>
        <v>87.736000000000004</v>
      </c>
      <c r="I527" s="14">
        <f>87.7339 * CHOOSE(CONTROL!$C$9, $D$9, 100%, $F$9) + CHOOSE(CONTROL!$C$27, 0.0021, 0)</f>
        <v>87.736000000000004</v>
      </c>
      <c r="J527" s="14">
        <f>87.7339 * CHOOSE(CONTROL!$C$9, $D$9, 100%, $F$9) + CHOOSE(CONTROL!$C$27, 0.0021, 0)</f>
        <v>87.736000000000004</v>
      </c>
      <c r="K527" s="14">
        <f>87.7339 * CHOOSE(CONTROL!$C$9, $D$9, 100%, $F$9) + CHOOSE(CONTROL!$C$27, 0.0021, 0)</f>
        <v>87.736000000000004</v>
      </c>
      <c r="L527" s="14"/>
    </row>
    <row r="528" spans="1:12" ht="15.75" x14ac:dyDescent="0.25">
      <c r="A528" s="32">
        <v>57010</v>
      </c>
      <c r="B528" s="14">
        <f>87.0807 * CHOOSE(CONTROL!$C$9, $D$9, 100%, $F$9) + CHOOSE(CONTROL!$C$27, 0.0021, 0)</f>
        <v>87.082799999999992</v>
      </c>
      <c r="C528" s="14">
        <f>86.6484 * CHOOSE(CONTROL!$C$9, $D$9, 100%, $F$9) + CHOOSE(CONTROL!$C$27, 0.0021, 0)</f>
        <v>86.650499999999994</v>
      </c>
      <c r="D528" s="14">
        <f>86.6484 * CHOOSE(CONTROL!$C$9, $D$9, 100%, $F$9) + CHOOSE(CONTROL!$C$27, 0.0021, 0)</f>
        <v>86.650499999999994</v>
      </c>
      <c r="E528" s="14">
        <f>86.5118 * CHOOSE(CONTROL!$C$9, $D$9, 100%, $F$9) + CHOOSE(CONTROL!$C$27, 0.0021, 0)</f>
        <v>86.513899999999992</v>
      </c>
      <c r="F528" s="14">
        <f>86.5118 * CHOOSE(CONTROL!$C$9, $D$9, 100%, $F$9) + CHOOSE(CONTROL!$C$27, 0.0021, 0)</f>
        <v>86.513899999999992</v>
      </c>
      <c r="G528" s="14">
        <f>86.7831 * CHOOSE(CONTROL!$C$9, $D$9, 100%, $F$9) + CHOOSE(CONTROL!$C$27, 0.0021, 0)</f>
        <v>86.785200000000003</v>
      </c>
      <c r="H528" s="14">
        <f>86.6484 * CHOOSE(CONTROL!$C$9, $D$9, 100%, $F$9) + CHOOSE(CONTROL!$C$27, 0.0021, 0)</f>
        <v>86.650499999999994</v>
      </c>
      <c r="I528" s="14">
        <f>86.6484 * CHOOSE(CONTROL!$C$9, $D$9, 100%, $F$9) + CHOOSE(CONTROL!$C$27, 0.0021, 0)</f>
        <v>86.650499999999994</v>
      </c>
      <c r="J528" s="14">
        <f>86.6484 * CHOOSE(CONTROL!$C$9, $D$9, 100%, $F$9) + CHOOSE(CONTROL!$C$27, 0.0021, 0)</f>
        <v>86.650499999999994</v>
      </c>
      <c r="K528" s="14">
        <f>86.6484 * CHOOSE(CONTROL!$C$9, $D$9, 100%, $F$9) + CHOOSE(CONTROL!$C$27, 0.0021, 0)</f>
        <v>86.650499999999994</v>
      </c>
      <c r="L528" s="14"/>
    </row>
    <row r="529" spans="1:12" ht="15.75" x14ac:dyDescent="0.25">
      <c r="A529" s="32">
        <v>57038</v>
      </c>
      <c r="B529" s="14">
        <f>84.6824 * CHOOSE(CONTROL!$C$9, $D$9, 100%, $F$9) + CHOOSE(CONTROL!$C$27, 0.0021, 0)</f>
        <v>84.6845</v>
      </c>
      <c r="C529" s="14">
        <f>84.2501 * CHOOSE(CONTROL!$C$9, $D$9, 100%, $F$9) + CHOOSE(CONTROL!$C$27, 0.0021, 0)</f>
        <v>84.252200000000002</v>
      </c>
      <c r="D529" s="14">
        <f>84.2501 * CHOOSE(CONTROL!$C$9, $D$9, 100%, $F$9) + CHOOSE(CONTROL!$C$27, 0.0021, 0)</f>
        <v>84.252200000000002</v>
      </c>
      <c r="E529" s="14">
        <f>84.1135 * CHOOSE(CONTROL!$C$9, $D$9, 100%, $F$9) + CHOOSE(CONTROL!$C$27, 0.0021, 0)</f>
        <v>84.115600000000001</v>
      </c>
      <c r="F529" s="14">
        <f>84.1135 * CHOOSE(CONTROL!$C$9, $D$9, 100%, $F$9) + CHOOSE(CONTROL!$C$27, 0.0021, 0)</f>
        <v>84.115600000000001</v>
      </c>
      <c r="G529" s="14">
        <f>84.3849 * CHOOSE(CONTROL!$C$9, $D$9, 100%, $F$9) + CHOOSE(CONTROL!$C$27, 0.0021, 0)</f>
        <v>84.387</v>
      </c>
      <c r="H529" s="14">
        <f>84.2501 * CHOOSE(CONTROL!$C$9, $D$9, 100%, $F$9) + CHOOSE(CONTROL!$C$27, 0.0021, 0)</f>
        <v>84.252200000000002</v>
      </c>
      <c r="I529" s="14">
        <f>84.2501 * CHOOSE(CONTROL!$C$9, $D$9, 100%, $F$9) + CHOOSE(CONTROL!$C$27, 0.0021, 0)</f>
        <v>84.252200000000002</v>
      </c>
      <c r="J529" s="14">
        <f>84.2501 * CHOOSE(CONTROL!$C$9, $D$9, 100%, $F$9) + CHOOSE(CONTROL!$C$27, 0.0021, 0)</f>
        <v>84.252200000000002</v>
      </c>
      <c r="K529" s="14">
        <f>84.2501 * CHOOSE(CONTROL!$C$9, $D$9, 100%, $F$9) + CHOOSE(CONTROL!$C$27, 0.0021, 0)</f>
        <v>84.252200000000002</v>
      </c>
      <c r="L529" s="14"/>
    </row>
    <row r="530" spans="1:12" ht="15.75" x14ac:dyDescent="0.25">
      <c r="A530" s="32">
        <v>57070</v>
      </c>
      <c r="B530" s="14">
        <f>83.6924 * CHOOSE(CONTROL!$C$9, $D$9, 100%, $F$9) + CHOOSE(CONTROL!$C$27, 0.0021, 0)</f>
        <v>83.694500000000005</v>
      </c>
      <c r="C530" s="14">
        <f>83.2601 * CHOOSE(CONTROL!$C$9, $D$9, 100%, $F$9) + CHOOSE(CONTROL!$C$27, 0.0021, 0)</f>
        <v>83.262199999999993</v>
      </c>
      <c r="D530" s="14">
        <f>83.2601 * CHOOSE(CONTROL!$C$9, $D$9, 100%, $F$9) + CHOOSE(CONTROL!$C$27, 0.0021, 0)</f>
        <v>83.262199999999993</v>
      </c>
      <c r="E530" s="14">
        <f>83.1235 * CHOOSE(CONTROL!$C$9, $D$9, 100%, $F$9) + CHOOSE(CONTROL!$C$27, 0.0021, 0)</f>
        <v>83.125600000000006</v>
      </c>
      <c r="F530" s="14">
        <f>83.1235 * CHOOSE(CONTROL!$C$9, $D$9, 100%, $F$9) + CHOOSE(CONTROL!$C$27, 0.0021, 0)</f>
        <v>83.125600000000006</v>
      </c>
      <c r="G530" s="14">
        <f>83.3949 * CHOOSE(CONTROL!$C$9, $D$9, 100%, $F$9) + CHOOSE(CONTROL!$C$27, 0.0021, 0)</f>
        <v>83.397000000000006</v>
      </c>
      <c r="H530" s="14">
        <f>83.2601 * CHOOSE(CONTROL!$C$9, $D$9, 100%, $F$9) + CHOOSE(CONTROL!$C$27, 0.0021, 0)</f>
        <v>83.262199999999993</v>
      </c>
      <c r="I530" s="14">
        <f>83.2601 * CHOOSE(CONTROL!$C$9, $D$9, 100%, $F$9) + CHOOSE(CONTROL!$C$27, 0.0021, 0)</f>
        <v>83.262199999999993</v>
      </c>
      <c r="J530" s="14">
        <f>83.2601 * CHOOSE(CONTROL!$C$9, $D$9, 100%, $F$9) + CHOOSE(CONTROL!$C$27, 0.0021, 0)</f>
        <v>83.262199999999993</v>
      </c>
      <c r="K530" s="14">
        <f>83.2601 * CHOOSE(CONTROL!$C$9, $D$9, 100%, $F$9) + CHOOSE(CONTROL!$C$27, 0.0021, 0)</f>
        <v>83.262199999999993</v>
      </c>
      <c r="L530" s="14"/>
    </row>
    <row r="531" spans="1:12" ht="15.75" x14ac:dyDescent="0.25">
      <c r="A531" s="32">
        <v>57100</v>
      </c>
      <c r="B531" s="14">
        <f>82.5103 * CHOOSE(CONTROL!$C$9, $D$9, 100%, $F$9) + CHOOSE(CONTROL!$C$27, 0.0021, 0)</f>
        <v>82.5124</v>
      </c>
      <c r="C531" s="14">
        <f>82.0781 * CHOOSE(CONTROL!$C$9, $D$9, 100%, $F$9) + CHOOSE(CONTROL!$C$27, 0.0021, 0)</f>
        <v>82.080200000000005</v>
      </c>
      <c r="D531" s="14">
        <f>82.0781 * CHOOSE(CONTROL!$C$9, $D$9, 100%, $F$9) + CHOOSE(CONTROL!$C$27, 0.0021, 0)</f>
        <v>82.080200000000005</v>
      </c>
      <c r="E531" s="14">
        <f>81.9414 * CHOOSE(CONTROL!$C$9, $D$9, 100%, $F$9) + CHOOSE(CONTROL!$C$27, 0.0021, 0)</f>
        <v>81.9435</v>
      </c>
      <c r="F531" s="14">
        <f>81.9414 * CHOOSE(CONTROL!$C$9, $D$9, 100%, $F$9) + CHOOSE(CONTROL!$C$27, 0.0021, 0)</f>
        <v>81.9435</v>
      </c>
      <c r="G531" s="14">
        <f>82.2128 * CHOOSE(CONTROL!$C$9, $D$9, 100%, $F$9) + CHOOSE(CONTROL!$C$27, 0.0021, 0)</f>
        <v>82.2149</v>
      </c>
      <c r="H531" s="14">
        <f>82.0781 * CHOOSE(CONTROL!$C$9, $D$9, 100%, $F$9) + CHOOSE(CONTROL!$C$27, 0.0021, 0)</f>
        <v>82.080200000000005</v>
      </c>
      <c r="I531" s="14">
        <f>82.0781 * CHOOSE(CONTROL!$C$9, $D$9, 100%, $F$9) + CHOOSE(CONTROL!$C$27, 0.0021, 0)</f>
        <v>82.080200000000005</v>
      </c>
      <c r="J531" s="14">
        <f>82.0781 * CHOOSE(CONTROL!$C$9, $D$9, 100%, $F$9) + CHOOSE(CONTROL!$C$27, 0.0021, 0)</f>
        <v>82.080200000000005</v>
      </c>
      <c r="K531" s="14">
        <f>82.0781 * CHOOSE(CONTROL!$C$9, $D$9, 100%, $F$9) + CHOOSE(CONTROL!$C$27, 0.0021, 0)</f>
        <v>82.080200000000005</v>
      </c>
      <c r="L531" s="14"/>
    </row>
    <row r="532" spans="1:12" ht="15.75" x14ac:dyDescent="0.25">
      <c r="A532" s="32">
        <v>57131</v>
      </c>
      <c r="B532" s="14">
        <f>84.1949 * CHOOSE(CONTROL!$C$9, $D$9, 100%, $F$9) + CHOOSE(CONTROL!$C$27, 0.0021, 0)</f>
        <v>84.197000000000003</v>
      </c>
      <c r="C532" s="14">
        <f>83.7627 * CHOOSE(CONTROL!$C$9, $D$9, 100%, $F$9) + CHOOSE(CONTROL!$C$27, 0.0021, 0)</f>
        <v>83.764799999999994</v>
      </c>
      <c r="D532" s="14">
        <f>83.7627 * CHOOSE(CONTROL!$C$9, $D$9, 100%, $F$9) + CHOOSE(CONTROL!$C$27, 0.0021, 0)</f>
        <v>83.764799999999994</v>
      </c>
      <c r="E532" s="14">
        <f>83.626 * CHOOSE(CONTROL!$C$9, $D$9, 100%, $F$9) + CHOOSE(CONTROL!$C$27, 0.0021, 0)</f>
        <v>83.628100000000003</v>
      </c>
      <c r="F532" s="14">
        <f>83.626 * CHOOSE(CONTROL!$C$9, $D$9, 100%, $F$9) + CHOOSE(CONTROL!$C$27, 0.0021, 0)</f>
        <v>83.628100000000003</v>
      </c>
      <c r="G532" s="14">
        <f>83.8974 * CHOOSE(CONTROL!$C$9, $D$9, 100%, $F$9) + CHOOSE(CONTROL!$C$27, 0.0021, 0)</f>
        <v>83.899500000000003</v>
      </c>
      <c r="H532" s="14">
        <f>83.7627 * CHOOSE(CONTROL!$C$9, $D$9, 100%, $F$9) + CHOOSE(CONTROL!$C$27, 0.0021, 0)</f>
        <v>83.764799999999994</v>
      </c>
      <c r="I532" s="14">
        <f>83.7627 * CHOOSE(CONTROL!$C$9, $D$9, 100%, $F$9) + CHOOSE(CONTROL!$C$27, 0.0021, 0)</f>
        <v>83.764799999999994</v>
      </c>
      <c r="J532" s="14">
        <f>83.7627 * CHOOSE(CONTROL!$C$9, $D$9, 100%, $F$9) + CHOOSE(CONTROL!$C$27, 0.0021, 0)</f>
        <v>83.764799999999994</v>
      </c>
      <c r="K532" s="14">
        <f>83.7627 * CHOOSE(CONTROL!$C$9, $D$9, 100%, $F$9) + CHOOSE(CONTROL!$C$27, 0.0021, 0)</f>
        <v>83.764799999999994</v>
      </c>
      <c r="L532" s="14"/>
    </row>
    <row r="533" spans="1:12" ht="15.75" x14ac:dyDescent="0.25">
      <c r="A533" s="32">
        <v>57161</v>
      </c>
      <c r="B533" s="14">
        <f>85.2039 * CHOOSE(CONTROL!$C$9, $D$9, 100%, $F$9) + CHOOSE(CONTROL!$C$27, 0.0021, 0)</f>
        <v>85.206000000000003</v>
      </c>
      <c r="C533" s="14">
        <f>84.7717 * CHOOSE(CONTROL!$C$9, $D$9, 100%, $F$9) + CHOOSE(CONTROL!$C$27, 0.0021, 0)</f>
        <v>84.773799999999994</v>
      </c>
      <c r="D533" s="14">
        <f>84.7717 * CHOOSE(CONTROL!$C$9, $D$9, 100%, $F$9) + CHOOSE(CONTROL!$C$27, 0.0021, 0)</f>
        <v>84.773799999999994</v>
      </c>
      <c r="E533" s="14">
        <f>84.635 * CHOOSE(CONTROL!$C$9, $D$9, 100%, $F$9) + CHOOSE(CONTROL!$C$27, 0.0021, 0)</f>
        <v>84.637100000000004</v>
      </c>
      <c r="F533" s="14">
        <f>84.635 * CHOOSE(CONTROL!$C$9, $D$9, 100%, $F$9) + CHOOSE(CONTROL!$C$27, 0.0021, 0)</f>
        <v>84.637100000000004</v>
      </c>
      <c r="G533" s="14">
        <f>84.9064 * CHOOSE(CONTROL!$C$9, $D$9, 100%, $F$9) + CHOOSE(CONTROL!$C$27, 0.0021, 0)</f>
        <v>84.908500000000004</v>
      </c>
      <c r="H533" s="14">
        <f>84.7717 * CHOOSE(CONTROL!$C$9, $D$9, 100%, $F$9) + CHOOSE(CONTROL!$C$27, 0.0021, 0)</f>
        <v>84.773799999999994</v>
      </c>
      <c r="I533" s="14">
        <f>84.7717 * CHOOSE(CONTROL!$C$9, $D$9, 100%, $F$9) + CHOOSE(CONTROL!$C$27, 0.0021, 0)</f>
        <v>84.773799999999994</v>
      </c>
      <c r="J533" s="14">
        <f>84.7717 * CHOOSE(CONTROL!$C$9, $D$9, 100%, $F$9) + CHOOSE(CONTROL!$C$27, 0.0021, 0)</f>
        <v>84.773799999999994</v>
      </c>
      <c r="K533" s="14">
        <f>84.7717 * CHOOSE(CONTROL!$C$9, $D$9, 100%, $F$9) + CHOOSE(CONTROL!$C$27, 0.0021, 0)</f>
        <v>84.773799999999994</v>
      </c>
      <c r="L533" s="14"/>
    </row>
    <row r="534" spans="1:12" ht="15.75" x14ac:dyDescent="0.25">
      <c r="A534" s="32">
        <v>57192</v>
      </c>
      <c r="B534" s="14">
        <f>86.8684 * CHOOSE(CONTROL!$C$9, $D$9, 100%, $F$9) + CHOOSE(CONTROL!$C$27, 0.0021, 0)</f>
        <v>86.870499999999993</v>
      </c>
      <c r="C534" s="14">
        <f>86.4362 * CHOOSE(CONTROL!$C$9, $D$9, 100%, $F$9) + CHOOSE(CONTROL!$C$27, 0.0021, 0)</f>
        <v>86.438299999999998</v>
      </c>
      <c r="D534" s="14">
        <f>86.4362 * CHOOSE(CONTROL!$C$9, $D$9, 100%, $F$9) + CHOOSE(CONTROL!$C$27, 0.0021, 0)</f>
        <v>86.438299999999998</v>
      </c>
      <c r="E534" s="14">
        <f>86.2995 * CHOOSE(CONTROL!$C$9, $D$9, 100%, $F$9) + CHOOSE(CONTROL!$C$27, 0.0021, 0)</f>
        <v>86.301599999999993</v>
      </c>
      <c r="F534" s="14">
        <f>86.2995 * CHOOSE(CONTROL!$C$9, $D$9, 100%, $F$9) + CHOOSE(CONTROL!$C$27, 0.0021, 0)</f>
        <v>86.301599999999993</v>
      </c>
      <c r="G534" s="14">
        <f>86.5709 * CHOOSE(CONTROL!$C$9, $D$9, 100%, $F$9) + CHOOSE(CONTROL!$C$27, 0.0021, 0)</f>
        <v>86.572999999999993</v>
      </c>
      <c r="H534" s="14">
        <f>86.4362 * CHOOSE(CONTROL!$C$9, $D$9, 100%, $F$9) + CHOOSE(CONTROL!$C$27, 0.0021, 0)</f>
        <v>86.438299999999998</v>
      </c>
      <c r="I534" s="14">
        <f>86.4362 * CHOOSE(CONTROL!$C$9, $D$9, 100%, $F$9) + CHOOSE(CONTROL!$C$27, 0.0021, 0)</f>
        <v>86.438299999999998</v>
      </c>
      <c r="J534" s="14">
        <f>86.4362 * CHOOSE(CONTROL!$C$9, $D$9, 100%, $F$9) + CHOOSE(CONTROL!$C$27, 0.0021, 0)</f>
        <v>86.438299999999998</v>
      </c>
      <c r="K534" s="14">
        <f>86.4362 * CHOOSE(CONTROL!$C$9, $D$9, 100%, $F$9) + CHOOSE(CONTROL!$C$27, 0.0021, 0)</f>
        <v>86.438299999999998</v>
      </c>
      <c r="L534" s="14"/>
    </row>
    <row r="535" spans="1:12" ht="15.75" x14ac:dyDescent="0.25">
      <c r="A535" s="32">
        <v>57223</v>
      </c>
      <c r="B535" s="14">
        <f>87.3765 * CHOOSE(CONTROL!$C$9, $D$9, 100%, $F$9) + CHOOSE(CONTROL!$C$27, 0.0021, 0)</f>
        <v>87.378599999999992</v>
      </c>
      <c r="C535" s="14">
        <f>86.9442 * CHOOSE(CONTROL!$C$9, $D$9, 100%, $F$9) + CHOOSE(CONTROL!$C$27, 0.0021, 0)</f>
        <v>86.946299999999994</v>
      </c>
      <c r="D535" s="14">
        <f>86.9442 * CHOOSE(CONTROL!$C$9, $D$9, 100%, $F$9) + CHOOSE(CONTROL!$C$27, 0.0021, 0)</f>
        <v>86.946299999999994</v>
      </c>
      <c r="E535" s="14">
        <f>86.8076 * CHOOSE(CONTROL!$C$9, $D$9, 100%, $F$9) + CHOOSE(CONTROL!$C$27, 0.0021, 0)</f>
        <v>86.809699999999992</v>
      </c>
      <c r="F535" s="14">
        <f>86.8076 * CHOOSE(CONTROL!$C$9, $D$9, 100%, $F$9) + CHOOSE(CONTROL!$C$27, 0.0021, 0)</f>
        <v>86.809699999999992</v>
      </c>
      <c r="G535" s="14">
        <f>87.079 * CHOOSE(CONTROL!$C$9, $D$9, 100%, $F$9) + CHOOSE(CONTROL!$C$27, 0.0021, 0)</f>
        <v>87.081099999999992</v>
      </c>
      <c r="H535" s="14">
        <f>86.9442 * CHOOSE(CONTROL!$C$9, $D$9, 100%, $F$9) + CHOOSE(CONTROL!$C$27, 0.0021, 0)</f>
        <v>86.946299999999994</v>
      </c>
      <c r="I535" s="14">
        <f>86.9442 * CHOOSE(CONTROL!$C$9, $D$9, 100%, $F$9) + CHOOSE(CONTROL!$C$27, 0.0021, 0)</f>
        <v>86.946299999999994</v>
      </c>
      <c r="J535" s="14">
        <f>86.9442 * CHOOSE(CONTROL!$C$9, $D$9, 100%, $F$9) + CHOOSE(CONTROL!$C$27, 0.0021, 0)</f>
        <v>86.946299999999994</v>
      </c>
      <c r="K535" s="14">
        <f>86.9442 * CHOOSE(CONTROL!$C$9, $D$9, 100%, $F$9) + CHOOSE(CONTROL!$C$27, 0.0021, 0)</f>
        <v>86.946299999999994</v>
      </c>
      <c r="L535" s="14"/>
    </row>
    <row r="536" spans="1:12" ht="15.75" x14ac:dyDescent="0.25">
      <c r="A536" s="32">
        <v>57253</v>
      </c>
      <c r="B536" s="14">
        <f>89.1067 * CHOOSE(CONTROL!$C$9, $D$9, 100%, $F$9) + CHOOSE(CONTROL!$C$27, 0.0021, 0)</f>
        <v>89.108800000000002</v>
      </c>
      <c r="C536" s="14">
        <f>88.6744 * CHOOSE(CONTROL!$C$9, $D$9, 100%, $F$9) + CHOOSE(CONTROL!$C$27, 0.0021, 0)</f>
        <v>88.676500000000004</v>
      </c>
      <c r="D536" s="14">
        <f>88.6744 * CHOOSE(CONTROL!$C$9, $D$9, 100%, $F$9) + CHOOSE(CONTROL!$C$27, 0.0021, 0)</f>
        <v>88.676500000000004</v>
      </c>
      <c r="E536" s="14">
        <f>88.5378 * CHOOSE(CONTROL!$C$9, $D$9, 100%, $F$9) + CHOOSE(CONTROL!$C$27, 0.0021, 0)</f>
        <v>88.539900000000003</v>
      </c>
      <c r="F536" s="14">
        <f>88.5378 * CHOOSE(CONTROL!$C$9, $D$9, 100%, $F$9) + CHOOSE(CONTROL!$C$27, 0.0021, 0)</f>
        <v>88.539900000000003</v>
      </c>
      <c r="G536" s="14">
        <f>88.8092 * CHOOSE(CONTROL!$C$9, $D$9, 100%, $F$9) + CHOOSE(CONTROL!$C$27, 0.0021, 0)</f>
        <v>88.811300000000003</v>
      </c>
      <c r="H536" s="14">
        <f>88.6744 * CHOOSE(CONTROL!$C$9, $D$9, 100%, $F$9) + CHOOSE(CONTROL!$C$27, 0.0021, 0)</f>
        <v>88.676500000000004</v>
      </c>
      <c r="I536" s="14">
        <f>88.6744 * CHOOSE(CONTROL!$C$9, $D$9, 100%, $F$9) + CHOOSE(CONTROL!$C$27, 0.0021, 0)</f>
        <v>88.676500000000004</v>
      </c>
      <c r="J536" s="14">
        <f>88.6744 * CHOOSE(CONTROL!$C$9, $D$9, 100%, $F$9) + CHOOSE(CONTROL!$C$27, 0.0021, 0)</f>
        <v>88.676500000000004</v>
      </c>
      <c r="K536" s="14">
        <f>88.6744 * CHOOSE(CONTROL!$C$9, $D$9, 100%, $F$9) + CHOOSE(CONTROL!$C$27, 0.0021, 0)</f>
        <v>88.676500000000004</v>
      </c>
      <c r="L536" s="14"/>
    </row>
    <row r="537" spans="1:12" ht="15.75" x14ac:dyDescent="0.25">
      <c r="A537" s="32">
        <v>57284</v>
      </c>
      <c r="B537" s="14">
        <f>91.2968 * CHOOSE(CONTROL!$C$9, $D$9, 100%, $F$9) + CHOOSE(CONTROL!$C$27, 0.0021, 0)</f>
        <v>91.298900000000003</v>
      </c>
      <c r="C537" s="14">
        <f>90.8645 * CHOOSE(CONTROL!$C$9, $D$9, 100%, $F$9) + CHOOSE(CONTROL!$C$27, 0.0021, 0)</f>
        <v>90.866600000000005</v>
      </c>
      <c r="D537" s="14">
        <f>90.8645 * CHOOSE(CONTROL!$C$9, $D$9, 100%, $F$9) + CHOOSE(CONTROL!$C$27, 0.0021, 0)</f>
        <v>90.866600000000005</v>
      </c>
      <c r="E537" s="14">
        <f>90.7279 * CHOOSE(CONTROL!$C$9, $D$9, 100%, $F$9) + CHOOSE(CONTROL!$C$27, 0.0021, 0)</f>
        <v>90.73</v>
      </c>
      <c r="F537" s="14">
        <f>90.7279 * CHOOSE(CONTROL!$C$9, $D$9, 100%, $F$9) + CHOOSE(CONTROL!$C$27, 0.0021, 0)</f>
        <v>90.73</v>
      </c>
      <c r="G537" s="14">
        <f>90.9993 * CHOOSE(CONTROL!$C$9, $D$9, 100%, $F$9) + CHOOSE(CONTROL!$C$27, 0.0021, 0)</f>
        <v>91.001400000000004</v>
      </c>
      <c r="H537" s="14">
        <f>90.8645 * CHOOSE(CONTROL!$C$9, $D$9, 100%, $F$9) + CHOOSE(CONTROL!$C$27, 0.0021, 0)</f>
        <v>90.866600000000005</v>
      </c>
      <c r="I537" s="14">
        <f>90.8645 * CHOOSE(CONTROL!$C$9, $D$9, 100%, $F$9) + CHOOSE(CONTROL!$C$27, 0.0021, 0)</f>
        <v>90.866600000000005</v>
      </c>
      <c r="J537" s="14">
        <f>90.8645 * CHOOSE(CONTROL!$C$9, $D$9, 100%, $F$9) + CHOOSE(CONTROL!$C$27, 0.0021, 0)</f>
        <v>90.866600000000005</v>
      </c>
      <c r="K537" s="14">
        <f>90.8645 * CHOOSE(CONTROL!$C$9, $D$9, 100%, $F$9) + CHOOSE(CONTROL!$C$27, 0.0021, 0)</f>
        <v>90.866600000000005</v>
      </c>
      <c r="L537" s="14"/>
    </row>
    <row r="538" spans="1:12" ht="15.75" x14ac:dyDescent="0.25">
      <c r="A538" s="32">
        <v>57314</v>
      </c>
      <c r="B538" s="14">
        <f>91.5024 * CHOOSE(CONTROL!$C$9, $D$9, 100%, $F$9) + CHOOSE(CONTROL!$C$27, 0.0021, 0)</f>
        <v>91.504499999999993</v>
      </c>
      <c r="C538" s="14">
        <f>91.0702 * CHOOSE(CONTROL!$C$9, $D$9, 100%, $F$9) + CHOOSE(CONTROL!$C$27, 0.0021, 0)</f>
        <v>91.072299999999998</v>
      </c>
      <c r="D538" s="14">
        <f>91.0702 * CHOOSE(CONTROL!$C$9, $D$9, 100%, $F$9) + CHOOSE(CONTROL!$C$27, 0.0021, 0)</f>
        <v>91.072299999999998</v>
      </c>
      <c r="E538" s="14">
        <f>90.9335 * CHOOSE(CONTROL!$C$9, $D$9, 100%, $F$9) + CHOOSE(CONTROL!$C$27, 0.0021, 0)</f>
        <v>90.935599999999994</v>
      </c>
      <c r="F538" s="14">
        <f>90.9335 * CHOOSE(CONTROL!$C$9, $D$9, 100%, $F$9) + CHOOSE(CONTROL!$C$27, 0.0021, 0)</f>
        <v>90.935599999999994</v>
      </c>
      <c r="G538" s="14">
        <f>91.2049 * CHOOSE(CONTROL!$C$9, $D$9, 100%, $F$9) + CHOOSE(CONTROL!$C$27, 0.0021, 0)</f>
        <v>91.206999999999994</v>
      </c>
      <c r="H538" s="14">
        <f>91.0702 * CHOOSE(CONTROL!$C$9, $D$9, 100%, $F$9) + CHOOSE(CONTROL!$C$27, 0.0021, 0)</f>
        <v>91.072299999999998</v>
      </c>
      <c r="I538" s="14">
        <f>91.0702 * CHOOSE(CONTROL!$C$9, $D$9, 100%, $F$9) + CHOOSE(CONTROL!$C$27, 0.0021, 0)</f>
        <v>91.072299999999998</v>
      </c>
      <c r="J538" s="14">
        <f>91.0702 * CHOOSE(CONTROL!$C$9, $D$9, 100%, $F$9) + CHOOSE(CONTROL!$C$27, 0.0021, 0)</f>
        <v>91.072299999999998</v>
      </c>
      <c r="K538" s="14">
        <f>91.0702 * CHOOSE(CONTROL!$C$9, $D$9, 100%, $F$9) + CHOOSE(CONTROL!$C$27, 0.0021, 0)</f>
        <v>91.072299999999998</v>
      </c>
      <c r="L538" s="14"/>
    </row>
    <row r="539" spans="1:12" ht="15.75" x14ac:dyDescent="0.25">
      <c r="A539" s="32">
        <v>57345</v>
      </c>
      <c r="B539" s="14">
        <f>89.7532 * CHOOSE(CONTROL!$C$9, $D$9, 100%, $F$9) + CHOOSE(CONTROL!$C$27, 0.0021, 0)</f>
        <v>89.755300000000005</v>
      </c>
      <c r="C539" s="14">
        <f>89.321 * CHOOSE(CONTROL!$C$9, $D$9, 100%, $F$9) + CHOOSE(CONTROL!$C$27, 0.0021, 0)</f>
        <v>89.323099999999997</v>
      </c>
      <c r="D539" s="14">
        <f>89.321 * CHOOSE(CONTROL!$C$9, $D$9, 100%, $F$9) + CHOOSE(CONTROL!$C$27, 0.0021, 0)</f>
        <v>89.323099999999997</v>
      </c>
      <c r="E539" s="14">
        <f>89.1843 * CHOOSE(CONTROL!$C$9, $D$9, 100%, $F$9) + CHOOSE(CONTROL!$C$27, 0.0021, 0)</f>
        <v>89.186399999999992</v>
      </c>
      <c r="F539" s="14">
        <f>89.1843 * CHOOSE(CONTROL!$C$9, $D$9, 100%, $F$9) + CHOOSE(CONTROL!$C$27, 0.0021, 0)</f>
        <v>89.186399999999992</v>
      </c>
      <c r="G539" s="14">
        <f>89.4557 * CHOOSE(CONTROL!$C$9, $D$9, 100%, $F$9) + CHOOSE(CONTROL!$C$27, 0.0021, 0)</f>
        <v>89.457799999999992</v>
      </c>
      <c r="H539" s="14">
        <f>89.321 * CHOOSE(CONTROL!$C$9, $D$9, 100%, $F$9) + CHOOSE(CONTROL!$C$27, 0.0021, 0)</f>
        <v>89.323099999999997</v>
      </c>
      <c r="I539" s="14">
        <f>89.321 * CHOOSE(CONTROL!$C$9, $D$9, 100%, $F$9) + CHOOSE(CONTROL!$C$27, 0.0021, 0)</f>
        <v>89.323099999999997</v>
      </c>
      <c r="J539" s="14">
        <f>89.321 * CHOOSE(CONTROL!$C$9, $D$9, 100%, $F$9) + CHOOSE(CONTROL!$C$27, 0.0021, 0)</f>
        <v>89.323099999999997</v>
      </c>
      <c r="K539" s="14">
        <f>89.321 * CHOOSE(CONTROL!$C$9, $D$9, 100%, $F$9) + CHOOSE(CONTROL!$C$27, 0.0021, 0)</f>
        <v>89.323099999999997</v>
      </c>
      <c r="L539" s="14"/>
    </row>
    <row r="540" spans="1:12" ht="15.75" x14ac:dyDescent="0.25">
      <c r="A540" s="32">
        <v>57376</v>
      </c>
      <c r="B540" s="14">
        <f>88.6476 * CHOOSE(CONTROL!$C$9, $D$9, 100%, $F$9) + CHOOSE(CONTROL!$C$27, 0.0021, 0)</f>
        <v>88.649699999999996</v>
      </c>
      <c r="C540" s="14">
        <f>88.2154 * CHOOSE(CONTROL!$C$9, $D$9, 100%, $F$9) + CHOOSE(CONTROL!$C$27, 0.0021, 0)</f>
        <v>88.217500000000001</v>
      </c>
      <c r="D540" s="14">
        <f>88.2154 * CHOOSE(CONTROL!$C$9, $D$9, 100%, $F$9) + CHOOSE(CONTROL!$C$27, 0.0021, 0)</f>
        <v>88.217500000000001</v>
      </c>
      <c r="E540" s="14">
        <f>88.0787 * CHOOSE(CONTROL!$C$9, $D$9, 100%, $F$9) + CHOOSE(CONTROL!$C$27, 0.0021, 0)</f>
        <v>88.080799999999996</v>
      </c>
      <c r="F540" s="14">
        <f>88.0787 * CHOOSE(CONTROL!$C$9, $D$9, 100%, $F$9) + CHOOSE(CONTROL!$C$27, 0.0021, 0)</f>
        <v>88.080799999999996</v>
      </c>
      <c r="G540" s="14">
        <f>88.3501 * CHOOSE(CONTROL!$C$9, $D$9, 100%, $F$9) + CHOOSE(CONTROL!$C$27, 0.0021, 0)</f>
        <v>88.352199999999996</v>
      </c>
      <c r="H540" s="14">
        <f>88.2154 * CHOOSE(CONTROL!$C$9, $D$9, 100%, $F$9) + CHOOSE(CONTROL!$C$27, 0.0021, 0)</f>
        <v>88.217500000000001</v>
      </c>
      <c r="I540" s="14">
        <f>88.2154 * CHOOSE(CONTROL!$C$9, $D$9, 100%, $F$9) + CHOOSE(CONTROL!$C$27, 0.0021, 0)</f>
        <v>88.217500000000001</v>
      </c>
      <c r="J540" s="14">
        <f>88.2154 * CHOOSE(CONTROL!$C$9, $D$9, 100%, $F$9) + CHOOSE(CONTROL!$C$27, 0.0021, 0)</f>
        <v>88.217500000000001</v>
      </c>
      <c r="K540" s="14">
        <f>88.2154 * CHOOSE(CONTROL!$C$9, $D$9, 100%, $F$9) + CHOOSE(CONTROL!$C$27, 0.0021, 0)</f>
        <v>88.217500000000001</v>
      </c>
      <c r="L540" s="14"/>
    </row>
    <row r="541" spans="1:12" ht="15.75" x14ac:dyDescent="0.25">
      <c r="A541" s="32">
        <v>57404</v>
      </c>
      <c r="B541" s="14">
        <f>86.205 * CHOOSE(CONTROL!$C$9, $D$9, 100%, $F$9) + CHOOSE(CONTROL!$C$27, 0.0021, 0)</f>
        <v>86.207099999999997</v>
      </c>
      <c r="C541" s="14">
        <f>85.7728 * CHOOSE(CONTROL!$C$9, $D$9, 100%, $F$9) + CHOOSE(CONTROL!$C$27, 0.0021, 0)</f>
        <v>85.774900000000002</v>
      </c>
      <c r="D541" s="14">
        <f>85.7728 * CHOOSE(CONTROL!$C$9, $D$9, 100%, $F$9) + CHOOSE(CONTROL!$C$27, 0.0021, 0)</f>
        <v>85.774900000000002</v>
      </c>
      <c r="E541" s="14">
        <f>85.6361 * CHOOSE(CONTROL!$C$9, $D$9, 100%, $F$9) + CHOOSE(CONTROL!$C$27, 0.0021, 0)</f>
        <v>85.638199999999998</v>
      </c>
      <c r="F541" s="14">
        <f>85.6361 * CHOOSE(CONTROL!$C$9, $D$9, 100%, $F$9) + CHOOSE(CONTROL!$C$27, 0.0021, 0)</f>
        <v>85.638199999999998</v>
      </c>
      <c r="G541" s="14">
        <f>85.9075 * CHOOSE(CONTROL!$C$9, $D$9, 100%, $F$9) + CHOOSE(CONTROL!$C$27, 0.0021, 0)</f>
        <v>85.909599999999998</v>
      </c>
      <c r="H541" s="14">
        <f>85.7728 * CHOOSE(CONTROL!$C$9, $D$9, 100%, $F$9) + CHOOSE(CONTROL!$C$27, 0.0021, 0)</f>
        <v>85.774900000000002</v>
      </c>
      <c r="I541" s="14">
        <f>85.7728 * CHOOSE(CONTROL!$C$9, $D$9, 100%, $F$9) + CHOOSE(CONTROL!$C$27, 0.0021, 0)</f>
        <v>85.774900000000002</v>
      </c>
      <c r="J541" s="14">
        <f>85.7728 * CHOOSE(CONTROL!$C$9, $D$9, 100%, $F$9) + CHOOSE(CONTROL!$C$27, 0.0021, 0)</f>
        <v>85.774900000000002</v>
      </c>
      <c r="K541" s="14">
        <f>85.7728 * CHOOSE(CONTROL!$C$9, $D$9, 100%, $F$9) + CHOOSE(CONTROL!$C$27, 0.0021, 0)</f>
        <v>85.774900000000002</v>
      </c>
      <c r="L541" s="14"/>
    </row>
    <row r="542" spans="1:12" ht="15.75" x14ac:dyDescent="0.25">
      <c r="A542" s="32">
        <v>57435</v>
      </c>
      <c r="B542" s="14">
        <f>85.1967 * CHOOSE(CONTROL!$C$9, $D$9, 100%, $F$9) + CHOOSE(CONTROL!$C$27, 0.0021, 0)</f>
        <v>85.198800000000006</v>
      </c>
      <c r="C542" s="14">
        <f>84.7645 * CHOOSE(CONTROL!$C$9, $D$9, 100%, $F$9) + CHOOSE(CONTROL!$C$27, 0.0021, 0)</f>
        <v>84.766599999999997</v>
      </c>
      <c r="D542" s="14">
        <f>84.7645 * CHOOSE(CONTROL!$C$9, $D$9, 100%, $F$9) + CHOOSE(CONTROL!$C$27, 0.0021, 0)</f>
        <v>84.766599999999997</v>
      </c>
      <c r="E542" s="14">
        <f>84.6278 * CHOOSE(CONTROL!$C$9, $D$9, 100%, $F$9) + CHOOSE(CONTROL!$C$27, 0.0021, 0)</f>
        <v>84.629899999999992</v>
      </c>
      <c r="F542" s="14">
        <f>84.6278 * CHOOSE(CONTROL!$C$9, $D$9, 100%, $F$9) + CHOOSE(CONTROL!$C$27, 0.0021, 0)</f>
        <v>84.629899999999992</v>
      </c>
      <c r="G542" s="14">
        <f>84.8992 * CHOOSE(CONTROL!$C$9, $D$9, 100%, $F$9) + CHOOSE(CONTROL!$C$27, 0.0021, 0)</f>
        <v>84.901299999999992</v>
      </c>
      <c r="H542" s="14">
        <f>84.7645 * CHOOSE(CONTROL!$C$9, $D$9, 100%, $F$9) + CHOOSE(CONTROL!$C$27, 0.0021, 0)</f>
        <v>84.766599999999997</v>
      </c>
      <c r="I542" s="14">
        <f>84.7645 * CHOOSE(CONTROL!$C$9, $D$9, 100%, $F$9) + CHOOSE(CONTROL!$C$27, 0.0021, 0)</f>
        <v>84.766599999999997</v>
      </c>
      <c r="J542" s="14">
        <f>84.7645 * CHOOSE(CONTROL!$C$9, $D$9, 100%, $F$9) + CHOOSE(CONTROL!$C$27, 0.0021, 0)</f>
        <v>84.766599999999997</v>
      </c>
      <c r="K542" s="14">
        <f>84.7645 * CHOOSE(CONTROL!$C$9, $D$9, 100%, $F$9) + CHOOSE(CONTROL!$C$27, 0.0021, 0)</f>
        <v>84.766599999999997</v>
      </c>
      <c r="L542" s="14"/>
    </row>
    <row r="543" spans="1:12" ht="15.75" x14ac:dyDescent="0.25">
      <c r="A543" s="32">
        <v>57465</v>
      </c>
      <c r="B543" s="14">
        <f>83.9928 * CHOOSE(CONTROL!$C$9, $D$9, 100%, $F$9) + CHOOSE(CONTROL!$C$27, 0.0021, 0)</f>
        <v>83.994900000000001</v>
      </c>
      <c r="C543" s="14">
        <f>83.5605 * CHOOSE(CONTROL!$C$9, $D$9, 100%, $F$9) + CHOOSE(CONTROL!$C$27, 0.0021, 0)</f>
        <v>83.562600000000003</v>
      </c>
      <c r="D543" s="14">
        <f>83.5605 * CHOOSE(CONTROL!$C$9, $D$9, 100%, $F$9) + CHOOSE(CONTROL!$C$27, 0.0021, 0)</f>
        <v>83.562600000000003</v>
      </c>
      <c r="E543" s="14">
        <f>83.4239 * CHOOSE(CONTROL!$C$9, $D$9, 100%, $F$9) + CHOOSE(CONTROL!$C$27, 0.0021, 0)</f>
        <v>83.426000000000002</v>
      </c>
      <c r="F543" s="14">
        <f>83.4239 * CHOOSE(CONTROL!$C$9, $D$9, 100%, $F$9) + CHOOSE(CONTROL!$C$27, 0.0021, 0)</f>
        <v>83.426000000000002</v>
      </c>
      <c r="G543" s="14">
        <f>83.6953 * CHOOSE(CONTROL!$C$9, $D$9, 100%, $F$9) + CHOOSE(CONTROL!$C$27, 0.0021, 0)</f>
        <v>83.697400000000002</v>
      </c>
      <c r="H543" s="14">
        <f>83.5605 * CHOOSE(CONTROL!$C$9, $D$9, 100%, $F$9) + CHOOSE(CONTROL!$C$27, 0.0021, 0)</f>
        <v>83.562600000000003</v>
      </c>
      <c r="I543" s="14">
        <f>83.5605 * CHOOSE(CONTROL!$C$9, $D$9, 100%, $F$9) + CHOOSE(CONTROL!$C$27, 0.0021, 0)</f>
        <v>83.562600000000003</v>
      </c>
      <c r="J543" s="14">
        <f>83.5605 * CHOOSE(CONTROL!$C$9, $D$9, 100%, $F$9) + CHOOSE(CONTROL!$C$27, 0.0021, 0)</f>
        <v>83.562600000000003</v>
      </c>
      <c r="K543" s="14">
        <f>83.5605 * CHOOSE(CONTROL!$C$9, $D$9, 100%, $F$9) + CHOOSE(CONTROL!$C$27, 0.0021, 0)</f>
        <v>83.562600000000003</v>
      </c>
      <c r="L543" s="14"/>
    </row>
    <row r="544" spans="1:12" ht="15.75" x14ac:dyDescent="0.25">
      <c r="A544" s="32">
        <v>57496</v>
      </c>
      <c r="B544" s="14">
        <f>85.7085 * CHOOSE(CONTROL!$C$9, $D$9, 100%, $F$9) + CHOOSE(CONTROL!$C$27, 0.0021, 0)</f>
        <v>85.710599999999999</v>
      </c>
      <c r="C544" s="14">
        <f>85.2763 * CHOOSE(CONTROL!$C$9, $D$9, 100%, $F$9) + CHOOSE(CONTROL!$C$27, 0.0021, 0)</f>
        <v>85.278400000000005</v>
      </c>
      <c r="D544" s="14">
        <f>85.2763 * CHOOSE(CONTROL!$C$9, $D$9, 100%, $F$9) + CHOOSE(CONTROL!$C$27, 0.0021, 0)</f>
        <v>85.278400000000005</v>
      </c>
      <c r="E544" s="14">
        <f>85.1396 * CHOOSE(CONTROL!$C$9, $D$9, 100%, $F$9) + CHOOSE(CONTROL!$C$27, 0.0021, 0)</f>
        <v>85.1417</v>
      </c>
      <c r="F544" s="14">
        <f>85.1396 * CHOOSE(CONTROL!$C$9, $D$9, 100%, $F$9) + CHOOSE(CONTROL!$C$27, 0.0021, 0)</f>
        <v>85.1417</v>
      </c>
      <c r="G544" s="14">
        <f>85.411 * CHOOSE(CONTROL!$C$9, $D$9, 100%, $F$9) + CHOOSE(CONTROL!$C$27, 0.0021, 0)</f>
        <v>85.4131</v>
      </c>
      <c r="H544" s="14">
        <f>85.2763 * CHOOSE(CONTROL!$C$9, $D$9, 100%, $F$9) + CHOOSE(CONTROL!$C$27, 0.0021, 0)</f>
        <v>85.278400000000005</v>
      </c>
      <c r="I544" s="14">
        <f>85.2763 * CHOOSE(CONTROL!$C$9, $D$9, 100%, $F$9) + CHOOSE(CONTROL!$C$27, 0.0021, 0)</f>
        <v>85.278400000000005</v>
      </c>
      <c r="J544" s="14">
        <f>85.2763 * CHOOSE(CONTROL!$C$9, $D$9, 100%, $F$9) + CHOOSE(CONTROL!$C$27, 0.0021, 0)</f>
        <v>85.278400000000005</v>
      </c>
      <c r="K544" s="14">
        <f>85.2763 * CHOOSE(CONTROL!$C$9, $D$9, 100%, $F$9) + CHOOSE(CONTROL!$C$27, 0.0021, 0)</f>
        <v>85.278400000000005</v>
      </c>
      <c r="L544" s="14"/>
    </row>
    <row r="545" spans="1:12" ht="15.75" x14ac:dyDescent="0.25">
      <c r="A545" s="32">
        <v>57526</v>
      </c>
      <c r="B545" s="14">
        <f>86.7362 * CHOOSE(CONTROL!$C$9, $D$9, 100%, $F$9) + CHOOSE(CONTROL!$C$27, 0.0021, 0)</f>
        <v>86.738299999999995</v>
      </c>
      <c r="C545" s="14">
        <f>86.304 * CHOOSE(CONTROL!$C$9, $D$9, 100%, $F$9) + CHOOSE(CONTROL!$C$27, 0.0021, 0)</f>
        <v>86.306100000000001</v>
      </c>
      <c r="D545" s="14">
        <f>86.304 * CHOOSE(CONTROL!$C$9, $D$9, 100%, $F$9) + CHOOSE(CONTROL!$C$27, 0.0021, 0)</f>
        <v>86.306100000000001</v>
      </c>
      <c r="E545" s="14">
        <f>86.1673 * CHOOSE(CONTROL!$C$9, $D$9, 100%, $F$9) + CHOOSE(CONTROL!$C$27, 0.0021, 0)</f>
        <v>86.169399999999996</v>
      </c>
      <c r="F545" s="14">
        <f>86.1673 * CHOOSE(CONTROL!$C$9, $D$9, 100%, $F$9) + CHOOSE(CONTROL!$C$27, 0.0021, 0)</f>
        <v>86.169399999999996</v>
      </c>
      <c r="G545" s="14">
        <f>86.4387 * CHOOSE(CONTROL!$C$9, $D$9, 100%, $F$9) + CHOOSE(CONTROL!$C$27, 0.0021, 0)</f>
        <v>86.440799999999996</v>
      </c>
      <c r="H545" s="14">
        <f>86.304 * CHOOSE(CONTROL!$C$9, $D$9, 100%, $F$9) + CHOOSE(CONTROL!$C$27, 0.0021, 0)</f>
        <v>86.306100000000001</v>
      </c>
      <c r="I545" s="14">
        <f>86.304 * CHOOSE(CONTROL!$C$9, $D$9, 100%, $F$9) + CHOOSE(CONTROL!$C$27, 0.0021, 0)</f>
        <v>86.306100000000001</v>
      </c>
      <c r="J545" s="14">
        <f>86.304 * CHOOSE(CONTROL!$C$9, $D$9, 100%, $F$9) + CHOOSE(CONTROL!$C$27, 0.0021, 0)</f>
        <v>86.306100000000001</v>
      </c>
      <c r="K545" s="14">
        <f>86.304 * CHOOSE(CONTROL!$C$9, $D$9, 100%, $F$9) + CHOOSE(CONTROL!$C$27, 0.0021, 0)</f>
        <v>86.306100000000001</v>
      </c>
      <c r="L545" s="14"/>
    </row>
    <row r="546" spans="1:12" ht="15.75" x14ac:dyDescent="0.25">
      <c r="A546" s="32">
        <v>57557</v>
      </c>
      <c r="B546" s="14">
        <f>88.4315 * CHOOSE(CONTROL!$C$9, $D$9, 100%, $F$9) + CHOOSE(CONTROL!$C$27, 0.0021, 0)</f>
        <v>88.433599999999998</v>
      </c>
      <c r="C546" s="14">
        <f>87.9992 * CHOOSE(CONTROL!$C$9, $D$9, 100%, $F$9) + CHOOSE(CONTROL!$C$27, 0.0021, 0)</f>
        <v>88.001300000000001</v>
      </c>
      <c r="D546" s="14">
        <f>87.9992 * CHOOSE(CONTROL!$C$9, $D$9, 100%, $F$9) + CHOOSE(CONTROL!$C$27, 0.0021, 0)</f>
        <v>88.001300000000001</v>
      </c>
      <c r="E546" s="14">
        <f>87.8626 * CHOOSE(CONTROL!$C$9, $D$9, 100%, $F$9) + CHOOSE(CONTROL!$C$27, 0.0021, 0)</f>
        <v>87.864699999999999</v>
      </c>
      <c r="F546" s="14">
        <f>87.8626 * CHOOSE(CONTROL!$C$9, $D$9, 100%, $F$9) + CHOOSE(CONTROL!$C$27, 0.0021, 0)</f>
        <v>87.864699999999999</v>
      </c>
      <c r="G546" s="14">
        <f>88.1339 * CHOOSE(CONTROL!$C$9, $D$9, 100%, $F$9) + CHOOSE(CONTROL!$C$27, 0.0021, 0)</f>
        <v>88.135999999999996</v>
      </c>
      <c r="H546" s="14">
        <f>87.9992 * CHOOSE(CONTROL!$C$9, $D$9, 100%, $F$9) + CHOOSE(CONTROL!$C$27, 0.0021, 0)</f>
        <v>88.001300000000001</v>
      </c>
      <c r="I546" s="14">
        <f>87.9992 * CHOOSE(CONTROL!$C$9, $D$9, 100%, $F$9) + CHOOSE(CONTROL!$C$27, 0.0021, 0)</f>
        <v>88.001300000000001</v>
      </c>
      <c r="J546" s="14">
        <f>87.9992 * CHOOSE(CONTROL!$C$9, $D$9, 100%, $F$9) + CHOOSE(CONTROL!$C$27, 0.0021, 0)</f>
        <v>88.001300000000001</v>
      </c>
      <c r="K546" s="14">
        <f>87.9992 * CHOOSE(CONTROL!$C$9, $D$9, 100%, $F$9) + CHOOSE(CONTROL!$C$27, 0.0021, 0)</f>
        <v>88.001300000000001</v>
      </c>
      <c r="L546" s="14"/>
    </row>
    <row r="547" spans="1:12" ht="15.75" x14ac:dyDescent="0.25">
      <c r="A547" s="32">
        <v>57588</v>
      </c>
      <c r="B547" s="14">
        <f>88.9489 * CHOOSE(CONTROL!$C$9, $D$9, 100%, $F$9) + CHOOSE(CONTROL!$C$27, 0.0021, 0)</f>
        <v>88.950999999999993</v>
      </c>
      <c r="C547" s="14">
        <f>88.5167 * CHOOSE(CONTROL!$C$9, $D$9, 100%, $F$9) + CHOOSE(CONTROL!$C$27, 0.0021, 0)</f>
        <v>88.518799999999999</v>
      </c>
      <c r="D547" s="14">
        <f>88.5167 * CHOOSE(CONTROL!$C$9, $D$9, 100%, $F$9) + CHOOSE(CONTROL!$C$27, 0.0021, 0)</f>
        <v>88.518799999999999</v>
      </c>
      <c r="E547" s="14">
        <f>88.38 * CHOOSE(CONTROL!$C$9, $D$9, 100%, $F$9) + CHOOSE(CONTROL!$C$27, 0.0021, 0)</f>
        <v>88.382099999999994</v>
      </c>
      <c r="F547" s="14">
        <f>88.38 * CHOOSE(CONTROL!$C$9, $D$9, 100%, $F$9) + CHOOSE(CONTROL!$C$27, 0.0021, 0)</f>
        <v>88.382099999999994</v>
      </c>
      <c r="G547" s="14">
        <f>88.6514 * CHOOSE(CONTROL!$C$9, $D$9, 100%, $F$9) + CHOOSE(CONTROL!$C$27, 0.0021, 0)</f>
        <v>88.653499999999994</v>
      </c>
      <c r="H547" s="14">
        <f>88.5167 * CHOOSE(CONTROL!$C$9, $D$9, 100%, $F$9) + CHOOSE(CONTROL!$C$27, 0.0021, 0)</f>
        <v>88.518799999999999</v>
      </c>
      <c r="I547" s="14">
        <f>88.5167 * CHOOSE(CONTROL!$C$9, $D$9, 100%, $F$9) + CHOOSE(CONTROL!$C$27, 0.0021, 0)</f>
        <v>88.518799999999999</v>
      </c>
      <c r="J547" s="14">
        <f>88.5167 * CHOOSE(CONTROL!$C$9, $D$9, 100%, $F$9) + CHOOSE(CONTROL!$C$27, 0.0021, 0)</f>
        <v>88.518799999999999</v>
      </c>
      <c r="K547" s="14">
        <f>88.5167 * CHOOSE(CONTROL!$C$9, $D$9, 100%, $F$9) + CHOOSE(CONTROL!$C$27, 0.0021, 0)</f>
        <v>88.518799999999999</v>
      </c>
      <c r="L547" s="14"/>
    </row>
    <row r="548" spans="1:12" ht="15.75" x14ac:dyDescent="0.25">
      <c r="A548" s="32">
        <v>57618</v>
      </c>
      <c r="B548" s="14">
        <f>90.7111 * CHOOSE(CONTROL!$C$9, $D$9, 100%, $F$9) + CHOOSE(CONTROL!$C$27, 0.0021, 0)</f>
        <v>90.713200000000001</v>
      </c>
      <c r="C548" s="14">
        <f>90.2788 * CHOOSE(CONTROL!$C$9, $D$9, 100%, $F$9) + CHOOSE(CONTROL!$C$27, 0.0021, 0)</f>
        <v>90.280900000000003</v>
      </c>
      <c r="D548" s="14">
        <f>90.2788 * CHOOSE(CONTROL!$C$9, $D$9, 100%, $F$9) + CHOOSE(CONTROL!$C$27, 0.0021, 0)</f>
        <v>90.280900000000003</v>
      </c>
      <c r="E548" s="14">
        <f>90.1422 * CHOOSE(CONTROL!$C$9, $D$9, 100%, $F$9) + CHOOSE(CONTROL!$C$27, 0.0021, 0)</f>
        <v>90.144300000000001</v>
      </c>
      <c r="F548" s="14">
        <f>90.1422 * CHOOSE(CONTROL!$C$9, $D$9, 100%, $F$9) + CHOOSE(CONTROL!$C$27, 0.0021, 0)</f>
        <v>90.144300000000001</v>
      </c>
      <c r="G548" s="14">
        <f>90.4135 * CHOOSE(CONTROL!$C$9, $D$9, 100%, $F$9) + CHOOSE(CONTROL!$C$27, 0.0021, 0)</f>
        <v>90.415599999999998</v>
      </c>
      <c r="H548" s="14">
        <f>90.2788 * CHOOSE(CONTROL!$C$9, $D$9, 100%, $F$9) + CHOOSE(CONTROL!$C$27, 0.0021, 0)</f>
        <v>90.280900000000003</v>
      </c>
      <c r="I548" s="14">
        <f>90.2788 * CHOOSE(CONTROL!$C$9, $D$9, 100%, $F$9) + CHOOSE(CONTROL!$C$27, 0.0021, 0)</f>
        <v>90.280900000000003</v>
      </c>
      <c r="J548" s="14">
        <f>90.2788 * CHOOSE(CONTROL!$C$9, $D$9, 100%, $F$9) + CHOOSE(CONTROL!$C$27, 0.0021, 0)</f>
        <v>90.280900000000003</v>
      </c>
      <c r="K548" s="14">
        <f>90.2788 * CHOOSE(CONTROL!$C$9, $D$9, 100%, $F$9) + CHOOSE(CONTROL!$C$27, 0.0021, 0)</f>
        <v>90.280900000000003</v>
      </c>
      <c r="L548" s="14"/>
    </row>
    <row r="549" spans="1:12" ht="15.75" x14ac:dyDescent="0.25">
      <c r="A549" s="32">
        <v>57649</v>
      </c>
      <c r="B549" s="14">
        <f>92.9417 * CHOOSE(CONTROL!$C$9, $D$9, 100%, $F$9) + CHOOSE(CONTROL!$C$27, 0.0021, 0)</f>
        <v>92.943799999999996</v>
      </c>
      <c r="C549" s="14">
        <f>92.5094 * CHOOSE(CONTROL!$C$9, $D$9, 100%, $F$9) + CHOOSE(CONTROL!$C$27, 0.0021, 0)</f>
        <v>92.511499999999998</v>
      </c>
      <c r="D549" s="14">
        <f>92.5094 * CHOOSE(CONTROL!$C$9, $D$9, 100%, $F$9) + CHOOSE(CONTROL!$C$27, 0.0021, 0)</f>
        <v>92.511499999999998</v>
      </c>
      <c r="E549" s="14">
        <f>92.3728 * CHOOSE(CONTROL!$C$9, $D$9, 100%, $F$9) + CHOOSE(CONTROL!$C$27, 0.0021, 0)</f>
        <v>92.374899999999997</v>
      </c>
      <c r="F549" s="14">
        <f>92.3728 * CHOOSE(CONTROL!$C$9, $D$9, 100%, $F$9) + CHOOSE(CONTROL!$C$27, 0.0021, 0)</f>
        <v>92.374899999999997</v>
      </c>
      <c r="G549" s="14">
        <f>92.6441 * CHOOSE(CONTROL!$C$9, $D$9, 100%, $F$9) + CHOOSE(CONTROL!$C$27, 0.0021, 0)</f>
        <v>92.646199999999993</v>
      </c>
      <c r="H549" s="14">
        <f>92.5094 * CHOOSE(CONTROL!$C$9, $D$9, 100%, $F$9) + CHOOSE(CONTROL!$C$27, 0.0021, 0)</f>
        <v>92.511499999999998</v>
      </c>
      <c r="I549" s="14">
        <f>92.5094 * CHOOSE(CONTROL!$C$9, $D$9, 100%, $F$9) + CHOOSE(CONTROL!$C$27, 0.0021, 0)</f>
        <v>92.511499999999998</v>
      </c>
      <c r="J549" s="14">
        <f>92.5094 * CHOOSE(CONTROL!$C$9, $D$9, 100%, $F$9) + CHOOSE(CONTROL!$C$27, 0.0021, 0)</f>
        <v>92.511499999999998</v>
      </c>
      <c r="K549" s="14">
        <f>92.5094 * CHOOSE(CONTROL!$C$9, $D$9, 100%, $F$9) + CHOOSE(CONTROL!$C$27, 0.0021, 0)</f>
        <v>92.511499999999998</v>
      </c>
      <c r="L549" s="14"/>
    </row>
    <row r="550" spans="1:12" ht="15.75" x14ac:dyDescent="0.25">
      <c r="A550" s="32">
        <v>57679</v>
      </c>
      <c r="B550" s="14">
        <f>93.1511 * CHOOSE(CONTROL!$C$9, $D$9, 100%, $F$9) + CHOOSE(CONTROL!$C$27, 0.0021, 0)</f>
        <v>93.153199999999998</v>
      </c>
      <c r="C550" s="14">
        <f>92.7188 * CHOOSE(CONTROL!$C$9, $D$9, 100%, $F$9) + CHOOSE(CONTROL!$C$27, 0.0021, 0)</f>
        <v>92.7209</v>
      </c>
      <c r="D550" s="14">
        <f>92.7188 * CHOOSE(CONTROL!$C$9, $D$9, 100%, $F$9) + CHOOSE(CONTROL!$C$27, 0.0021, 0)</f>
        <v>92.7209</v>
      </c>
      <c r="E550" s="14">
        <f>92.5822 * CHOOSE(CONTROL!$C$9, $D$9, 100%, $F$9) + CHOOSE(CONTROL!$C$27, 0.0021, 0)</f>
        <v>92.584299999999999</v>
      </c>
      <c r="F550" s="14">
        <f>92.5822 * CHOOSE(CONTROL!$C$9, $D$9, 100%, $F$9) + CHOOSE(CONTROL!$C$27, 0.0021, 0)</f>
        <v>92.584299999999999</v>
      </c>
      <c r="G550" s="14">
        <f>92.8535 * CHOOSE(CONTROL!$C$9, $D$9, 100%, $F$9) + CHOOSE(CONTROL!$C$27, 0.0021, 0)</f>
        <v>92.855599999999995</v>
      </c>
      <c r="H550" s="14">
        <f>92.7188 * CHOOSE(CONTROL!$C$9, $D$9, 100%, $F$9) + CHOOSE(CONTROL!$C$27, 0.0021, 0)</f>
        <v>92.7209</v>
      </c>
      <c r="I550" s="14">
        <f>92.7188 * CHOOSE(CONTROL!$C$9, $D$9, 100%, $F$9) + CHOOSE(CONTROL!$C$27, 0.0021, 0)</f>
        <v>92.7209</v>
      </c>
      <c r="J550" s="14">
        <f>92.7188 * CHOOSE(CONTROL!$C$9, $D$9, 100%, $F$9) + CHOOSE(CONTROL!$C$27, 0.0021, 0)</f>
        <v>92.7209</v>
      </c>
      <c r="K550" s="14">
        <f>92.7188 * CHOOSE(CONTROL!$C$9, $D$9, 100%, $F$9) + CHOOSE(CONTROL!$C$27, 0.0021, 0)</f>
        <v>92.7209</v>
      </c>
      <c r="L550" s="14"/>
    </row>
    <row r="551" spans="1:12" ht="15.75" x14ac:dyDescent="0.25">
      <c r="A551" s="32">
        <v>57710</v>
      </c>
      <c r="B551" s="14">
        <f>91.3695 * CHOOSE(CONTROL!$C$9, $D$9, 100%, $F$9) + CHOOSE(CONTROL!$C$27, 0.0021, 0)</f>
        <v>91.371600000000001</v>
      </c>
      <c r="C551" s="14">
        <f>90.9373 * CHOOSE(CONTROL!$C$9, $D$9, 100%, $F$9) + CHOOSE(CONTROL!$C$27, 0.0021, 0)</f>
        <v>90.939399999999992</v>
      </c>
      <c r="D551" s="14">
        <f>90.9373 * CHOOSE(CONTROL!$C$9, $D$9, 100%, $F$9) + CHOOSE(CONTROL!$C$27, 0.0021, 0)</f>
        <v>90.939399999999992</v>
      </c>
      <c r="E551" s="14">
        <f>90.8006 * CHOOSE(CONTROL!$C$9, $D$9, 100%, $F$9) + CHOOSE(CONTROL!$C$27, 0.0021, 0)</f>
        <v>90.802700000000002</v>
      </c>
      <c r="F551" s="14">
        <f>90.8006 * CHOOSE(CONTROL!$C$9, $D$9, 100%, $F$9) + CHOOSE(CONTROL!$C$27, 0.0021, 0)</f>
        <v>90.802700000000002</v>
      </c>
      <c r="G551" s="14">
        <f>91.072 * CHOOSE(CONTROL!$C$9, $D$9, 100%, $F$9) + CHOOSE(CONTROL!$C$27, 0.0021, 0)</f>
        <v>91.074100000000001</v>
      </c>
      <c r="H551" s="14">
        <f>90.9373 * CHOOSE(CONTROL!$C$9, $D$9, 100%, $F$9) + CHOOSE(CONTROL!$C$27, 0.0021, 0)</f>
        <v>90.939399999999992</v>
      </c>
      <c r="I551" s="14">
        <f>90.9373 * CHOOSE(CONTROL!$C$9, $D$9, 100%, $F$9) + CHOOSE(CONTROL!$C$27, 0.0021, 0)</f>
        <v>90.939399999999992</v>
      </c>
      <c r="J551" s="14">
        <f>90.9373 * CHOOSE(CONTROL!$C$9, $D$9, 100%, $F$9) + CHOOSE(CONTROL!$C$27, 0.0021, 0)</f>
        <v>90.939399999999992</v>
      </c>
      <c r="K551" s="14">
        <f>90.9373 * CHOOSE(CONTROL!$C$9, $D$9, 100%, $F$9) + CHOOSE(CONTROL!$C$27, 0.0021, 0)</f>
        <v>90.939399999999992</v>
      </c>
      <c r="L551" s="14"/>
    </row>
    <row r="552" spans="1:12" ht="15.75" x14ac:dyDescent="0.25">
      <c r="A552" s="32">
        <v>57741</v>
      </c>
      <c r="B552" s="14">
        <f>90.2435 * CHOOSE(CONTROL!$C$9, $D$9, 100%, $F$9) + CHOOSE(CONTROL!$C$27, 0.0021, 0)</f>
        <v>90.245599999999996</v>
      </c>
      <c r="C552" s="14">
        <f>89.8113 * CHOOSE(CONTROL!$C$9, $D$9, 100%, $F$9) + CHOOSE(CONTROL!$C$27, 0.0021, 0)</f>
        <v>89.813400000000001</v>
      </c>
      <c r="D552" s="14">
        <f>89.8113 * CHOOSE(CONTROL!$C$9, $D$9, 100%, $F$9) + CHOOSE(CONTROL!$C$27, 0.0021, 0)</f>
        <v>89.813400000000001</v>
      </c>
      <c r="E552" s="14">
        <f>89.6746 * CHOOSE(CONTROL!$C$9, $D$9, 100%, $F$9) + CHOOSE(CONTROL!$C$27, 0.0021, 0)</f>
        <v>89.676699999999997</v>
      </c>
      <c r="F552" s="14">
        <f>89.6746 * CHOOSE(CONTROL!$C$9, $D$9, 100%, $F$9) + CHOOSE(CONTROL!$C$27, 0.0021, 0)</f>
        <v>89.676699999999997</v>
      </c>
      <c r="G552" s="14">
        <f>89.946 * CHOOSE(CONTROL!$C$9, $D$9, 100%, $F$9) + CHOOSE(CONTROL!$C$27, 0.0021, 0)</f>
        <v>89.948099999999997</v>
      </c>
      <c r="H552" s="14">
        <f>89.8113 * CHOOSE(CONTROL!$C$9, $D$9, 100%, $F$9) + CHOOSE(CONTROL!$C$27, 0.0021, 0)</f>
        <v>89.813400000000001</v>
      </c>
      <c r="I552" s="14">
        <f>89.8113 * CHOOSE(CONTROL!$C$9, $D$9, 100%, $F$9) + CHOOSE(CONTROL!$C$27, 0.0021, 0)</f>
        <v>89.813400000000001</v>
      </c>
      <c r="J552" s="14">
        <f>89.8113 * CHOOSE(CONTROL!$C$9, $D$9, 100%, $F$9) + CHOOSE(CONTROL!$C$27, 0.0021, 0)</f>
        <v>89.813400000000001</v>
      </c>
      <c r="K552" s="14">
        <f>89.8113 * CHOOSE(CONTROL!$C$9, $D$9, 100%, $F$9) + CHOOSE(CONTROL!$C$27, 0.0021, 0)</f>
        <v>89.813400000000001</v>
      </c>
      <c r="L552" s="14"/>
    </row>
    <row r="553" spans="1:12" ht="15.75" x14ac:dyDescent="0.25">
      <c r="A553" s="32">
        <v>57769</v>
      </c>
      <c r="B553" s="14">
        <f>87.7558 * CHOOSE(CONTROL!$C$9, $D$9, 100%, $F$9) + CHOOSE(CONTROL!$C$27, 0.0021, 0)</f>
        <v>87.757899999999992</v>
      </c>
      <c r="C553" s="14">
        <f>87.3235 * CHOOSE(CONTROL!$C$9, $D$9, 100%, $F$9) + CHOOSE(CONTROL!$C$27, 0.0021, 0)</f>
        <v>87.325599999999994</v>
      </c>
      <c r="D553" s="14">
        <f>87.3235 * CHOOSE(CONTROL!$C$9, $D$9, 100%, $F$9) + CHOOSE(CONTROL!$C$27, 0.0021, 0)</f>
        <v>87.325599999999994</v>
      </c>
      <c r="E553" s="14">
        <f>87.1869 * CHOOSE(CONTROL!$C$9, $D$9, 100%, $F$9) + CHOOSE(CONTROL!$C$27, 0.0021, 0)</f>
        <v>87.188999999999993</v>
      </c>
      <c r="F553" s="14">
        <f>87.1869 * CHOOSE(CONTROL!$C$9, $D$9, 100%, $F$9) + CHOOSE(CONTROL!$C$27, 0.0021, 0)</f>
        <v>87.188999999999993</v>
      </c>
      <c r="G553" s="14">
        <f>87.4583 * CHOOSE(CONTROL!$C$9, $D$9, 100%, $F$9) + CHOOSE(CONTROL!$C$27, 0.0021, 0)</f>
        <v>87.460399999999993</v>
      </c>
      <c r="H553" s="14">
        <f>87.3235 * CHOOSE(CONTROL!$C$9, $D$9, 100%, $F$9) + CHOOSE(CONTROL!$C$27, 0.0021, 0)</f>
        <v>87.325599999999994</v>
      </c>
      <c r="I553" s="14">
        <f>87.3235 * CHOOSE(CONTROL!$C$9, $D$9, 100%, $F$9) + CHOOSE(CONTROL!$C$27, 0.0021, 0)</f>
        <v>87.325599999999994</v>
      </c>
      <c r="J553" s="14">
        <f>87.3235 * CHOOSE(CONTROL!$C$9, $D$9, 100%, $F$9) + CHOOSE(CONTROL!$C$27, 0.0021, 0)</f>
        <v>87.325599999999994</v>
      </c>
      <c r="K553" s="14">
        <f>87.3235 * CHOOSE(CONTROL!$C$9, $D$9, 100%, $F$9) + CHOOSE(CONTROL!$C$27, 0.0021, 0)</f>
        <v>87.325599999999994</v>
      </c>
      <c r="L553" s="14"/>
    </row>
    <row r="554" spans="1:12" ht="15.75" x14ac:dyDescent="0.25">
      <c r="A554" s="32">
        <v>57800</v>
      </c>
      <c r="B554" s="14">
        <f>86.7289 * CHOOSE(CONTROL!$C$9, $D$9, 100%, $F$9) + CHOOSE(CONTROL!$C$27, 0.0021, 0)</f>
        <v>86.730999999999995</v>
      </c>
      <c r="C554" s="14">
        <f>86.2966 * CHOOSE(CONTROL!$C$9, $D$9, 100%, $F$9) + CHOOSE(CONTROL!$C$27, 0.0021, 0)</f>
        <v>86.298699999999997</v>
      </c>
      <c r="D554" s="14">
        <f>86.2966 * CHOOSE(CONTROL!$C$9, $D$9, 100%, $F$9) + CHOOSE(CONTROL!$C$27, 0.0021, 0)</f>
        <v>86.298699999999997</v>
      </c>
      <c r="E554" s="14">
        <f>86.16 * CHOOSE(CONTROL!$C$9, $D$9, 100%, $F$9) + CHOOSE(CONTROL!$C$27, 0.0021, 0)</f>
        <v>86.162099999999995</v>
      </c>
      <c r="F554" s="14">
        <f>86.16 * CHOOSE(CONTROL!$C$9, $D$9, 100%, $F$9) + CHOOSE(CONTROL!$C$27, 0.0021, 0)</f>
        <v>86.162099999999995</v>
      </c>
      <c r="G554" s="14">
        <f>86.4313 * CHOOSE(CONTROL!$C$9, $D$9, 100%, $F$9) + CHOOSE(CONTROL!$C$27, 0.0021, 0)</f>
        <v>86.433399999999992</v>
      </c>
      <c r="H554" s="14">
        <f>86.2966 * CHOOSE(CONTROL!$C$9, $D$9, 100%, $F$9) + CHOOSE(CONTROL!$C$27, 0.0021, 0)</f>
        <v>86.298699999999997</v>
      </c>
      <c r="I554" s="14">
        <f>86.2966 * CHOOSE(CONTROL!$C$9, $D$9, 100%, $F$9) + CHOOSE(CONTROL!$C$27, 0.0021, 0)</f>
        <v>86.298699999999997</v>
      </c>
      <c r="J554" s="14">
        <f>86.2966 * CHOOSE(CONTROL!$C$9, $D$9, 100%, $F$9) + CHOOSE(CONTROL!$C$27, 0.0021, 0)</f>
        <v>86.298699999999997</v>
      </c>
      <c r="K554" s="14">
        <f>86.2966 * CHOOSE(CONTROL!$C$9, $D$9, 100%, $F$9) + CHOOSE(CONTROL!$C$27, 0.0021, 0)</f>
        <v>86.298699999999997</v>
      </c>
      <c r="L554" s="14"/>
    </row>
    <row r="555" spans="1:12" ht="15.75" x14ac:dyDescent="0.25">
      <c r="A555" s="32">
        <v>57830</v>
      </c>
      <c r="B555" s="14">
        <f>85.5027 * CHOOSE(CONTROL!$C$9, $D$9, 100%, $F$9) + CHOOSE(CONTROL!$C$27, 0.0021, 0)</f>
        <v>85.504800000000003</v>
      </c>
      <c r="C555" s="14">
        <f>85.0704 * CHOOSE(CONTROL!$C$9, $D$9, 100%, $F$9) + CHOOSE(CONTROL!$C$27, 0.0021, 0)</f>
        <v>85.072500000000005</v>
      </c>
      <c r="D555" s="14">
        <f>85.0704 * CHOOSE(CONTROL!$C$9, $D$9, 100%, $F$9) + CHOOSE(CONTROL!$C$27, 0.0021, 0)</f>
        <v>85.072500000000005</v>
      </c>
      <c r="E555" s="14">
        <f>84.9338 * CHOOSE(CONTROL!$C$9, $D$9, 100%, $F$9) + CHOOSE(CONTROL!$C$27, 0.0021, 0)</f>
        <v>84.935900000000004</v>
      </c>
      <c r="F555" s="14">
        <f>84.9338 * CHOOSE(CONTROL!$C$9, $D$9, 100%, $F$9) + CHOOSE(CONTROL!$C$27, 0.0021, 0)</f>
        <v>84.935900000000004</v>
      </c>
      <c r="G555" s="14">
        <f>85.2051 * CHOOSE(CONTROL!$C$9, $D$9, 100%, $F$9) + CHOOSE(CONTROL!$C$27, 0.0021, 0)</f>
        <v>85.2072</v>
      </c>
      <c r="H555" s="14">
        <f>85.0704 * CHOOSE(CONTROL!$C$9, $D$9, 100%, $F$9) + CHOOSE(CONTROL!$C$27, 0.0021, 0)</f>
        <v>85.072500000000005</v>
      </c>
      <c r="I555" s="14">
        <f>85.0704 * CHOOSE(CONTROL!$C$9, $D$9, 100%, $F$9) + CHOOSE(CONTROL!$C$27, 0.0021, 0)</f>
        <v>85.072500000000005</v>
      </c>
      <c r="J555" s="14">
        <f>85.0704 * CHOOSE(CONTROL!$C$9, $D$9, 100%, $F$9) + CHOOSE(CONTROL!$C$27, 0.0021, 0)</f>
        <v>85.072500000000005</v>
      </c>
      <c r="K555" s="14">
        <f>85.0704 * CHOOSE(CONTROL!$C$9, $D$9, 100%, $F$9) + CHOOSE(CONTROL!$C$27, 0.0021, 0)</f>
        <v>85.072500000000005</v>
      </c>
      <c r="L555" s="14"/>
    </row>
    <row r="556" spans="1:12" ht="15.75" x14ac:dyDescent="0.25">
      <c r="A556" s="32">
        <v>57861</v>
      </c>
      <c r="B556" s="14">
        <f>87.2501 * CHOOSE(CONTROL!$C$9, $D$9, 100%, $F$9) + CHOOSE(CONTROL!$C$27, 0.0021, 0)</f>
        <v>87.252200000000002</v>
      </c>
      <c r="C556" s="14">
        <f>86.8179 * CHOOSE(CONTROL!$C$9, $D$9, 100%, $F$9) + CHOOSE(CONTROL!$C$27, 0.0021, 0)</f>
        <v>86.82</v>
      </c>
      <c r="D556" s="14">
        <f>86.8179 * CHOOSE(CONTROL!$C$9, $D$9, 100%, $F$9) + CHOOSE(CONTROL!$C$27, 0.0021, 0)</f>
        <v>86.82</v>
      </c>
      <c r="E556" s="14">
        <f>86.6812 * CHOOSE(CONTROL!$C$9, $D$9, 100%, $F$9) + CHOOSE(CONTROL!$C$27, 0.0021, 0)</f>
        <v>86.683300000000003</v>
      </c>
      <c r="F556" s="14">
        <f>86.6812 * CHOOSE(CONTROL!$C$9, $D$9, 100%, $F$9) + CHOOSE(CONTROL!$C$27, 0.0021, 0)</f>
        <v>86.683300000000003</v>
      </c>
      <c r="G556" s="14">
        <f>86.9526 * CHOOSE(CONTROL!$C$9, $D$9, 100%, $F$9) + CHOOSE(CONTROL!$C$27, 0.0021, 0)</f>
        <v>86.954700000000003</v>
      </c>
      <c r="H556" s="14">
        <f>86.8179 * CHOOSE(CONTROL!$C$9, $D$9, 100%, $F$9) + CHOOSE(CONTROL!$C$27, 0.0021, 0)</f>
        <v>86.82</v>
      </c>
      <c r="I556" s="14">
        <f>86.8179 * CHOOSE(CONTROL!$C$9, $D$9, 100%, $F$9) + CHOOSE(CONTROL!$C$27, 0.0021, 0)</f>
        <v>86.82</v>
      </c>
      <c r="J556" s="14">
        <f>86.8179 * CHOOSE(CONTROL!$C$9, $D$9, 100%, $F$9) + CHOOSE(CONTROL!$C$27, 0.0021, 0)</f>
        <v>86.82</v>
      </c>
      <c r="K556" s="14">
        <f>86.8179 * CHOOSE(CONTROL!$C$9, $D$9, 100%, $F$9) + CHOOSE(CONTROL!$C$27, 0.0021, 0)</f>
        <v>86.82</v>
      </c>
      <c r="L556" s="14"/>
    </row>
    <row r="557" spans="1:12" ht="15.75" x14ac:dyDescent="0.25">
      <c r="A557" s="32">
        <v>57891</v>
      </c>
      <c r="B557" s="14">
        <f>88.2968 * CHOOSE(CONTROL!$C$9, $D$9, 100%, $F$9) + CHOOSE(CONTROL!$C$27, 0.0021, 0)</f>
        <v>88.298900000000003</v>
      </c>
      <c r="C557" s="14">
        <f>87.8645 * CHOOSE(CONTROL!$C$9, $D$9, 100%, $F$9) + CHOOSE(CONTROL!$C$27, 0.0021, 0)</f>
        <v>87.866600000000005</v>
      </c>
      <c r="D557" s="14">
        <f>87.8645 * CHOOSE(CONTROL!$C$9, $D$9, 100%, $F$9) + CHOOSE(CONTROL!$C$27, 0.0021, 0)</f>
        <v>87.866600000000005</v>
      </c>
      <c r="E557" s="14">
        <f>87.7279 * CHOOSE(CONTROL!$C$9, $D$9, 100%, $F$9) + CHOOSE(CONTROL!$C$27, 0.0021, 0)</f>
        <v>87.73</v>
      </c>
      <c r="F557" s="14">
        <f>87.7279 * CHOOSE(CONTROL!$C$9, $D$9, 100%, $F$9) + CHOOSE(CONTROL!$C$27, 0.0021, 0)</f>
        <v>87.73</v>
      </c>
      <c r="G557" s="14">
        <f>87.9993 * CHOOSE(CONTROL!$C$9, $D$9, 100%, $F$9) + CHOOSE(CONTROL!$C$27, 0.0021, 0)</f>
        <v>88.001400000000004</v>
      </c>
      <c r="H557" s="14">
        <f>87.8645 * CHOOSE(CONTROL!$C$9, $D$9, 100%, $F$9) + CHOOSE(CONTROL!$C$27, 0.0021, 0)</f>
        <v>87.866600000000005</v>
      </c>
      <c r="I557" s="14">
        <f>87.8645 * CHOOSE(CONTROL!$C$9, $D$9, 100%, $F$9) + CHOOSE(CONTROL!$C$27, 0.0021, 0)</f>
        <v>87.866600000000005</v>
      </c>
      <c r="J557" s="14">
        <f>87.8645 * CHOOSE(CONTROL!$C$9, $D$9, 100%, $F$9) + CHOOSE(CONTROL!$C$27, 0.0021, 0)</f>
        <v>87.866600000000005</v>
      </c>
      <c r="K557" s="14">
        <f>87.8645 * CHOOSE(CONTROL!$C$9, $D$9, 100%, $F$9) + CHOOSE(CONTROL!$C$27, 0.0021, 0)</f>
        <v>87.866600000000005</v>
      </c>
      <c r="L557" s="14"/>
    </row>
    <row r="558" spans="1:12" ht="15.75" x14ac:dyDescent="0.25">
      <c r="A558" s="32">
        <v>57922</v>
      </c>
      <c r="B558" s="14">
        <f>90.0234 * CHOOSE(CONTROL!$C$9, $D$9, 100%, $F$9) + CHOOSE(CONTROL!$C$27, 0.0021, 0)</f>
        <v>90.025499999999994</v>
      </c>
      <c r="C558" s="14">
        <f>89.5911 * CHOOSE(CONTROL!$C$9, $D$9, 100%, $F$9) + CHOOSE(CONTROL!$C$27, 0.0021, 0)</f>
        <v>89.593199999999996</v>
      </c>
      <c r="D558" s="14">
        <f>89.5911 * CHOOSE(CONTROL!$C$9, $D$9, 100%, $F$9) + CHOOSE(CONTROL!$C$27, 0.0021, 0)</f>
        <v>89.593199999999996</v>
      </c>
      <c r="E558" s="14">
        <f>89.4545 * CHOOSE(CONTROL!$C$9, $D$9, 100%, $F$9) + CHOOSE(CONTROL!$C$27, 0.0021, 0)</f>
        <v>89.456599999999995</v>
      </c>
      <c r="F558" s="14">
        <f>89.4545 * CHOOSE(CONTROL!$C$9, $D$9, 100%, $F$9) + CHOOSE(CONTROL!$C$27, 0.0021, 0)</f>
        <v>89.456599999999995</v>
      </c>
      <c r="G558" s="14">
        <f>89.7259 * CHOOSE(CONTROL!$C$9, $D$9, 100%, $F$9) + CHOOSE(CONTROL!$C$27, 0.0021, 0)</f>
        <v>89.727999999999994</v>
      </c>
      <c r="H558" s="14">
        <f>89.5911 * CHOOSE(CONTROL!$C$9, $D$9, 100%, $F$9) + CHOOSE(CONTROL!$C$27, 0.0021, 0)</f>
        <v>89.593199999999996</v>
      </c>
      <c r="I558" s="14">
        <f>89.5911 * CHOOSE(CONTROL!$C$9, $D$9, 100%, $F$9) + CHOOSE(CONTROL!$C$27, 0.0021, 0)</f>
        <v>89.593199999999996</v>
      </c>
      <c r="J558" s="14">
        <f>89.5911 * CHOOSE(CONTROL!$C$9, $D$9, 100%, $F$9) + CHOOSE(CONTROL!$C$27, 0.0021, 0)</f>
        <v>89.593199999999996</v>
      </c>
      <c r="K558" s="14">
        <f>89.5911 * CHOOSE(CONTROL!$C$9, $D$9, 100%, $F$9) + CHOOSE(CONTROL!$C$27, 0.0021, 0)</f>
        <v>89.593199999999996</v>
      </c>
      <c r="L558" s="14"/>
    </row>
    <row r="559" spans="1:12" ht="15.75" x14ac:dyDescent="0.25">
      <c r="A559" s="32">
        <v>57953</v>
      </c>
      <c r="B559" s="14">
        <f>90.5504 * CHOOSE(CONTROL!$C$9, $D$9, 100%, $F$9) + CHOOSE(CONTROL!$C$27, 0.0021, 0)</f>
        <v>90.552499999999995</v>
      </c>
      <c r="C559" s="14">
        <f>90.1181 * CHOOSE(CONTROL!$C$9, $D$9, 100%, $F$9) + CHOOSE(CONTROL!$C$27, 0.0021, 0)</f>
        <v>90.120199999999997</v>
      </c>
      <c r="D559" s="14">
        <f>90.1181 * CHOOSE(CONTROL!$C$9, $D$9, 100%, $F$9) + CHOOSE(CONTROL!$C$27, 0.0021, 0)</f>
        <v>90.120199999999997</v>
      </c>
      <c r="E559" s="14">
        <f>89.9815 * CHOOSE(CONTROL!$C$9, $D$9, 100%, $F$9) + CHOOSE(CONTROL!$C$27, 0.0021, 0)</f>
        <v>89.983599999999996</v>
      </c>
      <c r="F559" s="14">
        <f>89.9815 * CHOOSE(CONTROL!$C$9, $D$9, 100%, $F$9) + CHOOSE(CONTROL!$C$27, 0.0021, 0)</f>
        <v>89.983599999999996</v>
      </c>
      <c r="G559" s="14">
        <f>90.2529 * CHOOSE(CONTROL!$C$9, $D$9, 100%, $F$9) + CHOOSE(CONTROL!$C$27, 0.0021, 0)</f>
        <v>90.254999999999995</v>
      </c>
      <c r="H559" s="14">
        <f>90.1181 * CHOOSE(CONTROL!$C$9, $D$9, 100%, $F$9) + CHOOSE(CONTROL!$C$27, 0.0021, 0)</f>
        <v>90.120199999999997</v>
      </c>
      <c r="I559" s="14">
        <f>90.1181 * CHOOSE(CONTROL!$C$9, $D$9, 100%, $F$9) + CHOOSE(CONTROL!$C$27, 0.0021, 0)</f>
        <v>90.120199999999997</v>
      </c>
      <c r="J559" s="14">
        <f>90.1181 * CHOOSE(CONTROL!$C$9, $D$9, 100%, $F$9) + CHOOSE(CONTROL!$C$27, 0.0021, 0)</f>
        <v>90.120199999999997</v>
      </c>
      <c r="K559" s="14">
        <f>90.1181 * CHOOSE(CONTROL!$C$9, $D$9, 100%, $F$9) + CHOOSE(CONTROL!$C$27, 0.0021, 0)</f>
        <v>90.120199999999997</v>
      </c>
      <c r="L559" s="14"/>
    </row>
    <row r="560" spans="1:12" ht="15.75" x14ac:dyDescent="0.25">
      <c r="A560" s="32">
        <v>57983</v>
      </c>
      <c r="B560" s="14">
        <f>92.3451 * CHOOSE(CONTROL!$C$9, $D$9, 100%, $F$9) + CHOOSE(CONTROL!$C$27, 0.0021, 0)</f>
        <v>92.347200000000001</v>
      </c>
      <c r="C560" s="14">
        <f>91.9129 * CHOOSE(CONTROL!$C$9, $D$9, 100%, $F$9) + CHOOSE(CONTROL!$C$27, 0.0021, 0)</f>
        <v>91.914999999999992</v>
      </c>
      <c r="D560" s="14">
        <f>91.9129 * CHOOSE(CONTROL!$C$9, $D$9, 100%, $F$9) + CHOOSE(CONTROL!$C$27, 0.0021, 0)</f>
        <v>91.914999999999992</v>
      </c>
      <c r="E560" s="14">
        <f>91.7762 * CHOOSE(CONTROL!$C$9, $D$9, 100%, $F$9) + CHOOSE(CONTROL!$C$27, 0.0021, 0)</f>
        <v>91.778300000000002</v>
      </c>
      <c r="F560" s="14">
        <f>91.7762 * CHOOSE(CONTROL!$C$9, $D$9, 100%, $F$9) + CHOOSE(CONTROL!$C$27, 0.0021, 0)</f>
        <v>91.778300000000002</v>
      </c>
      <c r="G560" s="14">
        <f>92.0476 * CHOOSE(CONTROL!$C$9, $D$9, 100%, $F$9) + CHOOSE(CONTROL!$C$27, 0.0021, 0)</f>
        <v>92.049700000000001</v>
      </c>
      <c r="H560" s="14">
        <f>91.9129 * CHOOSE(CONTROL!$C$9, $D$9, 100%, $F$9) + CHOOSE(CONTROL!$C$27, 0.0021, 0)</f>
        <v>91.914999999999992</v>
      </c>
      <c r="I560" s="14">
        <f>91.9129 * CHOOSE(CONTROL!$C$9, $D$9, 100%, $F$9) + CHOOSE(CONTROL!$C$27, 0.0021, 0)</f>
        <v>91.914999999999992</v>
      </c>
      <c r="J560" s="14">
        <f>91.9129 * CHOOSE(CONTROL!$C$9, $D$9, 100%, $F$9) + CHOOSE(CONTROL!$C$27, 0.0021, 0)</f>
        <v>91.914999999999992</v>
      </c>
      <c r="K560" s="14">
        <f>91.9129 * CHOOSE(CONTROL!$C$9, $D$9, 100%, $F$9) + CHOOSE(CONTROL!$C$27, 0.0021, 0)</f>
        <v>91.914999999999992</v>
      </c>
      <c r="L560" s="14"/>
    </row>
    <row r="561" spans="1:12" ht="15.75" x14ac:dyDescent="0.25">
      <c r="A561" s="32">
        <v>58014</v>
      </c>
      <c r="B561" s="14">
        <f>94.6169 * CHOOSE(CONTROL!$C$9, $D$9, 100%, $F$9) + CHOOSE(CONTROL!$C$27, 0.0021, 0)</f>
        <v>94.619</v>
      </c>
      <c r="C561" s="14">
        <f>94.1847 * CHOOSE(CONTROL!$C$9, $D$9, 100%, $F$9) + CHOOSE(CONTROL!$C$27, 0.0021, 0)</f>
        <v>94.186800000000005</v>
      </c>
      <c r="D561" s="14">
        <f>94.1847 * CHOOSE(CONTROL!$C$9, $D$9, 100%, $F$9) + CHOOSE(CONTROL!$C$27, 0.0021, 0)</f>
        <v>94.186800000000005</v>
      </c>
      <c r="E561" s="14">
        <f>94.048 * CHOOSE(CONTROL!$C$9, $D$9, 100%, $F$9) + CHOOSE(CONTROL!$C$27, 0.0021, 0)</f>
        <v>94.0501</v>
      </c>
      <c r="F561" s="14">
        <f>94.048 * CHOOSE(CONTROL!$C$9, $D$9, 100%, $F$9) + CHOOSE(CONTROL!$C$27, 0.0021, 0)</f>
        <v>94.0501</v>
      </c>
      <c r="G561" s="14">
        <f>94.3194 * CHOOSE(CONTROL!$C$9, $D$9, 100%, $F$9) + CHOOSE(CONTROL!$C$27, 0.0021, 0)</f>
        <v>94.3215</v>
      </c>
      <c r="H561" s="14">
        <f>94.1847 * CHOOSE(CONTROL!$C$9, $D$9, 100%, $F$9) + CHOOSE(CONTROL!$C$27, 0.0021, 0)</f>
        <v>94.186800000000005</v>
      </c>
      <c r="I561" s="14">
        <f>94.1847 * CHOOSE(CONTROL!$C$9, $D$9, 100%, $F$9) + CHOOSE(CONTROL!$C$27, 0.0021, 0)</f>
        <v>94.186800000000005</v>
      </c>
      <c r="J561" s="14">
        <f>94.1847 * CHOOSE(CONTROL!$C$9, $D$9, 100%, $F$9) + CHOOSE(CONTROL!$C$27, 0.0021, 0)</f>
        <v>94.186800000000005</v>
      </c>
      <c r="K561" s="14">
        <f>94.1847 * CHOOSE(CONTROL!$C$9, $D$9, 100%, $F$9) + CHOOSE(CONTROL!$C$27, 0.0021, 0)</f>
        <v>94.186800000000005</v>
      </c>
      <c r="L561" s="14"/>
    </row>
    <row r="562" spans="1:12" ht="15.75" x14ac:dyDescent="0.25">
      <c r="A562" s="32">
        <v>58044</v>
      </c>
      <c r="B562" s="14">
        <f>94.8302 * CHOOSE(CONTROL!$C$9, $D$9, 100%, $F$9) + CHOOSE(CONTROL!$C$27, 0.0021, 0)</f>
        <v>94.832300000000004</v>
      </c>
      <c r="C562" s="14">
        <f>94.398 * CHOOSE(CONTROL!$C$9, $D$9, 100%, $F$9) + CHOOSE(CONTROL!$C$27, 0.0021, 0)</f>
        <v>94.400099999999995</v>
      </c>
      <c r="D562" s="14">
        <f>94.398 * CHOOSE(CONTROL!$C$9, $D$9, 100%, $F$9) + CHOOSE(CONTROL!$C$27, 0.0021, 0)</f>
        <v>94.400099999999995</v>
      </c>
      <c r="E562" s="14">
        <f>94.2613 * CHOOSE(CONTROL!$C$9, $D$9, 100%, $F$9) + CHOOSE(CONTROL!$C$27, 0.0021, 0)</f>
        <v>94.263400000000004</v>
      </c>
      <c r="F562" s="14">
        <f>94.2613 * CHOOSE(CONTROL!$C$9, $D$9, 100%, $F$9) + CHOOSE(CONTROL!$C$27, 0.0021, 0)</f>
        <v>94.263400000000004</v>
      </c>
      <c r="G562" s="14">
        <f>94.5327 * CHOOSE(CONTROL!$C$9, $D$9, 100%, $F$9) + CHOOSE(CONTROL!$C$27, 0.0021, 0)</f>
        <v>94.534800000000004</v>
      </c>
      <c r="H562" s="14">
        <f>94.398 * CHOOSE(CONTROL!$C$9, $D$9, 100%, $F$9) + CHOOSE(CONTROL!$C$27, 0.0021, 0)</f>
        <v>94.400099999999995</v>
      </c>
      <c r="I562" s="14">
        <f>94.398 * CHOOSE(CONTROL!$C$9, $D$9, 100%, $F$9) + CHOOSE(CONTROL!$C$27, 0.0021, 0)</f>
        <v>94.400099999999995</v>
      </c>
      <c r="J562" s="14">
        <f>94.398 * CHOOSE(CONTROL!$C$9, $D$9, 100%, $F$9) + CHOOSE(CONTROL!$C$27, 0.0021, 0)</f>
        <v>94.400099999999995</v>
      </c>
      <c r="K562" s="14">
        <f>94.398 * CHOOSE(CONTROL!$C$9, $D$9, 100%, $F$9) + CHOOSE(CONTROL!$C$27, 0.0021, 0)</f>
        <v>94.400099999999995</v>
      </c>
      <c r="L562" s="14"/>
    </row>
    <row r="563" spans="1:12" ht="15.75" x14ac:dyDescent="0.25">
      <c r="A563" s="32">
        <v>58075</v>
      </c>
      <c r="B563" s="14">
        <f>93.0158 * CHOOSE(CONTROL!$C$9, $D$9, 100%, $F$9) + CHOOSE(CONTROL!$C$27, 0.0021, 0)</f>
        <v>93.017899999999997</v>
      </c>
      <c r="C563" s="14">
        <f>92.5835 * CHOOSE(CONTROL!$C$9, $D$9, 100%, $F$9) + CHOOSE(CONTROL!$C$27, 0.0021, 0)</f>
        <v>92.585599999999999</v>
      </c>
      <c r="D563" s="14">
        <f>92.5835 * CHOOSE(CONTROL!$C$9, $D$9, 100%, $F$9) + CHOOSE(CONTROL!$C$27, 0.0021, 0)</f>
        <v>92.585599999999999</v>
      </c>
      <c r="E563" s="14">
        <f>92.4468 * CHOOSE(CONTROL!$C$9, $D$9, 100%, $F$9) + CHOOSE(CONTROL!$C$27, 0.0021, 0)</f>
        <v>92.448899999999995</v>
      </c>
      <c r="F563" s="14">
        <f>92.4468 * CHOOSE(CONTROL!$C$9, $D$9, 100%, $F$9) + CHOOSE(CONTROL!$C$27, 0.0021, 0)</f>
        <v>92.448899999999995</v>
      </c>
      <c r="G563" s="14">
        <f>92.7182 * CHOOSE(CONTROL!$C$9, $D$9, 100%, $F$9) + CHOOSE(CONTROL!$C$27, 0.0021, 0)</f>
        <v>92.720299999999995</v>
      </c>
      <c r="H563" s="14">
        <f>92.5835 * CHOOSE(CONTROL!$C$9, $D$9, 100%, $F$9) + CHOOSE(CONTROL!$C$27, 0.0021, 0)</f>
        <v>92.585599999999999</v>
      </c>
      <c r="I563" s="14">
        <f>92.5835 * CHOOSE(CONTROL!$C$9, $D$9, 100%, $F$9) + CHOOSE(CONTROL!$C$27, 0.0021, 0)</f>
        <v>92.585599999999999</v>
      </c>
      <c r="J563" s="14">
        <f>92.5835 * CHOOSE(CONTROL!$C$9, $D$9, 100%, $F$9) + CHOOSE(CONTROL!$C$27, 0.0021, 0)</f>
        <v>92.585599999999999</v>
      </c>
      <c r="K563" s="14">
        <f>92.5835 * CHOOSE(CONTROL!$C$9, $D$9, 100%, $F$9) + CHOOSE(CONTROL!$C$27, 0.0021, 0)</f>
        <v>92.585599999999999</v>
      </c>
      <c r="L563" s="14"/>
    </row>
    <row r="564" spans="1:12" ht="15.75" x14ac:dyDescent="0.25">
      <c r="A564" s="32">
        <v>58106</v>
      </c>
      <c r="B564" s="14">
        <f>91.8689 * CHOOSE(CONTROL!$C$9, $D$9, 100%, $F$9) + CHOOSE(CONTROL!$C$27, 0.0021, 0)</f>
        <v>91.870999999999995</v>
      </c>
      <c r="C564" s="14">
        <f>91.4367 * CHOOSE(CONTROL!$C$9, $D$9, 100%, $F$9) + CHOOSE(CONTROL!$C$27, 0.0021, 0)</f>
        <v>91.438800000000001</v>
      </c>
      <c r="D564" s="14">
        <f>91.4367 * CHOOSE(CONTROL!$C$9, $D$9, 100%, $F$9) + CHOOSE(CONTROL!$C$27, 0.0021, 0)</f>
        <v>91.438800000000001</v>
      </c>
      <c r="E564" s="14">
        <f>91.3 * CHOOSE(CONTROL!$C$9, $D$9, 100%, $F$9) + CHOOSE(CONTROL!$C$27, 0.0021, 0)</f>
        <v>91.302099999999996</v>
      </c>
      <c r="F564" s="14">
        <f>91.3 * CHOOSE(CONTROL!$C$9, $D$9, 100%, $F$9) + CHOOSE(CONTROL!$C$27, 0.0021, 0)</f>
        <v>91.302099999999996</v>
      </c>
      <c r="G564" s="14">
        <f>91.5714 * CHOOSE(CONTROL!$C$9, $D$9, 100%, $F$9) + CHOOSE(CONTROL!$C$27, 0.0021, 0)</f>
        <v>91.573499999999996</v>
      </c>
      <c r="H564" s="14">
        <f>91.4367 * CHOOSE(CONTROL!$C$9, $D$9, 100%, $F$9) + CHOOSE(CONTROL!$C$27, 0.0021, 0)</f>
        <v>91.438800000000001</v>
      </c>
      <c r="I564" s="14">
        <f>91.4367 * CHOOSE(CONTROL!$C$9, $D$9, 100%, $F$9) + CHOOSE(CONTROL!$C$27, 0.0021, 0)</f>
        <v>91.438800000000001</v>
      </c>
      <c r="J564" s="14">
        <f>91.4367 * CHOOSE(CONTROL!$C$9, $D$9, 100%, $F$9) + CHOOSE(CONTROL!$C$27, 0.0021, 0)</f>
        <v>91.438800000000001</v>
      </c>
      <c r="K564" s="14">
        <f>91.4367 * CHOOSE(CONTROL!$C$9, $D$9, 100%, $F$9) + CHOOSE(CONTROL!$C$27, 0.0021, 0)</f>
        <v>91.438800000000001</v>
      </c>
      <c r="L564" s="14"/>
    </row>
    <row r="565" spans="1:12" ht="15.75" x14ac:dyDescent="0.25">
      <c r="A565" s="32">
        <v>58134</v>
      </c>
      <c r="B565" s="14">
        <f>89.3352 * CHOOSE(CONTROL!$C$9, $D$9, 100%, $F$9) + CHOOSE(CONTROL!$C$27, 0.0021, 0)</f>
        <v>89.337299999999999</v>
      </c>
      <c r="C565" s="14">
        <f>88.903 * CHOOSE(CONTROL!$C$9, $D$9, 100%, $F$9) + CHOOSE(CONTROL!$C$27, 0.0021, 0)</f>
        <v>88.905100000000004</v>
      </c>
      <c r="D565" s="14">
        <f>88.903 * CHOOSE(CONTROL!$C$9, $D$9, 100%, $F$9) + CHOOSE(CONTROL!$C$27, 0.0021, 0)</f>
        <v>88.905100000000004</v>
      </c>
      <c r="E565" s="14">
        <f>88.7663 * CHOOSE(CONTROL!$C$9, $D$9, 100%, $F$9) + CHOOSE(CONTROL!$C$27, 0.0021, 0)</f>
        <v>88.7684</v>
      </c>
      <c r="F565" s="14">
        <f>88.7663 * CHOOSE(CONTROL!$C$9, $D$9, 100%, $F$9) + CHOOSE(CONTROL!$C$27, 0.0021, 0)</f>
        <v>88.7684</v>
      </c>
      <c r="G565" s="14">
        <f>89.0377 * CHOOSE(CONTROL!$C$9, $D$9, 100%, $F$9) + CHOOSE(CONTROL!$C$27, 0.0021, 0)</f>
        <v>89.0398</v>
      </c>
      <c r="H565" s="14">
        <f>88.903 * CHOOSE(CONTROL!$C$9, $D$9, 100%, $F$9) + CHOOSE(CONTROL!$C$27, 0.0021, 0)</f>
        <v>88.905100000000004</v>
      </c>
      <c r="I565" s="14">
        <f>88.903 * CHOOSE(CONTROL!$C$9, $D$9, 100%, $F$9) + CHOOSE(CONTROL!$C$27, 0.0021, 0)</f>
        <v>88.905100000000004</v>
      </c>
      <c r="J565" s="14">
        <f>88.903 * CHOOSE(CONTROL!$C$9, $D$9, 100%, $F$9) + CHOOSE(CONTROL!$C$27, 0.0021, 0)</f>
        <v>88.905100000000004</v>
      </c>
      <c r="K565" s="14">
        <f>88.903 * CHOOSE(CONTROL!$C$9, $D$9, 100%, $F$9) + CHOOSE(CONTROL!$C$27, 0.0021, 0)</f>
        <v>88.905100000000004</v>
      </c>
      <c r="L565" s="14"/>
    </row>
    <row r="566" spans="1:12" ht="15.75" x14ac:dyDescent="0.25">
      <c r="A566" s="32">
        <v>58165</v>
      </c>
      <c r="B566" s="14">
        <f>88.2893 * CHOOSE(CONTROL!$C$9, $D$9, 100%, $F$9) + CHOOSE(CONTROL!$C$27, 0.0021, 0)</f>
        <v>88.291399999999996</v>
      </c>
      <c r="C566" s="14">
        <f>87.8571 * CHOOSE(CONTROL!$C$9, $D$9, 100%, $F$9) + CHOOSE(CONTROL!$C$27, 0.0021, 0)</f>
        <v>87.859200000000001</v>
      </c>
      <c r="D566" s="14">
        <f>87.8571 * CHOOSE(CONTROL!$C$9, $D$9, 100%, $F$9) + CHOOSE(CONTROL!$C$27, 0.0021, 0)</f>
        <v>87.859200000000001</v>
      </c>
      <c r="E566" s="14">
        <f>87.7204 * CHOOSE(CONTROL!$C$9, $D$9, 100%, $F$9) + CHOOSE(CONTROL!$C$27, 0.0021, 0)</f>
        <v>87.722499999999997</v>
      </c>
      <c r="F566" s="14">
        <f>87.7204 * CHOOSE(CONTROL!$C$9, $D$9, 100%, $F$9) + CHOOSE(CONTROL!$C$27, 0.0021, 0)</f>
        <v>87.722499999999997</v>
      </c>
      <c r="G566" s="14">
        <f>87.9918 * CHOOSE(CONTROL!$C$9, $D$9, 100%, $F$9) + CHOOSE(CONTROL!$C$27, 0.0021, 0)</f>
        <v>87.993899999999996</v>
      </c>
      <c r="H566" s="14">
        <f>87.8571 * CHOOSE(CONTROL!$C$9, $D$9, 100%, $F$9) + CHOOSE(CONTROL!$C$27, 0.0021, 0)</f>
        <v>87.859200000000001</v>
      </c>
      <c r="I566" s="14">
        <f>87.8571 * CHOOSE(CONTROL!$C$9, $D$9, 100%, $F$9) + CHOOSE(CONTROL!$C$27, 0.0021, 0)</f>
        <v>87.859200000000001</v>
      </c>
      <c r="J566" s="14">
        <f>87.8571 * CHOOSE(CONTROL!$C$9, $D$9, 100%, $F$9) + CHOOSE(CONTROL!$C$27, 0.0021, 0)</f>
        <v>87.859200000000001</v>
      </c>
      <c r="K566" s="14">
        <f>87.8571 * CHOOSE(CONTROL!$C$9, $D$9, 100%, $F$9) + CHOOSE(CONTROL!$C$27, 0.0021, 0)</f>
        <v>87.859200000000001</v>
      </c>
      <c r="L566" s="14"/>
    </row>
    <row r="567" spans="1:12" ht="15.75" x14ac:dyDescent="0.25">
      <c r="A567" s="32">
        <v>58195</v>
      </c>
      <c r="B567" s="14">
        <f>87.0405 * CHOOSE(CONTROL!$C$9, $D$9, 100%, $F$9) + CHOOSE(CONTROL!$C$27, 0.0021, 0)</f>
        <v>87.042599999999993</v>
      </c>
      <c r="C567" s="14">
        <f>86.6082 * CHOOSE(CONTROL!$C$9, $D$9, 100%, $F$9) + CHOOSE(CONTROL!$C$27, 0.0021, 0)</f>
        <v>86.610299999999995</v>
      </c>
      <c r="D567" s="14">
        <f>86.6082 * CHOOSE(CONTROL!$C$9, $D$9, 100%, $F$9) + CHOOSE(CONTROL!$C$27, 0.0021, 0)</f>
        <v>86.610299999999995</v>
      </c>
      <c r="E567" s="14">
        <f>86.4716 * CHOOSE(CONTROL!$C$9, $D$9, 100%, $F$9) + CHOOSE(CONTROL!$C$27, 0.0021, 0)</f>
        <v>86.473699999999994</v>
      </c>
      <c r="F567" s="14">
        <f>86.4716 * CHOOSE(CONTROL!$C$9, $D$9, 100%, $F$9) + CHOOSE(CONTROL!$C$27, 0.0021, 0)</f>
        <v>86.473699999999994</v>
      </c>
      <c r="G567" s="14">
        <f>86.7429 * CHOOSE(CONTROL!$C$9, $D$9, 100%, $F$9) + CHOOSE(CONTROL!$C$27, 0.0021, 0)</f>
        <v>86.745000000000005</v>
      </c>
      <c r="H567" s="14">
        <f>86.6082 * CHOOSE(CONTROL!$C$9, $D$9, 100%, $F$9) + CHOOSE(CONTROL!$C$27, 0.0021, 0)</f>
        <v>86.610299999999995</v>
      </c>
      <c r="I567" s="14">
        <f>86.6082 * CHOOSE(CONTROL!$C$9, $D$9, 100%, $F$9) + CHOOSE(CONTROL!$C$27, 0.0021, 0)</f>
        <v>86.610299999999995</v>
      </c>
      <c r="J567" s="14">
        <f>86.6082 * CHOOSE(CONTROL!$C$9, $D$9, 100%, $F$9) + CHOOSE(CONTROL!$C$27, 0.0021, 0)</f>
        <v>86.610299999999995</v>
      </c>
      <c r="K567" s="14">
        <f>86.6082 * CHOOSE(CONTROL!$C$9, $D$9, 100%, $F$9) + CHOOSE(CONTROL!$C$27, 0.0021, 0)</f>
        <v>86.610299999999995</v>
      </c>
      <c r="L567" s="14"/>
    </row>
    <row r="568" spans="1:12" ht="15.75" x14ac:dyDescent="0.25">
      <c r="A568" s="32">
        <v>58226</v>
      </c>
      <c r="B568" s="14">
        <f>88.8202 * CHOOSE(CONTROL!$C$9, $D$9, 100%, $F$9) + CHOOSE(CONTROL!$C$27, 0.0021, 0)</f>
        <v>88.822299999999998</v>
      </c>
      <c r="C568" s="14">
        <f>88.388 * CHOOSE(CONTROL!$C$9, $D$9, 100%, $F$9) + CHOOSE(CONTROL!$C$27, 0.0021, 0)</f>
        <v>88.390100000000004</v>
      </c>
      <c r="D568" s="14">
        <f>88.388 * CHOOSE(CONTROL!$C$9, $D$9, 100%, $F$9) + CHOOSE(CONTROL!$C$27, 0.0021, 0)</f>
        <v>88.390100000000004</v>
      </c>
      <c r="E568" s="14">
        <f>88.2513 * CHOOSE(CONTROL!$C$9, $D$9, 100%, $F$9) + CHOOSE(CONTROL!$C$27, 0.0021, 0)</f>
        <v>88.253399999999999</v>
      </c>
      <c r="F568" s="14">
        <f>88.2513 * CHOOSE(CONTROL!$C$9, $D$9, 100%, $F$9) + CHOOSE(CONTROL!$C$27, 0.0021, 0)</f>
        <v>88.253399999999999</v>
      </c>
      <c r="G568" s="14">
        <f>88.5227 * CHOOSE(CONTROL!$C$9, $D$9, 100%, $F$9) + CHOOSE(CONTROL!$C$27, 0.0021, 0)</f>
        <v>88.524799999999999</v>
      </c>
      <c r="H568" s="14">
        <f>88.388 * CHOOSE(CONTROL!$C$9, $D$9, 100%, $F$9) + CHOOSE(CONTROL!$C$27, 0.0021, 0)</f>
        <v>88.390100000000004</v>
      </c>
      <c r="I568" s="14">
        <f>88.388 * CHOOSE(CONTROL!$C$9, $D$9, 100%, $F$9) + CHOOSE(CONTROL!$C$27, 0.0021, 0)</f>
        <v>88.390100000000004</v>
      </c>
      <c r="J568" s="14">
        <f>88.388 * CHOOSE(CONTROL!$C$9, $D$9, 100%, $F$9) + CHOOSE(CONTROL!$C$27, 0.0021, 0)</f>
        <v>88.390100000000004</v>
      </c>
      <c r="K568" s="14">
        <f>88.388 * CHOOSE(CONTROL!$C$9, $D$9, 100%, $F$9) + CHOOSE(CONTROL!$C$27, 0.0021, 0)</f>
        <v>88.390100000000004</v>
      </c>
      <c r="L568" s="14"/>
    </row>
    <row r="569" spans="1:12" ht="15.75" x14ac:dyDescent="0.25">
      <c r="A569" s="32">
        <v>58256</v>
      </c>
      <c r="B569" s="14">
        <f>89.8862 * CHOOSE(CONTROL!$C$9, $D$9, 100%, $F$9) + CHOOSE(CONTROL!$C$27, 0.0021, 0)</f>
        <v>89.888300000000001</v>
      </c>
      <c r="C569" s="14">
        <f>89.454 * CHOOSE(CONTROL!$C$9, $D$9, 100%, $F$9) + CHOOSE(CONTROL!$C$27, 0.0021, 0)</f>
        <v>89.456099999999992</v>
      </c>
      <c r="D569" s="14">
        <f>89.454 * CHOOSE(CONTROL!$C$9, $D$9, 100%, $F$9) + CHOOSE(CONTROL!$C$27, 0.0021, 0)</f>
        <v>89.456099999999992</v>
      </c>
      <c r="E569" s="14">
        <f>89.3173 * CHOOSE(CONTROL!$C$9, $D$9, 100%, $F$9) + CHOOSE(CONTROL!$C$27, 0.0021, 0)</f>
        <v>89.319400000000002</v>
      </c>
      <c r="F569" s="14">
        <f>89.3173 * CHOOSE(CONTROL!$C$9, $D$9, 100%, $F$9) + CHOOSE(CONTROL!$C$27, 0.0021, 0)</f>
        <v>89.319400000000002</v>
      </c>
      <c r="G569" s="14">
        <f>89.5887 * CHOOSE(CONTROL!$C$9, $D$9, 100%, $F$9) + CHOOSE(CONTROL!$C$27, 0.0021, 0)</f>
        <v>89.590800000000002</v>
      </c>
      <c r="H569" s="14">
        <f>89.454 * CHOOSE(CONTROL!$C$9, $D$9, 100%, $F$9) + CHOOSE(CONTROL!$C$27, 0.0021, 0)</f>
        <v>89.456099999999992</v>
      </c>
      <c r="I569" s="14">
        <f>89.454 * CHOOSE(CONTROL!$C$9, $D$9, 100%, $F$9) + CHOOSE(CONTROL!$C$27, 0.0021, 0)</f>
        <v>89.456099999999992</v>
      </c>
      <c r="J569" s="14">
        <f>89.454 * CHOOSE(CONTROL!$C$9, $D$9, 100%, $F$9) + CHOOSE(CONTROL!$C$27, 0.0021, 0)</f>
        <v>89.456099999999992</v>
      </c>
      <c r="K569" s="14">
        <f>89.454 * CHOOSE(CONTROL!$C$9, $D$9, 100%, $F$9) + CHOOSE(CONTROL!$C$27, 0.0021, 0)</f>
        <v>89.456099999999992</v>
      </c>
      <c r="L569" s="14"/>
    </row>
    <row r="570" spans="1:12" ht="15.75" x14ac:dyDescent="0.25">
      <c r="A570" s="32">
        <v>58287</v>
      </c>
      <c r="B570" s="14">
        <f>91.6447 * CHOOSE(CONTROL!$C$9, $D$9, 100%, $F$9) + CHOOSE(CONTROL!$C$27, 0.0021, 0)</f>
        <v>91.646799999999999</v>
      </c>
      <c r="C570" s="14">
        <f>91.2125 * CHOOSE(CONTROL!$C$9, $D$9, 100%, $F$9) + CHOOSE(CONTROL!$C$27, 0.0021, 0)</f>
        <v>91.214600000000004</v>
      </c>
      <c r="D570" s="14">
        <f>91.2125 * CHOOSE(CONTROL!$C$9, $D$9, 100%, $F$9) + CHOOSE(CONTROL!$C$27, 0.0021, 0)</f>
        <v>91.214600000000004</v>
      </c>
      <c r="E570" s="14">
        <f>91.0758 * CHOOSE(CONTROL!$C$9, $D$9, 100%, $F$9) + CHOOSE(CONTROL!$C$27, 0.0021, 0)</f>
        <v>91.0779</v>
      </c>
      <c r="F570" s="14">
        <f>91.0758 * CHOOSE(CONTROL!$C$9, $D$9, 100%, $F$9) + CHOOSE(CONTROL!$C$27, 0.0021, 0)</f>
        <v>91.0779</v>
      </c>
      <c r="G570" s="14">
        <f>91.3472 * CHOOSE(CONTROL!$C$9, $D$9, 100%, $F$9) + CHOOSE(CONTROL!$C$27, 0.0021, 0)</f>
        <v>91.349299999999999</v>
      </c>
      <c r="H570" s="14">
        <f>91.2125 * CHOOSE(CONTROL!$C$9, $D$9, 100%, $F$9) + CHOOSE(CONTROL!$C$27, 0.0021, 0)</f>
        <v>91.214600000000004</v>
      </c>
      <c r="I570" s="14">
        <f>91.2125 * CHOOSE(CONTROL!$C$9, $D$9, 100%, $F$9) + CHOOSE(CONTROL!$C$27, 0.0021, 0)</f>
        <v>91.214600000000004</v>
      </c>
      <c r="J570" s="14">
        <f>91.2125 * CHOOSE(CONTROL!$C$9, $D$9, 100%, $F$9) + CHOOSE(CONTROL!$C$27, 0.0021, 0)</f>
        <v>91.214600000000004</v>
      </c>
      <c r="K570" s="14">
        <f>91.2125 * CHOOSE(CONTROL!$C$9, $D$9, 100%, $F$9) + CHOOSE(CONTROL!$C$27, 0.0021, 0)</f>
        <v>91.214600000000004</v>
      </c>
      <c r="L570" s="14"/>
    </row>
    <row r="571" spans="1:12" ht="15.75" x14ac:dyDescent="0.25">
      <c r="A571" s="32">
        <v>58318</v>
      </c>
      <c r="B571" s="14">
        <f>92.1815 * CHOOSE(CONTROL!$C$9, $D$9, 100%, $F$9) + CHOOSE(CONTROL!$C$27, 0.0021, 0)</f>
        <v>92.183599999999998</v>
      </c>
      <c r="C571" s="14">
        <f>91.7492 * CHOOSE(CONTROL!$C$9, $D$9, 100%, $F$9) + CHOOSE(CONTROL!$C$27, 0.0021, 0)</f>
        <v>91.751300000000001</v>
      </c>
      <c r="D571" s="14">
        <f>91.7492 * CHOOSE(CONTROL!$C$9, $D$9, 100%, $F$9) + CHOOSE(CONTROL!$C$27, 0.0021, 0)</f>
        <v>91.751300000000001</v>
      </c>
      <c r="E571" s="14">
        <f>91.6126 * CHOOSE(CONTROL!$C$9, $D$9, 100%, $F$9) + CHOOSE(CONTROL!$C$27, 0.0021, 0)</f>
        <v>91.614699999999999</v>
      </c>
      <c r="F571" s="14">
        <f>91.6126 * CHOOSE(CONTROL!$C$9, $D$9, 100%, $F$9) + CHOOSE(CONTROL!$C$27, 0.0021, 0)</f>
        <v>91.614699999999999</v>
      </c>
      <c r="G571" s="14">
        <f>91.8839 * CHOOSE(CONTROL!$C$9, $D$9, 100%, $F$9) + CHOOSE(CONTROL!$C$27, 0.0021, 0)</f>
        <v>91.885999999999996</v>
      </c>
      <c r="H571" s="14">
        <f>91.7492 * CHOOSE(CONTROL!$C$9, $D$9, 100%, $F$9) + CHOOSE(CONTROL!$C$27, 0.0021, 0)</f>
        <v>91.751300000000001</v>
      </c>
      <c r="I571" s="14">
        <f>91.7492 * CHOOSE(CONTROL!$C$9, $D$9, 100%, $F$9) + CHOOSE(CONTROL!$C$27, 0.0021, 0)</f>
        <v>91.751300000000001</v>
      </c>
      <c r="J571" s="14">
        <f>91.7492 * CHOOSE(CONTROL!$C$9, $D$9, 100%, $F$9) + CHOOSE(CONTROL!$C$27, 0.0021, 0)</f>
        <v>91.751300000000001</v>
      </c>
      <c r="K571" s="14">
        <f>91.7492 * CHOOSE(CONTROL!$C$9, $D$9, 100%, $F$9) + CHOOSE(CONTROL!$C$27, 0.0021, 0)</f>
        <v>91.751300000000001</v>
      </c>
      <c r="L571" s="14"/>
    </row>
    <row r="572" spans="1:12" ht="15.75" x14ac:dyDescent="0.25">
      <c r="A572" s="32">
        <v>58348</v>
      </c>
      <c r="B572" s="14">
        <f>94.0094 * CHOOSE(CONTROL!$C$9, $D$9, 100%, $F$9) + CHOOSE(CONTROL!$C$27, 0.0021, 0)</f>
        <v>94.011499999999998</v>
      </c>
      <c r="C572" s="14">
        <f>93.5771 * CHOOSE(CONTROL!$C$9, $D$9, 100%, $F$9) + CHOOSE(CONTROL!$C$27, 0.0021, 0)</f>
        <v>93.5792</v>
      </c>
      <c r="D572" s="14">
        <f>93.5771 * CHOOSE(CONTROL!$C$9, $D$9, 100%, $F$9) + CHOOSE(CONTROL!$C$27, 0.0021, 0)</f>
        <v>93.5792</v>
      </c>
      <c r="E572" s="14">
        <f>93.4405 * CHOOSE(CONTROL!$C$9, $D$9, 100%, $F$9) + CHOOSE(CONTROL!$C$27, 0.0021, 0)</f>
        <v>93.442599999999999</v>
      </c>
      <c r="F572" s="14">
        <f>93.4405 * CHOOSE(CONTROL!$C$9, $D$9, 100%, $F$9) + CHOOSE(CONTROL!$C$27, 0.0021, 0)</f>
        <v>93.442599999999999</v>
      </c>
      <c r="G572" s="14">
        <f>93.7118 * CHOOSE(CONTROL!$C$9, $D$9, 100%, $F$9) + CHOOSE(CONTROL!$C$27, 0.0021, 0)</f>
        <v>93.713899999999995</v>
      </c>
      <c r="H572" s="14">
        <f>93.5771 * CHOOSE(CONTROL!$C$9, $D$9, 100%, $F$9) + CHOOSE(CONTROL!$C$27, 0.0021, 0)</f>
        <v>93.5792</v>
      </c>
      <c r="I572" s="14">
        <f>93.5771 * CHOOSE(CONTROL!$C$9, $D$9, 100%, $F$9) + CHOOSE(CONTROL!$C$27, 0.0021, 0)</f>
        <v>93.5792</v>
      </c>
      <c r="J572" s="14">
        <f>93.5771 * CHOOSE(CONTROL!$C$9, $D$9, 100%, $F$9) + CHOOSE(CONTROL!$C$27, 0.0021, 0)</f>
        <v>93.5792</v>
      </c>
      <c r="K572" s="14">
        <f>93.5771 * CHOOSE(CONTROL!$C$9, $D$9, 100%, $F$9) + CHOOSE(CONTROL!$C$27, 0.0021, 0)</f>
        <v>93.5792</v>
      </c>
      <c r="L572" s="14"/>
    </row>
    <row r="573" spans="1:12" ht="15.75" x14ac:dyDescent="0.25">
      <c r="A573" s="32">
        <v>58379</v>
      </c>
      <c r="B573" s="14">
        <f>96.3232 * CHOOSE(CONTROL!$C$9, $D$9, 100%, $F$9) + CHOOSE(CONTROL!$C$27, 0.0021, 0)</f>
        <v>96.325299999999999</v>
      </c>
      <c r="C573" s="14">
        <f>95.8909 * CHOOSE(CONTROL!$C$9, $D$9, 100%, $F$9) + CHOOSE(CONTROL!$C$27, 0.0021, 0)</f>
        <v>95.893000000000001</v>
      </c>
      <c r="D573" s="14">
        <f>95.8909 * CHOOSE(CONTROL!$C$9, $D$9, 100%, $F$9) + CHOOSE(CONTROL!$C$27, 0.0021, 0)</f>
        <v>95.893000000000001</v>
      </c>
      <c r="E573" s="14">
        <f>95.7543 * CHOOSE(CONTROL!$C$9, $D$9, 100%, $F$9) + CHOOSE(CONTROL!$C$27, 0.0021, 0)</f>
        <v>95.756399999999999</v>
      </c>
      <c r="F573" s="14">
        <f>95.7543 * CHOOSE(CONTROL!$C$9, $D$9, 100%, $F$9) + CHOOSE(CONTROL!$C$27, 0.0021, 0)</f>
        <v>95.756399999999999</v>
      </c>
      <c r="G573" s="14">
        <f>96.0256 * CHOOSE(CONTROL!$C$9, $D$9, 100%, $F$9) + CHOOSE(CONTROL!$C$27, 0.0021, 0)</f>
        <v>96.027699999999996</v>
      </c>
      <c r="H573" s="14">
        <f>95.8909 * CHOOSE(CONTROL!$C$9, $D$9, 100%, $F$9) + CHOOSE(CONTROL!$C$27, 0.0021, 0)</f>
        <v>95.893000000000001</v>
      </c>
      <c r="I573" s="14">
        <f>95.8909 * CHOOSE(CONTROL!$C$9, $D$9, 100%, $F$9) + CHOOSE(CONTROL!$C$27, 0.0021, 0)</f>
        <v>95.893000000000001</v>
      </c>
      <c r="J573" s="14">
        <f>95.8909 * CHOOSE(CONTROL!$C$9, $D$9, 100%, $F$9) + CHOOSE(CONTROL!$C$27, 0.0021, 0)</f>
        <v>95.893000000000001</v>
      </c>
      <c r="K573" s="14">
        <f>95.8909 * CHOOSE(CONTROL!$C$9, $D$9, 100%, $F$9) + CHOOSE(CONTROL!$C$27, 0.0021, 0)</f>
        <v>95.893000000000001</v>
      </c>
      <c r="L573" s="14"/>
    </row>
    <row r="574" spans="1:12" ht="15.75" x14ac:dyDescent="0.25">
      <c r="A574" s="32">
        <v>58409</v>
      </c>
      <c r="B574" s="14">
        <f>96.5404 * CHOOSE(CONTROL!$C$9, $D$9, 100%, $F$9) + CHOOSE(CONTROL!$C$27, 0.0021, 0)</f>
        <v>96.542500000000004</v>
      </c>
      <c r="C574" s="14">
        <f>96.1081 * CHOOSE(CONTROL!$C$9, $D$9, 100%, $F$9) + CHOOSE(CONTROL!$C$27, 0.0021, 0)</f>
        <v>96.110199999999992</v>
      </c>
      <c r="D574" s="14">
        <f>96.1081 * CHOOSE(CONTROL!$C$9, $D$9, 100%, $F$9) + CHOOSE(CONTROL!$C$27, 0.0021, 0)</f>
        <v>96.110199999999992</v>
      </c>
      <c r="E574" s="14">
        <f>95.9715 * CHOOSE(CONTROL!$C$9, $D$9, 100%, $F$9) + CHOOSE(CONTROL!$C$27, 0.0021, 0)</f>
        <v>95.973600000000005</v>
      </c>
      <c r="F574" s="14">
        <f>95.9715 * CHOOSE(CONTROL!$C$9, $D$9, 100%, $F$9) + CHOOSE(CONTROL!$C$27, 0.0021, 0)</f>
        <v>95.973600000000005</v>
      </c>
      <c r="G574" s="14">
        <f>96.2428 * CHOOSE(CONTROL!$C$9, $D$9, 100%, $F$9) + CHOOSE(CONTROL!$C$27, 0.0021, 0)</f>
        <v>96.244900000000001</v>
      </c>
      <c r="H574" s="14">
        <f>96.1081 * CHOOSE(CONTROL!$C$9, $D$9, 100%, $F$9) + CHOOSE(CONTROL!$C$27, 0.0021, 0)</f>
        <v>96.110199999999992</v>
      </c>
      <c r="I574" s="14">
        <f>96.1081 * CHOOSE(CONTROL!$C$9, $D$9, 100%, $F$9) + CHOOSE(CONTROL!$C$27, 0.0021, 0)</f>
        <v>96.110199999999992</v>
      </c>
      <c r="J574" s="14">
        <f>96.1081 * CHOOSE(CONTROL!$C$9, $D$9, 100%, $F$9) + CHOOSE(CONTROL!$C$27, 0.0021, 0)</f>
        <v>96.110199999999992</v>
      </c>
      <c r="K574" s="14">
        <f>96.1081 * CHOOSE(CONTROL!$C$9, $D$9, 100%, $F$9) + CHOOSE(CONTROL!$C$27, 0.0021, 0)</f>
        <v>96.110199999999992</v>
      </c>
      <c r="L574" s="14"/>
    </row>
    <row r="575" spans="1:12" ht="15.75" x14ac:dyDescent="0.25">
      <c r="A575" s="32">
        <v>58440</v>
      </c>
      <c r="B575" s="14">
        <f>94.6924 * CHOOSE(CONTROL!$C$9, $D$9, 100%, $F$9) + CHOOSE(CONTROL!$C$27, 0.0021, 0)</f>
        <v>94.694500000000005</v>
      </c>
      <c r="C575" s="14">
        <f>94.2601 * CHOOSE(CONTROL!$C$9, $D$9, 100%, $F$9) + CHOOSE(CONTROL!$C$27, 0.0021, 0)</f>
        <v>94.262199999999993</v>
      </c>
      <c r="D575" s="14">
        <f>94.2601 * CHOOSE(CONTROL!$C$9, $D$9, 100%, $F$9) + CHOOSE(CONTROL!$C$27, 0.0021, 0)</f>
        <v>94.262199999999993</v>
      </c>
      <c r="E575" s="14">
        <f>94.1235 * CHOOSE(CONTROL!$C$9, $D$9, 100%, $F$9) + CHOOSE(CONTROL!$C$27, 0.0021, 0)</f>
        <v>94.125600000000006</v>
      </c>
      <c r="F575" s="14">
        <f>94.1235 * CHOOSE(CONTROL!$C$9, $D$9, 100%, $F$9) + CHOOSE(CONTROL!$C$27, 0.0021, 0)</f>
        <v>94.125600000000006</v>
      </c>
      <c r="G575" s="14">
        <f>94.3949 * CHOOSE(CONTROL!$C$9, $D$9, 100%, $F$9) + CHOOSE(CONTROL!$C$27, 0.0021, 0)</f>
        <v>94.397000000000006</v>
      </c>
      <c r="H575" s="14">
        <f>94.2601 * CHOOSE(CONTROL!$C$9, $D$9, 100%, $F$9) + CHOOSE(CONTROL!$C$27, 0.0021, 0)</f>
        <v>94.262199999999993</v>
      </c>
      <c r="I575" s="14">
        <f>94.2601 * CHOOSE(CONTROL!$C$9, $D$9, 100%, $F$9) + CHOOSE(CONTROL!$C$27, 0.0021, 0)</f>
        <v>94.262199999999993</v>
      </c>
      <c r="J575" s="14">
        <f>94.2601 * CHOOSE(CONTROL!$C$9, $D$9, 100%, $F$9) + CHOOSE(CONTROL!$C$27, 0.0021, 0)</f>
        <v>94.262199999999993</v>
      </c>
      <c r="K575" s="14">
        <f>94.2601 * CHOOSE(CONTROL!$C$9, $D$9, 100%, $F$9) + CHOOSE(CONTROL!$C$27, 0.0021, 0)</f>
        <v>94.262199999999993</v>
      </c>
      <c r="L575" s="14"/>
    </row>
    <row r="576" spans="1:12" ht="15.75" x14ac:dyDescent="0.25">
      <c r="A576" s="32">
        <v>58471</v>
      </c>
      <c r="B576" s="14">
        <f>93.5244 * CHOOSE(CONTROL!$C$9, $D$9, 100%, $F$9) + CHOOSE(CONTROL!$C$27, 0.0021, 0)</f>
        <v>93.526499999999999</v>
      </c>
      <c r="C576" s="14">
        <f>93.0921 * CHOOSE(CONTROL!$C$9, $D$9, 100%, $F$9) + CHOOSE(CONTROL!$C$27, 0.0021, 0)</f>
        <v>93.094200000000001</v>
      </c>
      <c r="D576" s="14">
        <f>93.0921 * CHOOSE(CONTROL!$C$9, $D$9, 100%, $F$9) + CHOOSE(CONTROL!$C$27, 0.0021, 0)</f>
        <v>93.094200000000001</v>
      </c>
      <c r="E576" s="14">
        <f>92.9555 * CHOOSE(CONTROL!$C$9, $D$9, 100%, $F$9) + CHOOSE(CONTROL!$C$27, 0.0021, 0)</f>
        <v>92.957599999999999</v>
      </c>
      <c r="F576" s="14">
        <f>92.9555 * CHOOSE(CONTROL!$C$9, $D$9, 100%, $F$9) + CHOOSE(CONTROL!$C$27, 0.0021, 0)</f>
        <v>92.957599999999999</v>
      </c>
      <c r="G576" s="14">
        <f>93.2268 * CHOOSE(CONTROL!$C$9, $D$9, 100%, $F$9) + CHOOSE(CONTROL!$C$27, 0.0021, 0)</f>
        <v>93.228899999999996</v>
      </c>
      <c r="H576" s="14">
        <f>93.0921 * CHOOSE(CONTROL!$C$9, $D$9, 100%, $F$9) + CHOOSE(CONTROL!$C$27, 0.0021, 0)</f>
        <v>93.094200000000001</v>
      </c>
      <c r="I576" s="14">
        <f>93.0921 * CHOOSE(CONTROL!$C$9, $D$9, 100%, $F$9) + CHOOSE(CONTROL!$C$27, 0.0021, 0)</f>
        <v>93.094200000000001</v>
      </c>
      <c r="J576" s="14">
        <f>93.0921 * CHOOSE(CONTROL!$C$9, $D$9, 100%, $F$9) + CHOOSE(CONTROL!$C$27, 0.0021, 0)</f>
        <v>93.094200000000001</v>
      </c>
      <c r="K576" s="14">
        <f>93.0921 * CHOOSE(CONTROL!$C$9, $D$9, 100%, $F$9) + CHOOSE(CONTROL!$C$27, 0.0021, 0)</f>
        <v>93.094200000000001</v>
      </c>
      <c r="L576" s="14"/>
    </row>
    <row r="577" spans="1:12" ht="15.75" x14ac:dyDescent="0.25">
      <c r="A577" s="32">
        <v>58499</v>
      </c>
      <c r="B577" s="14">
        <f>90.9438 * CHOOSE(CONTROL!$C$9, $D$9, 100%, $F$9) + CHOOSE(CONTROL!$C$27, 0.0021, 0)</f>
        <v>90.945899999999995</v>
      </c>
      <c r="C577" s="14">
        <f>90.5116 * CHOOSE(CONTROL!$C$9, $D$9, 100%, $F$9) + CHOOSE(CONTROL!$C$27, 0.0021, 0)</f>
        <v>90.5137</v>
      </c>
      <c r="D577" s="14">
        <f>90.5116 * CHOOSE(CONTROL!$C$9, $D$9, 100%, $F$9) + CHOOSE(CONTROL!$C$27, 0.0021, 0)</f>
        <v>90.5137</v>
      </c>
      <c r="E577" s="14">
        <f>90.3749 * CHOOSE(CONTROL!$C$9, $D$9, 100%, $F$9) + CHOOSE(CONTROL!$C$27, 0.0021, 0)</f>
        <v>90.376999999999995</v>
      </c>
      <c r="F577" s="14">
        <f>90.3749 * CHOOSE(CONTROL!$C$9, $D$9, 100%, $F$9) + CHOOSE(CONTROL!$C$27, 0.0021, 0)</f>
        <v>90.376999999999995</v>
      </c>
      <c r="G577" s="14">
        <f>90.6463 * CHOOSE(CONTROL!$C$9, $D$9, 100%, $F$9) + CHOOSE(CONTROL!$C$27, 0.0021, 0)</f>
        <v>90.648399999999995</v>
      </c>
      <c r="H577" s="14">
        <f>90.5116 * CHOOSE(CONTROL!$C$9, $D$9, 100%, $F$9) + CHOOSE(CONTROL!$C$27, 0.0021, 0)</f>
        <v>90.5137</v>
      </c>
      <c r="I577" s="14">
        <f>90.5116 * CHOOSE(CONTROL!$C$9, $D$9, 100%, $F$9) + CHOOSE(CONTROL!$C$27, 0.0021, 0)</f>
        <v>90.5137</v>
      </c>
      <c r="J577" s="14">
        <f>90.5116 * CHOOSE(CONTROL!$C$9, $D$9, 100%, $F$9) + CHOOSE(CONTROL!$C$27, 0.0021, 0)</f>
        <v>90.5137</v>
      </c>
      <c r="K577" s="14">
        <f>90.5116 * CHOOSE(CONTROL!$C$9, $D$9, 100%, $F$9) + CHOOSE(CONTROL!$C$27, 0.0021, 0)</f>
        <v>90.5137</v>
      </c>
      <c r="L577" s="14"/>
    </row>
    <row r="578" spans="1:12" ht="15.75" x14ac:dyDescent="0.25">
      <c r="A578" s="32">
        <v>58531</v>
      </c>
      <c r="B578" s="14">
        <f>89.8786 * CHOOSE(CONTROL!$C$9, $D$9, 100%, $F$9) + CHOOSE(CONTROL!$C$27, 0.0021, 0)</f>
        <v>89.880700000000004</v>
      </c>
      <c r="C578" s="14">
        <f>89.4464 * CHOOSE(CONTROL!$C$9, $D$9, 100%, $F$9) + CHOOSE(CONTROL!$C$27, 0.0021, 0)</f>
        <v>89.448499999999996</v>
      </c>
      <c r="D578" s="14">
        <f>89.4464 * CHOOSE(CONTROL!$C$9, $D$9, 100%, $F$9) + CHOOSE(CONTROL!$C$27, 0.0021, 0)</f>
        <v>89.448499999999996</v>
      </c>
      <c r="E578" s="14">
        <f>89.3097 * CHOOSE(CONTROL!$C$9, $D$9, 100%, $F$9) + CHOOSE(CONTROL!$C$27, 0.0021, 0)</f>
        <v>89.311800000000005</v>
      </c>
      <c r="F578" s="14">
        <f>89.3097 * CHOOSE(CONTROL!$C$9, $D$9, 100%, $F$9) + CHOOSE(CONTROL!$C$27, 0.0021, 0)</f>
        <v>89.311800000000005</v>
      </c>
      <c r="G578" s="14">
        <f>89.5811 * CHOOSE(CONTROL!$C$9, $D$9, 100%, $F$9) + CHOOSE(CONTROL!$C$27, 0.0021, 0)</f>
        <v>89.583200000000005</v>
      </c>
      <c r="H578" s="14">
        <f>89.4464 * CHOOSE(CONTROL!$C$9, $D$9, 100%, $F$9) + CHOOSE(CONTROL!$C$27, 0.0021, 0)</f>
        <v>89.448499999999996</v>
      </c>
      <c r="I578" s="14">
        <f>89.4464 * CHOOSE(CONTROL!$C$9, $D$9, 100%, $F$9) + CHOOSE(CONTROL!$C$27, 0.0021, 0)</f>
        <v>89.448499999999996</v>
      </c>
      <c r="J578" s="14">
        <f>89.4464 * CHOOSE(CONTROL!$C$9, $D$9, 100%, $F$9) + CHOOSE(CONTROL!$C$27, 0.0021, 0)</f>
        <v>89.448499999999996</v>
      </c>
      <c r="K578" s="14">
        <f>89.4464 * CHOOSE(CONTROL!$C$9, $D$9, 100%, $F$9) + CHOOSE(CONTROL!$C$27, 0.0021, 0)</f>
        <v>89.448499999999996</v>
      </c>
      <c r="L578" s="14"/>
    </row>
    <row r="579" spans="1:12" ht="15.75" x14ac:dyDescent="0.25">
      <c r="A579" s="32">
        <v>58561</v>
      </c>
      <c r="B579" s="14">
        <f>88.6067 * CHOOSE(CONTROL!$C$9, $D$9, 100%, $F$9) + CHOOSE(CONTROL!$C$27, 0.0021, 0)</f>
        <v>88.608800000000002</v>
      </c>
      <c r="C579" s="14">
        <f>88.1744 * CHOOSE(CONTROL!$C$9, $D$9, 100%, $F$9) + CHOOSE(CONTROL!$C$27, 0.0021, 0)</f>
        <v>88.176500000000004</v>
      </c>
      <c r="D579" s="14">
        <f>88.1744 * CHOOSE(CONTROL!$C$9, $D$9, 100%, $F$9) + CHOOSE(CONTROL!$C$27, 0.0021, 0)</f>
        <v>88.176500000000004</v>
      </c>
      <c r="E579" s="14">
        <f>88.0378 * CHOOSE(CONTROL!$C$9, $D$9, 100%, $F$9) + CHOOSE(CONTROL!$C$27, 0.0021, 0)</f>
        <v>88.039900000000003</v>
      </c>
      <c r="F579" s="14">
        <f>88.0378 * CHOOSE(CONTROL!$C$9, $D$9, 100%, $F$9) + CHOOSE(CONTROL!$C$27, 0.0021, 0)</f>
        <v>88.039900000000003</v>
      </c>
      <c r="G579" s="14">
        <f>88.3091 * CHOOSE(CONTROL!$C$9, $D$9, 100%, $F$9) + CHOOSE(CONTROL!$C$27, 0.0021, 0)</f>
        <v>88.311199999999999</v>
      </c>
      <c r="H579" s="14">
        <f>88.1744 * CHOOSE(CONTROL!$C$9, $D$9, 100%, $F$9) + CHOOSE(CONTROL!$C$27, 0.0021, 0)</f>
        <v>88.176500000000004</v>
      </c>
      <c r="I579" s="14">
        <f>88.1744 * CHOOSE(CONTROL!$C$9, $D$9, 100%, $F$9) + CHOOSE(CONTROL!$C$27, 0.0021, 0)</f>
        <v>88.176500000000004</v>
      </c>
      <c r="J579" s="14">
        <f>88.1744 * CHOOSE(CONTROL!$C$9, $D$9, 100%, $F$9) + CHOOSE(CONTROL!$C$27, 0.0021, 0)</f>
        <v>88.176500000000004</v>
      </c>
      <c r="K579" s="14">
        <f>88.1744 * CHOOSE(CONTROL!$C$9, $D$9, 100%, $F$9) + CHOOSE(CONTROL!$C$27, 0.0021, 0)</f>
        <v>88.176500000000004</v>
      </c>
      <c r="L579" s="14"/>
    </row>
    <row r="580" spans="1:12" ht="15.75" x14ac:dyDescent="0.25">
      <c r="A580" s="32">
        <v>58592</v>
      </c>
      <c r="B580" s="14">
        <f>90.4193 * CHOOSE(CONTROL!$C$9, $D$9, 100%, $F$9) + CHOOSE(CONTROL!$C$27, 0.0021, 0)</f>
        <v>90.421400000000006</v>
      </c>
      <c r="C580" s="14">
        <f>89.9871 * CHOOSE(CONTROL!$C$9, $D$9, 100%, $F$9) + CHOOSE(CONTROL!$C$27, 0.0021, 0)</f>
        <v>89.989199999999997</v>
      </c>
      <c r="D580" s="14">
        <f>89.9871 * CHOOSE(CONTROL!$C$9, $D$9, 100%, $F$9) + CHOOSE(CONTROL!$C$27, 0.0021, 0)</f>
        <v>89.989199999999997</v>
      </c>
      <c r="E580" s="14">
        <f>89.8504 * CHOOSE(CONTROL!$C$9, $D$9, 100%, $F$9) + CHOOSE(CONTROL!$C$27, 0.0021, 0)</f>
        <v>89.852499999999992</v>
      </c>
      <c r="F580" s="14">
        <f>89.8504 * CHOOSE(CONTROL!$C$9, $D$9, 100%, $F$9) + CHOOSE(CONTROL!$C$27, 0.0021, 0)</f>
        <v>89.852499999999992</v>
      </c>
      <c r="G580" s="14">
        <f>90.1218 * CHOOSE(CONTROL!$C$9, $D$9, 100%, $F$9) + CHOOSE(CONTROL!$C$27, 0.0021, 0)</f>
        <v>90.123899999999992</v>
      </c>
      <c r="H580" s="14">
        <f>89.9871 * CHOOSE(CONTROL!$C$9, $D$9, 100%, $F$9) + CHOOSE(CONTROL!$C$27, 0.0021, 0)</f>
        <v>89.989199999999997</v>
      </c>
      <c r="I580" s="14">
        <f>89.9871 * CHOOSE(CONTROL!$C$9, $D$9, 100%, $F$9) + CHOOSE(CONTROL!$C$27, 0.0021, 0)</f>
        <v>89.989199999999997</v>
      </c>
      <c r="J580" s="14">
        <f>89.9871 * CHOOSE(CONTROL!$C$9, $D$9, 100%, $F$9) + CHOOSE(CONTROL!$C$27, 0.0021, 0)</f>
        <v>89.989199999999997</v>
      </c>
      <c r="K580" s="14">
        <f>89.9871 * CHOOSE(CONTROL!$C$9, $D$9, 100%, $F$9) + CHOOSE(CONTROL!$C$27, 0.0021, 0)</f>
        <v>89.989199999999997</v>
      </c>
      <c r="L580" s="14"/>
    </row>
    <row r="581" spans="1:12" ht="15.75" x14ac:dyDescent="0.25">
      <c r="A581" s="32">
        <v>58622</v>
      </c>
      <c r="B581" s="14">
        <f>91.505 * CHOOSE(CONTROL!$C$9, $D$9, 100%, $F$9) + CHOOSE(CONTROL!$C$27, 0.0021, 0)</f>
        <v>91.507099999999994</v>
      </c>
      <c r="C581" s="14">
        <f>91.0728 * CHOOSE(CONTROL!$C$9, $D$9, 100%, $F$9) + CHOOSE(CONTROL!$C$27, 0.0021, 0)</f>
        <v>91.0749</v>
      </c>
      <c r="D581" s="14">
        <f>91.0728 * CHOOSE(CONTROL!$C$9, $D$9, 100%, $F$9) + CHOOSE(CONTROL!$C$27, 0.0021, 0)</f>
        <v>91.0749</v>
      </c>
      <c r="E581" s="14">
        <f>90.9361 * CHOOSE(CONTROL!$C$9, $D$9, 100%, $F$9) + CHOOSE(CONTROL!$C$27, 0.0021, 0)</f>
        <v>90.938199999999995</v>
      </c>
      <c r="F581" s="14">
        <f>90.9361 * CHOOSE(CONTROL!$C$9, $D$9, 100%, $F$9) + CHOOSE(CONTROL!$C$27, 0.0021, 0)</f>
        <v>90.938199999999995</v>
      </c>
      <c r="G581" s="14">
        <f>91.2075 * CHOOSE(CONTROL!$C$9, $D$9, 100%, $F$9) + CHOOSE(CONTROL!$C$27, 0.0021, 0)</f>
        <v>91.209599999999995</v>
      </c>
      <c r="H581" s="14">
        <f>91.0728 * CHOOSE(CONTROL!$C$9, $D$9, 100%, $F$9) + CHOOSE(CONTROL!$C$27, 0.0021, 0)</f>
        <v>91.0749</v>
      </c>
      <c r="I581" s="14">
        <f>91.0728 * CHOOSE(CONTROL!$C$9, $D$9, 100%, $F$9) + CHOOSE(CONTROL!$C$27, 0.0021, 0)</f>
        <v>91.0749</v>
      </c>
      <c r="J581" s="14">
        <f>91.0728 * CHOOSE(CONTROL!$C$9, $D$9, 100%, $F$9) + CHOOSE(CONTROL!$C$27, 0.0021, 0)</f>
        <v>91.0749</v>
      </c>
      <c r="K581" s="14">
        <f>91.0728 * CHOOSE(CONTROL!$C$9, $D$9, 100%, $F$9) + CHOOSE(CONTROL!$C$27, 0.0021, 0)</f>
        <v>91.0749</v>
      </c>
      <c r="L581" s="14"/>
    </row>
    <row r="582" spans="1:12" ht="15.75" x14ac:dyDescent="0.25">
      <c r="A582" s="32">
        <v>58653</v>
      </c>
      <c r="B582" s="14">
        <f>93.296 * CHOOSE(CONTROL!$C$9, $D$9, 100%, $F$9) + CHOOSE(CONTROL!$C$27, 0.0021, 0)</f>
        <v>93.298100000000005</v>
      </c>
      <c r="C582" s="14">
        <f>92.8638 * CHOOSE(CONTROL!$C$9, $D$9, 100%, $F$9) + CHOOSE(CONTROL!$C$27, 0.0021, 0)</f>
        <v>92.865899999999996</v>
      </c>
      <c r="D582" s="14">
        <f>92.8638 * CHOOSE(CONTROL!$C$9, $D$9, 100%, $F$9) + CHOOSE(CONTROL!$C$27, 0.0021, 0)</f>
        <v>92.865899999999996</v>
      </c>
      <c r="E582" s="14">
        <f>92.7271 * CHOOSE(CONTROL!$C$9, $D$9, 100%, $F$9) + CHOOSE(CONTROL!$C$27, 0.0021, 0)</f>
        <v>92.729199999999992</v>
      </c>
      <c r="F582" s="14">
        <f>92.7271 * CHOOSE(CONTROL!$C$9, $D$9, 100%, $F$9) + CHOOSE(CONTROL!$C$27, 0.0021, 0)</f>
        <v>92.729199999999992</v>
      </c>
      <c r="G582" s="14">
        <f>92.9985 * CHOOSE(CONTROL!$C$9, $D$9, 100%, $F$9) + CHOOSE(CONTROL!$C$27, 0.0021, 0)</f>
        <v>93.000600000000006</v>
      </c>
      <c r="H582" s="14">
        <f>92.8638 * CHOOSE(CONTROL!$C$9, $D$9, 100%, $F$9) + CHOOSE(CONTROL!$C$27, 0.0021, 0)</f>
        <v>92.865899999999996</v>
      </c>
      <c r="I582" s="14">
        <f>92.8638 * CHOOSE(CONTROL!$C$9, $D$9, 100%, $F$9) + CHOOSE(CONTROL!$C$27, 0.0021, 0)</f>
        <v>92.865899999999996</v>
      </c>
      <c r="J582" s="14">
        <f>92.8638 * CHOOSE(CONTROL!$C$9, $D$9, 100%, $F$9) + CHOOSE(CONTROL!$C$27, 0.0021, 0)</f>
        <v>92.865899999999996</v>
      </c>
      <c r="K582" s="14">
        <f>92.8638 * CHOOSE(CONTROL!$C$9, $D$9, 100%, $F$9) + CHOOSE(CONTROL!$C$27, 0.0021, 0)</f>
        <v>92.865899999999996</v>
      </c>
      <c r="L582" s="14"/>
    </row>
    <row r="583" spans="1:12" ht="15.75" x14ac:dyDescent="0.25">
      <c r="A583" s="32">
        <v>58684</v>
      </c>
      <c r="B583" s="14">
        <f>93.8427 * CHOOSE(CONTROL!$C$9, $D$9, 100%, $F$9) + CHOOSE(CONTROL!$C$27, 0.0021, 0)</f>
        <v>93.844799999999992</v>
      </c>
      <c r="C583" s="14">
        <f>93.4104 * CHOOSE(CONTROL!$C$9, $D$9, 100%, $F$9) + CHOOSE(CONTROL!$C$27, 0.0021, 0)</f>
        <v>93.412499999999994</v>
      </c>
      <c r="D583" s="14">
        <f>93.4104 * CHOOSE(CONTROL!$C$9, $D$9, 100%, $F$9) + CHOOSE(CONTROL!$C$27, 0.0021, 0)</f>
        <v>93.412499999999994</v>
      </c>
      <c r="E583" s="14">
        <f>93.2738 * CHOOSE(CONTROL!$C$9, $D$9, 100%, $F$9) + CHOOSE(CONTROL!$C$27, 0.0021, 0)</f>
        <v>93.275899999999993</v>
      </c>
      <c r="F583" s="14">
        <f>93.2738 * CHOOSE(CONTROL!$C$9, $D$9, 100%, $F$9) + CHOOSE(CONTROL!$C$27, 0.0021, 0)</f>
        <v>93.275899999999993</v>
      </c>
      <c r="G583" s="14">
        <f>93.5452 * CHOOSE(CONTROL!$C$9, $D$9, 100%, $F$9) + CHOOSE(CONTROL!$C$27, 0.0021, 0)</f>
        <v>93.547299999999993</v>
      </c>
      <c r="H583" s="14">
        <f>93.4104 * CHOOSE(CONTROL!$C$9, $D$9, 100%, $F$9) + CHOOSE(CONTROL!$C$27, 0.0021, 0)</f>
        <v>93.412499999999994</v>
      </c>
      <c r="I583" s="14">
        <f>93.4104 * CHOOSE(CONTROL!$C$9, $D$9, 100%, $F$9) + CHOOSE(CONTROL!$C$27, 0.0021, 0)</f>
        <v>93.412499999999994</v>
      </c>
      <c r="J583" s="14">
        <f>93.4104 * CHOOSE(CONTROL!$C$9, $D$9, 100%, $F$9) + CHOOSE(CONTROL!$C$27, 0.0021, 0)</f>
        <v>93.412499999999994</v>
      </c>
      <c r="K583" s="14">
        <f>93.4104 * CHOOSE(CONTROL!$C$9, $D$9, 100%, $F$9) + CHOOSE(CONTROL!$C$27, 0.0021, 0)</f>
        <v>93.412499999999994</v>
      </c>
      <c r="L583" s="14"/>
    </row>
    <row r="584" spans="1:12" ht="15.75" x14ac:dyDescent="0.25">
      <c r="A584" s="32">
        <v>58714</v>
      </c>
      <c r="B584" s="14">
        <f>95.7044 * CHOOSE(CONTROL!$C$9, $D$9, 100%, $F$9) + CHOOSE(CONTROL!$C$27, 0.0021, 0)</f>
        <v>95.706500000000005</v>
      </c>
      <c r="C584" s="14">
        <f>95.2721 * CHOOSE(CONTROL!$C$9, $D$9, 100%, $F$9) + CHOOSE(CONTROL!$C$27, 0.0021, 0)</f>
        <v>95.274199999999993</v>
      </c>
      <c r="D584" s="14">
        <f>95.2721 * CHOOSE(CONTROL!$C$9, $D$9, 100%, $F$9) + CHOOSE(CONTROL!$C$27, 0.0021, 0)</f>
        <v>95.274199999999993</v>
      </c>
      <c r="E584" s="14">
        <f>95.1355 * CHOOSE(CONTROL!$C$9, $D$9, 100%, $F$9) + CHOOSE(CONTROL!$C$27, 0.0021, 0)</f>
        <v>95.137599999999992</v>
      </c>
      <c r="F584" s="14">
        <f>95.1355 * CHOOSE(CONTROL!$C$9, $D$9, 100%, $F$9) + CHOOSE(CONTROL!$C$27, 0.0021, 0)</f>
        <v>95.137599999999992</v>
      </c>
      <c r="G584" s="14">
        <f>95.4068 * CHOOSE(CONTROL!$C$9, $D$9, 100%, $F$9) + CHOOSE(CONTROL!$C$27, 0.0021, 0)</f>
        <v>95.408900000000003</v>
      </c>
      <c r="H584" s="14">
        <f>95.2721 * CHOOSE(CONTROL!$C$9, $D$9, 100%, $F$9) + CHOOSE(CONTROL!$C$27, 0.0021, 0)</f>
        <v>95.274199999999993</v>
      </c>
      <c r="I584" s="14">
        <f>95.2721 * CHOOSE(CONTROL!$C$9, $D$9, 100%, $F$9) + CHOOSE(CONTROL!$C$27, 0.0021, 0)</f>
        <v>95.274199999999993</v>
      </c>
      <c r="J584" s="14">
        <f>95.2721 * CHOOSE(CONTROL!$C$9, $D$9, 100%, $F$9) + CHOOSE(CONTROL!$C$27, 0.0021, 0)</f>
        <v>95.274199999999993</v>
      </c>
      <c r="K584" s="14">
        <f>95.2721 * CHOOSE(CONTROL!$C$9, $D$9, 100%, $F$9) + CHOOSE(CONTROL!$C$27, 0.0021, 0)</f>
        <v>95.274199999999993</v>
      </c>
      <c r="L584" s="14"/>
    </row>
    <row r="585" spans="1:12" ht="15.75" x14ac:dyDescent="0.25">
      <c r="A585" s="32">
        <v>58745</v>
      </c>
      <c r="B585" s="14">
        <f>98.0609 * CHOOSE(CONTROL!$C$9, $D$9, 100%, $F$9) + CHOOSE(CONTROL!$C$27, 0.0021, 0)</f>
        <v>98.063000000000002</v>
      </c>
      <c r="C585" s="14">
        <f>97.6287 * CHOOSE(CONTROL!$C$9, $D$9, 100%, $F$9) + CHOOSE(CONTROL!$C$27, 0.0021, 0)</f>
        <v>97.630799999999994</v>
      </c>
      <c r="D585" s="14">
        <f>97.6287 * CHOOSE(CONTROL!$C$9, $D$9, 100%, $F$9) + CHOOSE(CONTROL!$C$27, 0.0021, 0)</f>
        <v>97.630799999999994</v>
      </c>
      <c r="E585" s="14">
        <f>97.492 * CHOOSE(CONTROL!$C$9, $D$9, 100%, $F$9) + CHOOSE(CONTROL!$C$27, 0.0021, 0)</f>
        <v>97.494100000000003</v>
      </c>
      <c r="F585" s="14">
        <f>97.492 * CHOOSE(CONTROL!$C$9, $D$9, 100%, $F$9) + CHOOSE(CONTROL!$C$27, 0.0021, 0)</f>
        <v>97.494100000000003</v>
      </c>
      <c r="G585" s="14">
        <f>97.7634 * CHOOSE(CONTROL!$C$9, $D$9, 100%, $F$9) + CHOOSE(CONTROL!$C$27, 0.0021, 0)</f>
        <v>97.765500000000003</v>
      </c>
      <c r="H585" s="14">
        <f>97.6287 * CHOOSE(CONTROL!$C$9, $D$9, 100%, $F$9) + CHOOSE(CONTROL!$C$27, 0.0021, 0)</f>
        <v>97.630799999999994</v>
      </c>
      <c r="I585" s="14">
        <f>97.6287 * CHOOSE(CONTROL!$C$9, $D$9, 100%, $F$9) + CHOOSE(CONTROL!$C$27, 0.0021, 0)</f>
        <v>97.630799999999994</v>
      </c>
      <c r="J585" s="14">
        <f>97.6287 * CHOOSE(CONTROL!$C$9, $D$9, 100%, $F$9) + CHOOSE(CONTROL!$C$27, 0.0021, 0)</f>
        <v>97.630799999999994</v>
      </c>
      <c r="K585" s="14">
        <f>97.6287 * CHOOSE(CONTROL!$C$9, $D$9, 100%, $F$9) + CHOOSE(CONTROL!$C$27, 0.0021, 0)</f>
        <v>97.630799999999994</v>
      </c>
      <c r="L585" s="14"/>
    </row>
    <row r="586" spans="1:12" ht="15.75" x14ac:dyDescent="0.25">
      <c r="A586" s="32">
        <v>58775</v>
      </c>
      <c r="B586" s="14">
        <f>98.2821 * CHOOSE(CONTROL!$C$9, $D$9, 100%, $F$9) + CHOOSE(CONTROL!$C$27, 0.0021, 0)</f>
        <v>98.284199999999998</v>
      </c>
      <c r="C586" s="14">
        <f>97.8499 * CHOOSE(CONTROL!$C$9, $D$9, 100%, $F$9) + CHOOSE(CONTROL!$C$27, 0.0021, 0)</f>
        <v>97.852000000000004</v>
      </c>
      <c r="D586" s="14">
        <f>97.8499 * CHOOSE(CONTROL!$C$9, $D$9, 100%, $F$9) + CHOOSE(CONTROL!$C$27, 0.0021, 0)</f>
        <v>97.852000000000004</v>
      </c>
      <c r="E586" s="14">
        <f>97.7132 * CHOOSE(CONTROL!$C$9, $D$9, 100%, $F$9) + CHOOSE(CONTROL!$C$27, 0.0021, 0)</f>
        <v>97.715299999999999</v>
      </c>
      <c r="F586" s="14">
        <f>97.7132 * CHOOSE(CONTROL!$C$9, $D$9, 100%, $F$9) + CHOOSE(CONTROL!$C$27, 0.0021, 0)</f>
        <v>97.715299999999999</v>
      </c>
      <c r="G586" s="14">
        <f>97.9846 * CHOOSE(CONTROL!$C$9, $D$9, 100%, $F$9) + CHOOSE(CONTROL!$C$27, 0.0021, 0)</f>
        <v>97.986699999999999</v>
      </c>
      <c r="H586" s="14">
        <f>97.8499 * CHOOSE(CONTROL!$C$9, $D$9, 100%, $F$9) + CHOOSE(CONTROL!$C$27, 0.0021, 0)</f>
        <v>97.852000000000004</v>
      </c>
      <c r="I586" s="14">
        <f>97.8499 * CHOOSE(CONTROL!$C$9, $D$9, 100%, $F$9) + CHOOSE(CONTROL!$C$27, 0.0021, 0)</f>
        <v>97.852000000000004</v>
      </c>
      <c r="J586" s="14">
        <f>97.8499 * CHOOSE(CONTROL!$C$9, $D$9, 100%, $F$9) + CHOOSE(CONTROL!$C$27, 0.0021, 0)</f>
        <v>97.852000000000004</v>
      </c>
      <c r="K586" s="14">
        <f>97.8499 * CHOOSE(CONTROL!$C$9, $D$9, 100%, $F$9) + CHOOSE(CONTROL!$C$27, 0.0021, 0)</f>
        <v>97.852000000000004</v>
      </c>
      <c r="L586" s="14"/>
    </row>
    <row r="587" spans="1:12" ht="15.75" x14ac:dyDescent="0.25">
      <c r="A587" s="32">
        <v>58806</v>
      </c>
      <c r="B587" s="14">
        <f>96.4 * CHOOSE(CONTROL!$C$9, $D$9, 100%, $F$9) + CHOOSE(CONTROL!$C$27, 0.0021, 0)</f>
        <v>96.402100000000004</v>
      </c>
      <c r="C587" s="14">
        <f>95.9678 * CHOOSE(CONTROL!$C$9, $D$9, 100%, $F$9) + CHOOSE(CONTROL!$C$27, 0.0021, 0)</f>
        <v>95.969899999999996</v>
      </c>
      <c r="D587" s="14">
        <f>95.9678 * CHOOSE(CONTROL!$C$9, $D$9, 100%, $F$9) + CHOOSE(CONTROL!$C$27, 0.0021, 0)</f>
        <v>95.969899999999996</v>
      </c>
      <c r="E587" s="14">
        <f>95.8311 * CHOOSE(CONTROL!$C$9, $D$9, 100%, $F$9) + CHOOSE(CONTROL!$C$27, 0.0021, 0)</f>
        <v>95.833200000000005</v>
      </c>
      <c r="F587" s="14">
        <f>95.8311 * CHOOSE(CONTROL!$C$9, $D$9, 100%, $F$9) + CHOOSE(CONTROL!$C$27, 0.0021, 0)</f>
        <v>95.833200000000005</v>
      </c>
      <c r="G587" s="14">
        <f>96.1025 * CHOOSE(CONTROL!$C$9, $D$9, 100%, $F$9) + CHOOSE(CONTROL!$C$27, 0.0021, 0)</f>
        <v>96.104600000000005</v>
      </c>
      <c r="H587" s="14">
        <f>95.9678 * CHOOSE(CONTROL!$C$9, $D$9, 100%, $F$9) + CHOOSE(CONTROL!$C$27, 0.0021, 0)</f>
        <v>95.969899999999996</v>
      </c>
      <c r="I587" s="14">
        <f>95.9678 * CHOOSE(CONTROL!$C$9, $D$9, 100%, $F$9) + CHOOSE(CONTROL!$C$27, 0.0021, 0)</f>
        <v>95.969899999999996</v>
      </c>
      <c r="J587" s="14">
        <f>95.9678 * CHOOSE(CONTROL!$C$9, $D$9, 100%, $F$9) + CHOOSE(CONTROL!$C$27, 0.0021, 0)</f>
        <v>95.969899999999996</v>
      </c>
      <c r="K587" s="14">
        <f>95.9678 * CHOOSE(CONTROL!$C$9, $D$9, 100%, $F$9) + CHOOSE(CONTROL!$C$27, 0.0021, 0)</f>
        <v>95.969899999999996</v>
      </c>
      <c r="L587" s="14"/>
    </row>
    <row r="588" spans="1:12" ht="15.75" x14ac:dyDescent="0.25">
      <c r="A588" s="32">
        <v>58837</v>
      </c>
      <c r="B588" s="14">
        <f>95.2104 * CHOOSE(CONTROL!$C$9, $D$9, 100%, $F$9) + CHOOSE(CONTROL!$C$27, 0.0021, 0)</f>
        <v>95.212500000000006</v>
      </c>
      <c r="C588" s="14">
        <f>94.7782 * CHOOSE(CONTROL!$C$9, $D$9, 100%, $F$9) + CHOOSE(CONTROL!$C$27, 0.0021, 0)</f>
        <v>94.780299999999997</v>
      </c>
      <c r="D588" s="14">
        <f>94.7782 * CHOOSE(CONTROL!$C$9, $D$9, 100%, $F$9) + CHOOSE(CONTROL!$C$27, 0.0021, 0)</f>
        <v>94.780299999999997</v>
      </c>
      <c r="E588" s="14">
        <f>94.6415 * CHOOSE(CONTROL!$C$9, $D$9, 100%, $F$9) + CHOOSE(CONTROL!$C$27, 0.0021, 0)</f>
        <v>94.643599999999992</v>
      </c>
      <c r="F588" s="14">
        <f>94.6415 * CHOOSE(CONTROL!$C$9, $D$9, 100%, $F$9) + CHOOSE(CONTROL!$C$27, 0.0021, 0)</f>
        <v>94.643599999999992</v>
      </c>
      <c r="G588" s="14">
        <f>94.9129 * CHOOSE(CONTROL!$C$9, $D$9, 100%, $F$9) + CHOOSE(CONTROL!$C$27, 0.0021, 0)</f>
        <v>94.914999999999992</v>
      </c>
      <c r="H588" s="14">
        <f>94.7782 * CHOOSE(CONTROL!$C$9, $D$9, 100%, $F$9) + CHOOSE(CONTROL!$C$27, 0.0021, 0)</f>
        <v>94.780299999999997</v>
      </c>
      <c r="I588" s="14">
        <f>94.7782 * CHOOSE(CONTROL!$C$9, $D$9, 100%, $F$9) + CHOOSE(CONTROL!$C$27, 0.0021, 0)</f>
        <v>94.780299999999997</v>
      </c>
      <c r="J588" s="14">
        <f>94.7782 * CHOOSE(CONTROL!$C$9, $D$9, 100%, $F$9) + CHOOSE(CONTROL!$C$27, 0.0021, 0)</f>
        <v>94.780299999999997</v>
      </c>
      <c r="K588" s="14">
        <f>94.7782 * CHOOSE(CONTROL!$C$9, $D$9, 100%, $F$9) + CHOOSE(CONTROL!$C$27, 0.0021, 0)</f>
        <v>94.780299999999997</v>
      </c>
      <c r="L588" s="14"/>
    </row>
    <row r="589" spans="1:12" ht="15.75" x14ac:dyDescent="0.25">
      <c r="A589" s="32">
        <v>58865</v>
      </c>
      <c r="B589" s="14">
        <f>92.5822 * CHOOSE(CONTROL!$C$9, $D$9, 100%, $F$9) + CHOOSE(CONTROL!$C$27, 0.0021, 0)</f>
        <v>92.584299999999999</v>
      </c>
      <c r="C589" s="14">
        <f>92.1499 * CHOOSE(CONTROL!$C$9, $D$9, 100%, $F$9) + CHOOSE(CONTROL!$C$27, 0.0021, 0)</f>
        <v>92.152000000000001</v>
      </c>
      <c r="D589" s="14">
        <f>92.1499 * CHOOSE(CONTROL!$C$9, $D$9, 100%, $F$9) + CHOOSE(CONTROL!$C$27, 0.0021, 0)</f>
        <v>92.152000000000001</v>
      </c>
      <c r="E589" s="14">
        <f>92.0133 * CHOOSE(CONTROL!$C$9, $D$9, 100%, $F$9) + CHOOSE(CONTROL!$C$27, 0.0021, 0)</f>
        <v>92.0154</v>
      </c>
      <c r="F589" s="14">
        <f>92.0133 * CHOOSE(CONTROL!$C$9, $D$9, 100%, $F$9) + CHOOSE(CONTROL!$C$27, 0.0021, 0)</f>
        <v>92.0154</v>
      </c>
      <c r="G589" s="14">
        <f>92.2847 * CHOOSE(CONTROL!$C$9, $D$9, 100%, $F$9) + CHOOSE(CONTROL!$C$27, 0.0021, 0)</f>
        <v>92.286799999999999</v>
      </c>
      <c r="H589" s="14">
        <f>92.1499 * CHOOSE(CONTROL!$C$9, $D$9, 100%, $F$9) + CHOOSE(CONTROL!$C$27, 0.0021, 0)</f>
        <v>92.152000000000001</v>
      </c>
      <c r="I589" s="14">
        <f>92.1499 * CHOOSE(CONTROL!$C$9, $D$9, 100%, $F$9) + CHOOSE(CONTROL!$C$27, 0.0021, 0)</f>
        <v>92.152000000000001</v>
      </c>
      <c r="J589" s="14">
        <f>92.1499 * CHOOSE(CONTROL!$C$9, $D$9, 100%, $F$9) + CHOOSE(CONTROL!$C$27, 0.0021, 0)</f>
        <v>92.152000000000001</v>
      </c>
      <c r="K589" s="14">
        <f>92.1499 * CHOOSE(CONTROL!$C$9, $D$9, 100%, $F$9) + CHOOSE(CONTROL!$C$27, 0.0021, 0)</f>
        <v>92.152000000000001</v>
      </c>
      <c r="L589" s="14"/>
    </row>
    <row r="590" spans="1:12" ht="15.75" x14ac:dyDescent="0.25">
      <c r="A590" s="32">
        <v>58893</v>
      </c>
      <c r="B590" s="14">
        <f>91.4973 * CHOOSE(CONTROL!$C$9, $D$9, 100%, $F$9) + CHOOSE(CONTROL!$C$27, 0.0021, 0)</f>
        <v>91.499399999999994</v>
      </c>
      <c r="C590" s="14">
        <f>91.065 * CHOOSE(CONTROL!$C$9, $D$9, 100%, $F$9) + CHOOSE(CONTROL!$C$27, 0.0021, 0)</f>
        <v>91.067099999999996</v>
      </c>
      <c r="D590" s="14">
        <f>91.065 * CHOOSE(CONTROL!$C$9, $D$9, 100%, $F$9) + CHOOSE(CONTROL!$C$27, 0.0021, 0)</f>
        <v>91.067099999999996</v>
      </c>
      <c r="E590" s="14">
        <f>90.9284 * CHOOSE(CONTROL!$C$9, $D$9, 100%, $F$9) + CHOOSE(CONTROL!$C$27, 0.0021, 0)</f>
        <v>90.930499999999995</v>
      </c>
      <c r="F590" s="14">
        <f>90.9284 * CHOOSE(CONTROL!$C$9, $D$9, 100%, $F$9) + CHOOSE(CONTROL!$C$27, 0.0021, 0)</f>
        <v>90.930499999999995</v>
      </c>
      <c r="G590" s="14">
        <f>91.1997 * CHOOSE(CONTROL!$C$9, $D$9, 100%, $F$9) + CHOOSE(CONTROL!$C$27, 0.0021, 0)</f>
        <v>91.201800000000006</v>
      </c>
      <c r="H590" s="14">
        <f>91.065 * CHOOSE(CONTROL!$C$9, $D$9, 100%, $F$9) + CHOOSE(CONTROL!$C$27, 0.0021, 0)</f>
        <v>91.067099999999996</v>
      </c>
      <c r="I590" s="14">
        <f>91.065 * CHOOSE(CONTROL!$C$9, $D$9, 100%, $F$9) + CHOOSE(CONTROL!$C$27, 0.0021, 0)</f>
        <v>91.067099999999996</v>
      </c>
      <c r="J590" s="14">
        <f>91.065 * CHOOSE(CONTROL!$C$9, $D$9, 100%, $F$9) + CHOOSE(CONTROL!$C$27, 0.0021, 0)</f>
        <v>91.067099999999996</v>
      </c>
      <c r="K590" s="14">
        <f>91.065 * CHOOSE(CONTROL!$C$9, $D$9, 100%, $F$9) + CHOOSE(CONTROL!$C$27, 0.0021, 0)</f>
        <v>91.067099999999996</v>
      </c>
      <c r="L590" s="14"/>
    </row>
    <row r="591" spans="1:12" ht="15.75" x14ac:dyDescent="0.25">
      <c r="A591" s="32">
        <v>58926</v>
      </c>
      <c r="B591" s="14">
        <f>90.2018 * CHOOSE(CONTROL!$C$9, $D$9, 100%, $F$9) + CHOOSE(CONTROL!$C$27, 0.0021, 0)</f>
        <v>90.203900000000004</v>
      </c>
      <c r="C591" s="14">
        <f>89.7696 * CHOOSE(CONTROL!$C$9, $D$9, 100%, $F$9) + CHOOSE(CONTROL!$C$27, 0.0021, 0)</f>
        <v>89.771699999999996</v>
      </c>
      <c r="D591" s="14">
        <f>89.7696 * CHOOSE(CONTROL!$C$9, $D$9, 100%, $F$9) + CHOOSE(CONTROL!$C$27, 0.0021, 0)</f>
        <v>89.771699999999996</v>
      </c>
      <c r="E591" s="14">
        <f>89.6329 * CHOOSE(CONTROL!$C$9, $D$9, 100%, $F$9) + CHOOSE(CONTROL!$C$27, 0.0021, 0)</f>
        <v>89.635000000000005</v>
      </c>
      <c r="F591" s="14">
        <f>89.6329 * CHOOSE(CONTROL!$C$9, $D$9, 100%, $F$9) + CHOOSE(CONTROL!$C$27, 0.0021, 0)</f>
        <v>89.635000000000005</v>
      </c>
      <c r="G591" s="14">
        <f>89.9043 * CHOOSE(CONTROL!$C$9, $D$9, 100%, $F$9) + CHOOSE(CONTROL!$C$27, 0.0021, 0)</f>
        <v>89.906400000000005</v>
      </c>
      <c r="H591" s="14">
        <f>89.7696 * CHOOSE(CONTROL!$C$9, $D$9, 100%, $F$9) + CHOOSE(CONTROL!$C$27, 0.0021, 0)</f>
        <v>89.771699999999996</v>
      </c>
      <c r="I591" s="14">
        <f>89.7696 * CHOOSE(CONTROL!$C$9, $D$9, 100%, $F$9) + CHOOSE(CONTROL!$C$27, 0.0021, 0)</f>
        <v>89.771699999999996</v>
      </c>
      <c r="J591" s="14">
        <f>89.7696 * CHOOSE(CONTROL!$C$9, $D$9, 100%, $F$9) + CHOOSE(CONTROL!$C$27, 0.0021, 0)</f>
        <v>89.771699999999996</v>
      </c>
      <c r="K591" s="14">
        <f>89.7696 * CHOOSE(CONTROL!$C$9, $D$9, 100%, $F$9) + CHOOSE(CONTROL!$C$27, 0.0021, 0)</f>
        <v>89.771699999999996</v>
      </c>
      <c r="L591" s="14"/>
    </row>
    <row r="592" spans="1:12" ht="15.75" x14ac:dyDescent="0.25">
      <c r="A592" s="32">
        <v>58957</v>
      </c>
      <c r="B592" s="14">
        <f>92.048 * CHOOSE(CONTROL!$C$9, $D$9, 100%, $F$9) + CHOOSE(CONTROL!$C$27, 0.0021, 0)</f>
        <v>92.0501</v>
      </c>
      <c r="C592" s="14">
        <f>91.6157 * CHOOSE(CONTROL!$C$9, $D$9, 100%, $F$9) + CHOOSE(CONTROL!$C$27, 0.0021, 0)</f>
        <v>91.617800000000003</v>
      </c>
      <c r="D592" s="14">
        <f>91.6157 * CHOOSE(CONTROL!$C$9, $D$9, 100%, $F$9) + CHOOSE(CONTROL!$C$27, 0.0021, 0)</f>
        <v>91.617800000000003</v>
      </c>
      <c r="E592" s="14">
        <f>91.4791 * CHOOSE(CONTROL!$C$9, $D$9, 100%, $F$9) + CHOOSE(CONTROL!$C$27, 0.0021, 0)</f>
        <v>91.481200000000001</v>
      </c>
      <c r="F592" s="14">
        <f>91.4791 * CHOOSE(CONTROL!$C$9, $D$9, 100%, $F$9) + CHOOSE(CONTROL!$C$27, 0.0021, 0)</f>
        <v>91.481200000000001</v>
      </c>
      <c r="G592" s="14">
        <f>91.7504 * CHOOSE(CONTROL!$C$9, $D$9, 100%, $F$9) + CHOOSE(CONTROL!$C$27, 0.0021, 0)</f>
        <v>91.752499999999998</v>
      </c>
      <c r="H592" s="14">
        <f>91.6157 * CHOOSE(CONTROL!$C$9, $D$9, 100%, $F$9) + CHOOSE(CONTROL!$C$27, 0.0021, 0)</f>
        <v>91.617800000000003</v>
      </c>
      <c r="I592" s="14">
        <f>91.6157 * CHOOSE(CONTROL!$C$9, $D$9, 100%, $F$9) + CHOOSE(CONTROL!$C$27, 0.0021, 0)</f>
        <v>91.617800000000003</v>
      </c>
      <c r="J592" s="14">
        <f>91.6157 * CHOOSE(CONTROL!$C$9, $D$9, 100%, $F$9) + CHOOSE(CONTROL!$C$27, 0.0021, 0)</f>
        <v>91.617800000000003</v>
      </c>
      <c r="K592" s="14">
        <f>91.6157 * CHOOSE(CONTROL!$C$9, $D$9, 100%, $F$9) + CHOOSE(CONTROL!$C$27, 0.0021, 0)</f>
        <v>91.617800000000003</v>
      </c>
      <c r="L592" s="14"/>
    </row>
    <row r="593" spans="1:12" ht="15.75" x14ac:dyDescent="0.25">
      <c r="A593" s="32">
        <v>58987</v>
      </c>
      <c r="B593" s="14">
        <f>93.1537 * CHOOSE(CONTROL!$C$9, $D$9, 100%, $F$9) + CHOOSE(CONTROL!$C$27, 0.0021, 0)</f>
        <v>93.155799999999999</v>
      </c>
      <c r="C593" s="14">
        <f>92.7215 * CHOOSE(CONTROL!$C$9, $D$9, 100%, $F$9) + CHOOSE(CONTROL!$C$27, 0.0021, 0)</f>
        <v>92.723600000000005</v>
      </c>
      <c r="D593" s="14">
        <f>92.7215 * CHOOSE(CONTROL!$C$9, $D$9, 100%, $F$9) + CHOOSE(CONTROL!$C$27, 0.0021, 0)</f>
        <v>92.723600000000005</v>
      </c>
      <c r="E593" s="14">
        <f>92.5848 * CHOOSE(CONTROL!$C$9, $D$9, 100%, $F$9) + CHOOSE(CONTROL!$C$27, 0.0021, 0)</f>
        <v>92.5869</v>
      </c>
      <c r="F593" s="14">
        <f>92.5848 * CHOOSE(CONTROL!$C$9, $D$9, 100%, $F$9) + CHOOSE(CONTROL!$C$27, 0.0021, 0)</f>
        <v>92.5869</v>
      </c>
      <c r="G593" s="14">
        <f>92.8562 * CHOOSE(CONTROL!$C$9, $D$9, 100%, $F$9) + CHOOSE(CONTROL!$C$27, 0.0021, 0)</f>
        <v>92.8583</v>
      </c>
      <c r="H593" s="14">
        <f>92.7215 * CHOOSE(CONTROL!$C$9, $D$9, 100%, $F$9) + CHOOSE(CONTROL!$C$27, 0.0021, 0)</f>
        <v>92.723600000000005</v>
      </c>
      <c r="I593" s="14">
        <f>92.7215 * CHOOSE(CONTROL!$C$9, $D$9, 100%, $F$9) + CHOOSE(CONTROL!$C$27, 0.0021, 0)</f>
        <v>92.723600000000005</v>
      </c>
      <c r="J593" s="14">
        <f>92.7215 * CHOOSE(CONTROL!$C$9, $D$9, 100%, $F$9) + CHOOSE(CONTROL!$C$27, 0.0021, 0)</f>
        <v>92.723600000000005</v>
      </c>
      <c r="K593" s="14">
        <f>92.7215 * CHOOSE(CONTROL!$C$9, $D$9, 100%, $F$9) + CHOOSE(CONTROL!$C$27, 0.0021, 0)</f>
        <v>92.723600000000005</v>
      </c>
      <c r="L593" s="14"/>
    </row>
    <row r="594" spans="1:12" ht="15.75" x14ac:dyDescent="0.25">
      <c r="A594" s="32">
        <v>59018</v>
      </c>
      <c r="B594" s="14">
        <f>94.9778 * CHOOSE(CONTROL!$C$9, $D$9, 100%, $F$9) + CHOOSE(CONTROL!$C$27, 0.0021, 0)</f>
        <v>94.979900000000001</v>
      </c>
      <c r="C594" s="14">
        <f>94.5456 * CHOOSE(CONTROL!$C$9, $D$9, 100%, $F$9) + CHOOSE(CONTROL!$C$27, 0.0021, 0)</f>
        <v>94.547699999999992</v>
      </c>
      <c r="D594" s="14">
        <f>94.5456 * CHOOSE(CONTROL!$C$9, $D$9, 100%, $F$9) + CHOOSE(CONTROL!$C$27, 0.0021, 0)</f>
        <v>94.547699999999992</v>
      </c>
      <c r="E594" s="14">
        <f>94.4089 * CHOOSE(CONTROL!$C$9, $D$9, 100%, $F$9) + CHOOSE(CONTROL!$C$27, 0.0021, 0)</f>
        <v>94.411000000000001</v>
      </c>
      <c r="F594" s="14">
        <f>94.4089 * CHOOSE(CONTROL!$C$9, $D$9, 100%, $F$9) + CHOOSE(CONTROL!$C$27, 0.0021, 0)</f>
        <v>94.411000000000001</v>
      </c>
      <c r="G594" s="14">
        <f>94.6803 * CHOOSE(CONTROL!$C$9, $D$9, 100%, $F$9) + CHOOSE(CONTROL!$C$27, 0.0021, 0)</f>
        <v>94.682400000000001</v>
      </c>
      <c r="H594" s="14">
        <f>94.5456 * CHOOSE(CONTROL!$C$9, $D$9, 100%, $F$9) + CHOOSE(CONTROL!$C$27, 0.0021, 0)</f>
        <v>94.547699999999992</v>
      </c>
      <c r="I594" s="14">
        <f>94.5456 * CHOOSE(CONTROL!$C$9, $D$9, 100%, $F$9) + CHOOSE(CONTROL!$C$27, 0.0021, 0)</f>
        <v>94.547699999999992</v>
      </c>
      <c r="J594" s="14">
        <f>94.5456 * CHOOSE(CONTROL!$C$9, $D$9, 100%, $F$9) + CHOOSE(CONTROL!$C$27, 0.0021, 0)</f>
        <v>94.547699999999992</v>
      </c>
      <c r="K594" s="14">
        <f>94.5456 * CHOOSE(CONTROL!$C$9, $D$9, 100%, $F$9) + CHOOSE(CONTROL!$C$27, 0.0021, 0)</f>
        <v>94.547699999999992</v>
      </c>
      <c r="L594" s="14"/>
    </row>
    <row r="595" spans="1:12" ht="15.75" x14ac:dyDescent="0.25">
      <c r="A595" s="32">
        <v>59049</v>
      </c>
      <c r="B595" s="14">
        <f>95.5346 * CHOOSE(CONTROL!$C$9, $D$9, 100%, $F$9) + CHOOSE(CONTROL!$C$27, 0.0021, 0)</f>
        <v>95.536699999999996</v>
      </c>
      <c r="C595" s="14">
        <f>95.1024 * CHOOSE(CONTROL!$C$9, $D$9, 100%, $F$9) + CHOOSE(CONTROL!$C$27, 0.0021, 0)</f>
        <v>95.104500000000002</v>
      </c>
      <c r="D595" s="14">
        <f>95.1024 * CHOOSE(CONTROL!$C$9, $D$9, 100%, $F$9) + CHOOSE(CONTROL!$C$27, 0.0021, 0)</f>
        <v>95.104500000000002</v>
      </c>
      <c r="E595" s="14">
        <f>94.9657 * CHOOSE(CONTROL!$C$9, $D$9, 100%, $F$9) + CHOOSE(CONTROL!$C$27, 0.0021, 0)</f>
        <v>94.967799999999997</v>
      </c>
      <c r="F595" s="14">
        <f>94.9657 * CHOOSE(CONTROL!$C$9, $D$9, 100%, $F$9) + CHOOSE(CONTROL!$C$27, 0.0021, 0)</f>
        <v>94.967799999999997</v>
      </c>
      <c r="G595" s="14">
        <f>95.2371 * CHOOSE(CONTROL!$C$9, $D$9, 100%, $F$9) + CHOOSE(CONTROL!$C$27, 0.0021, 0)</f>
        <v>95.239199999999997</v>
      </c>
      <c r="H595" s="14">
        <f>95.1024 * CHOOSE(CONTROL!$C$9, $D$9, 100%, $F$9) + CHOOSE(CONTROL!$C$27, 0.0021, 0)</f>
        <v>95.104500000000002</v>
      </c>
      <c r="I595" s="14">
        <f>95.1024 * CHOOSE(CONTROL!$C$9, $D$9, 100%, $F$9) + CHOOSE(CONTROL!$C$27, 0.0021, 0)</f>
        <v>95.104500000000002</v>
      </c>
      <c r="J595" s="14">
        <f>95.1024 * CHOOSE(CONTROL!$C$9, $D$9, 100%, $F$9) + CHOOSE(CONTROL!$C$27, 0.0021, 0)</f>
        <v>95.104500000000002</v>
      </c>
      <c r="K595" s="14">
        <f>95.1024 * CHOOSE(CONTROL!$C$9, $D$9, 100%, $F$9) + CHOOSE(CONTROL!$C$27, 0.0021, 0)</f>
        <v>95.104500000000002</v>
      </c>
      <c r="L595" s="14"/>
    </row>
    <row r="596" spans="1:12" ht="15.75" x14ac:dyDescent="0.25">
      <c r="A596" s="32">
        <v>59079</v>
      </c>
      <c r="B596" s="14">
        <f>97.4307 * CHOOSE(CONTROL!$C$9, $D$9, 100%, $F$9) + CHOOSE(CONTROL!$C$27, 0.0021, 0)</f>
        <v>97.4328</v>
      </c>
      <c r="C596" s="14">
        <f>96.9984 * CHOOSE(CONTROL!$C$9, $D$9, 100%, $F$9) + CHOOSE(CONTROL!$C$27, 0.0021, 0)</f>
        <v>97.000500000000002</v>
      </c>
      <c r="D596" s="14">
        <f>96.9984 * CHOOSE(CONTROL!$C$9, $D$9, 100%, $F$9) + CHOOSE(CONTROL!$C$27, 0.0021, 0)</f>
        <v>97.000500000000002</v>
      </c>
      <c r="E596" s="14">
        <f>96.8618 * CHOOSE(CONTROL!$C$9, $D$9, 100%, $F$9) + CHOOSE(CONTROL!$C$27, 0.0021, 0)</f>
        <v>96.863900000000001</v>
      </c>
      <c r="F596" s="14">
        <f>96.8618 * CHOOSE(CONTROL!$C$9, $D$9, 100%, $F$9) + CHOOSE(CONTROL!$C$27, 0.0021, 0)</f>
        <v>96.863900000000001</v>
      </c>
      <c r="G596" s="14">
        <f>97.1332 * CHOOSE(CONTROL!$C$9, $D$9, 100%, $F$9) + CHOOSE(CONTROL!$C$27, 0.0021, 0)</f>
        <v>97.135300000000001</v>
      </c>
      <c r="H596" s="14">
        <f>96.9984 * CHOOSE(CONTROL!$C$9, $D$9, 100%, $F$9) + CHOOSE(CONTROL!$C$27, 0.0021, 0)</f>
        <v>97.000500000000002</v>
      </c>
      <c r="I596" s="14">
        <f>96.9984 * CHOOSE(CONTROL!$C$9, $D$9, 100%, $F$9) + CHOOSE(CONTROL!$C$27, 0.0021, 0)</f>
        <v>97.000500000000002</v>
      </c>
      <c r="J596" s="14">
        <f>96.9984 * CHOOSE(CONTROL!$C$9, $D$9, 100%, $F$9) + CHOOSE(CONTROL!$C$27, 0.0021, 0)</f>
        <v>97.000500000000002</v>
      </c>
      <c r="K596" s="14">
        <f>96.9984 * CHOOSE(CONTROL!$C$9, $D$9, 100%, $F$9) + CHOOSE(CONTROL!$C$27, 0.0021, 0)</f>
        <v>97.000500000000002</v>
      </c>
      <c r="L596" s="14"/>
    </row>
    <row r="597" spans="1:12" ht="15.75" x14ac:dyDescent="0.25">
      <c r="A597" s="32">
        <v>59110</v>
      </c>
      <c r="B597" s="14">
        <f>99.8308 * CHOOSE(CONTROL!$C$9, $D$9, 100%, $F$9) + CHOOSE(CONTROL!$C$27, 0.0021, 0)</f>
        <v>99.832899999999995</v>
      </c>
      <c r="C597" s="14">
        <f>99.3985 * CHOOSE(CONTROL!$C$9, $D$9, 100%, $F$9) + CHOOSE(CONTROL!$C$27, 0.0021, 0)</f>
        <v>99.400599999999997</v>
      </c>
      <c r="D597" s="14">
        <f>99.3985 * CHOOSE(CONTROL!$C$9, $D$9, 100%, $F$9) + CHOOSE(CONTROL!$C$27, 0.0021, 0)</f>
        <v>99.400599999999997</v>
      </c>
      <c r="E597" s="14">
        <f>99.2619 * CHOOSE(CONTROL!$C$9, $D$9, 100%, $F$9) + CHOOSE(CONTROL!$C$27, 0.0021, 0)</f>
        <v>99.263999999999996</v>
      </c>
      <c r="F597" s="14">
        <f>99.2619 * CHOOSE(CONTROL!$C$9, $D$9, 100%, $F$9) + CHOOSE(CONTROL!$C$27, 0.0021, 0)</f>
        <v>99.263999999999996</v>
      </c>
      <c r="G597" s="14">
        <f>99.5333 * CHOOSE(CONTROL!$C$9, $D$9, 100%, $F$9) + CHOOSE(CONTROL!$C$27, 0.0021, 0)</f>
        <v>99.535399999999996</v>
      </c>
      <c r="H597" s="14">
        <f>99.3985 * CHOOSE(CONTROL!$C$9, $D$9, 100%, $F$9) + CHOOSE(CONTROL!$C$27, 0.0021, 0)</f>
        <v>99.400599999999997</v>
      </c>
      <c r="I597" s="14">
        <f>99.3985 * CHOOSE(CONTROL!$C$9, $D$9, 100%, $F$9) + CHOOSE(CONTROL!$C$27, 0.0021, 0)</f>
        <v>99.400599999999997</v>
      </c>
      <c r="J597" s="14">
        <f>99.3985 * CHOOSE(CONTROL!$C$9, $D$9, 100%, $F$9) + CHOOSE(CONTROL!$C$27, 0.0021, 0)</f>
        <v>99.400599999999997</v>
      </c>
      <c r="K597" s="14">
        <f>99.3985 * CHOOSE(CONTROL!$C$9, $D$9, 100%, $F$9) + CHOOSE(CONTROL!$C$27, 0.0021, 0)</f>
        <v>99.400599999999997</v>
      </c>
      <c r="L597" s="14"/>
    </row>
    <row r="598" spans="1:12" ht="15.75" x14ac:dyDescent="0.25">
      <c r="A598" s="32">
        <v>59140</v>
      </c>
      <c r="B598" s="14">
        <f>100.0561 * CHOOSE(CONTROL!$C$9, $D$9, 100%, $F$9) + CHOOSE(CONTROL!$C$27, 0.0021, 0)</f>
        <v>100.0582</v>
      </c>
      <c r="C598" s="14">
        <f>99.6239 * CHOOSE(CONTROL!$C$9, $D$9, 100%, $F$9) + CHOOSE(CONTROL!$C$27, 0.0021, 0)</f>
        <v>99.626000000000005</v>
      </c>
      <c r="D598" s="14">
        <f>99.6239 * CHOOSE(CONTROL!$C$9, $D$9, 100%, $F$9) + CHOOSE(CONTROL!$C$27, 0.0021, 0)</f>
        <v>99.626000000000005</v>
      </c>
      <c r="E598" s="14">
        <f>99.4872 * CHOOSE(CONTROL!$C$9, $D$9, 100%, $F$9) + CHOOSE(CONTROL!$C$27, 0.0021, 0)</f>
        <v>99.4893</v>
      </c>
      <c r="F598" s="14">
        <f>99.4872 * CHOOSE(CONTROL!$C$9, $D$9, 100%, $F$9) + CHOOSE(CONTROL!$C$27, 0.0021, 0)</f>
        <v>99.4893</v>
      </c>
      <c r="G598" s="14">
        <f>99.7586 * CHOOSE(CONTROL!$C$9, $D$9, 100%, $F$9) + CHOOSE(CONTROL!$C$27, 0.0021, 0)</f>
        <v>99.7607</v>
      </c>
      <c r="H598" s="14">
        <f>99.6239 * CHOOSE(CONTROL!$C$9, $D$9, 100%, $F$9) + CHOOSE(CONTROL!$C$27, 0.0021, 0)</f>
        <v>99.626000000000005</v>
      </c>
      <c r="I598" s="14">
        <f>99.6239 * CHOOSE(CONTROL!$C$9, $D$9, 100%, $F$9) + CHOOSE(CONTROL!$C$27, 0.0021, 0)</f>
        <v>99.626000000000005</v>
      </c>
      <c r="J598" s="14">
        <f>99.6239 * CHOOSE(CONTROL!$C$9, $D$9, 100%, $F$9) + CHOOSE(CONTROL!$C$27, 0.0021, 0)</f>
        <v>99.626000000000005</v>
      </c>
      <c r="K598" s="14">
        <f>99.6239 * CHOOSE(CONTROL!$C$9, $D$9, 100%, $F$9) + CHOOSE(CONTROL!$C$27, 0.0021, 0)</f>
        <v>99.626000000000005</v>
      </c>
      <c r="L598" s="14"/>
    </row>
    <row r="599" spans="1:12" ht="15.75" x14ac:dyDescent="0.25">
      <c r="A599" s="32">
        <v>59171</v>
      </c>
      <c r="B599" s="14">
        <f>98.1392 * CHOOSE(CONTROL!$C$9, $D$9, 100%, $F$9) + CHOOSE(CONTROL!$C$27, 0.0021, 0)</f>
        <v>98.141300000000001</v>
      </c>
      <c r="C599" s="14">
        <f>97.7069 * CHOOSE(CONTROL!$C$9, $D$9, 100%, $F$9) + CHOOSE(CONTROL!$C$27, 0.0021, 0)</f>
        <v>97.709000000000003</v>
      </c>
      <c r="D599" s="14">
        <f>97.7069 * CHOOSE(CONTROL!$C$9, $D$9, 100%, $F$9) + CHOOSE(CONTROL!$C$27, 0.0021, 0)</f>
        <v>97.709000000000003</v>
      </c>
      <c r="E599" s="14">
        <f>97.5703 * CHOOSE(CONTROL!$C$9, $D$9, 100%, $F$9) + CHOOSE(CONTROL!$C$27, 0.0021, 0)</f>
        <v>97.572400000000002</v>
      </c>
      <c r="F599" s="14">
        <f>97.5703 * CHOOSE(CONTROL!$C$9, $D$9, 100%, $F$9) + CHOOSE(CONTROL!$C$27, 0.0021, 0)</f>
        <v>97.572400000000002</v>
      </c>
      <c r="G599" s="14">
        <f>97.8417 * CHOOSE(CONTROL!$C$9, $D$9, 100%, $F$9) + CHOOSE(CONTROL!$C$27, 0.0021, 0)</f>
        <v>97.843800000000002</v>
      </c>
      <c r="H599" s="14">
        <f>97.7069 * CHOOSE(CONTROL!$C$9, $D$9, 100%, $F$9) + CHOOSE(CONTROL!$C$27, 0.0021, 0)</f>
        <v>97.709000000000003</v>
      </c>
      <c r="I599" s="14">
        <f>97.7069 * CHOOSE(CONTROL!$C$9, $D$9, 100%, $F$9) + CHOOSE(CONTROL!$C$27, 0.0021, 0)</f>
        <v>97.709000000000003</v>
      </c>
      <c r="J599" s="14">
        <f>97.7069 * CHOOSE(CONTROL!$C$9, $D$9, 100%, $F$9) + CHOOSE(CONTROL!$C$27, 0.0021, 0)</f>
        <v>97.709000000000003</v>
      </c>
      <c r="K599" s="14">
        <f>97.7069 * CHOOSE(CONTROL!$C$9, $D$9, 100%, $F$9) + CHOOSE(CONTROL!$C$27, 0.0021, 0)</f>
        <v>97.709000000000003</v>
      </c>
      <c r="L599" s="14"/>
    </row>
    <row r="600" spans="1:12" ht="15.75" x14ac:dyDescent="0.25">
      <c r="A600" s="32">
        <v>59202</v>
      </c>
      <c r="B600" s="14">
        <f>89.2069 * CHOOSE(CONTROL!$C$9, $D$9, 100%, $F$9) + CHOOSE(CONTROL!$C$27, 0.0021, 0)</f>
        <v>89.209000000000003</v>
      </c>
      <c r="C600" s="14">
        <f>88.7747 * CHOOSE(CONTROL!$C$9, $D$9, 100%, $F$9) + CHOOSE(CONTROL!$C$27, 0.0021, 0)</f>
        <v>88.776799999999994</v>
      </c>
      <c r="D600" s="14">
        <f>88.7747 * CHOOSE(CONTROL!$C$9, $D$9, 100%, $F$9) + CHOOSE(CONTROL!$C$27, 0.0021, 0)</f>
        <v>88.776799999999994</v>
      </c>
      <c r="E600" s="14">
        <f>88.638 * CHOOSE(CONTROL!$C$9, $D$9, 100%, $F$9) + CHOOSE(CONTROL!$C$27, 0.0021, 0)</f>
        <v>88.640100000000004</v>
      </c>
      <c r="F600" s="14">
        <f>88.638 * CHOOSE(CONTROL!$C$9, $D$9, 100%, $F$9) + CHOOSE(CONTROL!$C$27, 0.0021, 0)</f>
        <v>88.640100000000004</v>
      </c>
      <c r="G600" s="14">
        <f>88.9094 * CHOOSE(CONTROL!$C$9, $D$9, 100%, $F$9) + CHOOSE(CONTROL!$C$27, 0.0021, 0)</f>
        <v>88.911500000000004</v>
      </c>
      <c r="H600" s="14">
        <f>88.7747 * CHOOSE(CONTROL!$C$9, $D$9, 100%, $F$9) + CHOOSE(CONTROL!$C$27, 0.0021, 0)</f>
        <v>88.776799999999994</v>
      </c>
      <c r="I600" s="14">
        <f>88.7747 * CHOOSE(CONTROL!$C$9, $D$9, 100%, $F$9) + CHOOSE(CONTROL!$C$27, 0.0021, 0)</f>
        <v>88.776799999999994</v>
      </c>
      <c r="J600" s="14">
        <f>88.7747 * CHOOSE(CONTROL!$C$9, $D$9, 100%, $F$9) + CHOOSE(CONTROL!$C$27, 0.0021, 0)</f>
        <v>88.776799999999994</v>
      </c>
      <c r="K600" s="14">
        <f>88.7747 * CHOOSE(CONTROL!$C$9, $D$9, 100%, $F$9) + CHOOSE(CONTROL!$C$27, 0.0021, 0)</f>
        <v>88.776799999999994</v>
      </c>
      <c r="L600" s="14"/>
    </row>
    <row r="601" spans="1:12" ht="15.75" x14ac:dyDescent="0.25">
      <c r="A601" s="32">
        <v>59230</v>
      </c>
      <c r="B601" s="14">
        <f>88.9653 * CHOOSE(CONTROL!$C$9, $D$9, 100%, $F$9) + CHOOSE(CONTROL!$C$27, 0.0021, 0)</f>
        <v>88.967399999999998</v>
      </c>
      <c r="C601" s="14">
        <f>88.5331 * CHOOSE(CONTROL!$C$9, $D$9, 100%, $F$9) + CHOOSE(CONTROL!$C$27, 0.0021, 0)</f>
        <v>88.535200000000003</v>
      </c>
      <c r="D601" s="14">
        <f>88.5331 * CHOOSE(CONTROL!$C$9, $D$9, 100%, $F$9) + CHOOSE(CONTROL!$C$27, 0.0021, 0)</f>
        <v>88.535200000000003</v>
      </c>
      <c r="E601" s="14">
        <f>88.3964 * CHOOSE(CONTROL!$C$9, $D$9, 100%, $F$9) + CHOOSE(CONTROL!$C$27, 0.0021, 0)</f>
        <v>88.398499999999999</v>
      </c>
      <c r="F601" s="14">
        <f>88.3964 * CHOOSE(CONTROL!$C$9, $D$9, 100%, $F$9) + CHOOSE(CONTROL!$C$27, 0.0021, 0)</f>
        <v>88.398499999999999</v>
      </c>
      <c r="G601" s="14">
        <f>88.6678 * CHOOSE(CONTROL!$C$9, $D$9, 100%, $F$9) + CHOOSE(CONTROL!$C$27, 0.0021, 0)</f>
        <v>88.669899999999998</v>
      </c>
      <c r="H601" s="14">
        <f>88.5331 * CHOOSE(CONTROL!$C$9, $D$9, 100%, $F$9) + CHOOSE(CONTROL!$C$27, 0.0021, 0)</f>
        <v>88.535200000000003</v>
      </c>
      <c r="I601" s="14">
        <f>88.5331 * CHOOSE(CONTROL!$C$9, $D$9, 100%, $F$9) + CHOOSE(CONTROL!$C$27, 0.0021, 0)</f>
        <v>88.535200000000003</v>
      </c>
      <c r="J601" s="14">
        <f>88.5331 * CHOOSE(CONTROL!$C$9, $D$9, 100%, $F$9) + CHOOSE(CONTROL!$C$27, 0.0021, 0)</f>
        <v>88.535200000000003</v>
      </c>
      <c r="K601" s="14">
        <f>88.5331 * CHOOSE(CONTROL!$C$9, $D$9, 100%, $F$9) + CHOOSE(CONTROL!$C$27, 0.0021, 0)</f>
        <v>88.535200000000003</v>
      </c>
      <c r="L601" s="14"/>
    </row>
    <row r="602" spans="1:12" ht="15.75" x14ac:dyDescent="0.25">
      <c r="A602" s="32">
        <v>59261</v>
      </c>
      <c r="B602" s="14">
        <f>93.5335 * CHOOSE(CONTROL!$C$9, $D$9, 100%, $F$9) + CHOOSE(CONTROL!$C$27, 0.0021, 0)</f>
        <v>93.535600000000002</v>
      </c>
      <c r="C602" s="14">
        <f>93.1012 * CHOOSE(CONTROL!$C$9, $D$9, 100%, $F$9) + CHOOSE(CONTROL!$C$27, 0.0021, 0)</f>
        <v>93.103300000000004</v>
      </c>
      <c r="D602" s="14">
        <f>93.1012 * CHOOSE(CONTROL!$C$9, $D$9, 100%, $F$9) + CHOOSE(CONTROL!$C$27, 0.0021, 0)</f>
        <v>93.103300000000004</v>
      </c>
      <c r="E602" s="14">
        <f>92.9646 * CHOOSE(CONTROL!$C$9, $D$9, 100%, $F$9) + CHOOSE(CONTROL!$C$27, 0.0021, 0)</f>
        <v>92.966700000000003</v>
      </c>
      <c r="F602" s="14">
        <f>92.9646 * CHOOSE(CONTROL!$C$9, $D$9, 100%, $F$9) + CHOOSE(CONTROL!$C$27, 0.0021, 0)</f>
        <v>92.966700000000003</v>
      </c>
      <c r="G602" s="14">
        <f>93.236 * CHOOSE(CONTROL!$C$9, $D$9, 100%, $F$9) + CHOOSE(CONTROL!$C$27, 0.0021, 0)</f>
        <v>93.238100000000003</v>
      </c>
      <c r="H602" s="14">
        <f>93.1012 * CHOOSE(CONTROL!$C$9, $D$9, 100%, $F$9) + CHOOSE(CONTROL!$C$27, 0.0021, 0)</f>
        <v>93.103300000000004</v>
      </c>
      <c r="I602" s="14">
        <f>93.1012 * CHOOSE(CONTROL!$C$9, $D$9, 100%, $F$9) + CHOOSE(CONTROL!$C$27, 0.0021, 0)</f>
        <v>93.103300000000004</v>
      </c>
      <c r="J602" s="14">
        <f>93.1012 * CHOOSE(CONTROL!$C$9, $D$9, 100%, $F$9) + CHOOSE(CONTROL!$C$27, 0.0021, 0)</f>
        <v>93.103300000000004</v>
      </c>
      <c r="K602" s="14">
        <f>93.1012 * CHOOSE(CONTROL!$C$9, $D$9, 100%, $F$9) + CHOOSE(CONTROL!$C$27, 0.0021, 0)</f>
        <v>93.103300000000004</v>
      </c>
      <c r="L602" s="14"/>
    </row>
    <row r="603" spans="1:12" ht="15.75" x14ac:dyDescent="0.25">
      <c r="A603" s="32">
        <v>59291</v>
      </c>
      <c r="B603" s="14">
        <f>99.4573 * CHOOSE(CONTROL!$C$9, $D$9, 100%, $F$9) + CHOOSE(CONTROL!$C$27, 0.0021, 0)</f>
        <v>99.459400000000002</v>
      </c>
      <c r="C603" s="14">
        <f>99.0251 * CHOOSE(CONTROL!$C$9, $D$9, 100%, $F$9) + CHOOSE(CONTROL!$C$27, 0.0021, 0)</f>
        <v>99.027199999999993</v>
      </c>
      <c r="D603" s="14">
        <f>99.0251 * CHOOSE(CONTROL!$C$9, $D$9, 100%, $F$9) + CHOOSE(CONTROL!$C$27, 0.0021, 0)</f>
        <v>99.027199999999993</v>
      </c>
      <c r="E603" s="14">
        <f>98.8884 * CHOOSE(CONTROL!$C$9, $D$9, 100%, $F$9) + CHOOSE(CONTROL!$C$27, 0.0021, 0)</f>
        <v>98.890500000000003</v>
      </c>
      <c r="F603" s="14">
        <f>98.8884 * CHOOSE(CONTROL!$C$9, $D$9, 100%, $F$9) + CHOOSE(CONTROL!$C$27, 0.0021, 0)</f>
        <v>98.890500000000003</v>
      </c>
      <c r="G603" s="14">
        <f>99.1598 * CHOOSE(CONTROL!$C$9, $D$9, 100%, $F$9) + CHOOSE(CONTROL!$C$27, 0.0021, 0)</f>
        <v>99.161900000000003</v>
      </c>
      <c r="H603" s="14">
        <f>99.0251 * CHOOSE(CONTROL!$C$9, $D$9, 100%, $F$9) + CHOOSE(CONTROL!$C$27, 0.0021, 0)</f>
        <v>99.027199999999993</v>
      </c>
      <c r="I603" s="14">
        <f>99.0251 * CHOOSE(CONTROL!$C$9, $D$9, 100%, $F$9) + CHOOSE(CONTROL!$C$27, 0.0021, 0)</f>
        <v>99.027199999999993</v>
      </c>
      <c r="J603" s="14">
        <f>99.0251 * CHOOSE(CONTROL!$C$9, $D$9, 100%, $F$9) + CHOOSE(CONTROL!$C$27, 0.0021, 0)</f>
        <v>99.027199999999993</v>
      </c>
      <c r="K603" s="14">
        <f>99.0251 * CHOOSE(CONTROL!$C$9, $D$9, 100%, $F$9) + CHOOSE(CONTROL!$C$27, 0.0021, 0)</f>
        <v>99.027199999999993</v>
      </c>
      <c r="L603" s="14"/>
    </row>
    <row r="604" spans="1:12" ht="15.75" x14ac:dyDescent="0.25">
      <c r="A604" s="32">
        <v>59322</v>
      </c>
      <c r="B604" s="14">
        <f>102.718 * CHOOSE(CONTROL!$C$9, $D$9, 100%, $F$9) + CHOOSE(CONTROL!$C$27, 0.0021, 0)</f>
        <v>102.7201</v>
      </c>
      <c r="C604" s="14">
        <f>102.2857 * CHOOSE(CONTROL!$C$9, $D$9, 100%, $F$9) + CHOOSE(CONTROL!$C$27, 0.0021, 0)</f>
        <v>102.2878</v>
      </c>
      <c r="D604" s="14">
        <f>102.2857 * CHOOSE(CONTROL!$C$9, $D$9, 100%, $F$9) + CHOOSE(CONTROL!$C$27, 0.0021, 0)</f>
        <v>102.2878</v>
      </c>
      <c r="E604" s="14">
        <f>102.1491 * CHOOSE(CONTROL!$C$9, $D$9, 100%, $F$9) + CHOOSE(CONTROL!$C$27, 0.0021, 0)</f>
        <v>102.1512</v>
      </c>
      <c r="F604" s="14">
        <f>102.1491 * CHOOSE(CONTROL!$C$9, $D$9, 100%, $F$9) + CHOOSE(CONTROL!$C$27, 0.0021, 0)</f>
        <v>102.1512</v>
      </c>
      <c r="G604" s="14">
        <f>102.4204 * CHOOSE(CONTROL!$C$9, $D$9, 100%, $F$9) + CHOOSE(CONTROL!$C$27, 0.0021, 0)</f>
        <v>102.4225</v>
      </c>
      <c r="H604" s="14">
        <f>102.2857 * CHOOSE(CONTROL!$C$9, $D$9, 100%, $F$9) + CHOOSE(CONTROL!$C$27, 0.0021, 0)</f>
        <v>102.2878</v>
      </c>
      <c r="I604" s="14">
        <f>102.2857 * CHOOSE(CONTROL!$C$9, $D$9, 100%, $F$9) + CHOOSE(CONTROL!$C$27, 0.0021, 0)</f>
        <v>102.2878</v>
      </c>
      <c r="J604" s="14">
        <f>102.2857 * CHOOSE(CONTROL!$C$9, $D$9, 100%, $F$9) + CHOOSE(CONTROL!$C$27, 0.0021, 0)</f>
        <v>102.2878</v>
      </c>
      <c r="K604" s="14">
        <f>102.2857 * CHOOSE(CONTROL!$C$9, $D$9, 100%, $F$9) + CHOOSE(CONTROL!$C$27, 0.0021, 0)</f>
        <v>102.2878</v>
      </c>
      <c r="L604" s="14"/>
    </row>
    <row r="605" spans="1:12" ht="15.75" x14ac:dyDescent="0.25">
      <c r="A605" s="32">
        <v>59352</v>
      </c>
      <c r="B605" s="14">
        <f>104.165 * CHOOSE(CONTROL!$C$9, $D$9, 100%, $F$9) + CHOOSE(CONTROL!$C$27, 0.0021, 0)</f>
        <v>104.1671</v>
      </c>
      <c r="C605" s="14">
        <f>103.7327 * CHOOSE(CONTROL!$C$9, $D$9, 100%, $F$9) + CHOOSE(CONTROL!$C$27, 0.0021, 0)</f>
        <v>103.73479999999999</v>
      </c>
      <c r="D605" s="14">
        <f>103.7327 * CHOOSE(CONTROL!$C$9, $D$9, 100%, $F$9) + CHOOSE(CONTROL!$C$27, 0.0021, 0)</f>
        <v>103.73479999999999</v>
      </c>
      <c r="E605" s="14">
        <f>103.5961 * CHOOSE(CONTROL!$C$9, $D$9, 100%, $F$9) + CHOOSE(CONTROL!$C$27, 0.0021, 0)</f>
        <v>103.59820000000001</v>
      </c>
      <c r="F605" s="14">
        <f>103.5961 * CHOOSE(CONTROL!$C$9, $D$9, 100%, $F$9) + CHOOSE(CONTROL!$C$27, 0.0021, 0)</f>
        <v>103.59820000000001</v>
      </c>
      <c r="G605" s="14">
        <f>103.8675 * CHOOSE(CONTROL!$C$9, $D$9, 100%, $F$9) + CHOOSE(CONTROL!$C$27, 0.0021, 0)</f>
        <v>103.86960000000001</v>
      </c>
      <c r="H605" s="14">
        <f>103.7327 * CHOOSE(CONTROL!$C$9, $D$9, 100%, $F$9) + CHOOSE(CONTROL!$C$27, 0.0021, 0)</f>
        <v>103.73479999999999</v>
      </c>
      <c r="I605" s="14">
        <f>103.7327 * CHOOSE(CONTROL!$C$9, $D$9, 100%, $F$9) + CHOOSE(CONTROL!$C$27, 0.0021, 0)</f>
        <v>103.73479999999999</v>
      </c>
      <c r="J605" s="14">
        <f>103.7327 * CHOOSE(CONTROL!$C$9, $D$9, 100%, $F$9) + CHOOSE(CONTROL!$C$27, 0.0021, 0)</f>
        <v>103.73479999999999</v>
      </c>
      <c r="K605" s="14">
        <f>103.7327 * CHOOSE(CONTROL!$C$9, $D$9, 100%, $F$9) + CHOOSE(CONTROL!$C$27, 0.0021, 0)</f>
        <v>103.73479999999999</v>
      </c>
      <c r="L605" s="14"/>
    </row>
    <row r="606" spans="1:12" ht="15.75" x14ac:dyDescent="0.25">
      <c r="A606" s="32">
        <v>59383</v>
      </c>
      <c r="B606" s="14">
        <f>103.6886 * CHOOSE(CONTROL!$C$9, $D$9, 100%, $F$9) + CHOOSE(CONTROL!$C$27, 0.0021, 0)</f>
        <v>103.69069999999999</v>
      </c>
      <c r="C606" s="14">
        <f>103.2563 * CHOOSE(CONTROL!$C$9, $D$9, 100%, $F$9) + CHOOSE(CONTROL!$C$27, 0.0021, 0)</f>
        <v>103.25839999999999</v>
      </c>
      <c r="D606" s="14">
        <f>103.2563 * CHOOSE(CONTROL!$C$9, $D$9, 100%, $F$9) + CHOOSE(CONTROL!$C$27, 0.0021, 0)</f>
        <v>103.25839999999999</v>
      </c>
      <c r="E606" s="14">
        <f>103.1197 * CHOOSE(CONTROL!$C$9, $D$9, 100%, $F$9) + CHOOSE(CONTROL!$C$27, 0.0021, 0)</f>
        <v>103.12179999999999</v>
      </c>
      <c r="F606" s="14">
        <f>103.1197 * CHOOSE(CONTROL!$C$9, $D$9, 100%, $F$9) + CHOOSE(CONTROL!$C$27, 0.0021, 0)</f>
        <v>103.12179999999999</v>
      </c>
      <c r="G606" s="14">
        <f>103.391 * CHOOSE(CONTROL!$C$9, $D$9, 100%, $F$9) + CHOOSE(CONTROL!$C$27, 0.0021, 0)</f>
        <v>103.3931</v>
      </c>
      <c r="H606" s="14">
        <f>103.2563 * CHOOSE(CONTROL!$C$9, $D$9, 100%, $F$9) + CHOOSE(CONTROL!$C$27, 0.0021, 0)</f>
        <v>103.25839999999999</v>
      </c>
      <c r="I606" s="14">
        <f>103.2563 * CHOOSE(CONTROL!$C$9, $D$9, 100%, $F$9) + CHOOSE(CONTROL!$C$27, 0.0021, 0)</f>
        <v>103.25839999999999</v>
      </c>
      <c r="J606" s="14">
        <f>103.2563 * CHOOSE(CONTROL!$C$9, $D$9, 100%, $F$9) + CHOOSE(CONTROL!$C$27, 0.0021, 0)</f>
        <v>103.25839999999999</v>
      </c>
      <c r="K606" s="14">
        <f>103.2563 * CHOOSE(CONTROL!$C$9, $D$9, 100%, $F$9) + CHOOSE(CONTROL!$C$27, 0.0021, 0)</f>
        <v>103.25839999999999</v>
      </c>
      <c r="L606" s="14"/>
    </row>
    <row r="607" spans="1:12" ht="15.75" x14ac:dyDescent="0.25">
      <c r="A607" s="32">
        <v>59414</v>
      </c>
      <c r="B607" s="14">
        <f>101.3281 * CHOOSE(CONTROL!$C$9, $D$9, 100%, $F$9) + CHOOSE(CONTROL!$C$27, 0.0021, 0)</f>
        <v>101.3302</v>
      </c>
      <c r="C607" s="14">
        <f>100.8959 * CHOOSE(CONTROL!$C$9, $D$9, 100%, $F$9) + CHOOSE(CONTROL!$C$27, 0.0021, 0)</f>
        <v>100.898</v>
      </c>
      <c r="D607" s="14">
        <f>100.8959 * CHOOSE(CONTROL!$C$9, $D$9, 100%, $F$9) + CHOOSE(CONTROL!$C$27, 0.0021, 0)</f>
        <v>100.898</v>
      </c>
      <c r="E607" s="14">
        <f>100.7592 * CHOOSE(CONTROL!$C$9, $D$9, 100%, $F$9) + CHOOSE(CONTROL!$C$27, 0.0021, 0)</f>
        <v>100.76130000000001</v>
      </c>
      <c r="F607" s="14">
        <f>100.7592 * CHOOSE(CONTROL!$C$9, $D$9, 100%, $F$9) + CHOOSE(CONTROL!$C$27, 0.0021, 0)</f>
        <v>100.76130000000001</v>
      </c>
      <c r="G607" s="14">
        <f>101.0306 * CHOOSE(CONTROL!$C$9, $D$9, 100%, $F$9) + CHOOSE(CONTROL!$C$27, 0.0021, 0)</f>
        <v>101.03270000000001</v>
      </c>
      <c r="H607" s="14">
        <f>100.8959 * CHOOSE(CONTROL!$C$9, $D$9, 100%, $F$9) + CHOOSE(CONTROL!$C$27, 0.0021, 0)</f>
        <v>100.898</v>
      </c>
      <c r="I607" s="14">
        <f>100.8959 * CHOOSE(CONTROL!$C$9, $D$9, 100%, $F$9) + CHOOSE(CONTROL!$C$27, 0.0021, 0)</f>
        <v>100.898</v>
      </c>
      <c r="J607" s="14">
        <f>100.8959 * CHOOSE(CONTROL!$C$9, $D$9, 100%, $F$9) + CHOOSE(CONTROL!$C$27, 0.0021, 0)</f>
        <v>100.898</v>
      </c>
      <c r="K607" s="14">
        <f>100.8959 * CHOOSE(CONTROL!$C$9, $D$9, 100%, $F$9) + CHOOSE(CONTROL!$C$27, 0.0021, 0)</f>
        <v>100.898</v>
      </c>
      <c r="L607" s="14"/>
    </row>
    <row r="608" spans="1:12" ht="15.75" x14ac:dyDescent="0.25">
      <c r="A608" s="32">
        <v>59444</v>
      </c>
      <c r="B608" s="14">
        <f>98.0363 * CHOOSE(CONTROL!$C$9, $D$9, 100%, $F$9) + CHOOSE(CONTROL!$C$27, 0.0021, 0)</f>
        <v>98.038399999999996</v>
      </c>
      <c r="C608" s="14">
        <f>97.6041 * CHOOSE(CONTROL!$C$9, $D$9, 100%, $F$9) + CHOOSE(CONTROL!$C$27, 0.0021, 0)</f>
        <v>97.606200000000001</v>
      </c>
      <c r="D608" s="14">
        <f>97.6041 * CHOOSE(CONTROL!$C$9, $D$9, 100%, $F$9) + CHOOSE(CONTROL!$C$27, 0.0021, 0)</f>
        <v>97.606200000000001</v>
      </c>
      <c r="E608" s="14">
        <f>97.4674 * CHOOSE(CONTROL!$C$9, $D$9, 100%, $F$9) + CHOOSE(CONTROL!$C$27, 0.0021, 0)</f>
        <v>97.469499999999996</v>
      </c>
      <c r="F608" s="14">
        <f>97.4674 * CHOOSE(CONTROL!$C$9, $D$9, 100%, $F$9) + CHOOSE(CONTROL!$C$27, 0.0021, 0)</f>
        <v>97.469499999999996</v>
      </c>
      <c r="G608" s="14">
        <f>97.7388 * CHOOSE(CONTROL!$C$9, $D$9, 100%, $F$9) + CHOOSE(CONTROL!$C$27, 0.0021, 0)</f>
        <v>97.740899999999996</v>
      </c>
      <c r="H608" s="14">
        <f>97.6041 * CHOOSE(CONTROL!$C$9, $D$9, 100%, $F$9) + CHOOSE(CONTROL!$C$27, 0.0021, 0)</f>
        <v>97.606200000000001</v>
      </c>
      <c r="I608" s="14">
        <f>97.6041 * CHOOSE(CONTROL!$C$9, $D$9, 100%, $F$9) + CHOOSE(CONTROL!$C$27, 0.0021, 0)</f>
        <v>97.606200000000001</v>
      </c>
      <c r="J608" s="14">
        <f>97.6041 * CHOOSE(CONTROL!$C$9, $D$9, 100%, $F$9) + CHOOSE(CONTROL!$C$27, 0.0021, 0)</f>
        <v>97.606200000000001</v>
      </c>
      <c r="K608" s="14">
        <f>97.6041 * CHOOSE(CONTROL!$C$9, $D$9, 100%, $F$9) + CHOOSE(CONTROL!$C$27, 0.0021, 0)</f>
        <v>97.606200000000001</v>
      </c>
      <c r="L608" s="14"/>
    </row>
    <row r="609" spans="1:12" ht="15.75" x14ac:dyDescent="0.25">
      <c r="A609" s="32">
        <v>59475</v>
      </c>
      <c r="B609" s="14">
        <f>94.7254 * CHOOSE(CONTROL!$C$9, $D$9, 100%, $F$9) + CHOOSE(CONTROL!$C$27, 0.0021, 0)</f>
        <v>94.727499999999992</v>
      </c>
      <c r="C609" s="14">
        <f>94.2932 * CHOOSE(CONTROL!$C$9, $D$9, 100%, $F$9) + CHOOSE(CONTROL!$C$27, 0.0021, 0)</f>
        <v>94.295299999999997</v>
      </c>
      <c r="D609" s="14">
        <f>94.2932 * CHOOSE(CONTROL!$C$9, $D$9, 100%, $F$9) + CHOOSE(CONTROL!$C$27, 0.0021, 0)</f>
        <v>94.295299999999997</v>
      </c>
      <c r="E609" s="14">
        <f>94.1565 * CHOOSE(CONTROL!$C$9, $D$9, 100%, $F$9) + CHOOSE(CONTROL!$C$27, 0.0021, 0)</f>
        <v>94.158599999999993</v>
      </c>
      <c r="F609" s="14">
        <f>94.1565 * CHOOSE(CONTROL!$C$9, $D$9, 100%, $F$9) + CHOOSE(CONTROL!$C$27, 0.0021, 0)</f>
        <v>94.158599999999993</v>
      </c>
      <c r="G609" s="14">
        <f>94.4279 * CHOOSE(CONTROL!$C$9, $D$9, 100%, $F$9) + CHOOSE(CONTROL!$C$27, 0.0021, 0)</f>
        <v>94.429999999999993</v>
      </c>
      <c r="H609" s="14">
        <f>94.2932 * CHOOSE(CONTROL!$C$9, $D$9, 100%, $F$9) + CHOOSE(CONTROL!$C$27, 0.0021, 0)</f>
        <v>94.295299999999997</v>
      </c>
      <c r="I609" s="14">
        <f>94.2932 * CHOOSE(CONTROL!$C$9, $D$9, 100%, $F$9) + CHOOSE(CONTROL!$C$27, 0.0021, 0)</f>
        <v>94.295299999999997</v>
      </c>
      <c r="J609" s="14">
        <f>94.2932 * CHOOSE(CONTROL!$C$9, $D$9, 100%, $F$9) + CHOOSE(CONTROL!$C$27, 0.0021, 0)</f>
        <v>94.295299999999997</v>
      </c>
      <c r="K609" s="14">
        <f>94.2932 * CHOOSE(CONTROL!$C$9, $D$9, 100%, $F$9) + CHOOSE(CONTROL!$C$27, 0.0021, 0)</f>
        <v>94.295299999999997</v>
      </c>
      <c r="L609" s="14"/>
    </row>
    <row r="610" spans="1:12" ht="15.75" x14ac:dyDescent="0.25">
      <c r="A610" s="32">
        <v>59505</v>
      </c>
      <c r="B610" s="14">
        <f>94.0668 * CHOOSE(CONTROL!$C$9, $D$9, 100%, $F$9) + CHOOSE(CONTROL!$C$27, 0.0021, 0)</f>
        <v>94.068899999999999</v>
      </c>
      <c r="C610" s="14">
        <f>93.6345 * CHOOSE(CONTROL!$C$9, $D$9, 100%, $F$9) + CHOOSE(CONTROL!$C$27, 0.0021, 0)</f>
        <v>93.636600000000001</v>
      </c>
      <c r="D610" s="14">
        <f>93.6345 * CHOOSE(CONTROL!$C$9, $D$9, 100%, $F$9) + CHOOSE(CONTROL!$C$27, 0.0021, 0)</f>
        <v>93.636600000000001</v>
      </c>
      <c r="E610" s="14">
        <f>93.4979 * CHOOSE(CONTROL!$C$9, $D$9, 100%, $F$9) + CHOOSE(CONTROL!$C$27, 0.0021, 0)</f>
        <v>93.5</v>
      </c>
      <c r="F610" s="14">
        <f>93.4979 * CHOOSE(CONTROL!$C$9, $D$9, 100%, $F$9) + CHOOSE(CONTROL!$C$27, 0.0021, 0)</f>
        <v>93.5</v>
      </c>
      <c r="G610" s="14">
        <f>93.7693 * CHOOSE(CONTROL!$C$9, $D$9, 100%, $F$9) + CHOOSE(CONTROL!$C$27, 0.0021, 0)</f>
        <v>93.7714</v>
      </c>
      <c r="H610" s="14">
        <f>93.6345 * CHOOSE(CONTROL!$C$9, $D$9, 100%, $F$9) + CHOOSE(CONTROL!$C$27, 0.0021, 0)</f>
        <v>93.636600000000001</v>
      </c>
      <c r="I610" s="14">
        <f>93.6345 * CHOOSE(CONTROL!$C$9, $D$9, 100%, $F$9) + CHOOSE(CONTROL!$C$27, 0.0021, 0)</f>
        <v>93.636600000000001</v>
      </c>
      <c r="J610" s="14">
        <f>93.6345 * CHOOSE(CONTROL!$C$9, $D$9, 100%, $F$9) + CHOOSE(CONTROL!$C$27, 0.0021, 0)</f>
        <v>93.636600000000001</v>
      </c>
      <c r="K610" s="14">
        <f>93.6345 * CHOOSE(CONTROL!$C$9, $D$9, 100%, $F$9) + CHOOSE(CONTROL!$C$27, 0.0021, 0)</f>
        <v>93.636600000000001</v>
      </c>
      <c r="L610" s="14"/>
    </row>
    <row r="611" spans="1:12" ht="15.75" x14ac:dyDescent="0.25">
      <c r="A611" s="32">
        <v>59536</v>
      </c>
      <c r="B611" s="14">
        <f>91.3434 * CHOOSE(CONTROL!$C$9, $D$9, 100%, $F$9) + CHOOSE(CONTROL!$C$27, 0.0021, 0)</f>
        <v>91.345500000000001</v>
      </c>
      <c r="C611" s="14">
        <f>90.9111 * CHOOSE(CONTROL!$C$9, $D$9, 100%, $F$9) + CHOOSE(CONTROL!$C$27, 0.0021, 0)</f>
        <v>90.913200000000003</v>
      </c>
      <c r="D611" s="14">
        <f>90.9111 * CHOOSE(CONTROL!$C$9, $D$9, 100%, $F$9) + CHOOSE(CONTROL!$C$27, 0.0021, 0)</f>
        <v>90.913200000000003</v>
      </c>
      <c r="E611" s="14">
        <f>90.7745 * CHOOSE(CONTROL!$C$9, $D$9, 100%, $F$9) + CHOOSE(CONTROL!$C$27, 0.0021, 0)</f>
        <v>90.776600000000002</v>
      </c>
      <c r="F611" s="14">
        <f>90.7745 * CHOOSE(CONTROL!$C$9, $D$9, 100%, $F$9) + CHOOSE(CONTROL!$C$27, 0.0021, 0)</f>
        <v>90.776600000000002</v>
      </c>
      <c r="G611" s="14">
        <f>91.0458 * CHOOSE(CONTROL!$C$9, $D$9, 100%, $F$9) + CHOOSE(CONTROL!$C$27, 0.0021, 0)</f>
        <v>91.047899999999998</v>
      </c>
      <c r="H611" s="14">
        <f>90.9111 * CHOOSE(CONTROL!$C$9, $D$9, 100%, $F$9) + CHOOSE(CONTROL!$C$27, 0.0021, 0)</f>
        <v>90.913200000000003</v>
      </c>
      <c r="I611" s="14">
        <f>90.9111 * CHOOSE(CONTROL!$C$9, $D$9, 100%, $F$9) + CHOOSE(CONTROL!$C$27, 0.0021, 0)</f>
        <v>90.913200000000003</v>
      </c>
      <c r="J611" s="14">
        <f>90.9111 * CHOOSE(CONTROL!$C$9, $D$9, 100%, $F$9) + CHOOSE(CONTROL!$C$27, 0.0021, 0)</f>
        <v>90.913200000000003</v>
      </c>
      <c r="K611" s="14">
        <f>90.9111 * CHOOSE(CONTROL!$C$9, $D$9, 100%, $F$9) + CHOOSE(CONTROL!$C$27, 0.0021, 0)</f>
        <v>90.913200000000003</v>
      </c>
      <c r="L611" s="14"/>
    </row>
    <row r="612" spans="1:12" ht="15.75" x14ac:dyDescent="0.25">
      <c r="A612" s="32">
        <v>59567</v>
      </c>
      <c r="B612" s="14">
        <f>90.8132 * CHOOSE(CONTROL!$C$9, $D$9, 100%, $F$9) + CHOOSE(CONTROL!$C$27, 0.0021, 0)</f>
        <v>90.815299999999993</v>
      </c>
      <c r="C612" s="14">
        <f>90.3809 * CHOOSE(CONTROL!$C$9, $D$9, 100%, $F$9) + CHOOSE(CONTROL!$C$27, 0.0021, 0)</f>
        <v>90.382999999999996</v>
      </c>
      <c r="D612" s="14">
        <f>90.3809 * CHOOSE(CONTROL!$C$9, $D$9, 100%, $F$9) + CHOOSE(CONTROL!$C$27, 0.0021, 0)</f>
        <v>90.382999999999996</v>
      </c>
      <c r="E612" s="14">
        <f>90.2443 * CHOOSE(CONTROL!$C$9, $D$9, 100%, $F$9) + CHOOSE(CONTROL!$C$27, 0.0021, 0)</f>
        <v>90.246399999999994</v>
      </c>
      <c r="F612" s="14">
        <f>90.2443 * CHOOSE(CONTROL!$C$9, $D$9, 100%, $F$9) + CHOOSE(CONTROL!$C$27, 0.0021, 0)</f>
        <v>90.246399999999994</v>
      </c>
      <c r="G612" s="14">
        <f>90.5156 * CHOOSE(CONTROL!$C$9, $D$9, 100%, $F$9) + CHOOSE(CONTROL!$C$27, 0.0021, 0)</f>
        <v>90.517700000000005</v>
      </c>
      <c r="H612" s="14">
        <f>90.3809 * CHOOSE(CONTROL!$C$9, $D$9, 100%, $F$9) + CHOOSE(CONTROL!$C$27, 0.0021, 0)</f>
        <v>90.382999999999996</v>
      </c>
      <c r="I612" s="14">
        <f>90.3809 * CHOOSE(CONTROL!$C$9, $D$9, 100%, $F$9) + CHOOSE(CONTROL!$C$27, 0.0021, 0)</f>
        <v>90.382999999999996</v>
      </c>
      <c r="J612" s="14">
        <f>90.3809 * CHOOSE(CONTROL!$C$9, $D$9, 100%, $F$9) + CHOOSE(CONTROL!$C$27, 0.0021, 0)</f>
        <v>90.382999999999996</v>
      </c>
      <c r="K612" s="14">
        <f>90.3809 * CHOOSE(CONTROL!$C$9, $D$9, 100%, $F$9) + CHOOSE(CONTROL!$C$27, 0.0021, 0)</f>
        <v>90.382999999999996</v>
      </c>
      <c r="L612" s="14"/>
    </row>
    <row r="613" spans="1:12" ht="15.75" x14ac:dyDescent="0.25">
      <c r="A613" s="32">
        <v>59595</v>
      </c>
      <c r="B613" s="14">
        <f>90.5671 * CHOOSE(CONTROL!$C$9, $D$9, 100%, $F$9) + CHOOSE(CONTROL!$C$27, 0.0021, 0)</f>
        <v>90.569199999999995</v>
      </c>
      <c r="C613" s="14">
        <f>90.1349 * CHOOSE(CONTROL!$C$9, $D$9, 100%, $F$9) + CHOOSE(CONTROL!$C$27, 0.0021, 0)</f>
        <v>90.137</v>
      </c>
      <c r="D613" s="14">
        <f>90.1349 * CHOOSE(CONTROL!$C$9, $D$9, 100%, $F$9) + CHOOSE(CONTROL!$C$27, 0.0021, 0)</f>
        <v>90.137</v>
      </c>
      <c r="E613" s="14">
        <f>89.9982 * CHOOSE(CONTROL!$C$9, $D$9, 100%, $F$9) + CHOOSE(CONTROL!$C$27, 0.0021, 0)</f>
        <v>90.000299999999996</v>
      </c>
      <c r="F613" s="14">
        <f>89.9982 * CHOOSE(CONTROL!$C$9, $D$9, 100%, $F$9) + CHOOSE(CONTROL!$C$27, 0.0021, 0)</f>
        <v>90.000299999999996</v>
      </c>
      <c r="G613" s="14">
        <f>90.2696 * CHOOSE(CONTROL!$C$9, $D$9, 100%, $F$9) + CHOOSE(CONTROL!$C$27, 0.0021, 0)</f>
        <v>90.271699999999996</v>
      </c>
      <c r="H613" s="14">
        <f>90.1349 * CHOOSE(CONTROL!$C$9, $D$9, 100%, $F$9) + CHOOSE(CONTROL!$C$27, 0.0021, 0)</f>
        <v>90.137</v>
      </c>
      <c r="I613" s="14">
        <f>90.1349 * CHOOSE(CONTROL!$C$9, $D$9, 100%, $F$9) + CHOOSE(CONTROL!$C$27, 0.0021, 0)</f>
        <v>90.137</v>
      </c>
      <c r="J613" s="14">
        <f>90.1349 * CHOOSE(CONTROL!$C$9, $D$9, 100%, $F$9) + CHOOSE(CONTROL!$C$27, 0.0021, 0)</f>
        <v>90.137</v>
      </c>
      <c r="K613" s="14">
        <f>90.1349 * CHOOSE(CONTROL!$C$9, $D$9, 100%, $F$9) + CHOOSE(CONTROL!$C$27, 0.0021, 0)</f>
        <v>90.137</v>
      </c>
      <c r="L613" s="14"/>
    </row>
    <row r="614" spans="1:12" ht="15.75" x14ac:dyDescent="0.25">
      <c r="A614" s="32">
        <v>59626</v>
      </c>
      <c r="B614" s="14">
        <f>95.2197 * CHOOSE(CONTROL!$C$9, $D$9, 100%, $F$9) + CHOOSE(CONTROL!$C$27, 0.0021, 0)</f>
        <v>95.221800000000002</v>
      </c>
      <c r="C614" s="14">
        <f>94.7874 * CHOOSE(CONTROL!$C$9, $D$9, 100%, $F$9) + CHOOSE(CONTROL!$C$27, 0.0021, 0)</f>
        <v>94.789500000000004</v>
      </c>
      <c r="D614" s="14">
        <f>94.7874 * CHOOSE(CONTROL!$C$9, $D$9, 100%, $F$9) + CHOOSE(CONTROL!$C$27, 0.0021, 0)</f>
        <v>94.789500000000004</v>
      </c>
      <c r="E614" s="14">
        <f>94.6508 * CHOOSE(CONTROL!$C$9, $D$9, 100%, $F$9) + CHOOSE(CONTROL!$C$27, 0.0021, 0)</f>
        <v>94.652900000000002</v>
      </c>
      <c r="F614" s="14">
        <f>94.6508 * CHOOSE(CONTROL!$C$9, $D$9, 100%, $F$9) + CHOOSE(CONTROL!$C$27, 0.0021, 0)</f>
        <v>94.652900000000002</v>
      </c>
      <c r="G614" s="14">
        <f>94.9222 * CHOOSE(CONTROL!$C$9, $D$9, 100%, $F$9) + CHOOSE(CONTROL!$C$27, 0.0021, 0)</f>
        <v>94.924300000000002</v>
      </c>
      <c r="H614" s="14">
        <f>94.7874 * CHOOSE(CONTROL!$C$9, $D$9, 100%, $F$9) + CHOOSE(CONTROL!$C$27, 0.0021, 0)</f>
        <v>94.789500000000004</v>
      </c>
      <c r="I614" s="14">
        <f>94.7874 * CHOOSE(CONTROL!$C$9, $D$9, 100%, $F$9) + CHOOSE(CONTROL!$C$27, 0.0021, 0)</f>
        <v>94.789500000000004</v>
      </c>
      <c r="J614" s="14">
        <f>94.7874 * CHOOSE(CONTROL!$C$9, $D$9, 100%, $F$9) + CHOOSE(CONTROL!$C$27, 0.0021, 0)</f>
        <v>94.789500000000004</v>
      </c>
      <c r="K614" s="14">
        <f>94.7874 * CHOOSE(CONTROL!$C$9, $D$9, 100%, $F$9) + CHOOSE(CONTROL!$C$27, 0.0021, 0)</f>
        <v>94.789500000000004</v>
      </c>
      <c r="L614" s="14"/>
    </row>
    <row r="615" spans="1:12" ht="15.75" x14ac:dyDescent="0.25">
      <c r="A615" s="32">
        <v>59656</v>
      </c>
      <c r="B615" s="14">
        <f>101.253 * CHOOSE(CONTROL!$C$9, $D$9, 100%, $F$9) + CHOOSE(CONTROL!$C$27, 0.0021, 0)</f>
        <v>101.2551</v>
      </c>
      <c r="C615" s="14">
        <f>100.8207 * CHOOSE(CONTROL!$C$9, $D$9, 100%, $F$9) + CHOOSE(CONTROL!$C$27, 0.0021, 0)</f>
        <v>100.8228</v>
      </c>
      <c r="D615" s="14">
        <f>100.8207 * CHOOSE(CONTROL!$C$9, $D$9, 100%, $F$9) + CHOOSE(CONTROL!$C$27, 0.0021, 0)</f>
        <v>100.8228</v>
      </c>
      <c r="E615" s="14">
        <f>100.6841 * CHOOSE(CONTROL!$C$9, $D$9, 100%, $F$9) + CHOOSE(CONTROL!$C$27, 0.0021, 0)</f>
        <v>100.6862</v>
      </c>
      <c r="F615" s="14">
        <f>100.6841 * CHOOSE(CONTROL!$C$9, $D$9, 100%, $F$9) + CHOOSE(CONTROL!$C$27, 0.0021, 0)</f>
        <v>100.6862</v>
      </c>
      <c r="G615" s="14">
        <f>100.9555 * CHOOSE(CONTROL!$C$9, $D$9, 100%, $F$9) + CHOOSE(CONTROL!$C$27, 0.0021, 0)</f>
        <v>100.9576</v>
      </c>
      <c r="H615" s="14">
        <f>100.8207 * CHOOSE(CONTROL!$C$9, $D$9, 100%, $F$9) + CHOOSE(CONTROL!$C$27, 0.0021, 0)</f>
        <v>100.8228</v>
      </c>
      <c r="I615" s="14">
        <f>100.8207 * CHOOSE(CONTROL!$C$9, $D$9, 100%, $F$9) + CHOOSE(CONTROL!$C$27, 0.0021, 0)</f>
        <v>100.8228</v>
      </c>
      <c r="J615" s="14">
        <f>100.8207 * CHOOSE(CONTROL!$C$9, $D$9, 100%, $F$9) + CHOOSE(CONTROL!$C$27, 0.0021, 0)</f>
        <v>100.8228</v>
      </c>
      <c r="K615" s="14">
        <f>100.8207 * CHOOSE(CONTROL!$C$9, $D$9, 100%, $F$9) + CHOOSE(CONTROL!$C$27, 0.0021, 0)</f>
        <v>100.8228</v>
      </c>
      <c r="L615" s="14"/>
    </row>
    <row r="616" spans="1:12" ht="15.75" x14ac:dyDescent="0.25">
      <c r="A616" s="32">
        <v>59687</v>
      </c>
      <c r="B616" s="14">
        <f>104.5739 * CHOOSE(CONTROL!$C$9, $D$9, 100%, $F$9) + CHOOSE(CONTROL!$C$27, 0.0021, 0)</f>
        <v>104.57599999999999</v>
      </c>
      <c r="C616" s="14">
        <f>104.1417 * CHOOSE(CONTROL!$C$9, $D$9, 100%, $F$9) + CHOOSE(CONTROL!$C$27, 0.0021, 0)</f>
        <v>104.1438</v>
      </c>
      <c r="D616" s="14">
        <f>104.1417 * CHOOSE(CONTROL!$C$9, $D$9, 100%, $F$9) + CHOOSE(CONTROL!$C$27, 0.0021, 0)</f>
        <v>104.1438</v>
      </c>
      <c r="E616" s="14">
        <f>104.005 * CHOOSE(CONTROL!$C$9, $D$9, 100%, $F$9) + CHOOSE(CONTROL!$C$27, 0.0021, 0)</f>
        <v>104.00709999999999</v>
      </c>
      <c r="F616" s="14">
        <f>104.005 * CHOOSE(CONTROL!$C$9, $D$9, 100%, $F$9) + CHOOSE(CONTROL!$C$27, 0.0021, 0)</f>
        <v>104.00709999999999</v>
      </c>
      <c r="G616" s="14">
        <f>104.2764 * CHOOSE(CONTROL!$C$9, $D$9, 100%, $F$9) + CHOOSE(CONTROL!$C$27, 0.0021, 0)</f>
        <v>104.27849999999999</v>
      </c>
      <c r="H616" s="14">
        <f>104.1417 * CHOOSE(CONTROL!$C$9, $D$9, 100%, $F$9) + CHOOSE(CONTROL!$C$27, 0.0021, 0)</f>
        <v>104.1438</v>
      </c>
      <c r="I616" s="14">
        <f>104.1417 * CHOOSE(CONTROL!$C$9, $D$9, 100%, $F$9) + CHOOSE(CONTROL!$C$27, 0.0021, 0)</f>
        <v>104.1438</v>
      </c>
      <c r="J616" s="14">
        <f>104.1417 * CHOOSE(CONTROL!$C$9, $D$9, 100%, $F$9) + CHOOSE(CONTROL!$C$27, 0.0021, 0)</f>
        <v>104.1438</v>
      </c>
      <c r="K616" s="14">
        <f>104.1417 * CHOOSE(CONTROL!$C$9, $D$9, 100%, $F$9) + CHOOSE(CONTROL!$C$27, 0.0021, 0)</f>
        <v>104.1438</v>
      </c>
      <c r="L616" s="14"/>
    </row>
    <row r="617" spans="1:12" ht="15.75" x14ac:dyDescent="0.25">
      <c r="A617" s="32">
        <v>59717</v>
      </c>
      <c r="B617" s="14">
        <f>106.0477 * CHOOSE(CONTROL!$C$9, $D$9, 100%, $F$9) + CHOOSE(CONTROL!$C$27, 0.0021, 0)</f>
        <v>106.0498</v>
      </c>
      <c r="C617" s="14">
        <f>105.6154 * CHOOSE(CONTROL!$C$9, $D$9, 100%, $F$9) + CHOOSE(CONTROL!$C$27, 0.0021, 0)</f>
        <v>105.61749999999999</v>
      </c>
      <c r="D617" s="14">
        <f>105.6154 * CHOOSE(CONTROL!$C$9, $D$9, 100%, $F$9) + CHOOSE(CONTROL!$C$27, 0.0021, 0)</f>
        <v>105.61749999999999</v>
      </c>
      <c r="E617" s="14">
        <f>105.4788 * CHOOSE(CONTROL!$C$9, $D$9, 100%, $F$9) + CHOOSE(CONTROL!$C$27, 0.0021, 0)</f>
        <v>105.48090000000001</v>
      </c>
      <c r="F617" s="14">
        <f>105.4788 * CHOOSE(CONTROL!$C$9, $D$9, 100%, $F$9) + CHOOSE(CONTROL!$C$27, 0.0021, 0)</f>
        <v>105.48090000000001</v>
      </c>
      <c r="G617" s="14">
        <f>105.7501 * CHOOSE(CONTROL!$C$9, $D$9, 100%, $F$9) + CHOOSE(CONTROL!$C$27, 0.0021, 0)</f>
        <v>105.7522</v>
      </c>
      <c r="H617" s="14">
        <f>105.6154 * CHOOSE(CONTROL!$C$9, $D$9, 100%, $F$9) + CHOOSE(CONTROL!$C$27, 0.0021, 0)</f>
        <v>105.61749999999999</v>
      </c>
      <c r="I617" s="14">
        <f>105.6154 * CHOOSE(CONTROL!$C$9, $D$9, 100%, $F$9) + CHOOSE(CONTROL!$C$27, 0.0021, 0)</f>
        <v>105.61749999999999</v>
      </c>
      <c r="J617" s="14">
        <f>105.6154 * CHOOSE(CONTROL!$C$9, $D$9, 100%, $F$9) + CHOOSE(CONTROL!$C$27, 0.0021, 0)</f>
        <v>105.61749999999999</v>
      </c>
      <c r="K617" s="14">
        <f>105.6154 * CHOOSE(CONTROL!$C$9, $D$9, 100%, $F$9) + CHOOSE(CONTROL!$C$27, 0.0021, 0)</f>
        <v>105.61749999999999</v>
      </c>
      <c r="L617" s="14"/>
    </row>
    <row r="618" spans="1:12" ht="15.75" x14ac:dyDescent="0.25">
      <c r="A618" s="32">
        <v>59748</v>
      </c>
      <c r="B618" s="14">
        <f>105.5624 * CHOOSE(CONTROL!$C$9, $D$9, 100%, $F$9) + CHOOSE(CONTROL!$C$27, 0.0021, 0)</f>
        <v>105.5645</v>
      </c>
      <c r="C618" s="14">
        <f>105.1302 * CHOOSE(CONTROL!$C$9, $D$9, 100%, $F$9) + CHOOSE(CONTROL!$C$27, 0.0021, 0)</f>
        <v>105.1323</v>
      </c>
      <c r="D618" s="14">
        <f>105.1302 * CHOOSE(CONTROL!$C$9, $D$9, 100%, $F$9) + CHOOSE(CONTROL!$C$27, 0.0021, 0)</f>
        <v>105.1323</v>
      </c>
      <c r="E618" s="14">
        <f>104.9935 * CHOOSE(CONTROL!$C$9, $D$9, 100%, $F$9) + CHOOSE(CONTROL!$C$27, 0.0021, 0)</f>
        <v>104.9956</v>
      </c>
      <c r="F618" s="14">
        <f>104.9935 * CHOOSE(CONTROL!$C$9, $D$9, 100%, $F$9) + CHOOSE(CONTROL!$C$27, 0.0021, 0)</f>
        <v>104.9956</v>
      </c>
      <c r="G618" s="14">
        <f>105.2649 * CHOOSE(CONTROL!$C$9, $D$9, 100%, $F$9) + CHOOSE(CONTROL!$C$27, 0.0021, 0)</f>
        <v>105.267</v>
      </c>
      <c r="H618" s="14">
        <f>105.1302 * CHOOSE(CONTROL!$C$9, $D$9, 100%, $F$9) + CHOOSE(CONTROL!$C$27, 0.0021, 0)</f>
        <v>105.1323</v>
      </c>
      <c r="I618" s="14">
        <f>105.1302 * CHOOSE(CONTROL!$C$9, $D$9, 100%, $F$9) + CHOOSE(CONTROL!$C$27, 0.0021, 0)</f>
        <v>105.1323</v>
      </c>
      <c r="J618" s="14">
        <f>105.1302 * CHOOSE(CONTROL!$C$9, $D$9, 100%, $F$9) + CHOOSE(CONTROL!$C$27, 0.0021, 0)</f>
        <v>105.1323</v>
      </c>
      <c r="K618" s="14">
        <f>105.1302 * CHOOSE(CONTROL!$C$9, $D$9, 100%, $F$9) + CHOOSE(CONTROL!$C$27, 0.0021, 0)</f>
        <v>105.1323</v>
      </c>
      <c r="L618" s="14"/>
    </row>
    <row r="619" spans="1:12" ht="15.75" x14ac:dyDescent="0.25">
      <c r="A619" s="32">
        <v>59779</v>
      </c>
      <c r="B619" s="14">
        <f>103.1584 * CHOOSE(CONTROL!$C$9, $D$9, 100%, $F$9) + CHOOSE(CONTROL!$C$27, 0.0021, 0)</f>
        <v>103.1605</v>
      </c>
      <c r="C619" s="14">
        <f>102.7261 * CHOOSE(CONTROL!$C$9, $D$9, 100%, $F$9) + CHOOSE(CONTROL!$C$27, 0.0021, 0)</f>
        <v>102.7282</v>
      </c>
      <c r="D619" s="14">
        <f>102.7261 * CHOOSE(CONTROL!$C$9, $D$9, 100%, $F$9) + CHOOSE(CONTROL!$C$27, 0.0021, 0)</f>
        <v>102.7282</v>
      </c>
      <c r="E619" s="14">
        <f>102.5895 * CHOOSE(CONTROL!$C$9, $D$9, 100%, $F$9) + CHOOSE(CONTROL!$C$27, 0.0021, 0)</f>
        <v>102.5916</v>
      </c>
      <c r="F619" s="14">
        <f>102.5895 * CHOOSE(CONTROL!$C$9, $D$9, 100%, $F$9) + CHOOSE(CONTROL!$C$27, 0.0021, 0)</f>
        <v>102.5916</v>
      </c>
      <c r="G619" s="14">
        <f>102.8608 * CHOOSE(CONTROL!$C$9, $D$9, 100%, $F$9) + CHOOSE(CONTROL!$C$27, 0.0021, 0)</f>
        <v>102.8629</v>
      </c>
      <c r="H619" s="14">
        <f>102.7261 * CHOOSE(CONTROL!$C$9, $D$9, 100%, $F$9) + CHOOSE(CONTROL!$C$27, 0.0021, 0)</f>
        <v>102.7282</v>
      </c>
      <c r="I619" s="14">
        <f>102.7261 * CHOOSE(CONTROL!$C$9, $D$9, 100%, $F$9) + CHOOSE(CONTROL!$C$27, 0.0021, 0)</f>
        <v>102.7282</v>
      </c>
      <c r="J619" s="14">
        <f>102.7261 * CHOOSE(CONTROL!$C$9, $D$9, 100%, $F$9) + CHOOSE(CONTROL!$C$27, 0.0021, 0)</f>
        <v>102.7282</v>
      </c>
      <c r="K619" s="14">
        <f>102.7261 * CHOOSE(CONTROL!$C$9, $D$9, 100%, $F$9) + CHOOSE(CONTROL!$C$27, 0.0021, 0)</f>
        <v>102.7282</v>
      </c>
      <c r="L619" s="14"/>
    </row>
    <row r="620" spans="1:12" ht="15.75" x14ac:dyDescent="0.25">
      <c r="A620" s="32">
        <v>59809</v>
      </c>
      <c r="B620" s="14">
        <f>99.8057 * CHOOSE(CONTROL!$C$9, $D$9, 100%, $F$9) + CHOOSE(CONTROL!$C$27, 0.0021, 0)</f>
        <v>99.8078</v>
      </c>
      <c r="C620" s="14">
        <f>99.3735 * CHOOSE(CONTROL!$C$9, $D$9, 100%, $F$9) + CHOOSE(CONTROL!$C$27, 0.0021, 0)</f>
        <v>99.375600000000006</v>
      </c>
      <c r="D620" s="14">
        <f>99.3735 * CHOOSE(CONTROL!$C$9, $D$9, 100%, $F$9) + CHOOSE(CONTROL!$C$27, 0.0021, 0)</f>
        <v>99.375600000000006</v>
      </c>
      <c r="E620" s="14">
        <f>99.2368 * CHOOSE(CONTROL!$C$9, $D$9, 100%, $F$9) + CHOOSE(CONTROL!$C$27, 0.0021, 0)</f>
        <v>99.238900000000001</v>
      </c>
      <c r="F620" s="14">
        <f>99.2368 * CHOOSE(CONTROL!$C$9, $D$9, 100%, $F$9) + CHOOSE(CONTROL!$C$27, 0.0021, 0)</f>
        <v>99.238900000000001</v>
      </c>
      <c r="G620" s="14">
        <f>99.5082 * CHOOSE(CONTROL!$C$9, $D$9, 100%, $F$9) + CHOOSE(CONTROL!$C$27, 0.0021, 0)</f>
        <v>99.510300000000001</v>
      </c>
      <c r="H620" s="14">
        <f>99.3735 * CHOOSE(CONTROL!$C$9, $D$9, 100%, $F$9) + CHOOSE(CONTROL!$C$27, 0.0021, 0)</f>
        <v>99.375600000000006</v>
      </c>
      <c r="I620" s="14">
        <f>99.3735 * CHOOSE(CONTROL!$C$9, $D$9, 100%, $F$9) + CHOOSE(CONTROL!$C$27, 0.0021, 0)</f>
        <v>99.375600000000006</v>
      </c>
      <c r="J620" s="14">
        <f>99.3735 * CHOOSE(CONTROL!$C$9, $D$9, 100%, $F$9) + CHOOSE(CONTROL!$C$27, 0.0021, 0)</f>
        <v>99.375600000000006</v>
      </c>
      <c r="K620" s="14">
        <f>99.3735 * CHOOSE(CONTROL!$C$9, $D$9, 100%, $F$9) + CHOOSE(CONTROL!$C$27, 0.0021, 0)</f>
        <v>99.375600000000006</v>
      </c>
      <c r="L620" s="14"/>
    </row>
    <row r="621" spans="1:12" ht="15.75" x14ac:dyDescent="0.25">
      <c r="A621" s="32">
        <v>59840</v>
      </c>
      <c r="B621" s="14">
        <f>96.4336 * CHOOSE(CONTROL!$C$9, $D$9, 100%, $F$9) + CHOOSE(CONTROL!$C$27, 0.0021, 0)</f>
        <v>96.435699999999997</v>
      </c>
      <c r="C621" s="14">
        <f>96.0014 * CHOOSE(CONTROL!$C$9, $D$9, 100%, $F$9) + CHOOSE(CONTROL!$C$27, 0.0021, 0)</f>
        <v>96.003500000000003</v>
      </c>
      <c r="D621" s="14">
        <f>96.0014 * CHOOSE(CONTROL!$C$9, $D$9, 100%, $F$9) + CHOOSE(CONTROL!$C$27, 0.0021, 0)</f>
        <v>96.003500000000003</v>
      </c>
      <c r="E621" s="14">
        <f>95.8647 * CHOOSE(CONTROL!$C$9, $D$9, 100%, $F$9) + CHOOSE(CONTROL!$C$27, 0.0021, 0)</f>
        <v>95.866799999999998</v>
      </c>
      <c r="F621" s="14">
        <f>95.8647 * CHOOSE(CONTROL!$C$9, $D$9, 100%, $F$9) + CHOOSE(CONTROL!$C$27, 0.0021, 0)</f>
        <v>95.866799999999998</v>
      </c>
      <c r="G621" s="14">
        <f>96.1361 * CHOOSE(CONTROL!$C$9, $D$9, 100%, $F$9) + CHOOSE(CONTROL!$C$27, 0.0021, 0)</f>
        <v>96.138199999999998</v>
      </c>
      <c r="H621" s="14">
        <f>96.0014 * CHOOSE(CONTROL!$C$9, $D$9, 100%, $F$9) + CHOOSE(CONTROL!$C$27, 0.0021, 0)</f>
        <v>96.003500000000003</v>
      </c>
      <c r="I621" s="14">
        <f>96.0014 * CHOOSE(CONTROL!$C$9, $D$9, 100%, $F$9) + CHOOSE(CONTROL!$C$27, 0.0021, 0)</f>
        <v>96.003500000000003</v>
      </c>
      <c r="J621" s="14">
        <f>96.0014 * CHOOSE(CONTROL!$C$9, $D$9, 100%, $F$9) + CHOOSE(CONTROL!$C$27, 0.0021, 0)</f>
        <v>96.003500000000003</v>
      </c>
      <c r="K621" s="14">
        <f>96.0014 * CHOOSE(CONTROL!$C$9, $D$9, 100%, $F$9) + CHOOSE(CONTROL!$C$27, 0.0021, 0)</f>
        <v>96.003500000000003</v>
      </c>
      <c r="L621" s="14"/>
    </row>
    <row r="622" spans="1:12" ht="15.75" x14ac:dyDescent="0.25">
      <c r="A622" s="32">
        <v>59870</v>
      </c>
      <c r="B622" s="14">
        <f>95.7629 * CHOOSE(CONTROL!$C$9, $D$9, 100%, $F$9) + CHOOSE(CONTROL!$C$27, 0.0021, 0)</f>
        <v>95.765000000000001</v>
      </c>
      <c r="C622" s="14">
        <f>95.3306 * CHOOSE(CONTROL!$C$9, $D$9, 100%, $F$9) + CHOOSE(CONTROL!$C$27, 0.0021, 0)</f>
        <v>95.332700000000003</v>
      </c>
      <c r="D622" s="14">
        <f>95.3306 * CHOOSE(CONTROL!$C$9, $D$9, 100%, $F$9) + CHOOSE(CONTROL!$C$27, 0.0021, 0)</f>
        <v>95.332700000000003</v>
      </c>
      <c r="E622" s="14">
        <f>95.1939 * CHOOSE(CONTROL!$C$9, $D$9, 100%, $F$9) + CHOOSE(CONTROL!$C$27, 0.0021, 0)</f>
        <v>95.195999999999998</v>
      </c>
      <c r="F622" s="14">
        <f>95.1939 * CHOOSE(CONTROL!$C$9, $D$9, 100%, $F$9) + CHOOSE(CONTROL!$C$27, 0.0021, 0)</f>
        <v>95.195999999999998</v>
      </c>
      <c r="G622" s="14">
        <f>95.4653 * CHOOSE(CONTROL!$C$9, $D$9, 100%, $F$9) + CHOOSE(CONTROL!$C$27, 0.0021, 0)</f>
        <v>95.467399999999998</v>
      </c>
      <c r="H622" s="14">
        <f>95.3306 * CHOOSE(CONTROL!$C$9, $D$9, 100%, $F$9) + CHOOSE(CONTROL!$C$27, 0.0021, 0)</f>
        <v>95.332700000000003</v>
      </c>
      <c r="I622" s="14">
        <f>95.3306 * CHOOSE(CONTROL!$C$9, $D$9, 100%, $F$9) + CHOOSE(CONTROL!$C$27, 0.0021, 0)</f>
        <v>95.332700000000003</v>
      </c>
      <c r="J622" s="14">
        <f>95.3306 * CHOOSE(CONTROL!$C$9, $D$9, 100%, $F$9) + CHOOSE(CONTROL!$C$27, 0.0021, 0)</f>
        <v>95.332700000000003</v>
      </c>
      <c r="K622" s="14">
        <f>95.3306 * CHOOSE(CONTROL!$C$9, $D$9, 100%, $F$9) + CHOOSE(CONTROL!$C$27, 0.0021, 0)</f>
        <v>95.332700000000003</v>
      </c>
      <c r="L622" s="14"/>
    </row>
    <row r="623" spans="1:12" ht="15.75" x14ac:dyDescent="0.25">
      <c r="A623" s="32">
        <v>59901</v>
      </c>
      <c r="B623" s="14">
        <f>92.9891 * CHOOSE(CONTROL!$C$9, $D$9, 100%, $F$9) + CHOOSE(CONTROL!$C$27, 0.0021, 0)</f>
        <v>92.991199999999992</v>
      </c>
      <c r="C623" s="14">
        <f>92.5569 * CHOOSE(CONTROL!$C$9, $D$9, 100%, $F$9) + CHOOSE(CONTROL!$C$27, 0.0021, 0)</f>
        <v>92.558999999999997</v>
      </c>
      <c r="D623" s="14">
        <f>92.5569 * CHOOSE(CONTROL!$C$9, $D$9, 100%, $F$9) + CHOOSE(CONTROL!$C$27, 0.0021, 0)</f>
        <v>92.558999999999997</v>
      </c>
      <c r="E623" s="14">
        <f>92.4202 * CHOOSE(CONTROL!$C$9, $D$9, 100%, $F$9) + CHOOSE(CONTROL!$C$27, 0.0021, 0)</f>
        <v>92.422299999999993</v>
      </c>
      <c r="F623" s="14">
        <f>92.4202 * CHOOSE(CONTROL!$C$9, $D$9, 100%, $F$9) + CHOOSE(CONTROL!$C$27, 0.0021, 0)</f>
        <v>92.422299999999993</v>
      </c>
      <c r="G623" s="14">
        <f>92.6916 * CHOOSE(CONTROL!$C$9, $D$9, 100%, $F$9) + CHOOSE(CONTROL!$C$27, 0.0021, 0)</f>
        <v>92.693699999999993</v>
      </c>
      <c r="H623" s="14">
        <f>92.5569 * CHOOSE(CONTROL!$C$9, $D$9, 100%, $F$9) + CHOOSE(CONTROL!$C$27, 0.0021, 0)</f>
        <v>92.558999999999997</v>
      </c>
      <c r="I623" s="14">
        <f>92.5569 * CHOOSE(CONTROL!$C$9, $D$9, 100%, $F$9) + CHOOSE(CONTROL!$C$27, 0.0021, 0)</f>
        <v>92.558999999999997</v>
      </c>
      <c r="J623" s="14">
        <f>92.5569 * CHOOSE(CONTROL!$C$9, $D$9, 100%, $F$9) + CHOOSE(CONTROL!$C$27, 0.0021, 0)</f>
        <v>92.558999999999997</v>
      </c>
      <c r="K623" s="14">
        <f>92.5569 * CHOOSE(CONTROL!$C$9, $D$9, 100%, $F$9) + CHOOSE(CONTROL!$C$27, 0.0021, 0)</f>
        <v>92.558999999999997</v>
      </c>
      <c r="L623" s="14"/>
    </row>
    <row r="624" spans="1:12" ht="15.75" x14ac:dyDescent="0.25">
      <c r="A624" s="32">
        <v>59932</v>
      </c>
      <c r="B624" s="14">
        <f>92.4491 * CHOOSE(CONTROL!$C$9, $D$9, 100%, $F$9) + CHOOSE(CONTROL!$C$27, 0.0021, 0)</f>
        <v>92.4512</v>
      </c>
      <c r="C624" s="14">
        <f>92.0168 * CHOOSE(CONTROL!$C$9, $D$9, 100%, $F$9) + CHOOSE(CONTROL!$C$27, 0.0021, 0)</f>
        <v>92.018900000000002</v>
      </c>
      <c r="D624" s="14">
        <f>92.0168 * CHOOSE(CONTROL!$C$9, $D$9, 100%, $F$9) + CHOOSE(CONTROL!$C$27, 0.0021, 0)</f>
        <v>92.018900000000002</v>
      </c>
      <c r="E624" s="14">
        <f>91.8802 * CHOOSE(CONTROL!$C$9, $D$9, 100%, $F$9) + CHOOSE(CONTROL!$C$27, 0.0021, 0)</f>
        <v>91.882300000000001</v>
      </c>
      <c r="F624" s="14">
        <f>91.8802 * CHOOSE(CONTROL!$C$9, $D$9, 100%, $F$9) + CHOOSE(CONTROL!$C$27, 0.0021, 0)</f>
        <v>91.882300000000001</v>
      </c>
      <c r="G624" s="14">
        <f>92.1516 * CHOOSE(CONTROL!$C$9, $D$9, 100%, $F$9) + CHOOSE(CONTROL!$C$27, 0.0021, 0)</f>
        <v>92.153700000000001</v>
      </c>
      <c r="H624" s="14">
        <f>92.0168 * CHOOSE(CONTROL!$C$9, $D$9, 100%, $F$9) + CHOOSE(CONTROL!$C$27, 0.0021, 0)</f>
        <v>92.018900000000002</v>
      </c>
      <c r="I624" s="14">
        <f>92.0168 * CHOOSE(CONTROL!$C$9, $D$9, 100%, $F$9) + CHOOSE(CONTROL!$C$27, 0.0021, 0)</f>
        <v>92.018900000000002</v>
      </c>
      <c r="J624" s="14">
        <f>92.0168 * CHOOSE(CONTROL!$C$9, $D$9, 100%, $F$9) + CHOOSE(CONTROL!$C$27, 0.0021, 0)</f>
        <v>92.018900000000002</v>
      </c>
      <c r="K624" s="14">
        <f>92.0168 * CHOOSE(CONTROL!$C$9, $D$9, 100%, $F$9) + CHOOSE(CONTROL!$C$27, 0.0021, 0)</f>
        <v>92.018900000000002</v>
      </c>
      <c r="L624" s="14"/>
    </row>
    <row r="625" spans="1:12" ht="15.75" x14ac:dyDescent="0.25">
      <c r="A625" s="32">
        <v>59961</v>
      </c>
      <c r="B625" s="14">
        <f>92.1985 * CHOOSE(CONTROL!$C$9, $D$9, 100%, $F$9) + CHOOSE(CONTROL!$C$27, 0.0021, 0)</f>
        <v>92.200599999999994</v>
      </c>
      <c r="C625" s="14">
        <f>91.7662 * CHOOSE(CONTROL!$C$9, $D$9, 100%, $F$9) + CHOOSE(CONTROL!$C$27, 0.0021, 0)</f>
        <v>91.768299999999996</v>
      </c>
      <c r="D625" s="14">
        <f>91.7662 * CHOOSE(CONTROL!$C$9, $D$9, 100%, $F$9) + CHOOSE(CONTROL!$C$27, 0.0021, 0)</f>
        <v>91.768299999999996</v>
      </c>
      <c r="E625" s="14">
        <f>91.6296 * CHOOSE(CONTROL!$C$9, $D$9, 100%, $F$9) + CHOOSE(CONTROL!$C$27, 0.0021, 0)</f>
        <v>91.631699999999995</v>
      </c>
      <c r="F625" s="14">
        <f>91.6296 * CHOOSE(CONTROL!$C$9, $D$9, 100%, $F$9) + CHOOSE(CONTROL!$C$27, 0.0021, 0)</f>
        <v>91.631699999999995</v>
      </c>
      <c r="G625" s="14">
        <f>91.901 * CHOOSE(CONTROL!$C$9, $D$9, 100%, $F$9) + CHOOSE(CONTROL!$C$27, 0.0021, 0)</f>
        <v>91.903099999999995</v>
      </c>
      <c r="H625" s="14">
        <f>91.7662 * CHOOSE(CONTROL!$C$9, $D$9, 100%, $F$9) + CHOOSE(CONTROL!$C$27, 0.0021, 0)</f>
        <v>91.768299999999996</v>
      </c>
      <c r="I625" s="14">
        <f>91.7662 * CHOOSE(CONTROL!$C$9, $D$9, 100%, $F$9) + CHOOSE(CONTROL!$C$27, 0.0021, 0)</f>
        <v>91.768299999999996</v>
      </c>
      <c r="J625" s="14">
        <f>91.7662 * CHOOSE(CONTROL!$C$9, $D$9, 100%, $F$9) + CHOOSE(CONTROL!$C$27, 0.0021, 0)</f>
        <v>91.768299999999996</v>
      </c>
      <c r="K625" s="14">
        <f>91.7662 * CHOOSE(CONTROL!$C$9, $D$9, 100%, $F$9) + CHOOSE(CONTROL!$C$27, 0.0021, 0)</f>
        <v>91.768299999999996</v>
      </c>
      <c r="L625" s="14"/>
    </row>
    <row r="626" spans="1:12" ht="15.75" x14ac:dyDescent="0.25">
      <c r="A626" s="32">
        <v>59992</v>
      </c>
      <c r="B626" s="14">
        <f>96.9371 * CHOOSE(CONTROL!$C$9, $D$9, 100%, $F$9) + CHOOSE(CONTROL!$C$27, 0.0021, 0)</f>
        <v>96.9392</v>
      </c>
      <c r="C626" s="14">
        <f>96.5048 * CHOOSE(CONTROL!$C$9, $D$9, 100%, $F$9) + CHOOSE(CONTROL!$C$27, 0.0021, 0)</f>
        <v>96.506900000000002</v>
      </c>
      <c r="D626" s="14">
        <f>96.5048 * CHOOSE(CONTROL!$C$9, $D$9, 100%, $F$9) + CHOOSE(CONTROL!$C$27, 0.0021, 0)</f>
        <v>96.506900000000002</v>
      </c>
      <c r="E626" s="14">
        <f>96.3682 * CHOOSE(CONTROL!$C$9, $D$9, 100%, $F$9) + CHOOSE(CONTROL!$C$27, 0.0021, 0)</f>
        <v>96.3703</v>
      </c>
      <c r="F626" s="14">
        <f>96.3682 * CHOOSE(CONTROL!$C$9, $D$9, 100%, $F$9) + CHOOSE(CONTROL!$C$27, 0.0021, 0)</f>
        <v>96.3703</v>
      </c>
      <c r="G626" s="14">
        <f>96.6395 * CHOOSE(CONTROL!$C$9, $D$9, 100%, $F$9) + CHOOSE(CONTROL!$C$27, 0.0021, 0)</f>
        <v>96.641599999999997</v>
      </c>
      <c r="H626" s="14">
        <f>96.5048 * CHOOSE(CONTROL!$C$9, $D$9, 100%, $F$9) + CHOOSE(CONTROL!$C$27, 0.0021, 0)</f>
        <v>96.506900000000002</v>
      </c>
      <c r="I626" s="14">
        <f>96.5048 * CHOOSE(CONTROL!$C$9, $D$9, 100%, $F$9) + CHOOSE(CONTROL!$C$27, 0.0021, 0)</f>
        <v>96.506900000000002</v>
      </c>
      <c r="J626" s="14">
        <f>96.5048 * CHOOSE(CONTROL!$C$9, $D$9, 100%, $F$9) + CHOOSE(CONTROL!$C$27, 0.0021, 0)</f>
        <v>96.506900000000002</v>
      </c>
      <c r="K626" s="14">
        <f>96.5048 * CHOOSE(CONTROL!$C$9, $D$9, 100%, $F$9) + CHOOSE(CONTROL!$C$27, 0.0021, 0)</f>
        <v>96.506900000000002</v>
      </c>
      <c r="L626" s="14"/>
    </row>
    <row r="627" spans="1:12" ht="15.75" x14ac:dyDescent="0.25">
      <c r="A627" s="32">
        <v>60022</v>
      </c>
      <c r="B627" s="14">
        <f>103.0819 * CHOOSE(CONTROL!$C$9, $D$9, 100%, $F$9) + CHOOSE(CONTROL!$C$27, 0.0021, 0)</f>
        <v>103.084</v>
      </c>
      <c r="C627" s="14">
        <f>102.6496 * CHOOSE(CONTROL!$C$9, $D$9, 100%, $F$9) + CHOOSE(CONTROL!$C$27, 0.0021, 0)</f>
        <v>102.65170000000001</v>
      </c>
      <c r="D627" s="14">
        <f>102.6496 * CHOOSE(CONTROL!$C$9, $D$9, 100%, $F$9) + CHOOSE(CONTROL!$C$27, 0.0021, 0)</f>
        <v>102.65170000000001</v>
      </c>
      <c r="E627" s="14">
        <f>102.5129 * CHOOSE(CONTROL!$C$9, $D$9, 100%, $F$9) + CHOOSE(CONTROL!$C$27, 0.0021, 0)</f>
        <v>102.515</v>
      </c>
      <c r="F627" s="14">
        <f>102.5129 * CHOOSE(CONTROL!$C$9, $D$9, 100%, $F$9) + CHOOSE(CONTROL!$C$27, 0.0021, 0)</f>
        <v>102.515</v>
      </c>
      <c r="G627" s="14">
        <f>102.7843 * CHOOSE(CONTROL!$C$9, $D$9, 100%, $F$9) + CHOOSE(CONTROL!$C$27, 0.0021, 0)</f>
        <v>102.7864</v>
      </c>
      <c r="H627" s="14">
        <f>102.6496 * CHOOSE(CONTROL!$C$9, $D$9, 100%, $F$9) + CHOOSE(CONTROL!$C$27, 0.0021, 0)</f>
        <v>102.65170000000001</v>
      </c>
      <c r="I627" s="14">
        <f>102.6496 * CHOOSE(CONTROL!$C$9, $D$9, 100%, $F$9) + CHOOSE(CONTROL!$C$27, 0.0021, 0)</f>
        <v>102.65170000000001</v>
      </c>
      <c r="J627" s="14">
        <f>102.6496 * CHOOSE(CONTROL!$C$9, $D$9, 100%, $F$9) + CHOOSE(CONTROL!$C$27, 0.0021, 0)</f>
        <v>102.65170000000001</v>
      </c>
      <c r="K627" s="14">
        <f>102.6496 * CHOOSE(CONTROL!$C$9, $D$9, 100%, $F$9) + CHOOSE(CONTROL!$C$27, 0.0021, 0)</f>
        <v>102.65170000000001</v>
      </c>
      <c r="L627" s="14"/>
    </row>
    <row r="628" spans="1:12" ht="15.75" x14ac:dyDescent="0.25">
      <c r="A628" s="32">
        <v>60053</v>
      </c>
      <c r="B628" s="14">
        <f>106.4641 * CHOOSE(CONTROL!$C$9, $D$9, 100%, $F$9) + CHOOSE(CONTROL!$C$27, 0.0021, 0)</f>
        <v>106.4662</v>
      </c>
      <c r="C628" s="14">
        <f>106.0319 * CHOOSE(CONTROL!$C$9, $D$9, 100%, $F$9) + CHOOSE(CONTROL!$C$27, 0.0021, 0)</f>
        <v>106.03399999999999</v>
      </c>
      <c r="D628" s="14">
        <f>106.0319 * CHOOSE(CONTROL!$C$9, $D$9, 100%, $F$9) + CHOOSE(CONTROL!$C$27, 0.0021, 0)</f>
        <v>106.03399999999999</v>
      </c>
      <c r="E628" s="14">
        <f>105.8952 * CHOOSE(CONTROL!$C$9, $D$9, 100%, $F$9) + CHOOSE(CONTROL!$C$27, 0.0021, 0)</f>
        <v>105.8973</v>
      </c>
      <c r="F628" s="14">
        <f>105.8952 * CHOOSE(CONTROL!$C$9, $D$9, 100%, $F$9) + CHOOSE(CONTROL!$C$27, 0.0021, 0)</f>
        <v>105.8973</v>
      </c>
      <c r="G628" s="14">
        <f>106.1666 * CHOOSE(CONTROL!$C$9, $D$9, 100%, $F$9) + CHOOSE(CONTROL!$C$27, 0.0021, 0)</f>
        <v>106.1687</v>
      </c>
      <c r="H628" s="14">
        <f>106.0319 * CHOOSE(CONTROL!$C$9, $D$9, 100%, $F$9) + CHOOSE(CONTROL!$C$27, 0.0021, 0)</f>
        <v>106.03399999999999</v>
      </c>
      <c r="I628" s="14">
        <f>106.0319 * CHOOSE(CONTROL!$C$9, $D$9, 100%, $F$9) + CHOOSE(CONTROL!$C$27, 0.0021, 0)</f>
        <v>106.03399999999999</v>
      </c>
      <c r="J628" s="14">
        <f>106.0319 * CHOOSE(CONTROL!$C$9, $D$9, 100%, $F$9) + CHOOSE(CONTROL!$C$27, 0.0021, 0)</f>
        <v>106.03399999999999</v>
      </c>
      <c r="K628" s="14">
        <f>106.0319 * CHOOSE(CONTROL!$C$9, $D$9, 100%, $F$9) + CHOOSE(CONTROL!$C$27, 0.0021, 0)</f>
        <v>106.03399999999999</v>
      </c>
      <c r="L628" s="14"/>
    </row>
    <row r="629" spans="1:12" ht="15.75" x14ac:dyDescent="0.25">
      <c r="A629" s="32">
        <v>60083</v>
      </c>
      <c r="B629" s="14">
        <f>107.9652 * CHOOSE(CONTROL!$C$9, $D$9, 100%, $F$9) + CHOOSE(CONTROL!$C$27, 0.0021, 0)</f>
        <v>107.96729999999999</v>
      </c>
      <c r="C629" s="14">
        <f>107.5329 * CHOOSE(CONTROL!$C$9, $D$9, 100%, $F$9) + CHOOSE(CONTROL!$C$27, 0.0021, 0)</f>
        <v>107.535</v>
      </c>
      <c r="D629" s="14">
        <f>107.5329 * CHOOSE(CONTROL!$C$9, $D$9, 100%, $F$9) + CHOOSE(CONTROL!$C$27, 0.0021, 0)</f>
        <v>107.535</v>
      </c>
      <c r="E629" s="14">
        <f>107.3962 * CHOOSE(CONTROL!$C$9, $D$9, 100%, $F$9) + CHOOSE(CONTROL!$C$27, 0.0021, 0)</f>
        <v>107.39829999999999</v>
      </c>
      <c r="F629" s="14">
        <f>107.3962 * CHOOSE(CONTROL!$C$9, $D$9, 100%, $F$9) + CHOOSE(CONTROL!$C$27, 0.0021, 0)</f>
        <v>107.39829999999999</v>
      </c>
      <c r="G629" s="14">
        <f>107.6676 * CHOOSE(CONTROL!$C$9, $D$9, 100%, $F$9) + CHOOSE(CONTROL!$C$27, 0.0021, 0)</f>
        <v>107.66969999999999</v>
      </c>
      <c r="H629" s="14">
        <f>107.5329 * CHOOSE(CONTROL!$C$9, $D$9, 100%, $F$9) + CHOOSE(CONTROL!$C$27, 0.0021, 0)</f>
        <v>107.535</v>
      </c>
      <c r="I629" s="14">
        <f>107.5329 * CHOOSE(CONTROL!$C$9, $D$9, 100%, $F$9) + CHOOSE(CONTROL!$C$27, 0.0021, 0)</f>
        <v>107.535</v>
      </c>
      <c r="J629" s="14">
        <f>107.5329 * CHOOSE(CONTROL!$C$9, $D$9, 100%, $F$9) + CHOOSE(CONTROL!$C$27, 0.0021, 0)</f>
        <v>107.535</v>
      </c>
      <c r="K629" s="14">
        <f>107.5329 * CHOOSE(CONTROL!$C$9, $D$9, 100%, $F$9) + CHOOSE(CONTROL!$C$27, 0.0021, 0)</f>
        <v>107.535</v>
      </c>
      <c r="L629" s="14"/>
    </row>
    <row r="630" spans="1:12" ht="15.75" x14ac:dyDescent="0.25">
      <c r="A630" s="32">
        <v>60114</v>
      </c>
      <c r="B630" s="14">
        <f>107.471 * CHOOSE(CONTROL!$C$9, $D$9, 100%, $F$9) + CHOOSE(CONTROL!$C$27, 0.0021, 0)</f>
        <v>107.4731</v>
      </c>
      <c r="C630" s="14">
        <f>107.0387 * CHOOSE(CONTROL!$C$9, $D$9, 100%, $F$9) + CHOOSE(CONTROL!$C$27, 0.0021, 0)</f>
        <v>107.0408</v>
      </c>
      <c r="D630" s="14">
        <f>107.0387 * CHOOSE(CONTROL!$C$9, $D$9, 100%, $F$9) + CHOOSE(CONTROL!$C$27, 0.0021, 0)</f>
        <v>107.0408</v>
      </c>
      <c r="E630" s="14">
        <f>106.902 * CHOOSE(CONTROL!$C$9, $D$9, 100%, $F$9) + CHOOSE(CONTROL!$C$27, 0.0021, 0)</f>
        <v>106.9041</v>
      </c>
      <c r="F630" s="14">
        <f>106.902 * CHOOSE(CONTROL!$C$9, $D$9, 100%, $F$9) + CHOOSE(CONTROL!$C$27, 0.0021, 0)</f>
        <v>106.9041</v>
      </c>
      <c r="G630" s="14">
        <f>107.1734 * CHOOSE(CONTROL!$C$9, $D$9, 100%, $F$9) + CHOOSE(CONTROL!$C$27, 0.0021, 0)</f>
        <v>107.1755</v>
      </c>
      <c r="H630" s="14">
        <f>107.0387 * CHOOSE(CONTROL!$C$9, $D$9, 100%, $F$9) + CHOOSE(CONTROL!$C$27, 0.0021, 0)</f>
        <v>107.0408</v>
      </c>
      <c r="I630" s="14">
        <f>107.0387 * CHOOSE(CONTROL!$C$9, $D$9, 100%, $F$9) + CHOOSE(CONTROL!$C$27, 0.0021, 0)</f>
        <v>107.0408</v>
      </c>
      <c r="J630" s="14">
        <f>107.0387 * CHOOSE(CONTROL!$C$9, $D$9, 100%, $F$9) + CHOOSE(CONTROL!$C$27, 0.0021, 0)</f>
        <v>107.0408</v>
      </c>
      <c r="K630" s="14">
        <f>107.0387 * CHOOSE(CONTROL!$C$9, $D$9, 100%, $F$9) + CHOOSE(CONTROL!$C$27, 0.0021, 0)</f>
        <v>107.0408</v>
      </c>
      <c r="L630" s="14"/>
    </row>
    <row r="631" spans="1:12" ht="15.75" x14ac:dyDescent="0.25">
      <c r="A631" s="32">
        <v>60145</v>
      </c>
      <c r="B631" s="14">
        <f>105.0224 * CHOOSE(CONTROL!$C$9, $D$9, 100%, $F$9) + CHOOSE(CONTROL!$C$27, 0.0021, 0)</f>
        <v>105.0245</v>
      </c>
      <c r="C631" s="14">
        <f>104.5902 * CHOOSE(CONTROL!$C$9, $D$9, 100%, $F$9) + CHOOSE(CONTROL!$C$27, 0.0021, 0)</f>
        <v>104.59229999999999</v>
      </c>
      <c r="D631" s="14">
        <f>104.5902 * CHOOSE(CONTROL!$C$9, $D$9, 100%, $F$9) + CHOOSE(CONTROL!$C$27, 0.0021, 0)</f>
        <v>104.59229999999999</v>
      </c>
      <c r="E631" s="14">
        <f>104.4535 * CHOOSE(CONTROL!$C$9, $D$9, 100%, $F$9) + CHOOSE(CONTROL!$C$27, 0.0021, 0)</f>
        <v>104.4556</v>
      </c>
      <c r="F631" s="14">
        <f>104.4535 * CHOOSE(CONTROL!$C$9, $D$9, 100%, $F$9) + CHOOSE(CONTROL!$C$27, 0.0021, 0)</f>
        <v>104.4556</v>
      </c>
      <c r="G631" s="14">
        <f>104.7249 * CHOOSE(CONTROL!$C$9, $D$9, 100%, $F$9) + CHOOSE(CONTROL!$C$27, 0.0021, 0)</f>
        <v>104.727</v>
      </c>
      <c r="H631" s="14">
        <f>104.5902 * CHOOSE(CONTROL!$C$9, $D$9, 100%, $F$9) + CHOOSE(CONTROL!$C$27, 0.0021, 0)</f>
        <v>104.59229999999999</v>
      </c>
      <c r="I631" s="14">
        <f>104.5902 * CHOOSE(CONTROL!$C$9, $D$9, 100%, $F$9) + CHOOSE(CONTROL!$C$27, 0.0021, 0)</f>
        <v>104.59229999999999</v>
      </c>
      <c r="J631" s="14">
        <f>104.5902 * CHOOSE(CONTROL!$C$9, $D$9, 100%, $F$9) + CHOOSE(CONTROL!$C$27, 0.0021, 0)</f>
        <v>104.59229999999999</v>
      </c>
      <c r="K631" s="14">
        <f>104.5902 * CHOOSE(CONTROL!$C$9, $D$9, 100%, $F$9) + CHOOSE(CONTROL!$C$27, 0.0021, 0)</f>
        <v>104.59229999999999</v>
      </c>
      <c r="L631" s="14"/>
    </row>
    <row r="632" spans="1:12" ht="15.75" x14ac:dyDescent="0.25">
      <c r="A632" s="32">
        <v>60175</v>
      </c>
      <c r="B632" s="14">
        <f>101.6079 * CHOOSE(CONTROL!$C$9, $D$9, 100%, $F$9) + CHOOSE(CONTROL!$C$27, 0.0021, 0)</f>
        <v>101.61</v>
      </c>
      <c r="C632" s="14">
        <f>101.1756 * CHOOSE(CONTROL!$C$9, $D$9, 100%, $F$9) + CHOOSE(CONTROL!$C$27, 0.0021, 0)</f>
        <v>101.1777</v>
      </c>
      <c r="D632" s="14">
        <f>101.1756 * CHOOSE(CONTROL!$C$9, $D$9, 100%, $F$9) + CHOOSE(CONTROL!$C$27, 0.0021, 0)</f>
        <v>101.1777</v>
      </c>
      <c r="E632" s="14">
        <f>101.039 * CHOOSE(CONTROL!$C$9, $D$9, 100%, $F$9) + CHOOSE(CONTROL!$C$27, 0.0021, 0)</f>
        <v>101.0411</v>
      </c>
      <c r="F632" s="14">
        <f>101.039 * CHOOSE(CONTROL!$C$9, $D$9, 100%, $F$9) + CHOOSE(CONTROL!$C$27, 0.0021, 0)</f>
        <v>101.0411</v>
      </c>
      <c r="G632" s="14">
        <f>101.3103 * CHOOSE(CONTROL!$C$9, $D$9, 100%, $F$9) + CHOOSE(CONTROL!$C$27, 0.0021, 0)</f>
        <v>101.3124</v>
      </c>
      <c r="H632" s="14">
        <f>101.1756 * CHOOSE(CONTROL!$C$9, $D$9, 100%, $F$9) + CHOOSE(CONTROL!$C$27, 0.0021, 0)</f>
        <v>101.1777</v>
      </c>
      <c r="I632" s="14">
        <f>101.1756 * CHOOSE(CONTROL!$C$9, $D$9, 100%, $F$9) + CHOOSE(CONTROL!$C$27, 0.0021, 0)</f>
        <v>101.1777</v>
      </c>
      <c r="J632" s="14">
        <f>101.1756 * CHOOSE(CONTROL!$C$9, $D$9, 100%, $F$9) + CHOOSE(CONTROL!$C$27, 0.0021, 0)</f>
        <v>101.1777</v>
      </c>
      <c r="K632" s="14">
        <f>101.1756 * CHOOSE(CONTROL!$C$9, $D$9, 100%, $F$9) + CHOOSE(CONTROL!$C$27, 0.0021, 0)</f>
        <v>101.1777</v>
      </c>
      <c r="L632" s="14"/>
    </row>
    <row r="633" spans="1:12" ht="15.75" x14ac:dyDescent="0.25">
      <c r="A633" s="32">
        <v>60206</v>
      </c>
      <c r="B633" s="14">
        <f>98.1734 * CHOOSE(CONTROL!$C$9, $D$9, 100%, $F$9) + CHOOSE(CONTROL!$C$27, 0.0021, 0)</f>
        <v>98.1755</v>
      </c>
      <c r="C633" s="14">
        <f>97.7412 * CHOOSE(CONTROL!$C$9, $D$9, 100%, $F$9) + CHOOSE(CONTROL!$C$27, 0.0021, 0)</f>
        <v>97.743300000000005</v>
      </c>
      <c r="D633" s="14">
        <f>97.7412 * CHOOSE(CONTROL!$C$9, $D$9, 100%, $F$9) + CHOOSE(CONTROL!$C$27, 0.0021, 0)</f>
        <v>97.743300000000005</v>
      </c>
      <c r="E633" s="14">
        <f>97.6045 * CHOOSE(CONTROL!$C$9, $D$9, 100%, $F$9) + CHOOSE(CONTROL!$C$27, 0.0021, 0)</f>
        <v>97.6066</v>
      </c>
      <c r="F633" s="14">
        <f>97.6045 * CHOOSE(CONTROL!$C$9, $D$9, 100%, $F$9) + CHOOSE(CONTROL!$C$27, 0.0021, 0)</f>
        <v>97.6066</v>
      </c>
      <c r="G633" s="14">
        <f>97.8759 * CHOOSE(CONTROL!$C$9, $D$9, 100%, $F$9) + CHOOSE(CONTROL!$C$27, 0.0021, 0)</f>
        <v>97.878</v>
      </c>
      <c r="H633" s="14">
        <f>97.7412 * CHOOSE(CONTROL!$C$9, $D$9, 100%, $F$9) + CHOOSE(CONTROL!$C$27, 0.0021, 0)</f>
        <v>97.743300000000005</v>
      </c>
      <c r="I633" s="14">
        <f>97.7412 * CHOOSE(CONTROL!$C$9, $D$9, 100%, $F$9) + CHOOSE(CONTROL!$C$27, 0.0021, 0)</f>
        <v>97.743300000000005</v>
      </c>
      <c r="J633" s="14">
        <f>97.7412 * CHOOSE(CONTROL!$C$9, $D$9, 100%, $F$9) + CHOOSE(CONTROL!$C$27, 0.0021, 0)</f>
        <v>97.743300000000005</v>
      </c>
      <c r="K633" s="14">
        <f>97.7412 * CHOOSE(CONTROL!$C$9, $D$9, 100%, $F$9) + CHOOSE(CONTROL!$C$27, 0.0021, 0)</f>
        <v>97.743300000000005</v>
      </c>
      <c r="L633" s="14"/>
    </row>
    <row r="634" spans="1:12" ht="15.75" x14ac:dyDescent="0.25">
      <c r="A634" s="32">
        <v>60236</v>
      </c>
      <c r="B634" s="14">
        <f>97.4903 * CHOOSE(CONTROL!$C$9, $D$9, 100%, $F$9) + CHOOSE(CONTROL!$C$27, 0.0021, 0)</f>
        <v>97.492400000000004</v>
      </c>
      <c r="C634" s="14">
        <f>97.058 * CHOOSE(CONTROL!$C$9, $D$9, 100%, $F$9) + CHOOSE(CONTROL!$C$27, 0.0021, 0)</f>
        <v>97.060100000000006</v>
      </c>
      <c r="D634" s="14">
        <f>97.058 * CHOOSE(CONTROL!$C$9, $D$9, 100%, $F$9) + CHOOSE(CONTROL!$C$27, 0.0021, 0)</f>
        <v>97.060100000000006</v>
      </c>
      <c r="E634" s="14">
        <f>96.9214 * CHOOSE(CONTROL!$C$9, $D$9, 100%, $F$9) + CHOOSE(CONTROL!$C$27, 0.0021, 0)</f>
        <v>96.923500000000004</v>
      </c>
      <c r="F634" s="14">
        <f>96.9214 * CHOOSE(CONTROL!$C$9, $D$9, 100%, $F$9) + CHOOSE(CONTROL!$C$27, 0.0021, 0)</f>
        <v>96.923500000000004</v>
      </c>
      <c r="G634" s="14">
        <f>97.1927 * CHOOSE(CONTROL!$C$9, $D$9, 100%, $F$9) + CHOOSE(CONTROL!$C$27, 0.0021, 0)</f>
        <v>97.194800000000001</v>
      </c>
      <c r="H634" s="14">
        <f>97.058 * CHOOSE(CONTROL!$C$9, $D$9, 100%, $F$9) + CHOOSE(CONTROL!$C$27, 0.0021, 0)</f>
        <v>97.060100000000006</v>
      </c>
      <c r="I634" s="14">
        <f>97.058 * CHOOSE(CONTROL!$C$9, $D$9, 100%, $F$9) + CHOOSE(CONTROL!$C$27, 0.0021, 0)</f>
        <v>97.060100000000006</v>
      </c>
      <c r="J634" s="14">
        <f>97.058 * CHOOSE(CONTROL!$C$9, $D$9, 100%, $F$9) + CHOOSE(CONTROL!$C$27, 0.0021, 0)</f>
        <v>97.060100000000006</v>
      </c>
      <c r="K634" s="14">
        <f>97.058 * CHOOSE(CONTROL!$C$9, $D$9, 100%, $F$9) + CHOOSE(CONTROL!$C$27, 0.0021, 0)</f>
        <v>97.060100000000006</v>
      </c>
      <c r="L634" s="14"/>
    </row>
    <row r="635" spans="1:12" ht="15.75" x14ac:dyDescent="0.25">
      <c r="A635" s="32">
        <v>60267</v>
      </c>
      <c r="B635" s="14">
        <f>94.6653 * CHOOSE(CONTROL!$C$9, $D$9, 100%, $F$9) + CHOOSE(CONTROL!$C$27, 0.0021, 0)</f>
        <v>94.667400000000001</v>
      </c>
      <c r="C635" s="14">
        <f>94.233 * CHOOSE(CONTROL!$C$9, $D$9, 100%, $F$9) + CHOOSE(CONTROL!$C$27, 0.0021, 0)</f>
        <v>94.235100000000003</v>
      </c>
      <c r="D635" s="14">
        <f>94.233 * CHOOSE(CONTROL!$C$9, $D$9, 100%, $F$9) + CHOOSE(CONTROL!$C$27, 0.0021, 0)</f>
        <v>94.235100000000003</v>
      </c>
      <c r="E635" s="14">
        <f>94.0963 * CHOOSE(CONTROL!$C$9, $D$9, 100%, $F$9) + CHOOSE(CONTROL!$C$27, 0.0021, 0)</f>
        <v>94.098399999999998</v>
      </c>
      <c r="F635" s="14">
        <f>94.0963 * CHOOSE(CONTROL!$C$9, $D$9, 100%, $F$9) + CHOOSE(CONTROL!$C$27, 0.0021, 0)</f>
        <v>94.098399999999998</v>
      </c>
      <c r="G635" s="14">
        <f>94.3677 * CHOOSE(CONTROL!$C$9, $D$9, 100%, $F$9) + CHOOSE(CONTROL!$C$27, 0.0021, 0)</f>
        <v>94.369799999999998</v>
      </c>
      <c r="H635" s="14">
        <f>94.233 * CHOOSE(CONTROL!$C$9, $D$9, 100%, $F$9) + CHOOSE(CONTROL!$C$27, 0.0021, 0)</f>
        <v>94.235100000000003</v>
      </c>
      <c r="I635" s="14">
        <f>94.233 * CHOOSE(CONTROL!$C$9, $D$9, 100%, $F$9) + CHOOSE(CONTROL!$C$27, 0.0021, 0)</f>
        <v>94.235100000000003</v>
      </c>
      <c r="J635" s="14">
        <f>94.233 * CHOOSE(CONTROL!$C$9, $D$9, 100%, $F$9) + CHOOSE(CONTROL!$C$27, 0.0021, 0)</f>
        <v>94.235100000000003</v>
      </c>
      <c r="K635" s="14">
        <f>94.233 * CHOOSE(CONTROL!$C$9, $D$9, 100%, $F$9) + CHOOSE(CONTROL!$C$27, 0.0021, 0)</f>
        <v>94.235100000000003</v>
      </c>
      <c r="L635" s="14"/>
    </row>
    <row r="636" spans="1:12" ht="15.75" x14ac:dyDescent="0.25">
      <c r="A636" s="32">
        <v>60298</v>
      </c>
      <c r="B636" s="14">
        <f>94.1153 * CHOOSE(CONTROL!$C$9, $D$9, 100%, $F$9) + CHOOSE(CONTROL!$C$27, 0.0021, 0)</f>
        <v>94.117400000000004</v>
      </c>
      <c r="C636" s="14">
        <f>93.683 * CHOOSE(CONTROL!$C$9, $D$9, 100%, $F$9) + CHOOSE(CONTROL!$C$27, 0.0021, 0)</f>
        <v>93.685100000000006</v>
      </c>
      <c r="D636" s="14">
        <f>93.683 * CHOOSE(CONTROL!$C$9, $D$9, 100%, $F$9) + CHOOSE(CONTROL!$C$27, 0.0021, 0)</f>
        <v>93.685100000000006</v>
      </c>
      <c r="E636" s="14">
        <f>93.5463 * CHOOSE(CONTROL!$C$9, $D$9, 100%, $F$9) + CHOOSE(CONTROL!$C$27, 0.0021, 0)</f>
        <v>93.548400000000001</v>
      </c>
      <c r="F636" s="14">
        <f>93.5463 * CHOOSE(CONTROL!$C$9, $D$9, 100%, $F$9) + CHOOSE(CONTROL!$C$27, 0.0021, 0)</f>
        <v>93.548400000000001</v>
      </c>
      <c r="G636" s="14">
        <f>93.8177 * CHOOSE(CONTROL!$C$9, $D$9, 100%, $F$9) + CHOOSE(CONTROL!$C$27, 0.0021, 0)</f>
        <v>93.819800000000001</v>
      </c>
      <c r="H636" s="14">
        <f>93.683 * CHOOSE(CONTROL!$C$9, $D$9, 100%, $F$9) + CHOOSE(CONTROL!$C$27, 0.0021, 0)</f>
        <v>93.685100000000006</v>
      </c>
      <c r="I636" s="14">
        <f>93.683 * CHOOSE(CONTROL!$C$9, $D$9, 100%, $F$9) + CHOOSE(CONTROL!$C$27, 0.0021, 0)</f>
        <v>93.685100000000006</v>
      </c>
      <c r="J636" s="14">
        <f>93.683 * CHOOSE(CONTROL!$C$9, $D$9, 100%, $F$9) + CHOOSE(CONTROL!$C$27, 0.0021, 0)</f>
        <v>93.685100000000006</v>
      </c>
      <c r="K636" s="14">
        <f>93.683 * CHOOSE(CONTROL!$C$9, $D$9, 100%, $F$9) + CHOOSE(CONTROL!$C$27, 0.0021, 0)</f>
        <v>93.685100000000006</v>
      </c>
      <c r="L636" s="14"/>
    </row>
    <row r="637" spans="1:12" ht="15.75" x14ac:dyDescent="0.25">
      <c r="A637" s="32">
        <v>60326</v>
      </c>
      <c r="B637" s="14">
        <f>93.86 * CHOOSE(CONTROL!$C$9, $D$9, 100%, $F$9) + CHOOSE(CONTROL!$C$27, 0.0021, 0)</f>
        <v>93.862099999999998</v>
      </c>
      <c r="C637" s="14">
        <f>93.4278 * CHOOSE(CONTROL!$C$9, $D$9, 100%, $F$9) + CHOOSE(CONTROL!$C$27, 0.0021, 0)</f>
        <v>93.429900000000004</v>
      </c>
      <c r="D637" s="14">
        <f>93.4278 * CHOOSE(CONTROL!$C$9, $D$9, 100%, $F$9) + CHOOSE(CONTROL!$C$27, 0.0021, 0)</f>
        <v>93.429900000000004</v>
      </c>
      <c r="E637" s="14">
        <f>93.2911 * CHOOSE(CONTROL!$C$9, $D$9, 100%, $F$9) + CHOOSE(CONTROL!$C$27, 0.0021, 0)</f>
        <v>93.293199999999999</v>
      </c>
      <c r="F637" s="14">
        <f>93.2911 * CHOOSE(CONTROL!$C$9, $D$9, 100%, $F$9) + CHOOSE(CONTROL!$C$27, 0.0021, 0)</f>
        <v>93.293199999999999</v>
      </c>
      <c r="G637" s="14">
        <f>93.5625 * CHOOSE(CONTROL!$C$9, $D$9, 100%, $F$9) + CHOOSE(CONTROL!$C$27, 0.0021, 0)</f>
        <v>93.564599999999999</v>
      </c>
      <c r="H637" s="14">
        <f>93.4278 * CHOOSE(CONTROL!$C$9, $D$9, 100%, $F$9) + CHOOSE(CONTROL!$C$27, 0.0021, 0)</f>
        <v>93.429900000000004</v>
      </c>
      <c r="I637" s="14">
        <f>93.4278 * CHOOSE(CONTROL!$C$9, $D$9, 100%, $F$9) + CHOOSE(CONTROL!$C$27, 0.0021, 0)</f>
        <v>93.429900000000004</v>
      </c>
      <c r="J637" s="14">
        <f>93.4278 * CHOOSE(CONTROL!$C$9, $D$9, 100%, $F$9) + CHOOSE(CONTROL!$C$27, 0.0021, 0)</f>
        <v>93.429900000000004</v>
      </c>
      <c r="K637" s="14">
        <f>93.4278 * CHOOSE(CONTROL!$C$9, $D$9, 100%, $F$9) + CHOOSE(CONTROL!$C$27, 0.0021, 0)</f>
        <v>93.429900000000004</v>
      </c>
      <c r="L637" s="14"/>
    </row>
    <row r="638" spans="1:12" ht="15.75" x14ac:dyDescent="0.25">
      <c r="A638" s="32">
        <v>60357</v>
      </c>
      <c r="B638" s="14">
        <f>98.6862 * CHOOSE(CONTROL!$C$9, $D$9, 100%, $F$9) + CHOOSE(CONTROL!$C$27, 0.0021, 0)</f>
        <v>98.688299999999998</v>
      </c>
      <c r="C638" s="14">
        <f>98.2539 * CHOOSE(CONTROL!$C$9, $D$9, 100%, $F$9) + CHOOSE(CONTROL!$C$27, 0.0021, 0)</f>
        <v>98.256</v>
      </c>
      <c r="D638" s="14">
        <f>98.2539 * CHOOSE(CONTROL!$C$9, $D$9, 100%, $F$9) + CHOOSE(CONTROL!$C$27, 0.0021, 0)</f>
        <v>98.256</v>
      </c>
      <c r="E638" s="14">
        <f>98.1173 * CHOOSE(CONTROL!$C$9, $D$9, 100%, $F$9) + CHOOSE(CONTROL!$C$27, 0.0021, 0)</f>
        <v>98.119399999999999</v>
      </c>
      <c r="F638" s="14">
        <f>98.1173 * CHOOSE(CONTROL!$C$9, $D$9, 100%, $F$9) + CHOOSE(CONTROL!$C$27, 0.0021, 0)</f>
        <v>98.119399999999999</v>
      </c>
      <c r="G638" s="14">
        <f>98.3886 * CHOOSE(CONTROL!$C$9, $D$9, 100%, $F$9) + CHOOSE(CONTROL!$C$27, 0.0021, 0)</f>
        <v>98.390699999999995</v>
      </c>
      <c r="H638" s="14">
        <f>98.2539 * CHOOSE(CONTROL!$C$9, $D$9, 100%, $F$9) + CHOOSE(CONTROL!$C$27, 0.0021, 0)</f>
        <v>98.256</v>
      </c>
      <c r="I638" s="14">
        <f>98.2539 * CHOOSE(CONTROL!$C$9, $D$9, 100%, $F$9) + CHOOSE(CONTROL!$C$27, 0.0021, 0)</f>
        <v>98.256</v>
      </c>
      <c r="J638" s="14">
        <f>98.2539 * CHOOSE(CONTROL!$C$9, $D$9, 100%, $F$9) + CHOOSE(CONTROL!$C$27, 0.0021, 0)</f>
        <v>98.256</v>
      </c>
      <c r="K638" s="14">
        <f>98.2539 * CHOOSE(CONTROL!$C$9, $D$9, 100%, $F$9) + CHOOSE(CONTROL!$C$27, 0.0021, 0)</f>
        <v>98.256</v>
      </c>
      <c r="L638" s="14"/>
    </row>
    <row r="639" spans="1:12" ht="15.75" x14ac:dyDescent="0.25">
      <c r="A639" s="32">
        <v>60387</v>
      </c>
      <c r="B639" s="14">
        <f>104.9445 * CHOOSE(CONTROL!$C$9, $D$9, 100%, $F$9) + CHOOSE(CONTROL!$C$27, 0.0021, 0)</f>
        <v>104.9466</v>
      </c>
      <c r="C639" s="14">
        <f>104.5123 * CHOOSE(CONTROL!$C$9, $D$9, 100%, $F$9) + CHOOSE(CONTROL!$C$27, 0.0021, 0)</f>
        <v>104.51439999999999</v>
      </c>
      <c r="D639" s="14">
        <f>104.5123 * CHOOSE(CONTROL!$C$9, $D$9, 100%, $F$9) + CHOOSE(CONTROL!$C$27, 0.0021, 0)</f>
        <v>104.51439999999999</v>
      </c>
      <c r="E639" s="14">
        <f>104.3756 * CHOOSE(CONTROL!$C$9, $D$9, 100%, $F$9) + CHOOSE(CONTROL!$C$27, 0.0021, 0)</f>
        <v>104.3777</v>
      </c>
      <c r="F639" s="14">
        <f>104.3756 * CHOOSE(CONTROL!$C$9, $D$9, 100%, $F$9) + CHOOSE(CONTROL!$C$27, 0.0021, 0)</f>
        <v>104.3777</v>
      </c>
      <c r="G639" s="14">
        <f>104.647 * CHOOSE(CONTROL!$C$9, $D$9, 100%, $F$9) + CHOOSE(CONTROL!$C$27, 0.0021, 0)</f>
        <v>104.6491</v>
      </c>
      <c r="H639" s="14">
        <f>104.5123 * CHOOSE(CONTROL!$C$9, $D$9, 100%, $F$9) + CHOOSE(CONTROL!$C$27, 0.0021, 0)</f>
        <v>104.51439999999999</v>
      </c>
      <c r="I639" s="14">
        <f>104.5123 * CHOOSE(CONTROL!$C$9, $D$9, 100%, $F$9) + CHOOSE(CONTROL!$C$27, 0.0021, 0)</f>
        <v>104.51439999999999</v>
      </c>
      <c r="J639" s="14">
        <f>104.5123 * CHOOSE(CONTROL!$C$9, $D$9, 100%, $F$9) + CHOOSE(CONTROL!$C$27, 0.0021, 0)</f>
        <v>104.51439999999999</v>
      </c>
      <c r="K639" s="14">
        <f>104.5123 * CHOOSE(CONTROL!$C$9, $D$9, 100%, $F$9) + CHOOSE(CONTROL!$C$27, 0.0021, 0)</f>
        <v>104.51439999999999</v>
      </c>
      <c r="L639" s="14"/>
    </row>
    <row r="640" spans="1:12" ht="15.75" x14ac:dyDescent="0.25">
      <c r="A640" s="32">
        <v>60418</v>
      </c>
      <c r="B640" s="14">
        <f>108.3893 * CHOOSE(CONTROL!$C$9, $D$9, 100%, $F$9) + CHOOSE(CONTROL!$C$27, 0.0021, 0)</f>
        <v>108.3914</v>
      </c>
      <c r="C640" s="14">
        <f>107.9571 * CHOOSE(CONTROL!$C$9, $D$9, 100%, $F$9) + CHOOSE(CONTROL!$C$27, 0.0021, 0)</f>
        <v>107.9592</v>
      </c>
      <c r="D640" s="14">
        <f>107.9571 * CHOOSE(CONTROL!$C$9, $D$9, 100%, $F$9) + CHOOSE(CONTROL!$C$27, 0.0021, 0)</f>
        <v>107.9592</v>
      </c>
      <c r="E640" s="14">
        <f>107.8204 * CHOOSE(CONTROL!$C$9, $D$9, 100%, $F$9) + CHOOSE(CONTROL!$C$27, 0.0021, 0)</f>
        <v>107.82250000000001</v>
      </c>
      <c r="F640" s="14">
        <f>107.8204 * CHOOSE(CONTROL!$C$9, $D$9, 100%, $F$9) + CHOOSE(CONTROL!$C$27, 0.0021, 0)</f>
        <v>107.82250000000001</v>
      </c>
      <c r="G640" s="14">
        <f>108.0918 * CHOOSE(CONTROL!$C$9, $D$9, 100%, $F$9) + CHOOSE(CONTROL!$C$27, 0.0021, 0)</f>
        <v>108.0939</v>
      </c>
      <c r="H640" s="14">
        <f>107.9571 * CHOOSE(CONTROL!$C$9, $D$9, 100%, $F$9) + CHOOSE(CONTROL!$C$27, 0.0021, 0)</f>
        <v>107.9592</v>
      </c>
      <c r="I640" s="14">
        <f>107.9571 * CHOOSE(CONTROL!$C$9, $D$9, 100%, $F$9) + CHOOSE(CONTROL!$C$27, 0.0021, 0)</f>
        <v>107.9592</v>
      </c>
      <c r="J640" s="14">
        <f>107.9571 * CHOOSE(CONTROL!$C$9, $D$9, 100%, $F$9) + CHOOSE(CONTROL!$C$27, 0.0021, 0)</f>
        <v>107.9592</v>
      </c>
      <c r="K640" s="14">
        <f>107.9571 * CHOOSE(CONTROL!$C$9, $D$9, 100%, $F$9) + CHOOSE(CONTROL!$C$27, 0.0021, 0)</f>
        <v>107.9592</v>
      </c>
      <c r="L640" s="14"/>
    </row>
    <row r="641" spans="1:12" ht="15.75" x14ac:dyDescent="0.25">
      <c r="A641" s="32">
        <v>60448</v>
      </c>
      <c r="B641" s="14">
        <f>109.9181 * CHOOSE(CONTROL!$C$9, $D$9, 100%, $F$9) + CHOOSE(CONTROL!$C$27, 0.0021, 0)</f>
        <v>109.92019999999999</v>
      </c>
      <c r="C641" s="14">
        <f>109.4858 * CHOOSE(CONTROL!$C$9, $D$9, 100%, $F$9) + CHOOSE(CONTROL!$C$27, 0.0021, 0)</f>
        <v>109.4879</v>
      </c>
      <c r="D641" s="14">
        <f>109.4858 * CHOOSE(CONTROL!$C$9, $D$9, 100%, $F$9) + CHOOSE(CONTROL!$C$27, 0.0021, 0)</f>
        <v>109.4879</v>
      </c>
      <c r="E641" s="14">
        <f>109.3492 * CHOOSE(CONTROL!$C$9, $D$9, 100%, $F$9) + CHOOSE(CONTROL!$C$27, 0.0021, 0)</f>
        <v>109.35129999999999</v>
      </c>
      <c r="F641" s="14">
        <f>109.3492 * CHOOSE(CONTROL!$C$9, $D$9, 100%, $F$9) + CHOOSE(CONTROL!$C$27, 0.0021, 0)</f>
        <v>109.35129999999999</v>
      </c>
      <c r="G641" s="14">
        <f>109.6205 * CHOOSE(CONTROL!$C$9, $D$9, 100%, $F$9) + CHOOSE(CONTROL!$C$27, 0.0021, 0)</f>
        <v>109.62260000000001</v>
      </c>
      <c r="H641" s="14">
        <f>109.4858 * CHOOSE(CONTROL!$C$9, $D$9, 100%, $F$9) + CHOOSE(CONTROL!$C$27, 0.0021, 0)</f>
        <v>109.4879</v>
      </c>
      <c r="I641" s="14">
        <f>109.4858 * CHOOSE(CONTROL!$C$9, $D$9, 100%, $F$9) + CHOOSE(CONTROL!$C$27, 0.0021, 0)</f>
        <v>109.4879</v>
      </c>
      <c r="J641" s="14">
        <f>109.4858 * CHOOSE(CONTROL!$C$9, $D$9, 100%, $F$9) + CHOOSE(CONTROL!$C$27, 0.0021, 0)</f>
        <v>109.4879</v>
      </c>
      <c r="K641" s="14">
        <f>109.4858 * CHOOSE(CONTROL!$C$9, $D$9, 100%, $F$9) + CHOOSE(CONTROL!$C$27, 0.0021, 0)</f>
        <v>109.4879</v>
      </c>
      <c r="L641" s="14"/>
    </row>
    <row r="642" spans="1:12" ht="15.75" x14ac:dyDescent="0.25">
      <c r="A642" s="32">
        <v>60479</v>
      </c>
      <c r="B642" s="14">
        <f>109.4147 * CHOOSE(CONTROL!$C$9, $D$9, 100%, $F$9) + CHOOSE(CONTROL!$C$27, 0.0021, 0)</f>
        <v>109.41679999999999</v>
      </c>
      <c r="C642" s="14">
        <f>108.9825 * CHOOSE(CONTROL!$C$9, $D$9, 100%, $F$9) + CHOOSE(CONTROL!$C$27, 0.0021, 0)</f>
        <v>108.9846</v>
      </c>
      <c r="D642" s="14">
        <f>108.9825 * CHOOSE(CONTROL!$C$9, $D$9, 100%, $F$9) + CHOOSE(CONTROL!$C$27, 0.0021, 0)</f>
        <v>108.9846</v>
      </c>
      <c r="E642" s="14">
        <f>108.8458 * CHOOSE(CONTROL!$C$9, $D$9, 100%, $F$9) + CHOOSE(CONTROL!$C$27, 0.0021, 0)</f>
        <v>108.8479</v>
      </c>
      <c r="F642" s="14">
        <f>108.8458 * CHOOSE(CONTROL!$C$9, $D$9, 100%, $F$9) + CHOOSE(CONTROL!$C$27, 0.0021, 0)</f>
        <v>108.8479</v>
      </c>
      <c r="G642" s="14">
        <f>109.1172 * CHOOSE(CONTROL!$C$9, $D$9, 100%, $F$9) + CHOOSE(CONTROL!$C$27, 0.0021, 0)</f>
        <v>109.1193</v>
      </c>
      <c r="H642" s="14">
        <f>108.9825 * CHOOSE(CONTROL!$C$9, $D$9, 100%, $F$9) + CHOOSE(CONTROL!$C$27, 0.0021, 0)</f>
        <v>108.9846</v>
      </c>
      <c r="I642" s="14">
        <f>108.9825 * CHOOSE(CONTROL!$C$9, $D$9, 100%, $F$9) + CHOOSE(CONTROL!$C$27, 0.0021, 0)</f>
        <v>108.9846</v>
      </c>
      <c r="J642" s="14">
        <f>108.9825 * CHOOSE(CONTROL!$C$9, $D$9, 100%, $F$9) + CHOOSE(CONTROL!$C$27, 0.0021, 0)</f>
        <v>108.9846</v>
      </c>
      <c r="K642" s="14">
        <f>108.9825 * CHOOSE(CONTROL!$C$9, $D$9, 100%, $F$9) + CHOOSE(CONTROL!$C$27, 0.0021, 0)</f>
        <v>108.9846</v>
      </c>
      <c r="L642" s="14"/>
    </row>
    <row r="643" spans="1:12" ht="15.75" x14ac:dyDescent="0.25">
      <c r="A643" s="32">
        <v>60510</v>
      </c>
      <c r="B643" s="14">
        <f>106.921 * CHOOSE(CONTROL!$C$9, $D$9, 100%, $F$9) + CHOOSE(CONTROL!$C$27, 0.0021, 0)</f>
        <v>106.92310000000001</v>
      </c>
      <c r="C643" s="14">
        <f>106.4887 * CHOOSE(CONTROL!$C$9, $D$9, 100%, $F$9) + CHOOSE(CONTROL!$C$27, 0.0021, 0)</f>
        <v>106.49079999999999</v>
      </c>
      <c r="D643" s="14">
        <f>106.4887 * CHOOSE(CONTROL!$C$9, $D$9, 100%, $F$9) + CHOOSE(CONTROL!$C$27, 0.0021, 0)</f>
        <v>106.49079999999999</v>
      </c>
      <c r="E643" s="14">
        <f>106.3521 * CHOOSE(CONTROL!$C$9, $D$9, 100%, $F$9) + CHOOSE(CONTROL!$C$27, 0.0021, 0)</f>
        <v>106.35419999999999</v>
      </c>
      <c r="F643" s="14">
        <f>106.3521 * CHOOSE(CONTROL!$C$9, $D$9, 100%, $F$9) + CHOOSE(CONTROL!$C$27, 0.0021, 0)</f>
        <v>106.35419999999999</v>
      </c>
      <c r="G643" s="14">
        <f>106.6234 * CHOOSE(CONTROL!$C$9, $D$9, 100%, $F$9) + CHOOSE(CONTROL!$C$27, 0.0021, 0)</f>
        <v>106.6255</v>
      </c>
      <c r="H643" s="14">
        <f>106.4887 * CHOOSE(CONTROL!$C$9, $D$9, 100%, $F$9) + CHOOSE(CONTROL!$C$27, 0.0021, 0)</f>
        <v>106.49079999999999</v>
      </c>
      <c r="I643" s="14">
        <f>106.4887 * CHOOSE(CONTROL!$C$9, $D$9, 100%, $F$9) + CHOOSE(CONTROL!$C$27, 0.0021, 0)</f>
        <v>106.49079999999999</v>
      </c>
      <c r="J643" s="14">
        <f>106.4887 * CHOOSE(CONTROL!$C$9, $D$9, 100%, $F$9) + CHOOSE(CONTROL!$C$27, 0.0021, 0)</f>
        <v>106.49079999999999</v>
      </c>
      <c r="K643" s="14">
        <f>106.4887 * CHOOSE(CONTROL!$C$9, $D$9, 100%, $F$9) + CHOOSE(CONTROL!$C$27, 0.0021, 0)</f>
        <v>106.49079999999999</v>
      </c>
      <c r="L643" s="14"/>
    </row>
    <row r="644" spans="1:12" ht="15.75" x14ac:dyDescent="0.25">
      <c r="A644" s="32">
        <v>60540</v>
      </c>
      <c r="B644" s="14">
        <f>103.4433 * CHOOSE(CONTROL!$C$9, $D$9, 100%, $F$9) + CHOOSE(CONTROL!$C$27, 0.0021, 0)</f>
        <v>103.44539999999999</v>
      </c>
      <c r="C644" s="14">
        <f>103.011 * CHOOSE(CONTROL!$C$9, $D$9, 100%, $F$9) + CHOOSE(CONTROL!$C$27, 0.0021, 0)</f>
        <v>103.01309999999999</v>
      </c>
      <c r="D644" s="14">
        <f>103.011 * CHOOSE(CONTROL!$C$9, $D$9, 100%, $F$9) + CHOOSE(CONTROL!$C$27, 0.0021, 0)</f>
        <v>103.01309999999999</v>
      </c>
      <c r="E644" s="14">
        <f>102.8744 * CHOOSE(CONTROL!$C$9, $D$9, 100%, $F$9) + CHOOSE(CONTROL!$C$27, 0.0021, 0)</f>
        <v>102.87649999999999</v>
      </c>
      <c r="F644" s="14">
        <f>102.8744 * CHOOSE(CONTROL!$C$9, $D$9, 100%, $F$9) + CHOOSE(CONTROL!$C$27, 0.0021, 0)</f>
        <v>102.87649999999999</v>
      </c>
      <c r="G644" s="14">
        <f>103.1458 * CHOOSE(CONTROL!$C$9, $D$9, 100%, $F$9) + CHOOSE(CONTROL!$C$27, 0.0021, 0)</f>
        <v>103.14789999999999</v>
      </c>
      <c r="H644" s="14">
        <f>103.011 * CHOOSE(CONTROL!$C$9, $D$9, 100%, $F$9) + CHOOSE(CONTROL!$C$27, 0.0021, 0)</f>
        <v>103.01309999999999</v>
      </c>
      <c r="I644" s="14">
        <f>103.011 * CHOOSE(CONTROL!$C$9, $D$9, 100%, $F$9) + CHOOSE(CONTROL!$C$27, 0.0021, 0)</f>
        <v>103.01309999999999</v>
      </c>
      <c r="J644" s="14">
        <f>103.011 * CHOOSE(CONTROL!$C$9, $D$9, 100%, $F$9) + CHOOSE(CONTROL!$C$27, 0.0021, 0)</f>
        <v>103.01309999999999</v>
      </c>
      <c r="K644" s="14">
        <f>103.011 * CHOOSE(CONTROL!$C$9, $D$9, 100%, $F$9) + CHOOSE(CONTROL!$C$27, 0.0021, 0)</f>
        <v>103.01309999999999</v>
      </c>
      <c r="L644" s="14"/>
    </row>
    <row r="645" spans="1:12" ht="15.75" x14ac:dyDescent="0.25">
      <c r="A645" s="32">
        <v>60571</v>
      </c>
      <c r="B645" s="14">
        <f>99.9454 * CHOOSE(CONTROL!$C$9, $D$9, 100%, $F$9) + CHOOSE(CONTROL!$C$27, 0.0021, 0)</f>
        <v>99.947500000000005</v>
      </c>
      <c r="C645" s="14">
        <f>99.5131 * CHOOSE(CONTROL!$C$9, $D$9, 100%, $F$9) + CHOOSE(CONTROL!$C$27, 0.0021, 0)</f>
        <v>99.515199999999993</v>
      </c>
      <c r="D645" s="14">
        <f>99.5131 * CHOOSE(CONTROL!$C$9, $D$9, 100%, $F$9) + CHOOSE(CONTROL!$C$27, 0.0021, 0)</f>
        <v>99.515199999999993</v>
      </c>
      <c r="E645" s="14">
        <f>99.3765 * CHOOSE(CONTROL!$C$9, $D$9, 100%, $F$9) + CHOOSE(CONTROL!$C$27, 0.0021, 0)</f>
        <v>99.378599999999992</v>
      </c>
      <c r="F645" s="14">
        <f>99.3765 * CHOOSE(CONTROL!$C$9, $D$9, 100%, $F$9) + CHOOSE(CONTROL!$C$27, 0.0021, 0)</f>
        <v>99.378599999999992</v>
      </c>
      <c r="G645" s="14">
        <f>99.6479 * CHOOSE(CONTROL!$C$9, $D$9, 100%, $F$9) + CHOOSE(CONTROL!$C$27, 0.0021, 0)</f>
        <v>99.65</v>
      </c>
      <c r="H645" s="14">
        <f>99.5131 * CHOOSE(CONTROL!$C$9, $D$9, 100%, $F$9) + CHOOSE(CONTROL!$C$27, 0.0021, 0)</f>
        <v>99.515199999999993</v>
      </c>
      <c r="I645" s="14">
        <f>99.5131 * CHOOSE(CONTROL!$C$9, $D$9, 100%, $F$9) + CHOOSE(CONTROL!$C$27, 0.0021, 0)</f>
        <v>99.515199999999993</v>
      </c>
      <c r="J645" s="14">
        <f>99.5131 * CHOOSE(CONTROL!$C$9, $D$9, 100%, $F$9) + CHOOSE(CONTROL!$C$27, 0.0021, 0)</f>
        <v>99.515199999999993</v>
      </c>
      <c r="K645" s="14">
        <f>99.5131 * CHOOSE(CONTROL!$C$9, $D$9, 100%, $F$9) + CHOOSE(CONTROL!$C$27, 0.0021, 0)</f>
        <v>99.515199999999993</v>
      </c>
      <c r="L645" s="14"/>
    </row>
    <row r="646" spans="1:12" ht="15.75" x14ac:dyDescent="0.25">
      <c r="A646" s="32">
        <v>60601</v>
      </c>
      <c r="B646" s="14">
        <f>99.2496 * CHOOSE(CONTROL!$C$9, $D$9, 100%, $F$9) + CHOOSE(CONTROL!$C$27, 0.0021, 0)</f>
        <v>99.2517</v>
      </c>
      <c r="C646" s="14">
        <f>98.8173 * CHOOSE(CONTROL!$C$9, $D$9, 100%, $F$9) + CHOOSE(CONTROL!$C$27, 0.0021, 0)</f>
        <v>98.819400000000002</v>
      </c>
      <c r="D646" s="14">
        <f>98.8173 * CHOOSE(CONTROL!$C$9, $D$9, 100%, $F$9) + CHOOSE(CONTROL!$C$27, 0.0021, 0)</f>
        <v>98.819400000000002</v>
      </c>
      <c r="E646" s="14">
        <f>98.6807 * CHOOSE(CONTROL!$C$9, $D$9, 100%, $F$9) + CHOOSE(CONTROL!$C$27, 0.0021, 0)</f>
        <v>98.6828</v>
      </c>
      <c r="F646" s="14">
        <f>98.6807 * CHOOSE(CONTROL!$C$9, $D$9, 100%, $F$9) + CHOOSE(CONTROL!$C$27, 0.0021, 0)</f>
        <v>98.6828</v>
      </c>
      <c r="G646" s="14">
        <f>98.9521 * CHOOSE(CONTROL!$C$9, $D$9, 100%, $F$9) + CHOOSE(CONTROL!$C$27, 0.0021, 0)</f>
        <v>98.9542</v>
      </c>
      <c r="H646" s="14">
        <f>98.8173 * CHOOSE(CONTROL!$C$9, $D$9, 100%, $F$9) + CHOOSE(CONTROL!$C$27, 0.0021, 0)</f>
        <v>98.819400000000002</v>
      </c>
      <c r="I646" s="14">
        <f>98.8173 * CHOOSE(CONTROL!$C$9, $D$9, 100%, $F$9) + CHOOSE(CONTROL!$C$27, 0.0021, 0)</f>
        <v>98.819400000000002</v>
      </c>
      <c r="J646" s="14">
        <f>98.8173 * CHOOSE(CONTROL!$C$9, $D$9, 100%, $F$9) + CHOOSE(CONTROL!$C$27, 0.0021, 0)</f>
        <v>98.819400000000002</v>
      </c>
      <c r="K646" s="14">
        <f>98.8173 * CHOOSE(CONTROL!$C$9, $D$9, 100%, $F$9) + CHOOSE(CONTROL!$C$27, 0.0021, 0)</f>
        <v>98.819400000000002</v>
      </c>
      <c r="L646" s="14"/>
    </row>
    <row r="647" spans="1:12" ht="15.75" x14ac:dyDescent="0.25">
      <c r="A647" s="32">
        <v>60632</v>
      </c>
      <c r="B647" s="14">
        <f>96.3724 * CHOOSE(CONTROL!$C$9, $D$9, 100%, $F$9) + CHOOSE(CONTROL!$C$27, 0.0021, 0)</f>
        <v>96.374499999999998</v>
      </c>
      <c r="C647" s="14">
        <f>95.9401 * CHOOSE(CONTROL!$C$9, $D$9, 100%, $F$9) + CHOOSE(CONTROL!$C$27, 0.0021, 0)</f>
        <v>95.9422</v>
      </c>
      <c r="D647" s="14">
        <f>95.9401 * CHOOSE(CONTROL!$C$9, $D$9, 100%, $F$9) + CHOOSE(CONTROL!$C$27, 0.0021, 0)</f>
        <v>95.9422</v>
      </c>
      <c r="E647" s="14">
        <f>95.8035 * CHOOSE(CONTROL!$C$9, $D$9, 100%, $F$9) + CHOOSE(CONTROL!$C$27, 0.0021, 0)</f>
        <v>95.805599999999998</v>
      </c>
      <c r="F647" s="14">
        <f>95.8035 * CHOOSE(CONTROL!$C$9, $D$9, 100%, $F$9) + CHOOSE(CONTROL!$C$27, 0.0021, 0)</f>
        <v>95.805599999999998</v>
      </c>
      <c r="G647" s="14">
        <f>96.0748 * CHOOSE(CONTROL!$C$9, $D$9, 100%, $F$9) + CHOOSE(CONTROL!$C$27, 0.0021, 0)</f>
        <v>96.076899999999995</v>
      </c>
      <c r="H647" s="14">
        <f>95.9401 * CHOOSE(CONTROL!$C$9, $D$9, 100%, $F$9) + CHOOSE(CONTROL!$C$27, 0.0021, 0)</f>
        <v>95.9422</v>
      </c>
      <c r="I647" s="14">
        <f>95.9401 * CHOOSE(CONTROL!$C$9, $D$9, 100%, $F$9) + CHOOSE(CONTROL!$C$27, 0.0021, 0)</f>
        <v>95.9422</v>
      </c>
      <c r="J647" s="14">
        <f>95.9401 * CHOOSE(CONTROL!$C$9, $D$9, 100%, $F$9) + CHOOSE(CONTROL!$C$27, 0.0021, 0)</f>
        <v>95.9422</v>
      </c>
      <c r="K647" s="14">
        <f>95.9401 * CHOOSE(CONTROL!$C$9, $D$9, 100%, $F$9) + CHOOSE(CONTROL!$C$27, 0.0021, 0)</f>
        <v>95.9422</v>
      </c>
      <c r="L647" s="14"/>
    </row>
    <row r="648" spans="1:12" ht="15.75" x14ac:dyDescent="0.25">
      <c r="A648" s="32">
        <v>60663</v>
      </c>
      <c r="B648" s="14">
        <f>95.8122 * CHOOSE(CONTROL!$C$9, $D$9, 100%, $F$9) + CHOOSE(CONTROL!$C$27, 0.0021, 0)</f>
        <v>95.814300000000003</v>
      </c>
      <c r="C648" s="14">
        <f>95.38 * CHOOSE(CONTROL!$C$9, $D$9, 100%, $F$9) + CHOOSE(CONTROL!$C$27, 0.0021, 0)</f>
        <v>95.382099999999994</v>
      </c>
      <c r="D648" s="14">
        <f>95.38 * CHOOSE(CONTROL!$C$9, $D$9, 100%, $F$9) + CHOOSE(CONTROL!$C$27, 0.0021, 0)</f>
        <v>95.382099999999994</v>
      </c>
      <c r="E648" s="14">
        <f>95.2433 * CHOOSE(CONTROL!$C$9, $D$9, 100%, $F$9) + CHOOSE(CONTROL!$C$27, 0.0021, 0)</f>
        <v>95.245400000000004</v>
      </c>
      <c r="F648" s="14">
        <f>95.2433 * CHOOSE(CONTROL!$C$9, $D$9, 100%, $F$9) + CHOOSE(CONTROL!$C$27, 0.0021, 0)</f>
        <v>95.245400000000004</v>
      </c>
      <c r="G648" s="14">
        <f>95.5147 * CHOOSE(CONTROL!$C$9, $D$9, 100%, $F$9) + CHOOSE(CONTROL!$C$27, 0.0021, 0)</f>
        <v>95.516800000000003</v>
      </c>
      <c r="H648" s="14">
        <f>95.38 * CHOOSE(CONTROL!$C$9, $D$9, 100%, $F$9) + CHOOSE(CONTROL!$C$27, 0.0021, 0)</f>
        <v>95.382099999999994</v>
      </c>
      <c r="I648" s="14">
        <f>95.38 * CHOOSE(CONTROL!$C$9, $D$9, 100%, $F$9) + CHOOSE(CONTROL!$C$27, 0.0021, 0)</f>
        <v>95.382099999999994</v>
      </c>
      <c r="J648" s="14">
        <f>95.38 * CHOOSE(CONTROL!$C$9, $D$9, 100%, $F$9) + CHOOSE(CONTROL!$C$27, 0.0021, 0)</f>
        <v>95.382099999999994</v>
      </c>
      <c r="K648" s="14">
        <f>95.38 * CHOOSE(CONTROL!$C$9, $D$9, 100%, $F$9) + CHOOSE(CONTROL!$C$27, 0.0021, 0)</f>
        <v>95.382099999999994</v>
      </c>
      <c r="L648" s="14"/>
    </row>
    <row r="649" spans="1:12" ht="15.75" x14ac:dyDescent="0.25">
      <c r="A649" s="32">
        <v>60691</v>
      </c>
      <c r="B649" s="14">
        <f>95.5523 * CHOOSE(CONTROL!$C$9, $D$9, 100%, $F$9) + CHOOSE(CONTROL!$C$27, 0.0021, 0)</f>
        <v>95.554400000000001</v>
      </c>
      <c r="C649" s="14">
        <f>95.12 * CHOOSE(CONTROL!$C$9, $D$9, 100%, $F$9) + CHOOSE(CONTROL!$C$27, 0.0021, 0)</f>
        <v>95.122100000000003</v>
      </c>
      <c r="D649" s="14">
        <f>95.12 * CHOOSE(CONTROL!$C$9, $D$9, 100%, $F$9) + CHOOSE(CONTROL!$C$27, 0.0021, 0)</f>
        <v>95.122100000000003</v>
      </c>
      <c r="E649" s="14">
        <f>94.9833 * CHOOSE(CONTROL!$C$9, $D$9, 100%, $F$9) + CHOOSE(CONTROL!$C$27, 0.0021, 0)</f>
        <v>94.985399999999998</v>
      </c>
      <c r="F649" s="14">
        <f>94.9833 * CHOOSE(CONTROL!$C$9, $D$9, 100%, $F$9) + CHOOSE(CONTROL!$C$27, 0.0021, 0)</f>
        <v>94.985399999999998</v>
      </c>
      <c r="G649" s="14">
        <f>95.2547 * CHOOSE(CONTROL!$C$9, $D$9, 100%, $F$9) + CHOOSE(CONTROL!$C$27, 0.0021, 0)</f>
        <v>95.256799999999998</v>
      </c>
      <c r="H649" s="14">
        <f>95.12 * CHOOSE(CONTROL!$C$9, $D$9, 100%, $F$9) + CHOOSE(CONTROL!$C$27, 0.0021, 0)</f>
        <v>95.122100000000003</v>
      </c>
      <c r="I649" s="14">
        <f>95.12 * CHOOSE(CONTROL!$C$9, $D$9, 100%, $F$9) + CHOOSE(CONTROL!$C$27, 0.0021, 0)</f>
        <v>95.122100000000003</v>
      </c>
      <c r="J649" s="14">
        <f>95.12 * CHOOSE(CONTROL!$C$9, $D$9, 100%, $F$9) + CHOOSE(CONTROL!$C$27, 0.0021, 0)</f>
        <v>95.122100000000003</v>
      </c>
      <c r="K649" s="14">
        <f>95.12 * CHOOSE(CONTROL!$C$9, $D$9, 100%, $F$9) + CHOOSE(CONTROL!$C$27, 0.0021, 0)</f>
        <v>95.122100000000003</v>
      </c>
      <c r="L649" s="14"/>
    </row>
    <row r="650" spans="1:12" ht="15.75" x14ac:dyDescent="0.25">
      <c r="A650" s="32">
        <v>60722</v>
      </c>
      <c r="B650" s="14">
        <f>100.4676 * CHOOSE(CONTROL!$C$9, $D$9, 100%, $F$9) + CHOOSE(CONTROL!$C$27, 0.0021, 0)</f>
        <v>100.4697</v>
      </c>
      <c r="C650" s="14">
        <f>100.0353 * CHOOSE(CONTROL!$C$9, $D$9, 100%, $F$9) + CHOOSE(CONTROL!$C$27, 0.0021, 0)</f>
        <v>100.03740000000001</v>
      </c>
      <c r="D650" s="14">
        <f>100.0353 * CHOOSE(CONTROL!$C$9, $D$9, 100%, $F$9) + CHOOSE(CONTROL!$C$27, 0.0021, 0)</f>
        <v>100.03740000000001</v>
      </c>
      <c r="E650" s="14">
        <f>99.8987 * CHOOSE(CONTROL!$C$9, $D$9, 100%, $F$9) + CHOOSE(CONTROL!$C$27, 0.0021, 0)</f>
        <v>99.900800000000004</v>
      </c>
      <c r="F650" s="14">
        <f>99.8987 * CHOOSE(CONTROL!$C$9, $D$9, 100%, $F$9) + CHOOSE(CONTROL!$C$27, 0.0021, 0)</f>
        <v>99.900800000000004</v>
      </c>
      <c r="G650" s="14">
        <f>100.1701 * CHOOSE(CONTROL!$C$9, $D$9, 100%, $F$9) + CHOOSE(CONTROL!$C$27, 0.0021, 0)</f>
        <v>100.1722</v>
      </c>
      <c r="H650" s="14">
        <f>100.0353 * CHOOSE(CONTROL!$C$9, $D$9, 100%, $F$9) + CHOOSE(CONTROL!$C$27, 0.0021, 0)</f>
        <v>100.03740000000001</v>
      </c>
      <c r="I650" s="14">
        <f>100.0353 * CHOOSE(CONTROL!$C$9, $D$9, 100%, $F$9) + CHOOSE(CONTROL!$C$27, 0.0021, 0)</f>
        <v>100.03740000000001</v>
      </c>
      <c r="J650" s="14">
        <f>100.0353 * CHOOSE(CONTROL!$C$9, $D$9, 100%, $F$9) + CHOOSE(CONTROL!$C$27, 0.0021, 0)</f>
        <v>100.03740000000001</v>
      </c>
      <c r="K650" s="14">
        <f>100.0353 * CHOOSE(CONTROL!$C$9, $D$9, 100%, $F$9) + CHOOSE(CONTROL!$C$27, 0.0021, 0)</f>
        <v>100.03740000000001</v>
      </c>
      <c r="L650" s="14"/>
    </row>
    <row r="651" spans="1:12" ht="15.75" x14ac:dyDescent="0.25">
      <c r="A651" s="32">
        <v>60752</v>
      </c>
      <c r="B651" s="14">
        <f>106.8416 * CHOOSE(CONTROL!$C$9, $D$9, 100%, $F$9) + CHOOSE(CONTROL!$C$27, 0.0021, 0)</f>
        <v>106.8437</v>
      </c>
      <c r="C651" s="14">
        <f>106.4094 * CHOOSE(CONTROL!$C$9, $D$9, 100%, $F$9) + CHOOSE(CONTROL!$C$27, 0.0021, 0)</f>
        <v>106.4115</v>
      </c>
      <c r="D651" s="14">
        <f>106.4094 * CHOOSE(CONTROL!$C$9, $D$9, 100%, $F$9) + CHOOSE(CONTROL!$C$27, 0.0021, 0)</f>
        <v>106.4115</v>
      </c>
      <c r="E651" s="14">
        <f>106.2727 * CHOOSE(CONTROL!$C$9, $D$9, 100%, $F$9) + CHOOSE(CONTROL!$C$27, 0.0021, 0)</f>
        <v>106.2748</v>
      </c>
      <c r="F651" s="14">
        <f>106.2727 * CHOOSE(CONTROL!$C$9, $D$9, 100%, $F$9) + CHOOSE(CONTROL!$C$27, 0.0021, 0)</f>
        <v>106.2748</v>
      </c>
      <c r="G651" s="14">
        <f>106.5441 * CHOOSE(CONTROL!$C$9, $D$9, 100%, $F$9) + CHOOSE(CONTROL!$C$27, 0.0021, 0)</f>
        <v>106.5462</v>
      </c>
      <c r="H651" s="14">
        <f>106.4094 * CHOOSE(CONTROL!$C$9, $D$9, 100%, $F$9) + CHOOSE(CONTROL!$C$27, 0.0021, 0)</f>
        <v>106.4115</v>
      </c>
      <c r="I651" s="14">
        <f>106.4094 * CHOOSE(CONTROL!$C$9, $D$9, 100%, $F$9) + CHOOSE(CONTROL!$C$27, 0.0021, 0)</f>
        <v>106.4115</v>
      </c>
      <c r="J651" s="14">
        <f>106.4094 * CHOOSE(CONTROL!$C$9, $D$9, 100%, $F$9) + CHOOSE(CONTROL!$C$27, 0.0021, 0)</f>
        <v>106.4115</v>
      </c>
      <c r="K651" s="14">
        <f>106.4094 * CHOOSE(CONTROL!$C$9, $D$9, 100%, $F$9) + CHOOSE(CONTROL!$C$27, 0.0021, 0)</f>
        <v>106.4115</v>
      </c>
      <c r="L651" s="14"/>
    </row>
    <row r="652" spans="1:12" ht="15.75" x14ac:dyDescent="0.25">
      <c r="A652" s="32">
        <v>60783</v>
      </c>
      <c r="B652" s="14">
        <f>110.3501 * CHOOSE(CONTROL!$C$9, $D$9, 100%, $F$9) + CHOOSE(CONTROL!$C$27, 0.0021, 0)</f>
        <v>110.3522</v>
      </c>
      <c r="C652" s="14">
        <f>109.9178 * CHOOSE(CONTROL!$C$9, $D$9, 100%, $F$9) + CHOOSE(CONTROL!$C$27, 0.0021, 0)</f>
        <v>109.9199</v>
      </c>
      <c r="D652" s="14">
        <f>109.9178 * CHOOSE(CONTROL!$C$9, $D$9, 100%, $F$9) + CHOOSE(CONTROL!$C$27, 0.0021, 0)</f>
        <v>109.9199</v>
      </c>
      <c r="E652" s="14">
        <f>109.7812 * CHOOSE(CONTROL!$C$9, $D$9, 100%, $F$9) + CHOOSE(CONTROL!$C$27, 0.0021, 0)</f>
        <v>109.7833</v>
      </c>
      <c r="F652" s="14">
        <f>109.7812 * CHOOSE(CONTROL!$C$9, $D$9, 100%, $F$9) + CHOOSE(CONTROL!$C$27, 0.0021, 0)</f>
        <v>109.7833</v>
      </c>
      <c r="G652" s="14">
        <f>110.0525 * CHOOSE(CONTROL!$C$9, $D$9, 100%, $F$9) + CHOOSE(CONTROL!$C$27, 0.0021, 0)</f>
        <v>110.05459999999999</v>
      </c>
      <c r="H652" s="14">
        <f>109.9178 * CHOOSE(CONTROL!$C$9, $D$9, 100%, $F$9) + CHOOSE(CONTROL!$C$27, 0.0021, 0)</f>
        <v>109.9199</v>
      </c>
      <c r="I652" s="14">
        <f>109.9178 * CHOOSE(CONTROL!$C$9, $D$9, 100%, $F$9) + CHOOSE(CONTROL!$C$27, 0.0021, 0)</f>
        <v>109.9199</v>
      </c>
      <c r="J652" s="14">
        <f>109.9178 * CHOOSE(CONTROL!$C$9, $D$9, 100%, $F$9) + CHOOSE(CONTROL!$C$27, 0.0021, 0)</f>
        <v>109.9199</v>
      </c>
      <c r="K652" s="14">
        <f>109.9178 * CHOOSE(CONTROL!$C$9, $D$9, 100%, $F$9) + CHOOSE(CONTROL!$C$27, 0.0021, 0)</f>
        <v>109.9199</v>
      </c>
      <c r="L652" s="14"/>
    </row>
    <row r="653" spans="1:12" ht="15.75" x14ac:dyDescent="0.25">
      <c r="A653" s="32">
        <v>60813</v>
      </c>
      <c r="B653" s="14">
        <f>111.9071 * CHOOSE(CONTROL!$C$9, $D$9, 100%, $F$9) + CHOOSE(CONTROL!$C$27, 0.0021, 0)</f>
        <v>111.9092</v>
      </c>
      <c r="C653" s="14">
        <f>111.4748 * CHOOSE(CONTROL!$C$9, $D$9, 100%, $F$9) + CHOOSE(CONTROL!$C$27, 0.0021, 0)</f>
        <v>111.4769</v>
      </c>
      <c r="D653" s="14">
        <f>111.4748 * CHOOSE(CONTROL!$C$9, $D$9, 100%, $F$9) + CHOOSE(CONTROL!$C$27, 0.0021, 0)</f>
        <v>111.4769</v>
      </c>
      <c r="E653" s="14">
        <f>111.3382 * CHOOSE(CONTROL!$C$9, $D$9, 100%, $F$9) + CHOOSE(CONTROL!$C$27, 0.0021, 0)</f>
        <v>111.3403</v>
      </c>
      <c r="F653" s="14">
        <f>111.3382 * CHOOSE(CONTROL!$C$9, $D$9, 100%, $F$9) + CHOOSE(CONTROL!$C$27, 0.0021, 0)</f>
        <v>111.3403</v>
      </c>
      <c r="G653" s="14">
        <f>111.6095 * CHOOSE(CONTROL!$C$9, $D$9, 100%, $F$9) + CHOOSE(CONTROL!$C$27, 0.0021, 0)</f>
        <v>111.6116</v>
      </c>
      <c r="H653" s="14">
        <f>111.4748 * CHOOSE(CONTROL!$C$9, $D$9, 100%, $F$9) + CHOOSE(CONTROL!$C$27, 0.0021, 0)</f>
        <v>111.4769</v>
      </c>
      <c r="I653" s="14">
        <f>111.4748 * CHOOSE(CONTROL!$C$9, $D$9, 100%, $F$9) + CHOOSE(CONTROL!$C$27, 0.0021, 0)</f>
        <v>111.4769</v>
      </c>
      <c r="J653" s="14">
        <f>111.4748 * CHOOSE(CONTROL!$C$9, $D$9, 100%, $F$9) + CHOOSE(CONTROL!$C$27, 0.0021, 0)</f>
        <v>111.4769</v>
      </c>
      <c r="K653" s="14">
        <f>111.4748 * CHOOSE(CONTROL!$C$9, $D$9, 100%, $F$9) + CHOOSE(CONTROL!$C$27, 0.0021, 0)</f>
        <v>111.4769</v>
      </c>
      <c r="L653" s="14"/>
    </row>
    <row r="654" spans="1:12" ht="15.75" x14ac:dyDescent="0.25">
      <c r="A654" s="32">
        <v>60844</v>
      </c>
      <c r="B654" s="14">
        <f>111.3944 * CHOOSE(CONTROL!$C$9, $D$9, 100%, $F$9) + CHOOSE(CONTROL!$C$27, 0.0021, 0)</f>
        <v>111.3965</v>
      </c>
      <c r="C654" s="14">
        <f>110.9622 * CHOOSE(CONTROL!$C$9, $D$9, 100%, $F$9) + CHOOSE(CONTROL!$C$27, 0.0021, 0)</f>
        <v>110.96429999999999</v>
      </c>
      <c r="D654" s="14">
        <f>110.9622 * CHOOSE(CONTROL!$C$9, $D$9, 100%, $F$9) + CHOOSE(CONTROL!$C$27, 0.0021, 0)</f>
        <v>110.96429999999999</v>
      </c>
      <c r="E654" s="14">
        <f>110.8255 * CHOOSE(CONTROL!$C$9, $D$9, 100%, $F$9) + CHOOSE(CONTROL!$C$27, 0.0021, 0)</f>
        <v>110.8276</v>
      </c>
      <c r="F654" s="14">
        <f>110.8255 * CHOOSE(CONTROL!$C$9, $D$9, 100%, $F$9) + CHOOSE(CONTROL!$C$27, 0.0021, 0)</f>
        <v>110.8276</v>
      </c>
      <c r="G654" s="14">
        <f>111.0969 * CHOOSE(CONTROL!$C$9, $D$9, 100%, $F$9) + CHOOSE(CONTROL!$C$27, 0.0021, 0)</f>
        <v>111.099</v>
      </c>
      <c r="H654" s="14">
        <f>110.9622 * CHOOSE(CONTROL!$C$9, $D$9, 100%, $F$9) + CHOOSE(CONTROL!$C$27, 0.0021, 0)</f>
        <v>110.96429999999999</v>
      </c>
      <c r="I654" s="14">
        <f>110.9622 * CHOOSE(CONTROL!$C$9, $D$9, 100%, $F$9) + CHOOSE(CONTROL!$C$27, 0.0021, 0)</f>
        <v>110.96429999999999</v>
      </c>
      <c r="J654" s="14">
        <f>110.9622 * CHOOSE(CONTROL!$C$9, $D$9, 100%, $F$9) + CHOOSE(CONTROL!$C$27, 0.0021, 0)</f>
        <v>110.96429999999999</v>
      </c>
      <c r="K654" s="14">
        <f>110.9622 * CHOOSE(CONTROL!$C$9, $D$9, 100%, $F$9) + CHOOSE(CONTROL!$C$27, 0.0021, 0)</f>
        <v>110.96429999999999</v>
      </c>
      <c r="L654" s="14"/>
    </row>
    <row r="655" spans="1:12" ht="15.75" x14ac:dyDescent="0.25">
      <c r="A655" s="32">
        <v>60875</v>
      </c>
      <c r="B655" s="14">
        <f>108.8546 * CHOOSE(CONTROL!$C$9, $D$9, 100%, $F$9) + CHOOSE(CONTROL!$C$27, 0.0021, 0)</f>
        <v>108.8567</v>
      </c>
      <c r="C655" s="14">
        <f>108.4223 * CHOOSE(CONTROL!$C$9, $D$9, 100%, $F$9) + CHOOSE(CONTROL!$C$27, 0.0021, 0)</f>
        <v>108.42440000000001</v>
      </c>
      <c r="D655" s="14">
        <f>108.4223 * CHOOSE(CONTROL!$C$9, $D$9, 100%, $F$9) + CHOOSE(CONTROL!$C$27, 0.0021, 0)</f>
        <v>108.42440000000001</v>
      </c>
      <c r="E655" s="14">
        <f>108.2857 * CHOOSE(CONTROL!$C$9, $D$9, 100%, $F$9) + CHOOSE(CONTROL!$C$27, 0.0021, 0)</f>
        <v>108.2878</v>
      </c>
      <c r="F655" s="14">
        <f>108.2857 * CHOOSE(CONTROL!$C$9, $D$9, 100%, $F$9) + CHOOSE(CONTROL!$C$27, 0.0021, 0)</f>
        <v>108.2878</v>
      </c>
      <c r="G655" s="14">
        <f>108.5571 * CHOOSE(CONTROL!$C$9, $D$9, 100%, $F$9) + CHOOSE(CONTROL!$C$27, 0.0021, 0)</f>
        <v>108.5592</v>
      </c>
      <c r="H655" s="14">
        <f>108.4223 * CHOOSE(CONTROL!$C$9, $D$9, 100%, $F$9) + CHOOSE(CONTROL!$C$27, 0.0021, 0)</f>
        <v>108.42440000000001</v>
      </c>
      <c r="I655" s="14">
        <f>108.4223 * CHOOSE(CONTROL!$C$9, $D$9, 100%, $F$9) + CHOOSE(CONTROL!$C$27, 0.0021, 0)</f>
        <v>108.42440000000001</v>
      </c>
      <c r="J655" s="14">
        <f>108.4223 * CHOOSE(CONTROL!$C$9, $D$9, 100%, $F$9) + CHOOSE(CONTROL!$C$27, 0.0021, 0)</f>
        <v>108.42440000000001</v>
      </c>
      <c r="K655" s="14">
        <f>108.4223 * CHOOSE(CONTROL!$C$9, $D$9, 100%, $F$9) + CHOOSE(CONTROL!$C$27, 0.0021, 0)</f>
        <v>108.42440000000001</v>
      </c>
      <c r="L655" s="14"/>
    </row>
    <row r="656" spans="1:12" ht="15.75" x14ac:dyDescent="0.25">
      <c r="A656" s="32">
        <v>60905</v>
      </c>
      <c r="B656" s="14">
        <f>105.3126 * CHOOSE(CONTROL!$C$9, $D$9, 100%, $F$9) + CHOOSE(CONTROL!$C$27, 0.0021, 0)</f>
        <v>105.3147</v>
      </c>
      <c r="C656" s="14">
        <f>104.8804 * CHOOSE(CONTROL!$C$9, $D$9, 100%, $F$9) + CHOOSE(CONTROL!$C$27, 0.0021, 0)</f>
        <v>104.88249999999999</v>
      </c>
      <c r="D656" s="14">
        <f>104.8804 * CHOOSE(CONTROL!$C$9, $D$9, 100%, $F$9) + CHOOSE(CONTROL!$C$27, 0.0021, 0)</f>
        <v>104.88249999999999</v>
      </c>
      <c r="E656" s="14">
        <f>104.7437 * CHOOSE(CONTROL!$C$9, $D$9, 100%, $F$9) + CHOOSE(CONTROL!$C$27, 0.0021, 0)</f>
        <v>104.7458</v>
      </c>
      <c r="F656" s="14">
        <f>104.7437 * CHOOSE(CONTROL!$C$9, $D$9, 100%, $F$9) + CHOOSE(CONTROL!$C$27, 0.0021, 0)</f>
        <v>104.7458</v>
      </c>
      <c r="G656" s="14">
        <f>105.0151 * CHOOSE(CONTROL!$C$9, $D$9, 100%, $F$9) + CHOOSE(CONTROL!$C$27, 0.0021, 0)</f>
        <v>105.0172</v>
      </c>
      <c r="H656" s="14">
        <f>104.8804 * CHOOSE(CONTROL!$C$9, $D$9, 100%, $F$9) + CHOOSE(CONTROL!$C$27, 0.0021, 0)</f>
        <v>104.88249999999999</v>
      </c>
      <c r="I656" s="14">
        <f>104.8804 * CHOOSE(CONTROL!$C$9, $D$9, 100%, $F$9) + CHOOSE(CONTROL!$C$27, 0.0021, 0)</f>
        <v>104.88249999999999</v>
      </c>
      <c r="J656" s="14">
        <f>104.8804 * CHOOSE(CONTROL!$C$9, $D$9, 100%, $F$9) + CHOOSE(CONTROL!$C$27, 0.0021, 0)</f>
        <v>104.88249999999999</v>
      </c>
      <c r="K656" s="14">
        <f>104.8804 * CHOOSE(CONTROL!$C$9, $D$9, 100%, $F$9) + CHOOSE(CONTROL!$C$27, 0.0021, 0)</f>
        <v>104.88249999999999</v>
      </c>
      <c r="L656" s="14"/>
    </row>
    <row r="657" spans="1:12" ht="15.75" x14ac:dyDescent="0.25">
      <c r="A657" s="32">
        <v>60936</v>
      </c>
      <c r="B657" s="14">
        <f>101.7501 * CHOOSE(CONTROL!$C$9, $D$9, 100%, $F$9) + CHOOSE(CONTROL!$C$27, 0.0021, 0)</f>
        <v>101.7522</v>
      </c>
      <c r="C657" s="14">
        <f>101.3178 * CHOOSE(CONTROL!$C$9, $D$9, 100%, $F$9) + CHOOSE(CONTROL!$C$27, 0.0021, 0)</f>
        <v>101.3199</v>
      </c>
      <c r="D657" s="14">
        <f>101.3178 * CHOOSE(CONTROL!$C$9, $D$9, 100%, $F$9) + CHOOSE(CONTROL!$C$27, 0.0021, 0)</f>
        <v>101.3199</v>
      </c>
      <c r="E657" s="14">
        <f>101.1812 * CHOOSE(CONTROL!$C$9, $D$9, 100%, $F$9) + CHOOSE(CONTROL!$C$27, 0.0021, 0)</f>
        <v>101.1833</v>
      </c>
      <c r="F657" s="14">
        <f>101.1812 * CHOOSE(CONTROL!$C$9, $D$9, 100%, $F$9) + CHOOSE(CONTROL!$C$27, 0.0021, 0)</f>
        <v>101.1833</v>
      </c>
      <c r="G657" s="14">
        <f>101.4526 * CHOOSE(CONTROL!$C$9, $D$9, 100%, $F$9) + CHOOSE(CONTROL!$C$27, 0.0021, 0)</f>
        <v>101.4547</v>
      </c>
      <c r="H657" s="14">
        <f>101.3178 * CHOOSE(CONTROL!$C$9, $D$9, 100%, $F$9) + CHOOSE(CONTROL!$C$27, 0.0021, 0)</f>
        <v>101.3199</v>
      </c>
      <c r="I657" s="14">
        <f>101.3178 * CHOOSE(CONTROL!$C$9, $D$9, 100%, $F$9) + CHOOSE(CONTROL!$C$27, 0.0021, 0)</f>
        <v>101.3199</v>
      </c>
      <c r="J657" s="14">
        <f>101.3178 * CHOOSE(CONTROL!$C$9, $D$9, 100%, $F$9) + CHOOSE(CONTROL!$C$27, 0.0021, 0)</f>
        <v>101.3199</v>
      </c>
      <c r="K657" s="14">
        <f>101.3178 * CHOOSE(CONTROL!$C$9, $D$9, 100%, $F$9) + CHOOSE(CONTROL!$C$27, 0.0021, 0)</f>
        <v>101.3199</v>
      </c>
      <c r="L657" s="14"/>
    </row>
    <row r="658" spans="1:12" ht="15.75" x14ac:dyDescent="0.25">
      <c r="A658" s="32">
        <v>60966</v>
      </c>
      <c r="B658" s="14">
        <f>101.0414 * CHOOSE(CONTROL!$C$9, $D$9, 100%, $F$9) + CHOOSE(CONTROL!$C$27, 0.0021, 0)</f>
        <v>101.04349999999999</v>
      </c>
      <c r="C658" s="14">
        <f>100.6092 * CHOOSE(CONTROL!$C$9, $D$9, 100%, $F$9) + CHOOSE(CONTROL!$C$27, 0.0021, 0)</f>
        <v>100.6113</v>
      </c>
      <c r="D658" s="14">
        <f>100.6092 * CHOOSE(CONTROL!$C$9, $D$9, 100%, $F$9) + CHOOSE(CONTROL!$C$27, 0.0021, 0)</f>
        <v>100.6113</v>
      </c>
      <c r="E658" s="14">
        <f>100.4725 * CHOOSE(CONTROL!$C$9, $D$9, 100%, $F$9) + CHOOSE(CONTROL!$C$27, 0.0021, 0)</f>
        <v>100.4746</v>
      </c>
      <c r="F658" s="14">
        <f>100.4725 * CHOOSE(CONTROL!$C$9, $D$9, 100%, $F$9) + CHOOSE(CONTROL!$C$27, 0.0021, 0)</f>
        <v>100.4746</v>
      </c>
      <c r="G658" s="14">
        <f>100.7439 * CHOOSE(CONTROL!$C$9, $D$9, 100%, $F$9) + CHOOSE(CONTROL!$C$27, 0.0021, 0)</f>
        <v>100.746</v>
      </c>
      <c r="H658" s="14">
        <f>100.6092 * CHOOSE(CONTROL!$C$9, $D$9, 100%, $F$9) + CHOOSE(CONTROL!$C$27, 0.0021, 0)</f>
        <v>100.6113</v>
      </c>
      <c r="I658" s="14">
        <f>100.6092 * CHOOSE(CONTROL!$C$9, $D$9, 100%, $F$9) + CHOOSE(CONTROL!$C$27, 0.0021, 0)</f>
        <v>100.6113</v>
      </c>
      <c r="J658" s="14">
        <f>100.6092 * CHOOSE(CONTROL!$C$9, $D$9, 100%, $F$9) + CHOOSE(CONTROL!$C$27, 0.0021, 0)</f>
        <v>100.6113</v>
      </c>
      <c r="K658" s="14">
        <f>100.6092 * CHOOSE(CONTROL!$C$9, $D$9, 100%, $F$9) + CHOOSE(CONTROL!$C$27, 0.0021, 0)</f>
        <v>100.6113</v>
      </c>
      <c r="L658" s="14"/>
    </row>
    <row r="659" spans="1:12" ht="15.75" x14ac:dyDescent="0.25">
      <c r="A659" s="32">
        <v>60997</v>
      </c>
      <c r="B659" s="14">
        <f>98.111 * CHOOSE(CONTROL!$C$9, $D$9, 100%, $F$9) + CHOOSE(CONTROL!$C$27, 0.0021, 0)</f>
        <v>98.113100000000003</v>
      </c>
      <c r="C659" s="14">
        <f>97.6788 * CHOOSE(CONTROL!$C$9, $D$9, 100%, $F$9) + CHOOSE(CONTROL!$C$27, 0.0021, 0)</f>
        <v>97.680899999999994</v>
      </c>
      <c r="D659" s="14">
        <f>97.6788 * CHOOSE(CONTROL!$C$9, $D$9, 100%, $F$9) + CHOOSE(CONTROL!$C$27, 0.0021, 0)</f>
        <v>97.680899999999994</v>
      </c>
      <c r="E659" s="14">
        <f>97.5421 * CHOOSE(CONTROL!$C$9, $D$9, 100%, $F$9) + CHOOSE(CONTROL!$C$27, 0.0021, 0)</f>
        <v>97.544200000000004</v>
      </c>
      <c r="F659" s="14">
        <f>97.5421 * CHOOSE(CONTROL!$C$9, $D$9, 100%, $F$9) + CHOOSE(CONTROL!$C$27, 0.0021, 0)</f>
        <v>97.544200000000004</v>
      </c>
      <c r="G659" s="14">
        <f>97.8135 * CHOOSE(CONTROL!$C$9, $D$9, 100%, $F$9) + CHOOSE(CONTROL!$C$27, 0.0021, 0)</f>
        <v>97.815600000000003</v>
      </c>
      <c r="H659" s="14">
        <f>97.6788 * CHOOSE(CONTROL!$C$9, $D$9, 100%, $F$9) + CHOOSE(CONTROL!$C$27, 0.0021, 0)</f>
        <v>97.680899999999994</v>
      </c>
      <c r="I659" s="14">
        <f>97.6788 * CHOOSE(CONTROL!$C$9, $D$9, 100%, $F$9) + CHOOSE(CONTROL!$C$27, 0.0021, 0)</f>
        <v>97.680899999999994</v>
      </c>
      <c r="J659" s="14">
        <f>97.6788 * CHOOSE(CONTROL!$C$9, $D$9, 100%, $F$9) + CHOOSE(CONTROL!$C$27, 0.0021, 0)</f>
        <v>97.680899999999994</v>
      </c>
      <c r="K659" s="14">
        <f>97.6788 * CHOOSE(CONTROL!$C$9, $D$9, 100%, $F$9) + CHOOSE(CONTROL!$C$27, 0.0021, 0)</f>
        <v>97.680899999999994</v>
      </c>
      <c r="L659" s="14"/>
    </row>
    <row r="660" spans="1:12" ht="15.75" x14ac:dyDescent="0.25">
      <c r="A660" s="32">
        <v>61028</v>
      </c>
      <c r="B660" s="14">
        <f>97.5405 * CHOOSE(CONTROL!$C$9, $D$9, 100%, $F$9) + CHOOSE(CONTROL!$C$27, 0.0021, 0)</f>
        <v>97.542599999999993</v>
      </c>
      <c r="C660" s="14">
        <f>97.1083 * CHOOSE(CONTROL!$C$9, $D$9, 100%, $F$9) + CHOOSE(CONTROL!$C$27, 0.0021, 0)</f>
        <v>97.110399999999998</v>
      </c>
      <c r="D660" s="14">
        <f>97.1083 * CHOOSE(CONTROL!$C$9, $D$9, 100%, $F$9) + CHOOSE(CONTROL!$C$27, 0.0021, 0)</f>
        <v>97.110399999999998</v>
      </c>
      <c r="E660" s="14">
        <f>96.9716 * CHOOSE(CONTROL!$C$9, $D$9, 100%, $F$9) + CHOOSE(CONTROL!$C$27, 0.0021, 0)</f>
        <v>96.973699999999994</v>
      </c>
      <c r="F660" s="14">
        <f>96.9716 * CHOOSE(CONTROL!$C$9, $D$9, 100%, $F$9) + CHOOSE(CONTROL!$C$27, 0.0021, 0)</f>
        <v>96.973699999999994</v>
      </c>
      <c r="G660" s="14">
        <f>97.243 * CHOOSE(CONTROL!$C$9, $D$9, 100%, $F$9) + CHOOSE(CONTROL!$C$27, 0.0021, 0)</f>
        <v>97.245099999999994</v>
      </c>
      <c r="H660" s="14">
        <f>97.1083 * CHOOSE(CONTROL!$C$9, $D$9, 100%, $F$9) + CHOOSE(CONTROL!$C$27, 0.0021, 0)</f>
        <v>97.110399999999998</v>
      </c>
      <c r="I660" s="14">
        <f>97.1083 * CHOOSE(CONTROL!$C$9, $D$9, 100%, $F$9) + CHOOSE(CONTROL!$C$27, 0.0021, 0)</f>
        <v>97.110399999999998</v>
      </c>
      <c r="J660" s="14">
        <f>97.1083 * CHOOSE(CONTROL!$C$9, $D$9, 100%, $F$9) + CHOOSE(CONTROL!$C$27, 0.0021, 0)</f>
        <v>97.110399999999998</v>
      </c>
      <c r="K660" s="14">
        <f>97.1083 * CHOOSE(CONTROL!$C$9, $D$9, 100%, $F$9) + CHOOSE(CONTROL!$C$27, 0.0021, 0)</f>
        <v>97.110399999999998</v>
      </c>
      <c r="L660" s="14"/>
    </row>
    <row r="661" spans="1:12" ht="15.75" x14ac:dyDescent="0.25">
      <c r="A661" s="32">
        <v>61056</v>
      </c>
      <c r="B661" s="14">
        <f>97.2758 * CHOOSE(CONTROL!$C$9, $D$9, 100%, $F$9) + CHOOSE(CONTROL!$C$27, 0.0021, 0)</f>
        <v>97.277900000000002</v>
      </c>
      <c r="C661" s="14">
        <f>96.8435 * CHOOSE(CONTROL!$C$9, $D$9, 100%, $F$9) + CHOOSE(CONTROL!$C$27, 0.0021, 0)</f>
        <v>96.845600000000005</v>
      </c>
      <c r="D661" s="14">
        <f>96.8435 * CHOOSE(CONTROL!$C$9, $D$9, 100%, $F$9) + CHOOSE(CONTROL!$C$27, 0.0021, 0)</f>
        <v>96.845600000000005</v>
      </c>
      <c r="E661" s="14">
        <f>96.7069 * CHOOSE(CONTROL!$C$9, $D$9, 100%, $F$9) + CHOOSE(CONTROL!$C$27, 0.0021, 0)</f>
        <v>96.709000000000003</v>
      </c>
      <c r="F661" s="14">
        <f>96.7069 * CHOOSE(CONTROL!$C$9, $D$9, 100%, $F$9) + CHOOSE(CONTROL!$C$27, 0.0021, 0)</f>
        <v>96.709000000000003</v>
      </c>
      <c r="G661" s="14">
        <f>96.9782 * CHOOSE(CONTROL!$C$9, $D$9, 100%, $F$9) + CHOOSE(CONTROL!$C$27, 0.0021, 0)</f>
        <v>96.9803</v>
      </c>
      <c r="H661" s="14">
        <f>96.8435 * CHOOSE(CONTROL!$C$9, $D$9, 100%, $F$9) + CHOOSE(CONTROL!$C$27, 0.0021, 0)</f>
        <v>96.845600000000005</v>
      </c>
      <c r="I661" s="14">
        <f>96.8435 * CHOOSE(CONTROL!$C$9, $D$9, 100%, $F$9) + CHOOSE(CONTROL!$C$27, 0.0021, 0)</f>
        <v>96.845600000000005</v>
      </c>
      <c r="J661" s="14">
        <f>96.8435 * CHOOSE(CONTROL!$C$9, $D$9, 100%, $F$9) + CHOOSE(CONTROL!$C$27, 0.0021, 0)</f>
        <v>96.845600000000005</v>
      </c>
      <c r="K661" s="14">
        <f>96.8435 * CHOOSE(CONTROL!$C$9, $D$9, 100%, $F$9) + CHOOSE(CONTROL!$C$27, 0.0021, 0)</f>
        <v>96.845600000000005</v>
      </c>
      <c r="L661" s="14"/>
    </row>
    <row r="662" spans="1:12" ht="15.75" x14ac:dyDescent="0.25">
      <c r="A662" s="32">
        <v>61087</v>
      </c>
      <c r="B662" s="14">
        <f>102.2819 * CHOOSE(CONTROL!$C$9, $D$9, 100%, $F$9) + CHOOSE(CONTROL!$C$27, 0.0021, 0)</f>
        <v>102.28399999999999</v>
      </c>
      <c r="C662" s="14">
        <f>101.8497 * CHOOSE(CONTROL!$C$9, $D$9, 100%, $F$9) + CHOOSE(CONTROL!$C$27, 0.0021, 0)</f>
        <v>101.8518</v>
      </c>
      <c r="D662" s="14">
        <f>101.8497 * CHOOSE(CONTROL!$C$9, $D$9, 100%, $F$9) + CHOOSE(CONTROL!$C$27, 0.0021, 0)</f>
        <v>101.8518</v>
      </c>
      <c r="E662" s="14">
        <f>101.713 * CHOOSE(CONTROL!$C$9, $D$9, 100%, $F$9) + CHOOSE(CONTROL!$C$27, 0.0021, 0)</f>
        <v>101.71509999999999</v>
      </c>
      <c r="F662" s="14">
        <f>101.713 * CHOOSE(CONTROL!$C$9, $D$9, 100%, $F$9) + CHOOSE(CONTROL!$C$27, 0.0021, 0)</f>
        <v>101.71509999999999</v>
      </c>
      <c r="G662" s="14">
        <f>101.9844 * CHOOSE(CONTROL!$C$9, $D$9, 100%, $F$9) + CHOOSE(CONTROL!$C$27, 0.0021, 0)</f>
        <v>101.98649999999999</v>
      </c>
      <c r="H662" s="14">
        <f>101.8497 * CHOOSE(CONTROL!$C$9, $D$9, 100%, $F$9) + CHOOSE(CONTROL!$C$27, 0.0021, 0)</f>
        <v>101.8518</v>
      </c>
      <c r="I662" s="14">
        <f>101.8497 * CHOOSE(CONTROL!$C$9, $D$9, 100%, $F$9) + CHOOSE(CONTROL!$C$27, 0.0021, 0)</f>
        <v>101.8518</v>
      </c>
      <c r="J662" s="14">
        <f>101.8497 * CHOOSE(CONTROL!$C$9, $D$9, 100%, $F$9) + CHOOSE(CONTROL!$C$27, 0.0021, 0)</f>
        <v>101.8518</v>
      </c>
      <c r="K662" s="14">
        <f>101.8497 * CHOOSE(CONTROL!$C$9, $D$9, 100%, $F$9) + CHOOSE(CONTROL!$C$27, 0.0021, 0)</f>
        <v>101.8518</v>
      </c>
      <c r="L662" s="14"/>
    </row>
    <row r="663" spans="1:12" ht="15.75" x14ac:dyDescent="0.25">
      <c r="A663" s="32">
        <v>61117</v>
      </c>
      <c r="B663" s="14">
        <f>108.7738 * CHOOSE(CONTROL!$C$9, $D$9, 100%, $F$9) + CHOOSE(CONTROL!$C$27, 0.0021, 0)</f>
        <v>108.77589999999999</v>
      </c>
      <c r="C663" s="14">
        <f>108.3415 * CHOOSE(CONTROL!$C$9, $D$9, 100%, $F$9) + CHOOSE(CONTROL!$C$27, 0.0021, 0)</f>
        <v>108.3436</v>
      </c>
      <c r="D663" s="14">
        <f>108.3415 * CHOOSE(CONTROL!$C$9, $D$9, 100%, $F$9) + CHOOSE(CONTROL!$C$27, 0.0021, 0)</f>
        <v>108.3436</v>
      </c>
      <c r="E663" s="14">
        <f>108.2049 * CHOOSE(CONTROL!$C$9, $D$9, 100%, $F$9) + CHOOSE(CONTROL!$C$27, 0.0021, 0)</f>
        <v>108.20699999999999</v>
      </c>
      <c r="F663" s="14">
        <f>108.2049 * CHOOSE(CONTROL!$C$9, $D$9, 100%, $F$9) + CHOOSE(CONTROL!$C$27, 0.0021, 0)</f>
        <v>108.20699999999999</v>
      </c>
      <c r="G663" s="14">
        <f>108.4762 * CHOOSE(CONTROL!$C$9, $D$9, 100%, $F$9) + CHOOSE(CONTROL!$C$27, 0.0021, 0)</f>
        <v>108.4783</v>
      </c>
      <c r="H663" s="14">
        <f>108.3415 * CHOOSE(CONTROL!$C$9, $D$9, 100%, $F$9) + CHOOSE(CONTROL!$C$27, 0.0021, 0)</f>
        <v>108.3436</v>
      </c>
      <c r="I663" s="14">
        <f>108.3415 * CHOOSE(CONTROL!$C$9, $D$9, 100%, $F$9) + CHOOSE(CONTROL!$C$27, 0.0021, 0)</f>
        <v>108.3436</v>
      </c>
      <c r="J663" s="14">
        <f>108.3415 * CHOOSE(CONTROL!$C$9, $D$9, 100%, $F$9) + CHOOSE(CONTROL!$C$27, 0.0021, 0)</f>
        <v>108.3436</v>
      </c>
      <c r="K663" s="14">
        <f>108.3415 * CHOOSE(CONTROL!$C$9, $D$9, 100%, $F$9) + CHOOSE(CONTROL!$C$27, 0.0021, 0)</f>
        <v>108.3436</v>
      </c>
      <c r="L663" s="14"/>
    </row>
    <row r="664" spans="1:12" ht="15.75" x14ac:dyDescent="0.25">
      <c r="A664" s="32">
        <v>61148</v>
      </c>
      <c r="B664" s="14">
        <f>112.3471 * CHOOSE(CONTROL!$C$9, $D$9, 100%, $F$9) + CHOOSE(CONTROL!$C$27, 0.0021, 0)</f>
        <v>112.3492</v>
      </c>
      <c r="C664" s="14">
        <f>111.9148 * CHOOSE(CONTROL!$C$9, $D$9, 100%, $F$9) + CHOOSE(CONTROL!$C$27, 0.0021, 0)</f>
        <v>111.9169</v>
      </c>
      <c r="D664" s="14">
        <f>111.9148 * CHOOSE(CONTROL!$C$9, $D$9, 100%, $F$9) + CHOOSE(CONTROL!$C$27, 0.0021, 0)</f>
        <v>111.9169</v>
      </c>
      <c r="E664" s="14">
        <f>111.7782 * CHOOSE(CONTROL!$C$9, $D$9, 100%, $F$9) + CHOOSE(CONTROL!$C$27, 0.0021, 0)</f>
        <v>111.7803</v>
      </c>
      <c r="F664" s="14">
        <f>111.7782 * CHOOSE(CONTROL!$C$9, $D$9, 100%, $F$9) + CHOOSE(CONTROL!$C$27, 0.0021, 0)</f>
        <v>111.7803</v>
      </c>
      <c r="G664" s="14">
        <f>112.0495 * CHOOSE(CONTROL!$C$9, $D$9, 100%, $F$9) + CHOOSE(CONTROL!$C$27, 0.0021, 0)</f>
        <v>112.05159999999999</v>
      </c>
      <c r="H664" s="14">
        <f>111.9148 * CHOOSE(CONTROL!$C$9, $D$9, 100%, $F$9) + CHOOSE(CONTROL!$C$27, 0.0021, 0)</f>
        <v>111.9169</v>
      </c>
      <c r="I664" s="14">
        <f>111.9148 * CHOOSE(CONTROL!$C$9, $D$9, 100%, $F$9) + CHOOSE(CONTROL!$C$27, 0.0021, 0)</f>
        <v>111.9169</v>
      </c>
      <c r="J664" s="14">
        <f>111.9148 * CHOOSE(CONTROL!$C$9, $D$9, 100%, $F$9) + CHOOSE(CONTROL!$C$27, 0.0021, 0)</f>
        <v>111.9169</v>
      </c>
      <c r="K664" s="14">
        <f>111.9148 * CHOOSE(CONTROL!$C$9, $D$9, 100%, $F$9) + CHOOSE(CONTROL!$C$27, 0.0021, 0)</f>
        <v>111.9169</v>
      </c>
      <c r="L664" s="14"/>
    </row>
    <row r="665" spans="1:12" ht="15.75" x14ac:dyDescent="0.25">
      <c r="A665" s="32">
        <v>61178</v>
      </c>
      <c r="B665" s="14">
        <f>113.9328 * CHOOSE(CONTROL!$C$9, $D$9, 100%, $F$9) + CHOOSE(CONTROL!$C$27, 0.0021, 0)</f>
        <v>113.9349</v>
      </c>
      <c r="C665" s="14">
        <f>113.5006 * CHOOSE(CONTROL!$C$9, $D$9, 100%, $F$9) + CHOOSE(CONTROL!$C$27, 0.0021, 0)</f>
        <v>113.5027</v>
      </c>
      <c r="D665" s="14">
        <f>113.5006 * CHOOSE(CONTROL!$C$9, $D$9, 100%, $F$9) + CHOOSE(CONTROL!$C$27, 0.0021, 0)</f>
        <v>113.5027</v>
      </c>
      <c r="E665" s="14">
        <f>113.3639 * CHOOSE(CONTROL!$C$9, $D$9, 100%, $F$9) + CHOOSE(CONTROL!$C$27, 0.0021, 0)</f>
        <v>113.366</v>
      </c>
      <c r="F665" s="14">
        <f>113.3639 * CHOOSE(CONTROL!$C$9, $D$9, 100%, $F$9) + CHOOSE(CONTROL!$C$27, 0.0021, 0)</f>
        <v>113.366</v>
      </c>
      <c r="G665" s="14">
        <f>113.6353 * CHOOSE(CONTROL!$C$9, $D$9, 100%, $F$9) + CHOOSE(CONTROL!$C$27, 0.0021, 0)</f>
        <v>113.6374</v>
      </c>
      <c r="H665" s="14">
        <f>113.5006 * CHOOSE(CONTROL!$C$9, $D$9, 100%, $F$9) + CHOOSE(CONTROL!$C$27, 0.0021, 0)</f>
        <v>113.5027</v>
      </c>
      <c r="I665" s="14">
        <f>113.5006 * CHOOSE(CONTROL!$C$9, $D$9, 100%, $F$9) + CHOOSE(CONTROL!$C$27, 0.0021, 0)</f>
        <v>113.5027</v>
      </c>
      <c r="J665" s="14">
        <f>113.5006 * CHOOSE(CONTROL!$C$9, $D$9, 100%, $F$9) + CHOOSE(CONTROL!$C$27, 0.0021, 0)</f>
        <v>113.5027</v>
      </c>
      <c r="K665" s="14">
        <f>113.5006 * CHOOSE(CONTROL!$C$9, $D$9, 100%, $F$9) + CHOOSE(CONTROL!$C$27, 0.0021, 0)</f>
        <v>113.5027</v>
      </c>
      <c r="L665" s="14"/>
    </row>
    <row r="666" spans="1:12" ht="15.75" x14ac:dyDescent="0.25">
      <c r="A666" s="32">
        <v>61209</v>
      </c>
      <c r="B666" s="14">
        <f>113.4107 * CHOOSE(CONTROL!$C$9, $D$9, 100%, $F$9) + CHOOSE(CONTROL!$C$27, 0.0021, 0)</f>
        <v>113.4128</v>
      </c>
      <c r="C666" s="14">
        <f>112.9785 * CHOOSE(CONTROL!$C$9, $D$9, 100%, $F$9) + CHOOSE(CONTROL!$C$27, 0.0021, 0)</f>
        <v>112.9806</v>
      </c>
      <c r="D666" s="14">
        <f>112.9785 * CHOOSE(CONTROL!$C$9, $D$9, 100%, $F$9) + CHOOSE(CONTROL!$C$27, 0.0021, 0)</f>
        <v>112.9806</v>
      </c>
      <c r="E666" s="14">
        <f>112.8418 * CHOOSE(CONTROL!$C$9, $D$9, 100%, $F$9) + CHOOSE(CONTROL!$C$27, 0.0021, 0)</f>
        <v>112.8439</v>
      </c>
      <c r="F666" s="14">
        <f>112.8418 * CHOOSE(CONTROL!$C$9, $D$9, 100%, $F$9) + CHOOSE(CONTROL!$C$27, 0.0021, 0)</f>
        <v>112.8439</v>
      </c>
      <c r="G666" s="14">
        <f>113.1132 * CHOOSE(CONTROL!$C$9, $D$9, 100%, $F$9) + CHOOSE(CONTROL!$C$27, 0.0021, 0)</f>
        <v>113.1153</v>
      </c>
      <c r="H666" s="14">
        <f>112.9785 * CHOOSE(CONTROL!$C$9, $D$9, 100%, $F$9) + CHOOSE(CONTROL!$C$27, 0.0021, 0)</f>
        <v>112.9806</v>
      </c>
      <c r="I666" s="14">
        <f>112.9785 * CHOOSE(CONTROL!$C$9, $D$9, 100%, $F$9) + CHOOSE(CONTROL!$C$27, 0.0021, 0)</f>
        <v>112.9806</v>
      </c>
      <c r="J666" s="14">
        <f>112.9785 * CHOOSE(CONTROL!$C$9, $D$9, 100%, $F$9) + CHOOSE(CONTROL!$C$27, 0.0021, 0)</f>
        <v>112.9806</v>
      </c>
      <c r="K666" s="14">
        <f>112.9785 * CHOOSE(CONTROL!$C$9, $D$9, 100%, $F$9) + CHOOSE(CONTROL!$C$27, 0.0021, 0)</f>
        <v>112.9806</v>
      </c>
      <c r="L666" s="14"/>
    </row>
    <row r="667" spans="1:12" ht="15.75" x14ac:dyDescent="0.25">
      <c r="A667" s="32">
        <v>61240</v>
      </c>
      <c r="B667" s="14">
        <f>110.8239 * CHOOSE(CONTROL!$C$9, $D$9, 100%, $F$9) + CHOOSE(CONTROL!$C$27, 0.0021, 0)</f>
        <v>110.82599999999999</v>
      </c>
      <c r="C667" s="14">
        <f>110.3917 * CHOOSE(CONTROL!$C$9, $D$9, 100%, $F$9) + CHOOSE(CONTROL!$C$27, 0.0021, 0)</f>
        <v>110.3938</v>
      </c>
      <c r="D667" s="14">
        <f>110.3917 * CHOOSE(CONTROL!$C$9, $D$9, 100%, $F$9) + CHOOSE(CONTROL!$C$27, 0.0021, 0)</f>
        <v>110.3938</v>
      </c>
      <c r="E667" s="14">
        <f>110.255 * CHOOSE(CONTROL!$C$9, $D$9, 100%, $F$9) + CHOOSE(CONTROL!$C$27, 0.0021, 0)</f>
        <v>110.25709999999999</v>
      </c>
      <c r="F667" s="14">
        <f>110.255 * CHOOSE(CONTROL!$C$9, $D$9, 100%, $F$9) + CHOOSE(CONTROL!$C$27, 0.0021, 0)</f>
        <v>110.25709999999999</v>
      </c>
      <c r="G667" s="14">
        <f>110.5264 * CHOOSE(CONTROL!$C$9, $D$9, 100%, $F$9) + CHOOSE(CONTROL!$C$27, 0.0021, 0)</f>
        <v>110.52849999999999</v>
      </c>
      <c r="H667" s="14">
        <f>110.3917 * CHOOSE(CONTROL!$C$9, $D$9, 100%, $F$9) + CHOOSE(CONTROL!$C$27, 0.0021, 0)</f>
        <v>110.3938</v>
      </c>
      <c r="I667" s="14">
        <f>110.3917 * CHOOSE(CONTROL!$C$9, $D$9, 100%, $F$9) + CHOOSE(CONTROL!$C$27, 0.0021, 0)</f>
        <v>110.3938</v>
      </c>
      <c r="J667" s="14">
        <f>110.3917 * CHOOSE(CONTROL!$C$9, $D$9, 100%, $F$9) + CHOOSE(CONTROL!$C$27, 0.0021, 0)</f>
        <v>110.3938</v>
      </c>
      <c r="K667" s="14">
        <f>110.3917 * CHOOSE(CONTROL!$C$9, $D$9, 100%, $F$9) + CHOOSE(CONTROL!$C$27, 0.0021, 0)</f>
        <v>110.3938</v>
      </c>
      <c r="L667" s="14"/>
    </row>
    <row r="668" spans="1:12" ht="15.75" x14ac:dyDescent="0.25">
      <c r="A668" s="32">
        <v>61270</v>
      </c>
      <c r="B668" s="14">
        <f>107.2165 * CHOOSE(CONTROL!$C$9, $D$9, 100%, $F$9) + CHOOSE(CONTROL!$C$27, 0.0021, 0)</f>
        <v>107.2186</v>
      </c>
      <c r="C668" s="14">
        <f>106.7843 * CHOOSE(CONTROL!$C$9, $D$9, 100%, $F$9) + CHOOSE(CONTROL!$C$27, 0.0021, 0)</f>
        <v>106.7864</v>
      </c>
      <c r="D668" s="14">
        <f>106.7843 * CHOOSE(CONTROL!$C$9, $D$9, 100%, $F$9) + CHOOSE(CONTROL!$C$27, 0.0021, 0)</f>
        <v>106.7864</v>
      </c>
      <c r="E668" s="14">
        <f>106.6476 * CHOOSE(CONTROL!$C$9, $D$9, 100%, $F$9) + CHOOSE(CONTROL!$C$27, 0.0021, 0)</f>
        <v>106.6497</v>
      </c>
      <c r="F668" s="14">
        <f>106.6476 * CHOOSE(CONTROL!$C$9, $D$9, 100%, $F$9) + CHOOSE(CONTROL!$C$27, 0.0021, 0)</f>
        <v>106.6497</v>
      </c>
      <c r="G668" s="14">
        <f>106.919 * CHOOSE(CONTROL!$C$9, $D$9, 100%, $F$9) + CHOOSE(CONTROL!$C$27, 0.0021, 0)</f>
        <v>106.9211</v>
      </c>
      <c r="H668" s="14">
        <f>106.7843 * CHOOSE(CONTROL!$C$9, $D$9, 100%, $F$9) + CHOOSE(CONTROL!$C$27, 0.0021, 0)</f>
        <v>106.7864</v>
      </c>
      <c r="I668" s="14">
        <f>106.7843 * CHOOSE(CONTROL!$C$9, $D$9, 100%, $F$9) + CHOOSE(CONTROL!$C$27, 0.0021, 0)</f>
        <v>106.7864</v>
      </c>
      <c r="J668" s="14">
        <f>106.7843 * CHOOSE(CONTROL!$C$9, $D$9, 100%, $F$9) + CHOOSE(CONTROL!$C$27, 0.0021, 0)</f>
        <v>106.7864</v>
      </c>
      <c r="K668" s="14">
        <f>106.7843 * CHOOSE(CONTROL!$C$9, $D$9, 100%, $F$9) + CHOOSE(CONTROL!$C$27, 0.0021, 0)</f>
        <v>106.7864</v>
      </c>
      <c r="L668" s="14"/>
    </row>
    <row r="669" spans="1:12" ht="15.75" x14ac:dyDescent="0.25">
      <c r="A669" s="32">
        <v>61301</v>
      </c>
      <c r="B669" s="14">
        <f>103.5881 * CHOOSE(CONTROL!$C$9, $D$9, 100%, $F$9) + CHOOSE(CONTROL!$C$27, 0.0021, 0)</f>
        <v>103.5902</v>
      </c>
      <c r="C669" s="14">
        <f>103.1559 * CHOOSE(CONTROL!$C$9, $D$9, 100%, $F$9) + CHOOSE(CONTROL!$C$27, 0.0021, 0)</f>
        <v>103.158</v>
      </c>
      <c r="D669" s="14">
        <f>103.1559 * CHOOSE(CONTROL!$C$9, $D$9, 100%, $F$9) + CHOOSE(CONTROL!$C$27, 0.0021, 0)</f>
        <v>103.158</v>
      </c>
      <c r="E669" s="14">
        <f>103.0192 * CHOOSE(CONTROL!$C$9, $D$9, 100%, $F$9) + CHOOSE(CONTROL!$C$27, 0.0021, 0)</f>
        <v>103.0213</v>
      </c>
      <c r="F669" s="14">
        <f>103.0192 * CHOOSE(CONTROL!$C$9, $D$9, 100%, $F$9) + CHOOSE(CONTROL!$C$27, 0.0021, 0)</f>
        <v>103.0213</v>
      </c>
      <c r="G669" s="14">
        <f>103.2906 * CHOOSE(CONTROL!$C$9, $D$9, 100%, $F$9) + CHOOSE(CONTROL!$C$27, 0.0021, 0)</f>
        <v>103.2927</v>
      </c>
      <c r="H669" s="14">
        <f>103.1559 * CHOOSE(CONTROL!$C$9, $D$9, 100%, $F$9) + CHOOSE(CONTROL!$C$27, 0.0021, 0)</f>
        <v>103.158</v>
      </c>
      <c r="I669" s="14">
        <f>103.1559 * CHOOSE(CONTROL!$C$9, $D$9, 100%, $F$9) + CHOOSE(CONTROL!$C$27, 0.0021, 0)</f>
        <v>103.158</v>
      </c>
      <c r="J669" s="14">
        <f>103.1559 * CHOOSE(CONTROL!$C$9, $D$9, 100%, $F$9) + CHOOSE(CONTROL!$C$27, 0.0021, 0)</f>
        <v>103.158</v>
      </c>
      <c r="K669" s="14">
        <f>103.1559 * CHOOSE(CONTROL!$C$9, $D$9, 100%, $F$9) + CHOOSE(CONTROL!$C$27, 0.0021, 0)</f>
        <v>103.158</v>
      </c>
      <c r="L669" s="14"/>
    </row>
    <row r="670" spans="1:12" ht="15.75" x14ac:dyDescent="0.25">
      <c r="A670" s="32">
        <v>61331</v>
      </c>
      <c r="B670" s="14">
        <f>102.8664 * CHOOSE(CONTROL!$C$9, $D$9, 100%, $F$9) + CHOOSE(CONTROL!$C$27, 0.0021, 0)</f>
        <v>102.8685</v>
      </c>
      <c r="C670" s="14">
        <f>102.4341 * CHOOSE(CONTROL!$C$9, $D$9, 100%, $F$9) + CHOOSE(CONTROL!$C$27, 0.0021, 0)</f>
        <v>102.4362</v>
      </c>
      <c r="D670" s="14">
        <f>102.4341 * CHOOSE(CONTROL!$C$9, $D$9, 100%, $F$9) + CHOOSE(CONTROL!$C$27, 0.0021, 0)</f>
        <v>102.4362</v>
      </c>
      <c r="E670" s="14">
        <f>102.2975 * CHOOSE(CONTROL!$C$9, $D$9, 100%, $F$9) + CHOOSE(CONTROL!$C$27, 0.0021, 0)</f>
        <v>102.2996</v>
      </c>
      <c r="F670" s="14">
        <f>102.2975 * CHOOSE(CONTROL!$C$9, $D$9, 100%, $F$9) + CHOOSE(CONTROL!$C$27, 0.0021, 0)</f>
        <v>102.2996</v>
      </c>
      <c r="G670" s="14">
        <f>102.5689 * CHOOSE(CONTROL!$C$9, $D$9, 100%, $F$9) + CHOOSE(CONTROL!$C$27, 0.0021, 0)</f>
        <v>102.571</v>
      </c>
      <c r="H670" s="14">
        <f>102.4341 * CHOOSE(CONTROL!$C$9, $D$9, 100%, $F$9) + CHOOSE(CONTROL!$C$27, 0.0021, 0)</f>
        <v>102.4362</v>
      </c>
      <c r="I670" s="14">
        <f>102.4341 * CHOOSE(CONTROL!$C$9, $D$9, 100%, $F$9) + CHOOSE(CONTROL!$C$27, 0.0021, 0)</f>
        <v>102.4362</v>
      </c>
      <c r="J670" s="14">
        <f>102.4341 * CHOOSE(CONTROL!$C$9, $D$9, 100%, $F$9) + CHOOSE(CONTROL!$C$27, 0.0021, 0)</f>
        <v>102.4362</v>
      </c>
      <c r="K670" s="14">
        <f>102.4341 * CHOOSE(CONTROL!$C$9, $D$9, 100%, $F$9) + CHOOSE(CONTROL!$C$27, 0.0021, 0)</f>
        <v>102.4362</v>
      </c>
      <c r="L670" s="14"/>
    </row>
    <row r="671" spans="1:12" ht="15.75" x14ac:dyDescent="0.25">
      <c r="A671" s="32">
        <v>61362</v>
      </c>
      <c r="B671" s="14">
        <f>99.8818 * CHOOSE(CONTROL!$C$9, $D$9, 100%, $F$9) + CHOOSE(CONTROL!$C$27, 0.0021, 0)</f>
        <v>99.883899999999997</v>
      </c>
      <c r="C671" s="14">
        <f>99.4496 * CHOOSE(CONTROL!$C$9, $D$9, 100%, $F$9) + CHOOSE(CONTROL!$C$27, 0.0021, 0)</f>
        <v>99.451700000000002</v>
      </c>
      <c r="D671" s="14">
        <f>99.4496 * CHOOSE(CONTROL!$C$9, $D$9, 100%, $F$9) + CHOOSE(CONTROL!$C$27, 0.0021, 0)</f>
        <v>99.451700000000002</v>
      </c>
      <c r="E671" s="14">
        <f>99.3129 * CHOOSE(CONTROL!$C$9, $D$9, 100%, $F$9) + CHOOSE(CONTROL!$C$27, 0.0021, 0)</f>
        <v>99.314999999999998</v>
      </c>
      <c r="F671" s="14">
        <f>99.3129 * CHOOSE(CONTROL!$C$9, $D$9, 100%, $F$9) + CHOOSE(CONTROL!$C$27, 0.0021, 0)</f>
        <v>99.314999999999998</v>
      </c>
      <c r="G671" s="14">
        <f>99.5843 * CHOOSE(CONTROL!$C$9, $D$9, 100%, $F$9) + CHOOSE(CONTROL!$C$27, 0.0021, 0)</f>
        <v>99.586399999999998</v>
      </c>
      <c r="H671" s="14">
        <f>99.4496 * CHOOSE(CONTROL!$C$9, $D$9, 100%, $F$9) + CHOOSE(CONTROL!$C$27, 0.0021, 0)</f>
        <v>99.451700000000002</v>
      </c>
      <c r="I671" s="14">
        <f>99.4496 * CHOOSE(CONTROL!$C$9, $D$9, 100%, $F$9) + CHOOSE(CONTROL!$C$27, 0.0021, 0)</f>
        <v>99.451700000000002</v>
      </c>
      <c r="J671" s="14">
        <f>99.4496 * CHOOSE(CONTROL!$C$9, $D$9, 100%, $F$9) + CHOOSE(CONTROL!$C$27, 0.0021, 0)</f>
        <v>99.451700000000002</v>
      </c>
      <c r="K671" s="14">
        <f>99.4496 * CHOOSE(CONTROL!$C$9, $D$9, 100%, $F$9) + CHOOSE(CONTROL!$C$27, 0.0021, 0)</f>
        <v>99.451700000000002</v>
      </c>
      <c r="L671" s="14"/>
    </row>
    <row r="672" spans="1:12" ht="15.75" x14ac:dyDescent="0.25">
      <c r="A672" s="32">
        <v>61393</v>
      </c>
      <c r="B672" s="14">
        <f>99.3008 * CHOOSE(CONTROL!$C$9, $D$9, 100%, $F$9) + CHOOSE(CONTROL!$C$27, 0.0021, 0)</f>
        <v>99.302899999999994</v>
      </c>
      <c r="C672" s="14">
        <f>98.8685 * CHOOSE(CONTROL!$C$9, $D$9, 100%, $F$9) + CHOOSE(CONTROL!$C$27, 0.0021, 0)</f>
        <v>98.870599999999996</v>
      </c>
      <c r="D672" s="14">
        <f>98.8685 * CHOOSE(CONTROL!$C$9, $D$9, 100%, $F$9) + CHOOSE(CONTROL!$C$27, 0.0021, 0)</f>
        <v>98.870599999999996</v>
      </c>
      <c r="E672" s="14">
        <f>98.7319 * CHOOSE(CONTROL!$C$9, $D$9, 100%, $F$9) + CHOOSE(CONTROL!$C$27, 0.0021, 0)</f>
        <v>98.733999999999995</v>
      </c>
      <c r="F672" s="14">
        <f>98.7319 * CHOOSE(CONTROL!$C$9, $D$9, 100%, $F$9) + CHOOSE(CONTROL!$C$27, 0.0021, 0)</f>
        <v>98.733999999999995</v>
      </c>
      <c r="G672" s="14">
        <f>99.0033 * CHOOSE(CONTROL!$C$9, $D$9, 100%, $F$9) + CHOOSE(CONTROL!$C$27, 0.0021, 0)</f>
        <v>99.005399999999995</v>
      </c>
      <c r="H672" s="14">
        <f>98.8685 * CHOOSE(CONTROL!$C$9, $D$9, 100%, $F$9) + CHOOSE(CONTROL!$C$27, 0.0021, 0)</f>
        <v>98.870599999999996</v>
      </c>
      <c r="I672" s="14">
        <f>98.8685 * CHOOSE(CONTROL!$C$9, $D$9, 100%, $F$9) + CHOOSE(CONTROL!$C$27, 0.0021, 0)</f>
        <v>98.870599999999996</v>
      </c>
      <c r="J672" s="14">
        <f>98.8685 * CHOOSE(CONTROL!$C$9, $D$9, 100%, $F$9) + CHOOSE(CONTROL!$C$27, 0.0021, 0)</f>
        <v>98.870599999999996</v>
      </c>
      <c r="K672" s="14">
        <f>98.8685 * CHOOSE(CONTROL!$C$9, $D$9, 100%, $F$9) + CHOOSE(CONTROL!$C$27, 0.0021, 0)</f>
        <v>98.870599999999996</v>
      </c>
      <c r="L672" s="14"/>
    </row>
    <row r="673" spans="1:12" ht="15.75" x14ac:dyDescent="0.25">
      <c r="A673" s="32">
        <v>61422</v>
      </c>
      <c r="B673" s="14">
        <f>99.0311 * CHOOSE(CONTROL!$C$9, $D$9, 100%, $F$9) + CHOOSE(CONTROL!$C$27, 0.0021, 0)</f>
        <v>99.033199999999994</v>
      </c>
      <c r="C673" s="14">
        <f>98.5989 * CHOOSE(CONTROL!$C$9, $D$9, 100%, $F$9) + CHOOSE(CONTROL!$C$27, 0.0021, 0)</f>
        <v>98.600999999999999</v>
      </c>
      <c r="D673" s="14">
        <f>98.5989 * CHOOSE(CONTROL!$C$9, $D$9, 100%, $F$9) + CHOOSE(CONTROL!$C$27, 0.0021, 0)</f>
        <v>98.600999999999999</v>
      </c>
      <c r="E673" s="14">
        <f>98.4622 * CHOOSE(CONTROL!$C$9, $D$9, 100%, $F$9) + CHOOSE(CONTROL!$C$27, 0.0021, 0)</f>
        <v>98.464299999999994</v>
      </c>
      <c r="F673" s="14">
        <f>98.4622 * CHOOSE(CONTROL!$C$9, $D$9, 100%, $F$9) + CHOOSE(CONTROL!$C$27, 0.0021, 0)</f>
        <v>98.464299999999994</v>
      </c>
      <c r="G673" s="14">
        <f>98.7336 * CHOOSE(CONTROL!$C$9, $D$9, 100%, $F$9) + CHOOSE(CONTROL!$C$27, 0.0021, 0)</f>
        <v>98.735699999999994</v>
      </c>
      <c r="H673" s="14">
        <f>98.5989 * CHOOSE(CONTROL!$C$9, $D$9, 100%, $F$9) + CHOOSE(CONTROL!$C$27, 0.0021, 0)</f>
        <v>98.600999999999999</v>
      </c>
      <c r="I673" s="14">
        <f>98.5989 * CHOOSE(CONTROL!$C$9, $D$9, 100%, $F$9) + CHOOSE(CONTROL!$C$27, 0.0021, 0)</f>
        <v>98.600999999999999</v>
      </c>
      <c r="J673" s="14">
        <f>98.5989 * CHOOSE(CONTROL!$C$9, $D$9, 100%, $F$9) + CHOOSE(CONTROL!$C$27, 0.0021, 0)</f>
        <v>98.600999999999999</v>
      </c>
      <c r="K673" s="14">
        <f>98.5989 * CHOOSE(CONTROL!$C$9, $D$9, 100%, $F$9) + CHOOSE(CONTROL!$C$27, 0.0021, 0)</f>
        <v>98.600999999999999</v>
      </c>
      <c r="L673" s="14"/>
    </row>
    <row r="674" spans="1:12" ht="15.75" x14ac:dyDescent="0.25">
      <c r="A674" s="32">
        <v>61453</v>
      </c>
      <c r="B674" s="14">
        <f>104.1298 * CHOOSE(CONTROL!$C$9, $D$9, 100%, $F$9) + CHOOSE(CONTROL!$C$27, 0.0021, 0)</f>
        <v>104.1319</v>
      </c>
      <c r="C674" s="14">
        <f>103.6976 * CHOOSE(CONTROL!$C$9, $D$9, 100%, $F$9) + CHOOSE(CONTROL!$C$27, 0.0021, 0)</f>
        <v>103.69969999999999</v>
      </c>
      <c r="D674" s="14">
        <f>103.6976 * CHOOSE(CONTROL!$C$9, $D$9, 100%, $F$9) + CHOOSE(CONTROL!$C$27, 0.0021, 0)</f>
        <v>103.69969999999999</v>
      </c>
      <c r="E674" s="14">
        <f>103.5609 * CHOOSE(CONTROL!$C$9, $D$9, 100%, $F$9) + CHOOSE(CONTROL!$C$27, 0.0021, 0)</f>
        <v>103.563</v>
      </c>
      <c r="F674" s="14">
        <f>103.5609 * CHOOSE(CONTROL!$C$9, $D$9, 100%, $F$9) + CHOOSE(CONTROL!$C$27, 0.0021, 0)</f>
        <v>103.563</v>
      </c>
      <c r="G674" s="14">
        <f>103.8323 * CHOOSE(CONTROL!$C$9, $D$9, 100%, $F$9) + CHOOSE(CONTROL!$C$27, 0.0021, 0)</f>
        <v>103.8344</v>
      </c>
      <c r="H674" s="14">
        <f>103.6976 * CHOOSE(CONTROL!$C$9, $D$9, 100%, $F$9) + CHOOSE(CONTROL!$C$27, 0.0021, 0)</f>
        <v>103.69969999999999</v>
      </c>
      <c r="I674" s="14">
        <f>103.6976 * CHOOSE(CONTROL!$C$9, $D$9, 100%, $F$9) + CHOOSE(CONTROL!$C$27, 0.0021, 0)</f>
        <v>103.69969999999999</v>
      </c>
      <c r="J674" s="14">
        <f>103.6976 * CHOOSE(CONTROL!$C$9, $D$9, 100%, $F$9) + CHOOSE(CONTROL!$C$27, 0.0021, 0)</f>
        <v>103.69969999999999</v>
      </c>
      <c r="K674" s="14">
        <f>103.6976 * CHOOSE(CONTROL!$C$9, $D$9, 100%, $F$9) + CHOOSE(CONTROL!$C$27, 0.0021, 0)</f>
        <v>103.69969999999999</v>
      </c>
      <c r="L674" s="14"/>
    </row>
    <row r="675" spans="1:12" ht="15.75" x14ac:dyDescent="0.25">
      <c r="A675" s="32">
        <v>61483</v>
      </c>
      <c r="B675" s="14">
        <f>110.7416 * CHOOSE(CONTROL!$C$9, $D$9, 100%, $F$9) + CHOOSE(CONTROL!$C$27, 0.0021, 0)</f>
        <v>110.7437</v>
      </c>
      <c r="C675" s="14">
        <f>110.3094 * CHOOSE(CONTROL!$C$9, $D$9, 100%, $F$9) + CHOOSE(CONTROL!$C$27, 0.0021, 0)</f>
        <v>110.3115</v>
      </c>
      <c r="D675" s="14">
        <f>110.3094 * CHOOSE(CONTROL!$C$9, $D$9, 100%, $F$9) + CHOOSE(CONTROL!$C$27, 0.0021, 0)</f>
        <v>110.3115</v>
      </c>
      <c r="E675" s="14">
        <f>110.1727 * CHOOSE(CONTROL!$C$9, $D$9, 100%, $F$9) + CHOOSE(CONTROL!$C$27, 0.0021, 0)</f>
        <v>110.1748</v>
      </c>
      <c r="F675" s="14">
        <f>110.1727 * CHOOSE(CONTROL!$C$9, $D$9, 100%, $F$9) + CHOOSE(CONTROL!$C$27, 0.0021, 0)</f>
        <v>110.1748</v>
      </c>
      <c r="G675" s="14">
        <f>110.4441 * CHOOSE(CONTROL!$C$9, $D$9, 100%, $F$9) + CHOOSE(CONTROL!$C$27, 0.0021, 0)</f>
        <v>110.4462</v>
      </c>
      <c r="H675" s="14">
        <f>110.3094 * CHOOSE(CONTROL!$C$9, $D$9, 100%, $F$9) + CHOOSE(CONTROL!$C$27, 0.0021, 0)</f>
        <v>110.3115</v>
      </c>
      <c r="I675" s="14">
        <f>110.3094 * CHOOSE(CONTROL!$C$9, $D$9, 100%, $F$9) + CHOOSE(CONTROL!$C$27, 0.0021, 0)</f>
        <v>110.3115</v>
      </c>
      <c r="J675" s="14">
        <f>110.3094 * CHOOSE(CONTROL!$C$9, $D$9, 100%, $F$9) + CHOOSE(CONTROL!$C$27, 0.0021, 0)</f>
        <v>110.3115</v>
      </c>
      <c r="K675" s="14">
        <f>110.3094 * CHOOSE(CONTROL!$C$9, $D$9, 100%, $F$9) + CHOOSE(CONTROL!$C$27, 0.0021, 0)</f>
        <v>110.3115</v>
      </c>
      <c r="L675" s="14"/>
    </row>
    <row r="676" spans="1:12" ht="15.75" x14ac:dyDescent="0.25">
      <c r="A676" s="32">
        <v>61514</v>
      </c>
      <c r="B676" s="14">
        <f>114.381 * CHOOSE(CONTROL!$C$9, $D$9, 100%, $F$9) + CHOOSE(CONTROL!$C$27, 0.0021, 0)</f>
        <v>114.3831</v>
      </c>
      <c r="C676" s="14">
        <f>113.9487 * CHOOSE(CONTROL!$C$9, $D$9, 100%, $F$9) + CHOOSE(CONTROL!$C$27, 0.0021, 0)</f>
        <v>113.9508</v>
      </c>
      <c r="D676" s="14">
        <f>113.9487 * CHOOSE(CONTROL!$C$9, $D$9, 100%, $F$9) + CHOOSE(CONTROL!$C$27, 0.0021, 0)</f>
        <v>113.9508</v>
      </c>
      <c r="E676" s="14">
        <f>113.812 * CHOOSE(CONTROL!$C$9, $D$9, 100%, $F$9) + CHOOSE(CONTROL!$C$27, 0.0021, 0)</f>
        <v>113.8141</v>
      </c>
      <c r="F676" s="14">
        <f>113.812 * CHOOSE(CONTROL!$C$9, $D$9, 100%, $F$9) + CHOOSE(CONTROL!$C$27, 0.0021, 0)</f>
        <v>113.8141</v>
      </c>
      <c r="G676" s="14">
        <f>114.0834 * CHOOSE(CONTROL!$C$9, $D$9, 100%, $F$9) + CHOOSE(CONTROL!$C$27, 0.0021, 0)</f>
        <v>114.0855</v>
      </c>
      <c r="H676" s="14">
        <f>113.9487 * CHOOSE(CONTROL!$C$9, $D$9, 100%, $F$9) + CHOOSE(CONTROL!$C$27, 0.0021, 0)</f>
        <v>113.9508</v>
      </c>
      <c r="I676" s="14">
        <f>113.9487 * CHOOSE(CONTROL!$C$9, $D$9, 100%, $F$9) + CHOOSE(CONTROL!$C$27, 0.0021, 0)</f>
        <v>113.9508</v>
      </c>
      <c r="J676" s="14">
        <f>113.9487 * CHOOSE(CONTROL!$C$9, $D$9, 100%, $F$9) + CHOOSE(CONTROL!$C$27, 0.0021, 0)</f>
        <v>113.9508</v>
      </c>
      <c r="K676" s="14">
        <f>113.9487 * CHOOSE(CONTROL!$C$9, $D$9, 100%, $F$9) + CHOOSE(CONTROL!$C$27, 0.0021, 0)</f>
        <v>113.9508</v>
      </c>
      <c r="L676" s="14"/>
    </row>
    <row r="677" spans="1:12" ht="15.75" x14ac:dyDescent="0.25">
      <c r="A677" s="32">
        <v>61544</v>
      </c>
      <c r="B677" s="14">
        <f>115.996 * CHOOSE(CONTROL!$C$9, $D$9, 100%, $F$9) + CHOOSE(CONTROL!$C$27, 0.0021, 0)</f>
        <v>115.99809999999999</v>
      </c>
      <c r="C677" s="14">
        <f>115.5638 * CHOOSE(CONTROL!$C$9, $D$9, 100%, $F$9) + CHOOSE(CONTROL!$C$27, 0.0021, 0)</f>
        <v>115.5659</v>
      </c>
      <c r="D677" s="14">
        <f>115.5638 * CHOOSE(CONTROL!$C$9, $D$9, 100%, $F$9) + CHOOSE(CONTROL!$C$27, 0.0021, 0)</f>
        <v>115.5659</v>
      </c>
      <c r="E677" s="14">
        <f>115.4271 * CHOOSE(CONTROL!$C$9, $D$9, 100%, $F$9) + CHOOSE(CONTROL!$C$27, 0.0021, 0)</f>
        <v>115.42919999999999</v>
      </c>
      <c r="F677" s="14">
        <f>115.4271 * CHOOSE(CONTROL!$C$9, $D$9, 100%, $F$9) + CHOOSE(CONTROL!$C$27, 0.0021, 0)</f>
        <v>115.42919999999999</v>
      </c>
      <c r="G677" s="14">
        <f>115.6985 * CHOOSE(CONTROL!$C$9, $D$9, 100%, $F$9) + CHOOSE(CONTROL!$C$27, 0.0021, 0)</f>
        <v>115.70059999999999</v>
      </c>
      <c r="H677" s="14">
        <f>115.5638 * CHOOSE(CONTROL!$C$9, $D$9, 100%, $F$9) + CHOOSE(CONTROL!$C$27, 0.0021, 0)</f>
        <v>115.5659</v>
      </c>
      <c r="I677" s="14">
        <f>115.5638 * CHOOSE(CONTROL!$C$9, $D$9, 100%, $F$9) + CHOOSE(CONTROL!$C$27, 0.0021, 0)</f>
        <v>115.5659</v>
      </c>
      <c r="J677" s="14">
        <f>115.5638 * CHOOSE(CONTROL!$C$9, $D$9, 100%, $F$9) + CHOOSE(CONTROL!$C$27, 0.0021, 0)</f>
        <v>115.5659</v>
      </c>
      <c r="K677" s="14">
        <f>115.5638 * CHOOSE(CONTROL!$C$9, $D$9, 100%, $F$9) + CHOOSE(CONTROL!$C$27, 0.0021, 0)</f>
        <v>115.5659</v>
      </c>
      <c r="L677" s="14"/>
    </row>
    <row r="678" spans="1:12" ht="15.75" x14ac:dyDescent="0.25">
      <c r="A678" s="32">
        <v>61575</v>
      </c>
      <c r="B678" s="14">
        <f>115.4643 * CHOOSE(CONTROL!$C$9, $D$9, 100%, $F$9) + CHOOSE(CONTROL!$C$27, 0.0021, 0)</f>
        <v>115.46639999999999</v>
      </c>
      <c r="C678" s="14">
        <f>115.032 * CHOOSE(CONTROL!$C$9, $D$9, 100%, $F$9) + CHOOSE(CONTROL!$C$27, 0.0021, 0)</f>
        <v>115.0341</v>
      </c>
      <c r="D678" s="14">
        <f>115.032 * CHOOSE(CONTROL!$C$9, $D$9, 100%, $F$9) + CHOOSE(CONTROL!$C$27, 0.0021, 0)</f>
        <v>115.0341</v>
      </c>
      <c r="E678" s="14">
        <f>114.8954 * CHOOSE(CONTROL!$C$9, $D$9, 100%, $F$9) + CHOOSE(CONTROL!$C$27, 0.0021, 0)</f>
        <v>114.89749999999999</v>
      </c>
      <c r="F678" s="14">
        <f>114.8954 * CHOOSE(CONTROL!$C$9, $D$9, 100%, $F$9) + CHOOSE(CONTROL!$C$27, 0.0021, 0)</f>
        <v>114.89749999999999</v>
      </c>
      <c r="G678" s="14">
        <f>115.1667 * CHOOSE(CONTROL!$C$9, $D$9, 100%, $F$9) + CHOOSE(CONTROL!$C$27, 0.0021, 0)</f>
        <v>115.1688</v>
      </c>
      <c r="H678" s="14">
        <f>115.032 * CHOOSE(CONTROL!$C$9, $D$9, 100%, $F$9) + CHOOSE(CONTROL!$C$27, 0.0021, 0)</f>
        <v>115.0341</v>
      </c>
      <c r="I678" s="14">
        <f>115.032 * CHOOSE(CONTROL!$C$9, $D$9, 100%, $F$9) + CHOOSE(CONTROL!$C$27, 0.0021, 0)</f>
        <v>115.0341</v>
      </c>
      <c r="J678" s="14">
        <f>115.032 * CHOOSE(CONTROL!$C$9, $D$9, 100%, $F$9) + CHOOSE(CONTROL!$C$27, 0.0021, 0)</f>
        <v>115.0341</v>
      </c>
      <c r="K678" s="14">
        <f>115.032 * CHOOSE(CONTROL!$C$9, $D$9, 100%, $F$9) + CHOOSE(CONTROL!$C$27, 0.0021, 0)</f>
        <v>115.0341</v>
      </c>
      <c r="L678" s="14"/>
    </row>
    <row r="679" spans="1:12" ht="15.75" x14ac:dyDescent="0.25">
      <c r="A679" s="32">
        <v>61606</v>
      </c>
      <c r="B679" s="14">
        <f>112.8297 * CHOOSE(CONTROL!$C$9, $D$9, 100%, $F$9) + CHOOSE(CONTROL!$C$27, 0.0021, 0)</f>
        <v>112.8318</v>
      </c>
      <c r="C679" s="14">
        <f>112.3974 * CHOOSE(CONTROL!$C$9, $D$9, 100%, $F$9) + CHOOSE(CONTROL!$C$27, 0.0021, 0)</f>
        <v>112.3995</v>
      </c>
      <c r="D679" s="14">
        <f>112.3974 * CHOOSE(CONTROL!$C$9, $D$9, 100%, $F$9) + CHOOSE(CONTROL!$C$27, 0.0021, 0)</f>
        <v>112.3995</v>
      </c>
      <c r="E679" s="14">
        <f>112.2608 * CHOOSE(CONTROL!$C$9, $D$9, 100%, $F$9) + CHOOSE(CONTROL!$C$27, 0.0021, 0)</f>
        <v>112.2629</v>
      </c>
      <c r="F679" s="14">
        <f>112.2608 * CHOOSE(CONTROL!$C$9, $D$9, 100%, $F$9) + CHOOSE(CONTROL!$C$27, 0.0021, 0)</f>
        <v>112.2629</v>
      </c>
      <c r="G679" s="14">
        <f>112.5321 * CHOOSE(CONTROL!$C$9, $D$9, 100%, $F$9) + CHOOSE(CONTROL!$C$27, 0.0021, 0)</f>
        <v>112.5342</v>
      </c>
      <c r="H679" s="14">
        <f>112.3974 * CHOOSE(CONTROL!$C$9, $D$9, 100%, $F$9) + CHOOSE(CONTROL!$C$27, 0.0021, 0)</f>
        <v>112.3995</v>
      </c>
      <c r="I679" s="14">
        <f>112.3974 * CHOOSE(CONTROL!$C$9, $D$9, 100%, $F$9) + CHOOSE(CONTROL!$C$27, 0.0021, 0)</f>
        <v>112.3995</v>
      </c>
      <c r="J679" s="14">
        <f>112.3974 * CHOOSE(CONTROL!$C$9, $D$9, 100%, $F$9) + CHOOSE(CONTROL!$C$27, 0.0021, 0)</f>
        <v>112.3995</v>
      </c>
      <c r="K679" s="14">
        <f>112.3974 * CHOOSE(CONTROL!$C$9, $D$9, 100%, $F$9) + CHOOSE(CONTROL!$C$27, 0.0021, 0)</f>
        <v>112.3995</v>
      </c>
      <c r="L679" s="14"/>
    </row>
    <row r="680" spans="1:12" ht="15.75" x14ac:dyDescent="0.25">
      <c r="A680" s="32">
        <v>61636</v>
      </c>
      <c r="B680" s="14">
        <f>109.1556 * CHOOSE(CONTROL!$C$9, $D$9, 100%, $F$9) + CHOOSE(CONTROL!$C$27, 0.0021, 0)</f>
        <v>109.15770000000001</v>
      </c>
      <c r="C680" s="14">
        <f>108.7234 * CHOOSE(CONTROL!$C$9, $D$9, 100%, $F$9) + CHOOSE(CONTROL!$C$27, 0.0021, 0)</f>
        <v>108.7255</v>
      </c>
      <c r="D680" s="14">
        <f>108.7234 * CHOOSE(CONTROL!$C$9, $D$9, 100%, $F$9) + CHOOSE(CONTROL!$C$27, 0.0021, 0)</f>
        <v>108.7255</v>
      </c>
      <c r="E680" s="14">
        <f>108.5867 * CHOOSE(CONTROL!$C$9, $D$9, 100%, $F$9) + CHOOSE(CONTROL!$C$27, 0.0021, 0)</f>
        <v>108.58879999999999</v>
      </c>
      <c r="F680" s="14">
        <f>108.5867 * CHOOSE(CONTROL!$C$9, $D$9, 100%, $F$9) + CHOOSE(CONTROL!$C$27, 0.0021, 0)</f>
        <v>108.58879999999999</v>
      </c>
      <c r="G680" s="14">
        <f>108.8581 * CHOOSE(CONTROL!$C$9, $D$9, 100%, $F$9) + CHOOSE(CONTROL!$C$27, 0.0021, 0)</f>
        <v>108.86019999999999</v>
      </c>
      <c r="H680" s="14">
        <f>108.7234 * CHOOSE(CONTROL!$C$9, $D$9, 100%, $F$9) + CHOOSE(CONTROL!$C$27, 0.0021, 0)</f>
        <v>108.7255</v>
      </c>
      <c r="I680" s="14">
        <f>108.7234 * CHOOSE(CONTROL!$C$9, $D$9, 100%, $F$9) + CHOOSE(CONTROL!$C$27, 0.0021, 0)</f>
        <v>108.7255</v>
      </c>
      <c r="J680" s="14">
        <f>108.7234 * CHOOSE(CONTROL!$C$9, $D$9, 100%, $F$9) + CHOOSE(CONTROL!$C$27, 0.0021, 0)</f>
        <v>108.7255</v>
      </c>
      <c r="K680" s="14">
        <f>108.7234 * CHOOSE(CONTROL!$C$9, $D$9, 100%, $F$9) + CHOOSE(CONTROL!$C$27, 0.0021, 0)</f>
        <v>108.7255</v>
      </c>
      <c r="L680" s="14"/>
    </row>
    <row r="681" spans="1:12" ht="15.75" x14ac:dyDescent="0.25">
      <c r="A681" s="32">
        <v>61667</v>
      </c>
      <c r="B681" s="14">
        <f>105.4602 * CHOOSE(CONTROL!$C$9, $D$9, 100%, $F$9) + CHOOSE(CONTROL!$C$27, 0.0021, 0)</f>
        <v>105.4623</v>
      </c>
      <c r="C681" s="14">
        <f>105.0279 * CHOOSE(CONTROL!$C$9, $D$9, 100%, $F$9) + CHOOSE(CONTROL!$C$27, 0.0021, 0)</f>
        <v>105.03</v>
      </c>
      <c r="D681" s="14">
        <f>105.0279 * CHOOSE(CONTROL!$C$9, $D$9, 100%, $F$9) + CHOOSE(CONTROL!$C$27, 0.0021, 0)</f>
        <v>105.03</v>
      </c>
      <c r="E681" s="14">
        <f>104.8913 * CHOOSE(CONTROL!$C$9, $D$9, 100%, $F$9) + CHOOSE(CONTROL!$C$27, 0.0021, 0)</f>
        <v>104.8934</v>
      </c>
      <c r="F681" s="14">
        <f>104.8913 * CHOOSE(CONTROL!$C$9, $D$9, 100%, $F$9) + CHOOSE(CONTROL!$C$27, 0.0021, 0)</f>
        <v>104.8934</v>
      </c>
      <c r="G681" s="14">
        <f>105.1626 * CHOOSE(CONTROL!$C$9, $D$9, 100%, $F$9) + CHOOSE(CONTROL!$C$27, 0.0021, 0)</f>
        <v>105.1647</v>
      </c>
      <c r="H681" s="14">
        <f>105.0279 * CHOOSE(CONTROL!$C$9, $D$9, 100%, $F$9) + CHOOSE(CONTROL!$C$27, 0.0021, 0)</f>
        <v>105.03</v>
      </c>
      <c r="I681" s="14">
        <f>105.0279 * CHOOSE(CONTROL!$C$9, $D$9, 100%, $F$9) + CHOOSE(CONTROL!$C$27, 0.0021, 0)</f>
        <v>105.03</v>
      </c>
      <c r="J681" s="14">
        <f>105.0279 * CHOOSE(CONTROL!$C$9, $D$9, 100%, $F$9) + CHOOSE(CONTROL!$C$27, 0.0021, 0)</f>
        <v>105.03</v>
      </c>
      <c r="K681" s="14">
        <f>105.0279 * CHOOSE(CONTROL!$C$9, $D$9, 100%, $F$9) + CHOOSE(CONTROL!$C$27, 0.0021, 0)</f>
        <v>105.03</v>
      </c>
      <c r="L681" s="14"/>
    </row>
    <row r="682" spans="1:12" ht="15.75" x14ac:dyDescent="0.25">
      <c r="A682" s="32">
        <v>61697</v>
      </c>
      <c r="B682" s="14">
        <f>104.7251 * CHOOSE(CONTROL!$C$9, $D$9, 100%, $F$9) + CHOOSE(CONTROL!$C$27, 0.0021, 0)</f>
        <v>104.7272</v>
      </c>
      <c r="C682" s="14">
        <f>104.2928 * CHOOSE(CONTROL!$C$9, $D$9, 100%, $F$9) + CHOOSE(CONTROL!$C$27, 0.0021, 0)</f>
        <v>104.2949</v>
      </c>
      <c r="D682" s="14">
        <f>104.2928 * CHOOSE(CONTROL!$C$9, $D$9, 100%, $F$9) + CHOOSE(CONTROL!$C$27, 0.0021, 0)</f>
        <v>104.2949</v>
      </c>
      <c r="E682" s="14">
        <f>104.1562 * CHOOSE(CONTROL!$C$9, $D$9, 100%, $F$9) + CHOOSE(CONTROL!$C$27, 0.0021, 0)</f>
        <v>104.1583</v>
      </c>
      <c r="F682" s="14">
        <f>104.1562 * CHOOSE(CONTROL!$C$9, $D$9, 100%, $F$9) + CHOOSE(CONTROL!$C$27, 0.0021, 0)</f>
        <v>104.1583</v>
      </c>
      <c r="G682" s="14">
        <f>104.4275 * CHOOSE(CONTROL!$C$9, $D$9, 100%, $F$9) + CHOOSE(CONTROL!$C$27, 0.0021, 0)</f>
        <v>104.42959999999999</v>
      </c>
      <c r="H682" s="14">
        <f>104.2928 * CHOOSE(CONTROL!$C$9, $D$9, 100%, $F$9) + CHOOSE(CONTROL!$C$27, 0.0021, 0)</f>
        <v>104.2949</v>
      </c>
      <c r="I682" s="14">
        <f>104.2928 * CHOOSE(CONTROL!$C$9, $D$9, 100%, $F$9) + CHOOSE(CONTROL!$C$27, 0.0021, 0)</f>
        <v>104.2949</v>
      </c>
      <c r="J682" s="14">
        <f>104.2928 * CHOOSE(CONTROL!$C$9, $D$9, 100%, $F$9) + CHOOSE(CONTROL!$C$27, 0.0021, 0)</f>
        <v>104.2949</v>
      </c>
      <c r="K682" s="14">
        <f>104.2928 * CHOOSE(CONTROL!$C$9, $D$9, 100%, $F$9) + CHOOSE(CONTROL!$C$27, 0.0021, 0)</f>
        <v>104.2949</v>
      </c>
      <c r="L682" s="14"/>
    </row>
    <row r="683" spans="1:12" ht="15.75" x14ac:dyDescent="0.25">
      <c r="A683" s="32">
        <v>61728</v>
      </c>
      <c r="B683" s="14">
        <f>101.6854 * CHOOSE(CONTROL!$C$9, $D$9, 100%, $F$9) + CHOOSE(CONTROL!$C$27, 0.0021, 0)</f>
        <v>101.6875</v>
      </c>
      <c r="C683" s="14">
        <f>101.2531 * CHOOSE(CONTROL!$C$9, $D$9, 100%, $F$9) + CHOOSE(CONTROL!$C$27, 0.0021, 0)</f>
        <v>101.2552</v>
      </c>
      <c r="D683" s="14">
        <f>101.2531 * CHOOSE(CONTROL!$C$9, $D$9, 100%, $F$9) + CHOOSE(CONTROL!$C$27, 0.0021, 0)</f>
        <v>101.2552</v>
      </c>
      <c r="E683" s="14">
        <f>101.1165 * CHOOSE(CONTROL!$C$9, $D$9, 100%, $F$9) + CHOOSE(CONTROL!$C$27, 0.0021, 0)</f>
        <v>101.1186</v>
      </c>
      <c r="F683" s="14">
        <f>101.1165 * CHOOSE(CONTROL!$C$9, $D$9, 100%, $F$9) + CHOOSE(CONTROL!$C$27, 0.0021, 0)</f>
        <v>101.1186</v>
      </c>
      <c r="G683" s="14">
        <f>101.3878 * CHOOSE(CONTROL!$C$9, $D$9, 100%, $F$9) + CHOOSE(CONTROL!$C$27, 0.0021, 0)</f>
        <v>101.3899</v>
      </c>
      <c r="H683" s="14">
        <f>101.2531 * CHOOSE(CONTROL!$C$9, $D$9, 100%, $F$9) + CHOOSE(CONTROL!$C$27, 0.0021, 0)</f>
        <v>101.2552</v>
      </c>
      <c r="I683" s="14">
        <f>101.2531 * CHOOSE(CONTROL!$C$9, $D$9, 100%, $F$9) + CHOOSE(CONTROL!$C$27, 0.0021, 0)</f>
        <v>101.2552</v>
      </c>
      <c r="J683" s="14">
        <f>101.2531 * CHOOSE(CONTROL!$C$9, $D$9, 100%, $F$9) + CHOOSE(CONTROL!$C$27, 0.0021, 0)</f>
        <v>101.2552</v>
      </c>
      <c r="K683" s="14">
        <f>101.2531 * CHOOSE(CONTROL!$C$9, $D$9, 100%, $F$9) + CHOOSE(CONTROL!$C$27, 0.0021, 0)</f>
        <v>101.2552</v>
      </c>
      <c r="L683" s="14"/>
    </row>
    <row r="684" spans="1:12" ht="15.75" x14ac:dyDescent="0.25">
      <c r="A684" s="32">
        <v>61759</v>
      </c>
      <c r="B684" s="14">
        <f>101.0936 * CHOOSE(CONTROL!$C$9, $D$9, 100%, $F$9) + CHOOSE(CONTROL!$C$27, 0.0021, 0)</f>
        <v>101.09569999999999</v>
      </c>
      <c r="C684" s="14">
        <f>100.6613 * CHOOSE(CONTROL!$C$9, $D$9, 100%, $F$9) + CHOOSE(CONTROL!$C$27, 0.0021, 0)</f>
        <v>100.6634</v>
      </c>
      <c r="D684" s="14">
        <f>100.6613 * CHOOSE(CONTROL!$C$9, $D$9, 100%, $F$9) + CHOOSE(CONTROL!$C$27, 0.0021, 0)</f>
        <v>100.6634</v>
      </c>
      <c r="E684" s="14">
        <f>100.5247 * CHOOSE(CONTROL!$C$9, $D$9, 100%, $F$9) + CHOOSE(CONTROL!$C$27, 0.0021, 0)</f>
        <v>100.52679999999999</v>
      </c>
      <c r="F684" s="14">
        <f>100.5247 * CHOOSE(CONTROL!$C$9, $D$9, 100%, $F$9) + CHOOSE(CONTROL!$C$27, 0.0021, 0)</f>
        <v>100.52679999999999</v>
      </c>
      <c r="G684" s="14">
        <f>100.796 * CHOOSE(CONTROL!$C$9, $D$9, 100%, $F$9) + CHOOSE(CONTROL!$C$27, 0.0021, 0)</f>
        <v>100.79810000000001</v>
      </c>
      <c r="H684" s="14">
        <f>100.6613 * CHOOSE(CONTROL!$C$9, $D$9, 100%, $F$9) + CHOOSE(CONTROL!$C$27, 0.0021, 0)</f>
        <v>100.6634</v>
      </c>
      <c r="I684" s="14">
        <f>100.6613 * CHOOSE(CONTROL!$C$9, $D$9, 100%, $F$9) + CHOOSE(CONTROL!$C$27, 0.0021, 0)</f>
        <v>100.6634</v>
      </c>
      <c r="J684" s="14">
        <f>100.6613 * CHOOSE(CONTROL!$C$9, $D$9, 100%, $F$9) + CHOOSE(CONTROL!$C$27, 0.0021, 0)</f>
        <v>100.6634</v>
      </c>
      <c r="K684" s="14">
        <f>100.6613 * CHOOSE(CONTROL!$C$9, $D$9, 100%, $F$9) + CHOOSE(CONTROL!$C$27, 0.0021, 0)</f>
        <v>100.6634</v>
      </c>
      <c r="L684" s="14"/>
    </row>
    <row r="685" spans="1:12" ht="15.75" x14ac:dyDescent="0.25">
      <c r="A685" s="32">
        <v>61787</v>
      </c>
      <c r="B685" s="14">
        <f>100.8189 * CHOOSE(CONTROL!$C$9, $D$9, 100%, $F$9) + CHOOSE(CONTROL!$C$27, 0.0021, 0)</f>
        <v>100.821</v>
      </c>
      <c r="C685" s="14">
        <f>100.3867 * CHOOSE(CONTROL!$C$9, $D$9, 100%, $F$9) + CHOOSE(CONTROL!$C$27, 0.0021, 0)</f>
        <v>100.3888</v>
      </c>
      <c r="D685" s="14">
        <f>100.3867 * CHOOSE(CONTROL!$C$9, $D$9, 100%, $F$9) + CHOOSE(CONTROL!$C$27, 0.0021, 0)</f>
        <v>100.3888</v>
      </c>
      <c r="E685" s="14">
        <f>100.25 * CHOOSE(CONTROL!$C$9, $D$9, 100%, $F$9) + CHOOSE(CONTROL!$C$27, 0.0021, 0)</f>
        <v>100.2521</v>
      </c>
      <c r="F685" s="14">
        <f>100.25 * CHOOSE(CONTROL!$C$9, $D$9, 100%, $F$9) + CHOOSE(CONTROL!$C$27, 0.0021, 0)</f>
        <v>100.2521</v>
      </c>
      <c r="G685" s="14">
        <f>100.5214 * CHOOSE(CONTROL!$C$9, $D$9, 100%, $F$9) + CHOOSE(CONTROL!$C$27, 0.0021, 0)</f>
        <v>100.5235</v>
      </c>
      <c r="H685" s="14">
        <f>100.3867 * CHOOSE(CONTROL!$C$9, $D$9, 100%, $F$9) + CHOOSE(CONTROL!$C$27, 0.0021, 0)</f>
        <v>100.3888</v>
      </c>
      <c r="I685" s="14">
        <f>100.3867 * CHOOSE(CONTROL!$C$9, $D$9, 100%, $F$9) + CHOOSE(CONTROL!$C$27, 0.0021, 0)</f>
        <v>100.3888</v>
      </c>
      <c r="J685" s="14">
        <f>100.3867 * CHOOSE(CONTROL!$C$9, $D$9, 100%, $F$9) + CHOOSE(CONTROL!$C$27, 0.0021, 0)</f>
        <v>100.3888</v>
      </c>
      <c r="K685" s="14">
        <f>100.3867 * CHOOSE(CONTROL!$C$9, $D$9, 100%, $F$9) + CHOOSE(CONTROL!$C$27, 0.0021, 0)</f>
        <v>100.3888</v>
      </c>
      <c r="L685" s="14"/>
    </row>
    <row r="686" spans="1:12" ht="15.75" x14ac:dyDescent="0.25">
      <c r="A686" s="32">
        <v>61818</v>
      </c>
      <c r="B686" s="14">
        <f>106.0119 * CHOOSE(CONTROL!$C$9, $D$9, 100%, $F$9) + CHOOSE(CONTROL!$C$27, 0.0021, 0)</f>
        <v>106.014</v>
      </c>
      <c r="C686" s="14">
        <f>105.5796 * CHOOSE(CONTROL!$C$9, $D$9, 100%, $F$9) + CHOOSE(CONTROL!$C$27, 0.0021, 0)</f>
        <v>105.5817</v>
      </c>
      <c r="D686" s="14">
        <f>105.5796 * CHOOSE(CONTROL!$C$9, $D$9, 100%, $F$9) + CHOOSE(CONTROL!$C$27, 0.0021, 0)</f>
        <v>105.5817</v>
      </c>
      <c r="E686" s="14">
        <f>105.443 * CHOOSE(CONTROL!$C$9, $D$9, 100%, $F$9) + CHOOSE(CONTROL!$C$27, 0.0021, 0)</f>
        <v>105.4451</v>
      </c>
      <c r="F686" s="14">
        <f>105.443 * CHOOSE(CONTROL!$C$9, $D$9, 100%, $F$9) + CHOOSE(CONTROL!$C$27, 0.0021, 0)</f>
        <v>105.4451</v>
      </c>
      <c r="G686" s="14">
        <f>105.7143 * CHOOSE(CONTROL!$C$9, $D$9, 100%, $F$9) + CHOOSE(CONTROL!$C$27, 0.0021, 0)</f>
        <v>105.71639999999999</v>
      </c>
      <c r="H686" s="14">
        <f>105.5796 * CHOOSE(CONTROL!$C$9, $D$9, 100%, $F$9) + CHOOSE(CONTROL!$C$27, 0.0021, 0)</f>
        <v>105.5817</v>
      </c>
      <c r="I686" s="14">
        <f>105.5796 * CHOOSE(CONTROL!$C$9, $D$9, 100%, $F$9) + CHOOSE(CONTROL!$C$27, 0.0021, 0)</f>
        <v>105.5817</v>
      </c>
      <c r="J686" s="14">
        <f>105.5796 * CHOOSE(CONTROL!$C$9, $D$9, 100%, $F$9) + CHOOSE(CONTROL!$C$27, 0.0021, 0)</f>
        <v>105.5817</v>
      </c>
      <c r="K686" s="14">
        <f>105.5796 * CHOOSE(CONTROL!$C$9, $D$9, 100%, $F$9) + CHOOSE(CONTROL!$C$27, 0.0021, 0)</f>
        <v>105.5817</v>
      </c>
      <c r="L686" s="14"/>
    </row>
    <row r="687" spans="1:12" ht="15.75" x14ac:dyDescent="0.25">
      <c r="A687" s="32">
        <v>61848</v>
      </c>
      <c r="B687" s="14">
        <f>112.7458 * CHOOSE(CONTROL!$C$9, $D$9, 100%, $F$9) + CHOOSE(CONTROL!$C$27, 0.0021, 0)</f>
        <v>112.7479</v>
      </c>
      <c r="C687" s="14">
        <f>112.3136 * CHOOSE(CONTROL!$C$9, $D$9, 100%, $F$9) + CHOOSE(CONTROL!$C$27, 0.0021, 0)</f>
        <v>112.31569999999999</v>
      </c>
      <c r="D687" s="14">
        <f>112.3136 * CHOOSE(CONTROL!$C$9, $D$9, 100%, $F$9) + CHOOSE(CONTROL!$C$27, 0.0021, 0)</f>
        <v>112.31569999999999</v>
      </c>
      <c r="E687" s="14">
        <f>112.1769 * CHOOSE(CONTROL!$C$9, $D$9, 100%, $F$9) + CHOOSE(CONTROL!$C$27, 0.0021, 0)</f>
        <v>112.179</v>
      </c>
      <c r="F687" s="14">
        <f>112.1769 * CHOOSE(CONTROL!$C$9, $D$9, 100%, $F$9) + CHOOSE(CONTROL!$C$27, 0.0021, 0)</f>
        <v>112.179</v>
      </c>
      <c r="G687" s="14">
        <f>112.4483 * CHOOSE(CONTROL!$C$9, $D$9, 100%, $F$9) + CHOOSE(CONTROL!$C$27, 0.0021, 0)</f>
        <v>112.4504</v>
      </c>
      <c r="H687" s="14">
        <f>112.3136 * CHOOSE(CONTROL!$C$9, $D$9, 100%, $F$9) + CHOOSE(CONTROL!$C$27, 0.0021, 0)</f>
        <v>112.31569999999999</v>
      </c>
      <c r="I687" s="14">
        <f>112.3136 * CHOOSE(CONTROL!$C$9, $D$9, 100%, $F$9) + CHOOSE(CONTROL!$C$27, 0.0021, 0)</f>
        <v>112.31569999999999</v>
      </c>
      <c r="J687" s="14">
        <f>112.3136 * CHOOSE(CONTROL!$C$9, $D$9, 100%, $F$9) + CHOOSE(CONTROL!$C$27, 0.0021, 0)</f>
        <v>112.31569999999999</v>
      </c>
      <c r="K687" s="14">
        <f>112.3136 * CHOOSE(CONTROL!$C$9, $D$9, 100%, $F$9) + CHOOSE(CONTROL!$C$27, 0.0021, 0)</f>
        <v>112.31569999999999</v>
      </c>
      <c r="L687" s="14"/>
    </row>
    <row r="688" spans="1:12" ht="15.75" x14ac:dyDescent="0.25">
      <c r="A688" s="32">
        <v>61879</v>
      </c>
      <c r="B688" s="14">
        <f>116.4524 * CHOOSE(CONTROL!$C$9, $D$9, 100%, $F$9) + CHOOSE(CONTROL!$C$27, 0.0021, 0)</f>
        <v>116.4545</v>
      </c>
      <c r="C688" s="14">
        <f>116.0202 * CHOOSE(CONTROL!$C$9, $D$9, 100%, $F$9) + CHOOSE(CONTROL!$C$27, 0.0021, 0)</f>
        <v>116.0223</v>
      </c>
      <c r="D688" s="14">
        <f>116.0202 * CHOOSE(CONTROL!$C$9, $D$9, 100%, $F$9) + CHOOSE(CONTROL!$C$27, 0.0021, 0)</f>
        <v>116.0223</v>
      </c>
      <c r="E688" s="14">
        <f>115.8835 * CHOOSE(CONTROL!$C$9, $D$9, 100%, $F$9) + CHOOSE(CONTROL!$C$27, 0.0021, 0)</f>
        <v>115.8856</v>
      </c>
      <c r="F688" s="14">
        <f>115.8835 * CHOOSE(CONTROL!$C$9, $D$9, 100%, $F$9) + CHOOSE(CONTROL!$C$27, 0.0021, 0)</f>
        <v>115.8856</v>
      </c>
      <c r="G688" s="14">
        <f>116.1549 * CHOOSE(CONTROL!$C$9, $D$9, 100%, $F$9) + CHOOSE(CONTROL!$C$27, 0.0021, 0)</f>
        <v>116.157</v>
      </c>
      <c r="H688" s="14">
        <f>116.0202 * CHOOSE(CONTROL!$C$9, $D$9, 100%, $F$9) + CHOOSE(CONTROL!$C$27, 0.0021, 0)</f>
        <v>116.0223</v>
      </c>
      <c r="I688" s="14">
        <f>116.0202 * CHOOSE(CONTROL!$C$9, $D$9, 100%, $F$9) + CHOOSE(CONTROL!$C$27, 0.0021, 0)</f>
        <v>116.0223</v>
      </c>
      <c r="J688" s="14">
        <f>116.0202 * CHOOSE(CONTROL!$C$9, $D$9, 100%, $F$9) + CHOOSE(CONTROL!$C$27, 0.0021, 0)</f>
        <v>116.0223</v>
      </c>
      <c r="K688" s="14">
        <f>116.0202 * CHOOSE(CONTROL!$C$9, $D$9, 100%, $F$9) + CHOOSE(CONTROL!$C$27, 0.0021, 0)</f>
        <v>116.0223</v>
      </c>
      <c r="L688" s="14"/>
    </row>
    <row r="689" spans="1:12" ht="15.75" x14ac:dyDescent="0.25">
      <c r="A689" s="32">
        <v>61909</v>
      </c>
      <c r="B689" s="14">
        <f>118.0974 * CHOOSE(CONTROL!$C$9, $D$9, 100%, $F$9) + CHOOSE(CONTROL!$C$27, 0.0021, 0)</f>
        <v>118.09949999999999</v>
      </c>
      <c r="C689" s="14">
        <f>117.6651 * CHOOSE(CONTROL!$C$9, $D$9, 100%, $F$9) + CHOOSE(CONTROL!$C$27, 0.0021, 0)</f>
        <v>117.66719999999999</v>
      </c>
      <c r="D689" s="14">
        <f>117.6651 * CHOOSE(CONTROL!$C$9, $D$9, 100%, $F$9) + CHOOSE(CONTROL!$C$27, 0.0021, 0)</f>
        <v>117.66719999999999</v>
      </c>
      <c r="E689" s="14">
        <f>117.5285 * CHOOSE(CONTROL!$C$9, $D$9, 100%, $F$9) + CHOOSE(CONTROL!$C$27, 0.0021, 0)</f>
        <v>117.53059999999999</v>
      </c>
      <c r="F689" s="14">
        <f>117.5285 * CHOOSE(CONTROL!$C$9, $D$9, 100%, $F$9) + CHOOSE(CONTROL!$C$27, 0.0021, 0)</f>
        <v>117.53059999999999</v>
      </c>
      <c r="G689" s="14">
        <f>117.7998 * CHOOSE(CONTROL!$C$9, $D$9, 100%, $F$9) + CHOOSE(CONTROL!$C$27, 0.0021, 0)</f>
        <v>117.8019</v>
      </c>
      <c r="H689" s="14">
        <f>117.6651 * CHOOSE(CONTROL!$C$9, $D$9, 100%, $F$9) + CHOOSE(CONTROL!$C$27, 0.0021, 0)</f>
        <v>117.66719999999999</v>
      </c>
      <c r="I689" s="14">
        <f>117.6651 * CHOOSE(CONTROL!$C$9, $D$9, 100%, $F$9) + CHOOSE(CONTROL!$C$27, 0.0021, 0)</f>
        <v>117.66719999999999</v>
      </c>
      <c r="J689" s="14">
        <f>117.6651 * CHOOSE(CONTROL!$C$9, $D$9, 100%, $F$9) + CHOOSE(CONTROL!$C$27, 0.0021, 0)</f>
        <v>117.66719999999999</v>
      </c>
      <c r="K689" s="14">
        <f>117.6651 * CHOOSE(CONTROL!$C$9, $D$9, 100%, $F$9) + CHOOSE(CONTROL!$C$27, 0.0021, 0)</f>
        <v>117.66719999999999</v>
      </c>
      <c r="L689" s="14"/>
    </row>
    <row r="690" spans="1:12" ht="15.75" x14ac:dyDescent="0.25">
      <c r="A690" s="32">
        <v>61940</v>
      </c>
      <c r="B690" s="14">
        <f>117.5558 * CHOOSE(CONTROL!$C$9, $D$9, 100%, $F$9) + CHOOSE(CONTROL!$C$27, 0.0021, 0)</f>
        <v>117.5579</v>
      </c>
      <c r="C690" s="14">
        <f>117.1235 * CHOOSE(CONTROL!$C$9, $D$9, 100%, $F$9) + CHOOSE(CONTROL!$C$27, 0.0021, 0)</f>
        <v>117.12560000000001</v>
      </c>
      <c r="D690" s="14">
        <f>117.1235 * CHOOSE(CONTROL!$C$9, $D$9, 100%, $F$9) + CHOOSE(CONTROL!$C$27, 0.0021, 0)</f>
        <v>117.12560000000001</v>
      </c>
      <c r="E690" s="14">
        <f>116.9869 * CHOOSE(CONTROL!$C$9, $D$9, 100%, $F$9) + CHOOSE(CONTROL!$C$27, 0.0021, 0)</f>
        <v>116.989</v>
      </c>
      <c r="F690" s="14">
        <f>116.9869 * CHOOSE(CONTROL!$C$9, $D$9, 100%, $F$9) + CHOOSE(CONTROL!$C$27, 0.0021, 0)</f>
        <v>116.989</v>
      </c>
      <c r="G690" s="14">
        <f>117.2582 * CHOOSE(CONTROL!$C$9, $D$9, 100%, $F$9) + CHOOSE(CONTROL!$C$27, 0.0021, 0)</f>
        <v>117.2603</v>
      </c>
      <c r="H690" s="14">
        <f>117.1235 * CHOOSE(CONTROL!$C$9, $D$9, 100%, $F$9) + CHOOSE(CONTROL!$C$27, 0.0021, 0)</f>
        <v>117.12560000000001</v>
      </c>
      <c r="I690" s="14">
        <f>117.1235 * CHOOSE(CONTROL!$C$9, $D$9, 100%, $F$9) + CHOOSE(CONTROL!$C$27, 0.0021, 0)</f>
        <v>117.12560000000001</v>
      </c>
      <c r="J690" s="14">
        <f>117.1235 * CHOOSE(CONTROL!$C$9, $D$9, 100%, $F$9) + CHOOSE(CONTROL!$C$27, 0.0021, 0)</f>
        <v>117.12560000000001</v>
      </c>
      <c r="K690" s="14">
        <f>117.1235 * CHOOSE(CONTROL!$C$9, $D$9, 100%, $F$9) + CHOOSE(CONTROL!$C$27, 0.0021, 0)</f>
        <v>117.12560000000001</v>
      </c>
      <c r="L690" s="14"/>
    </row>
    <row r="691" spans="1:12" ht="15.75" x14ac:dyDescent="0.25">
      <c r="A691" s="32">
        <v>61971</v>
      </c>
      <c r="B691" s="14">
        <f>114.8725 * CHOOSE(CONTROL!$C$9, $D$9, 100%, $F$9) + CHOOSE(CONTROL!$C$27, 0.0021, 0)</f>
        <v>114.8746</v>
      </c>
      <c r="C691" s="14">
        <f>114.4402 * CHOOSE(CONTROL!$C$9, $D$9, 100%, $F$9) + CHOOSE(CONTROL!$C$27, 0.0021, 0)</f>
        <v>114.4423</v>
      </c>
      <c r="D691" s="14">
        <f>114.4402 * CHOOSE(CONTROL!$C$9, $D$9, 100%, $F$9) + CHOOSE(CONTROL!$C$27, 0.0021, 0)</f>
        <v>114.4423</v>
      </c>
      <c r="E691" s="14">
        <f>114.3036 * CHOOSE(CONTROL!$C$9, $D$9, 100%, $F$9) + CHOOSE(CONTROL!$C$27, 0.0021, 0)</f>
        <v>114.3057</v>
      </c>
      <c r="F691" s="14">
        <f>114.3036 * CHOOSE(CONTROL!$C$9, $D$9, 100%, $F$9) + CHOOSE(CONTROL!$C$27, 0.0021, 0)</f>
        <v>114.3057</v>
      </c>
      <c r="G691" s="14">
        <f>114.575 * CHOOSE(CONTROL!$C$9, $D$9, 100%, $F$9) + CHOOSE(CONTROL!$C$27, 0.0021, 0)</f>
        <v>114.5771</v>
      </c>
      <c r="H691" s="14">
        <f>114.4402 * CHOOSE(CONTROL!$C$9, $D$9, 100%, $F$9) + CHOOSE(CONTROL!$C$27, 0.0021, 0)</f>
        <v>114.4423</v>
      </c>
      <c r="I691" s="14">
        <f>114.4402 * CHOOSE(CONTROL!$C$9, $D$9, 100%, $F$9) + CHOOSE(CONTROL!$C$27, 0.0021, 0)</f>
        <v>114.4423</v>
      </c>
      <c r="J691" s="14">
        <f>114.4402 * CHOOSE(CONTROL!$C$9, $D$9, 100%, $F$9) + CHOOSE(CONTROL!$C$27, 0.0021, 0)</f>
        <v>114.4423</v>
      </c>
      <c r="K691" s="14">
        <f>114.4402 * CHOOSE(CONTROL!$C$9, $D$9, 100%, $F$9) + CHOOSE(CONTROL!$C$27, 0.0021, 0)</f>
        <v>114.4423</v>
      </c>
      <c r="L691" s="14"/>
    </row>
    <row r="692" spans="1:12" ht="15.75" x14ac:dyDescent="0.25">
      <c r="A692" s="32">
        <v>62001</v>
      </c>
      <c r="B692" s="14">
        <f>111.1305 * CHOOSE(CONTROL!$C$9, $D$9, 100%, $F$9) + CHOOSE(CONTROL!$C$27, 0.0021, 0)</f>
        <v>111.1326</v>
      </c>
      <c r="C692" s="14">
        <f>110.6983 * CHOOSE(CONTROL!$C$9, $D$9, 100%, $F$9) + CHOOSE(CONTROL!$C$27, 0.0021, 0)</f>
        <v>110.7004</v>
      </c>
      <c r="D692" s="14">
        <f>110.6983 * CHOOSE(CONTROL!$C$9, $D$9, 100%, $F$9) + CHOOSE(CONTROL!$C$27, 0.0021, 0)</f>
        <v>110.7004</v>
      </c>
      <c r="E692" s="14">
        <f>110.5616 * CHOOSE(CONTROL!$C$9, $D$9, 100%, $F$9) + CHOOSE(CONTROL!$C$27, 0.0021, 0)</f>
        <v>110.5637</v>
      </c>
      <c r="F692" s="14">
        <f>110.5616 * CHOOSE(CONTROL!$C$9, $D$9, 100%, $F$9) + CHOOSE(CONTROL!$C$27, 0.0021, 0)</f>
        <v>110.5637</v>
      </c>
      <c r="G692" s="14">
        <f>110.833 * CHOOSE(CONTROL!$C$9, $D$9, 100%, $F$9) + CHOOSE(CONTROL!$C$27, 0.0021, 0)</f>
        <v>110.8351</v>
      </c>
      <c r="H692" s="14">
        <f>110.6983 * CHOOSE(CONTROL!$C$9, $D$9, 100%, $F$9) + CHOOSE(CONTROL!$C$27, 0.0021, 0)</f>
        <v>110.7004</v>
      </c>
      <c r="I692" s="14">
        <f>110.6983 * CHOOSE(CONTROL!$C$9, $D$9, 100%, $F$9) + CHOOSE(CONTROL!$C$27, 0.0021, 0)</f>
        <v>110.7004</v>
      </c>
      <c r="J692" s="14">
        <f>110.6983 * CHOOSE(CONTROL!$C$9, $D$9, 100%, $F$9) + CHOOSE(CONTROL!$C$27, 0.0021, 0)</f>
        <v>110.7004</v>
      </c>
      <c r="K692" s="14">
        <f>110.6983 * CHOOSE(CONTROL!$C$9, $D$9, 100%, $F$9) + CHOOSE(CONTROL!$C$27, 0.0021, 0)</f>
        <v>110.7004</v>
      </c>
      <c r="L692" s="14"/>
    </row>
    <row r="693" spans="1:12" ht="15.75" x14ac:dyDescent="0.25">
      <c r="A693" s="32">
        <v>62032</v>
      </c>
      <c r="B693" s="14">
        <f>107.3668 * CHOOSE(CONTROL!$C$9, $D$9, 100%, $F$9) + CHOOSE(CONTROL!$C$27, 0.0021, 0)</f>
        <v>107.3689</v>
      </c>
      <c r="C693" s="14">
        <f>106.9345 * CHOOSE(CONTROL!$C$9, $D$9, 100%, $F$9) + CHOOSE(CONTROL!$C$27, 0.0021, 0)</f>
        <v>106.9366</v>
      </c>
      <c r="D693" s="14">
        <f>106.9345 * CHOOSE(CONTROL!$C$9, $D$9, 100%, $F$9) + CHOOSE(CONTROL!$C$27, 0.0021, 0)</f>
        <v>106.9366</v>
      </c>
      <c r="E693" s="14">
        <f>106.7979 * CHOOSE(CONTROL!$C$9, $D$9, 100%, $F$9) + CHOOSE(CONTROL!$C$27, 0.0021, 0)</f>
        <v>106.8</v>
      </c>
      <c r="F693" s="14">
        <f>106.7979 * CHOOSE(CONTROL!$C$9, $D$9, 100%, $F$9) + CHOOSE(CONTROL!$C$27, 0.0021, 0)</f>
        <v>106.8</v>
      </c>
      <c r="G693" s="14">
        <f>107.0693 * CHOOSE(CONTROL!$C$9, $D$9, 100%, $F$9) + CHOOSE(CONTROL!$C$27, 0.0021, 0)</f>
        <v>107.0714</v>
      </c>
      <c r="H693" s="14">
        <f>106.9345 * CHOOSE(CONTROL!$C$9, $D$9, 100%, $F$9) + CHOOSE(CONTROL!$C$27, 0.0021, 0)</f>
        <v>106.9366</v>
      </c>
      <c r="I693" s="14">
        <f>106.9345 * CHOOSE(CONTROL!$C$9, $D$9, 100%, $F$9) + CHOOSE(CONTROL!$C$27, 0.0021, 0)</f>
        <v>106.9366</v>
      </c>
      <c r="J693" s="14">
        <f>106.9345 * CHOOSE(CONTROL!$C$9, $D$9, 100%, $F$9) + CHOOSE(CONTROL!$C$27, 0.0021, 0)</f>
        <v>106.9366</v>
      </c>
      <c r="K693" s="14">
        <f>106.9345 * CHOOSE(CONTROL!$C$9, $D$9, 100%, $F$9) + CHOOSE(CONTROL!$C$27, 0.0021, 0)</f>
        <v>106.9366</v>
      </c>
      <c r="L693" s="14"/>
    </row>
    <row r="694" spans="1:12" ht="15.75" x14ac:dyDescent="0.25">
      <c r="A694" s="32">
        <v>62062</v>
      </c>
      <c r="B694" s="14">
        <f>106.6181 * CHOOSE(CONTROL!$C$9, $D$9, 100%, $F$9) + CHOOSE(CONTROL!$C$27, 0.0021, 0)</f>
        <v>106.6202</v>
      </c>
      <c r="C694" s="14">
        <f>106.1859 * CHOOSE(CONTROL!$C$9, $D$9, 100%, $F$9) + CHOOSE(CONTROL!$C$27, 0.0021, 0)</f>
        <v>106.188</v>
      </c>
      <c r="D694" s="14">
        <f>106.1859 * CHOOSE(CONTROL!$C$9, $D$9, 100%, $F$9) + CHOOSE(CONTROL!$C$27, 0.0021, 0)</f>
        <v>106.188</v>
      </c>
      <c r="E694" s="14">
        <f>106.0492 * CHOOSE(CONTROL!$C$9, $D$9, 100%, $F$9) + CHOOSE(CONTROL!$C$27, 0.0021, 0)</f>
        <v>106.0513</v>
      </c>
      <c r="F694" s="14">
        <f>106.0492 * CHOOSE(CONTROL!$C$9, $D$9, 100%, $F$9) + CHOOSE(CONTROL!$C$27, 0.0021, 0)</f>
        <v>106.0513</v>
      </c>
      <c r="G694" s="14">
        <f>106.3206 * CHOOSE(CONTROL!$C$9, $D$9, 100%, $F$9) + CHOOSE(CONTROL!$C$27, 0.0021, 0)</f>
        <v>106.3227</v>
      </c>
      <c r="H694" s="14">
        <f>106.1859 * CHOOSE(CONTROL!$C$9, $D$9, 100%, $F$9) + CHOOSE(CONTROL!$C$27, 0.0021, 0)</f>
        <v>106.188</v>
      </c>
      <c r="I694" s="14">
        <f>106.1859 * CHOOSE(CONTROL!$C$9, $D$9, 100%, $F$9) + CHOOSE(CONTROL!$C$27, 0.0021, 0)</f>
        <v>106.188</v>
      </c>
      <c r="J694" s="14">
        <f>106.1859 * CHOOSE(CONTROL!$C$9, $D$9, 100%, $F$9) + CHOOSE(CONTROL!$C$27, 0.0021, 0)</f>
        <v>106.188</v>
      </c>
      <c r="K694" s="14">
        <f>106.1859 * CHOOSE(CONTROL!$C$9, $D$9, 100%, $F$9) + CHOOSE(CONTROL!$C$27, 0.0021, 0)</f>
        <v>106.188</v>
      </c>
      <c r="L694" s="14"/>
    </row>
    <row r="695" spans="1:12" ht="15.75" x14ac:dyDescent="0.25">
      <c r="A695" s="32">
        <v>62093</v>
      </c>
      <c r="B695" s="14">
        <f>103.5222 * CHOOSE(CONTROL!$C$9, $D$9, 100%, $F$9) + CHOOSE(CONTROL!$C$27, 0.0021, 0)</f>
        <v>103.5243</v>
      </c>
      <c r="C695" s="14">
        <f>103.09 * CHOOSE(CONTROL!$C$9, $D$9, 100%, $F$9) + CHOOSE(CONTROL!$C$27, 0.0021, 0)</f>
        <v>103.0921</v>
      </c>
      <c r="D695" s="14">
        <f>103.09 * CHOOSE(CONTROL!$C$9, $D$9, 100%, $F$9) + CHOOSE(CONTROL!$C$27, 0.0021, 0)</f>
        <v>103.0921</v>
      </c>
      <c r="E695" s="14">
        <f>102.9533 * CHOOSE(CONTROL!$C$9, $D$9, 100%, $F$9) + CHOOSE(CONTROL!$C$27, 0.0021, 0)</f>
        <v>102.9554</v>
      </c>
      <c r="F695" s="14">
        <f>102.9533 * CHOOSE(CONTROL!$C$9, $D$9, 100%, $F$9) + CHOOSE(CONTROL!$C$27, 0.0021, 0)</f>
        <v>102.9554</v>
      </c>
      <c r="G695" s="14">
        <f>103.2247 * CHOOSE(CONTROL!$C$9, $D$9, 100%, $F$9) + CHOOSE(CONTROL!$C$27, 0.0021, 0)</f>
        <v>103.2268</v>
      </c>
      <c r="H695" s="14">
        <f>103.09 * CHOOSE(CONTROL!$C$9, $D$9, 100%, $F$9) + CHOOSE(CONTROL!$C$27, 0.0021, 0)</f>
        <v>103.0921</v>
      </c>
      <c r="I695" s="14">
        <f>103.09 * CHOOSE(CONTROL!$C$9, $D$9, 100%, $F$9) + CHOOSE(CONTROL!$C$27, 0.0021, 0)</f>
        <v>103.0921</v>
      </c>
      <c r="J695" s="14">
        <f>103.09 * CHOOSE(CONTROL!$C$9, $D$9, 100%, $F$9) + CHOOSE(CONTROL!$C$27, 0.0021, 0)</f>
        <v>103.0921</v>
      </c>
      <c r="K695" s="14">
        <f>103.09 * CHOOSE(CONTROL!$C$9, $D$9, 100%, $F$9) + CHOOSE(CONTROL!$C$27, 0.0021, 0)</f>
        <v>103.0921</v>
      </c>
      <c r="L695" s="14"/>
    </row>
    <row r="696" spans="1:12" ht="15.75" x14ac:dyDescent="0.25">
      <c r="A696" s="32">
        <v>62124</v>
      </c>
      <c r="B696" s="14">
        <f>102.9195 * CHOOSE(CONTROL!$C$9, $D$9, 100%, $F$9) + CHOOSE(CONTROL!$C$27, 0.0021, 0)</f>
        <v>102.9216</v>
      </c>
      <c r="C696" s="14">
        <f>102.4872 * CHOOSE(CONTROL!$C$9, $D$9, 100%, $F$9) + CHOOSE(CONTROL!$C$27, 0.0021, 0)</f>
        <v>102.4893</v>
      </c>
      <c r="D696" s="14">
        <f>102.4872 * CHOOSE(CONTROL!$C$9, $D$9, 100%, $F$9) + CHOOSE(CONTROL!$C$27, 0.0021, 0)</f>
        <v>102.4893</v>
      </c>
      <c r="E696" s="14">
        <f>102.3506 * CHOOSE(CONTROL!$C$9, $D$9, 100%, $F$9) + CHOOSE(CONTROL!$C$27, 0.0021, 0)</f>
        <v>102.3527</v>
      </c>
      <c r="F696" s="14">
        <f>102.3506 * CHOOSE(CONTROL!$C$9, $D$9, 100%, $F$9) + CHOOSE(CONTROL!$C$27, 0.0021, 0)</f>
        <v>102.3527</v>
      </c>
      <c r="G696" s="14">
        <f>102.622 * CHOOSE(CONTROL!$C$9, $D$9, 100%, $F$9) + CHOOSE(CONTROL!$C$27, 0.0021, 0)</f>
        <v>102.6241</v>
      </c>
      <c r="H696" s="14">
        <f>102.4872 * CHOOSE(CONTROL!$C$9, $D$9, 100%, $F$9) + CHOOSE(CONTROL!$C$27, 0.0021, 0)</f>
        <v>102.4893</v>
      </c>
      <c r="I696" s="14">
        <f>102.4872 * CHOOSE(CONTROL!$C$9, $D$9, 100%, $F$9) + CHOOSE(CONTROL!$C$27, 0.0021, 0)</f>
        <v>102.4893</v>
      </c>
      <c r="J696" s="14">
        <f>102.4872 * CHOOSE(CONTROL!$C$9, $D$9, 100%, $F$9) + CHOOSE(CONTROL!$C$27, 0.0021, 0)</f>
        <v>102.4893</v>
      </c>
      <c r="K696" s="14">
        <f>102.4872 * CHOOSE(CONTROL!$C$9, $D$9, 100%, $F$9) + CHOOSE(CONTROL!$C$27, 0.0021, 0)</f>
        <v>102.4893</v>
      </c>
      <c r="L696" s="14"/>
    </row>
    <row r="697" spans="1:12" ht="15.75" x14ac:dyDescent="0.25">
      <c r="A697" s="32">
        <v>62152</v>
      </c>
      <c r="B697" s="14">
        <f>102.6398 * CHOOSE(CONTROL!$C$9, $D$9, 100%, $F$9) + CHOOSE(CONTROL!$C$27, 0.0021, 0)</f>
        <v>102.64189999999999</v>
      </c>
      <c r="C697" s="14">
        <f>102.2075 * CHOOSE(CONTROL!$C$9, $D$9, 100%, $F$9) + CHOOSE(CONTROL!$C$27, 0.0021, 0)</f>
        <v>102.20959999999999</v>
      </c>
      <c r="D697" s="14">
        <f>102.2075 * CHOOSE(CONTROL!$C$9, $D$9, 100%, $F$9) + CHOOSE(CONTROL!$C$27, 0.0021, 0)</f>
        <v>102.20959999999999</v>
      </c>
      <c r="E697" s="14">
        <f>102.0709 * CHOOSE(CONTROL!$C$9, $D$9, 100%, $F$9) + CHOOSE(CONTROL!$C$27, 0.0021, 0)</f>
        <v>102.07299999999999</v>
      </c>
      <c r="F697" s="14">
        <f>102.0709 * CHOOSE(CONTROL!$C$9, $D$9, 100%, $F$9) + CHOOSE(CONTROL!$C$27, 0.0021, 0)</f>
        <v>102.07299999999999</v>
      </c>
      <c r="G697" s="14">
        <f>102.3423 * CHOOSE(CONTROL!$C$9, $D$9, 100%, $F$9) + CHOOSE(CONTROL!$C$27, 0.0021, 0)</f>
        <v>102.34439999999999</v>
      </c>
      <c r="H697" s="14">
        <f>102.2075 * CHOOSE(CONTROL!$C$9, $D$9, 100%, $F$9) + CHOOSE(CONTROL!$C$27, 0.0021, 0)</f>
        <v>102.20959999999999</v>
      </c>
      <c r="I697" s="14">
        <f>102.2075 * CHOOSE(CONTROL!$C$9, $D$9, 100%, $F$9) + CHOOSE(CONTROL!$C$27, 0.0021, 0)</f>
        <v>102.20959999999999</v>
      </c>
      <c r="J697" s="14">
        <f>102.2075 * CHOOSE(CONTROL!$C$9, $D$9, 100%, $F$9) + CHOOSE(CONTROL!$C$27, 0.0021, 0)</f>
        <v>102.20959999999999</v>
      </c>
      <c r="K697" s="14">
        <f>102.2075 * CHOOSE(CONTROL!$C$9, $D$9, 100%, $F$9) + CHOOSE(CONTROL!$C$27, 0.0021, 0)</f>
        <v>102.20959999999999</v>
      </c>
      <c r="L697" s="14"/>
    </row>
    <row r="698" spans="1:12" ht="15.75" x14ac:dyDescent="0.25">
      <c r="A698" s="32">
        <v>62183</v>
      </c>
      <c r="B698" s="14">
        <f>107.9287 * CHOOSE(CONTROL!$C$9, $D$9, 100%, $F$9) + CHOOSE(CONTROL!$C$27, 0.0021, 0)</f>
        <v>107.9308</v>
      </c>
      <c r="C698" s="14">
        <f>107.4964 * CHOOSE(CONTROL!$C$9, $D$9, 100%, $F$9) + CHOOSE(CONTROL!$C$27, 0.0021, 0)</f>
        <v>107.49849999999999</v>
      </c>
      <c r="D698" s="14">
        <f>107.4964 * CHOOSE(CONTROL!$C$9, $D$9, 100%, $F$9) + CHOOSE(CONTROL!$C$27, 0.0021, 0)</f>
        <v>107.49849999999999</v>
      </c>
      <c r="E698" s="14">
        <f>107.3598 * CHOOSE(CONTROL!$C$9, $D$9, 100%, $F$9) + CHOOSE(CONTROL!$C$27, 0.0021, 0)</f>
        <v>107.36190000000001</v>
      </c>
      <c r="F698" s="14">
        <f>107.3598 * CHOOSE(CONTROL!$C$9, $D$9, 100%, $F$9) + CHOOSE(CONTROL!$C$27, 0.0021, 0)</f>
        <v>107.36190000000001</v>
      </c>
      <c r="G698" s="14">
        <f>107.6311 * CHOOSE(CONTROL!$C$9, $D$9, 100%, $F$9) + CHOOSE(CONTROL!$C$27, 0.0021, 0)</f>
        <v>107.6332</v>
      </c>
      <c r="H698" s="14">
        <f>107.4964 * CHOOSE(CONTROL!$C$9, $D$9, 100%, $F$9) + CHOOSE(CONTROL!$C$27, 0.0021, 0)</f>
        <v>107.49849999999999</v>
      </c>
      <c r="I698" s="14">
        <f>107.4964 * CHOOSE(CONTROL!$C$9, $D$9, 100%, $F$9) + CHOOSE(CONTROL!$C$27, 0.0021, 0)</f>
        <v>107.49849999999999</v>
      </c>
      <c r="J698" s="14">
        <f>107.4964 * CHOOSE(CONTROL!$C$9, $D$9, 100%, $F$9) + CHOOSE(CONTROL!$C$27, 0.0021, 0)</f>
        <v>107.49849999999999</v>
      </c>
      <c r="K698" s="14">
        <f>107.4964 * CHOOSE(CONTROL!$C$9, $D$9, 100%, $F$9) + CHOOSE(CONTROL!$C$27, 0.0021, 0)</f>
        <v>107.49849999999999</v>
      </c>
      <c r="L698" s="14"/>
    </row>
    <row r="699" spans="1:12" ht="15.75" x14ac:dyDescent="0.25">
      <c r="A699" s="32">
        <v>62213</v>
      </c>
      <c r="B699" s="14">
        <f>114.7871 * CHOOSE(CONTROL!$C$9, $D$9, 100%, $F$9) + CHOOSE(CONTROL!$C$27, 0.0021, 0)</f>
        <v>114.78919999999999</v>
      </c>
      <c r="C699" s="14">
        <f>114.3549 * CHOOSE(CONTROL!$C$9, $D$9, 100%, $F$9) + CHOOSE(CONTROL!$C$27, 0.0021, 0)</f>
        <v>114.357</v>
      </c>
      <c r="D699" s="14">
        <f>114.3549 * CHOOSE(CONTROL!$C$9, $D$9, 100%, $F$9) + CHOOSE(CONTROL!$C$27, 0.0021, 0)</f>
        <v>114.357</v>
      </c>
      <c r="E699" s="14">
        <f>114.2182 * CHOOSE(CONTROL!$C$9, $D$9, 100%, $F$9) + CHOOSE(CONTROL!$C$27, 0.0021, 0)</f>
        <v>114.22029999999999</v>
      </c>
      <c r="F699" s="14">
        <f>114.2182 * CHOOSE(CONTROL!$C$9, $D$9, 100%, $F$9) + CHOOSE(CONTROL!$C$27, 0.0021, 0)</f>
        <v>114.22029999999999</v>
      </c>
      <c r="G699" s="14">
        <f>114.4896 * CHOOSE(CONTROL!$C$9, $D$9, 100%, $F$9) + CHOOSE(CONTROL!$C$27, 0.0021, 0)</f>
        <v>114.49169999999999</v>
      </c>
      <c r="H699" s="14">
        <f>114.3549 * CHOOSE(CONTROL!$C$9, $D$9, 100%, $F$9) + CHOOSE(CONTROL!$C$27, 0.0021, 0)</f>
        <v>114.357</v>
      </c>
      <c r="I699" s="14">
        <f>114.3549 * CHOOSE(CONTROL!$C$9, $D$9, 100%, $F$9) + CHOOSE(CONTROL!$C$27, 0.0021, 0)</f>
        <v>114.357</v>
      </c>
      <c r="J699" s="14">
        <f>114.3549 * CHOOSE(CONTROL!$C$9, $D$9, 100%, $F$9) + CHOOSE(CONTROL!$C$27, 0.0021, 0)</f>
        <v>114.357</v>
      </c>
      <c r="K699" s="14">
        <f>114.3549 * CHOOSE(CONTROL!$C$9, $D$9, 100%, $F$9) + CHOOSE(CONTROL!$C$27, 0.0021, 0)</f>
        <v>114.357</v>
      </c>
      <c r="L699" s="14"/>
    </row>
    <row r="700" spans="1:12" ht="15.75" x14ac:dyDescent="0.25">
      <c r="A700" s="32">
        <v>62244</v>
      </c>
      <c r="B700" s="14">
        <f>118.5622 * CHOOSE(CONTROL!$C$9, $D$9, 100%, $F$9) + CHOOSE(CONTROL!$C$27, 0.0021, 0)</f>
        <v>118.5643</v>
      </c>
      <c r="C700" s="14">
        <f>118.13 * CHOOSE(CONTROL!$C$9, $D$9, 100%, $F$9) + CHOOSE(CONTROL!$C$27, 0.0021, 0)</f>
        <v>118.13209999999999</v>
      </c>
      <c r="D700" s="14">
        <f>118.13 * CHOOSE(CONTROL!$C$9, $D$9, 100%, $F$9) + CHOOSE(CONTROL!$C$27, 0.0021, 0)</f>
        <v>118.13209999999999</v>
      </c>
      <c r="E700" s="14">
        <f>117.9933 * CHOOSE(CONTROL!$C$9, $D$9, 100%, $F$9) + CHOOSE(CONTROL!$C$27, 0.0021, 0)</f>
        <v>117.9954</v>
      </c>
      <c r="F700" s="14">
        <f>117.9933 * CHOOSE(CONTROL!$C$9, $D$9, 100%, $F$9) + CHOOSE(CONTROL!$C$27, 0.0021, 0)</f>
        <v>117.9954</v>
      </c>
      <c r="G700" s="14">
        <f>118.2647 * CHOOSE(CONTROL!$C$9, $D$9, 100%, $F$9) + CHOOSE(CONTROL!$C$27, 0.0021, 0)</f>
        <v>118.2668</v>
      </c>
      <c r="H700" s="14">
        <f>118.13 * CHOOSE(CONTROL!$C$9, $D$9, 100%, $F$9) + CHOOSE(CONTROL!$C$27, 0.0021, 0)</f>
        <v>118.13209999999999</v>
      </c>
      <c r="I700" s="14">
        <f>118.13 * CHOOSE(CONTROL!$C$9, $D$9, 100%, $F$9) + CHOOSE(CONTROL!$C$27, 0.0021, 0)</f>
        <v>118.13209999999999</v>
      </c>
      <c r="J700" s="14">
        <f>118.13 * CHOOSE(CONTROL!$C$9, $D$9, 100%, $F$9) + CHOOSE(CONTROL!$C$27, 0.0021, 0)</f>
        <v>118.13209999999999</v>
      </c>
      <c r="K700" s="14">
        <f>118.13 * CHOOSE(CONTROL!$C$9, $D$9, 100%, $F$9) + CHOOSE(CONTROL!$C$27, 0.0021, 0)</f>
        <v>118.13209999999999</v>
      </c>
      <c r="L700" s="14"/>
    </row>
    <row r="701" spans="1:12" ht="15.75" x14ac:dyDescent="0.25">
      <c r="A701" s="32">
        <v>62274</v>
      </c>
      <c r="B701" s="14">
        <f>120.2375 * CHOOSE(CONTROL!$C$9, $D$9, 100%, $F$9) + CHOOSE(CONTROL!$C$27, 0.0021, 0)</f>
        <v>120.2396</v>
      </c>
      <c r="C701" s="14">
        <f>119.8053 * CHOOSE(CONTROL!$C$9, $D$9, 100%, $F$9) + CHOOSE(CONTROL!$C$27, 0.0021, 0)</f>
        <v>119.8074</v>
      </c>
      <c r="D701" s="14">
        <f>119.8053 * CHOOSE(CONTROL!$C$9, $D$9, 100%, $F$9) + CHOOSE(CONTROL!$C$27, 0.0021, 0)</f>
        <v>119.8074</v>
      </c>
      <c r="E701" s="14">
        <f>119.6686 * CHOOSE(CONTROL!$C$9, $D$9, 100%, $F$9) + CHOOSE(CONTROL!$C$27, 0.0021, 0)</f>
        <v>119.6707</v>
      </c>
      <c r="F701" s="14">
        <f>119.6686 * CHOOSE(CONTROL!$C$9, $D$9, 100%, $F$9) + CHOOSE(CONTROL!$C$27, 0.0021, 0)</f>
        <v>119.6707</v>
      </c>
      <c r="G701" s="14">
        <f>119.94 * CHOOSE(CONTROL!$C$9, $D$9, 100%, $F$9) + CHOOSE(CONTROL!$C$27, 0.0021, 0)</f>
        <v>119.9421</v>
      </c>
      <c r="H701" s="14">
        <f>119.8053 * CHOOSE(CONTROL!$C$9, $D$9, 100%, $F$9) + CHOOSE(CONTROL!$C$27, 0.0021, 0)</f>
        <v>119.8074</v>
      </c>
      <c r="I701" s="14">
        <f>119.8053 * CHOOSE(CONTROL!$C$9, $D$9, 100%, $F$9) + CHOOSE(CONTROL!$C$27, 0.0021, 0)</f>
        <v>119.8074</v>
      </c>
      <c r="J701" s="14">
        <f>119.8053 * CHOOSE(CONTROL!$C$9, $D$9, 100%, $F$9) + CHOOSE(CONTROL!$C$27, 0.0021, 0)</f>
        <v>119.8074</v>
      </c>
      <c r="K701" s="14">
        <f>119.8053 * CHOOSE(CONTROL!$C$9, $D$9, 100%, $F$9) + CHOOSE(CONTROL!$C$27, 0.0021, 0)</f>
        <v>119.8074</v>
      </c>
      <c r="L701" s="14"/>
    </row>
    <row r="702" spans="1:12" ht="15.75" x14ac:dyDescent="0.25">
      <c r="A702" s="32">
        <v>62305</v>
      </c>
      <c r="B702" s="14">
        <f>119.6859 * CHOOSE(CONTROL!$C$9, $D$9, 100%, $F$9) + CHOOSE(CONTROL!$C$27, 0.0021, 0)</f>
        <v>119.688</v>
      </c>
      <c r="C702" s="14">
        <f>119.2537 * CHOOSE(CONTROL!$C$9, $D$9, 100%, $F$9) + CHOOSE(CONTROL!$C$27, 0.0021, 0)</f>
        <v>119.25579999999999</v>
      </c>
      <c r="D702" s="14">
        <f>119.2537 * CHOOSE(CONTROL!$C$9, $D$9, 100%, $F$9) + CHOOSE(CONTROL!$C$27, 0.0021, 0)</f>
        <v>119.25579999999999</v>
      </c>
      <c r="E702" s="14">
        <f>119.117 * CHOOSE(CONTROL!$C$9, $D$9, 100%, $F$9) + CHOOSE(CONTROL!$C$27, 0.0021, 0)</f>
        <v>119.1191</v>
      </c>
      <c r="F702" s="14">
        <f>119.117 * CHOOSE(CONTROL!$C$9, $D$9, 100%, $F$9) + CHOOSE(CONTROL!$C$27, 0.0021, 0)</f>
        <v>119.1191</v>
      </c>
      <c r="G702" s="14">
        <f>119.3884 * CHOOSE(CONTROL!$C$9, $D$9, 100%, $F$9) + CHOOSE(CONTROL!$C$27, 0.0021, 0)</f>
        <v>119.3905</v>
      </c>
      <c r="H702" s="14">
        <f>119.2537 * CHOOSE(CONTROL!$C$9, $D$9, 100%, $F$9) + CHOOSE(CONTROL!$C$27, 0.0021, 0)</f>
        <v>119.25579999999999</v>
      </c>
      <c r="I702" s="14">
        <f>119.2537 * CHOOSE(CONTROL!$C$9, $D$9, 100%, $F$9) + CHOOSE(CONTROL!$C$27, 0.0021, 0)</f>
        <v>119.25579999999999</v>
      </c>
      <c r="J702" s="14">
        <f>119.2537 * CHOOSE(CONTROL!$C$9, $D$9, 100%, $F$9) + CHOOSE(CONTROL!$C$27, 0.0021, 0)</f>
        <v>119.25579999999999</v>
      </c>
      <c r="K702" s="14">
        <f>119.2537 * CHOOSE(CONTROL!$C$9, $D$9, 100%, $F$9) + CHOOSE(CONTROL!$C$27, 0.0021, 0)</f>
        <v>119.25579999999999</v>
      </c>
      <c r="L702" s="14"/>
    </row>
    <row r="703" spans="1:12" ht="15.75" x14ac:dyDescent="0.25">
      <c r="A703" s="32">
        <v>62336</v>
      </c>
      <c r="B703" s="14">
        <f>116.9531 * CHOOSE(CONTROL!$C$9, $D$9, 100%, $F$9) + CHOOSE(CONTROL!$C$27, 0.0021, 0)</f>
        <v>116.9552</v>
      </c>
      <c r="C703" s="14">
        <f>116.5208 * CHOOSE(CONTROL!$C$9, $D$9, 100%, $F$9) + CHOOSE(CONTROL!$C$27, 0.0021, 0)</f>
        <v>116.52289999999999</v>
      </c>
      <c r="D703" s="14">
        <f>116.5208 * CHOOSE(CONTROL!$C$9, $D$9, 100%, $F$9) + CHOOSE(CONTROL!$C$27, 0.0021, 0)</f>
        <v>116.52289999999999</v>
      </c>
      <c r="E703" s="14">
        <f>116.3841 * CHOOSE(CONTROL!$C$9, $D$9, 100%, $F$9) + CHOOSE(CONTROL!$C$27, 0.0021, 0)</f>
        <v>116.3862</v>
      </c>
      <c r="F703" s="14">
        <f>116.3841 * CHOOSE(CONTROL!$C$9, $D$9, 100%, $F$9) + CHOOSE(CONTROL!$C$27, 0.0021, 0)</f>
        <v>116.3862</v>
      </c>
      <c r="G703" s="14">
        <f>116.6555 * CHOOSE(CONTROL!$C$9, $D$9, 100%, $F$9) + CHOOSE(CONTROL!$C$27, 0.0021, 0)</f>
        <v>116.6576</v>
      </c>
      <c r="H703" s="14">
        <f>116.5208 * CHOOSE(CONTROL!$C$9, $D$9, 100%, $F$9) + CHOOSE(CONTROL!$C$27, 0.0021, 0)</f>
        <v>116.52289999999999</v>
      </c>
      <c r="I703" s="14">
        <f>116.5208 * CHOOSE(CONTROL!$C$9, $D$9, 100%, $F$9) + CHOOSE(CONTROL!$C$27, 0.0021, 0)</f>
        <v>116.52289999999999</v>
      </c>
      <c r="J703" s="14">
        <f>116.5208 * CHOOSE(CONTROL!$C$9, $D$9, 100%, $F$9) + CHOOSE(CONTROL!$C$27, 0.0021, 0)</f>
        <v>116.52289999999999</v>
      </c>
      <c r="K703" s="14">
        <f>116.5208 * CHOOSE(CONTROL!$C$9, $D$9, 100%, $F$9) + CHOOSE(CONTROL!$C$27, 0.0021, 0)</f>
        <v>116.52289999999999</v>
      </c>
      <c r="L703" s="14"/>
    </row>
    <row r="704" spans="1:12" ht="15.75" x14ac:dyDescent="0.25">
      <c r="A704" s="32">
        <v>62366</v>
      </c>
      <c r="B704" s="14">
        <f>113.1419 * CHOOSE(CONTROL!$C$9, $D$9, 100%, $F$9) + CHOOSE(CONTROL!$C$27, 0.0021, 0)</f>
        <v>113.14400000000001</v>
      </c>
      <c r="C704" s="14">
        <f>112.7097 * CHOOSE(CONTROL!$C$9, $D$9, 100%, $F$9) + CHOOSE(CONTROL!$C$27, 0.0021, 0)</f>
        <v>112.7118</v>
      </c>
      <c r="D704" s="14">
        <f>112.7097 * CHOOSE(CONTROL!$C$9, $D$9, 100%, $F$9) + CHOOSE(CONTROL!$C$27, 0.0021, 0)</f>
        <v>112.7118</v>
      </c>
      <c r="E704" s="14">
        <f>112.573 * CHOOSE(CONTROL!$C$9, $D$9, 100%, $F$9) + CHOOSE(CONTROL!$C$27, 0.0021, 0)</f>
        <v>112.57509999999999</v>
      </c>
      <c r="F704" s="14">
        <f>112.573 * CHOOSE(CONTROL!$C$9, $D$9, 100%, $F$9) + CHOOSE(CONTROL!$C$27, 0.0021, 0)</f>
        <v>112.57509999999999</v>
      </c>
      <c r="G704" s="14">
        <f>112.8444 * CHOOSE(CONTROL!$C$9, $D$9, 100%, $F$9) + CHOOSE(CONTROL!$C$27, 0.0021, 0)</f>
        <v>112.84649999999999</v>
      </c>
      <c r="H704" s="14">
        <f>112.7097 * CHOOSE(CONTROL!$C$9, $D$9, 100%, $F$9) + CHOOSE(CONTROL!$C$27, 0.0021, 0)</f>
        <v>112.7118</v>
      </c>
      <c r="I704" s="14">
        <f>112.7097 * CHOOSE(CONTROL!$C$9, $D$9, 100%, $F$9) + CHOOSE(CONTROL!$C$27, 0.0021, 0)</f>
        <v>112.7118</v>
      </c>
      <c r="J704" s="14">
        <f>112.7097 * CHOOSE(CONTROL!$C$9, $D$9, 100%, $F$9) + CHOOSE(CONTROL!$C$27, 0.0021, 0)</f>
        <v>112.7118</v>
      </c>
      <c r="K704" s="14">
        <f>112.7097 * CHOOSE(CONTROL!$C$9, $D$9, 100%, $F$9) + CHOOSE(CONTROL!$C$27, 0.0021, 0)</f>
        <v>112.7118</v>
      </c>
      <c r="L704" s="14"/>
    </row>
    <row r="705" spans="1:12" ht="15.75" x14ac:dyDescent="0.25">
      <c r="A705" s="32">
        <v>62397</v>
      </c>
      <c r="B705" s="14">
        <f>109.3086 * CHOOSE(CONTROL!$C$9, $D$9, 100%, $F$9) + CHOOSE(CONTROL!$C$27, 0.0021, 0)</f>
        <v>109.3107</v>
      </c>
      <c r="C705" s="14">
        <f>108.8764 * CHOOSE(CONTROL!$C$9, $D$9, 100%, $F$9) + CHOOSE(CONTROL!$C$27, 0.0021, 0)</f>
        <v>108.8785</v>
      </c>
      <c r="D705" s="14">
        <f>108.8764 * CHOOSE(CONTROL!$C$9, $D$9, 100%, $F$9) + CHOOSE(CONTROL!$C$27, 0.0021, 0)</f>
        <v>108.8785</v>
      </c>
      <c r="E705" s="14">
        <f>108.7397 * CHOOSE(CONTROL!$C$9, $D$9, 100%, $F$9) + CHOOSE(CONTROL!$C$27, 0.0021, 0)</f>
        <v>108.7418</v>
      </c>
      <c r="F705" s="14">
        <f>108.7397 * CHOOSE(CONTROL!$C$9, $D$9, 100%, $F$9) + CHOOSE(CONTROL!$C$27, 0.0021, 0)</f>
        <v>108.7418</v>
      </c>
      <c r="G705" s="14">
        <f>109.0111 * CHOOSE(CONTROL!$C$9, $D$9, 100%, $F$9) + CHOOSE(CONTROL!$C$27, 0.0021, 0)</f>
        <v>109.0132</v>
      </c>
      <c r="H705" s="14">
        <f>108.8764 * CHOOSE(CONTROL!$C$9, $D$9, 100%, $F$9) + CHOOSE(CONTROL!$C$27, 0.0021, 0)</f>
        <v>108.8785</v>
      </c>
      <c r="I705" s="14">
        <f>108.8764 * CHOOSE(CONTROL!$C$9, $D$9, 100%, $F$9) + CHOOSE(CONTROL!$C$27, 0.0021, 0)</f>
        <v>108.8785</v>
      </c>
      <c r="J705" s="14">
        <f>108.8764 * CHOOSE(CONTROL!$C$9, $D$9, 100%, $F$9) + CHOOSE(CONTROL!$C$27, 0.0021, 0)</f>
        <v>108.8785</v>
      </c>
      <c r="K705" s="14">
        <f>108.8764 * CHOOSE(CONTROL!$C$9, $D$9, 100%, $F$9) + CHOOSE(CONTROL!$C$27, 0.0021, 0)</f>
        <v>108.8785</v>
      </c>
      <c r="L705" s="14"/>
    </row>
    <row r="706" spans="1:12" ht="15.75" x14ac:dyDescent="0.25">
      <c r="A706" s="32">
        <v>62427</v>
      </c>
      <c r="B706" s="14">
        <f>108.5461 * CHOOSE(CONTROL!$C$9, $D$9, 100%, $F$9) + CHOOSE(CONTROL!$C$27, 0.0021, 0)</f>
        <v>108.54819999999999</v>
      </c>
      <c r="C706" s="14">
        <f>108.1139 * CHOOSE(CONTROL!$C$9, $D$9, 100%, $F$9) + CHOOSE(CONTROL!$C$27, 0.0021, 0)</f>
        <v>108.116</v>
      </c>
      <c r="D706" s="14">
        <f>108.1139 * CHOOSE(CONTROL!$C$9, $D$9, 100%, $F$9) + CHOOSE(CONTROL!$C$27, 0.0021, 0)</f>
        <v>108.116</v>
      </c>
      <c r="E706" s="14">
        <f>107.9772 * CHOOSE(CONTROL!$C$9, $D$9, 100%, $F$9) + CHOOSE(CONTROL!$C$27, 0.0021, 0)</f>
        <v>107.97929999999999</v>
      </c>
      <c r="F706" s="14">
        <f>107.9772 * CHOOSE(CONTROL!$C$9, $D$9, 100%, $F$9) + CHOOSE(CONTROL!$C$27, 0.0021, 0)</f>
        <v>107.97929999999999</v>
      </c>
      <c r="G706" s="14">
        <f>108.2486 * CHOOSE(CONTROL!$C$9, $D$9, 100%, $F$9) + CHOOSE(CONTROL!$C$27, 0.0021, 0)</f>
        <v>108.25069999999999</v>
      </c>
      <c r="H706" s="14">
        <f>108.1139 * CHOOSE(CONTROL!$C$9, $D$9, 100%, $F$9) + CHOOSE(CONTROL!$C$27, 0.0021, 0)</f>
        <v>108.116</v>
      </c>
      <c r="I706" s="14">
        <f>108.1139 * CHOOSE(CONTROL!$C$9, $D$9, 100%, $F$9) + CHOOSE(CONTROL!$C$27, 0.0021, 0)</f>
        <v>108.116</v>
      </c>
      <c r="J706" s="14">
        <f>108.1139 * CHOOSE(CONTROL!$C$9, $D$9, 100%, $F$9) + CHOOSE(CONTROL!$C$27, 0.0021, 0)</f>
        <v>108.116</v>
      </c>
      <c r="K706" s="14">
        <f>108.1139 * CHOOSE(CONTROL!$C$9, $D$9, 100%, $F$9) + CHOOSE(CONTROL!$C$27, 0.0021, 0)</f>
        <v>108.116</v>
      </c>
      <c r="L706" s="14"/>
    </row>
    <row r="707" spans="1:12" ht="15.75" x14ac:dyDescent="0.25">
      <c r="A707" s="32">
        <v>62458</v>
      </c>
      <c r="B707" s="14">
        <f>105.393 * CHOOSE(CONTROL!$C$9, $D$9, 100%, $F$9) + CHOOSE(CONTROL!$C$27, 0.0021, 0)</f>
        <v>105.3951</v>
      </c>
      <c r="C707" s="14">
        <f>104.9608 * CHOOSE(CONTROL!$C$9, $D$9, 100%, $F$9) + CHOOSE(CONTROL!$C$27, 0.0021, 0)</f>
        <v>104.9629</v>
      </c>
      <c r="D707" s="14">
        <f>104.9608 * CHOOSE(CONTROL!$C$9, $D$9, 100%, $F$9) + CHOOSE(CONTROL!$C$27, 0.0021, 0)</f>
        <v>104.9629</v>
      </c>
      <c r="E707" s="14">
        <f>104.8241 * CHOOSE(CONTROL!$C$9, $D$9, 100%, $F$9) + CHOOSE(CONTROL!$C$27, 0.0021, 0)</f>
        <v>104.8262</v>
      </c>
      <c r="F707" s="14">
        <f>104.8241 * CHOOSE(CONTROL!$C$9, $D$9, 100%, $F$9) + CHOOSE(CONTROL!$C$27, 0.0021, 0)</f>
        <v>104.8262</v>
      </c>
      <c r="G707" s="14">
        <f>105.0955 * CHOOSE(CONTROL!$C$9, $D$9, 100%, $F$9) + CHOOSE(CONTROL!$C$27, 0.0021, 0)</f>
        <v>105.0976</v>
      </c>
      <c r="H707" s="14">
        <f>104.9608 * CHOOSE(CONTROL!$C$9, $D$9, 100%, $F$9) + CHOOSE(CONTROL!$C$27, 0.0021, 0)</f>
        <v>104.9629</v>
      </c>
      <c r="I707" s="14">
        <f>104.9608 * CHOOSE(CONTROL!$C$9, $D$9, 100%, $F$9) + CHOOSE(CONTROL!$C$27, 0.0021, 0)</f>
        <v>104.9629</v>
      </c>
      <c r="J707" s="14">
        <f>104.9608 * CHOOSE(CONTROL!$C$9, $D$9, 100%, $F$9) + CHOOSE(CONTROL!$C$27, 0.0021, 0)</f>
        <v>104.9629</v>
      </c>
      <c r="K707" s="14">
        <f>104.9608 * CHOOSE(CONTROL!$C$9, $D$9, 100%, $F$9) + CHOOSE(CONTROL!$C$27, 0.0021, 0)</f>
        <v>104.9629</v>
      </c>
      <c r="L707" s="14"/>
    </row>
    <row r="708" spans="1:12" ht="15.75" x14ac:dyDescent="0.25">
      <c r="A708" s="32">
        <v>62489</v>
      </c>
      <c r="B708" s="14">
        <f>104.7792 * CHOOSE(CONTROL!$C$9, $D$9, 100%, $F$9) + CHOOSE(CONTROL!$C$27, 0.0021, 0)</f>
        <v>104.7813</v>
      </c>
      <c r="C708" s="14">
        <f>104.3469 * CHOOSE(CONTROL!$C$9, $D$9, 100%, $F$9) + CHOOSE(CONTROL!$C$27, 0.0021, 0)</f>
        <v>104.349</v>
      </c>
      <c r="D708" s="14">
        <f>104.3469 * CHOOSE(CONTROL!$C$9, $D$9, 100%, $F$9) + CHOOSE(CONTROL!$C$27, 0.0021, 0)</f>
        <v>104.349</v>
      </c>
      <c r="E708" s="14">
        <f>104.2103 * CHOOSE(CONTROL!$C$9, $D$9, 100%, $F$9) + CHOOSE(CONTROL!$C$27, 0.0021, 0)</f>
        <v>104.2124</v>
      </c>
      <c r="F708" s="14">
        <f>104.2103 * CHOOSE(CONTROL!$C$9, $D$9, 100%, $F$9) + CHOOSE(CONTROL!$C$27, 0.0021, 0)</f>
        <v>104.2124</v>
      </c>
      <c r="G708" s="14">
        <f>104.4816 * CHOOSE(CONTROL!$C$9, $D$9, 100%, $F$9) + CHOOSE(CONTROL!$C$27, 0.0021, 0)</f>
        <v>104.4837</v>
      </c>
      <c r="H708" s="14">
        <f>104.3469 * CHOOSE(CONTROL!$C$9, $D$9, 100%, $F$9) + CHOOSE(CONTROL!$C$27, 0.0021, 0)</f>
        <v>104.349</v>
      </c>
      <c r="I708" s="14">
        <f>104.3469 * CHOOSE(CONTROL!$C$9, $D$9, 100%, $F$9) + CHOOSE(CONTROL!$C$27, 0.0021, 0)</f>
        <v>104.349</v>
      </c>
      <c r="J708" s="14">
        <f>104.3469 * CHOOSE(CONTROL!$C$9, $D$9, 100%, $F$9) + CHOOSE(CONTROL!$C$27, 0.0021, 0)</f>
        <v>104.349</v>
      </c>
      <c r="K708" s="14">
        <f>104.3469 * CHOOSE(CONTROL!$C$9, $D$9, 100%, $F$9) + CHOOSE(CONTROL!$C$27, 0.0021, 0)</f>
        <v>104.349</v>
      </c>
      <c r="L708" s="14"/>
    </row>
    <row r="709" spans="1:12" ht="15.75" x14ac:dyDescent="0.25">
      <c r="A709" s="32">
        <v>62517</v>
      </c>
      <c r="B709" s="14">
        <f>104.4943 * CHOOSE(CONTROL!$C$9, $D$9, 100%, $F$9) + CHOOSE(CONTROL!$C$27, 0.0021, 0)</f>
        <v>104.49639999999999</v>
      </c>
      <c r="C709" s="14">
        <f>104.062 * CHOOSE(CONTROL!$C$9, $D$9, 100%, $F$9) + CHOOSE(CONTROL!$C$27, 0.0021, 0)</f>
        <v>104.0641</v>
      </c>
      <c r="D709" s="14">
        <f>104.062 * CHOOSE(CONTROL!$C$9, $D$9, 100%, $F$9) + CHOOSE(CONTROL!$C$27, 0.0021, 0)</f>
        <v>104.0641</v>
      </c>
      <c r="E709" s="14">
        <f>103.9254 * CHOOSE(CONTROL!$C$9, $D$9, 100%, $F$9) + CHOOSE(CONTROL!$C$27, 0.0021, 0)</f>
        <v>103.92749999999999</v>
      </c>
      <c r="F709" s="14">
        <f>103.9254 * CHOOSE(CONTROL!$C$9, $D$9, 100%, $F$9) + CHOOSE(CONTROL!$C$27, 0.0021, 0)</f>
        <v>103.92749999999999</v>
      </c>
      <c r="G709" s="14">
        <f>104.1967 * CHOOSE(CONTROL!$C$9, $D$9, 100%, $F$9) + CHOOSE(CONTROL!$C$27, 0.0021, 0)</f>
        <v>104.19880000000001</v>
      </c>
      <c r="H709" s="14">
        <f>104.062 * CHOOSE(CONTROL!$C$9, $D$9, 100%, $F$9) + CHOOSE(CONTROL!$C$27, 0.0021, 0)</f>
        <v>104.0641</v>
      </c>
      <c r="I709" s="14">
        <f>104.062 * CHOOSE(CONTROL!$C$9, $D$9, 100%, $F$9) + CHOOSE(CONTROL!$C$27, 0.0021, 0)</f>
        <v>104.0641</v>
      </c>
      <c r="J709" s="14">
        <f>104.062 * CHOOSE(CONTROL!$C$9, $D$9, 100%, $F$9) + CHOOSE(CONTROL!$C$27, 0.0021, 0)</f>
        <v>104.0641</v>
      </c>
      <c r="K709" s="14">
        <f>104.062 * CHOOSE(CONTROL!$C$9, $D$9, 100%, $F$9) + CHOOSE(CONTROL!$C$27, 0.0021, 0)</f>
        <v>104.0641</v>
      </c>
      <c r="L709" s="14"/>
    </row>
    <row r="710" spans="1:12" ht="15.75" x14ac:dyDescent="0.25">
      <c r="A710" s="32">
        <v>62548</v>
      </c>
      <c r="B710" s="14">
        <f>109.8809 * CHOOSE(CONTROL!$C$9, $D$9, 100%, $F$9) + CHOOSE(CONTROL!$C$27, 0.0021, 0)</f>
        <v>109.883</v>
      </c>
      <c r="C710" s="14">
        <f>109.4487 * CHOOSE(CONTROL!$C$9, $D$9, 100%, $F$9) + CHOOSE(CONTROL!$C$27, 0.0021, 0)</f>
        <v>109.4508</v>
      </c>
      <c r="D710" s="14">
        <f>109.4487 * CHOOSE(CONTROL!$C$9, $D$9, 100%, $F$9) + CHOOSE(CONTROL!$C$27, 0.0021, 0)</f>
        <v>109.4508</v>
      </c>
      <c r="E710" s="14">
        <f>109.312 * CHOOSE(CONTROL!$C$9, $D$9, 100%, $F$9) + CHOOSE(CONTROL!$C$27, 0.0021, 0)</f>
        <v>109.3141</v>
      </c>
      <c r="F710" s="14">
        <f>109.312 * CHOOSE(CONTROL!$C$9, $D$9, 100%, $F$9) + CHOOSE(CONTROL!$C$27, 0.0021, 0)</f>
        <v>109.3141</v>
      </c>
      <c r="G710" s="14">
        <f>109.5834 * CHOOSE(CONTROL!$C$9, $D$9, 100%, $F$9) + CHOOSE(CONTROL!$C$27, 0.0021, 0)</f>
        <v>109.5855</v>
      </c>
      <c r="H710" s="14">
        <f>109.4487 * CHOOSE(CONTROL!$C$9, $D$9, 100%, $F$9) + CHOOSE(CONTROL!$C$27, 0.0021, 0)</f>
        <v>109.4508</v>
      </c>
      <c r="I710" s="14">
        <f>109.4487 * CHOOSE(CONTROL!$C$9, $D$9, 100%, $F$9) + CHOOSE(CONTROL!$C$27, 0.0021, 0)</f>
        <v>109.4508</v>
      </c>
      <c r="J710" s="14">
        <f>109.4487 * CHOOSE(CONTROL!$C$9, $D$9, 100%, $F$9) + CHOOSE(CONTROL!$C$27, 0.0021, 0)</f>
        <v>109.4508</v>
      </c>
      <c r="K710" s="14">
        <f>109.4487 * CHOOSE(CONTROL!$C$9, $D$9, 100%, $F$9) + CHOOSE(CONTROL!$C$27, 0.0021, 0)</f>
        <v>109.4508</v>
      </c>
      <c r="L710" s="14"/>
    </row>
    <row r="711" spans="1:12" ht="15.75" x14ac:dyDescent="0.25">
      <c r="A711" s="32">
        <v>62578</v>
      </c>
      <c r="B711" s="14">
        <f>116.8661 * CHOOSE(CONTROL!$C$9, $D$9, 100%, $F$9) + CHOOSE(CONTROL!$C$27, 0.0021, 0)</f>
        <v>116.8682</v>
      </c>
      <c r="C711" s="14">
        <f>116.4338 * CHOOSE(CONTROL!$C$9, $D$9, 100%, $F$9) + CHOOSE(CONTROL!$C$27, 0.0021, 0)</f>
        <v>116.4359</v>
      </c>
      <c r="D711" s="14">
        <f>116.4338 * CHOOSE(CONTROL!$C$9, $D$9, 100%, $F$9) + CHOOSE(CONTROL!$C$27, 0.0021, 0)</f>
        <v>116.4359</v>
      </c>
      <c r="E711" s="14">
        <f>116.2972 * CHOOSE(CONTROL!$C$9, $D$9, 100%, $F$9) + CHOOSE(CONTROL!$C$27, 0.0021, 0)</f>
        <v>116.2993</v>
      </c>
      <c r="F711" s="14">
        <f>116.2972 * CHOOSE(CONTROL!$C$9, $D$9, 100%, $F$9) + CHOOSE(CONTROL!$C$27, 0.0021, 0)</f>
        <v>116.2993</v>
      </c>
      <c r="G711" s="14">
        <f>116.5686 * CHOOSE(CONTROL!$C$9, $D$9, 100%, $F$9) + CHOOSE(CONTROL!$C$27, 0.0021, 0)</f>
        <v>116.5707</v>
      </c>
      <c r="H711" s="14">
        <f>116.4338 * CHOOSE(CONTROL!$C$9, $D$9, 100%, $F$9) + CHOOSE(CONTROL!$C$27, 0.0021, 0)</f>
        <v>116.4359</v>
      </c>
      <c r="I711" s="14">
        <f>116.4338 * CHOOSE(CONTROL!$C$9, $D$9, 100%, $F$9) + CHOOSE(CONTROL!$C$27, 0.0021, 0)</f>
        <v>116.4359</v>
      </c>
      <c r="J711" s="14">
        <f>116.4338 * CHOOSE(CONTROL!$C$9, $D$9, 100%, $F$9) + CHOOSE(CONTROL!$C$27, 0.0021, 0)</f>
        <v>116.4359</v>
      </c>
      <c r="K711" s="14">
        <f>116.4338 * CHOOSE(CONTROL!$C$9, $D$9, 100%, $F$9) + CHOOSE(CONTROL!$C$27, 0.0021, 0)</f>
        <v>116.4359</v>
      </c>
      <c r="L711" s="14"/>
    </row>
    <row r="712" spans="1:12" ht="15.75" x14ac:dyDescent="0.25">
      <c r="A712" s="32">
        <v>62609</v>
      </c>
      <c r="B712" s="14">
        <f>120.711 * CHOOSE(CONTROL!$C$9, $D$9, 100%, $F$9) + CHOOSE(CONTROL!$C$27, 0.0021, 0)</f>
        <v>120.7131</v>
      </c>
      <c r="C712" s="14">
        <f>120.2787 * CHOOSE(CONTROL!$C$9, $D$9, 100%, $F$9) + CHOOSE(CONTROL!$C$27, 0.0021, 0)</f>
        <v>120.2808</v>
      </c>
      <c r="D712" s="14">
        <f>120.2787 * CHOOSE(CONTROL!$C$9, $D$9, 100%, $F$9) + CHOOSE(CONTROL!$C$27, 0.0021, 0)</f>
        <v>120.2808</v>
      </c>
      <c r="E712" s="14">
        <f>120.142 * CHOOSE(CONTROL!$C$9, $D$9, 100%, $F$9) + CHOOSE(CONTROL!$C$27, 0.0021, 0)</f>
        <v>120.14409999999999</v>
      </c>
      <c r="F712" s="14">
        <f>120.142 * CHOOSE(CONTROL!$C$9, $D$9, 100%, $F$9) + CHOOSE(CONTROL!$C$27, 0.0021, 0)</f>
        <v>120.14409999999999</v>
      </c>
      <c r="G712" s="14">
        <f>120.4134 * CHOOSE(CONTROL!$C$9, $D$9, 100%, $F$9) + CHOOSE(CONTROL!$C$27, 0.0021, 0)</f>
        <v>120.41549999999999</v>
      </c>
      <c r="H712" s="14">
        <f>120.2787 * CHOOSE(CONTROL!$C$9, $D$9, 100%, $F$9) + CHOOSE(CONTROL!$C$27, 0.0021, 0)</f>
        <v>120.2808</v>
      </c>
      <c r="I712" s="14">
        <f>120.2787 * CHOOSE(CONTROL!$C$9, $D$9, 100%, $F$9) + CHOOSE(CONTROL!$C$27, 0.0021, 0)</f>
        <v>120.2808</v>
      </c>
      <c r="J712" s="14">
        <f>120.2787 * CHOOSE(CONTROL!$C$9, $D$9, 100%, $F$9) + CHOOSE(CONTROL!$C$27, 0.0021, 0)</f>
        <v>120.2808</v>
      </c>
      <c r="K712" s="14">
        <f>120.2787 * CHOOSE(CONTROL!$C$9, $D$9, 100%, $F$9) + CHOOSE(CONTROL!$C$27, 0.0021, 0)</f>
        <v>120.2808</v>
      </c>
      <c r="L712" s="14"/>
    </row>
    <row r="713" spans="1:12" ht="15.75" x14ac:dyDescent="0.25">
      <c r="A713" s="32">
        <v>62639</v>
      </c>
      <c r="B713" s="14">
        <f>122.4172 * CHOOSE(CONTROL!$C$9, $D$9, 100%, $F$9) + CHOOSE(CONTROL!$C$27, 0.0021, 0)</f>
        <v>122.41929999999999</v>
      </c>
      <c r="C713" s="14">
        <f>121.985 * CHOOSE(CONTROL!$C$9, $D$9, 100%, $F$9) + CHOOSE(CONTROL!$C$27, 0.0021, 0)</f>
        <v>121.9871</v>
      </c>
      <c r="D713" s="14">
        <f>121.985 * CHOOSE(CONTROL!$C$9, $D$9, 100%, $F$9) + CHOOSE(CONTROL!$C$27, 0.0021, 0)</f>
        <v>121.9871</v>
      </c>
      <c r="E713" s="14">
        <f>121.8483 * CHOOSE(CONTROL!$C$9, $D$9, 100%, $F$9) + CHOOSE(CONTROL!$C$27, 0.0021, 0)</f>
        <v>121.85039999999999</v>
      </c>
      <c r="F713" s="14">
        <f>121.8483 * CHOOSE(CONTROL!$C$9, $D$9, 100%, $F$9) + CHOOSE(CONTROL!$C$27, 0.0021, 0)</f>
        <v>121.85039999999999</v>
      </c>
      <c r="G713" s="14">
        <f>122.1197 * CHOOSE(CONTROL!$C$9, $D$9, 100%, $F$9) + CHOOSE(CONTROL!$C$27, 0.0021, 0)</f>
        <v>122.12179999999999</v>
      </c>
      <c r="H713" s="14">
        <f>121.985 * CHOOSE(CONTROL!$C$9, $D$9, 100%, $F$9) + CHOOSE(CONTROL!$C$27, 0.0021, 0)</f>
        <v>121.9871</v>
      </c>
      <c r="I713" s="14">
        <f>121.985 * CHOOSE(CONTROL!$C$9, $D$9, 100%, $F$9) + CHOOSE(CONTROL!$C$27, 0.0021, 0)</f>
        <v>121.9871</v>
      </c>
      <c r="J713" s="14">
        <f>121.985 * CHOOSE(CONTROL!$C$9, $D$9, 100%, $F$9) + CHOOSE(CONTROL!$C$27, 0.0021, 0)</f>
        <v>121.9871</v>
      </c>
      <c r="K713" s="14">
        <f>121.985 * CHOOSE(CONTROL!$C$9, $D$9, 100%, $F$9) + CHOOSE(CONTROL!$C$27, 0.0021, 0)</f>
        <v>121.9871</v>
      </c>
      <c r="L713" s="14"/>
    </row>
    <row r="714" spans="1:12" ht="15.75" x14ac:dyDescent="0.25">
      <c r="A714" s="32">
        <v>62670</v>
      </c>
      <c r="B714" s="14">
        <f>121.8554 * CHOOSE(CONTROL!$C$9, $D$9, 100%, $F$9) + CHOOSE(CONTROL!$C$27, 0.0021, 0)</f>
        <v>121.8575</v>
      </c>
      <c r="C714" s="14">
        <f>121.4232 * CHOOSE(CONTROL!$C$9, $D$9, 100%, $F$9) + CHOOSE(CONTROL!$C$27, 0.0021, 0)</f>
        <v>121.42529999999999</v>
      </c>
      <c r="D714" s="14">
        <f>121.4232 * CHOOSE(CONTROL!$C$9, $D$9, 100%, $F$9) + CHOOSE(CONTROL!$C$27, 0.0021, 0)</f>
        <v>121.42529999999999</v>
      </c>
      <c r="E714" s="14">
        <f>121.2865 * CHOOSE(CONTROL!$C$9, $D$9, 100%, $F$9) + CHOOSE(CONTROL!$C$27, 0.0021, 0)</f>
        <v>121.2886</v>
      </c>
      <c r="F714" s="14">
        <f>121.2865 * CHOOSE(CONTROL!$C$9, $D$9, 100%, $F$9) + CHOOSE(CONTROL!$C$27, 0.0021, 0)</f>
        <v>121.2886</v>
      </c>
      <c r="G714" s="14">
        <f>121.5579 * CHOOSE(CONTROL!$C$9, $D$9, 100%, $F$9) + CHOOSE(CONTROL!$C$27, 0.0021, 0)</f>
        <v>121.56</v>
      </c>
      <c r="H714" s="14">
        <f>121.4232 * CHOOSE(CONTROL!$C$9, $D$9, 100%, $F$9) + CHOOSE(CONTROL!$C$27, 0.0021, 0)</f>
        <v>121.42529999999999</v>
      </c>
      <c r="I714" s="14">
        <f>121.4232 * CHOOSE(CONTROL!$C$9, $D$9, 100%, $F$9) + CHOOSE(CONTROL!$C$27, 0.0021, 0)</f>
        <v>121.42529999999999</v>
      </c>
      <c r="J714" s="14">
        <f>121.4232 * CHOOSE(CONTROL!$C$9, $D$9, 100%, $F$9) + CHOOSE(CONTROL!$C$27, 0.0021, 0)</f>
        <v>121.42529999999999</v>
      </c>
      <c r="K714" s="14">
        <f>121.4232 * CHOOSE(CONTROL!$C$9, $D$9, 100%, $F$9) + CHOOSE(CONTROL!$C$27, 0.0021, 0)</f>
        <v>121.42529999999999</v>
      </c>
      <c r="L714" s="14"/>
    </row>
    <row r="715" spans="1:12" ht="15.75" x14ac:dyDescent="0.25">
      <c r="A715" s="32">
        <v>62701</v>
      </c>
      <c r="B715" s="14">
        <f>119.0721 * CHOOSE(CONTROL!$C$9, $D$9, 100%, $F$9) + CHOOSE(CONTROL!$C$27, 0.0021, 0)</f>
        <v>119.0742</v>
      </c>
      <c r="C715" s="14">
        <f>118.6398 * CHOOSE(CONTROL!$C$9, $D$9, 100%, $F$9) + CHOOSE(CONTROL!$C$27, 0.0021, 0)</f>
        <v>118.64189999999999</v>
      </c>
      <c r="D715" s="14">
        <f>118.6398 * CHOOSE(CONTROL!$C$9, $D$9, 100%, $F$9) + CHOOSE(CONTROL!$C$27, 0.0021, 0)</f>
        <v>118.64189999999999</v>
      </c>
      <c r="E715" s="14">
        <f>118.5032 * CHOOSE(CONTROL!$C$9, $D$9, 100%, $F$9) + CHOOSE(CONTROL!$C$27, 0.0021, 0)</f>
        <v>118.50530000000001</v>
      </c>
      <c r="F715" s="14">
        <f>118.5032 * CHOOSE(CONTROL!$C$9, $D$9, 100%, $F$9) + CHOOSE(CONTROL!$C$27, 0.0021, 0)</f>
        <v>118.50530000000001</v>
      </c>
      <c r="G715" s="14">
        <f>118.7745 * CHOOSE(CONTROL!$C$9, $D$9, 100%, $F$9) + CHOOSE(CONTROL!$C$27, 0.0021, 0)</f>
        <v>118.7766</v>
      </c>
      <c r="H715" s="14">
        <f>118.6398 * CHOOSE(CONTROL!$C$9, $D$9, 100%, $F$9) + CHOOSE(CONTROL!$C$27, 0.0021, 0)</f>
        <v>118.64189999999999</v>
      </c>
      <c r="I715" s="14">
        <f>118.6398 * CHOOSE(CONTROL!$C$9, $D$9, 100%, $F$9) + CHOOSE(CONTROL!$C$27, 0.0021, 0)</f>
        <v>118.64189999999999</v>
      </c>
      <c r="J715" s="14">
        <f>118.6398 * CHOOSE(CONTROL!$C$9, $D$9, 100%, $F$9) + CHOOSE(CONTROL!$C$27, 0.0021, 0)</f>
        <v>118.64189999999999</v>
      </c>
      <c r="K715" s="14">
        <f>118.6398 * CHOOSE(CONTROL!$C$9, $D$9, 100%, $F$9) + CHOOSE(CONTROL!$C$27, 0.0021, 0)</f>
        <v>118.64189999999999</v>
      </c>
      <c r="L715" s="14"/>
    </row>
    <row r="716" spans="1:12" ht="15.75" x14ac:dyDescent="0.25">
      <c r="A716" s="32">
        <v>62731</v>
      </c>
      <c r="B716" s="14">
        <f>115.1905 * CHOOSE(CONTROL!$C$9, $D$9, 100%, $F$9) + CHOOSE(CONTROL!$C$27, 0.0021, 0)</f>
        <v>115.1926</v>
      </c>
      <c r="C716" s="14">
        <f>114.7583 * CHOOSE(CONTROL!$C$9, $D$9, 100%, $F$9) + CHOOSE(CONTROL!$C$27, 0.0021, 0)</f>
        <v>114.7604</v>
      </c>
      <c r="D716" s="14">
        <f>114.7583 * CHOOSE(CONTROL!$C$9, $D$9, 100%, $F$9) + CHOOSE(CONTROL!$C$27, 0.0021, 0)</f>
        <v>114.7604</v>
      </c>
      <c r="E716" s="14">
        <f>114.6216 * CHOOSE(CONTROL!$C$9, $D$9, 100%, $F$9) + CHOOSE(CONTROL!$C$27, 0.0021, 0)</f>
        <v>114.6237</v>
      </c>
      <c r="F716" s="14">
        <f>114.6216 * CHOOSE(CONTROL!$C$9, $D$9, 100%, $F$9) + CHOOSE(CONTROL!$C$27, 0.0021, 0)</f>
        <v>114.6237</v>
      </c>
      <c r="G716" s="14">
        <f>114.893 * CHOOSE(CONTROL!$C$9, $D$9, 100%, $F$9) + CHOOSE(CONTROL!$C$27, 0.0021, 0)</f>
        <v>114.8951</v>
      </c>
      <c r="H716" s="14">
        <f>114.7583 * CHOOSE(CONTROL!$C$9, $D$9, 100%, $F$9) + CHOOSE(CONTROL!$C$27, 0.0021, 0)</f>
        <v>114.7604</v>
      </c>
      <c r="I716" s="14">
        <f>114.7583 * CHOOSE(CONTROL!$C$9, $D$9, 100%, $F$9) + CHOOSE(CONTROL!$C$27, 0.0021, 0)</f>
        <v>114.7604</v>
      </c>
      <c r="J716" s="14">
        <f>114.7583 * CHOOSE(CONTROL!$C$9, $D$9, 100%, $F$9) + CHOOSE(CONTROL!$C$27, 0.0021, 0)</f>
        <v>114.7604</v>
      </c>
      <c r="K716" s="14">
        <f>114.7583 * CHOOSE(CONTROL!$C$9, $D$9, 100%, $F$9) + CHOOSE(CONTROL!$C$27, 0.0021, 0)</f>
        <v>114.7604</v>
      </c>
      <c r="L716" s="14"/>
    </row>
    <row r="717" spans="1:12" ht="15.75" x14ac:dyDescent="0.25">
      <c r="A717" s="32">
        <v>62762</v>
      </c>
      <c r="B717" s="14">
        <f>111.2864 * CHOOSE(CONTROL!$C$9, $D$9, 100%, $F$9) + CHOOSE(CONTROL!$C$27, 0.0021, 0)</f>
        <v>111.2885</v>
      </c>
      <c r="C717" s="14">
        <f>110.8541 * CHOOSE(CONTROL!$C$9, $D$9, 100%, $F$9) + CHOOSE(CONTROL!$C$27, 0.0021, 0)</f>
        <v>110.8562</v>
      </c>
      <c r="D717" s="14">
        <f>110.8541 * CHOOSE(CONTROL!$C$9, $D$9, 100%, $F$9) + CHOOSE(CONTROL!$C$27, 0.0021, 0)</f>
        <v>110.8562</v>
      </c>
      <c r="E717" s="14">
        <f>110.7175 * CHOOSE(CONTROL!$C$9, $D$9, 100%, $F$9) + CHOOSE(CONTROL!$C$27, 0.0021, 0)</f>
        <v>110.7196</v>
      </c>
      <c r="F717" s="14">
        <f>110.7175 * CHOOSE(CONTROL!$C$9, $D$9, 100%, $F$9) + CHOOSE(CONTROL!$C$27, 0.0021, 0)</f>
        <v>110.7196</v>
      </c>
      <c r="G717" s="14">
        <f>110.9888 * CHOOSE(CONTROL!$C$9, $D$9, 100%, $F$9) + CHOOSE(CONTROL!$C$27, 0.0021, 0)</f>
        <v>110.9909</v>
      </c>
      <c r="H717" s="14">
        <f>110.8541 * CHOOSE(CONTROL!$C$9, $D$9, 100%, $F$9) + CHOOSE(CONTROL!$C$27, 0.0021, 0)</f>
        <v>110.8562</v>
      </c>
      <c r="I717" s="14">
        <f>110.8541 * CHOOSE(CONTROL!$C$9, $D$9, 100%, $F$9) + CHOOSE(CONTROL!$C$27, 0.0021, 0)</f>
        <v>110.8562</v>
      </c>
      <c r="J717" s="14">
        <f>110.8541 * CHOOSE(CONTROL!$C$9, $D$9, 100%, $F$9) + CHOOSE(CONTROL!$C$27, 0.0021, 0)</f>
        <v>110.8562</v>
      </c>
      <c r="K717" s="14">
        <f>110.8541 * CHOOSE(CONTROL!$C$9, $D$9, 100%, $F$9) + CHOOSE(CONTROL!$C$27, 0.0021, 0)</f>
        <v>110.8562</v>
      </c>
      <c r="L717" s="14"/>
    </row>
    <row r="718" spans="1:12" ht="15.75" x14ac:dyDescent="0.25">
      <c r="A718" s="32">
        <v>62792</v>
      </c>
      <c r="B718" s="14">
        <f>110.5098 * CHOOSE(CONTROL!$C$9, $D$9, 100%, $F$9) + CHOOSE(CONTROL!$C$27, 0.0021, 0)</f>
        <v>110.5119</v>
      </c>
      <c r="C718" s="14">
        <f>110.0775 * CHOOSE(CONTROL!$C$9, $D$9, 100%, $F$9) + CHOOSE(CONTROL!$C$27, 0.0021, 0)</f>
        <v>110.0796</v>
      </c>
      <c r="D718" s="14">
        <f>110.0775 * CHOOSE(CONTROL!$C$9, $D$9, 100%, $F$9) + CHOOSE(CONTROL!$C$27, 0.0021, 0)</f>
        <v>110.0796</v>
      </c>
      <c r="E718" s="14">
        <f>109.9409 * CHOOSE(CONTROL!$C$9, $D$9, 100%, $F$9) + CHOOSE(CONTROL!$C$27, 0.0021, 0)</f>
        <v>109.943</v>
      </c>
      <c r="F718" s="14">
        <f>109.9409 * CHOOSE(CONTROL!$C$9, $D$9, 100%, $F$9) + CHOOSE(CONTROL!$C$27, 0.0021, 0)</f>
        <v>109.943</v>
      </c>
      <c r="G718" s="14">
        <f>110.2122 * CHOOSE(CONTROL!$C$9, $D$9, 100%, $F$9) + CHOOSE(CONTROL!$C$27, 0.0021, 0)</f>
        <v>110.21429999999999</v>
      </c>
      <c r="H718" s="14">
        <f>110.0775 * CHOOSE(CONTROL!$C$9, $D$9, 100%, $F$9) + CHOOSE(CONTROL!$C$27, 0.0021, 0)</f>
        <v>110.0796</v>
      </c>
      <c r="I718" s="14">
        <f>110.0775 * CHOOSE(CONTROL!$C$9, $D$9, 100%, $F$9) + CHOOSE(CONTROL!$C$27, 0.0021, 0)</f>
        <v>110.0796</v>
      </c>
      <c r="J718" s="14">
        <f>110.0775 * CHOOSE(CONTROL!$C$9, $D$9, 100%, $F$9) + CHOOSE(CONTROL!$C$27, 0.0021, 0)</f>
        <v>110.0796</v>
      </c>
      <c r="K718" s="14">
        <f>110.0775 * CHOOSE(CONTROL!$C$9, $D$9, 100%, $F$9) + CHOOSE(CONTROL!$C$27, 0.0021, 0)</f>
        <v>110.0796</v>
      </c>
      <c r="L718" s="14"/>
    </row>
    <row r="719" spans="1:12" ht="15.75" x14ac:dyDescent="0.25">
      <c r="A719" s="32">
        <v>62823</v>
      </c>
      <c r="B719" s="14">
        <f>107.2984 * CHOOSE(CONTROL!$C$9, $D$9, 100%, $F$9) + CHOOSE(CONTROL!$C$27, 0.0021, 0)</f>
        <v>107.3005</v>
      </c>
      <c r="C719" s="14">
        <f>106.8662 * CHOOSE(CONTROL!$C$9, $D$9, 100%, $F$9) + CHOOSE(CONTROL!$C$27, 0.0021, 0)</f>
        <v>106.8683</v>
      </c>
      <c r="D719" s="14">
        <f>106.8662 * CHOOSE(CONTROL!$C$9, $D$9, 100%, $F$9) + CHOOSE(CONTROL!$C$27, 0.0021, 0)</f>
        <v>106.8683</v>
      </c>
      <c r="E719" s="14">
        <f>106.7295 * CHOOSE(CONTROL!$C$9, $D$9, 100%, $F$9) + CHOOSE(CONTROL!$C$27, 0.0021, 0)</f>
        <v>106.7316</v>
      </c>
      <c r="F719" s="14">
        <f>106.7295 * CHOOSE(CONTROL!$C$9, $D$9, 100%, $F$9) + CHOOSE(CONTROL!$C$27, 0.0021, 0)</f>
        <v>106.7316</v>
      </c>
      <c r="G719" s="14">
        <f>107.0009 * CHOOSE(CONTROL!$C$9, $D$9, 100%, $F$9) + CHOOSE(CONTROL!$C$27, 0.0021, 0)</f>
        <v>107.003</v>
      </c>
      <c r="H719" s="14">
        <f>106.8662 * CHOOSE(CONTROL!$C$9, $D$9, 100%, $F$9) + CHOOSE(CONTROL!$C$27, 0.0021, 0)</f>
        <v>106.8683</v>
      </c>
      <c r="I719" s="14">
        <f>106.8662 * CHOOSE(CONTROL!$C$9, $D$9, 100%, $F$9) + CHOOSE(CONTROL!$C$27, 0.0021, 0)</f>
        <v>106.8683</v>
      </c>
      <c r="J719" s="14">
        <f>106.8662 * CHOOSE(CONTROL!$C$9, $D$9, 100%, $F$9) + CHOOSE(CONTROL!$C$27, 0.0021, 0)</f>
        <v>106.8683</v>
      </c>
      <c r="K719" s="14">
        <f>106.8662 * CHOOSE(CONTROL!$C$9, $D$9, 100%, $F$9) + CHOOSE(CONTROL!$C$27, 0.0021, 0)</f>
        <v>106.8683</v>
      </c>
      <c r="L719" s="14"/>
    </row>
    <row r="720" spans="1:12" ht="15.75" x14ac:dyDescent="0.25">
      <c r="A720" s="32">
        <v>62854</v>
      </c>
      <c r="B720" s="14">
        <f>106.6732 * CHOOSE(CONTROL!$C$9, $D$9, 100%, $F$9) + CHOOSE(CONTROL!$C$27, 0.0021, 0)</f>
        <v>106.67529999999999</v>
      </c>
      <c r="C720" s="14">
        <f>106.2409 * CHOOSE(CONTROL!$C$9, $D$9, 100%, $F$9) + CHOOSE(CONTROL!$C$27, 0.0021, 0)</f>
        <v>106.24299999999999</v>
      </c>
      <c r="D720" s="14">
        <f>106.2409 * CHOOSE(CONTROL!$C$9, $D$9, 100%, $F$9) + CHOOSE(CONTROL!$C$27, 0.0021, 0)</f>
        <v>106.24299999999999</v>
      </c>
      <c r="E720" s="14">
        <f>106.1043 * CHOOSE(CONTROL!$C$9, $D$9, 100%, $F$9) + CHOOSE(CONTROL!$C$27, 0.0021, 0)</f>
        <v>106.10639999999999</v>
      </c>
      <c r="F720" s="14">
        <f>106.1043 * CHOOSE(CONTROL!$C$9, $D$9, 100%, $F$9) + CHOOSE(CONTROL!$C$27, 0.0021, 0)</f>
        <v>106.10639999999999</v>
      </c>
      <c r="G720" s="14">
        <f>106.3757 * CHOOSE(CONTROL!$C$9, $D$9, 100%, $F$9) + CHOOSE(CONTROL!$C$27, 0.0021, 0)</f>
        <v>106.37779999999999</v>
      </c>
      <c r="H720" s="14">
        <f>106.2409 * CHOOSE(CONTROL!$C$9, $D$9, 100%, $F$9) + CHOOSE(CONTROL!$C$27, 0.0021, 0)</f>
        <v>106.24299999999999</v>
      </c>
      <c r="I720" s="14">
        <f>106.2409 * CHOOSE(CONTROL!$C$9, $D$9, 100%, $F$9) + CHOOSE(CONTROL!$C$27, 0.0021, 0)</f>
        <v>106.24299999999999</v>
      </c>
      <c r="J720" s="14">
        <f>106.2409 * CHOOSE(CONTROL!$C$9, $D$9, 100%, $F$9) + CHOOSE(CONTROL!$C$27, 0.0021, 0)</f>
        <v>106.24299999999999</v>
      </c>
      <c r="K720" s="14">
        <f>106.2409 * CHOOSE(CONTROL!$C$9, $D$9, 100%, $F$9) + CHOOSE(CONTROL!$C$27, 0.0021, 0)</f>
        <v>106.24299999999999</v>
      </c>
      <c r="L720" s="14"/>
    </row>
    <row r="721" spans="1:12" ht="15.75" x14ac:dyDescent="0.25">
      <c r="A721" s="32">
        <v>62883</v>
      </c>
      <c r="B721" s="14">
        <f>106.383 * CHOOSE(CONTROL!$C$9, $D$9, 100%, $F$9) + CHOOSE(CONTROL!$C$27, 0.0021, 0)</f>
        <v>106.38509999999999</v>
      </c>
      <c r="C721" s="14">
        <f>105.9508 * CHOOSE(CONTROL!$C$9, $D$9, 100%, $F$9) + CHOOSE(CONTROL!$C$27, 0.0021, 0)</f>
        <v>105.9529</v>
      </c>
      <c r="D721" s="14">
        <f>105.9508 * CHOOSE(CONTROL!$C$9, $D$9, 100%, $F$9) + CHOOSE(CONTROL!$C$27, 0.0021, 0)</f>
        <v>105.9529</v>
      </c>
      <c r="E721" s="14">
        <f>105.8141 * CHOOSE(CONTROL!$C$9, $D$9, 100%, $F$9) + CHOOSE(CONTROL!$C$27, 0.0021, 0)</f>
        <v>105.81619999999999</v>
      </c>
      <c r="F721" s="14">
        <f>105.8141 * CHOOSE(CONTROL!$C$9, $D$9, 100%, $F$9) + CHOOSE(CONTROL!$C$27, 0.0021, 0)</f>
        <v>105.81619999999999</v>
      </c>
      <c r="G721" s="14">
        <f>106.0855 * CHOOSE(CONTROL!$C$9, $D$9, 100%, $F$9) + CHOOSE(CONTROL!$C$27, 0.0021, 0)</f>
        <v>106.08759999999999</v>
      </c>
      <c r="H721" s="14">
        <f>105.9508 * CHOOSE(CONTROL!$C$9, $D$9, 100%, $F$9) + CHOOSE(CONTROL!$C$27, 0.0021, 0)</f>
        <v>105.9529</v>
      </c>
      <c r="I721" s="14">
        <f>105.9508 * CHOOSE(CONTROL!$C$9, $D$9, 100%, $F$9) + CHOOSE(CONTROL!$C$27, 0.0021, 0)</f>
        <v>105.9529</v>
      </c>
      <c r="J721" s="14">
        <f>105.9508 * CHOOSE(CONTROL!$C$9, $D$9, 100%, $F$9) + CHOOSE(CONTROL!$C$27, 0.0021, 0)</f>
        <v>105.9529</v>
      </c>
      <c r="K721" s="14">
        <f>105.9508 * CHOOSE(CONTROL!$C$9, $D$9, 100%, $F$9) + CHOOSE(CONTROL!$C$27, 0.0021, 0)</f>
        <v>105.9529</v>
      </c>
      <c r="L721" s="14"/>
    </row>
    <row r="722" spans="1:12" ht="15.75" x14ac:dyDescent="0.25">
      <c r="A722" s="32">
        <v>62914</v>
      </c>
      <c r="B722" s="14">
        <f>111.8692 * CHOOSE(CONTROL!$C$9, $D$9, 100%, $F$9) + CHOOSE(CONTROL!$C$27, 0.0021, 0)</f>
        <v>111.87130000000001</v>
      </c>
      <c r="C722" s="14">
        <f>111.437 * CHOOSE(CONTROL!$C$9, $D$9, 100%, $F$9) + CHOOSE(CONTROL!$C$27, 0.0021, 0)</f>
        <v>111.4391</v>
      </c>
      <c r="D722" s="14">
        <f>111.437 * CHOOSE(CONTROL!$C$9, $D$9, 100%, $F$9) + CHOOSE(CONTROL!$C$27, 0.0021, 0)</f>
        <v>111.4391</v>
      </c>
      <c r="E722" s="14">
        <f>111.3003 * CHOOSE(CONTROL!$C$9, $D$9, 100%, $F$9) + CHOOSE(CONTROL!$C$27, 0.0021, 0)</f>
        <v>111.30239999999999</v>
      </c>
      <c r="F722" s="14">
        <f>111.3003 * CHOOSE(CONTROL!$C$9, $D$9, 100%, $F$9) + CHOOSE(CONTROL!$C$27, 0.0021, 0)</f>
        <v>111.30239999999999</v>
      </c>
      <c r="G722" s="14">
        <f>111.5717 * CHOOSE(CONTROL!$C$9, $D$9, 100%, $F$9) + CHOOSE(CONTROL!$C$27, 0.0021, 0)</f>
        <v>111.57380000000001</v>
      </c>
      <c r="H722" s="14">
        <f>111.437 * CHOOSE(CONTROL!$C$9, $D$9, 100%, $F$9) + CHOOSE(CONTROL!$C$27, 0.0021, 0)</f>
        <v>111.4391</v>
      </c>
      <c r="I722" s="14">
        <f>111.437 * CHOOSE(CONTROL!$C$9, $D$9, 100%, $F$9) + CHOOSE(CONTROL!$C$27, 0.0021, 0)</f>
        <v>111.4391</v>
      </c>
      <c r="J722" s="14">
        <f>111.437 * CHOOSE(CONTROL!$C$9, $D$9, 100%, $F$9) + CHOOSE(CONTROL!$C$27, 0.0021, 0)</f>
        <v>111.4391</v>
      </c>
      <c r="K722" s="14">
        <f>111.437 * CHOOSE(CONTROL!$C$9, $D$9, 100%, $F$9) + CHOOSE(CONTROL!$C$27, 0.0021, 0)</f>
        <v>111.4391</v>
      </c>
      <c r="L722" s="14"/>
    </row>
    <row r="723" spans="1:12" ht="15.75" x14ac:dyDescent="0.25">
      <c r="A723" s="32">
        <v>62944</v>
      </c>
      <c r="B723" s="14">
        <f>118.9835 * CHOOSE(CONTROL!$C$9, $D$9, 100%, $F$9) + CHOOSE(CONTROL!$C$27, 0.0021, 0)</f>
        <v>118.98560000000001</v>
      </c>
      <c r="C723" s="14">
        <f>118.5512 * CHOOSE(CONTROL!$C$9, $D$9, 100%, $F$9) + CHOOSE(CONTROL!$C$27, 0.0021, 0)</f>
        <v>118.55329999999999</v>
      </c>
      <c r="D723" s="14">
        <f>118.5512 * CHOOSE(CONTROL!$C$9, $D$9, 100%, $F$9) + CHOOSE(CONTROL!$C$27, 0.0021, 0)</f>
        <v>118.55329999999999</v>
      </c>
      <c r="E723" s="14">
        <f>118.4146 * CHOOSE(CONTROL!$C$9, $D$9, 100%, $F$9) + CHOOSE(CONTROL!$C$27, 0.0021, 0)</f>
        <v>118.41669999999999</v>
      </c>
      <c r="F723" s="14">
        <f>118.4146 * CHOOSE(CONTROL!$C$9, $D$9, 100%, $F$9) + CHOOSE(CONTROL!$C$27, 0.0021, 0)</f>
        <v>118.41669999999999</v>
      </c>
      <c r="G723" s="14">
        <f>118.686 * CHOOSE(CONTROL!$C$9, $D$9, 100%, $F$9) + CHOOSE(CONTROL!$C$27, 0.0021, 0)</f>
        <v>118.68810000000001</v>
      </c>
      <c r="H723" s="14">
        <f>118.5512 * CHOOSE(CONTROL!$C$9, $D$9, 100%, $F$9) + CHOOSE(CONTROL!$C$27, 0.0021, 0)</f>
        <v>118.55329999999999</v>
      </c>
      <c r="I723" s="14">
        <f>118.5512 * CHOOSE(CONTROL!$C$9, $D$9, 100%, $F$9) + CHOOSE(CONTROL!$C$27, 0.0021, 0)</f>
        <v>118.55329999999999</v>
      </c>
      <c r="J723" s="14">
        <f>118.5512 * CHOOSE(CONTROL!$C$9, $D$9, 100%, $F$9) + CHOOSE(CONTROL!$C$27, 0.0021, 0)</f>
        <v>118.55329999999999</v>
      </c>
      <c r="K723" s="14">
        <f>118.5512 * CHOOSE(CONTROL!$C$9, $D$9, 100%, $F$9) + CHOOSE(CONTROL!$C$27, 0.0021, 0)</f>
        <v>118.55329999999999</v>
      </c>
      <c r="L723" s="14"/>
    </row>
    <row r="724" spans="1:12" ht="15.75" x14ac:dyDescent="0.25">
      <c r="A724" s="32">
        <v>62975</v>
      </c>
      <c r="B724" s="14">
        <f>122.8994 * CHOOSE(CONTROL!$C$9, $D$9, 100%, $F$9) + CHOOSE(CONTROL!$C$27, 0.0021, 0)</f>
        <v>122.9015</v>
      </c>
      <c r="C724" s="14">
        <f>122.4672 * CHOOSE(CONTROL!$C$9, $D$9, 100%, $F$9) + CHOOSE(CONTROL!$C$27, 0.0021, 0)</f>
        <v>122.4693</v>
      </c>
      <c r="D724" s="14">
        <f>122.4672 * CHOOSE(CONTROL!$C$9, $D$9, 100%, $F$9) + CHOOSE(CONTROL!$C$27, 0.0021, 0)</f>
        <v>122.4693</v>
      </c>
      <c r="E724" s="14">
        <f>122.3305 * CHOOSE(CONTROL!$C$9, $D$9, 100%, $F$9) + CHOOSE(CONTROL!$C$27, 0.0021, 0)</f>
        <v>122.3326</v>
      </c>
      <c r="F724" s="14">
        <f>122.3305 * CHOOSE(CONTROL!$C$9, $D$9, 100%, $F$9) + CHOOSE(CONTROL!$C$27, 0.0021, 0)</f>
        <v>122.3326</v>
      </c>
      <c r="G724" s="14">
        <f>122.6019 * CHOOSE(CONTROL!$C$9, $D$9, 100%, $F$9) + CHOOSE(CONTROL!$C$27, 0.0021, 0)</f>
        <v>122.604</v>
      </c>
      <c r="H724" s="14">
        <f>122.4672 * CHOOSE(CONTROL!$C$9, $D$9, 100%, $F$9) + CHOOSE(CONTROL!$C$27, 0.0021, 0)</f>
        <v>122.4693</v>
      </c>
      <c r="I724" s="14">
        <f>122.4672 * CHOOSE(CONTROL!$C$9, $D$9, 100%, $F$9) + CHOOSE(CONTROL!$C$27, 0.0021, 0)</f>
        <v>122.4693</v>
      </c>
      <c r="J724" s="14">
        <f>122.4672 * CHOOSE(CONTROL!$C$9, $D$9, 100%, $F$9) + CHOOSE(CONTROL!$C$27, 0.0021, 0)</f>
        <v>122.4693</v>
      </c>
      <c r="K724" s="14">
        <f>122.4672 * CHOOSE(CONTROL!$C$9, $D$9, 100%, $F$9) + CHOOSE(CONTROL!$C$27, 0.0021, 0)</f>
        <v>122.4693</v>
      </c>
      <c r="L724" s="14"/>
    </row>
    <row r="725" spans="1:12" ht="15.75" x14ac:dyDescent="0.25">
      <c r="A725" s="32">
        <v>63005</v>
      </c>
      <c r="B725" s="14">
        <f>124.6372 * CHOOSE(CONTROL!$C$9, $D$9, 100%, $F$9) + CHOOSE(CONTROL!$C$27, 0.0021, 0)</f>
        <v>124.63930000000001</v>
      </c>
      <c r="C725" s="14">
        <f>124.205 * CHOOSE(CONTROL!$C$9, $D$9, 100%, $F$9) + CHOOSE(CONTROL!$C$27, 0.0021, 0)</f>
        <v>124.2071</v>
      </c>
      <c r="D725" s="14">
        <f>124.205 * CHOOSE(CONTROL!$C$9, $D$9, 100%, $F$9) + CHOOSE(CONTROL!$C$27, 0.0021, 0)</f>
        <v>124.2071</v>
      </c>
      <c r="E725" s="14">
        <f>124.0683 * CHOOSE(CONTROL!$C$9, $D$9, 100%, $F$9) + CHOOSE(CONTROL!$C$27, 0.0021, 0)</f>
        <v>124.07039999999999</v>
      </c>
      <c r="F725" s="14">
        <f>124.0683 * CHOOSE(CONTROL!$C$9, $D$9, 100%, $F$9) + CHOOSE(CONTROL!$C$27, 0.0021, 0)</f>
        <v>124.07039999999999</v>
      </c>
      <c r="G725" s="14">
        <f>124.3397 * CHOOSE(CONTROL!$C$9, $D$9, 100%, $F$9) + CHOOSE(CONTROL!$C$27, 0.0021, 0)</f>
        <v>124.34179999999999</v>
      </c>
      <c r="H725" s="14">
        <f>124.205 * CHOOSE(CONTROL!$C$9, $D$9, 100%, $F$9) + CHOOSE(CONTROL!$C$27, 0.0021, 0)</f>
        <v>124.2071</v>
      </c>
      <c r="I725" s="14">
        <f>124.205 * CHOOSE(CONTROL!$C$9, $D$9, 100%, $F$9) + CHOOSE(CONTROL!$C$27, 0.0021, 0)</f>
        <v>124.2071</v>
      </c>
      <c r="J725" s="14">
        <f>124.205 * CHOOSE(CONTROL!$C$9, $D$9, 100%, $F$9) + CHOOSE(CONTROL!$C$27, 0.0021, 0)</f>
        <v>124.2071</v>
      </c>
      <c r="K725" s="14">
        <f>124.205 * CHOOSE(CONTROL!$C$9, $D$9, 100%, $F$9) + CHOOSE(CONTROL!$C$27, 0.0021, 0)</f>
        <v>124.2071</v>
      </c>
      <c r="L725" s="14"/>
    </row>
    <row r="726" spans="1:12" ht="15.75" x14ac:dyDescent="0.25">
      <c r="A726" s="32">
        <v>63036</v>
      </c>
      <c r="B726" s="14">
        <f>124.0651 * CHOOSE(CONTROL!$C$9, $D$9, 100%, $F$9) + CHOOSE(CONTROL!$C$27, 0.0021, 0)</f>
        <v>124.0672</v>
      </c>
      <c r="C726" s="14">
        <f>123.6328 * CHOOSE(CONTROL!$C$9, $D$9, 100%, $F$9) + CHOOSE(CONTROL!$C$27, 0.0021, 0)</f>
        <v>123.6349</v>
      </c>
      <c r="D726" s="14">
        <f>123.6328 * CHOOSE(CONTROL!$C$9, $D$9, 100%, $F$9) + CHOOSE(CONTROL!$C$27, 0.0021, 0)</f>
        <v>123.6349</v>
      </c>
      <c r="E726" s="14">
        <f>123.4962 * CHOOSE(CONTROL!$C$9, $D$9, 100%, $F$9) + CHOOSE(CONTROL!$C$27, 0.0021, 0)</f>
        <v>123.4983</v>
      </c>
      <c r="F726" s="14">
        <f>123.4962 * CHOOSE(CONTROL!$C$9, $D$9, 100%, $F$9) + CHOOSE(CONTROL!$C$27, 0.0021, 0)</f>
        <v>123.4983</v>
      </c>
      <c r="G726" s="14">
        <f>123.7675 * CHOOSE(CONTROL!$C$9, $D$9, 100%, $F$9) + CHOOSE(CONTROL!$C$27, 0.0021, 0)</f>
        <v>123.7696</v>
      </c>
      <c r="H726" s="14">
        <f>123.6328 * CHOOSE(CONTROL!$C$9, $D$9, 100%, $F$9) + CHOOSE(CONTROL!$C$27, 0.0021, 0)</f>
        <v>123.6349</v>
      </c>
      <c r="I726" s="14">
        <f>123.6328 * CHOOSE(CONTROL!$C$9, $D$9, 100%, $F$9) + CHOOSE(CONTROL!$C$27, 0.0021, 0)</f>
        <v>123.6349</v>
      </c>
      <c r="J726" s="14">
        <f>123.6328 * CHOOSE(CONTROL!$C$9, $D$9, 100%, $F$9) + CHOOSE(CONTROL!$C$27, 0.0021, 0)</f>
        <v>123.6349</v>
      </c>
      <c r="K726" s="14">
        <f>123.6328 * CHOOSE(CONTROL!$C$9, $D$9, 100%, $F$9) + CHOOSE(CONTROL!$C$27, 0.0021, 0)</f>
        <v>123.6349</v>
      </c>
      <c r="L726" s="14"/>
    </row>
    <row r="727" spans="1:12" ht="15.75" x14ac:dyDescent="0.25">
      <c r="A727" s="32">
        <v>63067</v>
      </c>
      <c r="B727" s="14">
        <f>121.2302 * CHOOSE(CONTROL!$C$9, $D$9, 100%, $F$9) + CHOOSE(CONTROL!$C$27, 0.0021, 0)</f>
        <v>121.2323</v>
      </c>
      <c r="C727" s="14">
        <f>120.798 * CHOOSE(CONTROL!$C$9, $D$9, 100%, $F$9) + CHOOSE(CONTROL!$C$27, 0.0021, 0)</f>
        <v>120.8001</v>
      </c>
      <c r="D727" s="14">
        <f>120.798 * CHOOSE(CONTROL!$C$9, $D$9, 100%, $F$9) + CHOOSE(CONTROL!$C$27, 0.0021, 0)</f>
        <v>120.8001</v>
      </c>
      <c r="E727" s="14">
        <f>120.6613 * CHOOSE(CONTROL!$C$9, $D$9, 100%, $F$9) + CHOOSE(CONTROL!$C$27, 0.0021, 0)</f>
        <v>120.6634</v>
      </c>
      <c r="F727" s="14">
        <f>120.6613 * CHOOSE(CONTROL!$C$9, $D$9, 100%, $F$9) + CHOOSE(CONTROL!$C$27, 0.0021, 0)</f>
        <v>120.6634</v>
      </c>
      <c r="G727" s="14">
        <f>120.9327 * CHOOSE(CONTROL!$C$9, $D$9, 100%, $F$9) + CHOOSE(CONTROL!$C$27, 0.0021, 0)</f>
        <v>120.9348</v>
      </c>
      <c r="H727" s="14">
        <f>120.798 * CHOOSE(CONTROL!$C$9, $D$9, 100%, $F$9) + CHOOSE(CONTROL!$C$27, 0.0021, 0)</f>
        <v>120.8001</v>
      </c>
      <c r="I727" s="14">
        <f>120.798 * CHOOSE(CONTROL!$C$9, $D$9, 100%, $F$9) + CHOOSE(CONTROL!$C$27, 0.0021, 0)</f>
        <v>120.8001</v>
      </c>
      <c r="J727" s="14">
        <f>120.798 * CHOOSE(CONTROL!$C$9, $D$9, 100%, $F$9) + CHOOSE(CONTROL!$C$27, 0.0021, 0)</f>
        <v>120.8001</v>
      </c>
      <c r="K727" s="14">
        <f>120.798 * CHOOSE(CONTROL!$C$9, $D$9, 100%, $F$9) + CHOOSE(CONTROL!$C$27, 0.0021, 0)</f>
        <v>120.8001</v>
      </c>
      <c r="L727" s="14"/>
    </row>
    <row r="728" spans="1:12" ht="15.75" x14ac:dyDescent="0.25">
      <c r="A728" s="32">
        <v>63097</v>
      </c>
      <c r="B728" s="14">
        <f>117.277 * CHOOSE(CONTROL!$C$9, $D$9, 100%, $F$9) + CHOOSE(CONTROL!$C$27, 0.0021, 0)</f>
        <v>117.2791</v>
      </c>
      <c r="C728" s="14">
        <f>116.8447 * CHOOSE(CONTROL!$C$9, $D$9, 100%, $F$9) + CHOOSE(CONTROL!$C$27, 0.0021, 0)</f>
        <v>116.8468</v>
      </c>
      <c r="D728" s="14">
        <f>116.8447 * CHOOSE(CONTROL!$C$9, $D$9, 100%, $F$9) + CHOOSE(CONTROL!$C$27, 0.0021, 0)</f>
        <v>116.8468</v>
      </c>
      <c r="E728" s="14">
        <f>116.7081 * CHOOSE(CONTROL!$C$9, $D$9, 100%, $F$9) + CHOOSE(CONTROL!$C$27, 0.0021, 0)</f>
        <v>116.7102</v>
      </c>
      <c r="F728" s="14">
        <f>116.7081 * CHOOSE(CONTROL!$C$9, $D$9, 100%, $F$9) + CHOOSE(CONTROL!$C$27, 0.0021, 0)</f>
        <v>116.7102</v>
      </c>
      <c r="G728" s="14">
        <f>116.9794 * CHOOSE(CONTROL!$C$9, $D$9, 100%, $F$9) + CHOOSE(CONTROL!$C$27, 0.0021, 0)</f>
        <v>116.9815</v>
      </c>
      <c r="H728" s="14">
        <f>116.8447 * CHOOSE(CONTROL!$C$9, $D$9, 100%, $F$9) + CHOOSE(CONTROL!$C$27, 0.0021, 0)</f>
        <v>116.8468</v>
      </c>
      <c r="I728" s="14">
        <f>116.8447 * CHOOSE(CONTROL!$C$9, $D$9, 100%, $F$9) + CHOOSE(CONTROL!$C$27, 0.0021, 0)</f>
        <v>116.8468</v>
      </c>
      <c r="J728" s="14">
        <f>116.8447 * CHOOSE(CONTROL!$C$9, $D$9, 100%, $F$9) + CHOOSE(CONTROL!$C$27, 0.0021, 0)</f>
        <v>116.8468</v>
      </c>
      <c r="K728" s="14">
        <f>116.8447 * CHOOSE(CONTROL!$C$9, $D$9, 100%, $F$9) + CHOOSE(CONTROL!$C$27, 0.0021, 0)</f>
        <v>116.8468</v>
      </c>
      <c r="L728" s="14"/>
    </row>
    <row r="729" spans="1:12" ht="15.75" x14ac:dyDescent="0.25">
      <c r="A729" s="32">
        <v>63128</v>
      </c>
      <c r="B729" s="14">
        <f>113.3007 * CHOOSE(CONTROL!$C$9, $D$9, 100%, $F$9) + CHOOSE(CONTROL!$C$27, 0.0021, 0)</f>
        <v>113.3028</v>
      </c>
      <c r="C729" s="14">
        <f>112.8684 * CHOOSE(CONTROL!$C$9, $D$9, 100%, $F$9) + CHOOSE(CONTROL!$C$27, 0.0021, 0)</f>
        <v>112.87049999999999</v>
      </c>
      <c r="D729" s="14">
        <f>112.8684 * CHOOSE(CONTROL!$C$9, $D$9, 100%, $F$9) + CHOOSE(CONTROL!$C$27, 0.0021, 0)</f>
        <v>112.87049999999999</v>
      </c>
      <c r="E729" s="14">
        <f>112.7318 * CHOOSE(CONTROL!$C$9, $D$9, 100%, $F$9) + CHOOSE(CONTROL!$C$27, 0.0021, 0)</f>
        <v>112.73390000000001</v>
      </c>
      <c r="F729" s="14">
        <f>112.7318 * CHOOSE(CONTROL!$C$9, $D$9, 100%, $F$9) + CHOOSE(CONTROL!$C$27, 0.0021, 0)</f>
        <v>112.73390000000001</v>
      </c>
      <c r="G729" s="14">
        <f>113.0031 * CHOOSE(CONTROL!$C$9, $D$9, 100%, $F$9) + CHOOSE(CONTROL!$C$27, 0.0021, 0)</f>
        <v>113.0052</v>
      </c>
      <c r="H729" s="14">
        <f>112.8684 * CHOOSE(CONTROL!$C$9, $D$9, 100%, $F$9) + CHOOSE(CONTROL!$C$27, 0.0021, 0)</f>
        <v>112.87049999999999</v>
      </c>
      <c r="I729" s="14">
        <f>112.8684 * CHOOSE(CONTROL!$C$9, $D$9, 100%, $F$9) + CHOOSE(CONTROL!$C$27, 0.0021, 0)</f>
        <v>112.87049999999999</v>
      </c>
      <c r="J729" s="14">
        <f>112.8684 * CHOOSE(CONTROL!$C$9, $D$9, 100%, $F$9) + CHOOSE(CONTROL!$C$27, 0.0021, 0)</f>
        <v>112.87049999999999</v>
      </c>
      <c r="K729" s="14">
        <f>112.8684 * CHOOSE(CONTROL!$C$9, $D$9, 100%, $F$9) + CHOOSE(CONTROL!$C$27, 0.0021, 0)</f>
        <v>112.87049999999999</v>
      </c>
      <c r="L729" s="14"/>
    </row>
    <row r="730" spans="1:12" ht="15.75" x14ac:dyDescent="0.25">
      <c r="A730" s="32">
        <v>63158</v>
      </c>
      <c r="B730" s="14">
        <f>112.5097 * CHOOSE(CONTROL!$C$9, $D$9, 100%, $F$9) + CHOOSE(CONTROL!$C$27, 0.0021, 0)</f>
        <v>112.51179999999999</v>
      </c>
      <c r="C730" s="14">
        <f>112.0775 * CHOOSE(CONTROL!$C$9, $D$9, 100%, $F$9) + CHOOSE(CONTROL!$C$27, 0.0021, 0)</f>
        <v>112.0796</v>
      </c>
      <c r="D730" s="14">
        <f>112.0775 * CHOOSE(CONTROL!$C$9, $D$9, 100%, $F$9) + CHOOSE(CONTROL!$C$27, 0.0021, 0)</f>
        <v>112.0796</v>
      </c>
      <c r="E730" s="14">
        <f>111.9408 * CHOOSE(CONTROL!$C$9, $D$9, 100%, $F$9) + CHOOSE(CONTROL!$C$27, 0.0021, 0)</f>
        <v>111.94289999999999</v>
      </c>
      <c r="F730" s="14">
        <f>111.9408 * CHOOSE(CONTROL!$C$9, $D$9, 100%, $F$9) + CHOOSE(CONTROL!$C$27, 0.0021, 0)</f>
        <v>111.94289999999999</v>
      </c>
      <c r="G730" s="14">
        <f>112.2122 * CHOOSE(CONTROL!$C$9, $D$9, 100%, $F$9) + CHOOSE(CONTROL!$C$27, 0.0021, 0)</f>
        <v>112.21429999999999</v>
      </c>
      <c r="H730" s="14">
        <f>112.0775 * CHOOSE(CONTROL!$C$9, $D$9, 100%, $F$9) + CHOOSE(CONTROL!$C$27, 0.0021, 0)</f>
        <v>112.0796</v>
      </c>
      <c r="I730" s="14">
        <f>112.0775 * CHOOSE(CONTROL!$C$9, $D$9, 100%, $F$9) + CHOOSE(CONTROL!$C$27, 0.0021, 0)</f>
        <v>112.0796</v>
      </c>
      <c r="J730" s="14">
        <f>112.0775 * CHOOSE(CONTROL!$C$9, $D$9, 100%, $F$9) + CHOOSE(CONTROL!$C$27, 0.0021, 0)</f>
        <v>112.0796</v>
      </c>
      <c r="K730" s="14">
        <f>112.0775 * CHOOSE(CONTROL!$C$9, $D$9, 100%, $F$9) + CHOOSE(CONTROL!$C$27, 0.0021, 0)</f>
        <v>112.0796</v>
      </c>
      <c r="L730" s="14"/>
    </row>
    <row r="731" spans="1:12" ht="15.75" x14ac:dyDescent="0.25">
      <c r="A731" s="32">
        <v>63189</v>
      </c>
      <c r="B731" s="14">
        <f>109.239 * CHOOSE(CONTROL!$C$9, $D$9, 100%, $F$9) + CHOOSE(CONTROL!$C$27, 0.0021, 0)</f>
        <v>109.2411</v>
      </c>
      <c r="C731" s="14">
        <f>108.8068 * CHOOSE(CONTROL!$C$9, $D$9, 100%, $F$9) + CHOOSE(CONTROL!$C$27, 0.0021, 0)</f>
        <v>108.80889999999999</v>
      </c>
      <c r="D731" s="14">
        <f>108.8068 * CHOOSE(CONTROL!$C$9, $D$9, 100%, $F$9) + CHOOSE(CONTROL!$C$27, 0.0021, 0)</f>
        <v>108.80889999999999</v>
      </c>
      <c r="E731" s="14">
        <f>108.6701 * CHOOSE(CONTROL!$C$9, $D$9, 100%, $F$9) + CHOOSE(CONTROL!$C$27, 0.0021, 0)</f>
        <v>108.6722</v>
      </c>
      <c r="F731" s="14">
        <f>108.6701 * CHOOSE(CONTROL!$C$9, $D$9, 100%, $F$9) + CHOOSE(CONTROL!$C$27, 0.0021, 0)</f>
        <v>108.6722</v>
      </c>
      <c r="G731" s="14">
        <f>108.9415 * CHOOSE(CONTROL!$C$9, $D$9, 100%, $F$9) + CHOOSE(CONTROL!$C$27, 0.0021, 0)</f>
        <v>108.9436</v>
      </c>
      <c r="H731" s="14">
        <f>108.8068 * CHOOSE(CONTROL!$C$9, $D$9, 100%, $F$9) + CHOOSE(CONTROL!$C$27, 0.0021, 0)</f>
        <v>108.80889999999999</v>
      </c>
      <c r="I731" s="14">
        <f>108.8068 * CHOOSE(CONTROL!$C$9, $D$9, 100%, $F$9) + CHOOSE(CONTROL!$C$27, 0.0021, 0)</f>
        <v>108.80889999999999</v>
      </c>
      <c r="J731" s="14">
        <f>108.8068 * CHOOSE(CONTROL!$C$9, $D$9, 100%, $F$9) + CHOOSE(CONTROL!$C$27, 0.0021, 0)</f>
        <v>108.80889999999999</v>
      </c>
      <c r="K731" s="14">
        <f>108.8068 * CHOOSE(CONTROL!$C$9, $D$9, 100%, $F$9) + CHOOSE(CONTROL!$C$27, 0.0021, 0)</f>
        <v>108.80889999999999</v>
      </c>
      <c r="L731" s="14"/>
    </row>
    <row r="732" spans="1:12" ht="15.75" x14ac:dyDescent="0.25">
      <c r="A732" s="32">
        <v>63220</v>
      </c>
      <c r="B732" s="14">
        <f>108.6022 * CHOOSE(CONTROL!$C$9, $D$9, 100%, $F$9) + CHOOSE(CONTROL!$C$27, 0.0021, 0)</f>
        <v>108.60429999999999</v>
      </c>
      <c r="C732" s="14">
        <f>108.17 * CHOOSE(CONTROL!$C$9, $D$9, 100%, $F$9) + CHOOSE(CONTROL!$C$27, 0.0021, 0)</f>
        <v>108.1721</v>
      </c>
      <c r="D732" s="14">
        <f>108.17 * CHOOSE(CONTROL!$C$9, $D$9, 100%, $F$9) + CHOOSE(CONTROL!$C$27, 0.0021, 0)</f>
        <v>108.1721</v>
      </c>
      <c r="E732" s="14">
        <f>108.0333 * CHOOSE(CONTROL!$C$9, $D$9, 100%, $F$9) + CHOOSE(CONTROL!$C$27, 0.0021, 0)</f>
        <v>108.0354</v>
      </c>
      <c r="F732" s="14">
        <f>108.0333 * CHOOSE(CONTROL!$C$9, $D$9, 100%, $F$9) + CHOOSE(CONTROL!$C$27, 0.0021, 0)</f>
        <v>108.0354</v>
      </c>
      <c r="G732" s="14">
        <f>108.3047 * CHOOSE(CONTROL!$C$9, $D$9, 100%, $F$9) + CHOOSE(CONTROL!$C$27, 0.0021, 0)</f>
        <v>108.3068</v>
      </c>
      <c r="H732" s="14">
        <f>108.17 * CHOOSE(CONTROL!$C$9, $D$9, 100%, $F$9) + CHOOSE(CONTROL!$C$27, 0.0021, 0)</f>
        <v>108.1721</v>
      </c>
      <c r="I732" s="14">
        <f>108.17 * CHOOSE(CONTROL!$C$9, $D$9, 100%, $F$9) + CHOOSE(CONTROL!$C$27, 0.0021, 0)</f>
        <v>108.1721</v>
      </c>
      <c r="J732" s="14">
        <f>108.17 * CHOOSE(CONTROL!$C$9, $D$9, 100%, $F$9) + CHOOSE(CONTROL!$C$27, 0.0021, 0)</f>
        <v>108.1721</v>
      </c>
      <c r="K732" s="14">
        <f>108.17 * CHOOSE(CONTROL!$C$9, $D$9, 100%, $F$9) + CHOOSE(CONTROL!$C$27, 0.0021, 0)</f>
        <v>108.1721</v>
      </c>
      <c r="L732" s="14"/>
    </row>
    <row r="733" spans="1:12" ht="15.75" x14ac:dyDescent="0.25">
      <c r="A733" s="32">
        <v>63248</v>
      </c>
      <c r="B733" s="14">
        <f>108.3067 * CHOOSE(CONTROL!$C$9, $D$9, 100%, $F$9) + CHOOSE(CONTROL!$C$27, 0.0021, 0)</f>
        <v>108.30880000000001</v>
      </c>
      <c r="C733" s="14">
        <f>107.8745 * CHOOSE(CONTROL!$C$9, $D$9, 100%, $F$9) + CHOOSE(CONTROL!$C$27, 0.0021, 0)</f>
        <v>107.8766</v>
      </c>
      <c r="D733" s="14">
        <f>107.8745 * CHOOSE(CONTROL!$C$9, $D$9, 100%, $F$9) + CHOOSE(CONTROL!$C$27, 0.0021, 0)</f>
        <v>107.8766</v>
      </c>
      <c r="E733" s="14">
        <f>107.7378 * CHOOSE(CONTROL!$C$9, $D$9, 100%, $F$9) + CHOOSE(CONTROL!$C$27, 0.0021, 0)</f>
        <v>107.73989999999999</v>
      </c>
      <c r="F733" s="14">
        <f>107.7378 * CHOOSE(CONTROL!$C$9, $D$9, 100%, $F$9) + CHOOSE(CONTROL!$C$27, 0.0021, 0)</f>
        <v>107.73989999999999</v>
      </c>
      <c r="G733" s="14">
        <f>108.0092 * CHOOSE(CONTROL!$C$9, $D$9, 100%, $F$9) + CHOOSE(CONTROL!$C$27, 0.0021, 0)</f>
        <v>108.01130000000001</v>
      </c>
      <c r="H733" s="14">
        <f>107.8745 * CHOOSE(CONTROL!$C$9, $D$9, 100%, $F$9) + CHOOSE(CONTROL!$C$27, 0.0021, 0)</f>
        <v>107.8766</v>
      </c>
      <c r="I733" s="14">
        <f>107.8745 * CHOOSE(CONTROL!$C$9, $D$9, 100%, $F$9) + CHOOSE(CONTROL!$C$27, 0.0021, 0)</f>
        <v>107.8766</v>
      </c>
      <c r="J733" s="14">
        <f>107.8745 * CHOOSE(CONTROL!$C$9, $D$9, 100%, $F$9) + CHOOSE(CONTROL!$C$27, 0.0021, 0)</f>
        <v>107.8766</v>
      </c>
      <c r="K733" s="14">
        <f>107.8745 * CHOOSE(CONTROL!$C$9, $D$9, 100%, $F$9) + CHOOSE(CONTROL!$C$27, 0.0021, 0)</f>
        <v>107.8766</v>
      </c>
      <c r="L733" s="14"/>
    </row>
    <row r="734" spans="1:12" ht="15.75" x14ac:dyDescent="0.25">
      <c r="A734" s="32">
        <v>63279</v>
      </c>
      <c r="B734" s="14">
        <f>113.8943 * CHOOSE(CONTROL!$C$9, $D$9, 100%, $F$9) + CHOOSE(CONTROL!$C$27, 0.0021, 0)</f>
        <v>113.8964</v>
      </c>
      <c r="C734" s="14">
        <f>113.462 * CHOOSE(CONTROL!$C$9, $D$9, 100%, $F$9) + CHOOSE(CONTROL!$C$27, 0.0021, 0)</f>
        <v>113.4641</v>
      </c>
      <c r="D734" s="14">
        <f>113.462 * CHOOSE(CONTROL!$C$9, $D$9, 100%, $F$9) + CHOOSE(CONTROL!$C$27, 0.0021, 0)</f>
        <v>113.4641</v>
      </c>
      <c r="E734" s="14">
        <f>113.3254 * CHOOSE(CONTROL!$C$9, $D$9, 100%, $F$9) + CHOOSE(CONTROL!$C$27, 0.0021, 0)</f>
        <v>113.3275</v>
      </c>
      <c r="F734" s="14">
        <f>113.3254 * CHOOSE(CONTROL!$C$9, $D$9, 100%, $F$9) + CHOOSE(CONTROL!$C$27, 0.0021, 0)</f>
        <v>113.3275</v>
      </c>
      <c r="G734" s="14">
        <f>113.5968 * CHOOSE(CONTROL!$C$9, $D$9, 100%, $F$9) + CHOOSE(CONTROL!$C$27, 0.0021, 0)</f>
        <v>113.5989</v>
      </c>
      <c r="H734" s="14">
        <f>113.462 * CHOOSE(CONTROL!$C$9, $D$9, 100%, $F$9) + CHOOSE(CONTROL!$C$27, 0.0021, 0)</f>
        <v>113.4641</v>
      </c>
      <c r="I734" s="14">
        <f>113.462 * CHOOSE(CONTROL!$C$9, $D$9, 100%, $F$9) + CHOOSE(CONTROL!$C$27, 0.0021, 0)</f>
        <v>113.4641</v>
      </c>
      <c r="J734" s="14">
        <f>113.462 * CHOOSE(CONTROL!$C$9, $D$9, 100%, $F$9) + CHOOSE(CONTROL!$C$27, 0.0021, 0)</f>
        <v>113.4641</v>
      </c>
      <c r="K734" s="14">
        <f>113.462 * CHOOSE(CONTROL!$C$9, $D$9, 100%, $F$9) + CHOOSE(CONTROL!$C$27, 0.0021, 0)</f>
        <v>113.4641</v>
      </c>
      <c r="L734" s="14"/>
    </row>
    <row r="735" spans="1:12" ht="15.75" x14ac:dyDescent="0.25">
      <c r="A735" s="32">
        <v>63309</v>
      </c>
      <c r="B735" s="14">
        <f>121.14 * CHOOSE(CONTROL!$C$9, $D$9, 100%, $F$9) + CHOOSE(CONTROL!$C$27, 0.0021, 0)</f>
        <v>121.1421</v>
      </c>
      <c r="C735" s="14">
        <f>120.7078 * CHOOSE(CONTROL!$C$9, $D$9, 100%, $F$9) + CHOOSE(CONTROL!$C$27, 0.0021, 0)</f>
        <v>120.7099</v>
      </c>
      <c r="D735" s="14">
        <f>120.7078 * CHOOSE(CONTROL!$C$9, $D$9, 100%, $F$9) + CHOOSE(CONTROL!$C$27, 0.0021, 0)</f>
        <v>120.7099</v>
      </c>
      <c r="E735" s="14">
        <f>120.5711 * CHOOSE(CONTROL!$C$9, $D$9, 100%, $F$9) + CHOOSE(CONTROL!$C$27, 0.0021, 0)</f>
        <v>120.5732</v>
      </c>
      <c r="F735" s="14">
        <f>120.5711 * CHOOSE(CONTROL!$C$9, $D$9, 100%, $F$9) + CHOOSE(CONTROL!$C$27, 0.0021, 0)</f>
        <v>120.5732</v>
      </c>
      <c r="G735" s="14">
        <f>120.8425 * CHOOSE(CONTROL!$C$9, $D$9, 100%, $F$9) + CHOOSE(CONTROL!$C$27, 0.0021, 0)</f>
        <v>120.8446</v>
      </c>
      <c r="H735" s="14">
        <f>120.7078 * CHOOSE(CONTROL!$C$9, $D$9, 100%, $F$9) + CHOOSE(CONTROL!$C$27, 0.0021, 0)</f>
        <v>120.7099</v>
      </c>
      <c r="I735" s="14">
        <f>120.7078 * CHOOSE(CONTROL!$C$9, $D$9, 100%, $F$9) + CHOOSE(CONTROL!$C$27, 0.0021, 0)</f>
        <v>120.7099</v>
      </c>
      <c r="J735" s="14">
        <f>120.7078 * CHOOSE(CONTROL!$C$9, $D$9, 100%, $F$9) + CHOOSE(CONTROL!$C$27, 0.0021, 0)</f>
        <v>120.7099</v>
      </c>
      <c r="K735" s="14">
        <f>120.7078 * CHOOSE(CONTROL!$C$9, $D$9, 100%, $F$9) + CHOOSE(CONTROL!$C$27, 0.0021, 0)</f>
        <v>120.7099</v>
      </c>
      <c r="L735" s="14"/>
    </row>
    <row r="736" spans="1:12" ht="15.75" x14ac:dyDescent="0.25">
      <c r="A736" s="32">
        <v>63340</v>
      </c>
      <c r="B736" s="14">
        <f>125.1283 * CHOOSE(CONTROL!$C$9, $D$9, 100%, $F$9) + CHOOSE(CONTROL!$C$27, 0.0021, 0)</f>
        <v>125.13039999999999</v>
      </c>
      <c r="C736" s="14">
        <f>124.6961 * CHOOSE(CONTROL!$C$9, $D$9, 100%, $F$9) + CHOOSE(CONTROL!$C$27, 0.0021, 0)</f>
        <v>124.6982</v>
      </c>
      <c r="D736" s="14">
        <f>124.6961 * CHOOSE(CONTROL!$C$9, $D$9, 100%, $F$9) + CHOOSE(CONTROL!$C$27, 0.0021, 0)</f>
        <v>124.6982</v>
      </c>
      <c r="E736" s="14">
        <f>124.5594 * CHOOSE(CONTROL!$C$9, $D$9, 100%, $F$9) + CHOOSE(CONTROL!$C$27, 0.0021, 0)</f>
        <v>124.5615</v>
      </c>
      <c r="F736" s="14">
        <f>124.5594 * CHOOSE(CONTROL!$C$9, $D$9, 100%, $F$9) + CHOOSE(CONTROL!$C$27, 0.0021, 0)</f>
        <v>124.5615</v>
      </c>
      <c r="G736" s="14">
        <f>124.8308 * CHOOSE(CONTROL!$C$9, $D$9, 100%, $F$9) + CHOOSE(CONTROL!$C$27, 0.0021, 0)</f>
        <v>124.8329</v>
      </c>
      <c r="H736" s="14">
        <f>124.6961 * CHOOSE(CONTROL!$C$9, $D$9, 100%, $F$9) + CHOOSE(CONTROL!$C$27, 0.0021, 0)</f>
        <v>124.6982</v>
      </c>
      <c r="I736" s="14">
        <f>124.6961 * CHOOSE(CONTROL!$C$9, $D$9, 100%, $F$9) + CHOOSE(CONTROL!$C$27, 0.0021, 0)</f>
        <v>124.6982</v>
      </c>
      <c r="J736" s="14">
        <f>124.6961 * CHOOSE(CONTROL!$C$9, $D$9, 100%, $F$9) + CHOOSE(CONTROL!$C$27, 0.0021, 0)</f>
        <v>124.6982</v>
      </c>
      <c r="K736" s="14">
        <f>124.6961 * CHOOSE(CONTROL!$C$9, $D$9, 100%, $F$9) + CHOOSE(CONTROL!$C$27, 0.0021, 0)</f>
        <v>124.6982</v>
      </c>
      <c r="L736" s="14"/>
    </row>
    <row r="737" spans="1:12" ht="15.75" x14ac:dyDescent="0.25">
      <c r="A737" s="32">
        <v>63370</v>
      </c>
      <c r="B737" s="14">
        <f>126.8983 * CHOOSE(CONTROL!$C$9, $D$9, 100%, $F$9) + CHOOSE(CONTROL!$C$27, 0.0021, 0)</f>
        <v>126.9004</v>
      </c>
      <c r="C737" s="14">
        <f>126.466 * CHOOSE(CONTROL!$C$9, $D$9, 100%, $F$9) + CHOOSE(CONTROL!$C$27, 0.0021, 0)</f>
        <v>126.46809999999999</v>
      </c>
      <c r="D737" s="14">
        <f>126.466 * CHOOSE(CONTROL!$C$9, $D$9, 100%, $F$9) + CHOOSE(CONTROL!$C$27, 0.0021, 0)</f>
        <v>126.46809999999999</v>
      </c>
      <c r="E737" s="14">
        <f>126.3294 * CHOOSE(CONTROL!$C$9, $D$9, 100%, $F$9) + CHOOSE(CONTROL!$C$27, 0.0021, 0)</f>
        <v>126.33150000000001</v>
      </c>
      <c r="F737" s="14">
        <f>126.3294 * CHOOSE(CONTROL!$C$9, $D$9, 100%, $F$9) + CHOOSE(CONTROL!$C$27, 0.0021, 0)</f>
        <v>126.33150000000001</v>
      </c>
      <c r="G737" s="14">
        <f>126.6007 * CHOOSE(CONTROL!$C$9, $D$9, 100%, $F$9) + CHOOSE(CONTROL!$C$27, 0.0021, 0)</f>
        <v>126.6028</v>
      </c>
      <c r="H737" s="14">
        <f>126.466 * CHOOSE(CONTROL!$C$9, $D$9, 100%, $F$9) + CHOOSE(CONTROL!$C$27, 0.0021, 0)</f>
        <v>126.46809999999999</v>
      </c>
      <c r="I737" s="14">
        <f>126.466 * CHOOSE(CONTROL!$C$9, $D$9, 100%, $F$9) + CHOOSE(CONTROL!$C$27, 0.0021, 0)</f>
        <v>126.46809999999999</v>
      </c>
      <c r="J737" s="14">
        <f>126.466 * CHOOSE(CONTROL!$C$9, $D$9, 100%, $F$9) + CHOOSE(CONTROL!$C$27, 0.0021, 0)</f>
        <v>126.46809999999999</v>
      </c>
      <c r="K737" s="14">
        <f>126.466 * CHOOSE(CONTROL!$C$9, $D$9, 100%, $F$9) + CHOOSE(CONTROL!$C$27, 0.0021, 0)</f>
        <v>126.46809999999999</v>
      </c>
      <c r="L737" s="14"/>
    </row>
    <row r="738" spans="1:12" ht="15.75" x14ac:dyDescent="0.25">
      <c r="A738" s="32">
        <v>63401</v>
      </c>
      <c r="B738" s="14">
        <f>126.3155 * CHOOSE(CONTROL!$C$9, $D$9, 100%, $F$9) + CHOOSE(CONTROL!$C$27, 0.0021, 0)</f>
        <v>126.3176</v>
      </c>
      <c r="C738" s="14">
        <f>125.8833 * CHOOSE(CONTROL!$C$9, $D$9, 100%, $F$9) + CHOOSE(CONTROL!$C$27, 0.0021, 0)</f>
        <v>125.8854</v>
      </c>
      <c r="D738" s="14">
        <f>125.8833 * CHOOSE(CONTROL!$C$9, $D$9, 100%, $F$9) + CHOOSE(CONTROL!$C$27, 0.0021, 0)</f>
        <v>125.8854</v>
      </c>
      <c r="E738" s="14">
        <f>125.7466 * CHOOSE(CONTROL!$C$9, $D$9, 100%, $F$9) + CHOOSE(CONTROL!$C$27, 0.0021, 0)</f>
        <v>125.7487</v>
      </c>
      <c r="F738" s="14">
        <f>125.7466 * CHOOSE(CONTROL!$C$9, $D$9, 100%, $F$9) + CHOOSE(CONTROL!$C$27, 0.0021, 0)</f>
        <v>125.7487</v>
      </c>
      <c r="G738" s="14">
        <f>126.018 * CHOOSE(CONTROL!$C$9, $D$9, 100%, $F$9) + CHOOSE(CONTROL!$C$27, 0.0021, 0)</f>
        <v>126.0201</v>
      </c>
      <c r="H738" s="14">
        <f>125.8833 * CHOOSE(CONTROL!$C$9, $D$9, 100%, $F$9) + CHOOSE(CONTROL!$C$27, 0.0021, 0)</f>
        <v>125.8854</v>
      </c>
      <c r="I738" s="14">
        <f>125.8833 * CHOOSE(CONTROL!$C$9, $D$9, 100%, $F$9) + CHOOSE(CONTROL!$C$27, 0.0021, 0)</f>
        <v>125.8854</v>
      </c>
      <c r="J738" s="14">
        <f>125.8833 * CHOOSE(CONTROL!$C$9, $D$9, 100%, $F$9) + CHOOSE(CONTROL!$C$27, 0.0021, 0)</f>
        <v>125.8854</v>
      </c>
      <c r="K738" s="14">
        <f>125.8833 * CHOOSE(CONTROL!$C$9, $D$9, 100%, $F$9) + CHOOSE(CONTROL!$C$27, 0.0021, 0)</f>
        <v>125.8854</v>
      </c>
      <c r="L738" s="14"/>
    </row>
    <row r="739" spans="1:12" ht="15.75" x14ac:dyDescent="0.25">
      <c r="A739" s="32">
        <v>63432</v>
      </c>
      <c r="B739" s="14">
        <f>123.4283 * CHOOSE(CONTROL!$C$9, $D$9, 100%, $F$9) + CHOOSE(CONTROL!$C$27, 0.0021, 0)</f>
        <v>123.43039999999999</v>
      </c>
      <c r="C739" s="14">
        <f>122.9961 * CHOOSE(CONTROL!$C$9, $D$9, 100%, $F$9) + CHOOSE(CONTROL!$C$27, 0.0021, 0)</f>
        <v>122.9982</v>
      </c>
      <c r="D739" s="14">
        <f>122.9961 * CHOOSE(CONTROL!$C$9, $D$9, 100%, $F$9) + CHOOSE(CONTROL!$C$27, 0.0021, 0)</f>
        <v>122.9982</v>
      </c>
      <c r="E739" s="14">
        <f>122.8594 * CHOOSE(CONTROL!$C$9, $D$9, 100%, $F$9) + CHOOSE(CONTROL!$C$27, 0.0021, 0)</f>
        <v>122.86149999999999</v>
      </c>
      <c r="F739" s="14">
        <f>122.8594 * CHOOSE(CONTROL!$C$9, $D$9, 100%, $F$9) + CHOOSE(CONTROL!$C$27, 0.0021, 0)</f>
        <v>122.86149999999999</v>
      </c>
      <c r="G739" s="14">
        <f>123.1308 * CHOOSE(CONTROL!$C$9, $D$9, 100%, $F$9) + CHOOSE(CONTROL!$C$27, 0.0021, 0)</f>
        <v>123.13289999999999</v>
      </c>
      <c r="H739" s="14">
        <f>122.9961 * CHOOSE(CONTROL!$C$9, $D$9, 100%, $F$9) + CHOOSE(CONTROL!$C$27, 0.0021, 0)</f>
        <v>122.9982</v>
      </c>
      <c r="I739" s="14">
        <f>122.9961 * CHOOSE(CONTROL!$C$9, $D$9, 100%, $F$9) + CHOOSE(CONTROL!$C$27, 0.0021, 0)</f>
        <v>122.9982</v>
      </c>
      <c r="J739" s="14">
        <f>122.9961 * CHOOSE(CONTROL!$C$9, $D$9, 100%, $F$9) + CHOOSE(CONTROL!$C$27, 0.0021, 0)</f>
        <v>122.9982</v>
      </c>
      <c r="K739" s="14">
        <f>122.9961 * CHOOSE(CONTROL!$C$9, $D$9, 100%, $F$9) + CHOOSE(CONTROL!$C$27, 0.0021, 0)</f>
        <v>122.9982</v>
      </c>
      <c r="L739" s="14"/>
    </row>
    <row r="740" spans="1:12" ht="15.75" x14ac:dyDescent="0.25">
      <c r="A740" s="32">
        <v>63462</v>
      </c>
      <c r="B740" s="14">
        <f>119.402 * CHOOSE(CONTROL!$C$9, $D$9, 100%, $F$9) + CHOOSE(CONTROL!$C$27, 0.0021, 0)</f>
        <v>119.4041</v>
      </c>
      <c r="C740" s="14">
        <f>118.9697 * CHOOSE(CONTROL!$C$9, $D$9, 100%, $F$9) + CHOOSE(CONTROL!$C$27, 0.0021, 0)</f>
        <v>118.9718</v>
      </c>
      <c r="D740" s="14">
        <f>118.9697 * CHOOSE(CONTROL!$C$9, $D$9, 100%, $F$9) + CHOOSE(CONTROL!$C$27, 0.0021, 0)</f>
        <v>118.9718</v>
      </c>
      <c r="E740" s="14">
        <f>118.8331 * CHOOSE(CONTROL!$C$9, $D$9, 100%, $F$9) + CHOOSE(CONTROL!$C$27, 0.0021, 0)</f>
        <v>118.8352</v>
      </c>
      <c r="F740" s="14">
        <f>118.8331 * CHOOSE(CONTROL!$C$9, $D$9, 100%, $F$9) + CHOOSE(CONTROL!$C$27, 0.0021, 0)</f>
        <v>118.8352</v>
      </c>
      <c r="G740" s="14">
        <f>119.1044 * CHOOSE(CONTROL!$C$9, $D$9, 100%, $F$9) + CHOOSE(CONTROL!$C$27, 0.0021, 0)</f>
        <v>119.1065</v>
      </c>
      <c r="H740" s="14">
        <f>118.9697 * CHOOSE(CONTROL!$C$9, $D$9, 100%, $F$9) + CHOOSE(CONTROL!$C$27, 0.0021, 0)</f>
        <v>118.9718</v>
      </c>
      <c r="I740" s="14">
        <f>118.9697 * CHOOSE(CONTROL!$C$9, $D$9, 100%, $F$9) + CHOOSE(CONTROL!$C$27, 0.0021, 0)</f>
        <v>118.9718</v>
      </c>
      <c r="J740" s="14">
        <f>118.9697 * CHOOSE(CONTROL!$C$9, $D$9, 100%, $F$9) + CHOOSE(CONTROL!$C$27, 0.0021, 0)</f>
        <v>118.9718</v>
      </c>
      <c r="K740" s="14">
        <f>118.9697 * CHOOSE(CONTROL!$C$9, $D$9, 100%, $F$9) + CHOOSE(CONTROL!$C$27, 0.0021, 0)</f>
        <v>118.9718</v>
      </c>
      <c r="L740" s="14"/>
    </row>
    <row r="741" spans="1:12" ht="15.75" x14ac:dyDescent="0.25">
      <c r="A741" s="32">
        <v>63493</v>
      </c>
      <c r="B741" s="14">
        <f>115.3522 * CHOOSE(CONTROL!$C$9, $D$9, 100%, $F$9) + CHOOSE(CONTROL!$C$27, 0.0021, 0)</f>
        <v>115.35429999999999</v>
      </c>
      <c r="C741" s="14">
        <f>114.9199 * CHOOSE(CONTROL!$C$9, $D$9, 100%, $F$9) + CHOOSE(CONTROL!$C$27, 0.0021, 0)</f>
        <v>114.922</v>
      </c>
      <c r="D741" s="14">
        <f>114.9199 * CHOOSE(CONTROL!$C$9, $D$9, 100%, $F$9) + CHOOSE(CONTROL!$C$27, 0.0021, 0)</f>
        <v>114.922</v>
      </c>
      <c r="E741" s="14">
        <f>114.7833 * CHOOSE(CONTROL!$C$9, $D$9, 100%, $F$9) + CHOOSE(CONTROL!$C$27, 0.0021, 0)</f>
        <v>114.7854</v>
      </c>
      <c r="F741" s="14">
        <f>114.7833 * CHOOSE(CONTROL!$C$9, $D$9, 100%, $F$9) + CHOOSE(CONTROL!$C$27, 0.0021, 0)</f>
        <v>114.7854</v>
      </c>
      <c r="G741" s="14">
        <f>115.0547 * CHOOSE(CONTROL!$C$9, $D$9, 100%, $F$9) + CHOOSE(CONTROL!$C$27, 0.0021, 0)</f>
        <v>115.0568</v>
      </c>
      <c r="H741" s="14">
        <f>114.9199 * CHOOSE(CONTROL!$C$9, $D$9, 100%, $F$9) + CHOOSE(CONTROL!$C$27, 0.0021, 0)</f>
        <v>114.922</v>
      </c>
      <c r="I741" s="14">
        <f>114.9199 * CHOOSE(CONTROL!$C$9, $D$9, 100%, $F$9) + CHOOSE(CONTROL!$C$27, 0.0021, 0)</f>
        <v>114.922</v>
      </c>
      <c r="J741" s="14">
        <f>114.9199 * CHOOSE(CONTROL!$C$9, $D$9, 100%, $F$9) + CHOOSE(CONTROL!$C$27, 0.0021, 0)</f>
        <v>114.922</v>
      </c>
      <c r="K741" s="14">
        <f>114.9199 * CHOOSE(CONTROL!$C$9, $D$9, 100%, $F$9) + CHOOSE(CONTROL!$C$27, 0.0021, 0)</f>
        <v>114.922</v>
      </c>
      <c r="L741" s="14"/>
    </row>
    <row r="742" spans="1:12" ht="15.75" x14ac:dyDescent="0.25">
      <c r="A742" s="32">
        <v>63523</v>
      </c>
      <c r="B742" s="14">
        <f>114.5466 * CHOOSE(CONTROL!$C$9, $D$9, 100%, $F$9) + CHOOSE(CONTROL!$C$27, 0.0021, 0)</f>
        <v>114.5487</v>
      </c>
      <c r="C742" s="14">
        <f>114.1144 * CHOOSE(CONTROL!$C$9, $D$9, 100%, $F$9) + CHOOSE(CONTROL!$C$27, 0.0021, 0)</f>
        <v>114.1165</v>
      </c>
      <c r="D742" s="14">
        <f>114.1144 * CHOOSE(CONTROL!$C$9, $D$9, 100%, $F$9) + CHOOSE(CONTROL!$C$27, 0.0021, 0)</f>
        <v>114.1165</v>
      </c>
      <c r="E742" s="14">
        <f>113.9777 * CHOOSE(CONTROL!$C$9, $D$9, 100%, $F$9) + CHOOSE(CONTROL!$C$27, 0.0021, 0)</f>
        <v>113.9798</v>
      </c>
      <c r="F742" s="14">
        <f>113.9777 * CHOOSE(CONTROL!$C$9, $D$9, 100%, $F$9) + CHOOSE(CONTROL!$C$27, 0.0021, 0)</f>
        <v>113.9798</v>
      </c>
      <c r="G742" s="14">
        <f>114.2491 * CHOOSE(CONTROL!$C$9, $D$9, 100%, $F$9) + CHOOSE(CONTROL!$C$27, 0.0021, 0)</f>
        <v>114.2512</v>
      </c>
      <c r="H742" s="14">
        <f>114.1144 * CHOOSE(CONTROL!$C$9, $D$9, 100%, $F$9) + CHOOSE(CONTROL!$C$27, 0.0021, 0)</f>
        <v>114.1165</v>
      </c>
      <c r="I742" s="14">
        <f>114.1144 * CHOOSE(CONTROL!$C$9, $D$9, 100%, $F$9) + CHOOSE(CONTROL!$C$27, 0.0021, 0)</f>
        <v>114.1165</v>
      </c>
      <c r="J742" s="14">
        <f>114.1144 * CHOOSE(CONTROL!$C$9, $D$9, 100%, $F$9) + CHOOSE(CONTROL!$C$27, 0.0021, 0)</f>
        <v>114.1165</v>
      </c>
      <c r="K742" s="14">
        <f>114.1144 * CHOOSE(CONTROL!$C$9, $D$9, 100%, $F$9) + CHOOSE(CONTROL!$C$27, 0.0021, 0)</f>
        <v>114.1165</v>
      </c>
      <c r="L742" s="14"/>
    </row>
    <row r="743" spans="1:12" ht="15.75" x14ac:dyDescent="0.25">
      <c r="A743" s="32">
        <v>63554</v>
      </c>
      <c r="B743" s="14">
        <f>111.2155 * CHOOSE(CONTROL!$C$9, $D$9, 100%, $F$9) + CHOOSE(CONTROL!$C$27, 0.0021, 0)</f>
        <v>111.2176</v>
      </c>
      <c r="C743" s="14">
        <f>110.7832 * CHOOSE(CONTROL!$C$9, $D$9, 100%, $F$9) + CHOOSE(CONTROL!$C$27, 0.0021, 0)</f>
        <v>110.78529999999999</v>
      </c>
      <c r="D743" s="14">
        <f>110.7832 * CHOOSE(CONTROL!$C$9, $D$9, 100%, $F$9) + CHOOSE(CONTROL!$C$27, 0.0021, 0)</f>
        <v>110.78529999999999</v>
      </c>
      <c r="E743" s="14">
        <f>110.6465 * CHOOSE(CONTROL!$C$9, $D$9, 100%, $F$9) + CHOOSE(CONTROL!$C$27, 0.0021, 0)</f>
        <v>110.6486</v>
      </c>
      <c r="F743" s="14">
        <f>110.6465 * CHOOSE(CONTROL!$C$9, $D$9, 100%, $F$9) + CHOOSE(CONTROL!$C$27, 0.0021, 0)</f>
        <v>110.6486</v>
      </c>
      <c r="G743" s="14">
        <f>110.9179 * CHOOSE(CONTROL!$C$9, $D$9, 100%, $F$9) + CHOOSE(CONTROL!$C$27, 0.0021, 0)</f>
        <v>110.92</v>
      </c>
      <c r="H743" s="14">
        <f>110.7832 * CHOOSE(CONTROL!$C$9, $D$9, 100%, $F$9) + CHOOSE(CONTROL!$C$27, 0.0021, 0)</f>
        <v>110.78529999999999</v>
      </c>
      <c r="I743" s="14">
        <f>110.7832 * CHOOSE(CONTROL!$C$9, $D$9, 100%, $F$9) + CHOOSE(CONTROL!$C$27, 0.0021, 0)</f>
        <v>110.78529999999999</v>
      </c>
      <c r="J743" s="14">
        <f>110.7832 * CHOOSE(CONTROL!$C$9, $D$9, 100%, $F$9) + CHOOSE(CONTROL!$C$27, 0.0021, 0)</f>
        <v>110.78529999999999</v>
      </c>
      <c r="K743" s="14">
        <f>110.7832 * CHOOSE(CONTROL!$C$9, $D$9, 100%, $F$9) + CHOOSE(CONTROL!$C$27, 0.0021, 0)</f>
        <v>110.78529999999999</v>
      </c>
      <c r="L743" s="14"/>
    </row>
    <row r="744" spans="1:12" ht="15.75" x14ac:dyDescent="0.25">
      <c r="A744" s="32">
        <v>63585</v>
      </c>
      <c r="B744" s="14">
        <f>110.5669 * CHOOSE(CONTROL!$C$9, $D$9, 100%, $F$9) + CHOOSE(CONTROL!$C$27, 0.0021, 0)</f>
        <v>110.569</v>
      </c>
      <c r="C744" s="14">
        <f>110.1347 * CHOOSE(CONTROL!$C$9, $D$9, 100%, $F$9) + CHOOSE(CONTROL!$C$27, 0.0021, 0)</f>
        <v>110.13679999999999</v>
      </c>
      <c r="D744" s="14">
        <f>110.1347 * CHOOSE(CONTROL!$C$9, $D$9, 100%, $F$9) + CHOOSE(CONTROL!$C$27, 0.0021, 0)</f>
        <v>110.13679999999999</v>
      </c>
      <c r="E744" s="14">
        <f>109.998 * CHOOSE(CONTROL!$C$9, $D$9, 100%, $F$9) + CHOOSE(CONTROL!$C$27, 0.0021, 0)</f>
        <v>110.0001</v>
      </c>
      <c r="F744" s="14">
        <f>109.998 * CHOOSE(CONTROL!$C$9, $D$9, 100%, $F$9) + CHOOSE(CONTROL!$C$27, 0.0021, 0)</f>
        <v>110.0001</v>
      </c>
      <c r="G744" s="14">
        <f>110.2694 * CHOOSE(CONTROL!$C$9, $D$9, 100%, $F$9) + CHOOSE(CONTROL!$C$27, 0.0021, 0)</f>
        <v>110.2715</v>
      </c>
      <c r="H744" s="14">
        <f>110.1347 * CHOOSE(CONTROL!$C$9, $D$9, 100%, $F$9) + CHOOSE(CONTROL!$C$27, 0.0021, 0)</f>
        <v>110.13679999999999</v>
      </c>
      <c r="I744" s="14">
        <f>110.1347 * CHOOSE(CONTROL!$C$9, $D$9, 100%, $F$9) + CHOOSE(CONTROL!$C$27, 0.0021, 0)</f>
        <v>110.13679999999999</v>
      </c>
      <c r="J744" s="14">
        <f>110.1347 * CHOOSE(CONTROL!$C$9, $D$9, 100%, $F$9) + CHOOSE(CONTROL!$C$27, 0.0021, 0)</f>
        <v>110.13679999999999</v>
      </c>
      <c r="K744" s="14">
        <f>110.1347 * CHOOSE(CONTROL!$C$9, $D$9, 100%, $F$9) + CHOOSE(CONTROL!$C$27, 0.0021, 0)</f>
        <v>110.13679999999999</v>
      </c>
      <c r="L744" s="14"/>
    </row>
    <row r="745" spans="1:12" ht="15.75" x14ac:dyDescent="0.25">
      <c r="A745" s="32">
        <v>63613</v>
      </c>
      <c r="B745" s="14">
        <f>110.2659 * CHOOSE(CONTROL!$C$9, $D$9, 100%, $F$9) + CHOOSE(CONTROL!$C$27, 0.0021, 0)</f>
        <v>110.268</v>
      </c>
      <c r="C745" s="14">
        <f>109.8337 * CHOOSE(CONTROL!$C$9, $D$9, 100%, $F$9) + CHOOSE(CONTROL!$C$27, 0.0021, 0)</f>
        <v>109.83579999999999</v>
      </c>
      <c r="D745" s="14">
        <f>109.8337 * CHOOSE(CONTROL!$C$9, $D$9, 100%, $F$9) + CHOOSE(CONTROL!$C$27, 0.0021, 0)</f>
        <v>109.83579999999999</v>
      </c>
      <c r="E745" s="14">
        <f>109.697 * CHOOSE(CONTROL!$C$9, $D$9, 100%, $F$9) + CHOOSE(CONTROL!$C$27, 0.0021, 0)</f>
        <v>109.6991</v>
      </c>
      <c r="F745" s="14">
        <f>109.697 * CHOOSE(CONTROL!$C$9, $D$9, 100%, $F$9) + CHOOSE(CONTROL!$C$27, 0.0021, 0)</f>
        <v>109.6991</v>
      </c>
      <c r="G745" s="14">
        <f>109.9684 * CHOOSE(CONTROL!$C$9, $D$9, 100%, $F$9) + CHOOSE(CONTROL!$C$27, 0.0021, 0)</f>
        <v>109.9705</v>
      </c>
      <c r="H745" s="14">
        <f>109.8337 * CHOOSE(CONTROL!$C$9, $D$9, 100%, $F$9) + CHOOSE(CONTROL!$C$27, 0.0021, 0)</f>
        <v>109.83579999999999</v>
      </c>
      <c r="I745" s="14">
        <f>109.8337 * CHOOSE(CONTROL!$C$9, $D$9, 100%, $F$9) + CHOOSE(CONTROL!$C$27, 0.0021, 0)</f>
        <v>109.83579999999999</v>
      </c>
      <c r="J745" s="14">
        <f>109.8337 * CHOOSE(CONTROL!$C$9, $D$9, 100%, $F$9) + CHOOSE(CONTROL!$C$27, 0.0021, 0)</f>
        <v>109.83579999999999</v>
      </c>
      <c r="K745" s="14">
        <f>109.8337 * CHOOSE(CONTROL!$C$9, $D$9, 100%, $F$9) + CHOOSE(CONTROL!$C$27, 0.0021, 0)</f>
        <v>109.83579999999999</v>
      </c>
      <c r="L745" s="14"/>
    </row>
    <row r="746" spans="1:12" ht="15.75" x14ac:dyDescent="0.25">
      <c r="A746" s="32">
        <v>63644</v>
      </c>
      <c r="B746" s="14">
        <f>115.9568 * CHOOSE(CONTROL!$C$9, $D$9, 100%, $F$9) + CHOOSE(CONTROL!$C$27, 0.0021, 0)</f>
        <v>115.9589</v>
      </c>
      <c r="C746" s="14">
        <f>115.5245 * CHOOSE(CONTROL!$C$9, $D$9, 100%, $F$9) + CHOOSE(CONTROL!$C$27, 0.0021, 0)</f>
        <v>115.5266</v>
      </c>
      <c r="D746" s="14">
        <f>115.5245 * CHOOSE(CONTROL!$C$9, $D$9, 100%, $F$9) + CHOOSE(CONTROL!$C$27, 0.0021, 0)</f>
        <v>115.5266</v>
      </c>
      <c r="E746" s="14">
        <f>115.3879 * CHOOSE(CONTROL!$C$9, $D$9, 100%, $F$9) + CHOOSE(CONTROL!$C$27, 0.0021, 0)</f>
        <v>115.39</v>
      </c>
      <c r="F746" s="14">
        <f>115.3879 * CHOOSE(CONTROL!$C$9, $D$9, 100%, $F$9) + CHOOSE(CONTROL!$C$27, 0.0021, 0)</f>
        <v>115.39</v>
      </c>
      <c r="G746" s="14">
        <f>115.6592 * CHOOSE(CONTROL!$C$9, $D$9, 100%, $F$9) + CHOOSE(CONTROL!$C$27, 0.0021, 0)</f>
        <v>115.6613</v>
      </c>
      <c r="H746" s="14">
        <f>115.5245 * CHOOSE(CONTROL!$C$9, $D$9, 100%, $F$9) + CHOOSE(CONTROL!$C$27, 0.0021, 0)</f>
        <v>115.5266</v>
      </c>
      <c r="I746" s="14">
        <f>115.5245 * CHOOSE(CONTROL!$C$9, $D$9, 100%, $F$9) + CHOOSE(CONTROL!$C$27, 0.0021, 0)</f>
        <v>115.5266</v>
      </c>
      <c r="J746" s="14">
        <f>115.5245 * CHOOSE(CONTROL!$C$9, $D$9, 100%, $F$9) + CHOOSE(CONTROL!$C$27, 0.0021, 0)</f>
        <v>115.5266</v>
      </c>
      <c r="K746" s="14">
        <f>115.5245 * CHOOSE(CONTROL!$C$9, $D$9, 100%, $F$9) + CHOOSE(CONTROL!$C$27, 0.0021, 0)</f>
        <v>115.5266</v>
      </c>
      <c r="L746" s="14"/>
    </row>
    <row r="747" spans="1:12" ht="15.75" x14ac:dyDescent="0.25">
      <c r="A747" s="32">
        <v>63674</v>
      </c>
      <c r="B747" s="14">
        <f>123.3364 * CHOOSE(CONTROL!$C$9, $D$9, 100%, $F$9) + CHOOSE(CONTROL!$C$27, 0.0021, 0)</f>
        <v>123.3385</v>
      </c>
      <c r="C747" s="14">
        <f>122.9042 * CHOOSE(CONTROL!$C$9, $D$9, 100%, $F$9) + CHOOSE(CONTROL!$C$27, 0.0021, 0)</f>
        <v>122.9063</v>
      </c>
      <c r="D747" s="14">
        <f>122.9042 * CHOOSE(CONTROL!$C$9, $D$9, 100%, $F$9) + CHOOSE(CONTROL!$C$27, 0.0021, 0)</f>
        <v>122.9063</v>
      </c>
      <c r="E747" s="14">
        <f>122.7675 * CHOOSE(CONTROL!$C$9, $D$9, 100%, $F$9) + CHOOSE(CONTROL!$C$27, 0.0021, 0)</f>
        <v>122.7696</v>
      </c>
      <c r="F747" s="14">
        <f>122.7675 * CHOOSE(CONTROL!$C$9, $D$9, 100%, $F$9) + CHOOSE(CONTROL!$C$27, 0.0021, 0)</f>
        <v>122.7696</v>
      </c>
      <c r="G747" s="14">
        <f>123.0389 * CHOOSE(CONTROL!$C$9, $D$9, 100%, $F$9) + CHOOSE(CONTROL!$C$27, 0.0021, 0)</f>
        <v>123.041</v>
      </c>
      <c r="H747" s="14">
        <f>122.9042 * CHOOSE(CONTROL!$C$9, $D$9, 100%, $F$9) + CHOOSE(CONTROL!$C$27, 0.0021, 0)</f>
        <v>122.9063</v>
      </c>
      <c r="I747" s="14">
        <f>122.9042 * CHOOSE(CONTROL!$C$9, $D$9, 100%, $F$9) + CHOOSE(CONTROL!$C$27, 0.0021, 0)</f>
        <v>122.9063</v>
      </c>
      <c r="J747" s="14">
        <f>122.9042 * CHOOSE(CONTROL!$C$9, $D$9, 100%, $F$9) + CHOOSE(CONTROL!$C$27, 0.0021, 0)</f>
        <v>122.9063</v>
      </c>
      <c r="K747" s="14">
        <f>122.9042 * CHOOSE(CONTROL!$C$9, $D$9, 100%, $F$9) + CHOOSE(CONTROL!$C$27, 0.0021, 0)</f>
        <v>122.9063</v>
      </c>
      <c r="L747" s="14"/>
    </row>
    <row r="748" spans="1:12" ht="15.75" x14ac:dyDescent="0.25">
      <c r="A748" s="32">
        <v>63705</v>
      </c>
      <c r="B748" s="14">
        <f>127.3984 * CHOOSE(CONTROL!$C$9, $D$9, 100%, $F$9) + CHOOSE(CONTROL!$C$27, 0.0021, 0)</f>
        <v>127.40049999999999</v>
      </c>
      <c r="C748" s="14">
        <f>126.9662 * CHOOSE(CONTROL!$C$9, $D$9, 100%, $F$9) + CHOOSE(CONTROL!$C$27, 0.0021, 0)</f>
        <v>126.9683</v>
      </c>
      <c r="D748" s="14">
        <f>126.9662 * CHOOSE(CONTROL!$C$9, $D$9, 100%, $F$9) + CHOOSE(CONTROL!$C$27, 0.0021, 0)</f>
        <v>126.9683</v>
      </c>
      <c r="E748" s="14">
        <f>126.8295 * CHOOSE(CONTROL!$C$9, $D$9, 100%, $F$9) + CHOOSE(CONTROL!$C$27, 0.0021, 0)</f>
        <v>126.83159999999999</v>
      </c>
      <c r="F748" s="14">
        <f>126.8295 * CHOOSE(CONTROL!$C$9, $D$9, 100%, $F$9) + CHOOSE(CONTROL!$C$27, 0.0021, 0)</f>
        <v>126.83159999999999</v>
      </c>
      <c r="G748" s="14">
        <f>127.1009 * CHOOSE(CONTROL!$C$9, $D$9, 100%, $F$9) + CHOOSE(CONTROL!$C$27, 0.0021, 0)</f>
        <v>127.10299999999999</v>
      </c>
      <c r="H748" s="14">
        <f>126.9662 * CHOOSE(CONTROL!$C$9, $D$9, 100%, $F$9) + CHOOSE(CONTROL!$C$27, 0.0021, 0)</f>
        <v>126.9683</v>
      </c>
      <c r="I748" s="14">
        <f>126.9662 * CHOOSE(CONTROL!$C$9, $D$9, 100%, $F$9) + CHOOSE(CONTROL!$C$27, 0.0021, 0)</f>
        <v>126.9683</v>
      </c>
      <c r="J748" s="14">
        <f>126.9662 * CHOOSE(CONTROL!$C$9, $D$9, 100%, $F$9) + CHOOSE(CONTROL!$C$27, 0.0021, 0)</f>
        <v>126.9683</v>
      </c>
      <c r="K748" s="14">
        <f>126.9662 * CHOOSE(CONTROL!$C$9, $D$9, 100%, $F$9) + CHOOSE(CONTROL!$C$27, 0.0021, 0)</f>
        <v>126.9683</v>
      </c>
      <c r="L748" s="14"/>
    </row>
    <row r="749" spans="1:12" ht="15.75" x14ac:dyDescent="0.25">
      <c r="A749" s="32">
        <v>63735</v>
      </c>
      <c r="B749" s="14">
        <f>129.2011 * CHOOSE(CONTROL!$C$9, $D$9, 100%, $F$9) + CHOOSE(CONTROL!$C$27, 0.0021, 0)</f>
        <v>129.20320000000001</v>
      </c>
      <c r="C749" s="14">
        <f>128.7688 * CHOOSE(CONTROL!$C$9, $D$9, 100%, $F$9) + CHOOSE(CONTROL!$C$27, 0.0021, 0)</f>
        <v>128.77090000000001</v>
      </c>
      <c r="D749" s="14">
        <f>128.7688 * CHOOSE(CONTROL!$C$9, $D$9, 100%, $F$9) + CHOOSE(CONTROL!$C$27, 0.0021, 0)</f>
        <v>128.77090000000001</v>
      </c>
      <c r="E749" s="14">
        <f>128.6322 * CHOOSE(CONTROL!$C$9, $D$9, 100%, $F$9) + CHOOSE(CONTROL!$C$27, 0.0021, 0)</f>
        <v>128.63430000000002</v>
      </c>
      <c r="F749" s="14">
        <f>128.6322 * CHOOSE(CONTROL!$C$9, $D$9, 100%, $F$9) + CHOOSE(CONTROL!$C$27, 0.0021, 0)</f>
        <v>128.63430000000002</v>
      </c>
      <c r="G749" s="14">
        <f>128.9035 * CHOOSE(CONTROL!$C$9, $D$9, 100%, $F$9) + CHOOSE(CONTROL!$C$27, 0.0021, 0)</f>
        <v>128.90560000000002</v>
      </c>
      <c r="H749" s="14">
        <f>128.7688 * CHOOSE(CONTROL!$C$9, $D$9, 100%, $F$9) + CHOOSE(CONTROL!$C$27, 0.0021, 0)</f>
        <v>128.77090000000001</v>
      </c>
      <c r="I749" s="14">
        <f>128.7688 * CHOOSE(CONTROL!$C$9, $D$9, 100%, $F$9) + CHOOSE(CONTROL!$C$27, 0.0021, 0)</f>
        <v>128.77090000000001</v>
      </c>
      <c r="J749" s="14">
        <f>128.7688 * CHOOSE(CONTROL!$C$9, $D$9, 100%, $F$9) + CHOOSE(CONTROL!$C$27, 0.0021, 0)</f>
        <v>128.77090000000001</v>
      </c>
      <c r="K749" s="14">
        <f>128.7688 * CHOOSE(CONTROL!$C$9, $D$9, 100%, $F$9) + CHOOSE(CONTROL!$C$27, 0.0021, 0)</f>
        <v>128.77090000000001</v>
      </c>
      <c r="L749" s="14"/>
    </row>
    <row r="750" spans="1:12" ht="15.75" x14ac:dyDescent="0.25">
      <c r="A750" s="32">
        <v>63766</v>
      </c>
      <c r="B750" s="14">
        <f>128.6076 * CHOOSE(CONTROL!$C$9, $D$9, 100%, $F$9) + CHOOSE(CONTROL!$C$27, 0.0021, 0)</f>
        <v>128.6097</v>
      </c>
      <c r="C750" s="14">
        <f>128.1753 * CHOOSE(CONTROL!$C$9, $D$9, 100%, $F$9) + CHOOSE(CONTROL!$C$27, 0.0021, 0)</f>
        <v>128.17740000000001</v>
      </c>
      <c r="D750" s="14">
        <f>128.1753 * CHOOSE(CONTROL!$C$9, $D$9, 100%, $F$9) + CHOOSE(CONTROL!$C$27, 0.0021, 0)</f>
        <v>128.17740000000001</v>
      </c>
      <c r="E750" s="14">
        <f>128.0387 * CHOOSE(CONTROL!$C$9, $D$9, 100%, $F$9) + CHOOSE(CONTROL!$C$27, 0.0021, 0)</f>
        <v>128.04080000000002</v>
      </c>
      <c r="F750" s="14">
        <f>128.0387 * CHOOSE(CONTROL!$C$9, $D$9, 100%, $F$9) + CHOOSE(CONTROL!$C$27, 0.0021, 0)</f>
        <v>128.04080000000002</v>
      </c>
      <c r="G750" s="14">
        <f>128.31 * CHOOSE(CONTROL!$C$9, $D$9, 100%, $F$9) + CHOOSE(CONTROL!$C$27, 0.0021, 0)</f>
        <v>128.31210000000002</v>
      </c>
      <c r="H750" s="14">
        <f>128.1753 * CHOOSE(CONTROL!$C$9, $D$9, 100%, $F$9) + CHOOSE(CONTROL!$C$27, 0.0021, 0)</f>
        <v>128.17740000000001</v>
      </c>
      <c r="I750" s="14">
        <f>128.1753 * CHOOSE(CONTROL!$C$9, $D$9, 100%, $F$9) + CHOOSE(CONTROL!$C$27, 0.0021, 0)</f>
        <v>128.17740000000001</v>
      </c>
      <c r="J750" s="14">
        <f>128.1753 * CHOOSE(CONTROL!$C$9, $D$9, 100%, $F$9) + CHOOSE(CONTROL!$C$27, 0.0021, 0)</f>
        <v>128.17740000000001</v>
      </c>
      <c r="K750" s="14">
        <f>128.1753 * CHOOSE(CONTROL!$C$9, $D$9, 100%, $F$9) + CHOOSE(CONTROL!$C$27, 0.0021, 0)</f>
        <v>128.17740000000001</v>
      </c>
      <c r="L750" s="14"/>
    </row>
    <row r="751" spans="1:12" ht="15.75" x14ac:dyDescent="0.25">
      <c r="A751" s="32">
        <v>63797</v>
      </c>
      <c r="B751" s="14">
        <f>125.667 * CHOOSE(CONTROL!$C$9, $D$9, 100%, $F$9) + CHOOSE(CONTROL!$C$27, 0.0021, 0)</f>
        <v>125.6691</v>
      </c>
      <c r="C751" s="14">
        <f>125.2347 * CHOOSE(CONTROL!$C$9, $D$9, 100%, $F$9) + CHOOSE(CONTROL!$C$27, 0.0021, 0)</f>
        <v>125.2368</v>
      </c>
      <c r="D751" s="14">
        <f>125.2347 * CHOOSE(CONTROL!$C$9, $D$9, 100%, $F$9) + CHOOSE(CONTROL!$C$27, 0.0021, 0)</f>
        <v>125.2368</v>
      </c>
      <c r="E751" s="14">
        <f>125.0981 * CHOOSE(CONTROL!$C$9, $D$9, 100%, $F$9) + CHOOSE(CONTROL!$C$27, 0.0021, 0)</f>
        <v>125.1002</v>
      </c>
      <c r="F751" s="14">
        <f>125.0981 * CHOOSE(CONTROL!$C$9, $D$9, 100%, $F$9) + CHOOSE(CONTROL!$C$27, 0.0021, 0)</f>
        <v>125.1002</v>
      </c>
      <c r="G751" s="14">
        <f>125.3695 * CHOOSE(CONTROL!$C$9, $D$9, 100%, $F$9) + CHOOSE(CONTROL!$C$27, 0.0021, 0)</f>
        <v>125.3716</v>
      </c>
      <c r="H751" s="14">
        <f>125.2347 * CHOOSE(CONTROL!$C$9, $D$9, 100%, $F$9) + CHOOSE(CONTROL!$C$27, 0.0021, 0)</f>
        <v>125.2368</v>
      </c>
      <c r="I751" s="14">
        <f>125.2347 * CHOOSE(CONTROL!$C$9, $D$9, 100%, $F$9) + CHOOSE(CONTROL!$C$27, 0.0021, 0)</f>
        <v>125.2368</v>
      </c>
      <c r="J751" s="14">
        <f>125.2347 * CHOOSE(CONTROL!$C$9, $D$9, 100%, $F$9) + CHOOSE(CONTROL!$C$27, 0.0021, 0)</f>
        <v>125.2368</v>
      </c>
      <c r="K751" s="14">
        <f>125.2347 * CHOOSE(CONTROL!$C$9, $D$9, 100%, $F$9) + CHOOSE(CONTROL!$C$27, 0.0021, 0)</f>
        <v>125.2368</v>
      </c>
      <c r="L751" s="14"/>
    </row>
    <row r="752" spans="1:12" ht="15.75" x14ac:dyDescent="0.25">
      <c r="A752" s="32">
        <v>63827</v>
      </c>
      <c r="B752" s="14">
        <f>121.5662 * CHOOSE(CONTROL!$C$9, $D$9, 100%, $F$9) + CHOOSE(CONTROL!$C$27, 0.0021, 0)</f>
        <v>121.56829999999999</v>
      </c>
      <c r="C752" s="14">
        <f>121.134 * CHOOSE(CONTROL!$C$9, $D$9, 100%, $F$9) + CHOOSE(CONTROL!$C$27, 0.0021, 0)</f>
        <v>121.1361</v>
      </c>
      <c r="D752" s="14">
        <f>121.134 * CHOOSE(CONTROL!$C$9, $D$9, 100%, $F$9) + CHOOSE(CONTROL!$C$27, 0.0021, 0)</f>
        <v>121.1361</v>
      </c>
      <c r="E752" s="14">
        <f>120.9973 * CHOOSE(CONTROL!$C$9, $D$9, 100%, $F$9) + CHOOSE(CONTROL!$C$27, 0.0021, 0)</f>
        <v>120.99939999999999</v>
      </c>
      <c r="F752" s="14">
        <f>120.9973 * CHOOSE(CONTROL!$C$9, $D$9, 100%, $F$9) + CHOOSE(CONTROL!$C$27, 0.0021, 0)</f>
        <v>120.99939999999999</v>
      </c>
      <c r="G752" s="14">
        <f>121.2687 * CHOOSE(CONTROL!$C$9, $D$9, 100%, $F$9) + CHOOSE(CONTROL!$C$27, 0.0021, 0)</f>
        <v>121.27079999999999</v>
      </c>
      <c r="H752" s="14">
        <f>121.134 * CHOOSE(CONTROL!$C$9, $D$9, 100%, $F$9) + CHOOSE(CONTROL!$C$27, 0.0021, 0)</f>
        <v>121.1361</v>
      </c>
      <c r="I752" s="14">
        <f>121.134 * CHOOSE(CONTROL!$C$9, $D$9, 100%, $F$9) + CHOOSE(CONTROL!$C$27, 0.0021, 0)</f>
        <v>121.1361</v>
      </c>
      <c r="J752" s="14">
        <f>121.134 * CHOOSE(CONTROL!$C$9, $D$9, 100%, $F$9) + CHOOSE(CONTROL!$C$27, 0.0021, 0)</f>
        <v>121.1361</v>
      </c>
      <c r="K752" s="14">
        <f>121.134 * CHOOSE(CONTROL!$C$9, $D$9, 100%, $F$9) + CHOOSE(CONTROL!$C$27, 0.0021, 0)</f>
        <v>121.1361</v>
      </c>
      <c r="L752" s="14"/>
    </row>
    <row r="753" spans="1:12" ht="15.75" x14ac:dyDescent="0.25">
      <c r="A753" s="32">
        <v>63858</v>
      </c>
      <c r="B753" s="14">
        <f>117.4416 * CHOOSE(CONTROL!$C$9, $D$9, 100%, $F$9) + CHOOSE(CONTROL!$C$27, 0.0021, 0)</f>
        <v>117.44369999999999</v>
      </c>
      <c r="C753" s="14">
        <f>117.0094 * CHOOSE(CONTROL!$C$9, $D$9, 100%, $F$9) + CHOOSE(CONTROL!$C$27, 0.0021, 0)</f>
        <v>117.0115</v>
      </c>
      <c r="D753" s="14">
        <f>117.0094 * CHOOSE(CONTROL!$C$9, $D$9, 100%, $F$9) + CHOOSE(CONTROL!$C$27, 0.0021, 0)</f>
        <v>117.0115</v>
      </c>
      <c r="E753" s="14">
        <f>116.8727 * CHOOSE(CONTROL!$C$9, $D$9, 100%, $F$9) + CHOOSE(CONTROL!$C$27, 0.0021, 0)</f>
        <v>116.87479999999999</v>
      </c>
      <c r="F753" s="14">
        <f>116.8727 * CHOOSE(CONTROL!$C$9, $D$9, 100%, $F$9) + CHOOSE(CONTROL!$C$27, 0.0021, 0)</f>
        <v>116.87479999999999</v>
      </c>
      <c r="G753" s="14">
        <f>117.1441 * CHOOSE(CONTROL!$C$9, $D$9, 100%, $F$9) + CHOOSE(CONTROL!$C$27, 0.0021, 0)</f>
        <v>117.14619999999999</v>
      </c>
      <c r="H753" s="14">
        <f>117.0094 * CHOOSE(CONTROL!$C$9, $D$9, 100%, $F$9) + CHOOSE(CONTROL!$C$27, 0.0021, 0)</f>
        <v>117.0115</v>
      </c>
      <c r="I753" s="14">
        <f>117.0094 * CHOOSE(CONTROL!$C$9, $D$9, 100%, $F$9) + CHOOSE(CONTROL!$C$27, 0.0021, 0)</f>
        <v>117.0115</v>
      </c>
      <c r="J753" s="14">
        <f>117.0094 * CHOOSE(CONTROL!$C$9, $D$9, 100%, $F$9) + CHOOSE(CONTROL!$C$27, 0.0021, 0)</f>
        <v>117.0115</v>
      </c>
      <c r="K753" s="14">
        <f>117.0094 * CHOOSE(CONTROL!$C$9, $D$9, 100%, $F$9) + CHOOSE(CONTROL!$C$27, 0.0021, 0)</f>
        <v>117.0115</v>
      </c>
      <c r="L753" s="14"/>
    </row>
    <row r="754" spans="1:12" ht="15.75" x14ac:dyDescent="0.25">
      <c r="A754" s="32">
        <v>63888</v>
      </c>
      <c r="B754" s="14">
        <f>116.6212 * CHOOSE(CONTROL!$C$9, $D$9, 100%, $F$9) + CHOOSE(CONTROL!$C$27, 0.0021, 0)</f>
        <v>116.6233</v>
      </c>
      <c r="C754" s="14">
        <f>116.1889 * CHOOSE(CONTROL!$C$9, $D$9, 100%, $F$9) + CHOOSE(CONTROL!$C$27, 0.0021, 0)</f>
        <v>116.191</v>
      </c>
      <c r="D754" s="14">
        <f>116.1889 * CHOOSE(CONTROL!$C$9, $D$9, 100%, $F$9) + CHOOSE(CONTROL!$C$27, 0.0021, 0)</f>
        <v>116.191</v>
      </c>
      <c r="E754" s="14">
        <f>116.0522 * CHOOSE(CONTROL!$C$9, $D$9, 100%, $F$9) + CHOOSE(CONTROL!$C$27, 0.0021, 0)</f>
        <v>116.0543</v>
      </c>
      <c r="F754" s="14">
        <f>116.0522 * CHOOSE(CONTROL!$C$9, $D$9, 100%, $F$9) + CHOOSE(CONTROL!$C$27, 0.0021, 0)</f>
        <v>116.0543</v>
      </c>
      <c r="G754" s="14">
        <f>116.3236 * CHOOSE(CONTROL!$C$9, $D$9, 100%, $F$9) + CHOOSE(CONTROL!$C$27, 0.0021, 0)</f>
        <v>116.3257</v>
      </c>
      <c r="H754" s="14">
        <f>116.1889 * CHOOSE(CONTROL!$C$9, $D$9, 100%, $F$9) + CHOOSE(CONTROL!$C$27, 0.0021, 0)</f>
        <v>116.191</v>
      </c>
      <c r="I754" s="14">
        <f>116.1889 * CHOOSE(CONTROL!$C$9, $D$9, 100%, $F$9) + CHOOSE(CONTROL!$C$27, 0.0021, 0)</f>
        <v>116.191</v>
      </c>
      <c r="J754" s="14">
        <f>116.1889 * CHOOSE(CONTROL!$C$9, $D$9, 100%, $F$9) + CHOOSE(CONTROL!$C$27, 0.0021, 0)</f>
        <v>116.191</v>
      </c>
      <c r="K754" s="14">
        <f>116.1889 * CHOOSE(CONTROL!$C$9, $D$9, 100%, $F$9) + CHOOSE(CONTROL!$C$27, 0.0021, 0)</f>
        <v>116.191</v>
      </c>
      <c r="L754" s="14"/>
    </row>
    <row r="755" spans="1:12" ht="15.75" x14ac:dyDescent="0.25">
      <c r="A755" s="32">
        <v>63919</v>
      </c>
      <c r="B755" s="14">
        <f>113.2284 * CHOOSE(CONTROL!$C$9, $D$9, 100%, $F$9) + CHOOSE(CONTROL!$C$27, 0.0021, 0)</f>
        <v>113.23049999999999</v>
      </c>
      <c r="C755" s="14">
        <f>112.7962 * CHOOSE(CONTROL!$C$9, $D$9, 100%, $F$9) + CHOOSE(CONTROL!$C$27, 0.0021, 0)</f>
        <v>112.7983</v>
      </c>
      <c r="D755" s="14">
        <f>112.7962 * CHOOSE(CONTROL!$C$9, $D$9, 100%, $F$9) + CHOOSE(CONTROL!$C$27, 0.0021, 0)</f>
        <v>112.7983</v>
      </c>
      <c r="E755" s="14">
        <f>112.6595 * CHOOSE(CONTROL!$C$9, $D$9, 100%, $F$9) + CHOOSE(CONTROL!$C$27, 0.0021, 0)</f>
        <v>112.66159999999999</v>
      </c>
      <c r="F755" s="14">
        <f>112.6595 * CHOOSE(CONTROL!$C$9, $D$9, 100%, $F$9) + CHOOSE(CONTROL!$C$27, 0.0021, 0)</f>
        <v>112.66159999999999</v>
      </c>
      <c r="G755" s="14">
        <f>112.9309 * CHOOSE(CONTROL!$C$9, $D$9, 100%, $F$9) + CHOOSE(CONTROL!$C$27, 0.0021, 0)</f>
        <v>112.93299999999999</v>
      </c>
      <c r="H755" s="14">
        <f>112.7962 * CHOOSE(CONTROL!$C$9, $D$9, 100%, $F$9) + CHOOSE(CONTROL!$C$27, 0.0021, 0)</f>
        <v>112.7983</v>
      </c>
      <c r="I755" s="14">
        <f>112.7962 * CHOOSE(CONTROL!$C$9, $D$9, 100%, $F$9) + CHOOSE(CONTROL!$C$27, 0.0021, 0)</f>
        <v>112.7983</v>
      </c>
      <c r="J755" s="14">
        <f>112.7962 * CHOOSE(CONTROL!$C$9, $D$9, 100%, $F$9) + CHOOSE(CONTROL!$C$27, 0.0021, 0)</f>
        <v>112.7983</v>
      </c>
      <c r="K755" s="14">
        <f>112.7962 * CHOOSE(CONTROL!$C$9, $D$9, 100%, $F$9) + CHOOSE(CONTROL!$C$27, 0.0021, 0)</f>
        <v>112.7983</v>
      </c>
      <c r="L755" s="14"/>
    </row>
    <row r="756" spans="1:12" ht="15.75" x14ac:dyDescent="0.25">
      <c r="A756" s="32">
        <v>63950</v>
      </c>
      <c r="B756" s="14">
        <f>112.5679 * CHOOSE(CONTROL!$C$9, $D$9, 100%, $F$9) + CHOOSE(CONTROL!$C$27, 0.0021, 0)</f>
        <v>112.57</v>
      </c>
      <c r="C756" s="14">
        <f>112.1357 * CHOOSE(CONTROL!$C$9, $D$9, 100%, $F$9) + CHOOSE(CONTROL!$C$27, 0.0021, 0)</f>
        <v>112.1378</v>
      </c>
      <c r="D756" s="14">
        <f>112.1357 * CHOOSE(CONTROL!$C$9, $D$9, 100%, $F$9) + CHOOSE(CONTROL!$C$27, 0.0021, 0)</f>
        <v>112.1378</v>
      </c>
      <c r="E756" s="14">
        <f>111.999 * CHOOSE(CONTROL!$C$9, $D$9, 100%, $F$9) + CHOOSE(CONTROL!$C$27, 0.0021, 0)</f>
        <v>112.00109999999999</v>
      </c>
      <c r="F756" s="14">
        <f>111.999 * CHOOSE(CONTROL!$C$9, $D$9, 100%, $F$9) + CHOOSE(CONTROL!$C$27, 0.0021, 0)</f>
        <v>112.00109999999999</v>
      </c>
      <c r="G756" s="14">
        <f>112.2704 * CHOOSE(CONTROL!$C$9, $D$9, 100%, $F$9) + CHOOSE(CONTROL!$C$27, 0.0021, 0)</f>
        <v>112.27249999999999</v>
      </c>
      <c r="H756" s="14">
        <f>112.1357 * CHOOSE(CONTROL!$C$9, $D$9, 100%, $F$9) + CHOOSE(CONTROL!$C$27, 0.0021, 0)</f>
        <v>112.1378</v>
      </c>
      <c r="I756" s="14">
        <f>112.1357 * CHOOSE(CONTROL!$C$9, $D$9, 100%, $F$9) + CHOOSE(CONTROL!$C$27, 0.0021, 0)</f>
        <v>112.1378</v>
      </c>
      <c r="J756" s="14">
        <f>112.1357 * CHOOSE(CONTROL!$C$9, $D$9, 100%, $F$9) + CHOOSE(CONTROL!$C$27, 0.0021, 0)</f>
        <v>112.1378</v>
      </c>
      <c r="K756" s="14">
        <f>112.1357 * CHOOSE(CONTROL!$C$9, $D$9, 100%, $F$9) + CHOOSE(CONTROL!$C$27, 0.0021, 0)</f>
        <v>112.1378</v>
      </c>
      <c r="L756" s="14"/>
    </row>
    <row r="757" spans="1:12" ht="15.75" x14ac:dyDescent="0.25">
      <c r="A757" s="32">
        <v>63978</v>
      </c>
      <c r="B757" s="14">
        <f>112.2614 * CHOOSE(CONTROL!$C$9, $D$9, 100%, $F$9) + CHOOSE(CONTROL!$C$27, 0.0021, 0)</f>
        <v>112.26349999999999</v>
      </c>
      <c r="C757" s="14">
        <f>111.8291 * CHOOSE(CONTROL!$C$9, $D$9, 100%, $F$9) + CHOOSE(CONTROL!$C$27, 0.0021, 0)</f>
        <v>111.8312</v>
      </c>
      <c r="D757" s="14">
        <f>111.8291 * CHOOSE(CONTROL!$C$9, $D$9, 100%, $F$9) + CHOOSE(CONTROL!$C$27, 0.0021, 0)</f>
        <v>111.8312</v>
      </c>
      <c r="E757" s="14">
        <f>111.6925 * CHOOSE(CONTROL!$C$9, $D$9, 100%, $F$9) + CHOOSE(CONTROL!$C$27, 0.0021, 0)</f>
        <v>111.69459999999999</v>
      </c>
      <c r="F757" s="14">
        <f>111.6925 * CHOOSE(CONTROL!$C$9, $D$9, 100%, $F$9) + CHOOSE(CONTROL!$C$27, 0.0021, 0)</f>
        <v>111.69459999999999</v>
      </c>
      <c r="G757" s="14">
        <f>111.9638 * CHOOSE(CONTROL!$C$9, $D$9, 100%, $F$9) + CHOOSE(CONTROL!$C$27, 0.0021, 0)</f>
        <v>111.9659</v>
      </c>
      <c r="H757" s="14">
        <f>111.8291 * CHOOSE(CONTROL!$C$9, $D$9, 100%, $F$9) + CHOOSE(CONTROL!$C$27, 0.0021, 0)</f>
        <v>111.8312</v>
      </c>
      <c r="I757" s="14">
        <f>111.8291 * CHOOSE(CONTROL!$C$9, $D$9, 100%, $F$9) + CHOOSE(CONTROL!$C$27, 0.0021, 0)</f>
        <v>111.8312</v>
      </c>
      <c r="J757" s="14">
        <f>111.8291 * CHOOSE(CONTROL!$C$9, $D$9, 100%, $F$9) + CHOOSE(CONTROL!$C$27, 0.0021, 0)</f>
        <v>111.8312</v>
      </c>
      <c r="K757" s="14">
        <f>111.8291 * CHOOSE(CONTROL!$C$9, $D$9, 100%, $F$9) + CHOOSE(CONTROL!$C$27, 0.0021, 0)</f>
        <v>111.8312</v>
      </c>
      <c r="L757" s="14"/>
    </row>
    <row r="758" spans="1:12" ht="15.75" x14ac:dyDescent="0.25">
      <c r="A758" s="32">
        <v>64009</v>
      </c>
      <c r="B758" s="14">
        <f>118.0574 * CHOOSE(CONTROL!$C$9, $D$9, 100%, $F$9) + CHOOSE(CONTROL!$C$27, 0.0021, 0)</f>
        <v>118.0595</v>
      </c>
      <c r="C758" s="14">
        <f>117.6251 * CHOOSE(CONTROL!$C$9, $D$9, 100%, $F$9) + CHOOSE(CONTROL!$C$27, 0.0021, 0)</f>
        <v>117.6272</v>
      </c>
      <c r="D758" s="14">
        <f>117.6251 * CHOOSE(CONTROL!$C$9, $D$9, 100%, $F$9) + CHOOSE(CONTROL!$C$27, 0.0021, 0)</f>
        <v>117.6272</v>
      </c>
      <c r="E758" s="14">
        <f>117.4885 * CHOOSE(CONTROL!$C$9, $D$9, 100%, $F$9) + CHOOSE(CONTROL!$C$27, 0.0021, 0)</f>
        <v>117.4906</v>
      </c>
      <c r="F758" s="14">
        <f>117.4885 * CHOOSE(CONTROL!$C$9, $D$9, 100%, $F$9) + CHOOSE(CONTROL!$C$27, 0.0021, 0)</f>
        <v>117.4906</v>
      </c>
      <c r="G758" s="14">
        <f>117.7599 * CHOOSE(CONTROL!$C$9, $D$9, 100%, $F$9) + CHOOSE(CONTROL!$C$27, 0.0021, 0)</f>
        <v>117.762</v>
      </c>
      <c r="H758" s="14">
        <f>117.6251 * CHOOSE(CONTROL!$C$9, $D$9, 100%, $F$9) + CHOOSE(CONTROL!$C$27, 0.0021, 0)</f>
        <v>117.6272</v>
      </c>
      <c r="I758" s="14">
        <f>117.6251 * CHOOSE(CONTROL!$C$9, $D$9, 100%, $F$9) + CHOOSE(CONTROL!$C$27, 0.0021, 0)</f>
        <v>117.6272</v>
      </c>
      <c r="J758" s="14">
        <f>117.6251 * CHOOSE(CONTROL!$C$9, $D$9, 100%, $F$9) + CHOOSE(CONTROL!$C$27, 0.0021, 0)</f>
        <v>117.6272</v>
      </c>
      <c r="K758" s="14">
        <f>117.6251 * CHOOSE(CONTROL!$C$9, $D$9, 100%, $F$9) + CHOOSE(CONTROL!$C$27, 0.0021, 0)</f>
        <v>117.6272</v>
      </c>
      <c r="L758" s="14"/>
    </row>
    <row r="759" spans="1:12" ht="15.75" x14ac:dyDescent="0.25">
      <c r="A759" s="32">
        <v>64039</v>
      </c>
      <c r="B759" s="14">
        <f>125.5734 * CHOOSE(CONTROL!$C$9, $D$9, 100%, $F$9) + CHOOSE(CONTROL!$C$27, 0.0021, 0)</f>
        <v>125.57550000000001</v>
      </c>
      <c r="C759" s="14">
        <f>125.1412 * CHOOSE(CONTROL!$C$9, $D$9, 100%, $F$9) + CHOOSE(CONTROL!$C$27, 0.0021, 0)</f>
        <v>125.1433</v>
      </c>
      <c r="D759" s="14">
        <f>125.1412 * CHOOSE(CONTROL!$C$9, $D$9, 100%, $F$9) + CHOOSE(CONTROL!$C$27, 0.0021, 0)</f>
        <v>125.1433</v>
      </c>
      <c r="E759" s="14">
        <f>125.0045 * CHOOSE(CONTROL!$C$9, $D$9, 100%, $F$9) + CHOOSE(CONTROL!$C$27, 0.0021, 0)</f>
        <v>125.00659999999999</v>
      </c>
      <c r="F759" s="14">
        <f>125.0045 * CHOOSE(CONTROL!$C$9, $D$9, 100%, $F$9) + CHOOSE(CONTROL!$C$27, 0.0021, 0)</f>
        <v>125.00659999999999</v>
      </c>
      <c r="G759" s="14">
        <f>125.2759 * CHOOSE(CONTROL!$C$9, $D$9, 100%, $F$9) + CHOOSE(CONTROL!$C$27, 0.0021, 0)</f>
        <v>125.27799999999999</v>
      </c>
      <c r="H759" s="14">
        <f>125.1412 * CHOOSE(CONTROL!$C$9, $D$9, 100%, $F$9) + CHOOSE(CONTROL!$C$27, 0.0021, 0)</f>
        <v>125.1433</v>
      </c>
      <c r="I759" s="14">
        <f>125.1412 * CHOOSE(CONTROL!$C$9, $D$9, 100%, $F$9) + CHOOSE(CONTROL!$C$27, 0.0021, 0)</f>
        <v>125.1433</v>
      </c>
      <c r="J759" s="14">
        <f>125.1412 * CHOOSE(CONTROL!$C$9, $D$9, 100%, $F$9) + CHOOSE(CONTROL!$C$27, 0.0021, 0)</f>
        <v>125.1433</v>
      </c>
      <c r="K759" s="14">
        <f>125.1412 * CHOOSE(CONTROL!$C$9, $D$9, 100%, $F$9) + CHOOSE(CONTROL!$C$27, 0.0021, 0)</f>
        <v>125.1433</v>
      </c>
      <c r="L759" s="14"/>
    </row>
    <row r="760" spans="1:12" ht="15.75" x14ac:dyDescent="0.25">
      <c r="A760" s="32">
        <v>64070</v>
      </c>
      <c r="B760" s="14">
        <f>129.7105 * CHOOSE(CONTROL!$C$9, $D$9, 100%, $F$9) + CHOOSE(CONTROL!$C$27, 0.0021, 0)</f>
        <v>129.71260000000001</v>
      </c>
      <c r="C760" s="14">
        <f>129.2782 * CHOOSE(CONTROL!$C$9, $D$9, 100%, $F$9) + CHOOSE(CONTROL!$C$27, 0.0021, 0)</f>
        <v>129.28030000000001</v>
      </c>
      <c r="D760" s="14">
        <f>129.2782 * CHOOSE(CONTROL!$C$9, $D$9, 100%, $F$9) + CHOOSE(CONTROL!$C$27, 0.0021, 0)</f>
        <v>129.28030000000001</v>
      </c>
      <c r="E760" s="14">
        <f>129.1416 * CHOOSE(CONTROL!$C$9, $D$9, 100%, $F$9) + CHOOSE(CONTROL!$C$27, 0.0021, 0)</f>
        <v>129.14370000000002</v>
      </c>
      <c r="F760" s="14">
        <f>129.1416 * CHOOSE(CONTROL!$C$9, $D$9, 100%, $F$9) + CHOOSE(CONTROL!$C$27, 0.0021, 0)</f>
        <v>129.14370000000002</v>
      </c>
      <c r="G760" s="14">
        <f>129.413 * CHOOSE(CONTROL!$C$9, $D$9, 100%, $F$9) + CHOOSE(CONTROL!$C$27, 0.0021, 0)</f>
        <v>129.41510000000002</v>
      </c>
      <c r="H760" s="14">
        <f>129.2782 * CHOOSE(CONTROL!$C$9, $D$9, 100%, $F$9) + CHOOSE(CONTROL!$C$27, 0.0021, 0)</f>
        <v>129.28030000000001</v>
      </c>
      <c r="I760" s="14">
        <f>129.2782 * CHOOSE(CONTROL!$C$9, $D$9, 100%, $F$9) + CHOOSE(CONTROL!$C$27, 0.0021, 0)</f>
        <v>129.28030000000001</v>
      </c>
      <c r="J760" s="14">
        <f>129.2782 * CHOOSE(CONTROL!$C$9, $D$9, 100%, $F$9) + CHOOSE(CONTROL!$C$27, 0.0021, 0)</f>
        <v>129.28030000000001</v>
      </c>
      <c r="K760" s="14">
        <f>129.2782 * CHOOSE(CONTROL!$C$9, $D$9, 100%, $F$9) + CHOOSE(CONTROL!$C$27, 0.0021, 0)</f>
        <v>129.28030000000001</v>
      </c>
      <c r="L760" s="14"/>
    </row>
    <row r="761" spans="1:12" ht="15.75" x14ac:dyDescent="0.25">
      <c r="A761" s="32">
        <v>64100</v>
      </c>
      <c r="B761" s="14">
        <f>131.5464 * CHOOSE(CONTROL!$C$9, $D$9, 100%, $F$9) + CHOOSE(CONTROL!$C$27, 0.0021, 0)</f>
        <v>131.54850000000002</v>
      </c>
      <c r="C761" s="14">
        <f>131.1142 * CHOOSE(CONTROL!$C$9, $D$9, 100%, $F$9) + CHOOSE(CONTROL!$C$27, 0.0021, 0)</f>
        <v>131.11630000000002</v>
      </c>
      <c r="D761" s="14">
        <f>131.1142 * CHOOSE(CONTROL!$C$9, $D$9, 100%, $F$9) + CHOOSE(CONTROL!$C$27, 0.0021, 0)</f>
        <v>131.11630000000002</v>
      </c>
      <c r="E761" s="14">
        <f>130.9775 * CHOOSE(CONTROL!$C$9, $D$9, 100%, $F$9) + CHOOSE(CONTROL!$C$27, 0.0021, 0)</f>
        <v>130.9796</v>
      </c>
      <c r="F761" s="14">
        <f>130.9775 * CHOOSE(CONTROL!$C$9, $D$9, 100%, $F$9) + CHOOSE(CONTROL!$C$27, 0.0021, 0)</f>
        <v>130.9796</v>
      </c>
      <c r="G761" s="14">
        <f>131.2489 * CHOOSE(CONTROL!$C$9, $D$9, 100%, $F$9) + CHOOSE(CONTROL!$C$27, 0.0021, 0)</f>
        <v>131.251</v>
      </c>
      <c r="H761" s="14">
        <f>131.1142 * CHOOSE(CONTROL!$C$9, $D$9, 100%, $F$9) + CHOOSE(CONTROL!$C$27, 0.0021, 0)</f>
        <v>131.11630000000002</v>
      </c>
      <c r="I761" s="14">
        <f>131.1142 * CHOOSE(CONTROL!$C$9, $D$9, 100%, $F$9) + CHOOSE(CONTROL!$C$27, 0.0021, 0)</f>
        <v>131.11630000000002</v>
      </c>
      <c r="J761" s="14">
        <f>131.1142 * CHOOSE(CONTROL!$C$9, $D$9, 100%, $F$9) + CHOOSE(CONTROL!$C$27, 0.0021, 0)</f>
        <v>131.11630000000002</v>
      </c>
      <c r="K761" s="14">
        <f>131.1142 * CHOOSE(CONTROL!$C$9, $D$9, 100%, $F$9) + CHOOSE(CONTROL!$C$27, 0.0021, 0)</f>
        <v>131.11630000000002</v>
      </c>
      <c r="L761" s="14"/>
    </row>
    <row r="762" spans="1:12" ht="15.75" x14ac:dyDescent="0.25">
      <c r="A762" s="32">
        <v>64131</v>
      </c>
      <c r="B762" s="14">
        <f>130.942 * CHOOSE(CONTROL!$C$9, $D$9, 100%, $F$9) + CHOOSE(CONTROL!$C$27, 0.0021, 0)</f>
        <v>130.94410000000002</v>
      </c>
      <c r="C762" s="14">
        <f>130.5097 * CHOOSE(CONTROL!$C$9, $D$9, 100%, $F$9) + CHOOSE(CONTROL!$C$27, 0.0021, 0)</f>
        <v>130.51180000000002</v>
      </c>
      <c r="D762" s="14">
        <f>130.5097 * CHOOSE(CONTROL!$C$9, $D$9, 100%, $F$9) + CHOOSE(CONTROL!$C$27, 0.0021, 0)</f>
        <v>130.51180000000002</v>
      </c>
      <c r="E762" s="14">
        <f>130.3731 * CHOOSE(CONTROL!$C$9, $D$9, 100%, $F$9) + CHOOSE(CONTROL!$C$27, 0.0021, 0)</f>
        <v>130.37520000000001</v>
      </c>
      <c r="F762" s="14">
        <f>130.3731 * CHOOSE(CONTROL!$C$9, $D$9, 100%, $F$9) + CHOOSE(CONTROL!$C$27, 0.0021, 0)</f>
        <v>130.37520000000001</v>
      </c>
      <c r="G762" s="14">
        <f>130.6444 * CHOOSE(CONTROL!$C$9, $D$9, 100%, $F$9) + CHOOSE(CONTROL!$C$27, 0.0021, 0)</f>
        <v>130.6465</v>
      </c>
      <c r="H762" s="14">
        <f>130.5097 * CHOOSE(CONTROL!$C$9, $D$9, 100%, $F$9) + CHOOSE(CONTROL!$C$27, 0.0021, 0)</f>
        <v>130.51180000000002</v>
      </c>
      <c r="I762" s="14">
        <f>130.5097 * CHOOSE(CONTROL!$C$9, $D$9, 100%, $F$9) + CHOOSE(CONTROL!$C$27, 0.0021, 0)</f>
        <v>130.51180000000002</v>
      </c>
      <c r="J762" s="14">
        <f>130.5097 * CHOOSE(CONTROL!$C$9, $D$9, 100%, $F$9) + CHOOSE(CONTROL!$C$27, 0.0021, 0)</f>
        <v>130.51180000000002</v>
      </c>
      <c r="K762" s="14">
        <f>130.5097 * CHOOSE(CONTROL!$C$9, $D$9, 100%, $F$9) + CHOOSE(CONTROL!$C$27, 0.0021, 0)</f>
        <v>130.51180000000002</v>
      </c>
      <c r="L762" s="14"/>
    </row>
    <row r="763" spans="1:12" ht="15.75" x14ac:dyDescent="0.25">
      <c r="A763" s="32">
        <v>64162</v>
      </c>
      <c r="B763" s="14">
        <f>127.947 * CHOOSE(CONTROL!$C$9, $D$9, 100%, $F$9) + CHOOSE(CONTROL!$C$27, 0.0021, 0)</f>
        <v>127.9491</v>
      </c>
      <c r="C763" s="14">
        <f>127.5148 * CHOOSE(CONTROL!$C$9, $D$9, 100%, $F$9) + CHOOSE(CONTROL!$C$27, 0.0021, 0)</f>
        <v>127.51689999999999</v>
      </c>
      <c r="D763" s="14">
        <f>127.5148 * CHOOSE(CONTROL!$C$9, $D$9, 100%, $F$9) + CHOOSE(CONTROL!$C$27, 0.0021, 0)</f>
        <v>127.51689999999999</v>
      </c>
      <c r="E763" s="14">
        <f>127.3781 * CHOOSE(CONTROL!$C$9, $D$9, 100%, $F$9) + CHOOSE(CONTROL!$C$27, 0.0021, 0)</f>
        <v>127.3802</v>
      </c>
      <c r="F763" s="14">
        <f>127.3781 * CHOOSE(CONTROL!$C$9, $D$9, 100%, $F$9) + CHOOSE(CONTROL!$C$27, 0.0021, 0)</f>
        <v>127.3802</v>
      </c>
      <c r="G763" s="14">
        <f>127.6495 * CHOOSE(CONTROL!$C$9, $D$9, 100%, $F$9) + CHOOSE(CONTROL!$C$27, 0.0021, 0)</f>
        <v>127.6516</v>
      </c>
      <c r="H763" s="14">
        <f>127.5148 * CHOOSE(CONTROL!$C$9, $D$9, 100%, $F$9) + CHOOSE(CONTROL!$C$27, 0.0021, 0)</f>
        <v>127.51689999999999</v>
      </c>
      <c r="I763" s="14">
        <f>127.5148 * CHOOSE(CONTROL!$C$9, $D$9, 100%, $F$9) + CHOOSE(CONTROL!$C$27, 0.0021, 0)</f>
        <v>127.51689999999999</v>
      </c>
      <c r="J763" s="14">
        <f>127.5148 * CHOOSE(CONTROL!$C$9, $D$9, 100%, $F$9) + CHOOSE(CONTROL!$C$27, 0.0021, 0)</f>
        <v>127.51689999999999</v>
      </c>
      <c r="K763" s="14">
        <f>127.5148 * CHOOSE(CONTROL!$C$9, $D$9, 100%, $F$9) + CHOOSE(CONTROL!$C$27, 0.0021, 0)</f>
        <v>127.51689999999999</v>
      </c>
      <c r="L763" s="14"/>
    </row>
    <row r="764" spans="1:12" ht="15.75" x14ac:dyDescent="0.25">
      <c r="A764" s="32">
        <v>64192</v>
      </c>
      <c r="B764" s="14">
        <f>123.7705 * CHOOSE(CONTROL!$C$9, $D$9, 100%, $F$9) + CHOOSE(CONTROL!$C$27, 0.0021, 0)</f>
        <v>123.7726</v>
      </c>
      <c r="C764" s="14">
        <f>123.3383 * CHOOSE(CONTROL!$C$9, $D$9, 100%, $F$9) + CHOOSE(CONTROL!$C$27, 0.0021, 0)</f>
        <v>123.3404</v>
      </c>
      <c r="D764" s="14">
        <f>123.3383 * CHOOSE(CONTROL!$C$9, $D$9, 100%, $F$9) + CHOOSE(CONTROL!$C$27, 0.0021, 0)</f>
        <v>123.3404</v>
      </c>
      <c r="E764" s="14">
        <f>123.2016 * CHOOSE(CONTROL!$C$9, $D$9, 100%, $F$9) + CHOOSE(CONTROL!$C$27, 0.0021, 0)</f>
        <v>123.2037</v>
      </c>
      <c r="F764" s="14">
        <f>123.2016 * CHOOSE(CONTROL!$C$9, $D$9, 100%, $F$9) + CHOOSE(CONTROL!$C$27, 0.0021, 0)</f>
        <v>123.2037</v>
      </c>
      <c r="G764" s="14">
        <f>123.473 * CHOOSE(CONTROL!$C$9, $D$9, 100%, $F$9) + CHOOSE(CONTROL!$C$27, 0.0021, 0)</f>
        <v>123.4751</v>
      </c>
      <c r="H764" s="14">
        <f>123.3383 * CHOOSE(CONTROL!$C$9, $D$9, 100%, $F$9) + CHOOSE(CONTROL!$C$27, 0.0021, 0)</f>
        <v>123.3404</v>
      </c>
      <c r="I764" s="14">
        <f>123.3383 * CHOOSE(CONTROL!$C$9, $D$9, 100%, $F$9) + CHOOSE(CONTROL!$C$27, 0.0021, 0)</f>
        <v>123.3404</v>
      </c>
      <c r="J764" s="14">
        <f>123.3383 * CHOOSE(CONTROL!$C$9, $D$9, 100%, $F$9) + CHOOSE(CONTROL!$C$27, 0.0021, 0)</f>
        <v>123.3404</v>
      </c>
      <c r="K764" s="14">
        <f>123.3383 * CHOOSE(CONTROL!$C$9, $D$9, 100%, $F$9) + CHOOSE(CONTROL!$C$27, 0.0021, 0)</f>
        <v>123.3404</v>
      </c>
      <c r="L764" s="14"/>
    </row>
    <row r="765" spans="1:12" ht="15.75" x14ac:dyDescent="0.25">
      <c r="A765" s="32">
        <v>64223</v>
      </c>
      <c r="B765" s="14">
        <f>119.5697 * CHOOSE(CONTROL!$C$9, $D$9, 100%, $F$9) + CHOOSE(CONTROL!$C$27, 0.0021, 0)</f>
        <v>119.5718</v>
      </c>
      <c r="C765" s="14">
        <f>119.1374 * CHOOSE(CONTROL!$C$9, $D$9, 100%, $F$9) + CHOOSE(CONTROL!$C$27, 0.0021, 0)</f>
        <v>119.1395</v>
      </c>
      <c r="D765" s="14">
        <f>119.1374 * CHOOSE(CONTROL!$C$9, $D$9, 100%, $F$9) + CHOOSE(CONTROL!$C$27, 0.0021, 0)</f>
        <v>119.1395</v>
      </c>
      <c r="E765" s="14">
        <f>119.0008 * CHOOSE(CONTROL!$C$9, $D$9, 100%, $F$9) + CHOOSE(CONTROL!$C$27, 0.0021, 0)</f>
        <v>119.0029</v>
      </c>
      <c r="F765" s="14">
        <f>119.0008 * CHOOSE(CONTROL!$C$9, $D$9, 100%, $F$9) + CHOOSE(CONTROL!$C$27, 0.0021, 0)</f>
        <v>119.0029</v>
      </c>
      <c r="G765" s="14">
        <f>119.2721 * CHOOSE(CONTROL!$C$9, $D$9, 100%, $F$9) + CHOOSE(CONTROL!$C$27, 0.0021, 0)</f>
        <v>119.27419999999999</v>
      </c>
      <c r="H765" s="14">
        <f>119.1374 * CHOOSE(CONTROL!$C$9, $D$9, 100%, $F$9) + CHOOSE(CONTROL!$C$27, 0.0021, 0)</f>
        <v>119.1395</v>
      </c>
      <c r="I765" s="14">
        <f>119.1374 * CHOOSE(CONTROL!$C$9, $D$9, 100%, $F$9) + CHOOSE(CONTROL!$C$27, 0.0021, 0)</f>
        <v>119.1395</v>
      </c>
      <c r="J765" s="14">
        <f>119.1374 * CHOOSE(CONTROL!$C$9, $D$9, 100%, $F$9) + CHOOSE(CONTROL!$C$27, 0.0021, 0)</f>
        <v>119.1395</v>
      </c>
      <c r="K765" s="14">
        <f>119.1374 * CHOOSE(CONTROL!$C$9, $D$9, 100%, $F$9) + CHOOSE(CONTROL!$C$27, 0.0021, 0)</f>
        <v>119.1395</v>
      </c>
      <c r="L765" s="14"/>
    </row>
    <row r="766" spans="1:12" ht="15.75" x14ac:dyDescent="0.25">
      <c r="A766" s="32">
        <v>64253</v>
      </c>
      <c r="B766" s="14">
        <f>118.734 * CHOOSE(CONTROL!$C$9, $D$9, 100%, $F$9) + CHOOSE(CONTROL!$C$27, 0.0021, 0)</f>
        <v>118.73609999999999</v>
      </c>
      <c r="C766" s="14">
        <f>118.3018 * CHOOSE(CONTROL!$C$9, $D$9, 100%, $F$9) + CHOOSE(CONTROL!$C$27, 0.0021, 0)</f>
        <v>118.3039</v>
      </c>
      <c r="D766" s="14">
        <f>118.3018 * CHOOSE(CONTROL!$C$9, $D$9, 100%, $F$9) + CHOOSE(CONTROL!$C$27, 0.0021, 0)</f>
        <v>118.3039</v>
      </c>
      <c r="E766" s="14">
        <f>118.1651 * CHOOSE(CONTROL!$C$9, $D$9, 100%, $F$9) + CHOOSE(CONTROL!$C$27, 0.0021, 0)</f>
        <v>118.16719999999999</v>
      </c>
      <c r="F766" s="14">
        <f>118.1651 * CHOOSE(CONTROL!$C$9, $D$9, 100%, $F$9) + CHOOSE(CONTROL!$C$27, 0.0021, 0)</f>
        <v>118.16719999999999</v>
      </c>
      <c r="G766" s="14">
        <f>118.4365 * CHOOSE(CONTROL!$C$9, $D$9, 100%, $F$9) + CHOOSE(CONTROL!$C$27, 0.0021, 0)</f>
        <v>118.43859999999999</v>
      </c>
      <c r="H766" s="14">
        <f>118.3018 * CHOOSE(CONTROL!$C$9, $D$9, 100%, $F$9) + CHOOSE(CONTROL!$C$27, 0.0021, 0)</f>
        <v>118.3039</v>
      </c>
      <c r="I766" s="14">
        <f>118.3018 * CHOOSE(CONTROL!$C$9, $D$9, 100%, $F$9) + CHOOSE(CONTROL!$C$27, 0.0021, 0)</f>
        <v>118.3039</v>
      </c>
      <c r="J766" s="14">
        <f>118.3018 * CHOOSE(CONTROL!$C$9, $D$9, 100%, $F$9) + CHOOSE(CONTROL!$C$27, 0.0021, 0)</f>
        <v>118.3039</v>
      </c>
      <c r="K766" s="14">
        <f>118.3018 * CHOOSE(CONTROL!$C$9, $D$9, 100%, $F$9) + CHOOSE(CONTROL!$C$27, 0.0021, 0)</f>
        <v>118.3039</v>
      </c>
      <c r="L766" s="14"/>
    </row>
    <row r="767" spans="1:12" ht="15.75" x14ac:dyDescent="0.25">
      <c r="A767" s="32">
        <v>64284</v>
      </c>
      <c r="B767" s="14">
        <f>115.2786 * CHOOSE(CONTROL!$C$9, $D$9, 100%, $F$9) + CHOOSE(CONTROL!$C$27, 0.0021, 0)</f>
        <v>115.2807</v>
      </c>
      <c r="C767" s="14">
        <f>114.8464 * CHOOSE(CONTROL!$C$9, $D$9, 100%, $F$9) + CHOOSE(CONTROL!$C$27, 0.0021, 0)</f>
        <v>114.8485</v>
      </c>
      <c r="D767" s="14">
        <f>114.8464 * CHOOSE(CONTROL!$C$9, $D$9, 100%, $F$9) + CHOOSE(CONTROL!$C$27, 0.0021, 0)</f>
        <v>114.8485</v>
      </c>
      <c r="E767" s="14">
        <f>114.7097 * CHOOSE(CONTROL!$C$9, $D$9, 100%, $F$9) + CHOOSE(CONTROL!$C$27, 0.0021, 0)</f>
        <v>114.7118</v>
      </c>
      <c r="F767" s="14">
        <f>114.7097 * CHOOSE(CONTROL!$C$9, $D$9, 100%, $F$9) + CHOOSE(CONTROL!$C$27, 0.0021, 0)</f>
        <v>114.7118</v>
      </c>
      <c r="G767" s="14">
        <f>114.9811 * CHOOSE(CONTROL!$C$9, $D$9, 100%, $F$9) + CHOOSE(CONTROL!$C$27, 0.0021, 0)</f>
        <v>114.9832</v>
      </c>
      <c r="H767" s="14">
        <f>114.8464 * CHOOSE(CONTROL!$C$9, $D$9, 100%, $F$9) + CHOOSE(CONTROL!$C$27, 0.0021, 0)</f>
        <v>114.8485</v>
      </c>
      <c r="I767" s="14">
        <f>114.8464 * CHOOSE(CONTROL!$C$9, $D$9, 100%, $F$9) + CHOOSE(CONTROL!$C$27, 0.0021, 0)</f>
        <v>114.8485</v>
      </c>
      <c r="J767" s="14">
        <f>114.8464 * CHOOSE(CONTROL!$C$9, $D$9, 100%, $F$9) + CHOOSE(CONTROL!$C$27, 0.0021, 0)</f>
        <v>114.8485</v>
      </c>
      <c r="K767" s="14">
        <f>114.8464 * CHOOSE(CONTROL!$C$9, $D$9, 100%, $F$9) + CHOOSE(CONTROL!$C$27, 0.0021, 0)</f>
        <v>114.8485</v>
      </c>
      <c r="L767" s="14"/>
    </row>
    <row r="768" spans="1:12" ht="15.75" x14ac:dyDescent="0.25">
      <c r="A768" s="32">
        <v>64315</v>
      </c>
      <c r="B768" s="14">
        <f>114.6059 * CHOOSE(CONTROL!$C$9, $D$9, 100%, $F$9) + CHOOSE(CONTROL!$C$27, 0.0021, 0)</f>
        <v>114.608</v>
      </c>
      <c r="C768" s="14">
        <f>114.1736 * CHOOSE(CONTROL!$C$9, $D$9, 100%, $F$9) + CHOOSE(CONTROL!$C$27, 0.0021, 0)</f>
        <v>114.17569999999999</v>
      </c>
      <c r="D768" s="14">
        <f>114.1736 * CHOOSE(CONTROL!$C$9, $D$9, 100%, $F$9) + CHOOSE(CONTROL!$C$27, 0.0021, 0)</f>
        <v>114.17569999999999</v>
      </c>
      <c r="E768" s="14">
        <f>114.037 * CHOOSE(CONTROL!$C$9, $D$9, 100%, $F$9) + CHOOSE(CONTROL!$C$27, 0.0021, 0)</f>
        <v>114.0391</v>
      </c>
      <c r="F768" s="14">
        <f>114.037 * CHOOSE(CONTROL!$C$9, $D$9, 100%, $F$9) + CHOOSE(CONTROL!$C$27, 0.0021, 0)</f>
        <v>114.0391</v>
      </c>
      <c r="G768" s="14">
        <f>114.3084 * CHOOSE(CONTROL!$C$9, $D$9, 100%, $F$9) + CHOOSE(CONTROL!$C$27, 0.0021, 0)</f>
        <v>114.3105</v>
      </c>
      <c r="H768" s="14">
        <f>114.1736 * CHOOSE(CONTROL!$C$9, $D$9, 100%, $F$9) + CHOOSE(CONTROL!$C$27, 0.0021, 0)</f>
        <v>114.17569999999999</v>
      </c>
      <c r="I768" s="14">
        <f>114.1736 * CHOOSE(CONTROL!$C$9, $D$9, 100%, $F$9) + CHOOSE(CONTROL!$C$27, 0.0021, 0)</f>
        <v>114.17569999999999</v>
      </c>
      <c r="J768" s="14">
        <f>114.1736 * CHOOSE(CONTROL!$C$9, $D$9, 100%, $F$9) + CHOOSE(CONTROL!$C$27, 0.0021, 0)</f>
        <v>114.17569999999999</v>
      </c>
      <c r="K768" s="14">
        <f>114.1736 * CHOOSE(CONTROL!$C$9, $D$9, 100%, $F$9) + CHOOSE(CONTROL!$C$27, 0.0021, 0)</f>
        <v>114.17569999999999</v>
      </c>
      <c r="L768" s="14"/>
    </row>
    <row r="769" spans="1:12" ht="15.75" x14ac:dyDescent="0.25">
      <c r="A769" s="32">
        <v>64344</v>
      </c>
      <c r="B769" s="14">
        <f>114.2937 * CHOOSE(CONTROL!$C$9, $D$9, 100%, $F$9) + CHOOSE(CONTROL!$C$27, 0.0021, 0)</f>
        <v>114.2958</v>
      </c>
      <c r="C769" s="14">
        <f>113.8614 * CHOOSE(CONTROL!$C$9, $D$9, 100%, $F$9) + CHOOSE(CONTROL!$C$27, 0.0021, 0)</f>
        <v>113.8635</v>
      </c>
      <c r="D769" s="14">
        <f>113.8614 * CHOOSE(CONTROL!$C$9, $D$9, 100%, $F$9) + CHOOSE(CONTROL!$C$27, 0.0021, 0)</f>
        <v>113.8635</v>
      </c>
      <c r="E769" s="14">
        <f>113.7248 * CHOOSE(CONTROL!$C$9, $D$9, 100%, $F$9) + CHOOSE(CONTROL!$C$27, 0.0021, 0)</f>
        <v>113.7269</v>
      </c>
      <c r="F769" s="14">
        <f>113.7248 * CHOOSE(CONTROL!$C$9, $D$9, 100%, $F$9) + CHOOSE(CONTROL!$C$27, 0.0021, 0)</f>
        <v>113.7269</v>
      </c>
      <c r="G769" s="14">
        <f>113.9962 * CHOOSE(CONTROL!$C$9, $D$9, 100%, $F$9) + CHOOSE(CONTROL!$C$27, 0.0021, 0)</f>
        <v>113.9983</v>
      </c>
      <c r="H769" s="14">
        <f>113.8614 * CHOOSE(CONTROL!$C$9, $D$9, 100%, $F$9) + CHOOSE(CONTROL!$C$27, 0.0021, 0)</f>
        <v>113.8635</v>
      </c>
      <c r="I769" s="14">
        <f>113.8614 * CHOOSE(CONTROL!$C$9, $D$9, 100%, $F$9) + CHOOSE(CONTROL!$C$27, 0.0021, 0)</f>
        <v>113.8635</v>
      </c>
      <c r="J769" s="14">
        <f>113.8614 * CHOOSE(CONTROL!$C$9, $D$9, 100%, $F$9) + CHOOSE(CONTROL!$C$27, 0.0021, 0)</f>
        <v>113.8635</v>
      </c>
      <c r="K769" s="14">
        <f>113.8614 * CHOOSE(CONTROL!$C$9, $D$9, 100%, $F$9) + CHOOSE(CONTROL!$C$27, 0.0021, 0)</f>
        <v>113.8635</v>
      </c>
      <c r="L769" s="14"/>
    </row>
    <row r="770" spans="1:12" ht="15.75" x14ac:dyDescent="0.25">
      <c r="A770" s="32">
        <v>64375</v>
      </c>
      <c r="B770" s="14">
        <f>120.1968 * CHOOSE(CONTROL!$C$9, $D$9, 100%, $F$9) + CHOOSE(CONTROL!$C$27, 0.0021, 0)</f>
        <v>120.19889999999999</v>
      </c>
      <c r="C770" s="14">
        <f>119.7646 * CHOOSE(CONTROL!$C$9, $D$9, 100%, $F$9) + CHOOSE(CONTROL!$C$27, 0.0021, 0)</f>
        <v>119.7667</v>
      </c>
      <c r="D770" s="14">
        <f>119.7646 * CHOOSE(CONTROL!$C$9, $D$9, 100%, $F$9) + CHOOSE(CONTROL!$C$27, 0.0021, 0)</f>
        <v>119.7667</v>
      </c>
      <c r="E770" s="14">
        <f>119.6279 * CHOOSE(CONTROL!$C$9, $D$9, 100%, $F$9) + CHOOSE(CONTROL!$C$27, 0.0021, 0)</f>
        <v>119.63</v>
      </c>
      <c r="F770" s="14">
        <f>119.6279 * CHOOSE(CONTROL!$C$9, $D$9, 100%, $F$9) + CHOOSE(CONTROL!$C$27, 0.0021, 0)</f>
        <v>119.63</v>
      </c>
      <c r="G770" s="14">
        <f>119.8993 * CHOOSE(CONTROL!$C$9, $D$9, 100%, $F$9) + CHOOSE(CONTROL!$C$27, 0.0021, 0)</f>
        <v>119.9014</v>
      </c>
      <c r="H770" s="14">
        <f>119.7646 * CHOOSE(CONTROL!$C$9, $D$9, 100%, $F$9) + CHOOSE(CONTROL!$C$27, 0.0021, 0)</f>
        <v>119.7667</v>
      </c>
      <c r="I770" s="14">
        <f>119.7646 * CHOOSE(CONTROL!$C$9, $D$9, 100%, $F$9) + CHOOSE(CONTROL!$C$27, 0.0021, 0)</f>
        <v>119.7667</v>
      </c>
      <c r="J770" s="14">
        <f>119.7646 * CHOOSE(CONTROL!$C$9, $D$9, 100%, $F$9) + CHOOSE(CONTROL!$C$27, 0.0021, 0)</f>
        <v>119.7667</v>
      </c>
      <c r="K770" s="14">
        <f>119.7646 * CHOOSE(CONTROL!$C$9, $D$9, 100%, $F$9) + CHOOSE(CONTROL!$C$27, 0.0021, 0)</f>
        <v>119.7667</v>
      </c>
      <c r="L770" s="14"/>
    </row>
    <row r="771" spans="1:12" ht="15.75" x14ac:dyDescent="0.25">
      <c r="A771" s="32">
        <v>64405</v>
      </c>
      <c r="B771" s="14">
        <f>127.8517 * CHOOSE(CONTROL!$C$9, $D$9, 100%, $F$9) + CHOOSE(CONTROL!$C$27, 0.0021, 0)</f>
        <v>127.85379999999999</v>
      </c>
      <c r="C771" s="14">
        <f>127.4195 * CHOOSE(CONTROL!$C$9, $D$9, 100%, $F$9) + CHOOSE(CONTROL!$C$27, 0.0021, 0)</f>
        <v>127.4216</v>
      </c>
      <c r="D771" s="14">
        <f>127.4195 * CHOOSE(CONTROL!$C$9, $D$9, 100%, $F$9) + CHOOSE(CONTROL!$C$27, 0.0021, 0)</f>
        <v>127.4216</v>
      </c>
      <c r="E771" s="14">
        <f>127.2828 * CHOOSE(CONTROL!$C$9, $D$9, 100%, $F$9) + CHOOSE(CONTROL!$C$27, 0.0021, 0)</f>
        <v>127.28489999999999</v>
      </c>
      <c r="F771" s="14">
        <f>127.2828 * CHOOSE(CONTROL!$C$9, $D$9, 100%, $F$9) + CHOOSE(CONTROL!$C$27, 0.0021, 0)</f>
        <v>127.28489999999999</v>
      </c>
      <c r="G771" s="14">
        <f>127.5542 * CHOOSE(CONTROL!$C$9, $D$9, 100%, $F$9) + CHOOSE(CONTROL!$C$27, 0.0021, 0)</f>
        <v>127.55629999999999</v>
      </c>
      <c r="H771" s="14">
        <f>127.4195 * CHOOSE(CONTROL!$C$9, $D$9, 100%, $F$9) + CHOOSE(CONTROL!$C$27, 0.0021, 0)</f>
        <v>127.4216</v>
      </c>
      <c r="I771" s="14">
        <f>127.4195 * CHOOSE(CONTROL!$C$9, $D$9, 100%, $F$9) + CHOOSE(CONTROL!$C$27, 0.0021, 0)</f>
        <v>127.4216</v>
      </c>
      <c r="J771" s="14">
        <f>127.4195 * CHOOSE(CONTROL!$C$9, $D$9, 100%, $F$9) + CHOOSE(CONTROL!$C$27, 0.0021, 0)</f>
        <v>127.4216</v>
      </c>
      <c r="K771" s="14">
        <f>127.4195 * CHOOSE(CONTROL!$C$9, $D$9, 100%, $F$9) + CHOOSE(CONTROL!$C$27, 0.0021, 0)</f>
        <v>127.4216</v>
      </c>
      <c r="L771" s="14"/>
    </row>
    <row r="772" spans="1:12" ht="15.75" x14ac:dyDescent="0.25">
      <c r="A772" s="32">
        <v>64436</v>
      </c>
      <c r="B772" s="14">
        <f>132.0653 * CHOOSE(CONTROL!$C$9, $D$9, 100%, $F$9) + CHOOSE(CONTROL!$C$27, 0.0021, 0)</f>
        <v>132.06740000000002</v>
      </c>
      <c r="C772" s="14">
        <f>131.633 * CHOOSE(CONTROL!$C$9, $D$9, 100%, $F$9) + CHOOSE(CONTROL!$C$27, 0.0021, 0)</f>
        <v>131.63510000000002</v>
      </c>
      <c r="D772" s="14">
        <f>131.633 * CHOOSE(CONTROL!$C$9, $D$9, 100%, $F$9) + CHOOSE(CONTROL!$C$27, 0.0021, 0)</f>
        <v>131.63510000000002</v>
      </c>
      <c r="E772" s="14">
        <f>131.4964 * CHOOSE(CONTROL!$C$9, $D$9, 100%, $F$9) + CHOOSE(CONTROL!$C$27, 0.0021, 0)</f>
        <v>131.49850000000001</v>
      </c>
      <c r="F772" s="14">
        <f>131.4964 * CHOOSE(CONTROL!$C$9, $D$9, 100%, $F$9) + CHOOSE(CONTROL!$C$27, 0.0021, 0)</f>
        <v>131.49850000000001</v>
      </c>
      <c r="G772" s="14">
        <f>131.7677 * CHOOSE(CONTROL!$C$9, $D$9, 100%, $F$9) + CHOOSE(CONTROL!$C$27, 0.0021, 0)</f>
        <v>131.7698</v>
      </c>
      <c r="H772" s="14">
        <f>131.633 * CHOOSE(CONTROL!$C$9, $D$9, 100%, $F$9) + CHOOSE(CONTROL!$C$27, 0.0021, 0)</f>
        <v>131.63510000000002</v>
      </c>
      <c r="I772" s="14">
        <f>131.633 * CHOOSE(CONTROL!$C$9, $D$9, 100%, $F$9) + CHOOSE(CONTROL!$C$27, 0.0021, 0)</f>
        <v>131.63510000000002</v>
      </c>
      <c r="J772" s="14">
        <f>131.633 * CHOOSE(CONTROL!$C$9, $D$9, 100%, $F$9) + CHOOSE(CONTROL!$C$27, 0.0021, 0)</f>
        <v>131.63510000000002</v>
      </c>
      <c r="K772" s="14">
        <f>131.633 * CHOOSE(CONTROL!$C$9, $D$9, 100%, $F$9) + CHOOSE(CONTROL!$C$27, 0.0021, 0)</f>
        <v>131.63510000000002</v>
      </c>
      <c r="L772" s="14"/>
    </row>
    <row r="773" spans="1:12" ht="15.75" x14ac:dyDescent="0.25">
      <c r="A773" s="32">
        <v>64466</v>
      </c>
      <c r="B773" s="14">
        <f>133.9352 * CHOOSE(CONTROL!$C$9, $D$9, 100%, $F$9) + CHOOSE(CONTROL!$C$27, 0.0021, 0)</f>
        <v>133.93730000000002</v>
      </c>
      <c r="C773" s="14">
        <f>133.5029 * CHOOSE(CONTROL!$C$9, $D$9, 100%, $F$9) + CHOOSE(CONTROL!$C$27, 0.0021, 0)</f>
        <v>133.50500000000002</v>
      </c>
      <c r="D773" s="14">
        <f>133.5029 * CHOOSE(CONTROL!$C$9, $D$9, 100%, $F$9) + CHOOSE(CONTROL!$C$27, 0.0021, 0)</f>
        <v>133.50500000000002</v>
      </c>
      <c r="E773" s="14">
        <f>133.3662 * CHOOSE(CONTROL!$C$9, $D$9, 100%, $F$9) + CHOOSE(CONTROL!$C$27, 0.0021, 0)</f>
        <v>133.3683</v>
      </c>
      <c r="F773" s="14">
        <f>133.3662 * CHOOSE(CONTROL!$C$9, $D$9, 100%, $F$9) + CHOOSE(CONTROL!$C$27, 0.0021, 0)</f>
        <v>133.3683</v>
      </c>
      <c r="G773" s="14">
        <f>133.6376 * CHOOSE(CONTROL!$C$9, $D$9, 100%, $F$9) + CHOOSE(CONTROL!$C$27, 0.0021, 0)</f>
        <v>133.6397</v>
      </c>
      <c r="H773" s="14">
        <f>133.5029 * CHOOSE(CONTROL!$C$9, $D$9, 100%, $F$9) + CHOOSE(CONTROL!$C$27, 0.0021, 0)</f>
        <v>133.50500000000002</v>
      </c>
      <c r="I773" s="14">
        <f>133.5029 * CHOOSE(CONTROL!$C$9, $D$9, 100%, $F$9) + CHOOSE(CONTROL!$C$27, 0.0021, 0)</f>
        <v>133.50500000000002</v>
      </c>
      <c r="J773" s="14">
        <f>133.5029 * CHOOSE(CONTROL!$C$9, $D$9, 100%, $F$9) + CHOOSE(CONTROL!$C$27, 0.0021, 0)</f>
        <v>133.50500000000002</v>
      </c>
      <c r="K773" s="14">
        <f>133.5029 * CHOOSE(CONTROL!$C$9, $D$9, 100%, $F$9) + CHOOSE(CONTROL!$C$27, 0.0021, 0)</f>
        <v>133.50500000000002</v>
      </c>
      <c r="L773" s="14"/>
    </row>
    <row r="774" spans="1:12" ht="15.75" x14ac:dyDescent="0.25">
      <c r="A774" s="32">
        <v>64497</v>
      </c>
      <c r="B774" s="14">
        <f>133.3195 * CHOOSE(CONTROL!$C$9, $D$9, 100%, $F$9) + CHOOSE(CONTROL!$C$27, 0.0021, 0)</f>
        <v>133.32160000000002</v>
      </c>
      <c r="C774" s="14">
        <f>132.8873 * CHOOSE(CONTROL!$C$9, $D$9, 100%, $F$9) + CHOOSE(CONTROL!$C$27, 0.0021, 0)</f>
        <v>132.88940000000002</v>
      </c>
      <c r="D774" s="14">
        <f>132.8873 * CHOOSE(CONTROL!$C$9, $D$9, 100%, $F$9) + CHOOSE(CONTROL!$C$27, 0.0021, 0)</f>
        <v>132.88940000000002</v>
      </c>
      <c r="E774" s="14">
        <f>132.7506 * CHOOSE(CONTROL!$C$9, $D$9, 100%, $F$9) + CHOOSE(CONTROL!$C$27, 0.0021, 0)</f>
        <v>132.7527</v>
      </c>
      <c r="F774" s="14">
        <f>132.7506 * CHOOSE(CONTROL!$C$9, $D$9, 100%, $F$9) + CHOOSE(CONTROL!$C$27, 0.0021, 0)</f>
        <v>132.7527</v>
      </c>
      <c r="G774" s="14">
        <f>133.022 * CHOOSE(CONTROL!$C$9, $D$9, 100%, $F$9) + CHOOSE(CONTROL!$C$27, 0.0021, 0)</f>
        <v>133.0241</v>
      </c>
      <c r="H774" s="14">
        <f>132.8873 * CHOOSE(CONTROL!$C$9, $D$9, 100%, $F$9) + CHOOSE(CONTROL!$C$27, 0.0021, 0)</f>
        <v>132.88940000000002</v>
      </c>
      <c r="I774" s="14">
        <f>132.8873 * CHOOSE(CONTROL!$C$9, $D$9, 100%, $F$9) + CHOOSE(CONTROL!$C$27, 0.0021, 0)</f>
        <v>132.88940000000002</v>
      </c>
      <c r="J774" s="14">
        <f>132.8873 * CHOOSE(CONTROL!$C$9, $D$9, 100%, $F$9) + CHOOSE(CONTROL!$C$27, 0.0021, 0)</f>
        <v>132.88940000000002</v>
      </c>
      <c r="K774" s="14">
        <f>132.8873 * CHOOSE(CONTROL!$C$9, $D$9, 100%, $F$9) + CHOOSE(CONTROL!$C$27, 0.0021, 0)</f>
        <v>132.88940000000002</v>
      </c>
      <c r="L774" s="14"/>
    </row>
    <row r="775" spans="1:12" ht="15.75" x14ac:dyDescent="0.25">
      <c r="A775" s="32">
        <v>64528</v>
      </c>
      <c r="B775" s="14">
        <f>130.2692 * CHOOSE(CONTROL!$C$9, $D$9, 100%, $F$9) + CHOOSE(CONTROL!$C$27, 0.0021, 0)</f>
        <v>130.27130000000002</v>
      </c>
      <c r="C775" s="14">
        <f>129.837 * CHOOSE(CONTROL!$C$9, $D$9, 100%, $F$9) + CHOOSE(CONTROL!$C$27, 0.0021, 0)</f>
        <v>129.8391</v>
      </c>
      <c r="D775" s="14">
        <f>129.837 * CHOOSE(CONTROL!$C$9, $D$9, 100%, $F$9) + CHOOSE(CONTROL!$C$27, 0.0021, 0)</f>
        <v>129.8391</v>
      </c>
      <c r="E775" s="14">
        <f>129.7003 * CHOOSE(CONTROL!$C$9, $D$9, 100%, $F$9) + CHOOSE(CONTROL!$C$27, 0.0021, 0)</f>
        <v>129.70240000000001</v>
      </c>
      <c r="F775" s="14">
        <f>129.7003 * CHOOSE(CONTROL!$C$9, $D$9, 100%, $F$9) + CHOOSE(CONTROL!$C$27, 0.0021, 0)</f>
        <v>129.70240000000001</v>
      </c>
      <c r="G775" s="14">
        <f>129.9717 * CHOOSE(CONTROL!$C$9, $D$9, 100%, $F$9) + CHOOSE(CONTROL!$C$27, 0.0021, 0)</f>
        <v>129.97380000000001</v>
      </c>
      <c r="H775" s="14">
        <f>129.837 * CHOOSE(CONTROL!$C$9, $D$9, 100%, $F$9) + CHOOSE(CONTROL!$C$27, 0.0021, 0)</f>
        <v>129.8391</v>
      </c>
      <c r="I775" s="14">
        <f>129.837 * CHOOSE(CONTROL!$C$9, $D$9, 100%, $F$9) + CHOOSE(CONTROL!$C$27, 0.0021, 0)</f>
        <v>129.8391</v>
      </c>
      <c r="J775" s="14">
        <f>129.837 * CHOOSE(CONTROL!$C$9, $D$9, 100%, $F$9) + CHOOSE(CONTROL!$C$27, 0.0021, 0)</f>
        <v>129.8391</v>
      </c>
      <c r="K775" s="14">
        <f>129.837 * CHOOSE(CONTROL!$C$9, $D$9, 100%, $F$9) + CHOOSE(CONTROL!$C$27, 0.0021, 0)</f>
        <v>129.8391</v>
      </c>
      <c r="L775" s="14"/>
    </row>
    <row r="776" spans="1:12" ht="15.75" x14ac:dyDescent="0.25">
      <c r="A776" s="32">
        <v>64558</v>
      </c>
      <c r="B776" s="14">
        <f>126.0155 * CHOOSE(CONTROL!$C$9, $D$9, 100%, $F$9) + CHOOSE(CONTROL!$C$27, 0.0021, 0)</f>
        <v>126.0176</v>
      </c>
      <c r="C776" s="14">
        <f>125.5833 * CHOOSE(CONTROL!$C$9, $D$9, 100%, $F$9) + CHOOSE(CONTROL!$C$27, 0.0021, 0)</f>
        <v>125.58539999999999</v>
      </c>
      <c r="D776" s="14">
        <f>125.5833 * CHOOSE(CONTROL!$C$9, $D$9, 100%, $F$9) + CHOOSE(CONTROL!$C$27, 0.0021, 0)</f>
        <v>125.58539999999999</v>
      </c>
      <c r="E776" s="14">
        <f>125.4466 * CHOOSE(CONTROL!$C$9, $D$9, 100%, $F$9) + CHOOSE(CONTROL!$C$27, 0.0021, 0)</f>
        <v>125.4487</v>
      </c>
      <c r="F776" s="14">
        <f>125.4466 * CHOOSE(CONTROL!$C$9, $D$9, 100%, $F$9) + CHOOSE(CONTROL!$C$27, 0.0021, 0)</f>
        <v>125.4487</v>
      </c>
      <c r="G776" s="14">
        <f>125.718 * CHOOSE(CONTROL!$C$9, $D$9, 100%, $F$9) + CHOOSE(CONTROL!$C$27, 0.0021, 0)</f>
        <v>125.7201</v>
      </c>
      <c r="H776" s="14">
        <f>125.5833 * CHOOSE(CONTROL!$C$9, $D$9, 100%, $F$9) + CHOOSE(CONTROL!$C$27, 0.0021, 0)</f>
        <v>125.58539999999999</v>
      </c>
      <c r="I776" s="14">
        <f>125.5833 * CHOOSE(CONTROL!$C$9, $D$9, 100%, $F$9) + CHOOSE(CONTROL!$C$27, 0.0021, 0)</f>
        <v>125.58539999999999</v>
      </c>
      <c r="J776" s="14">
        <f>125.5833 * CHOOSE(CONTROL!$C$9, $D$9, 100%, $F$9) + CHOOSE(CONTROL!$C$27, 0.0021, 0)</f>
        <v>125.58539999999999</v>
      </c>
      <c r="K776" s="14">
        <f>125.5833 * CHOOSE(CONTROL!$C$9, $D$9, 100%, $F$9) + CHOOSE(CONTROL!$C$27, 0.0021, 0)</f>
        <v>125.58539999999999</v>
      </c>
      <c r="L776" s="14"/>
    </row>
    <row r="777" spans="1:12" ht="15.75" x14ac:dyDescent="0.25">
      <c r="A777" s="32">
        <v>64589</v>
      </c>
      <c r="B777" s="14">
        <f>121.737 * CHOOSE(CONTROL!$C$9, $D$9, 100%, $F$9) + CHOOSE(CONTROL!$C$27, 0.0021, 0)</f>
        <v>121.73909999999999</v>
      </c>
      <c r="C777" s="14">
        <f>121.3048 * CHOOSE(CONTROL!$C$9, $D$9, 100%, $F$9) + CHOOSE(CONTROL!$C$27, 0.0021, 0)</f>
        <v>121.3069</v>
      </c>
      <c r="D777" s="14">
        <f>121.3048 * CHOOSE(CONTROL!$C$9, $D$9, 100%, $F$9) + CHOOSE(CONTROL!$C$27, 0.0021, 0)</f>
        <v>121.3069</v>
      </c>
      <c r="E777" s="14">
        <f>121.1681 * CHOOSE(CONTROL!$C$9, $D$9, 100%, $F$9) + CHOOSE(CONTROL!$C$27, 0.0021, 0)</f>
        <v>121.17019999999999</v>
      </c>
      <c r="F777" s="14">
        <f>121.1681 * CHOOSE(CONTROL!$C$9, $D$9, 100%, $F$9) + CHOOSE(CONTROL!$C$27, 0.0021, 0)</f>
        <v>121.17019999999999</v>
      </c>
      <c r="G777" s="14">
        <f>121.4395 * CHOOSE(CONTROL!$C$9, $D$9, 100%, $F$9) + CHOOSE(CONTROL!$C$27, 0.0021, 0)</f>
        <v>121.44159999999999</v>
      </c>
      <c r="H777" s="14">
        <f>121.3048 * CHOOSE(CONTROL!$C$9, $D$9, 100%, $F$9) + CHOOSE(CONTROL!$C$27, 0.0021, 0)</f>
        <v>121.3069</v>
      </c>
      <c r="I777" s="14">
        <f>121.3048 * CHOOSE(CONTROL!$C$9, $D$9, 100%, $F$9) + CHOOSE(CONTROL!$C$27, 0.0021, 0)</f>
        <v>121.3069</v>
      </c>
      <c r="J777" s="14">
        <f>121.3048 * CHOOSE(CONTROL!$C$9, $D$9, 100%, $F$9) + CHOOSE(CONTROL!$C$27, 0.0021, 0)</f>
        <v>121.3069</v>
      </c>
      <c r="K777" s="14">
        <f>121.3048 * CHOOSE(CONTROL!$C$9, $D$9, 100%, $F$9) + CHOOSE(CONTROL!$C$27, 0.0021, 0)</f>
        <v>121.3069</v>
      </c>
      <c r="L777" s="14"/>
    </row>
    <row r="778" spans="1:12" ht="15.75" x14ac:dyDescent="0.25">
      <c r="A778" s="32">
        <v>64619</v>
      </c>
      <c r="B778" s="14">
        <f>120.886 * CHOOSE(CONTROL!$C$9, $D$9, 100%, $F$9) + CHOOSE(CONTROL!$C$27, 0.0021, 0)</f>
        <v>120.88809999999999</v>
      </c>
      <c r="C778" s="14">
        <f>120.4537 * CHOOSE(CONTROL!$C$9, $D$9, 100%, $F$9) + CHOOSE(CONTROL!$C$27, 0.0021, 0)</f>
        <v>120.4558</v>
      </c>
      <c r="D778" s="14">
        <f>120.4537 * CHOOSE(CONTROL!$C$9, $D$9, 100%, $F$9) + CHOOSE(CONTROL!$C$27, 0.0021, 0)</f>
        <v>120.4558</v>
      </c>
      <c r="E778" s="14">
        <f>120.3171 * CHOOSE(CONTROL!$C$9, $D$9, 100%, $F$9) + CHOOSE(CONTROL!$C$27, 0.0021, 0)</f>
        <v>120.3192</v>
      </c>
      <c r="F778" s="14">
        <f>120.3171 * CHOOSE(CONTROL!$C$9, $D$9, 100%, $F$9) + CHOOSE(CONTROL!$C$27, 0.0021, 0)</f>
        <v>120.3192</v>
      </c>
      <c r="G778" s="14">
        <f>120.5884 * CHOOSE(CONTROL!$C$9, $D$9, 100%, $F$9) + CHOOSE(CONTROL!$C$27, 0.0021, 0)</f>
        <v>120.59049999999999</v>
      </c>
      <c r="H778" s="14">
        <f>120.4537 * CHOOSE(CONTROL!$C$9, $D$9, 100%, $F$9) + CHOOSE(CONTROL!$C$27, 0.0021, 0)</f>
        <v>120.4558</v>
      </c>
      <c r="I778" s="14">
        <f>120.4537 * CHOOSE(CONTROL!$C$9, $D$9, 100%, $F$9) + CHOOSE(CONTROL!$C$27, 0.0021, 0)</f>
        <v>120.4558</v>
      </c>
      <c r="J778" s="14">
        <f>120.4537 * CHOOSE(CONTROL!$C$9, $D$9, 100%, $F$9) + CHOOSE(CONTROL!$C$27, 0.0021, 0)</f>
        <v>120.4558</v>
      </c>
      <c r="K778" s="14">
        <f>120.4537 * CHOOSE(CONTROL!$C$9, $D$9, 100%, $F$9) + CHOOSE(CONTROL!$C$27, 0.0021, 0)</f>
        <v>120.4558</v>
      </c>
      <c r="L778" s="14"/>
    </row>
    <row r="779" spans="1:12" ht="15.75" x14ac:dyDescent="0.25">
      <c r="A779" s="32">
        <v>64650</v>
      </c>
      <c r="B779" s="14">
        <f>117.3667 * CHOOSE(CONTROL!$C$9, $D$9, 100%, $F$9) + CHOOSE(CONTROL!$C$27, 0.0021, 0)</f>
        <v>117.36879999999999</v>
      </c>
      <c r="C779" s="14">
        <f>116.9344 * CHOOSE(CONTROL!$C$9, $D$9, 100%, $F$9) + CHOOSE(CONTROL!$C$27, 0.0021, 0)</f>
        <v>116.9365</v>
      </c>
      <c r="D779" s="14">
        <f>116.9344 * CHOOSE(CONTROL!$C$9, $D$9, 100%, $F$9) + CHOOSE(CONTROL!$C$27, 0.0021, 0)</f>
        <v>116.9365</v>
      </c>
      <c r="E779" s="14">
        <f>116.7978 * CHOOSE(CONTROL!$C$9, $D$9, 100%, $F$9) + CHOOSE(CONTROL!$C$27, 0.0021, 0)</f>
        <v>116.79989999999999</v>
      </c>
      <c r="F779" s="14">
        <f>116.7978 * CHOOSE(CONTROL!$C$9, $D$9, 100%, $F$9) + CHOOSE(CONTROL!$C$27, 0.0021, 0)</f>
        <v>116.79989999999999</v>
      </c>
      <c r="G779" s="14">
        <f>117.0692 * CHOOSE(CONTROL!$C$9, $D$9, 100%, $F$9) + CHOOSE(CONTROL!$C$27, 0.0021, 0)</f>
        <v>117.07129999999999</v>
      </c>
      <c r="H779" s="14">
        <f>116.9344 * CHOOSE(CONTROL!$C$9, $D$9, 100%, $F$9) + CHOOSE(CONTROL!$C$27, 0.0021, 0)</f>
        <v>116.9365</v>
      </c>
      <c r="I779" s="14">
        <f>116.9344 * CHOOSE(CONTROL!$C$9, $D$9, 100%, $F$9) + CHOOSE(CONTROL!$C$27, 0.0021, 0)</f>
        <v>116.9365</v>
      </c>
      <c r="J779" s="14">
        <f>116.9344 * CHOOSE(CONTROL!$C$9, $D$9, 100%, $F$9) + CHOOSE(CONTROL!$C$27, 0.0021, 0)</f>
        <v>116.9365</v>
      </c>
      <c r="K779" s="14">
        <f>116.9344 * CHOOSE(CONTROL!$C$9, $D$9, 100%, $F$9) + CHOOSE(CONTROL!$C$27, 0.0021, 0)</f>
        <v>116.9365</v>
      </c>
      <c r="L779" s="14"/>
    </row>
    <row r="780" spans="1:12" ht="15.75" x14ac:dyDescent="0.25">
      <c r="A780" s="32">
        <v>64681</v>
      </c>
      <c r="B780" s="14">
        <f>116.6815 * CHOOSE(CONTROL!$C$9, $D$9, 100%, $F$9) + CHOOSE(CONTROL!$C$27, 0.0021, 0)</f>
        <v>116.6836</v>
      </c>
      <c r="C780" s="14">
        <f>116.2493 * CHOOSE(CONTROL!$C$9, $D$9, 100%, $F$9) + CHOOSE(CONTROL!$C$27, 0.0021, 0)</f>
        <v>116.2514</v>
      </c>
      <c r="D780" s="14">
        <f>116.2493 * CHOOSE(CONTROL!$C$9, $D$9, 100%, $F$9) + CHOOSE(CONTROL!$C$27, 0.0021, 0)</f>
        <v>116.2514</v>
      </c>
      <c r="E780" s="14">
        <f>116.1126 * CHOOSE(CONTROL!$C$9, $D$9, 100%, $F$9) + CHOOSE(CONTROL!$C$27, 0.0021, 0)</f>
        <v>116.1147</v>
      </c>
      <c r="F780" s="14">
        <f>116.1126 * CHOOSE(CONTROL!$C$9, $D$9, 100%, $F$9) + CHOOSE(CONTROL!$C$27, 0.0021, 0)</f>
        <v>116.1147</v>
      </c>
      <c r="G780" s="14">
        <f>116.384 * CHOOSE(CONTROL!$C$9, $D$9, 100%, $F$9) + CHOOSE(CONTROL!$C$27, 0.0021, 0)</f>
        <v>116.3861</v>
      </c>
      <c r="H780" s="14">
        <f>116.2493 * CHOOSE(CONTROL!$C$9, $D$9, 100%, $F$9) + CHOOSE(CONTROL!$C$27, 0.0021, 0)</f>
        <v>116.2514</v>
      </c>
      <c r="I780" s="14">
        <f>116.2493 * CHOOSE(CONTROL!$C$9, $D$9, 100%, $F$9) + CHOOSE(CONTROL!$C$27, 0.0021, 0)</f>
        <v>116.2514</v>
      </c>
      <c r="J780" s="14">
        <f>116.2493 * CHOOSE(CONTROL!$C$9, $D$9, 100%, $F$9) + CHOOSE(CONTROL!$C$27, 0.0021, 0)</f>
        <v>116.2514</v>
      </c>
      <c r="K780" s="14">
        <f>116.2493 * CHOOSE(CONTROL!$C$9, $D$9, 100%, $F$9) + CHOOSE(CONTROL!$C$27, 0.0021, 0)</f>
        <v>116.2514</v>
      </c>
      <c r="L780" s="14"/>
    </row>
    <row r="781" spans="1:12" ht="15.75" x14ac:dyDescent="0.25">
      <c r="A781" s="32">
        <v>64709</v>
      </c>
      <c r="B781" s="14">
        <f>116.3636 * CHOOSE(CONTROL!$C$9, $D$9, 100%, $F$9) + CHOOSE(CONTROL!$C$27, 0.0021, 0)</f>
        <v>116.3657</v>
      </c>
      <c r="C781" s="14">
        <f>115.9313 * CHOOSE(CONTROL!$C$9, $D$9, 100%, $F$9) + CHOOSE(CONTROL!$C$27, 0.0021, 0)</f>
        <v>115.93339999999999</v>
      </c>
      <c r="D781" s="14">
        <f>115.9313 * CHOOSE(CONTROL!$C$9, $D$9, 100%, $F$9) + CHOOSE(CONTROL!$C$27, 0.0021, 0)</f>
        <v>115.93339999999999</v>
      </c>
      <c r="E781" s="14">
        <f>115.7947 * CHOOSE(CONTROL!$C$9, $D$9, 100%, $F$9) + CHOOSE(CONTROL!$C$27, 0.0021, 0)</f>
        <v>115.7968</v>
      </c>
      <c r="F781" s="14">
        <f>115.7947 * CHOOSE(CONTROL!$C$9, $D$9, 100%, $F$9) + CHOOSE(CONTROL!$C$27, 0.0021, 0)</f>
        <v>115.7968</v>
      </c>
      <c r="G781" s="14">
        <f>116.066 * CHOOSE(CONTROL!$C$9, $D$9, 100%, $F$9) + CHOOSE(CONTROL!$C$27, 0.0021, 0)</f>
        <v>116.0681</v>
      </c>
      <c r="H781" s="14">
        <f>115.9313 * CHOOSE(CONTROL!$C$9, $D$9, 100%, $F$9) + CHOOSE(CONTROL!$C$27, 0.0021, 0)</f>
        <v>115.93339999999999</v>
      </c>
      <c r="I781" s="14">
        <f>115.9313 * CHOOSE(CONTROL!$C$9, $D$9, 100%, $F$9) + CHOOSE(CONTROL!$C$27, 0.0021, 0)</f>
        <v>115.93339999999999</v>
      </c>
      <c r="J781" s="14">
        <f>115.9313 * CHOOSE(CONTROL!$C$9, $D$9, 100%, $F$9) + CHOOSE(CONTROL!$C$27, 0.0021, 0)</f>
        <v>115.93339999999999</v>
      </c>
      <c r="K781" s="14">
        <f>115.9313 * CHOOSE(CONTROL!$C$9, $D$9, 100%, $F$9) + CHOOSE(CONTROL!$C$27, 0.0021, 0)</f>
        <v>115.93339999999999</v>
      </c>
      <c r="L781" s="14"/>
    </row>
    <row r="782" spans="1:12" ht="15.75" x14ac:dyDescent="0.25">
      <c r="A782" s="32">
        <v>64740</v>
      </c>
      <c r="B782" s="14">
        <f>122.3758 * CHOOSE(CONTROL!$C$9, $D$9, 100%, $F$9) + CHOOSE(CONTROL!$C$27, 0.0021, 0)</f>
        <v>122.3779</v>
      </c>
      <c r="C782" s="14">
        <f>121.9435 * CHOOSE(CONTROL!$C$9, $D$9, 100%, $F$9) + CHOOSE(CONTROL!$C$27, 0.0021, 0)</f>
        <v>121.9456</v>
      </c>
      <c r="D782" s="14">
        <f>121.9435 * CHOOSE(CONTROL!$C$9, $D$9, 100%, $F$9) + CHOOSE(CONTROL!$C$27, 0.0021, 0)</f>
        <v>121.9456</v>
      </c>
      <c r="E782" s="14">
        <f>121.8069 * CHOOSE(CONTROL!$C$9, $D$9, 100%, $F$9) + CHOOSE(CONTROL!$C$27, 0.0021, 0)</f>
        <v>121.809</v>
      </c>
      <c r="F782" s="14">
        <f>121.8069 * CHOOSE(CONTROL!$C$9, $D$9, 100%, $F$9) + CHOOSE(CONTROL!$C$27, 0.0021, 0)</f>
        <v>121.809</v>
      </c>
      <c r="G782" s="14">
        <f>122.0782 * CHOOSE(CONTROL!$C$9, $D$9, 100%, $F$9) + CHOOSE(CONTROL!$C$27, 0.0021, 0)</f>
        <v>122.08029999999999</v>
      </c>
      <c r="H782" s="14">
        <f>121.9435 * CHOOSE(CONTROL!$C$9, $D$9, 100%, $F$9) + CHOOSE(CONTROL!$C$27, 0.0021, 0)</f>
        <v>121.9456</v>
      </c>
      <c r="I782" s="14">
        <f>121.9435 * CHOOSE(CONTROL!$C$9, $D$9, 100%, $F$9) + CHOOSE(CONTROL!$C$27, 0.0021, 0)</f>
        <v>121.9456</v>
      </c>
      <c r="J782" s="14">
        <f>121.9435 * CHOOSE(CONTROL!$C$9, $D$9, 100%, $F$9) + CHOOSE(CONTROL!$C$27, 0.0021, 0)</f>
        <v>121.9456</v>
      </c>
      <c r="K782" s="14">
        <f>121.9435 * CHOOSE(CONTROL!$C$9, $D$9, 100%, $F$9) + CHOOSE(CONTROL!$C$27, 0.0021, 0)</f>
        <v>121.9456</v>
      </c>
      <c r="L782" s="14"/>
    </row>
    <row r="783" spans="1:12" ht="15.75" x14ac:dyDescent="0.25">
      <c r="A783" s="32">
        <v>64770</v>
      </c>
      <c r="B783" s="14">
        <f>130.1722 * CHOOSE(CONTROL!$C$9, $D$9, 100%, $F$9) + CHOOSE(CONTROL!$C$27, 0.0021, 0)</f>
        <v>130.17430000000002</v>
      </c>
      <c r="C783" s="14">
        <f>129.7399 * CHOOSE(CONTROL!$C$9, $D$9, 100%, $F$9) + CHOOSE(CONTROL!$C$27, 0.0021, 0)</f>
        <v>129.74200000000002</v>
      </c>
      <c r="D783" s="14">
        <f>129.7399 * CHOOSE(CONTROL!$C$9, $D$9, 100%, $F$9) + CHOOSE(CONTROL!$C$27, 0.0021, 0)</f>
        <v>129.74200000000002</v>
      </c>
      <c r="E783" s="14">
        <f>129.6033 * CHOOSE(CONTROL!$C$9, $D$9, 100%, $F$9) + CHOOSE(CONTROL!$C$27, 0.0021, 0)</f>
        <v>129.6054</v>
      </c>
      <c r="F783" s="14">
        <f>129.6033 * CHOOSE(CONTROL!$C$9, $D$9, 100%, $F$9) + CHOOSE(CONTROL!$C$27, 0.0021, 0)</f>
        <v>129.6054</v>
      </c>
      <c r="G783" s="14">
        <f>129.8746 * CHOOSE(CONTROL!$C$9, $D$9, 100%, $F$9) + CHOOSE(CONTROL!$C$27, 0.0021, 0)</f>
        <v>129.8767</v>
      </c>
      <c r="H783" s="14">
        <f>129.7399 * CHOOSE(CONTROL!$C$9, $D$9, 100%, $F$9) + CHOOSE(CONTROL!$C$27, 0.0021, 0)</f>
        <v>129.74200000000002</v>
      </c>
      <c r="I783" s="14">
        <f>129.7399 * CHOOSE(CONTROL!$C$9, $D$9, 100%, $F$9) + CHOOSE(CONTROL!$C$27, 0.0021, 0)</f>
        <v>129.74200000000002</v>
      </c>
      <c r="J783" s="14">
        <f>129.7399 * CHOOSE(CONTROL!$C$9, $D$9, 100%, $F$9) + CHOOSE(CONTROL!$C$27, 0.0021, 0)</f>
        <v>129.74200000000002</v>
      </c>
      <c r="K783" s="14">
        <f>129.7399 * CHOOSE(CONTROL!$C$9, $D$9, 100%, $F$9) + CHOOSE(CONTROL!$C$27, 0.0021, 0)</f>
        <v>129.74200000000002</v>
      </c>
      <c r="L783" s="14"/>
    </row>
    <row r="784" spans="1:12" ht="15.75" x14ac:dyDescent="0.25">
      <c r="A784" s="32">
        <v>64801</v>
      </c>
      <c r="B784" s="14">
        <f>134.4636 * CHOOSE(CONTROL!$C$9, $D$9, 100%, $F$9) + CHOOSE(CONTROL!$C$27, 0.0021, 0)</f>
        <v>134.46570000000003</v>
      </c>
      <c r="C784" s="14">
        <f>134.0313 * CHOOSE(CONTROL!$C$9, $D$9, 100%, $F$9) + CHOOSE(CONTROL!$C$27, 0.0021, 0)</f>
        <v>134.0334</v>
      </c>
      <c r="D784" s="14">
        <f>134.0313 * CHOOSE(CONTROL!$C$9, $D$9, 100%, $F$9) + CHOOSE(CONTROL!$C$27, 0.0021, 0)</f>
        <v>134.0334</v>
      </c>
      <c r="E784" s="14">
        <f>133.8947 * CHOOSE(CONTROL!$C$9, $D$9, 100%, $F$9) + CHOOSE(CONTROL!$C$27, 0.0021, 0)</f>
        <v>133.89680000000001</v>
      </c>
      <c r="F784" s="14">
        <f>133.8947 * CHOOSE(CONTROL!$C$9, $D$9, 100%, $F$9) + CHOOSE(CONTROL!$C$27, 0.0021, 0)</f>
        <v>133.89680000000001</v>
      </c>
      <c r="G784" s="14">
        <f>134.166 * CHOOSE(CONTROL!$C$9, $D$9, 100%, $F$9) + CHOOSE(CONTROL!$C$27, 0.0021, 0)</f>
        <v>134.16810000000001</v>
      </c>
      <c r="H784" s="14">
        <f>134.0313 * CHOOSE(CONTROL!$C$9, $D$9, 100%, $F$9) + CHOOSE(CONTROL!$C$27, 0.0021, 0)</f>
        <v>134.0334</v>
      </c>
      <c r="I784" s="14">
        <f>134.0313 * CHOOSE(CONTROL!$C$9, $D$9, 100%, $F$9) + CHOOSE(CONTROL!$C$27, 0.0021, 0)</f>
        <v>134.0334</v>
      </c>
      <c r="J784" s="14">
        <f>134.0313 * CHOOSE(CONTROL!$C$9, $D$9, 100%, $F$9) + CHOOSE(CONTROL!$C$27, 0.0021, 0)</f>
        <v>134.0334</v>
      </c>
      <c r="K784" s="14">
        <f>134.0313 * CHOOSE(CONTROL!$C$9, $D$9, 100%, $F$9) + CHOOSE(CONTROL!$C$27, 0.0021, 0)</f>
        <v>134.0334</v>
      </c>
      <c r="L784" s="14"/>
    </row>
    <row r="785" spans="1:12" ht="15.75" x14ac:dyDescent="0.25">
      <c r="A785" s="32">
        <v>64831</v>
      </c>
      <c r="B785" s="14">
        <f>136.368 * CHOOSE(CONTROL!$C$9, $D$9, 100%, $F$9) + CHOOSE(CONTROL!$C$27, 0.0021, 0)</f>
        <v>136.37010000000001</v>
      </c>
      <c r="C785" s="14">
        <f>135.9358 * CHOOSE(CONTROL!$C$9, $D$9, 100%, $F$9) + CHOOSE(CONTROL!$C$27, 0.0021, 0)</f>
        <v>135.93790000000001</v>
      </c>
      <c r="D785" s="14">
        <f>135.9358 * CHOOSE(CONTROL!$C$9, $D$9, 100%, $F$9) + CHOOSE(CONTROL!$C$27, 0.0021, 0)</f>
        <v>135.93790000000001</v>
      </c>
      <c r="E785" s="14">
        <f>135.7991 * CHOOSE(CONTROL!$C$9, $D$9, 100%, $F$9) + CHOOSE(CONTROL!$C$27, 0.0021, 0)</f>
        <v>135.80120000000002</v>
      </c>
      <c r="F785" s="14">
        <f>135.7991 * CHOOSE(CONTROL!$C$9, $D$9, 100%, $F$9) + CHOOSE(CONTROL!$C$27, 0.0021, 0)</f>
        <v>135.80120000000002</v>
      </c>
      <c r="G785" s="14">
        <f>136.0705 * CHOOSE(CONTROL!$C$9, $D$9, 100%, $F$9) + CHOOSE(CONTROL!$C$27, 0.0021, 0)</f>
        <v>136.07260000000002</v>
      </c>
      <c r="H785" s="14">
        <f>135.9358 * CHOOSE(CONTROL!$C$9, $D$9, 100%, $F$9) + CHOOSE(CONTROL!$C$27, 0.0021, 0)</f>
        <v>135.93790000000001</v>
      </c>
      <c r="I785" s="14">
        <f>135.9358 * CHOOSE(CONTROL!$C$9, $D$9, 100%, $F$9) + CHOOSE(CONTROL!$C$27, 0.0021, 0)</f>
        <v>135.93790000000001</v>
      </c>
      <c r="J785" s="14">
        <f>135.9358 * CHOOSE(CONTROL!$C$9, $D$9, 100%, $F$9) + CHOOSE(CONTROL!$C$27, 0.0021, 0)</f>
        <v>135.93790000000001</v>
      </c>
      <c r="K785" s="14">
        <f>135.9358 * CHOOSE(CONTROL!$C$9, $D$9, 100%, $F$9) + CHOOSE(CONTROL!$C$27, 0.0021, 0)</f>
        <v>135.93790000000001</v>
      </c>
      <c r="L785" s="14"/>
    </row>
    <row r="786" spans="1:12" ht="15.75" x14ac:dyDescent="0.25">
      <c r="A786" s="32">
        <v>64862</v>
      </c>
      <c r="B786" s="14">
        <f>135.741 * CHOOSE(CONTROL!$C$9, $D$9, 100%, $F$9) + CHOOSE(CONTROL!$C$27, 0.0021, 0)</f>
        <v>135.74310000000003</v>
      </c>
      <c r="C786" s="14">
        <f>135.3087 * CHOOSE(CONTROL!$C$9, $D$9, 100%, $F$9) + CHOOSE(CONTROL!$C$27, 0.0021, 0)</f>
        <v>135.3108</v>
      </c>
      <c r="D786" s="14">
        <f>135.3087 * CHOOSE(CONTROL!$C$9, $D$9, 100%, $F$9) + CHOOSE(CONTROL!$C$27, 0.0021, 0)</f>
        <v>135.3108</v>
      </c>
      <c r="E786" s="14">
        <f>135.1721 * CHOOSE(CONTROL!$C$9, $D$9, 100%, $F$9) + CHOOSE(CONTROL!$C$27, 0.0021, 0)</f>
        <v>135.17420000000001</v>
      </c>
      <c r="F786" s="14">
        <f>135.1721 * CHOOSE(CONTROL!$C$9, $D$9, 100%, $F$9) + CHOOSE(CONTROL!$C$27, 0.0021, 0)</f>
        <v>135.17420000000001</v>
      </c>
      <c r="G786" s="14">
        <f>135.4434 * CHOOSE(CONTROL!$C$9, $D$9, 100%, $F$9) + CHOOSE(CONTROL!$C$27, 0.0021, 0)</f>
        <v>135.44550000000001</v>
      </c>
      <c r="H786" s="14">
        <f>135.3087 * CHOOSE(CONTROL!$C$9, $D$9, 100%, $F$9) + CHOOSE(CONTROL!$C$27, 0.0021, 0)</f>
        <v>135.3108</v>
      </c>
      <c r="I786" s="14">
        <f>135.3087 * CHOOSE(CONTROL!$C$9, $D$9, 100%, $F$9) + CHOOSE(CONTROL!$C$27, 0.0021, 0)</f>
        <v>135.3108</v>
      </c>
      <c r="J786" s="14">
        <f>135.3087 * CHOOSE(CONTROL!$C$9, $D$9, 100%, $F$9) + CHOOSE(CONTROL!$C$27, 0.0021, 0)</f>
        <v>135.3108</v>
      </c>
      <c r="K786" s="14">
        <f>135.3087 * CHOOSE(CONTROL!$C$9, $D$9, 100%, $F$9) + CHOOSE(CONTROL!$C$27, 0.0021, 0)</f>
        <v>135.3108</v>
      </c>
      <c r="L786" s="14"/>
    </row>
    <row r="787" spans="1:12" ht="15.75" x14ac:dyDescent="0.25">
      <c r="A787" s="32">
        <v>64893</v>
      </c>
      <c r="B787" s="14">
        <f>132.6344 * CHOOSE(CONTROL!$C$9, $D$9, 100%, $F$9) + CHOOSE(CONTROL!$C$27, 0.0021, 0)</f>
        <v>132.63650000000001</v>
      </c>
      <c r="C787" s="14">
        <f>132.2021 * CHOOSE(CONTROL!$C$9, $D$9, 100%, $F$9) + CHOOSE(CONTROL!$C$27, 0.0021, 0)</f>
        <v>132.20420000000001</v>
      </c>
      <c r="D787" s="14">
        <f>132.2021 * CHOOSE(CONTROL!$C$9, $D$9, 100%, $F$9) + CHOOSE(CONTROL!$C$27, 0.0021, 0)</f>
        <v>132.20420000000001</v>
      </c>
      <c r="E787" s="14">
        <f>132.0654 * CHOOSE(CONTROL!$C$9, $D$9, 100%, $F$9) + CHOOSE(CONTROL!$C$27, 0.0021, 0)</f>
        <v>132.06750000000002</v>
      </c>
      <c r="F787" s="14">
        <f>132.0654 * CHOOSE(CONTROL!$C$9, $D$9, 100%, $F$9) + CHOOSE(CONTROL!$C$27, 0.0021, 0)</f>
        <v>132.06750000000002</v>
      </c>
      <c r="G787" s="14">
        <f>132.3368 * CHOOSE(CONTROL!$C$9, $D$9, 100%, $F$9) + CHOOSE(CONTROL!$C$27, 0.0021, 0)</f>
        <v>132.33890000000002</v>
      </c>
      <c r="H787" s="14">
        <f>132.2021 * CHOOSE(CONTROL!$C$9, $D$9, 100%, $F$9) + CHOOSE(CONTROL!$C$27, 0.0021, 0)</f>
        <v>132.20420000000001</v>
      </c>
      <c r="I787" s="14">
        <f>132.2021 * CHOOSE(CONTROL!$C$9, $D$9, 100%, $F$9) + CHOOSE(CONTROL!$C$27, 0.0021, 0)</f>
        <v>132.20420000000001</v>
      </c>
      <c r="J787" s="14">
        <f>132.2021 * CHOOSE(CONTROL!$C$9, $D$9, 100%, $F$9) + CHOOSE(CONTROL!$C$27, 0.0021, 0)</f>
        <v>132.20420000000001</v>
      </c>
      <c r="K787" s="14">
        <f>132.2021 * CHOOSE(CONTROL!$C$9, $D$9, 100%, $F$9) + CHOOSE(CONTROL!$C$27, 0.0021, 0)</f>
        <v>132.20420000000001</v>
      </c>
      <c r="L787" s="14"/>
    </row>
    <row r="788" spans="1:12" ht="15.75" x14ac:dyDescent="0.25">
      <c r="A788" s="32">
        <v>64923</v>
      </c>
      <c r="B788" s="14">
        <f>128.302 * CHOOSE(CONTROL!$C$9, $D$9, 100%, $F$9) + CHOOSE(CONTROL!$C$27, 0.0021, 0)</f>
        <v>128.30410000000001</v>
      </c>
      <c r="C788" s="14">
        <f>127.8698 * CHOOSE(CONTROL!$C$9, $D$9, 100%, $F$9) + CHOOSE(CONTROL!$C$27, 0.0021, 0)</f>
        <v>127.8719</v>
      </c>
      <c r="D788" s="14">
        <f>127.8698 * CHOOSE(CONTROL!$C$9, $D$9, 100%, $F$9) + CHOOSE(CONTROL!$C$27, 0.0021, 0)</f>
        <v>127.8719</v>
      </c>
      <c r="E788" s="14">
        <f>127.7331 * CHOOSE(CONTROL!$C$9, $D$9, 100%, $F$9) + CHOOSE(CONTROL!$C$27, 0.0021, 0)</f>
        <v>127.73519999999999</v>
      </c>
      <c r="F788" s="14">
        <f>127.7331 * CHOOSE(CONTROL!$C$9, $D$9, 100%, $F$9) + CHOOSE(CONTROL!$C$27, 0.0021, 0)</f>
        <v>127.73519999999999</v>
      </c>
      <c r="G788" s="14">
        <f>128.0045 * CHOOSE(CONTROL!$C$9, $D$9, 100%, $F$9) + CHOOSE(CONTROL!$C$27, 0.0021, 0)</f>
        <v>128.00660000000002</v>
      </c>
      <c r="H788" s="14">
        <f>127.8698 * CHOOSE(CONTROL!$C$9, $D$9, 100%, $F$9) + CHOOSE(CONTROL!$C$27, 0.0021, 0)</f>
        <v>127.8719</v>
      </c>
      <c r="I788" s="14">
        <f>127.8698 * CHOOSE(CONTROL!$C$9, $D$9, 100%, $F$9) + CHOOSE(CONTROL!$C$27, 0.0021, 0)</f>
        <v>127.8719</v>
      </c>
      <c r="J788" s="14">
        <f>127.8698 * CHOOSE(CONTROL!$C$9, $D$9, 100%, $F$9) + CHOOSE(CONTROL!$C$27, 0.0021, 0)</f>
        <v>127.8719</v>
      </c>
      <c r="K788" s="14">
        <f>127.8698 * CHOOSE(CONTROL!$C$9, $D$9, 100%, $F$9) + CHOOSE(CONTROL!$C$27, 0.0021, 0)</f>
        <v>127.8719</v>
      </c>
      <c r="L788" s="14"/>
    </row>
    <row r="789" spans="1:12" ht="15.75" x14ac:dyDescent="0.25">
      <c r="A789" s="32">
        <v>64954</v>
      </c>
      <c r="B789" s="14">
        <f>123.9445 * CHOOSE(CONTROL!$C$9, $D$9, 100%, $F$9) + CHOOSE(CONTROL!$C$27, 0.0021, 0)</f>
        <v>123.9466</v>
      </c>
      <c r="C789" s="14">
        <f>123.5122 * CHOOSE(CONTROL!$C$9, $D$9, 100%, $F$9) + CHOOSE(CONTROL!$C$27, 0.0021, 0)</f>
        <v>123.51430000000001</v>
      </c>
      <c r="D789" s="14">
        <f>123.5122 * CHOOSE(CONTROL!$C$9, $D$9, 100%, $F$9) + CHOOSE(CONTROL!$C$27, 0.0021, 0)</f>
        <v>123.51430000000001</v>
      </c>
      <c r="E789" s="14">
        <f>123.3756 * CHOOSE(CONTROL!$C$9, $D$9, 100%, $F$9) + CHOOSE(CONTROL!$C$27, 0.0021, 0)</f>
        <v>123.3777</v>
      </c>
      <c r="F789" s="14">
        <f>123.3756 * CHOOSE(CONTROL!$C$9, $D$9, 100%, $F$9) + CHOOSE(CONTROL!$C$27, 0.0021, 0)</f>
        <v>123.3777</v>
      </c>
      <c r="G789" s="14">
        <f>123.6469 * CHOOSE(CONTROL!$C$9, $D$9, 100%, $F$9) + CHOOSE(CONTROL!$C$27, 0.0021, 0)</f>
        <v>123.649</v>
      </c>
      <c r="H789" s="14">
        <f>123.5122 * CHOOSE(CONTROL!$C$9, $D$9, 100%, $F$9) + CHOOSE(CONTROL!$C$27, 0.0021, 0)</f>
        <v>123.51430000000001</v>
      </c>
      <c r="I789" s="14">
        <f>123.5122 * CHOOSE(CONTROL!$C$9, $D$9, 100%, $F$9) + CHOOSE(CONTROL!$C$27, 0.0021, 0)</f>
        <v>123.51430000000001</v>
      </c>
      <c r="J789" s="14">
        <f>123.5122 * CHOOSE(CONTROL!$C$9, $D$9, 100%, $F$9) + CHOOSE(CONTROL!$C$27, 0.0021, 0)</f>
        <v>123.51430000000001</v>
      </c>
      <c r="K789" s="14">
        <f>123.5122 * CHOOSE(CONTROL!$C$9, $D$9, 100%, $F$9) + CHOOSE(CONTROL!$C$27, 0.0021, 0)</f>
        <v>123.51430000000001</v>
      </c>
      <c r="L789" s="14"/>
    </row>
    <row r="790" spans="1:12" ht="15.75" x14ac:dyDescent="0.25">
      <c r="A790" s="32">
        <v>64984</v>
      </c>
      <c r="B790" s="14">
        <f>123.0777 * CHOOSE(CONTROL!$C$9, $D$9, 100%, $F$9) + CHOOSE(CONTROL!$C$27, 0.0021, 0)</f>
        <v>123.07979999999999</v>
      </c>
      <c r="C790" s="14">
        <f>122.6454 * CHOOSE(CONTROL!$C$9, $D$9, 100%, $F$9) + CHOOSE(CONTROL!$C$27, 0.0021, 0)</f>
        <v>122.64749999999999</v>
      </c>
      <c r="D790" s="14">
        <f>122.6454 * CHOOSE(CONTROL!$C$9, $D$9, 100%, $F$9) + CHOOSE(CONTROL!$C$27, 0.0021, 0)</f>
        <v>122.64749999999999</v>
      </c>
      <c r="E790" s="14">
        <f>122.5088 * CHOOSE(CONTROL!$C$9, $D$9, 100%, $F$9) + CHOOSE(CONTROL!$C$27, 0.0021, 0)</f>
        <v>122.51089999999999</v>
      </c>
      <c r="F790" s="14">
        <f>122.5088 * CHOOSE(CONTROL!$C$9, $D$9, 100%, $F$9) + CHOOSE(CONTROL!$C$27, 0.0021, 0)</f>
        <v>122.51089999999999</v>
      </c>
      <c r="G790" s="14">
        <f>122.7801 * CHOOSE(CONTROL!$C$9, $D$9, 100%, $F$9) + CHOOSE(CONTROL!$C$27, 0.0021, 0)</f>
        <v>122.7822</v>
      </c>
      <c r="H790" s="14">
        <f>122.6454 * CHOOSE(CONTROL!$C$9, $D$9, 100%, $F$9) + CHOOSE(CONTROL!$C$27, 0.0021, 0)</f>
        <v>122.64749999999999</v>
      </c>
      <c r="I790" s="14">
        <f>122.6454 * CHOOSE(CONTROL!$C$9, $D$9, 100%, $F$9) + CHOOSE(CONTROL!$C$27, 0.0021, 0)</f>
        <v>122.64749999999999</v>
      </c>
      <c r="J790" s="14">
        <f>122.6454 * CHOOSE(CONTROL!$C$9, $D$9, 100%, $F$9) + CHOOSE(CONTROL!$C$27, 0.0021, 0)</f>
        <v>122.64749999999999</v>
      </c>
      <c r="K790" s="14">
        <f>122.6454 * CHOOSE(CONTROL!$C$9, $D$9, 100%, $F$9) + CHOOSE(CONTROL!$C$27, 0.0021, 0)</f>
        <v>122.64749999999999</v>
      </c>
      <c r="L790" s="14"/>
    </row>
    <row r="791" spans="1:12" ht="15.75" x14ac:dyDescent="0.25">
      <c r="A791" s="32">
        <v>65015</v>
      </c>
      <c r="B791" s="14">
        <f>119.4933 * CHOOSE(CONTROL!$C$9, $D$9, 100%, $F$9) + CHOOSE(CONTROL!$C$27, 0.0021, 0)</f>
        <v>119.4954</v>
      </c>
      <c r="C791" s="14">
        <f>119.0611 * CHOOSE(CONTROL!$C$9, $D$9, 100%, $F$9) + CHOOSE(CONTROL!$C$27, 0.0021, 0)</f>
        <v>119.06319999999999</v>
      </c>
      <c r="D791" s="14">
        <f>119.0611 * CHOOSE(CONTROL!$C$9, $D$9, 100%, $F$9) + CHOOSE(CONTROL!$C$27, 0.0021, 0)</f>
        <v>119.06319999999999</v>
      </c>
      <c r="E791" s="14">
        <f>118.9244 * CHOOSE(CONTROL!$C$9, $D$9, 100%, $F$9) + CHOOSE(CONTROL!$C$27, 0.0021, 0)</f>
        <v>118.9265</v>
      </c>
      <c r="F791" s="14">
        <f>118.9244 * CHOOSE(CONTROL!$C$9, $D$9, 100%, $F$9) + CHOOSE(CONTROL!$C$27, 0.0021, 0)</f>
        <v>118.9265</v>
      </c>
      <c r="G791" s="14">
        <f>119.1958 * CHOOSE(CONTROL!$C$9, $D$9, 100%, $F$9) + CHOOSE(CONTROL!$C$27, 0.0021, 0)</f>
        <v>119.1979</v>
      </c>
      <c r="H791" s="14">
        <f>119.0611 * CHOOSE(CONTROL!$C$9, $D$9, 100%, $F$9) + CHOOSE(CONTROL!$C$27, 0.0021, 0)</f>
        <v>119.06319999999999</v>
      </c>
      <c r="I791" s="14">
        <f>119.0611 * CHOOSE(CONTROL!$C$9, $D$9, 100%, $F$9) + CHOOSE(CONTROL!$C$27, 0.0021, 0)</f>
        <v>119.06319999999999</v>
      </c>
      <c r="J791" s="14">
        <f>119.0611 * CHOOSE(CONTROL!$C$9, $D$9, 100%, $F$9) + CHOOSE(CONTROL!$C$27, 0.0021, 0)</f>
        <v>119.06319999999999</v>
      </c>
      <c r="K791" s="14">
        <f>119.0611 * CHOOSE(CONTROL!$C$9, $D$9, 100%, $F$9) + CHOOSE(CONTROL!$C$27, 0.0021, 0)</f>
        <v>119.06319999999999</v>
      </c>
      <c r="L791" s="14"/>
    </row>
    <row r="792" spans="1:12" ht="15.75" x14ac:dyDescent="0.25">
      <c r="A792" s="32">
        <v>65046</v>
      </c>
      <c r="B792" s="14">
        <f>118.7955 * CHOOSE(CONTROL!$C$9, $D$9, 100%, $F$9) + CHOOSE(CONTROL!$C$27, 0.0021, 0)</f>
        <v>118.7976</v>
      </c>
      <c r="C792" s="14">
        <f>118.3633 * CHOOSE(CONTROL!$C$9, $D$9, 100%, $F$9) + CHOOSE(CONTROL!$C$27, 0.0021, 0)</f>
        <v>118.36539999999999</v>
      </c>
      <c r="D792" s="14">
        <f>118.3633 * CHOOSE(CONTROL!$C$9, $D$9, 100%, $F$9) + CHOOSE(CONTROL!$C$27, 0.0021, 0)</f>
        <v>118.36539999999999</v>
      </c>
      <c r="E792" s="14">
        <f>118.2266 * CHOOSE(CONTROL!$C$9, $D$9, 100%, $F$9) + CHOOSE(CONTROL!$C$27, 0.0021, 0)</f>
        <v>118.2287</v>
      </c>
      <c r="F792" s="14">
        <f>118.2266 * CHOOSE(CONTROL!$C$9, $D$9, 100%, $F$9) + CHOOSE(CONTROL!$C$27, 0.0021, 0)</f>
        <v>118.2287</v>
      </c>
      <c r="G792" s="14">
        <f>118.498 * CHOOSE(CONTROL!$C$9, $D$9, 100%, $F$9) + CHOOSE(CONTROL!$C$27, 0.0021, 0)</f>
        <v>118.5001</v>
      </c>
      <c r="H792" s="14">
        <f>118.3633 * CHOOSE(CONTROL!$C$9, $D$9, 100%, $F$9) + CHOOSE(CONTROL!$C$27, 0.0021, 0)</f>
        <v>118.36539999999999</v>
      </c>
      <c r="I792" s="14">
        <f>118.3633 * CHOOSE(CONTROL!$C$9, $D$9, 100%, $F$9) + CHOOSE(CONTROL!$C$27, 0.0021, 0)</f>
        <v>118.36539999999999</v>
      </c>
      <c r="J792" s="14">
        <f>118.3633 * CHOOSE(CONTROL!$C$9, $D$9, 100%, $F$9) + CHOOSE(CONTROL!$C$27, 0.0021, 0)</f>
        <v>118.36539999999999</v>
      </c>
      <c r="K792" s="14">
        <f>118.3633 * CHOOSE(CONTROL!$C$9, $D$9, 100%, $F$9) + CHOOSE(CONTROL!$C$27, 0.0021, 0)</f>
        <v>118.36539999999999</v>
      </c>
      <c r="L792" s="14"/>
    </row>
    <row r="793" spans="1:12" ht="15.75" x14ac:dyDescent="0.25">
      <c r="A793" s="32">
        <v>65074</v>
      </c>
      <c r="B793" s="14">
        <f>118.4717 * CHOOSE(CONTROL!$C$9, $D$9, 100%, $F$9) + CHOOSE(CONTROL!$C$27, 0.0021, 0)</f>
        <v>118.4738</v>
      </c>
      <c r="C793" s="14">
        <f>118.0394 * CHOOSE(CONTROL!$C$9, $D$9, 100%, $F$9) + CHOOSE(CONTROL!$C$27, 0.0021, 0)</f>
        <v>118.0415</v>
      </c>
      <c r="D793" s="14">
        <f>118.0394 * CHOOSE(CONTROL!$C$9, $D$9, 100%, $F$9) + CHOOSE(CONTROL!$C$27, 0.0021, 0)</f>
        <v>118.0415</v>
      </c>
      <c r="E793" s="14">
        <f>117.9028 * CHOOSE(CONTROL!$C$9, $D$9, 100%, $F$9) + CHOOSE(CONTROL!$C$27, 0.0021, 0)</f>
        <v>117.9049</v>
      </c>
      <c r="F793" s="14">
        <f>117.9028 * CHOOSE(CONTROL!$C$9, $D$9, 100%, $F$9) + CHOOSE(CONTROL!$C$27, 0.0021, 0)</f>
        <v>117.9049</v>
      </c>
      <c r="G793" s="14">
        <f>118.1741 * CHOOSE(CONTROL!$C$9, $D$9, 100%, $F$9) + CHOOSE(CONTROL!$C$27, 0.0021, 0)</f>
        <v>118.17619999999999</v>
      </c>
      <c r="H793" s="14">
        <f>118.0394 * CHOOSE(CONTROL!$C$9, $D$9, 100%, $F$9) + CHOOSE(CONTROL!$C$27, 0.0021, 0)</f>
        <v>118.0415</v>
      </c>
      <c r="I793" s="14">
        <f>118.0394 * CHOOSE(CONTROL!$C$9, $D$9, 100%, $F$9) + CHOOSE(CONTROL!$C$27, 0.0021, 0)</f>
        <v>118.0415</v>
      </c>
      <c r="J793" s="14">
        <f>118.0394 * CHOOSE(CONTROL!$C$9, $D$9, 100%, $F$9) + CHOOSE(CONTROL!$C$27, 0.0021, 0)</f>
        <v>118.0415</v>
      </c>
      <c r="K793" s="14">
        <f>118.0394 * CHOOSE(CONTROL!$C$9, $D$9, 100%, $F$9) + CHOOSE(CONTROL!$C$27, 0.0021, 0)</f>
        <v>118.0415</v>
      </c>
      <c r="L793" s="14"/>
    </row>
    <row r="794" spans="1:12" ht="15.75" x14ac:dyDescent="0.25">
      <c r="A794" s="32">
        <v>65105</v>
      </c>
      <c r="B794" s="14">
        <f>124.595 * CHOOSE(CONTROL!$C$9, $D$9, 100%, $F$9) + CHOOSE(CONTROL!$C$27, 0.0021, 0)</f>
        <v>124.5971</v>
      </c>
      <c r="C794" s="14">
        <f>124.1628 * CHOOSE(CONTROL!$C$9, $D$9, 100%, $F$9) + CHOOSE(CONTROL!$C$27, 0.0021, 0)</f>
        <v>124.1649</v>
      </c>
      <c r="D794" s="14">
        <f>124.1628 * CHOOSE(CONTROL!$C$9, $D$9, 100%, $F$9) + CHOOSE(CONTROL!$C$27, 0.0021, 0)</f>
        <v>124.1649</v>
      </c>
      <c r="E794" s="14">
        <f>124.0261 * CHOOSE(CONTROL!$C$9, $D$9, 100%, $F$9) + CHOOSE(CONTROL!$C$27, 0.0021, 0)</f>
        <v>124.0282</v>
      </c>
      <c r="F794" s="14">
        <f>124.0261 * CHOOSE(CONTROL!$C$9, $D$9, 100%, $F$9) + CHOOSE(CONTROL!$C$27, 0.0021, 0)</f>
        <v>124.0282</v>
      </c>
      <c r="G794" s="14">
        <f>124.2975 * CHOOSE(CONTROL!$C$9, $D$9, 100%, $F$9) + CHOOSE(CONTROL!$C$27, 0.0021, 0)</f>
        <v>124.2996</v>
      </c>
      <c r="H794" s="14">
        <f>124.1628 * CHOOSE(CONTROL!$C$9, $D$9, 100%, $F$9) + CHOOSE(CONTROL!$C$27, 0.0021, 0)</f>
        <v>124.1649</v>
      </c>
      <c r="I794" s="14">
        <f>124.1628 * CHOOSE(CONTROL!$C$9, $D$9, 100%, $F$9) + CHOOSE(CONTROL!$C$27, 0.0021, 0)</f>
        <v>124.1649</v>
      </c>
      <c r="J794" s="14">
        <f>124.1628 * CHOOSE(CONTROL!$C$9, $D$9, 100%, $F$9) + CHOOSE(CONTROL!$C$27, 0.0021, 0)</f>
        <v>124.1649</v>
      </c>
      <c r="K794" s="14">
        <f>124.1628 * CHOOSE(CONTROL!$C$9, $D$9, 100%, $F$9) + CHOOSE(CONTROL!$C$27, 0.0021, 0)</f>
        <v>124.1649</v>
      </c>
      <c r="L794" s="14"/>
    </row>
    <row r="795" spans="1:12" ht="15.75" x14ac:dyDescent="0.25">
      <c r="A795" s="32">
        <v>65135</v>
      </c>
      <c r="B795" s="14">
        <f>132.5355 * CHOOSE(CONTROL!$C$9, $D$9, 100%, $F$9) + CHOOSE(CONTROL!$C$27, 0.0021, 0)</f>
        <v>132.53760000000003</v>
      </c>
      <c r="C795" s="14">
        <f>132.1032 * CHOOSE(CONTROL!$C$9, $D$9, 100%, $F$9) + CHOOSE(CONTROL!$C$27, 0.0021, 0)</f>
        <v>132.1053</v>
      </c>
      <c r="D795" s="14">
        <f>132.1032 * CHOOSE(CONTROL!$C$9, $D$9, 100%, $F$9) + CHOOSE(CONTROL!$C$27, 0.0021, 0)</f>
        <v>132.1053</v>
      </c>
      <c r="E795" s="14">
        <f>131.9666 * CHOOSE(CONTROL!$C$9, $D$9, 100%, $F$9) + CHOOSE(CONTROL!$C$27, 0.0021, 0)</f>
        <v>131.96870000000001</v>
      </c>
      <c r="F795" s="14">
        <f>131.9666 * CHOOSE(CONTROL!$C$9, $D$9, 100%, $F$9) + CHOOSE(CONTROL!$C$27, 0.0021, 0)</f>
        <v>131.96870000000001</v>
      </c>
      <c r="G795" s="14">
        <f>132.238 * CHOOSE(CONTROL!$C$9, $D$9, 100%, $F$9) + CHOOSE(CONTROL!$C$27, 0.0021, 0)</f>
        <v>132.24010000000001</v>
      </c>
      <c r="H795" s="14">
        <f>132.1032 * CHOOSE(CONTROL!$C$9, $D$9, 100%, $F$9) + CHOOSE(CONTROL!$C$27, 0.0021, 0)</f>
        <v>132.1053</v>
      </c>
      <c r="I795" s="14">
        <f>132.1032 * CHOOSE(CONTROL!$C$9, $D$9, 100%, $F$9) + CHOOSE(CONTROL!$C$27, 0.0021, 0)</f>
        <v>132.1053</v>
      </c>
      <c r="J795" s="14">
        <f>132.1032 * CHOOSE(CONTROL!$C$9, $D$9, 100%, $F$9) + CHOOSE(CONTROL!$C$27, 0.0021, 0)</f>
        <v>132.1053</v>
      </c>
      <c r="K795" s="14">
        <f>132.1032 * CHOOSE(CONTROL!$C$9, $D$9, 100%, $F$9) + CHOOSE(CONTROL!$C$27, 0.0021, 0)</f>
        <v>132.1053</v>
      </c>
      <c r="L795" s="14"/>
    </row>
    <row r="796" spans="1:12" ht="15.75" x14ac:dyDescent="0.25">
      <c r="A796" s="32">
        <v>65166</v>
      </c>
      <c r="B796" s="14">
        <f>136.9062 * CHOOSE(CONTROL!$C$9, $D$9, 100%, $F$9) + CHOOSE(CONTROL!$C$27, 0.0021, 0)</f>
        <v>136.90830000000003</v>
      </c>
      <c r="C796" s="14">
        <f>136.4739 * CHOOSE(CONTROL!$C$9, $D$9, 100%, $F$9) + CHOOSE(CONTROL!$C$27, 0.0021, 0)</f>
        <v>136.476</v>
      </c>
      <c r="D796" s="14">
        <f>136.4739 * CHOOSE(CONTROL!$C$9, $D$9, 100%, $F$9) + CHOOSE(CONTROL!$C$27, 0.0021, 0)</f>
        <v>136.476</v>
      </c>
      <c r="E796" s="14">
        <f>136.3373 * CHOOSE(CONTROL!$C$9, $D$9, 100%, $F$9) + CHOOSE(CONTROL!$C$27, 0.0021, 0)</f>
        <v>136.33940000000001</v>
      </c>
      <c r="F796" s="14">
        <f>136.3373 * CHOOSE(CONTROL!$C$9, $D$9, 100%, $F$9) + CHOOSE(CONTROL!$C$27, 0.0021, 0)</f>
        <v>136.33940000000001</v>
      </c>
      <c r="G796" s="14">
        <f>136.6087 * CHOOSE(CONTROL!$C$9, $D$9, 100%, $F$9) + CHOOSE(CONTROL!$C$27, 0.0021, 0)</f>
        <v>136.61080000000001</v>
      </c>
      <c r="H796" s="14">
        <f>136.4739 * CHOOSE(CONTROL!$C$9, $D$9, 100%, $F$9) + CHOOSE(CONTROL!$C$27, 0.0021, 0)</f>
        <v>136.476</v>
      </c>
      <c r="I796" s="14">
        <f>136.4739 * CHOOSE(CONTROL!$C$9, $D$9, 100%, $F$9) + CHOOSE(CONTROL!$C$27, 0.0021, 0)</f>
        <v>136.476</v>
      </c>
      <c r="J796" s="14">
        <f>136.4739 * CHOOSE(CONTROL!$C$9, $D$9, 100%, $F$9) + CHOOSE(CONTROL!$C$27, 0.0021, 0)</f>
        <v>136.476</v>
      </c>
      <c r="K796" s="14">
        <f>136.4739 * CHOOSE(CONTROL!$C$9, $D$9, 100%, $F$9) + CHOOSE(CONTROL!$C$27, 0.0021, 0)</f>
        <v>136.476</v>
      </c>
      <c r="L796" s="14"/>
    </row>
    <row r="797" spans="1:12" ht="15.75" x14ac:dyDescent="0.25">
      <c r="A797" s="32">
        <v>65196</v>
      </c>
      <c r="B797" s="14">
        <f>138.8458 * CHOOSE(CONTROL!$C$9, $D$9, 100%, $F$9) + CHOOSE(CONTROL!$C$27, 0.0021, 0)</f>
        <v>138.84790000000001</v>
      </c>
      <c r="C797" s="14">
        <f>138.4136 * CHOOSE(CONTROL!$C$9, $D$9, 100%, $F$9) + CHOOSE(CONTROL!$C$27, 0.0021, 0)</f>
        <v>138.41570000000002</v>
      </c>
      <c r="D797" s="14">
        <f>138.4136 * CHOOSE(CONTROL!$C$9, $D$9, 100%, $F$9) + CHOOSE(CONTROL!$C$27, 0.0021, 0)</f>
        <v>138.41570000000002</v>
      </c>
      <c r="E797" s="14">
        <f>138.2769 * CHOOSE(CONTROL!$C$9, $D$9, 100%, $F$9) + CHOOSE(CONTROL!$C$27, 0.0021, 0)</f>
        <v>138.27900000000002</v>
      </c>
      <c r="F797" s="14">
        <f>138.2769 * CHOOSE(CONTROL!$C$9, $D$9, 100%, $F$9) + CHOOSE(CONTROL!$C$27, 0.0021, 0)</f>
        <v>138.27900000000002</v>
      </c>
      <c r="G797" s="14">
        <f>138.5483 * CHOOSE(CONTROL!$C$9, $D$9, 100%, $F$9) + CHOOSE(CONTROL!$C$27, 0.0021, 0)</f>
        <v>138.55040000000002</v>
      </c>
      <c r="H797" s="14">
        <f>138.4136 * CHOOSE(CONTROL!$C$9, $D$9, 100%, $F$9) + CHOOSE(CONTROL!$C$27, 0.0021, 0)</f>
        <v>138.41570000000002</v>
      </c>
      <c r="I797" s="14">
        <f>138.4136 * CHOOSE(CONTROL!$C$9, $D$9, 100%, $F$9) + CHOOSE(CONTROL!$C$27, 0.0021, 0)</f>
        <v>138.41570000000002</v>
      </c>
      <c r="J797" s="14">
        <f>138.4136 * CHOOSE(CONTROL!$C$9, $D$9, 100%, $F$9) + CHOOSE(CONTROL!$C$27, 0.0021, 0)</f>
        <v>138.41570000000002</v>
      </c>
      <c r="K797" s="14">
        <f>138.4136 * CHOOSE(CONTROL!$C$9, $D$9, 100%, $F$9) + CHOOSE(CONTROL!$C$27, 0.0021, 0)</f>
        <v>138.41570000000002</v>
      </c>
      <c r="L797" s="14"/>
    </row>
    <row r="798" spans="1:12" ht="15.75" x14ac:dyDescent="0.25">
      <c r="A798" s="32">
        <v>65227</v>
      </c>
      <c r="B798" s="14">
        <f>138.2072 * CHOOSE(CONTROL!$C$9, $D$9, 100%, $F$9) + CHOOSE(CONTROL!$C$27, 0.0021, 0)</f>
        <v>138.20930000000001</v>
      </c>
      <c r="C798" s="14">
        <f>137.775 * CHOOSE(CONTROL!$C$9, $D$9, 100%, $F$9) + CHOOSE(CONTROL!$C$27, 0.0021, 0)</f>
        <v>137.77710000000002</v>
      </c>
      <c r="D798" s="14">
        <f>137.775 * CHOOSE(CONTROL!$C$9, $D$9, 100%, $F$9) + CHOOSE(CONTROL!$C$27, 0.0021, 0)</f>
        <v>137.77710000000002</v>
      </c>
      <c r="E798" s="14">
        <f>137.6383 * CHOOSE(CONTROL!$C$9, $D$9, 100%, $F$9) + CHOOSE(CONTROL!$C$27, 0.0021, 0)</f>
        <v>137.6404</v>
      </c>
      <c r="F798" s="14">
        <f>137.6383 * CHOOSE(CONTROL!$C$9, $D$9, 100%, $F$9) + CHOOSE(CONTROL!$C$27, 0.0021, 0)</f>
        <v>137.6404</v>
      </c>
      <c r="G798" s="14">
        <f>137.9097 * CHOOSE(CONTROL!$C$9, $D$9, 100%, $F$9) + CHOOSE(CONTROL!$C$27, 0.0021, 0)</f>
        <v>137.9118</v>
      </c>
      <c r="H798" s="14">
        <f>137.775 * CHOOSE(CONTROL!$C$9, $D$9, 100%, $F$9) + CHOOSE(CONTROL!$C$27, 0.0021, 0)</f>
        <v>137.77710000000002</v>
      </c>
      <c r="I798" s="14">
        <f>137.775 * CHOOSE(CONTROL!$C$9, $D$9, 100%, $F$9) + CHOOSE(CONTROL!$C$27, 0.0021, 0)</f>
        <v>137.77710000000002</v>
      </c>
      <c r="J798" s="14">
        <f>137.775 * CHOOSE(CONTROL!$C$9, $D$9, 100%, $F$9) + CHOOSE(CONTROL!$C$27, 0.0021, 0)</f>
        <v>137.77710000000002</v>
      </c>
      <c r="K798" s="14">
        <f>137.775 * CHOOSE(CONTROL!$C$9, $D$9, 100%, $F$9) + CHOOSE(CONTROL!$C$27, 0.0021, 0)</f>
        <v>137.77710000000002</v>
      </c>
      <c r="L798" s="14"/>
    </row>
    <row r="799" spans="1:12" ht="15.75" x14ac:dyDescent="0.25">
      <c r="A799" s="32">
        <v>65258</v>
      </c>
      <c r="B799" s="14">
        <f>135.0432 * CHOOSE(CONTROL!$C$9, $D$9, 100%, $F$9) + CHOOSE(CONTROL!$C$27, 0.0021, 0)</f>
        <v>135.04530000000003</v>
      </c>
      <c r="C799" s="14">
        <f>134.6109 * CHOOSE(CONTROL!$C$9, $D$9, 100%, $F$9) + CHOOSE(CONTROL!$C$27, 0.0021, 0)</f>
        <v>134.613</v>
      </c>
      <c r="D799" s="14">
        <f>134.6109 * CHOOSE(CONTROL!$C$9, $D$9, 100%, $F$9) + CHOOSE(CONTROL!$C$27, 0.0021, 0)</f>
        <v>134.613</v>
      </c>
      <c r="E799" s="14">
        <f>134.4743 * CHOOSE(CONTROL!$C$9, $D$9, 100%, $F$9) + CHOOSE(CONTROL!$C$27, 0.0021, 0)</f>
        <v>134.47640000000001</v>
      </c>
      <c r="F799" s="14">
        <f>134.4743 * CHOOSE(CONTROL!$C$9, $D$9, 100%, $F$9) + CHOOSE(CONTROL!$C$27, 0.0021, 0)</f>
        <v>134.47640000000001</v>
      </c>
      <c r="G799" s="14">
        <f>134.7456 * CHOOSE(CONTROL!$C$9, $D$9, 100%, $F$9) + CHOOSE(CONTROL!$C$27, 0.0021, 0)</f>
        <v>134.74770000000001</v>
      </c>
      <c r="H799" s="14">
        <f>134.6109 * CHOOSE(CONTROL!$C$9, $D$9, 100%, $F$9) + CHOOSE(CONTROL!$C$27, 0.0021, 0)</f>
        <v>134.613</v>
      </c>
      <c r="I799" s="14">
        <f>134.6109 * CHOOSE(CONTROL!$C$9, $D$9, 100%, $F$9) + CHOOSE(CONTROL!$C$27, 0.0021, 0)</f>
        <v>134.613</v>
      </c>
      <c r="J799" s="14">
        <f>134.6109 * CHOOSE(CONTROL!$C$9, $D$9, 100%, $F$9) + CHOOSE(CONTROL!$C$27, 0.0021, 0)</f>
        <v>134.613</v>
      </c>
      <c r="K799" s="14">
        <f>134.6109 * CHOOSE(CONTROL!$C$9, $D$9, 100%, $F$9) + CHOOSE(CONTROL!$C$27, 0.0021, 0)</f>
        <v>134.613</v>
      </c>
      <c r="L799" s="14"/>
    </row>
    <row r="800" spans="1:12" ht="15.75" x14ac:dyDescent="0.25">
      <c r="A800" s="32">
        <v>65288</v>
      </c>
      <c r="B800" s="14">
        <f>130.6308 * CHOOSE(CONTROL!$C$9, $D$9, 100%, $F$9) + CHOOSE(CONTROL!$C$27, 0.0021, 0)</f>
        <v>130.63290000000001</v>
      </c>
      <c r="C800" s="14">
        <f>130.1985 * CHOOSE(CONTROL!$C$9, $D$9, 100%, $F$9) + CHOOSE(CONTROL!$C$27, 0.0021, 0)</f>
        <v>130.20060000000001</v>
      </c>
      <c r="D800" s="14">
        <f>130.1985 * CHOOSE(CONTROL!$C$9, $D$9, 100%, $F$9) + CHOOSE(CONTROL!$C$27, 0.0021, 0)</f>
        <v>130.20060000000001</v>
      </c>
      <c r="E800" s="14">
        <f>130.0619 * CHOOSE(CONTROL!$C$9, $D$9, 100%, $F$9) + CHOOSE(CONTROL!$C$27, 0.0021, 0)</f>
        <v>130.06400000000002</v>
      </c>
      <c r="F800" s="14">
        <f>130.0619 * CHOOSE(CONTROL!$C$9, $D$9, 100%, $F$9) + CHOOSE(CONTROL!$C$27, 0.0021, 0)</f>
        <v>130.06400000000002</v>
      </c>
      <c r="G800" s="14">
        <f>130.3332 * CHOOSE(CONTROL!$C$9, $D$9, 100%, $F$9) + CHOOSE(CONTROL!$C$27, 0.0021, 0)</f>
        <v>130.33530000000002</v>
      </c>
      <c r="H800" s="14">
        <f>130.1985 * CHOOSE(CONTROL!$C$9, $D$9, 100%, $F$9) + CHOOSE(CONTROL!$C$27, 0.0021, 0)</f>
        <v>130.20060000000001</v>
      </c>
      <c r="I800" s="14">
        <f>130.1985 * CHOOSE(CONTROL!$C$9, $D$9, 100%, $F$9) + CHOOSE(CONTROL!$C$27, 0.0021, 0)</f>
        <v>130.20060000000001</v>
      </c>
      <c r="J800" s="14">
        <f>130.1985 * CHOOSE(CONTROL!$C$9, $D$9, 100%, $F$9) + CHOOSE(CONTROL!$C$27, 0.0021, 0)</f>
        <v>130.20060000000001</v>
      </c>
      <c r="K800" s="14">
        <f>130.1985 * CHOOSE(CONTROL!$C$9, $D$9, 100%, $F$9) + CHOOSE(CONTROL!$C$27, 0.0021, 0)</f>
        <v>130.20060000000001</v>
      </c>
      <c r="L800" s="14"/>
    </row>
    <row r="801" spans="1:12" ht="15.75" x14ac:dyDescent="0.25">
      <c r="A801" s="32">
        <v>65319</v>
      </c>
      <c r="B801" s="14">
        <f>126.1927 * CHOOSE(CONTROL!$C$9, $D$9, 100%, $F$9) + CHOOSE(CONTROL!$C$27, 0.0021, 0)</f>
        <v>126.1948</v>
      </c>
      <c r="C801" s="14">
        <f>125.7604 * CHOOSE(CONTROL!$C$9, $D$9, 100%, $F$9) + CHOOSE(CONTROL!$C$27, 0.0021, 0)</f>
        <v>125.7625</v>
      </c>
      <c r="D801" s="14">
        <f>125.7604 * CHOOSE(CONTROL!$C$9, $D$9, 100%, $F$9) + CHOOSE(CONTROL!$C$27, 0.0021, 0)</f>
        <v>125.7625</v>
      </c>
      <c r="E801" s="14">
        <f>125.6238 * CHOOSE(CONTROL!$C$9, $D$9, 100%, $F$9) + CHOOSE(CONTROL!$C$27, 0.0021, 0)</f>
        <v>125.6259</v>
      </c>
      <c r="F801" s="14">
        <f>125.6238 * CHOOSE(CONTROL!$C$9, $D$9, 100%, $F$9) + CHOOSE(CONTROL!$C$27, 0.0021, 0)</f>
        <v>125.6259</v>
      </c>
      <c r="G801" s="14">
        <f>125.8952 * CHOOSE(CONTROL!$C$9, $D$9, 100%, $F$9) + CHOOSE(CONTROL!$C$27, 0.0021, 0)</f>
        <v>125.8973</v>
      </c>
      <c r="H801" s="14">
        <f>125.7604 * CHOOSE(CONTROL!$C$9, $D$9, 100%, $F$9) + CHOOSE(CONTROL!$C$27, 0.0021, 0)</f>
        <v>125.7625</v>
      </c>
      <c r="I801" s="14">
        <f>125.7604 * CHOOSE(CONTROL!$C$9, $D$9, 100%, $F$9) + CHOOSE(CONTROL!$C$27, 0.0021, 0)</f>
        <v>125.7625</v>
      </c>
      <c r="J801" s="14">
        <f>125.7604 * CHOOSE(CONTROL!$C$9, $D$9, 100%, $F$9) + CHOOSE(CONTROL!$C$27, 0.0021, 0)</f>
        <v>125.7625</v>
      </c>
      <c r="K801" s="14">
        <f>125.7604 * CHOOSE(CONTROL!$C$9, $D$9, 100%, $F$9) + CHOOSE(CONTROL!$C$27, 0.0021, 0)</f>
        <v>125.7625</v>
      </c>
      <c r="L801" s="14"/>
    </row>
    <row r="802" spans="1:12" ht="15.75" x14ac:dyDescent="0.25">
      <c r="A802" s="32">
        <v>65349</v>
      </c>
      <c r="B802" s="14">
        <f>125.3099 * CHOOSE(CONTROL!$C$9, $D$9, 100%, $F$9) + CHOOSE(CONTROL!$C$27, 0.0021, 0)</f>
        <v>125.312</v>
      </c>
      <c r="C802" s="14">
        <f>124.8776 * CHOOSE(CONTROL!$C$9, $D$9, 100%, $F$9) + CHOOSE(CONTROL!$C$27, 0.0021, 0)</f>
        <v>124.8797</v>
      </c>
      <c r="D802" s="14">
        <f>124.8776 * CHOOSE(CONTROL!$C$9, $D$9, 100%, $F$9) + CHOOSE(CONTROL!$C$27, 0.0021, 0)</f>
        <v>124.8797</v>
      </c>
      <c r="E802" s="14">
        <f>124.741 * CHOOSE(CONTROL!$C$9, $D$9, 100%, $F$9) + CHOOSE(CONTROL!$C$27, 0.0021, 0)</f>
        <v>124.7431</v>
      </c>
      <c r="F802" s="14">
        <f>124.741 * CHOOSE(CONTROL!$C$9, $D$9, 100%, $F$9) + CHOOSE(CONTROL!$C$27, 0.0021, 0)</f>
        <v>124.7431</v>
      </c>
      <c r="G802" s="14">
        <f>125.0123 * CHOOSE(CONTROL!$C$9, $D$9, 100%, $F$9) + CHOOSE(CONTROL!$C$27, 0.0021, 0)</f>
        <v>125.01439999999999</v>
      </c>
      <c r="H802" s="14">
        <f>124.8776 * CHOOSE(CONTROL!$C$9, $D$9, 100%, $F$9) + CHOOSE(CONTROL!$C$27, 0.0021, 0)</f>
        <v>124.8797</v>
      </c>
      <c r="I802" s="14">
        <f>124.8776 * CHOOSE(CONTROL!$C$9, $D$9, 100%, $F$9) + CHOOSE(CONTROL!$C$27, 0.0021, 0)</f>
        <v>124.8797</v>
      </c>
      <c r="J802" s="14">
        <f>124.8776 * CHOOSE(CONTROL!$C$9, $D$9, 100%, $F$9) + CHOOSE(CONTROL!$C$27, 0.0021, 0)</f>
        <v>124.8797</v>
      </c>
      <c r="K802" s="14">
        <f>124.8776 * CHOOSE(CONTROL!$C$9, $D$9, 100%, $F$9) + CHOOSE(CONTROL!$C$27, 0.0021, 0)</f>
        <v>124.8797</v>
      </c>
      <c r="L802" s="14"/>
    </row>
    <row r="803" spans="1:12" ht="15.75" x14ac:dyDescent="0.25">
      <c r="A803" s="32">
        <v>65380</v>
      </c>
      <c r="B803" s="14">
        <f>121.6593 * CHOOSE(CONTROL!$C$9, $D$9, 100%, $F$9) + CHOOSE(CONTROL!$C$27, 0.0021, 0)</f>
        <v>121.6614</v>
      </c>
      <c r="C803" s="14">
        <f>121.2271 * CHOOSE(CONTROL!$C$9, $D$9, 100%, $F$9) + CHOOSE(CONTROL!$C$27, 0.0021, 0)</f>
        <v>121.22919999999999</v>
      </c>
      <c r="D803" s="14">
        <f>121.2271 * CHOOSE(CONTROL!$C$9, $D$9, 100%, $F$9) + CHOOSE(CONTROL!$C$27, 0.0021, 0)</f>
        <v>121.22919999999999</v>
      </c>
      <c r="E803" s="14">
        <f>121.0904 * CHOOSE(CONTROL!$C$9, $D$9, 100%, $F$9) + CHOOSE(CONTROL!$C$27, 0.0021, 0)</f>
        <v>121.0925</v>
      </c>
      <c r="F803" s="14">
        <f>121.0904 * CHOOSE(CONTROL!$C$9, $D$9, 100%, $F$9) + CHOOSE(CONTROL!$C$27, 0.0021, 0)</f>
        <v>121.0925</v>
      </c>
      <c r="G803" s="14">
        <f>121.3618 * CHOOSE(CONTROL!$C$9, $D$9, 100%, $F$9) + CHOOSE(CONTROL!$C$27, 0.0021, 0)</f>
        <v>121.3639</v>
      </c>
      <c r="H803" s="14">
        <f>121.2271 * CHOOSE(CONTROL!$C$9, $D$9, 100%, $F$9) + CHOOSE(CONTROL!$C$27, 0.0021, 0)</f>
        <v>121.22919999999999</v>
      </c>
      <c r="I803" s="14">
        <f>121.2271 * CHOOSE(CONTROL!$C$9, $D$9, 100%, $F$9) + CHOOSE(CONTROL!$C$27, 0.0021, 0)</f>
        <v>121.22919999999999</v>
      </c>
      <c r="J803" s="14">
        <f>121.2271 * CHOOSE(CONTROL!$C$9, $D$9, 100%, $F$9) + CHOOSE(CONTROL!$C$27, 0.0021, 0)</f>
        <v>121.22919999999999</v>
      </c>
      <c r="K803" s="14">
        <f>121.2271 * CHOOSE(CONTROL!$C$9, $D$9, 100%, $F$9) + CHOOSE(CONTROL!$C$27, 0.0021, 0)</f>
        <v>121.22919999999999</v>
      </c>
      <c r="L803" s="14"/>
    </row>
    <row r="804" spans="1:12" ht="15.75" x14ac:dyDescent="0.25">
      <c r="A804" s="32">
        <v>65411</v>
      </c>
      <c r="B804" s="14">
        <f>120.9486 * CHOOSE(CONTROL!$C$9, $D$9, 100%, $F$9) + CHOOSE(CONTROL!$C$27, 0.0021, 0)</f>
        <v>120.9507</v>
      </c>
      <c r="C804" s="14">
        <f>120.5163 * CHOOSE(CONTROL!$C$9, $D$9, 100%, $F$9) + CHOOSE(CONTROL!$C$27, 0.0021, 0)</f>
        <v>120.5184</v>
      </c>
      <c r="D804" s="14">
        <f>120.5163 * CHOOSE(CONTROL!$C$9, $D$9, 100%, $F$9) + CHOOSE(CONTROL!$C$27, 0.0021, 0)</f>
        <v>120.5184</v>
      </c>
      <c r="E804" s="14">
        <f>120.3797 * CHOOSE(CONTROL!$C$9, $D$9, 100%, $F$9) + CHOOSE(CONTROL!$C$27, 0.0021, 0)</f>
        <v>120.3818</v>
      </c>
      <c r="F804" s="14">
        <f>120.3797 * CHOOSE(CONTROL!$C$9, $D$9, 100%, $F$9) + CHOOSE(CONTROL!$C$27, 0.0021, 0)</f>
        <v>120.3818</v>
      </c>
      <c r="G804" s="14">
        <f>120.6511 * CHOOSE(CONTROL!$C$9, $D$9, 100%, $F$9) + CHOOSE(CONTROL!$C$27, 0.0021, 0)</f>
        <v>120.6532</v>
      </c>
      <c r="H804" s="14">
        <f>120.5163 * CHOOSE(CONTROL!$C$9, $D$9, 100%, $F$9) + CHOOSE(CONTROL!$C$27, 0.0021, 0)</f>
        <v>120.5184</v>
      </c>
      <c r="I804" s="14">
        <f>120.5163 * CHOOSE(CONTROL!$C$9, $D$9, 100%, $F$9) + CHOOSE(CONTROL!$C$27, 0.0021, 0)</f>
        <v>120.5184</v>
      </c>
      <c r="J804" s="14">
        <f>120.5163 * CHOOSE(CONTROL!$C$9, $D$9, 100%, $F$9) + CHOOSE(CONTROL!$C$27, 0.0021, 0)</f>
        <v>120.5184</v>
      </c>
      <c r="K804" s="14">
        <f>120.5163 * CHOOSE(CONTROL!$C$9, $D$9, 100%, $F$9) + CHOOSE(CONTROL!$C$27, 0.0021, 0)</f>
        <v>120.5184</v>
      </c>
      <c r="L804" s="14"/>
    </row>
    <row r="805" spans="1:12" ht="15.75" x14ac:dyDescent="0.25">
      <c r="A805" s="32">
        <v>65439</v>
      </c>
      <c r="B805" s="14">
        <f>120.6188 * CHOOSE(CONTROL!$C$9, $D$9, 100%, $F$9) + CHOOSE(CONTROL!$C$27, 0.0021, 0)</f>
        <v>120.62089999999999</v>
      </c>
      <c r="C805" s="14">
        <f>120.1865 * CHOOSE(CONTROL!$C$9, $D$9, 100%, $F$9) + CHOOSE(CONTROL!$C$27, 0.0021, 0)</f>
        <v>120.18859999999999</v>
      </c>
      <c r="D805" s="14">
        <f>120.1865 * CHOOSE(CONTROL!$C$9, $D$9, 100%, $F$9) + CHOOSE(CONTROL!$C$27, 0.0021, 0)</f>
        <v>120.18859999999999</v>
      </c>
      <c r="E805" s="14">
        <f>120.0499 * CHOOSE(CONTROL!$C$9, $D$9, 100%, $F$9) + CHOOSE(CONTROL!$C$27, 0.0021, 0)</f>
        <v>120.05199999999999</v>
      </c>
      <c r="F805" s="14">
        <f>120.0499 * CHOOSE(CONTROL!$C$9, $D$9, 100%, $F$9) + CHOOSE(CONTROL!$C$27, 0.0021, 0)</f>
        <v>120.05199999999999</v>
      </c>
      <c r="G805" s="14">
        <f>120.3212 * CHOOSE(CONTROL!$C$9, $D$9, 100%, $F$9) + CHOOSE(CONTROL!$C$27, 0.0021, 0)</f>
        <v>120.3233</v>
      </c>
      <c r="H805" s="14">
        <f>120.1865 * CHOOSE(CONTROL!$C$9, $D$9, 100%, $F$9) + CHOOSE(CONTROL!$C$27, 0.0021, 0)</f>
        <v>120.18859999999999</v>
      </c>
      <c r="I805" s="14">
        <f>120.1865 * CHOOSE(CONTROL!$C$9, $D$9, 100%, $F$9) + CHOOSE(CONTROL!$C$27, 0.0021, 0)</f>
        <v>120.18859999999999</v>
      </c>
      <c r="J805" s="14">
        <f>120.1865 * CHOOSE(CONTROL!$C$9, $D$9, 100%, $F$9) + CHOOSE(CONTROL!$C$27, 0.0021, 0)</f>
        <v>120.18859999999999</v>
      </c>
      <c r="K805" s="14">
        <f>120.1865 * CHOOSE(CONTROL!$C$9, $D$9, 100%, $F$9) + CHOOSE(CONTROL!$C$27, 0.0021, 0)</f>
        <v>120.18859999999999</v>
      </c>
      <c r="L805" s="14"/>
    </row>
    <row r="806" spans="1:12" ht="15.75" x14ac:dyDescent="0.25">
      <c r="A806" s="32">
        <v>65470</v>
      </c>
      <c r="B806" s="14">
        <f>126.8552 * CHOOSE(CONTROL!$C$9, $D$9, 100%, $F$9) + CHOOSE(CONTROL!$C$27, 0.0021, 0)</f>
        <v>126.8573</v>
      </c>
      <c r="C806" s="14">
        <f>126.423 * CHOOSE(CONTROL!$C$9, $D$9, 100%, $F$9) + CHOOSE(CONTROL!$C$27, 0.0021, 0)</f>
        <v>126.4251</v>
      </c>
      <c r="D806" s="14">
        <f>126.423 * CHOOSE(CONTROL!$C$9, $D$9, 100%, $F$9) + CHOOSE(CONTROL!$C$27, 0.0021, 0)</f>
        <v>126.4251</v>
      </c>
      <c r="E806" s="14">
        <f>126.2863 * CHOOSE(CONTROL!$C$9, $D$9, 100%, $F$9) + CHOOSE(CONTROL!$C$27, 0.0021, 0)</f>
        <v>126.2884</v>
      </c>
      <c r="F806" s="14">
        <f>126.2863 * CHOOSE(CONTROL!$C$9, $D$9, 100%, $F$9) + CHOOSE(CONTROL!$C$27, 0.0021, 0)</f>
        <v>126.2884</v>
      </c>
      <c r="G806" s="14">
        <f>126.5577 * CHOOSE(CONTROL!$C$9, $D$9, 100%, $F$9) + CHOOSE(CONTROL!$C$27, 0.0021, 0)</f>
        <v>126.5598</v>
      </c>
      <c r="H806" s="14">
        <f>126.423 * CHOOSE(CONTROL!$C$9, $D$9, 100%, $F$9) + CHOOSE(CONTROL!$C$27, 0.0021, 0)</f>
        <v>126.4251</v>
      </c>
      <c r="I806" s="14">
        <f>126.423 * CHOOSE(CONTROL!$C$9, $D$9, 100%, $F$9) + CHOOSE(CONTROL!$C$27, 0.0021, 0)</f>
        <v>126.4251</v>
      </c>
      <c r="J806" s="14">
        <f>126.423 * CHOOSE(CONTROL!$C$9, $D$9, 100%, $F$9) + CHOOSE(CONTROL!$C$27, 0.0021, 0)</f>
        <v>126.4251</v>
      </c>
      <c r="K806" s="14">
        <f>126.423 * CHOOSE(CONTROL!$C$9, $D$9, 100%, $F$9) + CHOOSE(CONTROL!$C$27, 0.0021, 0)</f>
        <v>126.4251</v>
      </c>
      <c r="L806" s="14"/>
    </row>
    <row r="807" spans="1:12" ht="15.75" x14ac:dyDescent="0.25">
      <c r="A807" s="32">
        <v>65500</v>
      </c>
      <c r="B807" s="14">
        <f>134.9425 * CHOOSE(CONTROL!$C$9, $D$9, 100%, $F$9) + CHOOSE(CONTROL!$C$27, 0.0021, 0)</f>
        <v>134.94460000000001</v>
      </c>
      <c r="C807" s="14">
        <f>134.5102 * CHOOSE(CONTROL!$C$9, $D$9, 100%, $F$9) + CHOOSE(CONTROL!$C$27, 0.0021, 0)</f>
        <v>134.51230000000001</v>
      </c>
      <c r="D807" s="14">
        <f>134.5102 * CHOOSE(CONTROL!$C$9, $D$9, 100%, $F$9) + CHOOSE(CONTROL!$C$27, 0.0021, 0)</f>
        <v>134.51230000000001</v>
      </c>
      <c r="E807" s="14">
        <f>134.3736 * CHOOSE(CONTROL!$C$9, $D$9, 100%, $F$9) + CHOOSE(CONTROL!$C$27, 0.0021, 0)</f>
        <v>134.37570000000002</v>
      </c>
      <c r="F807" s="14">
        <f>134.3736 * CHOOSE(CONTROL!$C$9, $D$9, 100%, $F$9) + CHOOSE(CONTROL!$C$27, 0.0021, 0)</f>
        <v>134.37570000000002</v>
      </c>
      <c r="G807" s="14">
        <f>134.6449 * CHOOSE(CONTROL!$C$9, $D$9, 100%, $F$9) + CHOOSE(CONTROL!$C$27, 0.0021, 0)</f>
        <v>134.64700000000002</v>
      </c>
      <c r="H807" s="14">
        <f>134.5102 * CHOOSE(CONTROL!$C$9, $D$9, 100%, $F$9) + CHOOSE(CONTROL!$C$27, 0.0021, 0)</f>
        <v>134.51230000000001</v>
      </c>
      <c r="I807" s="14">
        <f>134.5102 * CHOOSE(CONTROL!$C$9, $D$9, 100%, $F$9) + CHOOSE(CONTROL!$C$27, 0.0021, 0)</f>
        <v>134.51230000000001</v>
      </c>
      <c r="J807" s="14">
        <f>134.5102 * CHOOSE(CONTROL!$C$9, $D$9, 100%, $F$9) + CHOOSE(CONTROL!$C$27, 0.0021, 0)</f>
        <v>134.51230000000001</v>
      </c>
      <c r="K807" s="14">
        <f>134.5102 * CHOOSE(CONTROL!$C$9, $D$9, 100%, $F$9) + CHOOSE(CONTROL!$C$27, 0.0021, 0)</f>
        <v>134.51230000000001</v>
      </c>
      <c r="L807" s="14"/>
    </row>
    <row r="808" spans="1:12" ht="15.75" x14ac:dyDescent="0.25">
      <c r="A808" s="32">
        <v>65531</v>
      </c>
      <c r="B808" s="14">
        <f>139.394 * CHOOSE(CONTROL!$C$9, $D$9, 100%, $F$9) + CHOOSE(CONTROL!$C$27, 0.0021, 0)</f>
        <v>139.39610000000002</v>
      </c>
      <c r="C808" s="14">
        <f>138.9617 * CHOOSE(CONTROL!$C$9, $D$9, 100%, $F$9) + CHOOSE(CONTROL!$C$27, 0.0021, 0)</f>
        <v>138.96380000000002</v>
      </c>
      <c r="D808" s="14">
        <f>138.9617 * CHOOSE(CONTROL!$C$9, $D$9, 100%, $F$9) + CHOOSE(CONTROL!$C$27, 0.0021, 0)</f>
        <v>138.96380000000002</v>
      </c>
      <c r="E808" s="14">
        <f>138.825 * CHOOSE(CONTROL!$C$9, $D$9, 100%, $F$9) + CHOOSE(CONTROL!$C$27, 0.0021, 0)</f>
        <v>138.8271</v>
      </c>
      <c r="F808" s="14">
        <f>138.825 * CHOOSE(CONTROL!$C$9, $D$9, 100%, $F$9) + CHOOSE(CONTROL!$C$27, 0.0021, 0)</f>
        <v>138.8271</v>
      </c>
      <c r="G808" s="14">
        <f>139.0964 * CHOOSE(CONTROL!$C$9, $D$9, 100%, $F$9) + CHOOSE(CONTROL!$C$27, 0.0021, 0)</f>
        <v>139.0985</v>
      </c>
      <c r="H808" s="14">
        <f>138.9617 * CHOOSE(CONTROL!$C$9, $D$9, 100%, $F$9) + CHOOSE(CONTROL!$C$27, 0.0021, 0)</f>
        <v>138.96380000000002</v>
      </c>
      <c r="I808" s="14">
        <f>138.9617 * CHOOSE(CONTROL!$C$9, $D$9, 100%, $F$9) + CHOOSE(CONTROL!$C$27, 0.0021, 0)</f>
        <v>138.96380000000002</v>
      </c>
      <c r="J808" s="14">
        <f>138.9617 * CHOOSE(CONTROL!$C$9, $D$9, 100%, $F$9) + CHOOSE(CONTROL!$C$27, 0.0021, 0)</f>
        <v>138.96380000000002</v>
      </c>
      <c r="K808" s="14">
        <f>138.9617 * CHOOSE(CONTROL!$C$9, $D$9, 100%, $F$9) + CHOOSE(CONTROL!$C$27, 0.0021, 0)</f>
        <v>138.96380000000002</v>
      </c>
      <c r="L808" s="14"/>
    </row>
    <row r="809" spans="1:12" ht="15.75" x14ac:dyDescent="0.25">
      <c r="A809" s="32">
        <v>65561</v>
      </c>
      <c r="B809" s="14">
        <f>141.3694 * CHOOSE(CONTROL!$C$9, $D$9, 100%, $F$9) + CHOOSE(CONTROL!$C$27, 0.0021, 0)</f>
        <v>141.37150000000003</v>
      </c>
      <c r="C809" s="14">
        <f>140.9372 * CHOOSE(CONTROL!$C$9, $D$9, 100%, $F$9) + CHOOSE(CONTROL!$C$27, 0.0021, 0)</f>
        <v>140.9393</v>
      </c>
      <c r="D809" s="14">
        <f>140.9372 * CHOOSE(CONTROL!$C$9, $D$9, 100%, $F$9) + CHOOSE(CONTROL!$C$27, 0.0021, 0)</f>
        <v>140.9393</v>
      </c>
      <c r="E809" s="14">
        <f>140.8005 * CHOOSE(CONTROL!$C$9, $D$9, 100%, $F$9) + CHOOSE(CONTROL!$C$27, 0.0021, 0)</f>
        <v>140.80260000000001</v>
      </c>
      <c r="F809" s="14">
        <f>140.8005 * CHOOSE(CONTROL!$C$9, $D$9, 100%, $F$9) + CHOOSE(CONTROL!$C$27, 0.0021, 0)</f>
        <v>140.80260000000001</v>
      </c>
      <c r="G809" s="14">
        <f>141.0719 * CHOOSE(CONTROL!$C$9, $D$9, 100%, $F$9) + CHOOSE(CONTROL!$C$27, 0.0021, 0)</f>
        <v>141.07400000000001</v>
      </c>
      <c r="H809" s="14">
        <f>140.9372 * CHOOSE(CONTROL!$C$9, $D$9, 100%, $F$9) + CHOOSE(CONTROL!$C$27, 0.0021, 0)</f>
        <v>140.9393</v>
      </c>
      <c r="I809" s="14">
        <f>140.9372 * CHOOSE(CONTROL!$C$9, $D$9, 100%, $F$9) + CHOOSE(CONTROL!$C$27, 0.0021, 0)</f>
        <v>140.9393</v>
      </c>
      <c r="J809" s="14">
        <f>140.9372 * CHOOSE(CONTROL!$C$9, $D$9, 100%, $F$9) + CHOOSE(CONTROL!$C$27, 0.0021, 0)</f>
        <v>140.9393</v>
      </c>
      <c r="K809" s="14">
        <f>140.9372 * CHOOSE(CONTROL!$C$9, $D$9, 100%, $F$9) + CHOOSE(CONTROL!$C$27, 0.0021, 0)</f>
        <v>140.9393</v>
      </c>
      <c r="L809" s="14"/>
    </row>
    <row r="810" spans="1:12" ht="15.75" x14ac:dyDescent="0.25">
      <c r="A810" s="32">
        <v>65592</v>
      </c>
      <c r="B810" s="14">
        <f>140.719 * CHOOSE(CONTROL!$C$9, $D$9, 100%, $F$9) + CHOOSE(CONTROL!$C$27, 0.0021, 0)</f>
        <v>140.72110000000001</v>
      </c>
      <c r="C810" s="14">
        <f>140.2868 * CHOOSE(CONTROL!$C$9, $D$9, 100%, $F$9) + CHOOSE(CONTROL!$C$27, 0.0021, 0)</f>
        <v>140.28890000000001</v>
      </c>
      <c r="D810" s="14">
        <f>140.2868 * CHOOSE(CONTROL!$C$9, $D$9, 100%, $F$9) + CHOOSE(CONTROL!$C$27, 0.0021, 0)</f>
        <v>140.28890000000001</v>
      </c>
      <c r="E810" s="14">
        <f>140.1501 * CHOOSE(CONTROL!$C$9, $D$9, 100%, $F$9) + CHOOSE(CONTROL!$C$27, 0.0021, 0)</f>
        <v>140.15220000000002</v>
      </c>
      <c r="F810" s="14">
        <f>140.1501 * CHOOSE(CONTROL!$C$9, $D$9, 100%, $F$9) + CHOOSE(CONTROL!$C$27, 0.0021, 0)</f>
        <v>140.15220000000002</v>
      </c>
      <c r="G810" s="14">
        <f>140.4215 * CHOOSE(CONTROL!$C$9, $D$9, 100%, $F$9) + CHOOSE(CONTROL!$C$27, 0.0021, 0)</f>
        <v>140.42360000000002</v>
      </c>
      <c r="H810" s="14">
        <f>140.2868 * CHOOSE(CONTROL!$C$9, $D$9, 100%, $F$9) + CHOOSE(CONTROL!$C$27, 0.0021, 0)</f>
        <v>140.28890000000001</v>
      </c>
      <c r="I810" s="14">
        <f>140.2868 * CHOOSE(CONTROL!$C$9, $D$9, 100%, $F$9) + CHOOSE(CONTROL!$C$27, 0.0021, 0)</f>
        <v>140.28890000000001</v>
      </c>
      <c r="J810" s="14">
        <f>140.2868 * CHOOSE(CONTROL!$C$9, $D$9, 100%, $F$9) + CHOOSE(CONTROL!$C$27, 0.0021, 0)</f>
        <v>140.28890000000001</v>
      </c>
      <c r="K810" s="14">
        <f>140.2868 * CHOOSE(CONTROL!$C$9, $D$9, 100%, $F$9) + CHOOSE(CONTROL!$C$27, 0.0021, 0)</f>
        <v>140.28890000000001</v>
      </c>
      <c r="L810" s="14"/>
    </row>
    <row r="811" spans="1:12" ht="15.75" x14ac:dyDescent="0.25">
      <c r="A811" s="32">
        <v>65623</v>
      </c>
      <c r="B811" s="14">
        <f>137.4965 * CHOOSE(CONTROL!$C$9, $D$9, 100%, $F$9) + CHOOSE(CONTROL!$C$27, 0.0021, 0)</f>
        <v>137.49860000000001</v>
      </c>
      <c r="C811" s="14">
        <f>137.0643 * CHOOSE(CONTROL!$C$9, $D$9, 100%, $F$9) + CHOOSE(CONTROL!$C$27, 0.0021, 0)</f>
        <v>137.06640000000002</v>
      </c>
      <c r="D811" s="14">
        <f>137.0643 * CHOOSE(CONTROL!$C$9, $D$9, 100%, $F$9) + CHOOSE(CONTROL!$C$27, 0.0021, 0)</f>
        <v>137.06640000000002</v>
      </c>
      <c r="E811" s="14">
        <f>136.9276 * CHOOSE(CONTROL!$C$9, $D$9, 100%, $F$9) + CHOOSE(CONTROL!$C$27, 0.0021, 0)</f>
        <v>136.92970000000003</v>
      </c>
      <c r="F811" s="14">
        <f>136.9276 * CHOOSE(CONTROL!$C$9, $D$9, 100%, $F$9) + CHOOSE(CONTROL!$C$27, 0.0021, 0)</f>
        <v>136.92970000000003</v>
      </c>
      <c r="G811" s="14">
        <f>137.199 * CHOOSE(CONTROL!$C$9, $D$9, 100%, $F$9) + CHOOSE(CONTROL!$C$27, 0.0021, 0)</f>
        <v>137.20110000000003</v>
      </c>
      <c r="H811" s="14">
        <f>137.0643 * CHOOSE(CONTROL!$C$9, $D$9, 100%, $F$9) + CHOOSE(CONTROL!$C$27, 0.0021, 0)</f>
        <v>137.06640000000002</v>
      </c>
      <c r="I811" s="14">
        <f>137.0643 * CHOOSE(CONTROL!$C$9, $D$9, 100%, $F$9) + CHOOSE(CONTROL!$C$27, 0.0021, 0)</f>
        <v>137.06640000000002</v>
      </c>
      <c r="J811" s="14">
        <f>137.0643 * CHOOSE(CONTROL!$C$9, $D$9, 100%, $F$9) + CHOOSE(CONTROL!$C$27, 0.0021, 0)</f>
        <v>137.06640000000002</v>
      </c>
      <c r="K811" s="14">
        <f>137.0643 * CHOOSE(CONTROL!$C$9, $D$9, 100%, $F$9) + CHOOSE(CONTROL!$C$27, 0.0021, 0)</f>
        <v>137.06640000000002</v>
      </c>
      <c r="L811" s="14"/>
    </row>
    <row r="812" spans="1:12" ht="15.75" x14ac:dyDescent="0.25">
      <c r="A812" s="32">
        <v>65653</v>
      </c>
      <c r="B812" s="14">
        <f>133.0026 * CHOOSE(CONTROL!$C$9, $D$9, 100%, $F$9) + CHOOSE(CONTROL!$C$27, 0.0021, 0)</f>
        <v>133.00470000000001</v>
      </c>
      <c r="C812" s="14">
        <f>132.5703 * CHOOSE(CONTROL!$C$9, $D$9, 100%, $F$9) + CHOOSE(CONTROL!$C$27, 0.0021, 0)</f>
        <v>132.57240000000002</v>
      </c>
      <c r="D812" s="14">
        <f>132.5703 * CHOOSE(CONTROL!$C$9, $D$9, 100%, $F$9) + CHOOSE(CONTROL!$C$27, 0.0021, 0)</f>
        <v>132.57240000000002</v>
      </c>
      <c r="E812" s="14">
        <f>132.4336 * CHOOSE(CONTROL!$C$9, $D$9, 100%, $F$9) + CHOOSE(CONTROL!$C$27, 0.0021, 0)</f>
        <v>132.43570000000003</v>
      </c>
      <c r="F812" s="14">
        <f>132.4336 * CHOOSE(CONTROL!$C$9, $D$9, 100%, $F$9) + CHOOSE(CONTROL!$C$27, 0.0021, 0)</f>
        <v>132.43570000000003</v>
      </c>
      <c r="G812" s="14">
        <f>132.705 * CHOOSE(CONTROL!$C$9, $D$9, 100%, $F$9) + CHOOSE(CONTROL!$C$27, 0.0021, 0)</f>
        <v>132.70710000000003</v>
      </c>
      <c r="H812" s="14">
        <f>132.5703 * CHOOSE(CONTROL!$C$9, $D$9, 100%, $F$9) + CHOOSE(CONTROL!$C$27, 0.0021, 0)</f>
        <v>132.57240000000002</v>
      </c>
      <c r="I812" s="14">
        <f>132.5703 * CHOOSE(CONTROL!$C$9, $D$9, 100%, $F$9) + CHOOSE(CONTROL!$C$27, 0.0021, 0)</f>
        <v>132.57240000000002</v>
      </c>
      <c r="J812" s="14">
        <f>132.5703 * CHOOSE(CONTROL!$C$9, $D$9, 100%, $F$9) + CHOOSE(CONTROL!$C$27, 0.0021, 0)</f>
        <v>132.57240000000002</v>
      </c>
      <c r="K812" s="14">
        <f>132.5703 * CHOOSE(CONTROL!$C$9, $D$9, 100%, $F$9) + CHOOSE(CONTROL!$C$27, 0.0021, 0)</f>
        <v>132.57240000000002</v>
      </c>
      <c r="L812" s="14"/>
    </row>
    <row r="813" spans="1:12" ht="15.75" x14ac:dyDescent="0.25">
      <c r="A813" s="32">
        <v>65684</v>
      </c>
      <c r="B813" s="14">
        <f>128.4825 * CHOOSE(CONTROL!$C$9, $D$9, 100%, $F$9) + CHOOSE(CONTROL!$C$27, 0.0021, 0)</f>
        <v>128.4846</v>
      </c>
      <c r="C813" s="14">
        <f>128.0502 * CHOOSE(CONTROL!$C$9, $D$9, 100%, $F$9) + CHOOSE(CONTROL!$C$27, 0.0021, 0)</f>
        <v>128.0523</v>
      </c>
      <c r="D813" s="14">
        <f>128.0502 * CHOOSE(CONTROL!$C$9, $D$9, 100%, $F$9) + CHOOSE(CONTROL!$C$27, 0.0021, 0)</f>
        <v>128.0523</v>
      </c>
      <c r="E813" s="14">
        <f>127.9136 * CHOOSE(CONTROL!$C$9, $D$9, 100%, $F$9) + CHOOSE(CONTROL!$C$27, 0.0021, 0)</f>
        <v>127.9157</v>
      </c>
      <c r="F813" s="14">
        <f>127.9136 * CHOOSE(CONTROL!$C$9, $D$9, 100%, $F$9) + CHOOSE(CONTROL!$C$27, 0.0021, 0)</f>
        <v>127.9157</v>
      </c>
      <c r="G813" s="14">
        <f>128.1849 * CHOOSE(CONTROL!$C$9, $D$9, 100%, $F$9) + CHOOSE(CONTROL!$C$27, 0.0021, 0)</f>
        <v>128.18700000000001</v>
      </c>
      <c r="H813" s="14">
        <f>128.0502 * CHOOSE(CONTROL!$C$9, $D$9, 100%, $F$9) + CHOOSE(CONTROL!$C$27, 0.0021, 0)</f>
        <v>128.0523</v>
      </c>
      <c r="I813" s="14">
        <f>128.0502 * CHOOSE(CONTROL!$C$9, $D$9, 100%, $F$9) + CHOOSE(CONTROL!$C$27, 0.0021, 0)</f>
        <v>128.0523</v>
      </c>
      <c r="J813" s="14">
        <f>128.0502 * CHOOSE(CONTROL!$C$9, $D$9, 100%, $F$9) + CHOOSE(CONTROL!$C$27, 0.0021, 0)</f>
        <v>128.0523</v>
      </c>
      <c r="K813" s="14">
        <f>128.0502 * CHOOSE(CONTROL!$C$9, $D$9, 100%, $F$9) + CHOOSE(CONTROL!$C$27, 0.0021, 0)</f>
        <v>128.0523</v>
      </c>
      <c r="L813" s="14"/>
    </row>
    <row r="814" spans="1:12" ht="15.75" x14ac:dyDescent="0.25">
      <c r="A814" s="32">
        <v>65714</v>
      </c>
      <c r="B814" s="14">
        <f>127.5833 * CHOOSE(CONTROL!$C$9, $D$9, 100%, $F$9) + CHOOSE(CONTROL!$C$27, 0.0021, 0)</f>
        <v>127.58539999999999</v>
      </c>
      <c r="C814" s="14">
        <f>127.1511 * CHOOSE(CONTROL!$C$9, $D$9, 100%, $F$9) + CHOOSE(CONTROL!$C$27, 0.0021, 0)</f>
        <v>127.1532</v>
      </c>
      <c r="D814" s="14">
        <f>127.1511 * CHOOSE(CONTROL!$C$9, $D$9, 100%, $F$9) + CHOOSE(CONTROL!$C$27, 0.0021, 0)</f>
        <v>127.1532</v>
      </c>
      <c r="E814" s="14">
        <f>127.0144 * CHOOSE(CONTROL!$C$9, $D$9, 100%, $F$9) + CHOOSE(CONTROL!$C$27, 0.0021, 0)</f>
        <v>127.01649999999999</v>
      </c>
      <c r="F814" s="14">
        <f>127.0144 * CHOOSE(CONTROL!$C$9, $D$9, 100%, $F$9) + CHOOSE(CONTROL!$C$27, 0.0021, 0)</f>
        <v>127.01649999999999</v>
      </c>
      <c r="G814" s="14">
        <f>127.2858 * CHOOSE(CONTROL!$C$9, $D$9, 100%, $F$9) + CHOOSE(CONTROL!$C$27, 0.0021, 0)</f>
        <v>127.28789999999999</v>
      </c>
      <c r="H814" s="14">
        <f>127.1511 * CHOOSE(CONTROL!$C$9, $D$9, 100%, $F$9) + CHOOSE(CONTROL!$C$27, 0.0021, 0)</f>
        <v>127.1532</v>
      </c>
      <c r="I814" s="14">
        <f>127.1511 * CHOOSE(CONTROL!$C$9, $D$9, 100%, $F$9) + CHOOSE(CONTROL!$C$27, 0.0021, 0)</f>
        <v>127.1532</v>
      </c>
      <c r="J814" s="14">
        <f>127.1511 * CHOOSE(CONTROL!$C$9, $D$9, 100%, $F$9) + CHOOSE(CONTROL!$C$27, 0.0021, 0)</f>
        <v>127.1532</v>
      </c>
      <c r="K814" s="14">
        <f>127.1511 * CHOOSE(CONTROL!$C$9, $D$9, 100%, $F$9) + CHOOSE(CONTROL!$C$27, 0.0021, 0)</f>
        <v>127.1532</v>
      </c>
      <c r="L814" s="14"/>
    </row>
    <row r="815" spans="1:12" ht="15.75" x14ac:dyDescent="0.25">
      <c r="A815" s="32">
        <v>65745</v>
      </c>
      <c r="B815" s="14">
        <f>123.8653 * CHOOSE(CONTROL!$C$9, $D$9, 100%, $F$9) + CHOOSE(CONTROL!$C$27, 0.0021, 0)</f>
        <v>123.8674</v>
      </c>
      <c r="C815" s="14">
        <f>123.4331 * CHOOSE(CONTROL!$C$9, $D$9, 100%, $F$9) + CHOOSE(CONTROL!$C$27, 0.0021, 0)</f>
        <v>123.43519999999999</v>
      </c>
      <c r="D815" s="14">
        <f>123.4331 * CHOOSE(CONTROL!$C$9, $D$9, 100%, $F$9) + CHOOSE(CONTROL!$C$27, 0.0021, 0)</f>
        <v>123.43519999999999</v>
      </c>
      <c r="E815" s="14">
        <f>123.2964 * CHOOSE(CONTROL!$C$9, $D$9, 100%, $F$9) + CHOOSE(CONTROL!$C$27, 0.0021, 0)</f>
        <v>123.2985</v>
      </c>
      <c r="F815" s="14">
        <f>123.2964 * CHOOSE(CONTROL!$C$9, $D$9, 100%, $F$9) + CHOOSE(CONTROL!$C$27, 0.0021, 0)</f>
        <v>123.2985</v>
      </c>
      <c r="G815" s="14">
        <f>123.5678 * CHOOSE(CONTROL!$C$9, $D$9, 100%, $F$9) + CHOOSE(CONTROL!$C$27, 0.0021, 0)</f>
        <v>123.5699</v>
      </c>
      <c r="H815" s="14">
        <f>123.4331 * CHOOSE(CONTROL!$C$9, $D$9, 100%, $F$9) + CHOOSE(CONTROL!$C$27, 0.0021, 0)</f>
        <v>123.43519999999999</v>
      </c>
      <c r="I815" s="14">
        <f>123.4331 * CHOOSE(CONTROL!$C$9, $D$9, 100%, $F$9) + CHOOSE(CONTROL!$C$27, 0.0021, 0)</f>
        <v>123.43519999999999</v>
      </c>
      <c r="J815" s="14">
        <f>123.4331 * CHOOSE(CONTROL!$C$9, $D$9, 100%, $F$9) + CHOOSE(CONTROL!$C$27, 0.0021, 0)</f>
        <v>123.43519999999999</v>
      </c>
      <c r="K815" s="14">
        <f>123.4331 * CHOOSE(CONTROL!$C$9, $D$9, 100%, $F$9) + CHOOSE(CONTROL!$C$27, 0.0021, 0)</f>
        <v>123.43519999999999</v>
      </c>
      <c r="L815" s="14"/>
    </row>
    <row r="816" spans="1:12" ht="15.75" x14ac:dyDescent="0.25">
      <c r="A816" s="32">
        <v>65776</v>
      </c>
      <c r="B816" s="14">
        <f>123.1414 * CHOOSE(CONTROL!$C$9, $D$9, 100%, $F$9) + CHOOSE(CONTROL!$C$27, 0.0021, 0)</f>
        <v>123.1435</v>
      </c>
      <c r="C816" s="14">
        <f>122.7092 * CHOOSE(CONTROL!$C$9, $D$9, 100%, $F$9) + CHOOSE(CONTROL!$C$27, 0.0021, 0)</f>
        <v>122.71129999999999</v>
      </c>
      <c r="D816" s="14">
        <f>122.7092 * CHOOSE(CONTROL!$C$9, $D$9, 100%, $F$9) + CHOOSE(CONTROL!$C$27, 0.0021, 0)</f>
        <v>122.71129999999999</v>
      </c>
      <c r="E816" s="14">
        <f>122.5725 * CHOOSE(CONTROL!$C$9, $D$9, 100%, $F$9) + CHOOSE(CONTROL!$C$27, 0.0021, 0)</f>
        <v>122.5746</v>
      </c>
      <c r="F816" s="14">
        <f>122.5725 * CHOOSE(CONTROL!$C$9, $D$9, 100%, $F$9) + CHOOSE(CONTROL!$C$27, 0.0021, 0)</f>
        <v>122.5746</v>
      </c>
      <c r="G816" s="14">
        <f>122.8439 * CHOOSE(CONTROL!$C$9, $D$9, 100%, $F$9) + CHOOSE(CONTROL!$C$27, 0.0021, 0)</f>
        <v>122.846</v>
      </c>
      <c r="H816" s="14">
        <f>122.7092 * CHOOSE(CONTROL!$C$9, $D$9, 100%, $F$9) + CHOOSE(CONTROL!$C$27, 0.0021, 0)</f>
        <v>122.71129999999999</v>
      </c>
      <c r="I816" s="14">
        <f>122.7092 * CHOOSE(CONTROL!$C$9, $D$9, 100%, $F$9) + CHOOSE(CONTROL!$C$27, 0.0021, 0)</f>
        <v>122.71129999999999</v>
      </c>
      <c r="J816" s="14">
        <f>122.7092 * CHOOSE(CONTROL!$C$9, $D$9, 100%, $F$9) + CHOOSE(CONTROL!$C$27, 0.0021, 0)</f>
        <v>122.71129999999999</v>
      </c>
      <c r="K816" s="14">
        <f>122.7092 * CHOOSE(CONTROL!$C$9, $D$9, 100%, $F$9) + CHOOSE(CONTROL!$C$27, 0.0021, 0)</f>
        <v>122.71129999999999</v>
      </c>
      <c r="L816" s="14"/>
    </row>
    <row r="817" spans="1:12" ht="15.75" x14ac:dyDescent="0.25">
      <c r="A817" s="32">
        <v>65805</v>
      </c>
      <c r="B817" s="14">
        <f>122.8055 * CHOOSE(CONTROL!$C$9, $D$9, 100%, $F$9) + CHOOSE(CONTROL!$C$27, 0.0021, 0)</f>
        <v>122.80759999999999</v>
      </c>
      <c r="C817" s="14">
        <f>122.3733 * CHOOSE(CONTROL!$C$9, $D$9, 100%, $F$9) + CHOOSE(CONTROL!$C$27, 0.0021, 0)</f>
        <v>122.3754</v>
      </c>
      <c r="D817" s="14">
        <f>122.3733 * CHOOSE(CONTROL!$C$9, $D$9, 100%, $F$9) + CHOOSE(CONTROL!$C$27, 0.0021, 0)</f>
        <v>122.3754</v>
      </c>
      <c r="E817" s="14">
        <f>122.2366 * CHOOSE(CONTROL!$C$9, $D$9, 100%, $F$9) + CHOOSE(CONTROL!$C$27, 0.0021, 0)</f>
        <v>122.23869999999999</v>
      </c>
      <c r="F817" s="14">
        <f>122.2366 * CHOOSE(CONTROL!$C$9, $D$9, 100%, $F$9) + CHOOSE(CONTROL!$C$27, 0.0021, 0)</f>
        <v>122.23869999999999</v>
      </c>
      <c r="G817" s="14">
        <f>122.508 * CHOOSE(CONTROL!$C$9, $D$9, 100%, $F$9) + CHOOSE(CONTROL!$C$27, 0.0021, 0)</f>
        <v>122.51009999999999</v>
      </c>
      <c r="H817" s="14">
        <f>122.3733 * CHOOSE(CONTROL!$C$9, $D$9, 100%, $F$9) + CHOOSE(CONTROL!$C$27, 0.0021, 0)</f>
        <v>122.3754</v>
      </c>
      <c r="I817" s="14">
        <f>122.3733 * CHOOSE(CONTROL!$C$9, $D$9, 100%, $F$9) + CHOOSE(CONTROL!$C$27, 0.0021, 0)</f>
        <v>122.3754</v>
      </c>
      <c r="J817" s="14">
        <f>122.3733 * CHOOSE(CONTROL!$C$9, $D$9, 100%, $F$9) + CHOOSE(CONTROL!$C$27, 0.0021, 0)</f>
        <v>122.3754</v>
      </c>
      <c r="K817" s="14">
        <f>122.3733 * CHOOSE(CONTROL!$C$9, $D$9, 100%, $F$9) + CHOOSE(CONTROL!$C$27, 0.0021, 0)</f>
        <v>122.3754</v>
      </c>
      <c r="L817" s="14"/>
    </row>
    <row r="818" spans="1:12" ht="15.75" x14ac:dyDescent="0.25">
      <c r="A818" s="32">
        <v>65836</v>
      </c>
      <c r="B818" s="14">
        <f>129.1573 * CHOOSE(CONTROL!$C$9, $D$9, 100%, $F$9) + CHOOSE(CONTROL!$C$27, 0.0021, 0)</f>
        <v>129.15940000000001</v>
      </c>
      <c r="C818" s="14">
        <f>128.725 * CHOOSE(CONTROL!$C$9, $D$9, 100%, $F$9) + CHOOSE(CONTROL!$C$27, 0.0021, 0)</f>
        <v>128.72710000000001</v>
      </c>
      <c r="D818" s="14">
        <f>128.725 * CHOOSE(CONTROL!$C$9, $D$9, 100%, $F$9) + CHOOSE(CONTROL!$C$27, 0.0021, 0)</f>
        <v>128.72710000000001</v>
      </c>
      <c r="E818" s="14">
        <f>128.5884 * CHOOSE(CONTROL!$C$9, $D$9, 100%, $F$9) + CHOOSE(CONTROL!$C$27, 0.0021, 0)</f>
        <v>128.59050000000002</v>
      </c>
      <c r="F818" s="14">
        <f>128.5884 * CHOOSE(CONTROL!$C$9, $D$9, 100%, $F$9) + CHOOSE(CONTROL!$C$27, 0.0021, 0)</f>
        <v>128.59050000000002</v>
      </c>
      <c r="G818" s="14">
        <f>128.8597 * CHOOSE(CONTROL!$C$9, $D$9, 100%, $F$9) + CHOOSE(CONTROL!$C$27, 0.0021, 0)</f>
        <v>128.86180000000002</v>
      </c>
      <c r="H818" s="14">
        <f>128.725 * CHOOSE(CONTROL!$C$9, $D$9, 100%, $F$9) + CHOOSE(CONTROL!$C$27, 0.0021, 0)</f>
        <v>128.72710000000001</v>
      </c>
      <c r="I818" s="14">
        <f>128.725 * CHOOSE(CONTROL!$C$9, $D$9, 100%, $F$9) + CHOOSE(CONTROL!$C$27, 0.0021, 0)</f>
        <v>128.72710000000001</v>
      </c>
      <c r="J818" s="14">
        <f>128.725 * CHOOSE(CONTROL!$C$9, $D$9, 100%, $F$9) + CHOOSE(CONTROL!$C$27, 0.0021, 0)</f>
        <v>128.72710000000001</v>
      </c>
      <c r="K818" s="14">
        <f>128.725 * CHOOSE(CONTROL!$C$9, $D$9, 100%, $F$9) + CHOOSE(CONTROL!$C$27, 0.0021, 0)</f>
        <v>128.72710000000001</v>
      </c>
      <c r="L818" s="14"/>
    </row>
    <row r="819" spans="1:12" ht="15.75" x14ac:dyDescent="0.25">
      <c r="A819" s="32">
        <v>65866</v>
      </c>
      <c r="B819" s="14">
        <f>137.394 * CHOOSE(CONTROL!$C$9, $D$9, 100%, $F$9) + CHOOSE(CONTROL!$C$27, 0.0021, 0)</f>
        <v>137.39610000000002</v>
      </c>
      <c r="C819" s="14">
        <f>136.9617 * CHOOSE(CONTROL!$C$9, $D$9, 100%, $F$9) + CHOOSE(CONTROL!$C$27, 0.0021, 0)</f>
        <v>136.96380000000002</v>
      </c>
      <c r="D819" s="14">
        <f>136.9617 * CHOOSE(CONTROL!$C$9, $D$9, 100%, $F$9) + CHOOSE(CONTROL!$C$27, 0.0021, 0)</f>
        <v>136.96380000000002</v>
      </c>
      <c r="E819" s="14">
        <f>136.825 * CHOOSE(CONTROL!$C$9, $D$9, 100%, $F$9) + CHOOSE(CONTROL!$C$27, 0.0021, 0)</f>
        <v>136.8271</v>
      </c>
      <c r="F819" s="14">
        <f>136.825 * CHOOSE(CONTROL!$C$9, $D$9, 100%, $F$9) + CHOOSE(CONTROL!$C$27, 0.0021, 0)</f>
        <v>136.8271</v>
      </c>
      <c r="G819" s="14">
        <f>137.0964 * CHOOSE(CONTROL!$C$9, $D$9, 100%, $F$9) + CHOOSE(CONTROL!$C$27, 0.0021, 0)</f>
        <v>137.0985</v>
      </c>
      <c r="H819" s="14">
        <f>136.9617 * CHOOSE(CONTROL!$C$9, $D$9, 100%, $F$9) + CHOOSE(CONTROL!$C$27, 0.0021, 0)</f>
        <v>136.96380000000002</v>
      </c>
      <c r="I819" s="14">
        <f>136.9617 * CHOOSE(CONTROL!$C$9, $D$9, 100%, $F$9) + CHOOSE(CONTROL!$C$27, 0.0021, 0)</f>
        <v>136.96380000000002</v>
      </c>
      <c r="J819" s="14">
        <f>136.9617 * CHOOSE(CONTROL!$C$9, $D$9, 100%, $F$9) + CHOOSE(CONTROL!$C$27, 0.0021, 0)</f>
        <v>136.96380000000002</v>
      </c>
      <c r="K819" s="14">
        <f>136.9617 * CHOOSE(CONTROL!$C$9, $D$9, 100%, $F$9) + CHOOSE(CONTROL!$C$27, 0.0021, 0)</f>
        <v>136.96380000000002</v>
      </c>
      <c r="L819" s="14"/>
    </row>
    <row r="820" spans="1:12" ht="15.75" x14ac:dyDescent="0.25">
      <c r="A820" s="32">
        <v>65897</v>
      </c>
      <c r="B820" s="14">
        <f>141.9277 * CHOOSE(CONTROL!$C$9, $D$9, 100%, $F$9) + CHOOSE(CONTROL!$C$27, 0.0021, 0)</f>
        <v>141.9298</v>
      </c>
      <c r="C820" s="14">
        <f>141.4954 * CHOOSE(CONTROL!$C$9, $D$9, 100%, $F$9) + CHOOSE(CONTROL!$C$27, 0.0021, 0)</f>
        <v>141.4975</v>
      </c>
      <c r="D820" s="14">
        <f>141.4954 * CHOOSE(CONTROL!$C$9, $D$9, 100%, $F$9) + CHOOSE(CONTROL!$C$27, 0.0021, 0)</f>
        <v>141.4975</v>
      </c>
      <c r="E820" s="14">
        <f>141.3588 * CHOOSE(CONTROL!$C$9, $D$9, 100%, $F$9) + CHOOSE(CONTROL!$C$27, 0.0021, 0)</f>
        <v>141.36090000000002</v>
      </c>
      <c r="F820" s="14">
        <f>141.3588 * CHOOSE(CONTROL!$C$9, $D$9, 100%, $F$9) + CHOOSE(CONTROL!$C$27, 0.0021, 0)</f>
        <v>141.36090000000002</v>
      </c>
      <c r="G820" s="14">
        <f>141.6302 * CHOOSE(CONTROL!$C$9, $D$9, 100%, $F$9) + CHOOSE(CONTROL!$C$27, 0.0021, 0)</f>
        <v>141.63230000000001</v>
      </c>
      <c r="H820" s="14">
        <f>141.4954 * CHOOSE(CONTROL!$C$9, $D$9, 100%, $F$9) + CHOOSE(CONTROL!$C$27, 0.0021, 0)</f>
        <v>141.4975</v>
      </c>
      <c r="I820" s="14">
        <f>141.4954 * CHOOSE(CONTROL!$C$9, $D$9, 100%, $F$9) + CHOOSE(CONTROL!$C$27, 0.0021, 0)</f>
        <v>141.4975</v>
      </c>
      <c r="J820" s="14">
        <f>141.4954 * CHOOSE(CONTROL!$C$9, $D$9, 100%, $F$9) + CHOOSE(CONTROL!$C$27, 0.0021, 0)</f>
        <v>141.4975</v>
      </c>
      <c r="K820" s="14">
        <f>141.4954 * CHOOSE(CONTROL!$C$9, $D$9, 100%, $F$9) + CHOOSE(CONTROL!$C$27, 0.0021, 0)</f>
        <v>141.4975</v>
      </c>
      <c r="L820" s="14"/>
    </row>
    <row r="821" spans="1:12" ht="15.75" x14ac:dyDescent="0.25">
      <c r="A821" s="32">
        <v>65927</v>
      </c>
      <c r="B821" s="14">
        <f>143.9397 * CHOOSE(CONTROL!$C$9, $D$9, 100%, $F$9) + CHOOSE(CONTROL!$C$27, 0.0021, 0)</f>
        <v>143.9418</v>
      </c>
      <c r="C821" s="14">
        <f>143.5074 * CHOOSE(CONTROL!$C$9, $D$9, 100%, $F$9) + CHOOSE(CONTROL!$C$27, 0.0021, 0)</f>
        <v>143.5095</v>
      </c>
      <c r="D821" s="14">
        <f>143.5074 * CHOOSE(CONTROL!$C$9, $D$9, 100%, $F$9) + CHOOSE(CONTROL!$C$27, 0.0021, 0)</f>
        <v>143.5095</v>
      </c>
      <c r="E821" s="14">
        <f>143.3708 * CHOOSE(CONTROL!$C$9, $D$9, 100%, $F$9) + CHOOSE(CONTROL!$C$27, 0.0021, 0)</f>
        <v>143.37290000000002</v>
      </c>
      <c r="F821" s="14">
        <f>143.3708 * CHOOSE(CONTROL!$C$9, $D$9, 100%, $F$9) + CHOOSE(CONTROL!$C$27, 0.0021, 0)</f>
        <v>143.37290000000002</v>
      </c>
      <c r="G821" s="14">
        <f>143.6422 * CHOOSE(CONTROL!$C$9, $D$9, 100%, $F$9) + CHOOSE(CONTROL!$C$27, 0.0021, 0)</f>
        <v>143.64430000000002</v>
      </c>
      <c r="H821" s="14">
        <f>143.5074 * CHOOSE(CONTROL!$C$9, $D$9, 100%, $F$9) + CHOOSE(CONTROL!$C$27, 0.0021, 0)</f>
        <v>143.5095</v>
      </c>
      <c r="I821" s="14">
        <f>143.5074 * CHOOSE(CONTROL!$C$9, $D$9, 100%, $F$9) + CHOOSE(CONTROL!$C$27, 0.0021, 0)</f>
        <v>143.5095</v>
      </c>
      <c r="J821" s="14">
        <f>143.5074 * CHOOSE(CONTROL!$C$9, $D$9, 100%, $F$9) + CHOOSE(CONTROL!$C$27, 0.0021, 0)</f>
        <v>143.5095</v>
      </c>
      <c r="K821" s="14">
        <f>143.5074 * CHOOSE(CONTROL!$C$9, $D$9, 100%, $F$9) + CHOOSE(CONTROL!$C$27, 0.0021, 0)</f>
        <v>143.5095</v>
      </c>
      <c r="L821" s="14"/>
    </row>
    <row r="822" spans="1:12" ht="15.75" x14ac:dyDescent="0.25">
      <c r="A822" s="32">
        <v>65958</v>
      </c>
      <c r="B822" s="14">
        <f>143.2772 * CHOOSE(CONTROL!$C$9, $D$9, 100%, $F$9) + CHOOSE(CONTROL!$C$27, 0.0021, 0)</f>
        <v>143.27930000000001</v>
      </c>
      <c r="C822" s="14">
        <f>142.845 * CHOOSE(CONTROL!$C$9, $D$9, 100%, $F$9) + CHOOSE(CONTROL!$C$27, 0.0021, 0)</f>
        <v>142.84710000000001</v>
      </c>
      <c r="D822" s="14">
        <f>142.845 * CHOOSE(CONTROL!$C$9, $D$9, 100%, $F$9) + CHOOSE(CONTROL!$C$27, 0.0021, 0)</f>
        <v>142.84710000000001</v>
      </c>
      <c r="E822" s="14">
        <f>142.7083 * CHOOSE(CONTROL!$C$9, $D$9, 100%, $F$9) + CHOOSE(CONTROL!$C$27, 0.0021, 0)</f>
        <v>142.71040000000002</v>
      </c>
      <c r="F822" s="14">
        <f>142.7083 * CHOOSE(CONTROL!$C$9, $D$9, 100%, $F$9) + CHOOSE(CONTROL!$C$27, 0.0021, 0)</f>
        <v>142.71040000000002</v>
      </c>
      <c r="G822" s="14">
        <f>142.9797 * CHOOSE(CONTROL!$C$9, $D$9, 100%, $F$9) + CHOOSE(CONTROL!$C$27, 0.0021, 0)</f>
        <v>142.98180000000002</v>
      </c>
      <c r="H822" s="14">
        <f>142.845 * CHOOSE(CONTROL!$C$9, $D$9, 100%, $F$9) + CHOOSE(CONTROL!$C$27, 0.0021, 0)</f>
        <v>142.84710000000001</v>
      </c>
      <c r="I822" s="14">
        <f>142.845 * CHOOSE(CONTROL!$C$9, $D$9, 100%, $F$9) + CHOOSE(CONTROL!$C$27, 0.0021, 0)</f>
        <v>142.84710000000001</v>
      </c>
      <c r="J822" s="14">
        <f>142.845 * CHOOSE(CONTROL!$C$9, $D$9, 100%, $F$9) + CHOOSE(CONTROL!$C$27, 0.0021, 0)</f>
        <v>142.84710000000001</v>
      </c>
      <c r="K822" s="14">
        <f>142.845 * CHOOSE(CONTROL!$C$9, $D$9, 100%, $F$9) + CHOOSE(CONTROL!$C$27, 0.0021, 0)</f>
        <v>142.84710000000001</v>
      </c>
      <c r="L822" s="14"/>
    </row>
    <row r="823" spans="1:12" ht="15.75" x14ac:dyDescent="0.25">
      <c r="A823" s="32">
        <v>65989</v>
      </c>
      <c r="B823" s="14">
        <f>139.9952 * CHOOSE(CONTROL!$C$9, $D$9, 100%, $F$9) + CHOOSE(CONTROL!$C$27, 0.0021, 0)</f>
        <v>139.99730000000002</v>
      </c>
      <c r="C823" s="14">
        <f>139.5629 * CHOOSE(CONTROL!$C$9, $D$9, 100%, $F$9) + CHOOSE(CONTROL!$C$27, 0.0021, 0)</f>
        <v>139.56500000000003</v>
      </c>
      <c r="D823" s="14">
        <f>139.5629 * CHOOSE(CONTROL!$C$9, $D$9, 100%, $F$9) + CHOOSE(CONTROL!$C$27, 0.0021, 0)</f>
        <v>139.56500000000003</v>
      </c>
      <c r="E823" s="14">
        <f>139.4263 * CHOOSE(CONTROL!$C$9, $D$9, 100%, $F$9) + CHOOSE(CONTROL!$C$27, 0.0021, 0)</f>
        <v>139.42840000000001</v>
      </c>
      <c r="F823" s="14">
        <f>139.4263 * CHOOSE(CONTROL!$C$9, $D$9, 100%, $F$9) + CHOOSE(CONTROL!$C$27, 0.0021, 0)</f>
        <v>139.42840000000001</v>
      </c>
      <c r="G823" s="14">
        <f>139.6976 * CHOOSE(CONTROL!$C$9, $D$9, 100%, $F$9) + CHOOSE(CONTROL!$C$27, 0.0021, 0)</f>
        <v>139.69970000000001</v>
      </c>
      <c r="H823" s="14">
        <f>139.5629 * CHOOSE(CONTROL!$C$9, $D$9, 100%, $F$9) + CHOOSE(CONTROL!$C$27, 0.0021, 0)</f>
        <v>139.56500000000003</v>
      </c>
      <c r="I823" s="14">
        <f>139.5629 * CHOOSE(CONTROL!$C$9, $D$9, 100%, $F$9) + CHOOSE(CONTROL!$C$27, 0.0021, 0)</f>
        <v>139.56500000000003</v>
      </c>
      <c r="J823" s="14">
        <f>139.5629 * CHOOSE(CONTROL!$C$9, $D$9, 100%, $F$9) + CHOOSE(CONTROL!$C$27, 0.0021, 0)</f>
        <v>139.56500000000003</v>
      </c>
      <c r="K823" s="14">
        <f>139.5629 * CHOOSE(CONTROL!$C$9, $D$9, 100%, $F$9) + CHOOSE(CONTROL!$C$27, 0.0021, 0)</f>
        <v>139.56500000000003</v>
      </c>
      <c r="L823" s="14"/>
    </row>
    <row r="824" spans="1:12" ht="15.75" x14ac:dyDescent="0.25">
      <c r="A824" s="32">
        <v>66019</v>
      </c>
      <c r="B824" s="14">
        <f>135.4182 * CHOOSE(CONTROL!$C$9, $D$9, 100%, $F$9) + CHOOSE(CONTROL!$C$27, 0.0021, 0)</f>
        <v>135.42030000000003</v>
      </c>
      <c r="C824" s="14">
        <f>134.9859 * CHOOSE(CONTROL!$C$9, $D$9, 100%, $F$9) + CHOOSE(CONTROL!$C$27, 0.0021, 0)</f>
        <v>134.988</v>
      </c>
      <c r="D824" s="14">
        <f>134.9859 * CHOOSE(CONTROL!$C$9, $D$9, 100%, $F$9) + CHOOSE(CONTROL!$C$27, 0.0021, 0)</f>
        <v>134.988</v>
      </c>
      <c r="E824" s="14">
        <f>134.8493 * CHOOSE(CONTROL!$C$9, $D$9, 100%, $F$9) + CHOOSE(CONTROL!$C$27, 0.0021, 0)</f>
        <v>134.85140000000001</v>
      </c>
      <c r="F824" s="14">
        <f>134.8493 * CHOOSE(CONTROL!$C$9, $D$9, 100%, $F$9) + CHOOSE(CONTROL!$C$27, 0.0021, 0)</f>
        <v>134.85140000000001</v>
      </c>
      <c r="G824" s="14">
        <f>135.1206 * CHOOSE(CONTROL!$C$9, $D$9, 100%, $F$9) + CHOOSE(CONTROL!$C$27, 0.0021, 0)</f>
        <v>135.12270000000001</v>
      </c>
      <c r="H824" s="14">
        <f>134.9859 * CHOOSE(CONTROL!$C$9, $D$9, 100%, $F$9) + CHOOSE(CONTROL!$C$27, 0.0021, 0)</f>
        <v>134.988</v>
      </c>
      <c r="I824" s="14">
        <f>134.9859 * CHOOSE(CONTROL!$C$9, $D$9, 100%, $F$9) + CHOOSE(CONTROL!$C$27, 0.0021, 0)</f>
        <v>134.988</v>
      </c>
      <c r="J824" s="14">
        <f>134.9859 * CHOOSE(CONTROL!$C$9, $D$9, 100%, $F$9) + CHOOSE(CONTROL!$C$27, 0.0021, 0)</f>
        <v>134.988</v>
      </c>
      <c r="K824" s="14">
        <f>134.9859 * CHOOSE(CONTROL!$C$9, $D$9, 100%, $F$9) + CHOOSE(CONTROL!$C$27, 0.0021, 0)</f>
        <v>134.988</v>
      </c>
      <c r="L824" s="14"/>
    </row>
    <row r="825" spans="1:12" ht="15.75" x14ac:dyDescent="0.25">
      <c r="A825" s="32">
        <v>66050</v>
      </c>
      <c r="B825" s="14">
        <f>130.8145 * CHOOSE(CONTROL!$C$9, $D$9, 100%, $F$9) + CHOOSE(CONTROL!$C$27, 0.0021, 0)</f>
        <v>130.81660000000002</v>
      </c>
      <c r="C825" s="14">
        <f>130.3823 * CHOOSE(CONTROL!$C$9, $D$9, 100%, $F$9) + CHOOSE(CONTROL!$C$27, 0.0021, 0)</f>
        <v>130.3844</v>
      </c>
      <c r="D825" s="14">
        <f>130.3823 * CHOOSE(CONTROL!$C$9, $D$9, 100%, $F$9) + CHOOSE(CONTROL!$C$27, 0.0021, 0)</f>
        <v>130.3844</v>
      </c>
      <c r="E825" s="14">
        <f>130.2456 * CHOOSE(CONTROL!$C$9, $D$9, 100%, $F$9) + CHOOSE(CONTROL!$C$27, 0.0021, 0)</f>
        <v>130.24770000000001</v>
      </c>
      <c r="F825" s="14">
        <f>130.2456 * CHOOSE(CONTROL!$C$9, $D$9, 100%, $F$9) + CHOOSE(CONTROL!$C$27, 0.0021, 0)</f>
        <v>130.24770000000001</v>
      </c>
      <c r="G825" s="14">
        <f>130.517 * CHOOSE(CONTROL!$C$9, $D$9, 100%, $F$9) + CHOOSE(CONTROL!$C$27, 0.0021, 0)</f>
        <v>130.51910000000001</v>
      </c>
      <c r="H825" s="14">
        <f>130.3823 * CHOOSE(CONTROL!$C$9, $D$9, 100%, $F$9) + CHOOSE(CONTROL!$C$27, 0.0021, 0)</f>
        <v>130.3844</v>
      </c>
      <c r="I825" s="14">
        <f>130.3823 * CHOOSE(CONTROL!$C$9, $D$9, 100%, $F$9) + CHOOSE(CONTROL!$C$27, 0.0021, 0)</f>
        <v>130.3844</v>
      </c>
      <c r="J825" s="14">
        <f>130.3823 * CHOOSE(CONTROL!$C$9, $D$9, 100%, $F$9) + CHOOSE(CONTROL!$C$27, 0.0021, 0)</f>
        <v>130.3844</v>
      </c>
      <c r="K825" s="14">
        <f>130.3823 * CHOOSE(CONTROL!$C$9, $D$9, 100%, $F$9) + CHOOSE(CONTROL!$C$27, 0.0021, 0)</f>
        <v>130.3844</v>
      </c>
      <c r="L825" s="14"/>
    </row>
    <row r="826" spans="1:12" ht="15.75" x14ac:dyDescent="0.25">
      <c r="A826" s="32">
        <v>66080</v>
      </c>
      <c r="B826" s="14">
        <f>129.8988 * CHOOSE(CONTROL!$C$9, $D$9, 100%, $F$9) + CHOOSE(CONTROL!$C$27, 0.0021, 0)</f>
        <v>129.90090000000001</v>
      </c>
      <c r="C826" s="14">
        <f>129.4665 * CHOOSE(CONTROL!$C$9, $D$9, 100%, $F$9) + CHOOSE(CONTROL!$C$27, 0.0021, 0)</f>
        <v>129.46860000000001</v>
      </c>
      <c r="D826" s="14">
        <f>129.4665 * CHOOSE(CONTROL!$C$9, $D$9, 100%, $F$9) + CHOOSE(CONTROL!$C$27, 0.0021, 0)</f>
        <v>129.46860000000001</v>
      </c>
      <c r="E826" s="14">
        <f>129.3299 * CHOOSE(CONTROL!$C$9, $D$9, 100%, $F$9) + CHOOSE(CONTROL!$C$27, 0.0021, 0)</f>
        <v>129.33200000000002</v>
      </c>
      <c r="F826" s="14">
        <f>129.3299 * CHOOSE(CONTROL!$C$9, $D$9, 100%, $F$9) + CHOOSE(CONTROL!$C$27, 0.0021, 0)</f>
        <v>129.33200000000002</v>
      </c>
      <c r="G826" s="14">
        <f>129.6013 * CHOOSE(CONTROL!$C$9, $D$9, 100%, $F$9) + CHOOSE(CONTROL!$C$27, 0.0021, 0)</f>
        <v>129.60340000000002</v>
      </c>
      <c r="H826" s="14">
        <f>129.4665 * CHOOSE(CONTROL!$C$9, $D$9, 100%, $F$9) + CHOOSE(CONTROL!$C$27, 0.0021, 0)</f>
        <v>129.46860000000001</v>
      </c>
      <c r="I826" s="14">
        <f>129.4665 * CHOOSE(CONTROL!$C$9, $D$9, 100%, $F$9) + CHOOSE(CONTROL!$C$27, 0.0021, 0)</f>
        <v>129.46860000000001</v>
      </c>
      <c r="J826" s="14">
        <f>129.4665 * CHOOSE(CONTROL!$C$9, $D$9, 100%, $F$9) + CHOOSE(CONTROL!$C$27, 0.0021, 0)</f>
        <v>129.46860000000001</v>
      </c>
      <c r="K826" s="14">
        <f>129.4665 * CHOOSE(CONTROL!$C$9, $D$9, 100%, $F$9) + CHOOSE(CONTROL!$C$27, 0.0021, 0)</f>
        <v>129.46860000000001</v>
      </c>
      <c r="L826" s="14"/>
    </row>
    <row r="827" spans="1:12" ht="15.75" x14ac:dyDescent="0.25">
      <c r="A827" s="32">
        <v>66111</v>
      </c>
      <c r="B827" s="14">
        <f>126.1121 * CHOOSE(CONTROL!$C$9, $D$9, 100%, $F$9) + CHOOSE(CONTROL!$C$27, 0.0021, 0)</f>
        <v>126.1142</v>
      </c>
      <c r="C827" s="14">
        <f>125.6798 * CHOOSE(CONTROL!$C$9, $D$9, 100%, $F$9) + CHOOSE(CONTROL!$C$27, 0.0021, 0)</f>
        <v>125.6819</v>
      </c>
      <c r="D827" s="14">
        <f>125.6798 * CHOOSE(CONTROL!$C$9, $D$9, 100%, $F$9) + CHOOSE(CONTROL!$C$27, 0.0021, 0)</f>
        <v>125.6819</v>
      </c>
      <c r="E827" s="14">
        <f>125.5432 * CHOOSE(CONTROL!$C$9, $D$9, 100%, $F$9) + CHOOSE(CONTROL!$C$27, 0.0021, 0)</f>
        <v>125.5453</v>
      </c>
      <c r="F827" s="14">
        <f>125.5432 * CHOOSE(CONTROL!$C$9, $D$9, 100%, $F$9) + CHOOSE(CONTROL!$C$27, 0.0021, 0)</f>
        <v>125.5453</v>
      </c>
      <c r="G827" s="14">
        <f>125.8145 * CHOOSE(CONTROL!$C$9, $D$9, 100%, $F$9) + CHOOSE(CONTROL!$C$27, 0.0021, 0)</f>
        <v>125.81659999999999</v>
      </c>
      <c r="H827" s="14">
        <f>125.6798 * CHOOSE(CONTROL!$C$9, $D$9, 100%, $F$9) + CHOOSE(CONTROL!$C$27, 0.0021, 0)</f>
        <v>125.6819</v>
      </c>
      <c r="I827" s="14">
        <f>125.6798 * CHOOSE(CONTROL!$C$9, $D$9, 100%, $F$9) + CHOOSE(CONTROL!$C$27, 0.0021, 0)</f>
        <v>125.6819</v>
      </c>
      <c r="J827" s="14">
        <f>125.6798 * CHOOSE(CONTROL!$C$9, $D$9, 100%, $F$9) + CHOOSE(CONTROL!$C$27, 0.0021, 0)</f>
        <v>125.6819</v>
      </c>
      <c r="K827" s="14">
        <f>125.6798 * CHOOSE(CONTROL!$C$9, $D$9, 100%, $F$9) + CHOOSE(CONTROL!$C$27, 0.0021, 0)</f>
        <v>125.6819</v>
      </c>
      <c r="L827" s="14"/>
    </row>
    <row r="828" spans="1:12" ht="15.75" x14ac:dyDescent="0.25">
      <c r="A828" s="32">
        <v>66142</v>
      </c>
      <c r="B828" s="14">
        <f>125.3748 * CHOOSE(CONTROL!$C$9, $D$9, 100%, $F$9) + CHOOSE(CONTROL!$C$27, 0.0021, 0)</f>
        <v>125.37689999999999</v>
      </c>
      <c r="C828" s="14">
        <f>124.9426 * CHOOSE(CONTROL!$C$9, $D$9, 100%, $F$9) + CHOOSE(CONTROL!$C$27, 0.0021, 0)</f>
        <v>124.9447</v>
      </c>
      <c r="D828" s="14">
        <f>124.9426 * CHOOSE(CONTROL!$C$9, $D$9, 100%, $F$9) + CHOOSE(CONTROL!$C$27, 0.0021, 0)</f>
        <v>124.9447</v>
      </c>
      <c r="E828" s="14">
        <f>124.8059 * CHOOSE(CONTROL!$C$9, $D$9, 100%, $F$9) + CHOOSE(CONTROL!$C$27, 0.0021, 0)</f>
        <v>124.80799999999999</v>
      </c>
      <c r="F828" s="14">
        <f>124.8059 * CHOOSE(CONTROL!$C$9, $D$9, 100%, $F$9) + CHOOSE(CONTROL!$C$27, 0.0021, 0)</f>
        <v>124.80799999999999</v>
      </c>
      <c r="G828" s="14">
        <f>125.0773 * CHOOSE(CONTROL!$C$9, $D$9, 100%, $F$9) + CHOOSE(CONTROL!$C$27, 0.0021, 0)</f>
        <v>125.07939999999999</v>
      </c>
      <c r="H828" s="14">
        <f>124.9426 * CHOOSE(CONTROL!$C$9, $D$9, 100%, $F$9) + CHOOSE(CONTROL!$C$27, 0.0021, 0)</f>
        <v>124.9447</v>
      </c>
      <c r="I828" s="14">
        <f>124.9426 * CHOOSE(CONTROL!$C$9, $D$9, 100%, $F$9) + CHOOSE(CONTROL!$C$27, 0.0021, 0)</f>
        <v>124.9447</v>
      </c>
      <c r="J828" s="14">
        <f>124.9426 * CHOOSE(CONTROL!$C$9, $D$9, 100%, $F$9) + CHOOSE(CONTROL!$C$27, 0.0021, 0)</f>
        <v>124.9447</v>
      </c>
      <c r="K828" s="14">
        <f>124.9426 * CHOOSE(CONTROL!$C$9, $D$9, 100%, $F$9) + CHOOSE(CONTROL!$C$27, 0.0021, 0)</f>
        <v>124.9447</v>
      </c>
      <c r="L828" s="14"/>
    </row>
    <row r="829" spans="1:12" ht="15.75" x14ac:dyDescent="0.25">
      <c r="A829" s="32">
        <v>66170</v>
      </c>
      <c r="B829" s="14">
        <f>125.0327 * CHOOSE(CONTROL!$C$9, $D$9, 100%, $F$9) + CHOOSE(CONTROL!$C$27, 0.0021, 0)</f>
        <v>125.0348</v>
      </c>
      <c r="C829" s="14">
        <f>124.6004 * CHOOSE(CONTROL!$C$9, $D$9, 100%, $F$9) + CHOOSE(CONTROL!$C$27, 0.0021, 0)</f>
        <v>124.60249999999999</v>
      </c>
      <c r="D829" s="14">
        <f>124.6004 * CHOOSE(CONTROL!$C$9, $D$9, 100%, $F$9) + CHOOSE(CONTROL!$C$27, 0.0021, 0)</f>
        <v>124.60249999999999</v>
      </c>
      <c r="E829" s="14">
        <f>124.4638 * CHOOSE(CONTROL!$C$9, $D$9, 100%, $F$9) + CHOOSE(CONTROL!$C$27, 0.0021, 0)</f>
        <v>124.4659</v>
      </c>
      <c r="F829" s="14">
        <f>124.4638 * CHOOSE(CONTROL!$C$9, $D$9, 100%, $F$9) + CHOOSE(CONTROL!$C$27, 0.0021, 0)</f>
        <v>124.4659</v>
      </c>
      <c r="G829" s="14">
        <f>124.7352 * CHOOSE(CONTROL!$C$9, $D$9, 100%, $F$9) + CHOOSE(CONTROL!$C$27, 0.0021, 0)</f>
        <v>124.7373</v>
      </c>
      <c r="H829" s="14">
        <f>124.6004 * CHOOSE(CONTROL!$C$9, $D$9, 100%, $F$9) + CHOOSE(CONTROL!$C$27, 0.0021, 0)</f>
        <v>124.60249999999999</v>
      </c>
      <c r="I829" s="14">
        <f>124.6004 * CHOOSE(CONTROL!$C$9, $D$9, 100%, $F$9) + CHOOSE(CONTROL!$C$27, 0.0021, 0)</f>
        <v>124.60249999999999</v>
      </c>
      <c r="J829" s="14">
        <f>124.6004 * CHOOSE(CONTROL!$C$9, $D$9, 100%, $F$9) + CHOOSE(CONTROL!$C$27, 0.0021, 0)</f>
        <v>124.60249999999999</v>
      </c>
      <c r="K829" s="14">
        <f>124.6004 * CHOOSE(CONTROL!$C$9, $D$9, 100%, $F$9) + CHOOSE(CONTROL!$C$27, 0.0021, 0)</f>
        <v>124.60249999999999</v>
      </c>
      <c r="L829" s="14"/>
    </row>
    <row r="830" spans="1:12" ht="15.75" x14ac:dyDescent="0.25">
      <c r="A830" s="32">
        <v>66201</v>
      </c>
      <c r="B830" s="14">
        <f>131.5018 * CHOOSE(CONTROL!$C$9, $D$9, 100%, $F$9) + CHOOSE(CONTROL!$C$27, 0.0021, 0)</f>
        <v>131.50390000000002</v>
      </c>
      <c r="C830" s="14">
        <f>131.0696 * CHOOSE(CONTROL!$C$9, $D$9, 100%, $F$9) + CHOOSE(CONTROL!$C$27, 0.0021, 0)</f>
        <v>131.07170000000002</v>
      </c>
      <c r="D830" s="14">
        <f>131.0696 * CHOOSE(CONTROL!$C$9, $D$9, 100%, $F$9) + CHOOSE(CONTROL!$C$27, 0.0021, 0)</f>
        <v>131.07170000000002</v>
      </c>
      <c r="E830" s="14">
        <f>130.9329 * CHOOSE(CONTROL!$C$9, $D$9, 100%, $F$9) + CHOOSE(CONTROL!$C$27, 0.0021, 0)</f>
        <v>130.935</v>
      </c>
      <c r="F830" s="14">
        <f>130.9329 * CHOOSE(CONTROL!$C$9, $D$9, 100%, $F$9) + CHOOSE(CONTROL!$C$27, 0.0021, 0)</f>
        <v>130.935</v>
      </c>
      <c r="G830" s="14">
        <f>131.2043 * CHOOSE(CONTROL!$C$9, $D$9, 100%, $F$9) + CHOOSE(CONTROL!$C$27, 0.0021, 0)</f>
        <v>131.2064</v>
      </c>
      <c r="H830" s="14">
        <f>131.0696 * CHOOSE(CONTROL!$C$9, $D$9, 100%, $F$9) + CHOOSE(CONTROL!$C$27, 0.0021, 0)</f>
        <v>131.07170000000002</v>
      </c>
      <c r="I830" s="14">
        <f>131.0696 * CHOOSE(CONTROL!$C$9, $D$9, 100%, $F$9) + CHOOSE(CONTROL!$C$27, 0.0021, 0)</f>
        <v>131.07170000000002</v>
      </c>
      <c r="J830" s="14">
        <f>131.0696 * CHOOSE(CONTROL!$C$9, $D$9, 100%, $F$9) + CHOOSE(CONTROL!$C$27, 0.0021, 0)</f>
        <v>131.07170000000002</v>
      </c>
      <c r="K830" s="14">
        <f>131.0696 * CHOOSE(CONTROL!$C$9, $D$9, 100%, $F$9) + CHOOSE(CONTROL!$C$27, 0.0021, 0)</f>
        <v>131.07170000000002</v>
      </c>
      <c r="L830" s="14"/>
    </row>
    <row r="831" spans="1:12" ht="15.75" x14ac:dyDescent="0.25">
      <c r="A831" s="32">
        <v>66231</v>
      </c>
      <c r="B831" s="14">
        <f>139.8907 * CHOOSE(CONTROL!$C$9, $D$9, 100%, $F$9) + CHOOSE(CONTROL!$C$27, 0.0021, 0)</f>
        <v>139.89280000000002</v>
      </c>
      <c r="C831" s="14">
        <f>139.4585 * CHOOSE(CONTROL!$C$9, $D$9, 100%, $F$9) + CHOOSE(CONTROL!$C$27, 0.0021, 0)</f>
        <v>139.4606</v>
      </c>
      <c r="D831" s="14">
        <f>139.4585 * CHOOSE(CONTROL!$C$9, $D$9, 100%, $F$9) + CHOOSE(CONTROL!$C$27, 0.0021, 0)</f>
        <v>139.4606</v>
      </c>
      <c r="E831" s="14">
        <f>139.3218 * CHOOSE(CONTROL!$C$9, $D$9, 100%, $F$9) + CHOOSE(CONTROL!$C$27, 0.0021, 0)</f>
        <v>139.32390000000001</v>
      </c>
      <c r="F831" s="14">
        <f>139.3218 * CHOOSE(CONTROL!$C$9, $D$9, 100%, $F$9) + CHOOSE(CONTROL!$C$27, 0.0021, 0)</f>
        <v>139.32390000000001</v>
      </c>
      <c r="G831" s="14">
        <f>139.5932 * CHOOSE(CONTROL!$C$9, $D$9, 100%, $F$9) + CHOOSE(CONTROL!$C$27, 0.0021, 0)</f>
        <v>139.59530000000001</v>
      </c>
      <c r="H831" s="14">
        <f>139.4585 * CHOOSE(CONTROL!$C$9, $D$9, 100%, $F$9) + CHOOSE(CONTROL!$C$27, 0.0021, 0)</f>
        <v>139.4606</v>
      </c>
      <c r="I831" s="14">
        <f>139.4585 * CHOOSE(CONTROL!$C$9, $D$9, 100%, $F$9) + CHOOSE(CONTROL!$C$27, 0.0021, 0)</f>
        <v>139.4606</v>
      </c>
      <c r="J831" s="14">
        <f>139.4585 * CHOOSE(CONTROL!$C$9, $D$9, 100%, $F$9) + CHOOSE(CONTROL!$C$27, 0.0021, 0)</f>
        <v>139.4606</v>
      </c>
      <c r="K831" s="14">
        <f>139.4585 * CHOOSE(CONTROL!$C$9, $D$9, 100%, $F$9) + CHOOSE(CONTROL!$C$27, 0.0021, 0)</f>
        <v>139.4606</v>
      </c>
      <c r="L831" s="14"/>
    </row>
    <row r="832" spans="1:12" ht="15.75" x14ac:dyDescent="0.25">
      <c r="A832" s="32">
        <v>66262</v>
      </c>
      <c r="B832" s="14">
        <f>144.5083 * CHOOSE(CONTROL!$C$9, $D$9, 100%, $F$9) + CHOOSE(CONTROL!$C$27, 0.0021, 0)</f>
        <v>144.5104</v>
      </c>
      <c r="C832" s="14">
        <f>144.076 * CHOOSE(CONTROL!$C$9, $D$9, 100%, $F$9) + CHOOSE(CONTROL!$C$27, 0.0021, 0)</f>
        <v>144.07810000000001</v>
      </c>
      <c r="D832" s="14">
        <f>144.076 * CHOOSE(CONTROL!$C$9, $D$9, 100%, $F$9) + CHOOSE(CONTROL!$C$27, 0.0021, 0)</f>
        <v>144.07810000000001</v>
      </c>
      <c r="E832" s="14">
        <f>143.9394 * CHOOSE(CONTROL!$C$9, $D$9, 100%, $F$9) + CHOOSE(CONTROL!$C$27, 0.0021, 0)</f>
        <v>143.94150000000002</v>
      </c>
      <c r="F832" s="14">
        <f>143.9394 * CHOOSE(CONTROL!$C$9, $D$9, 100%, $F$9) + CHOOSE(CONTROL!$C$27, 0.0021, 0)</f>
        <v>143.94150000000002</v>
      </c>
      <c r="G832" s="14">
        <f>144.2107 * CHOOSE(CONTROL!$C$9, $D$9, 100%, $F$9) + CHOOSE(CONTROL!$C$27, 0.0021, 0)</f>
        <v>144.21280000000002</v>
      </c>
      <c r="H832" s="14">
        <f>144.076 * CHOOSE(CONTROL!$C$9, $D$9, 100%, $F$9) + CHOOSE(CONTROL!$C$27, 0.0021, 0)</f>
        <v>144.07810000000001</v>
      </c>
      <c r="I832" s="14">
        <f>144.076 * CHOOSE(CONTROL!$C$9, $D$9, 100%, $F$9) + CHOOSE(CONTROL!$C$27, 0.0021, 0)</f>
        <v>144.07810000000001</v>
      </c>
      <c r="J832" s="14">
        <f>144.076 * CHOOSE(CONTROL!$C$9, $D$9, 100%, $F$9) + CHOOSE(CONTROL!$C$27, 0.0021, 0)</f>
        <v>144.07810000000001</v>
      </c>
      <c r="K832" s="14">
        <f>144.076 * CHOOSE(CONTROL!$C$9, $D$9, 100%, $F$9) + CHOOSE(CONTROL!$C$27, 0.0021, 0)</f>
        <v>144.07810000000001</v>
      </c>
      <c r="L832" s="14"/>
    </row>
    <row r="833" spans="1:12" ht="15.75" x14ac:dyDescent="0.25">
      <c r="A833" s="32">
        <v>66292</v>
      </c>
      <c r="B833" s="14">
        <f>146.5574 * CHOOSE(CONTROL!$C$9, $D$9, 100%, $F$9) + CHOOSE(CONTROL!$C$27, 0.0021, 0)</f>
        <v>146.55950000000001</v>
      </c>
      <c r="C833" s="14">
        <f>146.1252 * CHOOSE(CONTROL!$C$9, $D$9, 100%, $F$9) + CHOOSE(CONTROL!$C$27, 0.0021, 0)</f>
        <v>146.12730000000002</v>
      </c>
      <c r="D833" s="14">
        <f>146.1252 * CHOOSE(CONTROL!$C$9, $D$9, 100%, $F$9) + CHOOSE(CONTROL!$C$27, 0.0021, 0)</f>
        <v>146.12730000000002</v>
      </c>
      <c r="E833" s="14">
        <f>145.9885 * CHOOSE(CONTROL!$C$9, $D$9, 100%, $F$9) + CHOOSE(CONTROL!$C$27, 0.0021, 0)</f>
        <v>145.9906</v>
      </c>
      <c r="F833" s="14">
        <f>145.9885 * CHOOSE(CONTROL!$C$9, $D$9, 100%, $F$9) + CHOOSE(CONTROL!$C$27, 0.0021, 0)</f>
        <v>145.9906</v>
      </c>
      <c r="G833" s="14">
        <f>146.2599 * CHOOSE(CONTROL!$C$9, $D$9, 100%, $F$9) + CHOOSE(CONTROL!$C$27, 0.0021, 0)</f>
        <v>146.262</v>
      </c>
      <c r="H833" s="14">
        <f>146.1252 * CHOOSE(CONTROL!$C$9, $D$9, 100%, $F$9) + CHOOSE(CONTROL!$C$27, 0.0021, 0)</f>
        <v>146.12730000000002</v>
      </c>
      <c r="I833" s="14">
        <f>146.1252 * CHOOSE(CONTROL!$C$9, $D$9, 100%, $F$9) + CHOOSE(CONTROL!$C$27, 0.0021, 0)</f>
        <v>146.12730000000002</v>
      </c>
      <c r="J833" s="14">
        <f>146.1252 * CHOOSE(CONTROL!$C$9, $D$9, 100%, $F$9) + CHOOSE(CONTROL!$C$27, 0.0021, 0)</f>
        <v>146.12730000000002</v>
      </c>
      <c r="K833" s="14">
        <f>146.1252 * CHOOSE(CONTROL!$C$9, $D$9, 100%, $F$9) + CHOOSE(CONTROL!$C$27, 0.0021, 0)</f>
        <v>146.12730000000002</v>
      </c>
      <c r="L833" s="14"/>
    </row>
    <row r="834" spans="1:12" ht="15.75" x14ac:dyDescent="0.25">
      <c r="A834" s="32">
        <v>66323</v>
      </c>
      <c r="B834" s="14">
        <f>145.8828 * CHOOSE(CONTROL!$C$9, $D$9, 100%, $F$9) + CHOOSE(CONTROL!$C$27, 0.0021, 0)</f>
        <v>145.88490000000002</v>
      </c>
      <c r="C834" s="14">
        <f>145.4505 * CHOOSE(CONTROL!$C$9, $D$9, 100%, $F$9) + CHOOSE(CONTROL!$C$27, 0.0021, 0)</f>
        <v>145.45260000000002</v>
      </c>
      <c r="D834" s="14">
        <f>145.4505 * CHOOSE(CONTROL!$C$9, $D$9, 100%, $F$9) + CHOOSE(CONTROL!$C$27, 0.0021, 0)</f>
        <v>145.45260000000002</v>
      </c>
      <c r="E834" s="14">
        <f>145.3138 * CHOOSE(CONTROL!$C$9, $D$9, 100%, $F$9) + CHOOSE(CONTROL!$C$27, 0.0021, 0)</f>
        <v>145.3159</v>
      </c>
      <c r="F834" s="14">
        <f>145.3138 * CHOOSE(CONTROL!$C$9, $D$9, 100%, $F$9) + CHOOSE(CONTROL!$C$27, 0.0021, 0)</f>
        <v>145.3159</v>
      </c>
      <c r="G834" s="14">
        <f>145.5852 * CHOOSE(CONTROL!$C$9, $D$9, 100%, $F$9) + CHOOSE(CONTROL!$C$27, 0.0021, 0)</f>
        <v>145.5873</v>
      </c>
      <c r="H834" s="14">
        <f>145.4505 * CHOOSE(CONTROL!$C$9, $D$9, 100%, $F$9) + CHOOSE(CONTROL!$C$27, 0.0021, 0)</f>
        <v>145.45260000000002</v>
      </c>
      <c r="I834" s="14">
        <f>145.4505 * CHOOSE(CONTROL!$C$9, $D$9, 100%, $F$9) + CHOOSE(CONTROL!$C$27, 0.0021, 0)</f>
        <v>145.45260000000002</v>
      </c>
      <c r="J834" s="14">
        <f>145.4505 * CHOOSE(CONTROL!$C$9, $D$9, 100%, $F$9) + CHOOSE(CONTROL!$C$27, 0.0021, 0)</f>
        <v>145.45260000000002</v>
      </c>
      <c r="K834" s="14">
        <f>145.4505 * CHOOSE(CONTROL!$C$9, $D$9, 100%, $F$9) + CHOOSE(CONTROL!$C$27, 0.0021, 0)</f>
        <v>145.45260000000002</v>
      </c>
      <c r="L834" s="14"/>
    </row>
    <row r="835" spans="1:12" ht="15.75" x14ac:dyDescent="0.25">
      <c r="A835" s="32">
        <v>66354</v>
      </c>
      <c r="B835" s="14">
        <f>142.54 * CHOOSE(CONTROL!$C$9, $D$9, 100%, $F$9) + CHOOSE(CONTROL!$C$27, 0.0021, 0)</f>
        <v>142.5421</v>
      </c>
      <c r="C835" s="14">
        <f>142.1078 * CHOOSE(CONTROL!$C$9, $D$9, 100%, $F$9) + CHOOSE(CONTROL!$C$27, 0.0021, 0)</f>
        <v>142.10990000000001</v>
      </c>
      <c r="D835" s="14">
        <f>142.1078 * CHOOSE(CONTROL!$C$9, $D$9, 100%, $F$9) + CHOOSE(CONTROL!$C$27, 0.0021, 0)</f>
        <v>142.10990000000001</v>
      </c>
      <c r="E835" s="14">
        <f>141.9711 * CHOOSE(CONTROL!$C$9, $D$9, 100%, $F$9) + CHOOSE(CONTROL!$C$27, 0.0021, 0)</f>
        <v>141.97320000000002</v>
      </c>
      <c r="F835" s="14">
        <f>141.9711 * CHOOSE(CONTROL!$C$9, $D$9, 100%, $F$9) + CHOOSE(CONTROL!$C$27, 0.0021, 0)</f>
        <v>141.97320000000002</v>
      </c>
      <c r="G835" s="14">
        <f>142.2425 * CHOOSE(CONTROL!$C$9, $D$9, 100%, $F$9) + CHOOSE(CONTROL!$C$27, 0.0021, 0)</f>
        <v>142.24460000000002</v>
      </c>
      <c r="H835" s="14">
        <f>142.1078 * CHOOSE(CONTROL!$C$9, $D$9, 100%, $F$9) + CHOOSE(CONTROL!$C$27, 0.0021, 0)</f>
        <v>142.10990000000001</v>
      </c>
      <c r="I835" s="14">
        <f>142.1078 * CHOOSE(CONTROL!$C$9, $D$9, 100%, $F$9) + CHOOSE(CONTROL!$C$27, 0.0021, 0)</f>
        <v>142.10990000000001</v>
      </c>
      <c r="J835" s="14">
        <f>142.1078 * CHOOSE(CONTROL!$C$9, $D$9, 100%, $F$9) + CHOOSE(CONTROL!$C$27, 0.0021, 0)</f>
        <v>142.10990000000001</v>
      </c>
      <c r="K835" s="14">
        <f>142.1078 * CHOOSE(CONTROL!$C$9, $D$9, 100%, $F$9) + CHOOSE(CONTROL!$C$27, 0.0021, 0)</f>
        <v>142.10990000000001</v>
      </c>
      <c r="L835" s="14"/>
    </row>
    <row r="836" spans="1:12" ht="15.75" x14ac:dyDescent="0.25">
      <c r="A836" s="32">
        <v>66384</v>
      </c>
      <c r="B836" s="14">
        <f>137.8784 * CHOOSE(CONTROL!$C$9, $D$9, 100%, $F$9) + CHOOSE(CONTROL!$C$27, 0.0021, 0)</f>
        <v>137.88050000000001</v>
      </c>
      <c r="C836" s="14">
        <f>137.4462 * CHOOSE(CONTROL!$C$9, $D$9, 100%, $F$9) + CHOOSE(CONTROL!$C$27, 0.0021, 0)</f>
        <v>137.44830000000002</v>
      </c>
      <c r="D836" s="14">
        <f>137.4462 * CHOOSE(CONTROL!$C$9, $D$9, 100%, $F$9) + CHOOSE(CONTROL!$C$27, 0.0021, 0)</f>
        <v>137.44830000000002</v>
      </c>
      <c r="E836" s="14">
        <f>137.3095 * CHOOSE(CONTROL!$C$9, $D$9, 100%, $F$9) + CHOOSE(CONTROL!$C$27, 0.0021, 0)</f>
        <v>137.31160000000003</v>
      </c>
      <c r="F836" s="14">
        <f>137.3095 * CHOOSE(CONTROL!$C$9, $D$9, 100%, $F$9) + CHOOSE(CONTROL!$C$27, 0.0021, 0)</f>
        <v>137.31160000000003</v>
      </c>
      <c r="G836" s="14">
        <f>137.5809 * CHOOSE(CONTROL!$C$9, $D$9, 100%, $F$9) + CHOOSE(CONTROL!$C$27, 0.0021, 0)</f>
        <v>137.58300000000003</v>
      </c>
      <c r="H836" s="14">
        <f>137.4462 * CHOOSE(CONTROL!$C$9, $D$9, 100%, $F$9) + CHOOSE(CONTROL!$C$27, 0.0021, 0)</f>
        <v>137.44830000000002</v>
      </c>
      <c r="I836" s="14">
        <f>137.4462 * CHOOSE(CONTROL!$C$9, $D$9, 100%, $F$9) + CHOOSE(CONTROL!$C$27, 0.0021, 0)</f>
        <v>137.44830000000002</v>
      </c>
      <c r="J836" s="14">
        <f>137.4462 * CHOOSE(CONTROL!$C$9, $D$9, 100%, $F$9) + CHOOSE(CONTROL!$C$27, 0.0021, 0)</f>
        <v>137.44830000000002</v>
      </c>
      <c r="K836" s="14">
        <f>137.4462 * CHOOSE(CONTROL!$C$9, $D$9, 100%, $F$9) + CHOOSE(CONTROL!$C$27, 0.0021, 0)</f>
        <v>137.44830000000002</v>
      </c>
      <c r="L836" s="14"/>
    </row>
    <row r="837" spans="1:12" ht="15.75" x14ac:dyDescent="0.25">
      <c r="A837" s="32">
        <v>66415</v>
      </c>
      <c r="B837" s="14">
        <f>133.1897 * CHOOSE(CONTROL!$C$9, $D$9, 100%, $F$9) + CHOOSE(CONTROL!$C$27, 0.0021, 0)</f>
        <v>133.1918</v>
      </c>
      <c r="C837" s="14">
        <f>132.7575 * CHOOSE(CONTROL!$C$9, $D$9, 100%, $F$9) + CHOOSE(CONTROL!$C$27, 0.0021, 0)</f>
        <v>132.75960000000001</v>
      </c>
      <c r="D837" s="14">
        <f>132.7575 * CHOOSE(CONTROL!$C$9, $D$9, 100%, $F$9) + CHOOSE(CONTROL!$C$27, 0.0021, 0)</f>
        <v>132.75960000000001</v>
      </c>
      <c r="E837" s="14">
        <f>132.6208 * CHOOSE(CONTROL!$C$9, $D$9, 100%, $F$9) + CHOOSE(CONTROL!$C$27, 0.0021, 0)</f>
        <v>132.62290000000002</v>
      </c>
      <c r="F837" s="14">
        <f>132.6208 * CHOOSE(CONTROL!$C$9, $D$9, 100%, $F$9) + CHOOSE(CONTROL!$C$27, 0.0021, 0)</f>
        <v>132.62290000000002</v>
      </c>
      <c r="G837" s="14">
        <f>132.8922 * CHOOSE(CONTROL!$C$9, $D$9, 100%, $F$9) + CHOOSE(CONTROL!$C$27, 0.0021, 0)</f>
        <v>132.89430000000002</v>
      </c>
      <c r="H837" s="14">
        <f>132.7575 * CHOOSE(CONTROL!$C$9, $D$9, 100%, $F$9) + CHOOSE(CONTROL!$C$27, 0.0021, 0)</f>
        <v>132.75960000000001</v>
      </c>
      <c r="I837" s="14">
        <f>132.7575 * CHOOSE(CONTROL!$C$9, $D$9, 100%, $F$9) + CHOOSE(CONTROL!$C$27, 0.0021, 0)</f>
        <v>132.75960000000001</v>
      </c>
      <c r="J837" s="14">
        <f>132.7575 * CHOOSE(CONTROL!$C$9, $D$9, 100%, $F$9) + CHOOSE(CONTROL!$C$27, 0.0021, 0)</f>
        <v>132.75960000000001</v>
      </c>
      <c r="K837" s="14">
        <f>132.7575 * CHOOSE(CONTROL!$C$9, $D$9, 100%, $F$9) + CHOOSE(CONTROL!$C$27, 0.0021, 0)</f>
        <v>132.75960000000001</v>
      </c>
      <c r="L837" s="14"/>
    </row>
    <row r="838" spans="1:12" ht="15.75" x14ac:dyDescent="0.25">
      <c r="A838" s="32">
        <v>66445</v>
      </c>
      <c r="B838" s="14">
        <f>132.2571 * CHOOSE(CONTROL!$C$9, $D$9, 100%, $F$9) + CHOOSE(CONTROL!$C$27, 0.0021, 0)</f>
        <v>132.25920000000002</v>
      </c>
      <c r="C838" s="14">
        <f>131.8248 * CHOOSE(CONTROL!$C$9, $D$9, 100%, $F$9) + CHOOSE(CONTROL!$C$27, 0.0021, 0)</f>
        <v>131.82690000000002</v>
      </c>
      <c r="D838" s="14">
        <f>131.8248 * CHOOSE(CONTROL!$C$9, $D$9, 100%, $F$9) + CHOOSE(CONTROL!$C$27, 0.0021, 0)</f>
        <v>131.82690000000002</v>
      </c>
      <c r="E838" s="14">
        <f>131.6881 * CHOOSE(CONTROL!$C$9, $D$9, 100%, $F$9) + CHOOSE(CONTROL!$C$27, 0.0021, 0)</f>
        <v>131.6902</v>
      </c>
      <c r="F838" s="14">
        <f>131.6881 * CHOOSE(CONTROL!$C$9, $D$9, 100%, $F$9) + CHOOSE(CONTROL!$C$27, 0.0021, 0)</f>
        <v>131.6902</v>
      </c>
      <c r="G838" s="14">
        <f>131.9595 * CHOOSE(CONTROL!$C$9, $D$9, 100%, $F$9) + CHOOSE(CONTROL!$C$27, 0.0021, 0)</f>
        <v>131.9616</v>
      </c>
      <c r="H838" s="14">
        <f>131.8248 * CHOOSE(CONTROL!$C$9, $D$9, 100%, $F$9) + CHOOSE(CONTROL!$C$27, 0.0021, 0)</f>
        <v>131.82690000000002</v>
      </c>
      <c r="I838" s="14">
        <f>131.8248 * CHOOSE(CONTROL!$C$9, $D$9, 100%, $F$9) + CHOOSE(CONTROL!$C$27, 0.0021, 0)</f>
        <v>131.82690000000002</v>
      </c>
      <c r="J838" s="14">
        <f>131.8248 * CHOOSE(CONTROL!$C$9, $D$9, 100%, $F$9) + CHOOSE(CONTROL!$C$27, 0.0021, 0)</f>
        <v>131.82690000000002</v>
      </c>
      <c r="K838" s="14">
        <f>131.8248 * CHOOSE(CONTROL!$C$9, $D$9, 100%, $F$9) + CHOOSE(CONTROL!$C$27, 0.0021, 0)</f>
        <v>131.82690000000002</v>
      </c>
      <c r="L838" s="14"/>
    </row>
    <row r="839" spans="1:12" ht="15.75" x14ac:dyDescent="0.25">
      <c r="A839" s="32">
        <v>66476</v>
      </c>
      <c r="B839" s="14">
        <f>128.4003 * CHOOSE(CONTROL!$C$9, $D$9, 100%, $F$9) + CHOOSE(CONTROL!$C$27, 0.0021, 0)</f>
        <v>128.4024</v>
      </c>
      <c r="C839" s="14">
        <f>127.9681 * CHOOSE(CONTROL!$C$9, $D$9, 100%, $F$9) + CHOOSE(CONTROL!$C$27, 0.0021, 0)</f>
        <v>127.97020000000001</v>
      </c>
      <c r="D839" s="14">
        <f>127.9681 * CHOOSE(CONTROL!$C$9, $D$9, 100%, $F$9) + CHOOSE(CONTROL!$C$27, 0.0021, 0)</f>
        <v>127.97020000000001</v>
      </c>
      <c r="E839" s="14">
        <f>127.8314 * CHOOSE(CONTROL!$C$9, $D$9, 100%, $F$9) + CHOOSE(CONTROL!$C$27, 0.0021, 0)</f>
        <v>127.8335</v>
      </c>
      <c r="F839" s="14">
        <f>127.8314 * CHOOSE(CONTROL!$C$9, $D$9, 100%, $F$9) + CHOOSE(CONTROL!$C$27, 0.0021, 0)</f>
        <v>127.8335</v>
      </c>
      <c r="G839" s="14">
        <f>128.1028 * CHOOSE(CONTROL!$C$9, $D$9, 100%, $F$9) + CHOOSE(CONTROL!$C$27, 0.0021, 0)</f>
        <v>128.10490000000001</v>
      </c>
      <c r="H839" s="14">
        <f>127.9681 * CHOOSE(CONTROL!$C$9, $D$9, 100%, $F$9) + CHOOSE(CONTROL!$C$27, 0.0021, 0)</f>
        <v>127.97020000000001</v>
      </c>
      <c r="I839" s="14">
        <f>127.9681 * CHOOSE(CONTROL!$C$9, $D$9, 100%, $F$9) + CHOOSE(CONTROL!$C$27, 0.0021, 0)</f>
        <v>127.97020000000001</v>
      </c>
      <c r="J839" s="14">
        <f>127.9681 * CHOOSE(CONTROL!$C$9, $D$9, 100%, $F$9) + CHOOSE(CONTROL!$C$27, 0.0021, 0)</f>
        <v>127.97020000000001</v>
      </c>
      <c r="K839" s="14">
        <f>127.9681 * CHOOSE(CONTROL!$C$9, $D$9, 100%, $F$9) + CHOOSE(CONTROL!$C$27, 0.0021, 0)</f>
        <v>127.97020000000001</v>
      </c>
      <c r="L839" s="14"/>
    </row>
    <row r="840" spans="1:12" ht="15.75" x14ac:dyDescent="0.25">
      <c r="A840" s="32">
        <v>66507</v>
      </c>
      <c r="B840" s="14">
        <f>127.6495 * CHOOSE(CONTROL!$C$9, $D$9, 100%, $F$9) + CHOOSE(CONTROL!$C$27, 0.0021, 0)</f>
        <v>127.6516</v>
      </c>
      <c r="C840" s="14">
        <f>127.2172 * CHOOSE(CONTROL!$C$9, $D$9, 100%, $F$9) + CHOOSE(CONTROL!$C$27, 0.0021, 0)</f>
        <v>127.2193</v>
      </c>
      <c r="D840" s="14">
        <f>127.2172 * CHOOSE(CONTROL!$C$9, $D$9, 100%, $F$9) + CHOOSE(CONTROL!$C$27, 0.0021, 0)</f>
        <v>127.2193</v>
      </c>
      <c r="E840" s="14">
        <f>127.0806 * CHOOSE(CONTROL!$C$9, $D$9, 100%, $F$9) + CHOOSE(CONTROL!$C$27, 0.0021, 0)</f>
        <v>127.0827</v>
      </c>
      <c r="F840" s="14">
        <f>127.0806 * CHOOSE(CONTROL!$C$9, $D$9, 100%, $F$9) + CHOOSE(CONTROL!$C$27, 0.0021, 0)</f>
        <v>127.0827</v>
      </c>
      <c r="G840" s="14">
        <f>127.3519 * CHOOSE(CONTROL!$C$9, $D$9, 100%, $F$9) + CHOOSE(CONTROL!$C$27, 0.0021, 0)</f>
        <v>127.354</v>
      </c>
      <c r="H840" s="14">
        <f>127.2172 * CHOOSE(CONTROL!$C$9, $D$9, 100%, $F$9) + CHOOSE(CONTROL!$C$27, 0.0021, 0)</f>
        <v>127.2193</v>
      </c>
      <c r="I840" s="14">
        <f>127.2172 * CHOOSE(CONTROL!$C$9, $D$9, 100%, $F$9) + CHOOSE(CONTROL!$C$27, 0.0021, 0)</f>
        <v>127.2193</v>
      </c>
      <c r="J840" s="14">
        <f>127.2172 * CHOOSE(CONTROL!$C$9, $D$9, 100%, $F$9) + CHOOSE(CONTROL!$C$27, 0.0021, 0)</f>
        <v>127.2193</v>
      </c>
      <c r="K840" s="14">
        <f>127.2172 * CHOOSE(CONTROL!$C$9, $D$9, 100%, $F$9) + CHOOSE(CONTROL!$C$27, 0.0021, 0)</f>
        <v>127.2193</v>
      </c>
      <c r="L840" s="14"/>
    </row>
    <row r="841" spans="1:12" ht="15.75" x14ac:dyDescent="0.25">
      <c r="A841" s="32">
        <v>66535</v>
      </c>
      <c r="B841" s="14">
        <f>127.301 * CHOOSE(CONTROL!$C$9, $D$9, 100%, $F$9) + CHOOSE(CONTROL!$C$27, 0.0021, 0)</f>
        <v>127.3031</v>
      </c>
      <c r="C841" s="14">
        <f>126.8688 * CHOOSE(CONTROL!$C$9, $D$9, 100%, $F$9) + CHOOSE(CONTROL!$C$27, 0.0021, 0)</f>
        <v>126.87089999999999</v>
      </c>
      <c r="D841" s="14">
        <f>126.8688 * CHOOSE(CONTROL!$C$9, $D$9, 100%, $F$9) + CHOOSE(CONTROL!$C$27, 0.0021, 0)</f>
        <v>126.87089999999999</v>
      </c>
      <c r="E841" s="14">
        <f>126.7321 * CHOOSE(CONTROL!$C$9, $D$9, 100%, $F$9) + CHOOSE(CONTROL!$C$27, 0.0021, 0)</f>
        <v>126.7342</v>
      </c>
      <c r="F841" s="14">
        <f>126.7321 * CHOOSE(CONTROL!$C$9, $D$9, 100%, $F$9) + CHOOSE(CONTROL!$C$27, 0.0021, 0)</f>
        <v>126.7342</v>
      </c>
      <c r="G841" s="14">
        <f>127.0035 * CHOOSE(CONTROL!$C$9, $D$9, 100%, $F$9) + CHOOSE(CONTROL!$C$27, 0.0021, 0)</f>
        <v>127.0056</v>
      </c>
      <c r="H841" s="14">
        <f>126.8688 * CHOOSE(CONTROL!$C$9, $D$9, 100%, $F$9) + CHOOSE(CONTROL!$C$27, 0.0021, 0)</f>
        <v>126.87089999999999</v>
      </c>
      <c r="I841" s="14">
        <f>126.8688 * CHOOSE(CONTROL!$C$9, $D$9, 100%, $F$9) + CHOOSE(CONTROL!$C$27, 0.0021, 0)</f>
        <v>126.87089999999999</v>
      </c>
      <c r="J841" s="14">
        <f>126.8688 * CHOOSE(CONTROL!$C$9, $D$9, 100%, $F$9) + CHOOSE(CONTROL!$C$27, 0.0021, 0)</f>
        <v>126.87089999999999</v>
      </c>
      <c r="K841" s="14">
        <f>126.8688 * CHOOSE(CONTROL!$C$9, $D$9, 100%, $F$9) + CHOOSE(CONTROL!$C$27, 0.0021, 0)</f>
        <v>126.87089999999999</v>
      </c>
      <c r="L841" s="14"/>
    </row>
    <row r="842" spans="1:12" ht="15.75" x14ac:dyDescent="0.25">
      <c r="A842" s="32">
        <v>66566</v>
      </c>
      <c r="B842" s="14">
        <f>133.8897 * CHOOSE(CONTROL!$C$9, $D$9, 100%, $F$9) + CHOOSE(CONTROL!$C$27, 0.0021, 0)</f>
        <v>133.89180000000002</v>
      </c>
      <c r="C842" s="14">
        <f>133.4575 * CHOOSE(CONTROL!$C$9, $D$9, 100%, $F$9) + CHOOSE(CONTROL!$C$27, 0.0021, 0)</f>
        <v>133.45960000000002</v>
      </c>
      <c r="D842" s="14">
        <f>133.4575 * CHOOSE(CONTROL!$C$9, $D$9, 100%, $F$9) + CHOOSE(CONTROL!$C$27, 0.0021, 0)</f>
        <v>133.45960000000002</v>
      </c>
      <c r="E842" s="14">
        <f>133.3208 * CHOOSE(CONTROL!$C$9, $D$9, 100%, $F$9) + CHOOSE(CONTROL!$C$27, 0.0021, 0)</f>
        <v>133.3229</v>
      </c>
      <c r="F842" s="14">
        <f>133.3208 * CHOOSE(CONTROL!$C$9, $D$9, 100%, $F$9) + CHOOSE(CONTROL!$C$27, 0.0021, 0)</f>
        <v>133.3229</v>
      </c>
      <c r="G842" s="14">
        <f>133.5922 * CHOOSE(CONTROL!$C$9, $D$9, 100%, $F$9) + CHOOSE(CONTROL!$C$27, 0.0021, 0)</f>
        <v>133.5943</v>
      </c>
      <c r="H842" s="14">
        <f>133.4575 * CHOOSE(CONTROL!$C$9, $D$9, 100%, $F$9) + CHOOSE(CONTROL!$C$27, 0.0021, 0)</f>
        <v>133.45960000000002</v>
      </c>
      <c r="I842" s="14">
        <f>133.4575 * CHOOSE(CONTROL!$C$9, $D$9, 100%, $F$9) + CHOOSE(CONTROL!$C$27, 0.0021, 0)</f>
        <v>133.45960000000002</v>
      </c>
      <c r="J842" s="14">
        <f>133.4575 * CHOOSE(CONTROL!$C$9, $D$9, 100%, $F$9) + CHOOSE(CONTROL!$C$27, 0.0021, 0)</f>
        <v>133.45960000000002</v>
      </c>
      <c r="K842" s="14">
        <f>133.4575 * CHOOSE(CONTROL!$C$9, $D$9, 100%, $F$9) + CHOOSE(CONTROL!$C$27, 0.0021, 0)</f>
        <v>133.45960000000002</v>
      </c>
      <c r="L842" s="14"/>
    </row>
    <row r="843" spans="1:12" ht="15.75" x14ac:dyDescent="0.25">
      <c r="A843" s="32">
        <v>66596</v>
      </c>
      <c r="B843" s="14">
        <f>142.4337 * CHOOSE(CONTROL!$C$9, $D$9, 100%, $F$9) + CHOOSE(CONTROL!$C$27, 0.0021, 0)</f>
        <v>142.4358</v>
      </c>
      <c r="C843" s="14">
        <f>142.0014 * CHOOSE(CONTROL!$C$9, $D$9, 100%, $F$9) + CHOOSE(CONTROL!$C$27, 0.0021, 0)</f>
        <v>142.0035</v>
      </c>
      <c r="D843" s="14">
        <f>142.0014 * CHOOSE(CONTROL!$C$9, $D$9, 100%, $F$9) + CHOOSE(CONTROL!$C$27, 0.0021, 0)</f>
        <v>142.0035</v>
      </c>
      <c r="E843" s="14">
        <f>141.8647 * CHOOSE(CONTROL!$C$9, $D$9, 100%, $F$9) + CHOOSE(CONTROL!$C$27, 0.0021, 0)</f>
        <v>141.86680000000001</v>
      </c>
      <c r="F843" s="14">
        <f>141.8647 * CHOOSE(CONTROL!$C$9, $D$9, 100%, $F$9) + CHOOSE(CONTROL!$C$27, 0.0021, 0)</f>
        <v>141.86680000000001</v>
      </c>
      <c r="G843" s="14">
        <f>142.1361 * CHOOSE(CONTROL!$C$9, $D$9, 100%, $F$9) + CHOOSE(CONTROL!$C$27, 0.0021, 0)</f>
        <v>142.13820000000001</v>
      </c>
      <c r="H843" s="14">
        <f>142.0014 * CHOOSE(CONTROL!$C$9, $D$9, 100%, $F$9) + CHOOSE(CONTROL!$C$27, 0.0021, 0)</f>
        <v>142.0035</v>
      </c>
      <c r="I843" s="14">
        <f>142.0014 * CHOOSE(CONTROL!$C$9, $D$9, 100%, $F$9) + CHOOSE(CONTROL!$C$27, 0.0021, 0)</f>
        <v>142.0035</v>
      </c>
      <c r="J843" s="14">
        <f>142.0014 * CHOOSE(CONTROL!$C$9, $D$9, 100%, $F$9) + CHOOSE(CONTROL!$C$27, 0.0021, 0)</f>
        <v>142.0035</v>
      </c>
      <c r="K843" s="14">
        <f>142.0014 * CHOOSE(CONTROL!$C$9, $D$9, 100%, $F$9) + CHOOSE(CONTROL!$C$27, 0.0021, 0)</f>
        <v>142.0035</v>
      </c>
      <c r="L843" s="14"/>
    </row>
    <row r="844" spans="1:12" ht="15.75" x14ac:dyDescent="0.25">
      <c r="A844" s="32">
        <v>66627</v>
      </c>
      <c r="B844" s="14">
        <f>147.1365 * CHOOSE(CONTROL!$C$9, $D$9, 100%, $F$9) + CHOOSE(CONTROL!$C$27, 0.0021, 0)</f>
        <v>147.13860000000003</v>
      </c>
      <c r="C844" s="14">
        <f>146.7043 * CHOOSE(CONTROL!$C$9, $D$9, 100%, $F$9) + CHOOSE(CONTROL!$C$27, 0.0021, 0)</f>
        <v>146.7064</v>
      </c>
      <c r="D844" s="14">
        <f>146.7043 * CHOOSE(CONTROL!$C$9, $D$9, 100%, $F$9) + CHOOSE(CONTROL!$C$27, 0.0021, 0)</f>
        <v>146.7064</v>
      </c>
      <c r="E844" s="14">
        <f>146.5676 * CHOOSE(CONTROL!$C$9, $D$9, 100%, $F$9) + CHOOSE(CONTROL!$C$27, 0.0021, 0)</f>
        <v>146.56970000000001</v>
      </c>
      <c r="F844" s="14">
        <f>146.5676 * CHOOSE(CONTROL!$C$9, $D$9, 100%, $F$9) + CHOOSE(CONTROL!$C$27, 0.0021, 0)</f>
        <v>146.56970000000001</v>
      </c>
      <c r="G844" s="14">
        <f>146.839 * CHOOSE(CONTROL!$C$9, $D$9, 100%, $F$9) + CHOOSE(CONTROL!$C$27, 0.0021, 0)</f>
        <v>146.84110000000001</v>
      </c>
      <c r="H844" s="14">
        <f>146.7043 * CHOOSE(CONTROL!$C$9, $D$9, 100%, $F$9) + CHOOSE(CONTROL!$C$27, 0.0021, 0)</f>
        <v>146.7064</v>
      </c>
      <c r="I844" s="14">
        <f>146.7043 * CHOOSE(CONTROL!$C$9, $D$9, 100%, $F$9) + CHOOSE(CONTROL!$C$27, 0.0021, 0)</f>
        <v>146.7064</v>
      </c>
      <c r="J844" s="14">
        <f>146.7043 * CHOOSE(CONTROL!$C$9, $D$9, 100%, $F$9) + CHOOSE(CONTROL!$C$27, 0.0021, 0)</f>
        <v>146.7064</v>
      </c>
      <c r="K844" s="14">
        <f>146.7043 * CHOOSE(CONTROL!$C$9, $D$9, 100%, $F$9) + CHOOSE(CONTROL!$C$27, 0.0021, 0)</f>
        <v>146.7064</v>
      </c>
      <c r="L844" s="14"/>
    </row>
    <row r="845" spans="1:12" ht="15.75" x14ac:dyDescent="0.25">
      <c r="A845" s="32">
        <v>66657</v>
      </c>
      <c r="B845" s="14">
        <f>149.2236 * CHOOSE(CONTROL!$C$9, $D$9, 100%, $F$9) + CHOOSE(CONTROL!$C$27, 0.0021, 0)</f>
        <v>149.22570000000002</v>
      </c>
      <c r="C845" s="14">
        <f>148.7913 * CHOOSE(CONTROL!$C$9, $D$9, 100%, $F$9) + CHOOSE(CONTROL!$C$27, 0.0021, 0)</f>
        <v>148.79340000000002</v>
      </c>
      <c r="D845" s="14">
        <f>148.7913 * CHOOSE(CONTROL!$C$9, $D$9, 100%, $F$9) + CHOOSE(CONTROL!$C$27, 0.0021, 0)</f>
        <v>148.79340000000002</v>
      </c>
      <c r="E845" s="14">
        <f>148.6547 * CHOOSE(CONTROL!$C$9, $D$9, 100%, $F$9) + CHOOSE(CONTROL!$C$27, 0.0021, 0)</f>
        <v>148.6568</v>
      </c>
      <c r="F845" s="14">
        <f>148.6547 * CHOOSE(CONTROL!$C$9, $D$9, 100%, $F$9) + CHOOSE(CONTROL!$C$27, 0.0021, 0)</f>
        <v>148.6568</v>
      </c>
      <c r="G845" s="14">
        <f>148.926 * CHOOSE(CONTROL!$C$9, $D$9, 100%, $F$9) + CHOOSE(CONTROL!$C$27, 0.0021, 0)</f>
        <v>148.9281</v>
      </c>
      <c r="H845" s="14">
        <f>148.7913 * CHOOSE(CONTROL!$C$9, $D$9, 100%, $F$9) + CHOOSE(CONTROL!$C$27, 0.0021, 0)</f>
        <v>148.79340000000002</v>
      </c>
      <c r="I845" s="14">
        <f>148.7913 * CHOOSE(CONTROL!$C$9, $D$9, 100%, $F$9) + CHOOSE(CONTROL!$C$27, 0.0021, 0)</f>
        <v>148.79340000000002</v>
      </c>
      <c r="J845" s="14">
        <f>148.7913 * CHOOSE(CONTROL!$C$9, $D$9, 100%, $F$9) + CHOOSE(CONTROL!$C$27, 0.0021, 0)</f>
        <v>148.79340000000002</v>
      </c>
      <c r="K845" s="14">
        <f>148.7913 * CHOOSE(CONTROL!$C$9, $D$9, 100%, $F$9) + CHOOSE(CONTROL!$C$27, 0.0021, 0)</f>
        <v>148.79340000000002</v>
      </c>
      <c r="L845" s="14"/>
    </row>
    <row r="846" spans="1:12" ht="15.75" x14ac:dyDescent="0.25">
      <c r="A846" s="32">
        <v>66688</v>
      </c>
      <c r="B846" s="14">
        <f>148.5364 * CHOOSE(CONTROL!$C$9, $D$9, 100%, $F$9) + CHOOSE(CONTROL!$C$27, 0.0021, 0)</f>
        <v>148.5385</v>
      </c>
      <c r="C846" s="14">
        <f>148.1042 * CHOOSE(CONTROL!$C$9, $D$9, 100%, $F$9) + CHOOSE(CONTROL!$C$27, 0.0021, 0)</f>
        <v>148.1063</v>
      </c>
      <c r="D846" s="14">
        <f>148.1042 * CHOOSE(CONTROL!$C$9, $D$9, 100%, $F$9) + CHOOSE(CONTROL!$C$27, 0.0021, 0)</f>
        <v>148.1063</v>
      </c>
      <c r="E846" s="14">
        <f>147.9675 * CHOOSE(CONTROL!$C$9, $D$9, 100%, $F$9) + CHOOSE(CONTROL!$C$27, 0.0021, 0)</f>
        <v>147.96960000000001</v>
      </c>
      <c r="F846" s="14">
        <f>147.9675 * CHOOSE(CONTROL!$C$9, $D$9, 100%, $F$9) + CHOOSE(CONTROL!$C$27, 0.0021, 0)</f>
        <v>147.96960000000001</v>
      </c>
      <c r="G846" s="14">
        <f>148.2389 * CHOOSE(CONTROL!$C$9, $D$9, 100%, $F$9) + CHOOSE(CONTROL!$C$27, 0.0021, 0)</f>
        <v>148.24100000000001</v>
      </c>
      <c r="H846" s="14">
        <f>148.1042 * CHOOSE(CONTROL!$C$9, $D$9, 100%, $F$9) + CHOOSE(CONTROL!$C$27, 0.0021, 0)</f>
        <v>148.1063</v>
      </c>
      <c r="I846" s="14">
        <f>148.1042 * CHOOSE(CONTROL!$C$9, $D$9, 100%, $F$9) + CHOOSE(CONTROL!$C$27, 0.0021, 0)</f>
        <v>148.1063</v>
      </c>
      <c r="J846" s="14">
        <f>148.1042 * CHOOSE(CONTROL!$C$9, $D$9, 100%, $F$9) + CHOOSE(CONTROL!$C$27, 0.0021, 0)</f>
        <v>148.1063</v>
      </c>
      <c r="K846" s="14">
        <f>148.1042 * CHOOSE(CONTROL!$C$9, $D$9, 100%, $F$9) + CHOOSE(CONTROL!$C$27, 0.0021, 0)</f>
        <v>148.1063</v>
      </c>
      <c r="L846" s="14"/>
    </row>
    <row r="847" spans="1:12" ht="15.75" x14ac:dyDescent="0.25">
      <c r="A847" s="32">
        <v>66719</v>
      </c>
      <c r="B847" s="14">
        <f>145.1319 * CHOOSE(CONTROL!$C$9, $D$9, 100%, $F$9) + CHOOSE(CONTROL!$C$27, 0.0021, 0)</f>
        <v>145.13400000000001</v>
      </c>
      <c r="C847" s="14">
        <f>144.6997 * CHOOSE(CONTROL!$C$9, $D$9, 100%, $F$9) + CHOOSE(CONTROL!$C$27, 0.0021, 0)</f>
        <v>144.70180000000002</v>
      </c>
      <c r="D847" s="14">
        <f>144.6997 * CHOOSE(CONTROL!$C$9, $D$9, 100%, $F$9) + CHOOSE(CONTROL!$C$27, 0.0021, 0)</f>
        <v>144.70180000000002</v>
      </c>
      <c r="E847" s="14">
        <f>144.563 * CHOOSE(CONTROL!$C$9, $D$9, 100%, $F$9) + CHOOSE(CONTROL!$C$27, 0.0021, 0)</f>
        <v>144.5651</v>
      </c>
      <c r="F847" s="14">
        <f>144.563 * CHOOSE(CONTROL!$C$9, $D$9, 100%, $F$9) + CHOOSE(CONTROL!$C$27, 0.0021, 0)</f>
        <v>144.5651</v>
      </c>
      <c r="G847" s="14">
        <f>144.8344 * CHOOSE(CONTROL!$C$9, $D$9, 100%, $F$9) + CHOOSE(CONTROL!$C$27, 0.0021, 0)</f>
        <v>144.8365</v>
      </c>
      <c r="H847" s="14">
        <f>144.6997 * CHOOSE(CONTROL!$C$9, $D$9, 100%, $F$9) + CHOOSE(CONTROL!$C$27, 0.0021, 0)</f>
        <v>144.70180000000002</v>
      </c>
      <c r="I847" s="14">
        <f>144.6997 * CHOOSE(CONTROL!$C$9, $D$9, 100%, $F$9) + CHOOSE(CONTROL!$C$27, 0.0021, 0)</f>
        <v>144.70180000000002</v>
      </c>
      <c r="J847" s="14">
        <f>144.6997 * CHOOSE(CONTROL!$C$9, $D$9, 100%, $F$9) + CHOOSE(CONTROL!$C$27, 0.0021, 0)</f>
        <v>144.70180000000002</v>
      </c>
      <c r="K847" s="14">
        <f>144.6997 * CHOOSE(CONTROL!$C$9, $D$9, 100%, $F$9) + CHOOSE(CONTROL!$C$27, 0.0021, 0)</f>
        <v>144.70180000000002</v>
      </c>
      <c r="L847" s="14"/>
    </row>
    <row r="848" spans="1:12" ht="15.75" x14ac:dyDescent="0.25">
      <c r="A848" s="32">
        <v>66749</v>
      </c>
      <c r="B848" s="14">
        <f>140.3842 * CHOOSE(CONTROL!$C$9, $D$9, 100%, $F$9) + CHOOSE(CONTROL!$C$27, 0.0021, 0)</f>
        <v>140.38630000000001</v>
      </c>
      <c r="C848" s="14">
        <f>139.9519 * CHOOSE(CONTROL!$C$9, $D$9, 100%, $F$9) + CHOOSE(CONTROL!$C$27, 0.0021, 0)</f>
        <v>139.95400000000001</v>
      </c>
      <c r="D848" s="14">
        <f>139.9519 * CHOOSE(CONTROL!$C$9, $D$9, 100%, $F$9) + CHOOSE(CONTROL!$C$27, 0.0021, 0)</f>
        <v>139.95400000000001</v>
      </c>
      <c r="E848" s="14">
        <f>139.8153 * CHOOSE(CONTROL!$C$9, $D$9, 100%, $F$9) + CHOOSE(CONTROL!$C$27, 0.0021, 0)</f>
        <v>139.81740000000002</v>
      </c>
      <c r="F848" s="14">
        <f>139.8153 * CHOOSE(CONTROL!$C$9, $D$9, 100%, $F$9) + CHOOSE(CONTROL!$C$27, 0.0021, 0)</f>
        <v>139.81740000000002</v>
      </c>
      <c r="G848" s="14">
        <f>140.0866 * CHOOSE(CONTROL!$C$9, $D$9, 100%, $F$9) + CHOOSE(CONTROL!$C$27, 0.0021, 0)</f>
        <v>140.08870000000002</v>
      </c>
      <c r="H848" s="14">
        <f>139.9519 * CHOOSE(CONTROL!$C$9, $D$9, 100%, $F$9) + CHOOSE(CONTROL!$C$27, 0.0021, 0)</f>
        <v>139.95400000000001</v>
      </c>
      <c r="I848" s="14">
        <f>139.9519 * CHOOSE(CONTROL!$C$9, $D$9, 100%, $F$9) + CHOOSE(CONTROL!$C$27, 0.0021, 0)</f>
        <v>139.95400000000001</v>
      </c>
      <c r="J848" s="14">
        <f>139.9519 * CHOOSE(CONTROL!$C$9, $D$9, 100%, $F$9) + CHOOSE(CONTROL!$C$27, 0.0021, 0)</f>
        <v>139.95400000000001</v>
      </c>
      <c r="K848" s="14">
        <f>139.9519 * CHOOSE(CONTROL!$C$9, $D$9, 100%, $F$9) + CHOOSE(CONTROL!$C$27, 0.0021, 0)</f>
        <v>139.95400000000001</v>
      </c>
      <c r="L848" s="14"/>
    </row>
    <row r="849" spans="1:12" ht="15.75" x14ac:dyDescent="0.25">
      <c r="A849" s="32">
        <v>66780</v>
      </c>
      <c r="B849" s="14">
        <f>135.6088 * CHOOSE(CONTROL!$C$9, $D$9, 100%, $F$9) + CHOOSE(CONTROL!$C$27, 0.0021, 0)</f>
        <v>135.61090000000002</v>
      </c>
      <c r="C849" s="14">
        <f>135.1766 * CHOOSE(CONTROL!$C$9, $D$9, 100%, $F$9) + CHOOSE(CONTROL!$C$27, 0.0021, 0)</f>
        <v>135.17870000000002</v>
      </c>
      <c r="D849" s="14">
        <f>135.1766 * CHOOSE(CONTROL!$C$9, $D$9, 100%, $F$9) + CHOOSE(CONTROL!$C$27, 0.0021, 0)</f>
        <v>135.17870000000002</v>
      </c>
      <c r="E849" s="14">
        <f>135.0399 * CHOOSE(CONTROL!$C$9, $D$9, 100%, $F$9) + CHOOSE(CONTROL!$C$27, 0.0021, 0)</f>
        <v>135.042</v>
      </c>
      <c r="F849" s="14">
        <f>135.0399 * CHOOSE(CONTROL!$C$9, $D$9, 100%, $F$9) + CHOOSE(CONTROL!$C$27, 0.0021, 0)</f>
        <v>135.042</v>
      </c>
      <c r="G849" s="14">
        <f>135.3113 * CHOOSE(CONTROL!$C$9, $D$9, 100%, $F$9) + CHOOSE(CONTROL!$C$27, 0.0021, 0)</f>
        <v>135.3134</v>
      </c>
      <c r="H849" s="14">
        <f>135.1766 * CHOOSE(CONTROL!$C$9, $D$9, 100%, $F$9) + CHOOSE(CONTROL!$C$27, 0.0021, 0)</f>
        <v>135.17870000000002</v>
      </c>
      <c r="I849" s="14">
        <f>135.1766 * CHOOSE(CONTROL!$C$9, $D$9, 100%, $F$9) + CHOOSE(CONTROL!$C$27, 0.0021, 0)</f>
        <v>135.17870000000002</v>
      </c>
      <c r="J849" s="14">
        <f>135.1766 * CHOOSE(CONTROL!$C$9, $D$9, 100%, $F$9) + CHOOSE(CONTROL!$C$27, 0.0021, 0)</f>
        <v>135.17870000000002</v>
      </c>
      <c r="K849" s="14">
        <f>135.1766 * CHOOSE(CONTROL!$C$9, $D$9, 100%, $F$9) + CHOOSE(CONTROL!$C$27, 0.0021, 0)</f>
        <v>135.17870000000002</v>
      </c>
      <c r="L849" s="14"/>
    </row>
    <row r="850" spans="1:12" ht="15.75" x14ac:dyDescent="0.25">
      <c r="A850" s="32">
        <v>66810</v>
      </c>
      <c r="B850" s="14">
        <f>134.6589 * CHOOSE(CONTROL!$C$9, $D$9, 100%, $F$9) + CHOOSE(CONTROL!$C$27, 0.0021, 0)</f>
        <v>134.661</v>
      </c>
      <c r="C850" s="14">
        <f>134.2267 * CHOOSE(CONTROL!$C$9, $D$9, 100%, $F$9) + CHOOSE(CONTROL!$C$27, 0.0021, 0)</f>
        <v>134.22880000000001</v>
      </c>
      <c r="D850" s="14">
        <f>134.2267 * CHOOSE(CONTROL!$C$9, $D$9, 100%, $F$9) + CHOOSE(CONTROL!$C$27, 0.0021, 0)</f>
        <v>134.22880000000001</v>
      </c>
      <c r="E850" s="14">
        <f>134.09 * CHOOSE(CONTROL!$C$9, $D$9, 100%, $F$9) + CHOOSE(CONTROL!$C$27, 0.0021, 0)</f>
        <v>134.09210000000002</v>
      </c>
      <c r="F850" s="14">
        <f>134.09 * CHOOSE(CONTROL!$C$9, $D$9, 100%, $F$9) + CHOOSE(CONTROL!$C$27, 0.0021, 0)</f>
        <v>134.09210000000002</v>
      </c>
      <c r="G850" s="14">
        <f>134.3614 * CHOOSE(CONTROL!$C$9, $D$9, 100%, $F$9) + CHOOSE(CONTROL!$C$27, 0.0021, 0)</f>
        <v>134.36350000000002</v>
      </c>
      <c r="H850" s="14">
        <f>134.2267 * CHOOSE(CONTROL!$C$9, $D$9, 100%, $F$9) + CHOOSE(CONTROL!$C$27, 0.0021, 0)</f>
        <v>134.22880000000001</v>
      </c>
      <c r="I850" s="14">
        <f>134.2267 * CHOOSE(CONTROL!$C$9, $D$9, 100%, $F$9) + CHOOSE(CONTROL!$C$27, 0.0021, 0)</f>
        <v>134.22880000000001</v>
      </c>
      <c r="J850" s="14">
        <f>134.2267 * CHOOSE(CONTROL!$C$9, $D$9, 100%, $F$9) + CHOOSE(CONTROL!$C$27, 0.0021, 0)</f>
        <v>134.22880000000001</v>
      </c>
      <c r="K850" s="14">
        <f>134.2267 * CHOOSE(CONTROL!$C$9, $D$9, 100%, $F$9) + CHOOSE(CONTROL!$C$27, 0.0021, 0)</f>
        <v>134.22880000000001</v>
      </c>
      <c r="L850" s="14"/>
    </row>
    <row r="851" spans="1:12" ht="15.75" x14ac:dyDescent="0.25">
      <c r="A851" s="32">
        <v>66841</v>
      </c>
      <c r="B851" s="14">
        <f>130.7309 * CHOOSE(CONTROL!$C$9, $D$9, 100%, $F$9) + CHOOSE(CONTROL!$C$27, 0.0021, 0)</f>
        <v>130.733</v>
      </c>
      <c r="C851" s="14">
        <f>130.2987 * CHOOSE(CONTROL!$C$9, $D$9, 100%, $F$9) + CHOOSE(CONTROL!$C$27, 0.0021, 0)</f>
        <v>130.30080000000001</v>
      </c>
      <c r="D851" s="14">
        <f>130.2987 * CHOOSE(CONTROL!$C$9, $D$9, 100%, $F$9) + CHOOSE(CONTROL!$C$27, 0.0021, 0)</f>
        <v>130.30080000000001</v>
      </c>
      <c r="E851" s="14">
        <f>130.162 * CHOOSE(CONTROL!$C$9, $D$9, 100%, $F$9) + CHOOSE(CONTROL!$C$27, 0.0021, 0)</f>
        <v>130.16410000000002</v>
      </c>
      <c r="F851" s="14">
        <f>130.162 * CHOOSE(CONTROL!$C$9, $D$9, 100%, $F$9) + CHOOSE(CONTROL!$C$27, 0.0021, 0)</f>
        <v>130.16410000000002</v>
      </c>
      <c r="G851" s="14">
        <f>130.4334 * CHOOSE(CONTROL!$C$9, $D$9, 100%, $F$9) + CHOOSE(CONTROL!$C$27, 0.0021, 0)</f>
        <v>130.43550000000002</v>
      </c>
      <c r="H851" s="14">
        <f>130.2987 * CHOOSE(CONTROL!$C$9, $D$9, 100%, $F$9) + CHOOSE(CONTROL!$C$27, 0.0021, 0)</f>
        <v>130.30080000000001</v>
      </c>
      <c r="I851" s="14">
        <f>130.2987 * CHOOSE(CONTROL!$C$9, $D$9, 100%, $F$9) + CHOOSE(CONTROL!$C$27, 0.0021, 0)</f>
        <v>130.30080000000001</v>
      </c>
      <c r="J851" s="14">
        <f>130.2987 * CHOOSE(CONTROL!$C$9, $D$9, 100%, $F$9) + CHOOSE(CONTROL!$C$27, 0.0021, 0)</f>
        <v>130.30080000000001</v>
      </c>
      <c r="K851" s="14">
        <f>130.2987 * CHOOSE(CONTROL!$C$9, $D$9, 100%, $F$9) + CHOOSE(CONTROL!$C$27, 0.0021, 0)</f>
        <v>130.30080000000001</v>
      </c>
      <c r="L851" s="14"/>
    </row>
    <row r="852" spans="1:12" ht="15.75" x14ac:dyDescent="0.25">
      <c r="A852" s="32">
        <v>66872</v>
      </c>
      <c r="B852" s="14">
        <f>129.9662 * CHOOSE(CONTROL!$C$9, $D$9, 100%, $F$9) + CHOOSE(CONTROL!$C$27, 0.0021, 0)</f>
        <v>129.9683</v>
      </c>
      <c r="C852" s="14">
        <f>129.5339 * CHOOSE(CONTROL!$C$9, $D$9, 100%, $F$9) + CHOOSE(CONTROL!$C$27, 0.0021, 0)</f>
        <v>129.536</v>
      </c>
      <c r="D852" s="14">
        <f>129.5339 * CHOOSE(CONTROL!$C$9, $D$9, 100%, $F$9) + CHOOSE(CONTROL!$C$27, 0.0021, 0)</f>
        <v>129.536</v>
      </c>
      <c r="E852" s="14">
        <f>129.3973 * CHOOSE(CONTROL!$C$9, $D$9, 100%, $F$9) + CHOOSE(CONTROL!$C$27, 0.0021, 0)</f>
        <v>129.39940000000001</v>
      </c>
      <c r="F852" s="14">
        <f>129.3973 * CHOOSE(CONTROL!$C$9, $D$9, 100%, $F$9) + CHOOSE(CONTROL!$C$27, 0.0021, 0)</f>
        <v>129.39940000000001</v>
      </c>
      <c r="G852" s="14">
        <f>129.6686 * CHOOSE(CONTROL!$C$9, $D$9, 100%, $F$9) + CHOOSE(CONTROL!$C$27, 0.0021, 0)</f>
        <v>129.67070000000001</v>
      </c>
      <c r="H852" s="14">
        <f>129.5339 * CHOOSE(CONTROL!$C$9, $D$9, 100%, $F$9) + CHOOSE(CONTROL!$C$27, 0.0021, 0)</f>
        <v>129.536</v>
      </c>
      <c r="I852" s="14">
        <f>129.5339 * CHOOSE(CONTROL!$C$9, $D$9, 100%, $F$9) + CHOOSE(CONTROL!$C$27, 0.0021, 0)</f>
        <v>129.536</v>
      </c>
      <c r="J852" s="14">
        <f>129.5339 * CHOOSE(CONTROL!$C$9, $D$9, 100%, $F$9) + CHOOSE(CONTROL!$C$27, 0.0021, 0)</f>
        <v>129.536</v>
      </c>
      <c r="K852" s="14">
        <f>129.5339 * CHOOSE(CONTROL!$C$9, $D$9, 100%, $F$9) + CHOOSE(CONTROL!$C$27, 0.0021, 0)</f>
        <v>129.536</v>
      </c>
      <c r="L852" s="14"/>
    </row>
    <row r="853" spans="1:12" ht="15.75" x14ac:dyDescent="0.25">
      <c r="A853" s="32">
        <v>66900</v>
      </c>
      <c r="B853" s="14">
        <f>129.6113 * CHOOSE(CONTROL!$C$9, $D$9, 100%, $F$9) + CHOOSE(CONTROL!$C$27, 0.0021, 0)</f>
        <v>129.61340000000001</v>
      </c>
      <c r="C853" s="14">
        <f>129.179 * CHOOSE(CONTROL!$C$9, $D$9, 100%, $F$9) + CHOOSE(CONTROL!$C$27, 0.0021, 0)</f>
        <v>129.18110000000001</v>
      </c>
      <c r="D853" s="14">
        <f>129.179 * CHOOSE(CONTROL!$C$9, $D$9, 100%, $F$9) + CHOOSE(CONTROL!$C$27, 0.0021, 0)</f>
        <v>129.18110000000001</v>
      </c>
      <c r="E853" s="14">
        <f>129.0424 * CHOOSE(CONTROL!$C$9, $D$9, 100%, $F$9) + CHOOSE(CONTROL!$C$27, 0.0021, 0)</f>
        <v>129.0445</v>
      </c>
      <c r="F853" s="14">
        <f>129.0424 * CHOOSE(CONTROL!$C$9, $D$9, 100%, $F$9) + CHOOSE(CONTROL!$C$27, 0.0021, 0)</f>
        <v>129.0445</v>
      </c>
      <c r="G853" s="14">
        <f>129.3138 * CHOOSE(CONTROL!$C$9, $D$9, 100%, $F$9) + CHOOSE(CONTROL!$C$27, 0.0021, 0)</f>
        <v>129.3159</v>
      </c>
      <c r="H853" s="14">
        <f>129.179 * CHOOSE(CONTROL!$C$9, $D$9, 100%, $F$9) + CHOOSE(CONTROL!$C$27, 0.0021, 0)</f>
        <v>129.18110000000001</v>
      </c>
      <c r="I853" s="14">
        <f>129.179 * CHOOSE(CONTROL!$C$9, $D$9, 100%, $F$9) + CHOOSE(CONTROL!$C$27, 0.0021, 0)</f>
        <v>129.18110000000001</v>
      </c>
      <c r="J853" s="14">
        <f>129.179 * CHOOSE(CONTROL!$C$9, $D$9, 100%, $F$9) + CHOOSE(CONTROL!$C$27, 0.0021, 0)</f>
        <v>129.18110000000001</v>
      </c>
      <c r="K853" s="14">
        <f>129.179 * CHOOSE(CONTROL!$C$9, $D$9, 100%, $F$9) + CHOOSE(CONTROL!$C$27, 0.0021, 0)</f>
        <v>129.18110000000001</v>
      </c>
      <c r="L853" s="14"/>
    </row>
    <row r="854" spans="1:12" ht="15.75" x14ac:dyDescent="0.25">
      <c r="A854" s="32">
        <v>66931</v>
      </c>
      <c r="B854" s="14">
        <f>136.3217 * CHOOSE(CONTROL!$C$9, $D$9, 100%, $F$9) + CHOOSE(CONTROL!$C$27, 0.0021, 0)</f>
        <v>136.32380000000001</v>
      </c>
      <c r="C854" s="14">
        <f>135.8895 * CHOOSE(CONTROL!$C$9, $D$9, 100%, $F$9) + CHOOSE(CONTROL!$C$27, 0.0021, 0)</f>
        <v>135.89160000000001</v>
      </c>
      <c r="D854" s="14">
        <f>135.8895 * CHOOSE(CONTROL!$C$9, $D$9, 100%, $F$9) + CHOOSE(CONTROL!$C$27, 0.0021, 0)</f>
        <v>135.89160000000001</v>
      </c>
      <c r="E854" s="14">
        <f>135.7528 * CHOOSE(CONTROL!$C$9, $D$9, 100%, $F$9) + CHOOSE(CONTROL!$C$27, 0.0021, 0)</f>
        <v>135.75490000000002</v>
      </c>
      <c r="F854" s="14">
        <f>135.7528 * CHOOSE(CONTROL!$C$9, $D$9, 100%, $F$9) + CHOOSE(CONTROL!$C$27, 0.0021, 0)</f>
        <v>135.75490000000002</v>
      </c>
      <c r="G854" s="14">
        <f>136.0242 * CHOOSE(CONTROL!$C$9, $D$9, 100%, $F$9) + CHOOSE(CONTROL!$C$27, 0.0021, 0)</f>
        <v>136.02630000000002</v>
      </c>
      <c r="H854" s="14">
        <f>135.8895 * CHOOSE(CONTROL!$C$9, $D$9, 100%, $F$9) + CHOOSE(CONTROL!$C$27, 0.0021, 0)</f>
        <v>135.89160000000001</v>
      </c>
      <c r="I854" s="14">
        <f>135.8895 * CHOOSE(CONTROL!$C$9, $D$9, 100%, $F$9) + CHOOSE(CONTROL!$C$27, 0.0021, 0)</f>
        <v>135.89160000000001</v>
      </c>
      <c r="J854" s="14">
        <f>135.8895 * CHOOSE(CONTROL!$C$9, $D$9, 100%, $F$9) + CHOOSE(CONTROL!$C$27, 0.0021, 0)</f>
        <v>135.89160000000001</v>
      </c>
      <c r="K854" s="14">
        <f>135.8895 * CHOOSE(CONTROL!$C$9, $D$9, 100%, $F$9) + CHOOSE(CONTROL!$C$27, 0.0021, 0)</f>
        <v>135.89160000000001</v>
      </c>
      <c r="L854" s="14"/>
    </row>
    <row r="855" spans="1:12" ht="15.75" x14ac:dyDescent="0.25">
      <c r="A855" s="32">
        <v>66961</v>
      </c>
      <c r="B855" s="14">
        <f>145.0236 * CHOOSE(CONTROL!$C$9, $D$9, 100%, $F$9) + CHOOSE(CONTROL!$C$27, 0.0021, 0)</f>
        <v>145.0257</v>
      </c>
      <c r="C855" s="14">
        <f>144.5913 * CHOOSE(CONTROL!$C$9, $D$9, 100%, $F$9) + CHOOSE(CONTROL!$C$27, 0.0021, 0)</f>
        <v>144.5934</v>
      </c>
      <c r="D855" s="14">
        <f>144.5913 * CHOOSE(CONTROL!$C$9, $D$9, 100%, $F$9) + CHOOSE(CONTROL!$C$27, 0.0021, 0)</f>
        <v>144.5934</v>
      </c>
      <c r="E855" s="14">
        <f>144.4547 * CHOOSE(CONTROL!$C$9, $D$9, 100%, $F$9) + CHOOSE(CONTROL!$C$27, 0.0021, 0)</f>
        <v>144.45680000000002</v>
      </c>
      <c r="F855" s="14">
        <f>144.4547 * CHOOSE(CONTROL!$C$9, $D$9, 100%, $F$9) + CHOOSE(CONTROL!$C$27, 0.0021, 0)</f>
        <v>144.45680000000002</v>
      </c>
      <c r="G855" s="14">
        <f>144.726 * CHOOSE(CONTROL!$C$9, $D$9, 100%, $F$9) + CHOOSE(CONTROL!$C$27, 0.0021, 0)</f>
        <v>144.72810000000001</v>
      </c>
      <c r="H855" s="14">
        <f>144.5913 * CHOOSE(CONTROL!$C$9, $D$9, 100%, $F$9) + CHOOSE(CONTROL!$C$27, 0.0021, 0)</f>
        <v>144.5934</v>
      </c>
      <c r="I855" s="14">
        <f>144.5913 * CHOOSE(CONTROL!$C$9, $D$9, 100%, $F$9) + CHOOSE(CONTROL!$C$27, 0.0021, 0)</f>
        <v>144.5934</v>
      </c>
      <c r="J855" s="14">
        <f>144.5913 * CHOOSE(CONTROL!$C$9, $D$9, 100%, $F$9) + CHOOSE(CONTROL!$C$27, 0.0021, 0)</f>
        <v>144.5934</v>
      </c>
      <c r="K855" s="14">
        <f>144.5913 * CHOOSE(CONTROL!$C$9, $D$9, 100%, $F$9) + CHOOSE(CONTROL!$C$27, 0.0021, 0)</f>
        <v>144.5934</v>
      </c>
      <c r="L855" s="14"/>
    </row>
    <row r="856" spans="1:12" ht="15.75" x14ac:dyDescent="0.25">
      <c r="A856" s="32">
        <v>66992</v>
      </c>
      <c r="B856" s="14">
        <f>149.8133 * CHOOSE(CONTROL!$C$9, $D$9, 100%, $F$9) + CHOOSE(CONTROL!$C$27, 0.0021, 0)</f>
        <v>149.81540000000001</v>
      </c>
      <c r="C856" s="14">
        <f>149.3811 * CHOOSE(CONTROL!$C$9, $D$9, 100%, $F$9) + CHOOSE(CONTROL!$C$27, 0.0021, 0)</f>
        <v>149.38320000000002</v>
      </c>
      <c r="D856" s="14">
        <f>149.3811 * CHOOSE(CONTROL!$C$9, $D$9, 100%, $F$9) + CHOOSE(CONTROL!$C$27, 0.0021, 0)</f>
        <v>149.38320000000002</v>
      </c>
      <c r="E856" s="14">
        <f>149.2444 * CHOOSE(CONTROL!$C$9, $D$9, 100%, $F$9) + CHOOSE(CONTROL!$C$27, 0.0021, 0)</f>
        <v>149.24650000000003</v>
      </c>
      <c r="F856" s="14">
        <f>149.2444 * CHOOSE(CONTROL!$C$9, $D$9, 100%, $F$9) + CHOOSE(CONTROL!$C$27, 0.0021, 0)</f>
        <v>149.24650000000003</v>
      </c>
      <c r="G856" s="14">
        <f>149.5158 * CHOOSE(CONTROL!$C$9, $D$9, 100%, $F$9) + CHOOSE(CONTROL!$C$27, 0.0021, 0)</f>
        <v>149.51790000000003</v>
      </c>
      <c r="H856" s="14">
        <f>149.3811 * CHOOSE(CONTROL!$C$9, $D$9, 100%, $F$9) + CHOOSE(CONTROL!$C$27, 0.0021, 0)</f>
        <v>149.38320000000002</v>
      </c>
      <c r="I856" s="14">
        <f>149.3811 * CHOOSE(CONTROL!$C$9, $D$9, 100%, $F$9) + CHOOSE(CONTROL!$C$27, 0.0021, 0)</f>
        <v>149.38320000000002</v>
      </c>
      <c r="J856" s="14">
        <f>149.3811 * CHOOSE(CONTROL!$C$9, $D$9, 100%, $F$9) + CHOOSE(CONTROL!$C$27, 0.0021, 0)</f>
        <v>149.38320000000002</v>
      </c>
      <c r="K856" s="14">
        <f>149.3811 * CHOOSE(CONTROL!$C$9, $D$9, 100%, $F$9) + CHOOSE(CONTROL!$C$27, 0.0021, 0)</f>
        <v>149.38320000000002</v>
      </c>
      <c r="L856" s="14"/>
    </row>
    <row r="857" spans="1:12" ht="15.75" x14ac:dyDescent="0.25">
      <c r="A857" s="32">
        <v>67022</v>
      </c>
      <c r="B857" s="14">
        <f>151.939 * CHOOSE(CONTROL!$C$9, $D$9, 100%, $F$9) + CHOOSE(CONTROL!$C$27, 0.0021, 0)</f>
        <v>151.94110000000001</v>
      </c>
      <c r="C857" s="14">
        <f>151.5067 * CHOOSE(CONTROL!$C$9, $D$9, 100%, $F$9) + CHOOSE(CONTROL!$C$27, 0.0021, 0)</f>
        <v>151.50880000000001</v>
      </c>
      <c r="D857" s="14">
        <f>151.5067 * CHOOSE(CONTROL!$C$9, $D$9, 100%, $F$9) + CHOOSE(CONTROL!$C$27, 0.0021, 0)</f>
        <v>151.50880000000001</v>
      </c>
      <c r="E857" s="14">
        <f>151.3701 * CHOOSE(CONTROL!$C$9, $D$9, 100%, $F$9) + CHOOSE(CONTROL!$C$27, 0.0021, 0)</f>
        <v>151.37220000000002</v>
      </c>
      <c r="F857" s="14">
        <f>151.3701 * CHOOSE(CONTROL!$C$9, $D$9, 100%, $F$9) + CHOOSE(CONTROL!$C$27, 0.0021, 0)</f>
        <v>151.37220000000002</v>
      </c>
      <c r="G857" s="14">
        <f>151.6414 * CHOOSE(CONTROL!$C$9, $D$9, 100%, $F$9) + CHOOSE(CONTROL!$C$27, 0.0021, 0)</f>
        <v>151.64350000000002</v>
      </c>
      <c r="H857" s="14">
        <f>151.5067 * CHOOSE(CONTROL!$C$9, $D$9, 100%, $F$9) + CHOOSE(CONTROL!$C$27, 0.0021, 0)</f>
        <v>151.50880000000001</v>
      </c>
      <c r="I857" s="14">
        <f>151.5067 * CHOOSE(CONTROL!$C$9, $D$9, 100%, $F$9) + CHOOSE(CONTROL!$C$27, 0.0021, 0)</f>
        <v>151.50880000000001</v>
      </c>
      <c r="J857" s="14">
        <f>151.5067 * CHOOSE(CONTROL!$C$9, $D$9, 100%, $F$9) + CHOOSE(CONTROL!$C$27, 0.0021, 0)</f>
        <v>151.50880000000001</v>
      </c>
      <c r="K857" s="14">
        <f>151.5067 * CHOOSE(CONTROL!$C$9, $D$9, 100%, $F$9) + CHOOSE(CONTROL!$C$27, 0.0021, 0)</f>
        <v>151.50880000000001</v>
      </c>
      <c r="L857" s="14"/>
    </row>
    <row r="858" spans="1:12" ht="15.75" x14ac:dyDescent="0.25">
      <c r="A858" s="32">
        <v>67053</v>
      </c>
      <c r="B858" s="14">
        <f>151.2391 * CHOOSE(CONTROL!$C$9, $D$9, 100%, $F$9) + CHOOSE(CONTROL!$C$27, 0.0021, 0)</f>
        <v>151.24120000000002</v>
      </c>
      <c r="C858" s="14">
        <f>150.8069 * CHOOSE(CONTROL!$C$9, $D$9, 100%, $F$9) + CHOOSE(CONTROL!$C$27, 0.0021, 0)</f>
        <v>150.80900000000003</v>
      </c>
      <c r="D858" s="14">
        <f>150.8069 * CHOOSE(CONTROL!$C$9, $D$9, 100%, $F$9) + CHOOSE(CONTROL!$C$27, 0.0021, 0)</f>
        <v>150.80900000000003</v>
      </c>
      <c r="E858" s="14">
        <f>150.6702 * CHOOSE(CONTROL!$C$9, $D$9, 100%, $F$9) + CHOOSE(CONTROL!$C$27, 0.0021, 0)</f>
        <v>150.67230000000001</v>
      </c>
      <c r="F858" s="14">
        <f>150.6702 * CHOOSE(CONTROL!$C$9, $D$9, 100%, $F$9) + CHOOSE(CONTROL!$C$27, 0.0021, 0)</f>
        <v>150.67230000000001</v>
      </c>
      <c r="G858" s="14">
        <f>150.9416 * CHOOSE(CONTROL!$C$9, $D$9, 100%, $F$9) + CHOOSE(CONTROL!$C$27, 0.0021, 0)</f>
        <v>150.94370000000001</v>
      </c>
      <c r="H858" s="14">
        <f>150.8069 * CHOOSE(CONTROL!$C$9, $D$9, 100%, $F$9) + CHOOSE(CONTROL!$C$27, 0.0021, 0)</f>
        <v>150.80900000000003</v>
      </c>
      <c r="I858" s="14">
        <f>150.8069 * CHOOSE(CONTROL!$C$9, $D$9, 100%, $F$9) + CHOOSE(CONTROL!$C$27, 0.0021, 0)</f>
        <v>150.80900000000003</v>
      </c>
      <c r="J858" s="14">
        <f>150.8069 * CHOOSE(CONTROL!$C$9, $D$9, 100%, $F$9) + CHOOSE(CONTROL!$C$27, 0.0021, 0)</f>
        <v>150.80900000000003</v>
      </c>
      <c r="K858" s="14">
        <f>150.8069 * CHOOSE(CONTROL!$C$9, $D$9, 100%, $F$9) + CHOOSE(CONTROL!$C$27, 0.0021, 0)</f>
        <v>150.80900000000003</v>
      </c>
      <c r="L858" s="14"/>
    </row>
    <row r="859" spans="1:12" ht="15.75" x14ac:dyDescent="0.25">
      <c r="A859" s="32">
        <v>67084</v>
      </c>
      <c r="B859" s="14">
        <f>147.7717 * CHOOSE(CONTROL!$C$9, $D$9, 100%, $F$9) + CHOOSE(CONTROL!$C$27, 0.0021, 0)</f>
        <v>147.77380000000002</v>
      </c>
      <c r="C859" s="14">
        <f>147.3394 * CHOOSE(CONTROL!$C$9, $D$9, 100%, $F$9) + CHOOSE(CONTROL!$C$27, 0.0021, 0)</f>
        <v>147.34150000000002</v>
      </c>
      <c r="D859" s="14">
        <f>147.3394 * CHOOSE(CONTROL!$C$9, $D$9, 100%, $F$9) + CHOOSE(CONTROL!$C$27, 0.0021, 0)</f>
        <v>147.34150000000002</v>
      </c>
      <c r="E859" s="14">
        <f>147.2028 * CHOOSE(CONTROL!$C$9, $D$9, 100%, $F$9) + CHOOSE(CONTROL!$C$27, 0.0021, 0)</f>
        <v>147.20490000000001</v>
      </c>
      <c r="F859" s="14">
        <f>147.2028 * CHOOSE(CONTROL!$C$9, $D$9, 100%, $F$9) + CHOOSE(CONTROL!$C$27, 0.0021, 0)</f>
        <v>147.20490000000001</v>
      </c>
      <c r="G859" s="14">
        <f>147.4742 * CHOOSE(CONTROL!$C$9, $D$9, 100%, $F$9) + CHOOSE(CONTROL!$C$27, 0.0021, 0)</f>
        <v>147.47630000000001</v>
      </c>
      <c r="H859" s="14">
        <f>147.3394 * CHOOSE(CONTROL!$C$9, $D$9, 100%, $F$9) + CHOOSE(CONTROL!$C$27, 0.0021, 0)</f>
        <v>147.34150000000002</v>
      </c>
      <c r="I859" s="14">
        <f>147.3394 * CHOOSE(CONTROL!$C$9, $D$9, 100%, $F$9) + CHOOSE(CONTROL!$C$27, 0.0021, 0)</f>
        <v>147.34150000000002</v>
      </c>
      <c r="J859" s="14">
        <f>147.3394 * CHOOSE(CONTROL!$C$9, $D$9, 100%, $F$9) + CHOOSE(CONTROL!$C$27, 0.0021, 0)</f>
        <v>147.34150000000002</v>
      </c>
      <c r="K859" s="14">
        <f>147.3394 * CHOOSE(CONTROL!$C$9, $D$9, 100%, $F$9) + CHOOSE(CONTROL!$C$27, 0.0021, 0)</f>
        <v>147.34150000000002</v>
      </c>
      <c r="L859" s="14"/>
    </row>
    <row r="860" spans="1:12" ht="15.75" x14ac:dyDescent="0.25">
      <c r="A860" s="32">
        <v>67114</v>
      </c>
      <c r="B860" s="14">
        <f>142.9362 * CHOOSE(CONTROL!$C$9, $D$9, 100%, $F$9) + CHOOSE(CONTROL!$C$27, 0.0021, 0)</f>
        <v>142.93830000000003</v>
      </c>
      <c r="C860" s="14">
        <f>142.504 * CHOOSE(CONTROL!$C$9, $D$9, 100%, $F$9) + CHOOSE(CONTROL!$C$27, 0.0021, 0)</f>
        <v>142.5061</v>
      </c>
      <c r="D860" s="14">
        <f>142.504 * CHOOSE(CONTROL!$C$9, $D$9, 100%, $F$9) + CHOOSE(CONTROL!$C$27, 0.0021, 0)</f>
        <v>142.5061</v>
      </c>
      <c r="E860" s="14">
        <f>142.3673 * CHOOSE(CONTROL!$C$9, $D$9, 100%, $F$9) + CHOOSE(CONTROL!$C$27, 0.0021, 0)</f>
        <v>142.36940000000001</v>
      </c>
      <c r="F860" s="14">
        <f>142.3673 * CHOOSE(CONTROL!$C$9, $D$9, 100%, $F$9) + CHOOSE(CONTROL!$C$27, 0.0021, 0)</f>
        <v>142.36940000000001</v>
      </c>
      <c r="G860" s="14">
        <f>142.6387 * CHOOSE(CONTROL!$C$9, $D$9, 100%, $F$9) + CHOOSE(CONTROL!$C$27, 0.0021, 0)</f>
        <v>142.64080000000001</v>
      </c>
      <c r="H860" s="14">
        <f>142.504 * CHOOSE(CONTROL!$C$9, $D$9, 100%, $F$9) + CHOOSE(CONTROL!$C$27, 0.0021, 0)</f>
        <v>142.5061</v>
      </c>
      <c r="I860" s="14">
        <f>142.504 * CHOOSE(CONTROL!$C$9, $D$9, 100%, $F$9) + CHOOSE(CONTROL!$C$27, 0.0021, 0)</f>
        <v>142.5061</v>
      </c>
      <c r="J860" s="14">
        <f>142.504 * CHOOSE(CONTROL!$C$9, $D$9, 100%, $F$9) + CHOOSE(CONTROL!$C$27, 0.0021, 0)</f>
        <v>142.5061</v>
      </c>
      <c r="K860" s="14">
        <f>142.504 * CHOOSE(CONTROL!$C$9, $D$9, 100%, $F$9) + CHOOSE(CONTROL!$C$27, 0.0021, 0)</f>
        <v>142.5061</v>
      </c>
      <c r="L860" s="14"/>
    </row>
    <row r="861" spans="1:12" ht="15.75" x14ac:dyDescent="0.25">
      <c r="A861" s="32">
        <v>67145</v>
      </c>
      <c r="B861" s="14">
        <f>138.0726 * CHOOSE(CONTROL!$C$9, $D$9, 100%, $F$9) + CHOOSE(CONTROL!$C$27, 0.0021, 0)</f>
        <v>138.07470000000001</v>
      </c>
      <c r="C861" s="14">
        <f>137.6404 * CHOOSE(CONTROL!$C$9, $D$9, 100%, $F$9) + CHOOSE(CONTROL!$C$27, 0.0021, 0)</f>
        <v>137.64250000000001</v>
      </c>
      <c r="D861" s="14">
        <f>137.6404 * CHOOSE(CONTROL!$C$9, $D$9, 100%, $F$9) + CHOOSE(CONTROL!$C$27, 0.0021, 0)</f>
        <v>137.64250000000001</v>
      </c>
      <c r="E861" s="14">
        <f>137.5037 * CHOOSE(CONTROL!$C$9, $D$9, 100%, $F$9) + CHOOSE(CONTROL!$C$27, 0.0021, 0)</f>
        <v>137.50580000000002</v>
      </c>
      <c r="F861" s="14">
        <f>137.5037 * CHOOSE(CONTROL!$C$9, $D$9, 100%, $F$9) + CHOOSE(CONTROL!$C$27, 0.0021, 0)</f>
        <v>137.50580000000002</v>
      </c>
      <c r="G861" s="14">
        <f>137.7751 * CHOOSE(CONTROL!$C$9, $D$9, 100%, $F$9) + CHOOSE(CONTROL!$C$27, 0.0021, 0)</f>
        <v>137.77720000000002</v>
      </c>
      <c r="H861" s="14">
        <f>137.6404 * CHOOSE(CONTROL!$C$9, $D$9, 100%, $F$9) + CHOOSE(CONTROL!$C$27, 0.0021, 0)</f>
        <v>137.64250000000001</v>
      </c>
      <c r="I861" s="14">
        <f>137.6404 * CHOOSE(CONTROL!$C$9, $D$9, 100%, $F$9) + CHOOSE(CONTROL!$C$27, 0.0021, 0)</f>
        <v>137.64250000000001</v>
      </c>
      <c r="J861" s="14">
        <f>137.6404 * CHOOSE(CONTROL!$C$9, $D$9, 100%, $F$9) + CHOOSE(CONTROL!$C$27, 0.0021, 0)</f>
        <v>137.64250000000001</v>
      </c>
      <c r="K861" s="14">
        <f>137.6404 * CHOOSE(CONTROL!$C$9, $D$9, 100%, $F$9) + CHOOSE(CONTROL!$C$27, 0.0021, 0)</f>
        <v>137.64250000000001</v>
      </c>
      <c r="L861" s="14"/>
    </row>
    <row r="862" spans="1:12" ht="15.75" x14ac:dyDescent="0.25">
      <c r="A862" s="32">
        <v>67175</v>
      </c>
      <c r="B862" s="14">
        <f>137.1051 * CHOOSE(CONTROL!$C$9, $D$9, 100%, $F$9) + CHOOSE(CONTROL!$C$27, 0.0021, 0)</f>
        <v>137.10720000000001</v>
      </c>
      <c r="C862" s="14">
        <f>136.6729 * CHOOSE(CONTROL!$C$9, $D$9, 100%, $F$9) + CHOOSE(CONTROL!$C$27, 0.0021, 0)</f>
        <v>136.67500000000001</v>
      </c>
      <c r="D862" s="14">
        <f>136.6729 * CHOOSE(CONTROL!$C$9, $D$9, 100%, $F$9) + CHOOSE(CONTROL!$C$27, 0.0021, 0)</f>
        <v>136.67500000000001</v>
      </c>
      <c r="E862" s="14">
        <f>136.5362 * CHOOSE(CONTROL!$C$9, $D$9, 100%, $F$9) + CHOOSE(CONTROL!$C$27, 0.0021, 0)</f>
        <v>136.53830000000002</v>
      </c>
      <c r="F862" s="14">
        <f>136.5362 * CHOOSE(CONTROL!$C$9, $D$9, 100%, $F$9) + CHOOSE(CONTROL!$C$27, 0.0021, 0)</f>
        <v>136.53830000000002</v>
      </c>
      <c r="G862" s="14">
        <f>136.8076 * CHOOSE(CONTROL!$C$9, $D$9, 100%, $F$9) + CHOOSE(CONTROL!$C$27, 0.0021, 0)</f>
        <v>136.80970000000002</v>
      </c>
      <c r="H862" s="14">
        <f>136.6729 * CHOOSE(CONTROL!$C$9, $D$9, 100%, $F$9) + CHOOSE(CONTROL!$C$27, 0.0021, 0)</f>
        <v>136.67500000000001</v>
      </c>
      <c r="I862" s="14">
        <f>136.6729 * CHOOSE(CONTROL!$C$9, $D$9, 100%, $F$9) + CHOOSE(CONTROL!$C$27, 0.0021, 0)</f>
        <v>136.67500000000001</v>
      </c>
      <c r="J862" s="14">
        <f>136.6729 * CHOOSE(CONTROL!$C$9, $D$9, 100%, $F$9) + CHOOSE(CONTROL!$C$27, 0.0021, 0)</f>
        <v>136.67500000000001</v>
      </c>
      <c r="K862" s="14">
        <f>136.6729 * CHOOSE(CONTROL!$C$9, $D$9, 100%, $F$9) + CHOOSE(CONTROL!$C$27, 0.0021, 0)</f>
        <v>136.67500000000001</v>
      </c>
      <c r="L862" s="14"/>
    </row>
    <row r="863" spans="1:12" ht="15.75" x14ac:dyDescent="0.25">
      <c r="A863" s="32">
        <v>67206</v>
      </c>
      <c r="B863" s="14">
        <f>133.1046 * CHOOSE(CONTROL!$C$9, $D$9, 100%, $F$9) + CHOOSE(CONTROL!$C$27, 0.0021, 0)</f>
        <v>133.10670000000002</v>
      </c>
      <c r="C863" s="14">
        <f>132.6723 * CHOOSE(CONTROL!$C$9, $D$9, 100%, $F$9) + CHOOSE(CONTROL!$C$27, 0.0021, 0)</f>
        <v>132.67440000000002</v>
      </c>
      <c r="D863" s="14">
        <f>132.6723 * CHOOSE(CONTROL!$C$9, $D$9, 100%, $F$9) + CHOOSE(CONTROL!$C$27, 0.0021, 0)</f>
        <v>132.67440000000002</v>
      </c>
      <c r="E863" s="14">
        <f>132.5356 * CHOOSE(CONTROL!$C$9, $D$9, 100%, $F$9) + CHOOSE(CONTROL!$C$27, 0.0021, 0)</f>
        <v>132.5377</v>
      </c>
      <c r="F863" s="14">
        <f>132.5356 * CHOOSE(CONTROL!$C$9, $D$9, 100%, $F$9) + CHOOSE(CONTROL!$C$27, 0.0021, 0)</f>
        <v>132.5377</v>
      </c>
      <c r="G863" s="14">
        <f>132.807 * CHOOSE(CONTROL!$C$9, $D$9, 100%, $F$9) + CHOOSE(CONTROL!$C$27, 0.0021, 0)</f>
        <v>132.8091</v>
      </c>
      <c r="H863" s="14">
        <f>132.6723 * CHOOSE(CONTROL!$C$9, $D$9, 100%, $F$9) + CHOOSE(CONTROL!$C$27, 0.0021, 0)</f>
        <v>132.67440000000002</v>
      </c>
      <c r="I863" s="14">
        <f>132.6723 * CHOOSE(CONTROL!$C$9, $D$9, 100%, $F$9) + CHOOSE(CONTROL!$C$27, 0.0021, 0)</f>
        <v>132.67440000000002</v>
      </c>
      <c r="J863" s="14">
        <f>132.6723 * CHOOSE(CONTROL!$C$9, $D$9, 100%, $F$9) + CHOOSE(CONTROL!$C$27, 0.0021, 0)</f>
        <v>132.67440000000002</v>
      </c>
      <c r="K863" s="14">
        <f>132.6723 * CHOOSE(CONTROL!$C$9, $D$9, 100%, $F$9) + CHOOSE(CONTROL!$C$27, 0.0021, 0)</f>
        <v>132.67440000000002</v>
      </c>
      <c r="L863" s="14"/>
    </row>
    <row r="864" spans="1:12" ht="15.75" x14ac:dyDescent="0.25">
      <c r="A864" s="32">
        <v>67237</v>
      </c>
      <c r="B864" s="14">
        <f>132.3257 * CHOOSE(CONTROL!$C$9, $D$9, 100%, $F$9) + CHOOSE(CONTROL!$C$27, 0.0021, 0)</f>
        <v>132.32780000000002</v>
      </c>
      <c r="C864" s="14">
        <f>131.8934 * CHOOSE(CONTROL!$C$9, $D$9, 100%, $F$9) + CHOOSE(CONTROL!$C$27, 0.0021, 0)</f>
        <v>131.89550000000003</v>
      </c>
      <c r="D864" s="14">
        <f>131.8934 * CHOOSE(CONTROL!$C$9, $D$9, 100%, $F$9) + CHOOSE(CONTROL!$C$27, 0.0021, 0)</f>
        <v>131.89550000000003</v>
      </c>
      <c r="E864" s="14">
        <f>131.7568 * CHOOSE(CONTROL!$C$9, $D$9, 100%, $F$9) + CHOOSE(CONTROL!$C$27, 0.0021, 0)</f>
        <v>131.75890000000001</v>
      </c>
      <c r="F864" s="14">
        <f>131.7568 * CHOOSE(CONTROL!$C$9, $D$9, 100%, $F$9) + CHOOSE(CONTROL!$C$27, 0.0021, 0)</f>
        <v>131.75890000000001</v>
      </c>
      <c r="G864" s="14">
        <f>132.0282 * CHOOSE(CONTROL!$C$9, $D$9, 100%, $F$9) + CHOOSE(CONTROL!$C$27, 0.0021, 0)</f>
        <v>132.03030000000001</v>
      </c>
      <c r="H864" s="14">
        <f>131.8934 * CHOOSE(CONTROL!$C$9, $D$9, 100%, $F$9) + CHOOSE(CONTROL!$C$27, 0.0021, 0)</f>
        <v>131.89550000000003</v>
      </c>
      <c r="I864" s="14">
        <f>131.8934 * CHOOSE(CONTROL!$C$9, $D$9, 100%, $F$9) + CHOOSE(CONTROL!$C$27, 0.0021, 0)</f>
        <v>131.89550000000003</v>
      </c>
      <c r="J864" s="14">
        <f>131.8934 * CHOOSE(CONTROL!$C$9, $D$9, 100%, $F$9) + CHOOSE(CONTROL!$C$27, 0.0021, 0)</f>
        <v>131.89550000000003</v>
      </c>
      <c r="K864" s="14">
        <f>131.8934 * CHOOSE(CONTROL!$C$9, $D$9, 100%, $F$9) + CHOOSE(CONTROL!$C$27, 0.0021, 0)</f>
        <v>131.89550000000003</v>
      </c>
      <c r="L864" s="14"/>
    </row>
    <row r="865" spans="1:12" ht="15.75" x14ac:dyDescent="0.25">
      <c r="A865" s="32">
        <v>67266</v>
      </c>
      <c r="B865" s="14">
        <f>131.9642 * CHOOSE(CONTROL!$C$9, $D$9, 100%, $F$9) + CHOOSE(CONTROL!$C$27, 0.0021, 0)</f>
        <v>131.96630000000002</v>
      </c>
      <c r="C865" s="14">
        <f>131.532 * CHOOSE(CONTROL!$C$9, $D$9, 100%, $F$9) + CHOOSE(CONTROL!$C$27, 0.0021, 0)</f>
        <v>131.53410000000002</v>
      </c>
      <c r="D865" s="14">
        <f>131.532 * CHOOSE(CONTROL!$C$9, $D$9, 100%, $F$9) + CHOOSE(CONTROL!$C$27, 0.0021, 0)</f>
        <v>131.53410000000002</v>
      </c>
      <c r="E865" s="14">
        <f>131.3953 * CHOOSE(CONTROL!$C$9, $D$9, 100%, $F$9) + CHOOSE(CONTROL!$C$27, 0.0021, 0)</f>
        <v>131.3974</v>
      </c>
      <c r="F865" s="14">
        <f>131.3953 * CHOOSE(CONTROL!$C$9, $D$9, 100%, $F$9) + CHOOSE(CONTROL!$C$27, 0.0021, 0)</f>
        <v>131.3974</v>
      </c>
      <c r="G865" s="14">
        <f>131.6667 * CHOOSE(CONTROL!$C$9, $D$9, 100%, $F$9) + CHOOSE(CONTROL!$C$27, 0.0021, 0)</f>
        <v>131.6688</v>
      </c>
      <c r="H865" s="14">
        <f>131.532 * CHOOSE(CONTROL!$C$9, $D$9, 100%, $F$9) + CHOOSE(CONTROL!$C$27, 0.0021, 0)</f>
        <v>131.53410000000002</v>
      </c>
      <c r="I865" s="14">
        <f>131.532 * CHOOSE(CONTROL!$C$9, $D$9, 100%, $F$9) + CHOOSE(CONTROL!$C$27, 0.0021, 0)</f>
        <v>131.53410000000002</v>
      </c>
      <c r="J865" s="14">
        <f>131.532 * CHOOSE(CONTROL!$C$9, $D$9, 100%, $F$9) + CHOOSE(CONTROL!$C$27, 0.0021, 0)</f>
        <v>131.53410000000002</v>
      </c>
      <c r="K865" s="14">
        <f>131.532 * CHOOSE(CONTROL!$C$9, $D$9, 100%, $F$9) + CHOOSE(CONTROL!$C$27, 0.0021, 0)</f>
        <v>131.53410000000002</v>
      </c>
      <c r="L865" s="14"/>
    </row>
    <row r="866" spans="1:12" ht="15.75" x14ac:dyDescent="0.25">
      <c r="A866" s="32">
        <v>67297</v>
      </c>
      <c r="B866" s="14">
        <f>138.7987 * CHOOSE(CONTROL!$C$9, $D$9, 100%, $F$9) + CHOOSE(CONTROL!$C$27, 0.0021, 0)</f>
        <v>138.80080000000001</v>
      </c>
      <c r="C866" s="14">
        <f>138.3664 * CHOOSE(CONTROL!$C$9, $D$9, 100%, $F$9) + CHOOSE(CONTROL!$C$27, 0.0021, 0)</f>
        <v>138.36850000000001</v>
      </c>
      <c r="D866" s="14">
        <f>138.3664 * CHOOSE(CONTROL!$C$9, $D$9, 100%, $F$9) + CHOOSE(CONTROL!$C$27, 0.0021, 0)</f>
        <v>138.36850000000001</v>
      </c>
      <c r="E866" s="14">
        <f>138.2298 * CHOOSE(CONTROL!$C$9, $D$9, 100%, $F$9) + CHOOSE(CONTROL!$C$27, 0.0021, 0)</f>
        <v>138.23190000000002</v>
      </c>
      <c r="F866" s="14">
        <f>138.2298 * CHOOSE(CONTROL!$C$9, $D$9, 100%, $F$9) + CHOOSE(CONTROL!$C$27, 0.0021, 0)</f>
        <v>138.23190000000002</v>
      </c>
      <c r="G866" s="14">
        <f>138.5012 * CHOOSE(CONTROL!$C$9, $D$9, 100%, $F$9) + CHOOSE(CONTROL!$C$27, 0.0021, 0)</f>
        <v>138.50330000000002</v>
      </c>
      <c r="H866" s="14">
        <f>138.3664 * CHOOSE(CONTROL!$C$9, $D$9, 100%, $F$9) + CHOOSE(CONTROL!$C$27, 0.0021, 0)</f>
        <v>138.36850000000001</v>
      </c>
      <c r="I866" s="14">
        <f>138.3664 * CHOOSE(CONTROL!$C$9, $D$9, 100%, $F$9) + CHOOSE(CONTROL!$C$27, 0.0021, 0)</f>
        <v>138.36850000000001</v>
      </c>
      <c r="J866" s="14">
        <f>138.3664 * CHOOSE(CONTROL!$C$9, $D$9, 100%, $F$9) + CHOOSE(CONTROL!$C$27, 0.0021, 0)</f>
        <v>138.36850000000001</v>
      </c>
      <c r="K866" s="14">
        <f>138.3664 * CHOOSE(CONTROL!$C$9, $D$9, 100%, $F$9) + CHOOSE(CONTROL!$C$27, 0.0021, 0)</f>
        <v>138.36850000000001</v>
      </c>
      <c r="L866" s="14"/>
    </row>
    <row r="867" spans="1:12" ht="15.75" x14ac:dyDescent="0.25">
      <c r="A867" s="32">
        <v>67327</v>
      </c>
      <c r="B867" s="14">
        <f>147.6613 * CHOOSE(CONTROL!$C$9, $D$9, 100%, $F$9) + CHOOSE(CONTROL!$C$27, 0.0021, 0)</f>
        <v>147.66340000000002</v>
      </c>
      <c r="C867" s="14">
        <f>147.2291 * CHOOSE(CONTROL!$C$9, $D$9, 100%, $F$9) + CHOOSE(CONTROL!$C$27, 0.0021, 0)</f>
        <v>147.2312</v>
      </c>
      <c r="D867" s="14">
        <f>147.2291 * CHOOSE(CONTROL!$C$9, $D$9, 100%, $F$9) + CHOOSE(CONTROL!$C$27, 0.0021, 0)</f>
        <v>147.2312</v>
      </c>
      <c r="E867" s="14">
        <f>147.0924 * CHOOSE(CONTROL!$C$9, $D$9, 100%, $F$9) + CHOOSE(CONTROL!$C$27, 0.0021, 0)</f>
        <v>147.09450000000001</v>
      </c>
      <c r="F867" s="14">
        <f>147.0924 * CHOOSE(CONTROL!$C$9, $D$9, 100%, $F$9) + CHOOSE(CONTROL!$C$27, 0.0021, 0)</f>
        <v>147.09450000000001</v>
      </c>
      <c r="G867" s="14">
        <f>147.3638 * CHOOSE(CONTROL!$C$9, $D$9, 100%, $F$9) + CHOOSE(CONTROL!$C$27, 0.0021, 0)</f>
        <v>147.36590000000001</v>
      </c>
      <c r="H867" s="14">
        <f>147.2291 * CHOOSE(CONTROL!$C$9, $D$9, 100%, $F$9) + CHOOSE(CONTROL!$C$27, 0.0021, 0)</f>
        <v>147.2312</v>
      </c>
      <c r="I867" s="14">
        <f>147.2291 * CHOOSE(CONTROL!$C$9, $D$9, 100%, $F$9) + CHOOSE(CONTROL!$C$27, 0.0021, 0)</f>
        <v>147.2312</v>
      </c>
      <c r="J867" s="14">
        <f>147.2291 * CHOOSE(CONTROL!$C$9, $D$9, 100%, $F$9) + CHOOSE(CONTROL!$C$27, 0.0021, 0)</f>
        <v>147.2312</v>
      </c>
      <c r="K867" s="14">
        <f>147.2291 * CHOOSE(CONTROL!$C$9, $D$9, 100%, $F$9) + CHOOSE(CONTROL!$C$27, 0.0021, 0)</f>
        <v>147.2312</v>
      </c>
      <c r="L867" s="14"/>
    </row>
    <row r="868" spans="1:12" ht="15.75" x14ac:dyDescent="0.25">
      <c r="A868" s="32">
        <v>67358</v>
      </c>
      <c r="B868" s="14">
        <f>152.5396 * CHOOSE(CONTROL!$C$9, $D$9, 100%, $F$9) + CHOOSE(CONTROL!$C$27, 0.0021, 0)</f>
        <v>152.54170000000002</v>
      </c>
      <c r="C868" s="14">
        <f>152.1074 * CHOOSE(CONTROL!$C$9, $D$9, 100%, $F$9) + CHOOSE(CONTROL!$C$27, 0.0021, 0)</f>
        <v>152.10950000000003</v>
      </c>
      <c r="D868" s="14">
        <f>152.1074 * CHOOSE(CONTROL!$C$9, $D$9, 100%, $F$9) + CHOOSE(CONTROL!$C$27, 0.0021, 0)</f>
        <v>152.10950000000003</v>
      </c>
      <c r="E868" s="14">
        <f>151.9707 * CHOOSE(CONTROL!$C$9, $D$9, 100%, $F$9) + CHOOSE(CONTROL!$C$27, 0.0021, 0)</f>
        <v>151.97280000000001</v>
      </c>
      <c r="F868" s="14">
        <f>151.9707 * CHOOSE(CONTROL!$C$9, $D$9, 100%, $F$9) + CHOOSE(CONTROL!$C$27, 0.0021, 0)</f>
        <v>151.97280000000001</v>
      </c>
      <c r="G868" s="14">
        <f>152.2421 * CHOOSE(CONTROL!$C$9, $D$9, 100%, $F$9) + CHOOSE(CONTROL!$C$27, 0.0021, 0)</f>
        <v>152.24420000000001</v>
      </c>
      <c r="H868" s="14">
        <f>152.1074 * CHOOSE(CONTROL!$C$9, $D$9, 100%, $F$9) + CHOOSE(CONTROL!$C$27, 0.0021, 0)</f>
        <v>152.10950000000003</v>
      </c>
      <c r="I868" s="14">
        <f>152.1074 * CHOOSE(CONTROL!$C$9, $D$9, 100%, $F$9) + CHOOSE(CONTROL!$C$27, 0.0021, 0)</f>
        <v>152.10950000000003</v>
      </c>
      <c r="J868" s="14">
        <f>152.1074 * CHOOSE(CONTROL!$C$9, $D$9, 100%, $F$9) + CHOOSE(CONTROL!$C$27, 0.0021, 0)</f>
        <v>152.10950000000003</v>
      </c>
      <c r="K868" s="14">
        <f>152.1074 * CHOOSE(CONTROL!$C$9, $D$9, 100%, $F$9) + CHOOSE(CONTROL!$C$27, 0.0021, 0)</f>
        <v>152.10950000000003</v>
      </c>
      <c r="L868" s="14"/>
    </row>
    <row r="869" spans="1:12" ht="15.75" x14ac:dyDescent="0.25">
      <c r="A869" s="32">
        <v>67388</v>
      </c>
      <c r="B869" s="14">
        <f>154.7045 * CHOOSE(CONTROL!$C$9, $D$9, 100%, $F$9) + CHOOSE(CONTROL!$C$27, 0.0021, 0)</f>
        <v>154.70660000000001</v>
      </c>
      <c r="C869" s="14">
        <f>154.2723 * CHOOSE(CONTROL!$C$9, $D$9, 100%, $F$9) + CHOOSE(CONTROL!$C$27, 0.0021, 0)</f>
        <v>154.27440000000001</v>
      </c>
      <c r="D869" s="14">
        <f>154.2723 * CHOOSE(CONTROL!$C$9, $D$9, 100%, $F$9) + CHOOSE(CONTROL!$C$27, 0.0021, 0)</f>
        <v>154.27440000000001</v>
      </c>
      <c r="E869" s="14">
        <f>154.1356 * CHOOSE(CONTROL!$C$9, $D$9, 100%, $F$9) + CHOOSE(CONTROL!$C$27, 0.0021, 0)</f>
        <v>154.13770000000002</v>
      </c>
      <c r="F869" s="14">
        <f>154.1356 * CHOOSE(CONTROL!$C$9, $D$9, 100%, $F$9) + CHOOSE(CONTROL!$C$27, 0.0021, 0)</f>
        <v>154.13770000000002</v>
      </c>
      <c r="G869" s="14">
        <f>154.407 * CHOOSE(CONTROL!$C$9, $D$9, 100%, $F$9) + CHOOSE(CONTROL!$C$27, 0.0021, 0)</f>
        <v>154.40910000000002</v>
      </c>
      <c r="H869" s="14">
        <f>154.2723 * CHOOSE(CONTROL!$C$9, $D$9, 100%, $F$9) + CHOOSE(CONTROL!$C$27, 0.0021, 0)</f>
        <v>154.27440000000001</v>
      </c>
      <c r="I869" s="14">
        <f>154.2723 * CHOOSE(CONTROL!$C$9, $D$9, 100%, $F$9) + CHOOSE(CONTROL!$C$27, 0.0021, 0)</f>
        <v>154.27440000000001</v>
      </c>
      <c r="J869" s="14">
        <f>154.2723 * CHOOSE(CONTROL!$C$9, $D$9, 100%, $F$9) + CHOOSE(CONTROL!$C$27, 0.0021, 0)</f>
        <v>154.27440000000001</v>
      </c>
      <c r="K869" s="14">
        <f>154.2723 * CHOOSE(CONTROL!$C$9, $D$9, 100%, $F$9) + CHOOSE(CONTROL!$C$27, 0.0021, 0)</f>
        <v>154.27440000000001</v>
      </c>
      <c r="L869" s="14"/>
    </row>
    <row r="870" spans="1:12" ht="15.75" x14ac:dyDescent="0.25">
      <c r="A870" s="32">
        <v>67419</v>
      </c>
      <c r="B870" s="14">
        <f>153.9918 * CHOOSE(CONTROL!$C$9, $D$9, 100%, $F$9) + CHOOSE(CONTROL!$C$27, 0.0021, 0)</f>
        <v>153.99390000000002</v>
      </c>
      <c r="C870" s="14">
        <f>153.5595 * CHOOSE(CONTROL!$C$9, $D$9, 100%, $F$9) + CHOOSE(CONTROL!$C$27, 0.0021, 0)</f>
        <v>153.56160000000003</v>
      </c>
      <c r="D870" s="14">
        <f>153.5595 * CHOOSE(CONTROL!$C$9, $D$9, 100%, $F$9) + CHOOSE(CONTROL!$C$27, 0.0021, 0)</f>
        <v>153.56160000000003</v>
      </c>
      <c r="E870" s="14">
        <f>153.4229 * CHOOSE(CONTROL!$C$9, $D$9, 100%, $F$9) + CHOOSE(CONTROL!$C$27, 0.0021, 0)</f>
        <v>153.42500000000001</v>
      </c>
      <c r="F870" s="14">
        <f>153.4229 * CHOOSE(CONTROL!$C$9, $D$9, 100%, $F$9) + CHOOSE(CONTROL!$C$27, 0.0021, 0)</f>
        <v>153.42500000000001</v>
      </c>
      <c r="G870" s="14">
        <f>153.6942 * CHOOSE(CONTROL!$C$9, $D$9, 100%, $F$9) + CHOOSE(CONTROL!$C$27, 0.0021, 0)</f>
        <v>153.69630000000001</v>
      </c>
      <c r="H870" s="14">
        <f>153.5595 * CHOOSE(CONTROL!$C$9, $D$9, 100%, $F$9) + CHOOSE(CONTROL!$C$27, 0.0021, 0)</f>
        <v>153.56160000000003</v>
      </c>
      <c r="I870" s="14">
        <f>153.5595 * CHOOSE(CONTROL!$C$9, $D$9, 100%, $F$9) + CHOOSE(CONTROL!$C$27, 0.0021, 0)</f>
        <v>153.56160000000003</v>
      </c>
      <c r="J870" s="14">
        <f>153.5595 * CHOOSE(CONTROL!$C$9, $D$9, 100%, $F$9) + CHOOSE(CONTROL!$C$27, 0.0021, 0)</f>
        <v>153.56160000000003</v>
      </c>
      <c r="K870" s="14">
        <f>153.5595 * CHOOSE(CONTROL!$C$9, $D$9, 100%, $F$9) + CHOOSE(CONTROL!$C$27, 0.0021, 0)</f>
        <v>153.56160000000003</v>
      </c>
      <c r="L870" s="14"/>
    </row>
    <row r="871" spans="1:12" ht="15.75" x14ac:dyDescent="0.25">
      <c r="A871" s="32">
        <v>67450</v>
      </c>
      <c r="B871" s="14">
        <f>150.4603 * CHOOSE(CONTROL!$C$9, $D$9, 100%, $F$9) + CHOOSE(CONTROL!$C$27, 0.0021, 0)</f>
        <v>150.4624</v>
      </c>
      <c r="C871" s="14">
        <f>150.028 * CHOOSE(CONTROL!$C$9, $D$9, 100%, $F$9) + CHOOSE(CONTROL!$C$27, 0.0021, 0)</f>
        <v>150.0301</v>
      </c>
      <c r="D871" s="14">
        <f>150.028 * CHOOSE(CONTROL!$C$9, $D$9, 100%, $F$9) + CHOOSE(CONTROL!$C$27, 0.0021, 0)</f>
        <v>150.0301</v>
      </c>
      <c r="E871" s="14">
        <f>149.8914 * CHOOSE(CONTROL!$C$9, $D$9, 100%, $F$9) + CHOOSE(CONTROL!$C$27, 0.0021, 0)</f>
        <v>149.89350000000002</v>
      </c>
      <c r="F871" s="14">
        <f>149.8914 * CHOOSE(CONTROL!$C$9, $D$9, 100%, $F$9) + CHOOSE(CONTROL!$C$27, 0.0021, 0)</f>
        <v>149.89350000000002</v>
      </c>
      <c r="G871" s="14">
        <f>150.1627 * CHOOSE(CONTROL!$C$9, $D$9, 100%, $F$9) + CHOOSE(CONTROL!$C$27, 0.0021, 0)</f>
        <v>150.16480000000001</v>
      </c>
      <c r="H871" s="14">
        <f>150.028 * CHOOSE(CONTROL!$C$9, $D$9, 100%, $F$9) + CHOOSE(CONTROL!$C$27, 0.0021, 0)</f>
        <v>150.0301</v>
      </c>
      <c r="I871" s="14">
        <f>150.028 * CHOOSE(CONTROL!$C$9, $D$9, 100%, $F$9) + CHOOSE(CONTROL!$C$27, 0.0021, 0)</f>
        <v>150.0301</v>
      </c>
      <c r="J871" s="14">
        <f>150.028 * CHOOSE(CONTROL!$C$9, $D$9, 100%, $F$9) + CHOOSE(CONTROL!$C$27, 0.0021, 0)</f>
        <v>150.0301</v>
      </c>
      <c r="K871" s="14">
        <f>150.028 * CHOOSE(CONTROL!$C$9, $D$9, 100%, $F$9) + CHOOSE(CONTROL!$C$27, 0.0021, 0)</f>
        <v>150.0301</v>
      </c>
      <c r="L871" s="14"/>
    </row>
    <row r="872" spans="1:12" ht="15.75" x14ac:dyDescent="0.25">
      <c r="A872" s="32">
        <v>67480</v>
      </c>
      <c r="B872" s="14">
        <f>145.5354 * CHOOSE(CONTROL!$C$9, $D$9, 100%, $F$9) + CHOOSE(CONTROL!$C$27, 0.0021, 0)</f>
        <v>145.53750000000002</v>
      </c>
      <c r="C872" s="14">
        <f>145.1032 * CHOOSE(CONTROL!$C$9, $D$9, 100%, $F$9) + CHOOSE(CONTROL!$C$27, 0.0021, 0)</f>
        <v>145.1053</v>
      </c>
      <c r="D872" s="14">
        <f>145.1032 * CHOOSE(CONTROL!$C$9, $D$9, 100%, $F$9) + CHOOSE(CONTROL!$C$27, 0.0021, 0)</f>
        <v>145.1053</v>
      </c>
      <c r="E872" s="14">
        <f>144.9665 * CHOOSE(CONTROL!$C$9, $D$9, 100%, $F$9) + CHOOSE(CONTROL!$C$27, 0.0021, 0)</f>
        <v>144.96860000000001</v>
      </c>
      <c r="F872" s="14">
        <f>144.9665 * CHOOSE(CONTROL!$C$9, $D$9, 100%, $F$9) + CHOOSE(CONTROL!$C$27, 0.0021, 0)</f>
        <v>144.96860000000001</v>
      </c>
      <c r="G872" s="14">
        <f>145.2379 * CHOOSE(CONTROL!$C$9, $D$9, 100%, $F$9) + CHOOSE(CONTROL!$C$27, 0.0021, 0)</f>
        <v>145.24</v>
      </c>
      <c r="H872" s="14">
        <f>145.1032 * CHOOSE(CONTROL!$C$9, $D$9, 100%, $F$9) + CHOOSE(CONTROL!$C$27, 0.0021, 0)</f>
        <v>145.1053</v>
      </c>
      <c r="I872" s="14">
        <f>145.1032 * CHOOSE(CONTROL!$C$9, $D$9, 100%, $F$9) + CHOOSE(CONTROL!$C$27, 0.0021, 0)</f>
        <v>145.1053</v>
      </c>
      <c r="J872" s="14">
        <f>145.1032 * CHOOSE(CONTROL!$C$9, $D$9, 100%, $F$9) + CHOOSE(CONTROL!$C$27, 0.0021, 0)</f>
        <v>145.1053</v>
      </c>
      <c r="K872" s="14">
        <f>145.1032 * CHOOSE(CONTROL!$C$9, $D$9, 100%, $F$9) + CHOOSE(CONTROL!$C$27, 0.0021, 0)</f>
        <v>145.1053</v>
      </c>
      <c r="L872" s="14"/>
    </row>
    <row r="873" spans="1:12" ht="15.75" x14ac:dyDescent="0.25">
      <c r="A873" s="32">
        <v>67511</v>
      </c>
      <c r="B873" s="14">
        <f>140.5819 * CHOOSE(CONTROL!$C$9, $D$9, 100%, $F$9) + CHOOSE(CONTROL!$C$27, 0.0021, 0)</f>
        <v>140.584</v>
      </c>
      <c r="C873" s="14">
        <f>140.1497 * CHOOSE(CONTROL!$C$9, $D$9, 100%, $F$9) + CHOOSE(CONTROL!$C$27, 0.0021, 0)</f>
        <v>140.15180000000001</v>
      </c>
      <c r="D873" s="14">
        <f>140.1497 * CHOOSE(CONTROL!$C$9, $D$9, 100%, $F$9) + CHOOSE(CONTROL!$C$27, 0.0021, 0)</f>
        <v>140.15180000000001</v>
      </c>
      <c r="E873" s="14">
        <f>140.013 * CHOOSE(CONTROL!$C$9, $D$9, 100%, $F$9) + CHOOSE(CONTROL!$C$27, 0.0021, 0)</f>
        <v>140.01510000000002</v>
      </c>
      <c r="F873" s="14">
        <f>140.013 * CHOOSE(CONTROL!$C$9, $D$9, 100%, $F$9) + CHOOSE(CONTROL!$C$27, 0.0021, 0)</f>
        <v>140.01510000000002</v>
      </c>
      <c r="G873" s="14">
        <f>140.2844 * CHOOSE(CONTROL!$C$9, $D$9, 100%, $F$9) + CHOOSE(CONTROL!$C$27, 0.0021, 0)</f>
        <v>140.28650000000002</v>
      </c>
      <c r="H873" s="14">
        <f>140.1497 * CHOOSE(CONTROL!$C$9, $D$9, 100%, $F$9) + CHOOSE(CONTROL!$C$27, 0.0021, 0)</f>
        <v>140.15180000000001</v>
      </c>
      <c r="I873" s="14">
        <f>140.1497 * CHOOSE(CONTROL!$C$9, $D$9, 100%, $F$9) + CHOOSE(CONTROL!$C$27, 0.0021, 0)</f>
        <v>140.15180000000001</v>
      </c>
      <c r="J873" s="14">
        <f>140.1497 * CHOOSE(CONTROL!$C$9, $D$9, 100%, $F$9) + CHOOSE(CONTROL!$C$27, 0.0021, 0)</f>
        <v>140.15180000000001</v>
      </c>
      <c r="K873" s="14">
        <f>140.1497 * CHOOSE(CONTROL!$C$9, $D$9, 100%, $F$9) + CHOOSE(CONTROL!$C$27, 0.0021, 0)</f>
        <v>140.15180000000001</v>
      </c>
      <c r="L873" s="14"/>
    </row>
    <row r="874" spans="1:12" ht="15.75" x14ac:dyDescent="0.25">
      <c r="A874" s="32">
        <v>67541</v>
      </c>
      <c r="B874" s="14">
        <f>139.5966 * CHOOSE(CONTROL!$C$9, $D$9, 100%, $F$9) + CHOOSE(CONTROL!$C$27, 0.0021, 0)</f>
        <v>139.59870000000001</v>
      </c>
      <c r="C874" s="14">
        <f>139.1643 * CHOOSE(CONTROL!$C$9, $D$9, 100%, $F$9) + CHOOSE(CONTROL!$C$27, 0.0021, 0)</f>
        <v>139.16640000000001</v>
      </c>
      <c r="D874" s="14">
        <f>139.1643 * CHOOSE(CONTROL!$C$9, $D$9, 100%, $F$9) + CHOOSE(CONTROL!$C$27, 0.0021, 0)</f>
        <v>139.16640000000001</v>
      </c>
      <c r="E874" s="14">
        <f>139.0277 * CHOOSE(CONTROL!$C$9, $D$9, 100%, $F$9) + CHOOSE(CONTROL!$C$27, 0.0021, 0)</f>
        <v>139.02980000000002</v>
      </c>
      <c r="F874" s="14">
        <f>139.0277 * CHOOSE(CONTROL!$C$9, $D$9, 100%, $F$9) + CHOOSE(CONTROL!$C$27, 0.0021, 0)</f>
        <v>139.02980000000002</v>
      </c>
      <c r="G874" s="14">
        <f>139.299 * CHOOSE(CONTROL!$C$9, $D$9, 100%, $F$9) + CHOOSE(CONTROL!$C$27, 0.0021, 0)</f>
        <v>139.30110000000002</v>
      </c>
      <c r="H874" s="14">
        <f>139.1643 * CHOOSE(CONTROL!$C$9, $D$9, 100%, $F$9) + CHOOSE(CONTROL!$C$27, 0.0021, 0)</f>
        <v>139.16640000000001</v>
      </c>
      <c r="I874" s="14">
        <f>139.1643 * CHOOSE(CONTROL!$C$9, $D$9, 100%, $F$9) + CHOOSE(CONTROL!$C$27, 0.0021, 0)</f>
        <v>139.16640000000001</v>
      </c>
      <c r="J874" s="14">
        <f>139.1643 * CHOOSE(CONTROL!$C$9, $D$9, 100%, $F$9) + CHOOSE(CONTROL!$C$27, 0.0021, 0)</f>
        <v>139.16640000000001</v>
      </c>
      <c r="K874" s="14">
        <f>139.1643 * CHOOSE(CONTROL!$C$9, $D$9, 100%, $F$9) + CHOOSE(CONTROL!$C$27, 0.0021, 0)</f>
        <v>139.16640000000001</v>
      </c>
      <c r="L874" s="14"/>
    </row>
    <row r="875" spans="1:12" ht="15.75" x14ac:dyDescent="0.25">
      <c r="A875" s="32">
        <v>67572</v>
      </c>
      <c r="B875" s="14">
        <f>135.5221 * CHOOSE(CONTROL!$C$9, $D$9, 100%, $F$9) + CHOOSE(CONTROL!$C$27, 0.0021, 0)</f>
        <v>135.52420000000001</v>
      </c>
      <c r="C875" s="14">
        <f>135.0898 * CHOOSE(CONTROL!$C$9, $D$9, 100%, $F$9) + CHOOSE(CONTROL!$C$27, 0.0021, 0)</f>
        <v>135.09190000000001</v>
      </c>
      <c r="D875" s="14">
        <f>135.0898 * CHOOSE(CONTROL!$C$9, $D$9, 100%, $F$9) + CHOOSE(CONTROL!$C$27, 0.0021, 0)</f>
        <v>135.09190000000001</v>
      </c>
      <c r="E875" s="14">
        <f>134.9532 * CHOOSE(CONTROL!$C$9, $D$9, 100%, $F$9) + CHOOSE(CONTROL!$C$27, 0.0021, 0)</f>
        <v>134.95530000000002</v>
      </c>
      <c r="F875" s="14">
        <f>134.9532 * CHOOSE(CONTROL!$C$9, $D$9, 100%, $F$9) + CHOOSE(CONTROL!$C$27, 0.0021, 0)</f>
        <v>134.95530000000002</v>
      </c>
      <c r="G875" s="14">
        <f>135.2245 * CHOOSE(CONTROL!$C$9, $D$9, 100%, $F$9) + CHOOSE(CONTROL!$C$27, 0.0021, 0)</f>
        <v>135.22660000000002</v>
      </c>
      <c r="H875" s="14">
        <f>135.0898 * CHOOSE(CONTROL!$C$9, $D$9, 100%, $F$9) + CHOOSE(CONTROL!$C$27, 0.0021, 0)</f>
        <v>135.09190000000001</v>
      </c>
      <c r="I875" s="14">
        <f>135.0898 * CHOOSE(CONTROL!$C$9, $D$9, 100%, $F$9) + CHOOSE(CONTROL!$C$27, 0.0021, 0)</f>
        <v>135.09190000000001</v>
      </c>
      <c r="J875" s="14">
        <f>135.0898 * CHOOSE(CONTROL!$C$9, $D$9, 100%, $F$9) + CHOOSE(CONTROL!$C$27, 0.0021, 0)</f>
        <v>135.09190000000001</v>
      </c>
      <c r="K875" s="14">
        <f>135.0898 * CHOOSE(CONTROL!$C$9, $D$9, 100%, $F$9) + CHOOSE(CONTROL!$C$27, 0.0021, 0)</f>
        <v>135.09190000000001</v>
      </c>
      <c r="L875" s="14"/>
    </row>
    <row r="876" spans="1:12" ht="15.75" x14ac:dyDescent="0.25">
      <c r="A876" s="32">
        <v>67603</v>
      </c>
      <c r="B876" s="14">
        <f>134.7288 * CHOOSE(CONTROL!$C$9, $D$9, 100%, $F$9) + CHOOSE(CONTROL!$C$27, 0.0021, 0)</f>
        <v>134.73090000000002</v>
      </c>
      <c r="C876" s="14">
        <f>134.2965 * CHOOSE(CONTROL!$C$9, $D$9, 100%, $F$9) + CHOOSE(CONTROL!$C$27, 0.0021, 0)</f>
        <v>134.29860000000002</v>
      </c>
      <c r="D876" s="14">
        <f>134.2965 * CHOOSE(CONTROL!$C$9, $D$9, 100%, $F$9) + CHOOSE(CONTROL!$C$27, 0.0021, 0)</f>
        <v>134.29860000000002</v>
      </c>
      <c r="E876" s="14">
        <f>134.1599 * CHOOSE(CONTROL!$C$9, $D$9, 100%, $F$9) + CHOOSE(CONTROL!$C$27, 0.0021, 0)</f>
        <v>134.16200000000001</v>
      </c>
      <c r="F876" s="14">
        <f>134.1599 * CHOOSE(CONTROL!$C$9, $D$9, 100%, $F$9) + CHOOSE(CONTROL!$C$27, 0.0021, 0)</f>
        <v>134.16200000000001</v>
      </c>
      <c r="G876" s="14">
        <f>134.4313 * CHOOSE(CONTROL!$C$9, $D$9, 100%, $F$9) + CHOOSE(CONTROL!$C$27, 0.0021, 0)</f>
        <v>134.43340000000001</v>
      </c>
      <c r="H876" s="14">
        <f>134.2965 * CHOOSE(CONTROL!$C$9, $D$9, 100%, $F$9) + CHOOSE(CONTROL!$C$27, 0.0021, 0)</f>
        <v>134.29860000000002</v>
      </c>
      <c r="I876" s="14">
        <f>134.2965 * CHOOSE(CONTROL!$C$9, $D$9, 100%, $F$9) + CHOOSE(CONTROL!$C$27, 0.0021, 0)</f>
        <v>134.29860000000002</v>
      </c>
      <c r="J876" s="14">
        <f>134.2965 * CHOOSE(CONTROL!$C$9, $D$9, 100%, $F$9) + CHOOSE(CONTROL!$C$27, 0.0021, 0)</f>
        <v>134.29860000000002</v>
      </c>
      <c r="K876" s="14">
        <f>134.2965 * CHOOSE(CONTROL!$C$9, $D$9, 100%, $F$9) + CHOOSE(CONTROL!$C$27, 0.0021, 0)</f>
        <v>134.29860000000002</v>
      </c>
      <c r="L876" s="14"/>
    </row>
    <row r="877" spans="1:12" ht="15.75" x14ac:dyDescent="0.25">
      <c r="A877" s="32">
        <v>67631</v>
      </c>
      <c r="B877" s="14">
        <f>134.3607 * CHOOSE(CONTROL!$C$9, $D$9, 100%, $F$9) + CHOOSE(CONTROL!$C$27, 0.0021, 0)</f>
        <v>134.36280000000002</v>
      </c>
      <c r="C877" s="14">
        <f>133.9284 * CHOOSE(CONTROL!$C$9, $D$9, 100%, $F$9) + CHOOSE(CONTROL!$C$27, 0.0021, 0)</f>
        <v>133.93050000000002</v>
      </c>
      <c r="D877" s="14">
        <f>133.9284 * CHOOSE(CONTROL!$C$9, $D$9, 100%, $F$9) + CHOOSE(CONTROL!$C$27, 0.0021, 0)</f>
        <v>133.93050000000002</v>
      </c>
      <c r="E877" s="14">
        <f>133.7918 * CHOOSE(CONTROL!$C$9, $D$9, 100%, $F$9) + CHOOSE(CONTROL!$C$27, 0.0021, 0)</f>
        <v>133.79390000000001</v>
      </c>
      <c r="F877" s="14">
        <f>133.7918 * CHOOSE(CONTROL!$C$9, $D$9, 100%, $F$9) + CHOOSE(CONTROL!$C$27, 0.0021, 0)</f>
        <v>133.79390000000001</v>
      </c>
      <c r="G877" s="14">
        <f>134.0631 * CHOOSE(CONTROL!$C$9, $D$9, 100%, $F$9) + CHOOSE(CONTROL!$C$27, 0.0021, 0)</f>
        <v>134.0652</v>
      </c>
      <c r="H877" s="14">
        <f>133.9284 * CHOOSE(CONTROL!$C$9, $D$9, 100%, $F$9) + CHOOSE(CONTROL!$C$27, 0.0021, 0)</f>
        <v>133.93050000000002</v>
      </c>
      <c r="I877" s="14">
        <f>133.9284 * CHOOSE(CONTROL!$C$9, $D$9, 100%, $F$9) + CHOOSE(CONTROL!$C$27, 0.0021, 0)</f>
        <v>133.93050000000002</v>
      </c>
      <c r="J877" s="14">
        <f>133.9284 * CHOOSE(CONTROL!$C$9, $D$9, 100%, $F$9) + CHOOSE(CONTROL!$C$27, 0.0021, 0)</f>
        <v>133.93050000000002</v>
      </c>
      <c r="K877" s="14">
        <f>133.9284 * CHOOSE(CONTROL!$C$9, $D$9, 100%, $F$9) + CHOOSE(CONTROL!$C$27, 0.0021, 0)</f>
        <v>133.93050000000002</v>
      </c>
      <c r="L877" s="14"/>
    </row>
    <row r="878" spans="1:12" ht="15.75" x14ac:dyDescent="0.25">
      <c r="A878" s="32">
        <v>67662</v>
      </c>
      <c r="B878" s="14">
        <f>141.3214 * CHOOSE(CONTROL!$C$9, $D$9, 100%, $F$9) + CHOOSE(CONTROL!$C$27, 0.0021, 0)</f>
        <v>141.32350000000002</v>
      </c>
      <c r="C878" s="14">
        <f>140.8892 * CHOOSE(CONTROL!$C$9, $D$9, 100%, $F$9) + CHOOSE(CONTROL!$C$27, 0.0021, 0)</f>
        <v>140.8913</v>
      </c>
      <c r="D878" s="14">
        <f>140.8892 * CHOOSE(CONTROL!$C$9, $D$9, 100%, $F$9) + CHOOSE(CONTROL!$C$27, 0.0021, 0)</f>
        <v>140.8913</v>
      </c>
      <c r="E878" s="14">
        <f>140.7525 * CHOOSE(CONTROL!$C$9, $D$9, 100%, $F$9) + CHOOSE(CONTROL!$C$27, 0.0021, 0)</f>
        <v>140.75460000000001</v>
      </c>
      <c r="F878" s="14">
        <f>140.7525 * CHOOSE(CONTROL!$C$9, $D$9, 100%, $F$9) + CHOOSE(CONTROL!$C$27, 0.0021, 0)</f>
        <v>140.75460000000001</v>
      </c>
      <c r="G878" s="14">
        <f>141.0239 * CHOOSE(CONTROL!$C$9, $D$9, 100%, $F$9) + CHOOSE(CONTROL!$C$27, 0.0021, 0)</f>
        <v>141.02600000000001</v>
      </c>
      <c r="H878" s="14">
        <f>140.8892 * CHOOSE(CONTROL!$C$9, $D$9, 100%, $F$9) + CHOOSE(CONTROL!$C$27, 0.0021, 0)</f>
        <v>140.8913</v>
      </c>
      <c r="I878" s="14">
        <f>140.8892 * CHOOSE(CONTROL!$C$9, $D$9, 100%, $F$9) + CHOOSE(CONTROL!$C$27, 0.0021, 0)</f>
        <v>140.8913</v>
      </c>
      <c r="J878" s="14">
        <f>140.8892 * CHOOSE(CONTROL!$C$9, $D$9, 100%, $F$9) + CHOOSE(CONTROL!$C$27, 0.0021, 0)</f>
        <v>140.8913</v>
      </c>
      <c r="K878" s="14">
        <f>140.8892 * CHOOSE(CONTROL!$C$9, $D$9, 100%, $F$9) + CHOOSE(CONTROL!$C$27, 0.0021, 0)</f>
        <v>140.8913</v>
      </c>
      <c r="L878" s="14"/>
    </row>
    <row r="879" spans="1:12" ht="15.75" x14ac:dyDescent="0.25">
      <c r="A879" s="32">
        <v>67692</v>
      </c>
      <c r="B879" s="14">
        <f>150.3479 * CHOOSE(CONTROL!$C$9, $D$9, 100%, $F$9) + CHOOSE(CONTROL!$C$27, 0.0021, 0)</f>
        <v>150.35000000000002</v>
      </c>
      <c r="C879" s="14">
        <f>149.9156 * CHOOSE(CONTROL!$C$9, $D$9, 100%, $F$9) + CHOOSE(CONTROL!$C$27, 0.0021, 0)</f>
        <v>149.91770000000002</v>
      </c>
      <c r="D879" s="14">
        <f>149.9156 * CHOOSE(CONTROL!$C$9, $D$9, 100%, $F$9) + CHOOSE(CONTROL!$C$27, 0.0021, 0)</f>
        <v>149.91770000000002</v>
      </c>
      <c r="E879" s="14">
        <f>149.779 * CHOOSE(CONTROL!$C$9, $D$9, 100%, $F$9) + CHOOSE(CONTROL!$C$27, 0.0021, 0)</f>
        <v>149.78110000000001</v>
      </c>
      <c r="F879" s="14">
        <f>149.779 * CHOOSE(CONTROL!$C$9, $D$9, 100%, $F$9) + CHOOSE(CONTROL!$C$27, 0.0021, 0)</f>
        <v>149.78110000000001</v>
      </c>
      <c r="G879" s="14">
        <f>150.0503 * CHOOSE(CONTROL!$C$9, $D$9, 100%, $F$9) + CHOOSE(CONTROL!$C$27, 0.0021, 0)</f>
        <v>150.05240000000001</v>
      </c>
      <c r="H879" s="14">
        <f>149.9156 * CHOOSE(CONTROL!$C$9, $D$9, 100%, $F$9) + CHOOSE(CONTROL!$C$27, 0.0021, 0)</f>
        <v>149.91770000000002</v>
      </c>
      <c r="I879" s="14">
        <f>149.9156 * CHOOSE(CONTROL!$C$9, $D$9, 100%, $F$9) + CHOOSE(CONTROL!$C$27, 0.0021, 0)</f>
        <v>149.91770000000002</v>
      </c>
      <c r="J879" s="14">
        <f>149.9156 * CHOOSE(CONTROL!$C$9, $D$9, 100%, $F$9) + CHOOSE(CONTROL!$C$27, 0.0021, 0)</f>
        <v>149.91770000000002</v>
      </c>
      <c r="K879" s="14">
        <f>149.9156 * CHOOSE(CONTROL!$C$9, $D$9, 100%, $F$9) + CHOOSE(CONTROL!$C$27, 0.0021, 0)</f>
        <v>149.91770000000002</v>
      </c>
      <c r="L879" s="14"/>
    </row>
    <row r="880" spans="1:12" ht="15.75" x14ac:dyDescent="0.25">
      <c r="A880" s="32">
        <v>67723</v>
      </c>
      <c r="B880" s="14">
        <f>155.3163 * CHOOSE(CONTROL!$C$9, $D$9, 100%, $F$9) + CHOOSE(CONTROL!$C$27, 0.0021, 0)</f>
        <v>155.31840000000003</v>
      </c>
      <c r="C880" s="14">
        <f>154.8841 * CHOOSE(CONTROL!$C$9, $D$9, 100%, $F$9) + CHOOSE(CONTROL!$C$27, 0.0021, 0)</f>
        <v>154.8862</v>
      </c>
      <c r="D880" s="14">
        <f>154.8841 * CHOOSE(CONTROL!$C$9, $D$9, 100%, $F$9) + CHOOSE(CONTROL!$C$27, 0.0021, 0)</f>
        <v>154.8862</v>
      </c>
      <c r="E880" s="14">
        <f>154.7474 * CHOOSE(CONTROL!$C$9, $D$9, 100%, $F$9) + CHOOSE(CONTROL!$C$27, 0.0021, 0)</f>
        <v>154.74950000000001</v>
      </c>
      <c r="F880" s="14">
        <f>154.7474 * CHOOSE(CONTROL!$C$9, $D$9, 100%, $F$9) + CHOOSE(CONTROL!$C$27, 0.0021, 0)</f>
        <v>154.74950000000001</v>
      </c>
      <c r="G880" s="14">
        <f>155.0188 * CHOOSE(CONTROL!$C$9, $D$9, 100%, $F$9) + CHOOSE(CONTROL!$C$27, 0.0021, 0)</f>
        <v>155.02090000000001</v>
      </c>
      <c r="H880" s="14">
        <f>154.8841 * CHOOSE(CONTROL!$C$9, $D$9, 100%, $F$9) + CHOOSE(CONTROL!$C$27, 0.0021, 0)</f>
        <v>154.8862</v>
      </c>
      <c r="I880" s="14">
        <f>154.8841 * CHOOSE(CONTROL!$C$9, $D$9, 100%, $F$9) + CHOOSE(CONTROL!$C$27, 0.0021, 0)</f>
        <v>154.8862</v>
      </c>
      <c r="J880" s="14">
        <f>154.8841 * CHOOSE(CONTROL!$C$9, $D$9, 100%, $F$9) + CHOOSE(CONTROL!$C$27, 0.0021, 0)</f>
        <v>154.8862</v>
      </c>
      <c r="K880" s="14">
        <f>154.8841 * CHOOSE(CONTROL!$C$9, $D$9, 100%, $F$9) + CHOOSE(CONTROL!$C$27, 0.0021, 0)</f>
        <v>154.8862</v>
      </c>
      <c r="L880" s="14"/>
    </row>
    <row r="881" spans="1:12" ht="15.75" x14ac:dyDescent="0.25">
      <c r="A881" s="32">
        <v>67753</v>
      </c>
      <c r="B881" s="14">
        <f>157.5212 * CHOOSE(CONTROL!$C$9, $D$9, 100%, $F$9) + CHOOSE(CONTROL!$C$27, 0.0021, 0)</f>
        <v>157.52330000000001</v>
      </c>
      <c r="C881" s="14">
        <f>157.089 * CHOOSE(CONTROL!$C$9, $D$9, 100%, $F$9) + CHOOSE(CONTROL!$C$27, 0.0021, 0)</f>
        <v>157.09110000000001</v>
      </c>
      <c r="D881" s="14">
        <f>157.089 * CHOOSE(CONTROL!$C$9, $D$9, 100%, $F$9) + CHOOSE(CONTROL!$C$27, 0.0021, 0)</f>
        <v>157.09110000000001</v>
      </c>
      <c r="E881" s="14">
        <f>156.9523 * CHOOSE(CONTROL!$C$9, $D$9, 100%, $F$9) + CHOOSE(CONTROL!$C$27, 0.0021, 0)</f>
        <v>156.95440000000002</v>
      </c>
      <c r="F881" s="14">
        <f>156.9523 * CHOOSE(CONTROL!$C$9, $D$9, 100%, $F$9) + CHOOSE(CONTROL!$C$27, 0.0021, 0)</f>
        <v>156.95440000000002</v>
      </c>
      <c r="G881" s="14">
        <f>157.2237 * CHOOSE(CONTROL!$C$9, $D$9, 100%, $F$9) + CHOOSE(CONTROL!$C$27, 0.0021, 0)</f>
        <v>157.22580000000002</v>
      </c>
      <c r="H881" s="14">
        <f>157.089 * CHOOSE(CONTROL!$C$9, $D$9, 100%, $F$9) + CHOOSE(CONTROL!$C$27, 0.0021, 0)</f>
        <v>157.09110000000001</v>
      </c>
      <c r="I881" s="14">
        <f>157.089 * CHOOSE(CONTROL!$C$9, $D$9, 100%, $F$9) + CHOOSE(CONTROL!$C$27, 0.0021, 0)</f>
        <v>157.09110000000001</v>
      </c>
      <c r="J881" s="14">
        <f>157.089 * CHOOSE(CONTROL!$C$9, $D$9, 100%, $F$9) + CHOOSE(CONTROL!$C$27, 0.0021, 0)</f>
        <v>157.09110000000001</v>
      </c>
      <c r="K881" s="14">
        <f>157.089 * CHOOSE(CONTROL!$C$9, $D$9, 100%, $F$9) + CHOOSE(CONTROL!$C$27, 0.0021, 0)</f>
        <v>157.09110000000001</v>
      </c>
      <c r="L881" s="14"/>
    </row>
    <row r="882" spans="1:12" ht="15.75" x14ac:dyDescent="0.25">
      <c r="A882" s="32">
        <v>67784</v>
      </c>
      <c r="B882" s="14">
        <f>156.7953 * CHOOSE(CONTROL!$C$9, $D$9, 100%, $F$9) + CHOOSE(CONTROL!$C$27, 0.0021, 0)</f>
        <v>156.79740000000001</v>
      </c>
      <c r="C882" s="14">
        <f>156.363 * CHOOSE(CONTROL!$C$9, $D$9, 100%, $F$9) + CHOOSE(CONTROL!$C$27, 0.0021, 0)</f>
        <v>156.36510000000001</v>
      </c>
      <c r="D882" s="14">
        <f>156.363 * CHOOSE(CONTROL!$C$9, $D$9, 100%, $F$9) + CHOOSE(CONTROL!$C$27, 0.0021, 0)</f>
        <v>156.36510000000001</v>
      </c>
      <c r="E882" s="14">
        <f>156.2264 * CHOOSE(CONTROL!$C$9, $D$9, 100%, $F$9) + CHOOSE(CONTROL!$C$27, 0.0021, 0)</f>
        <v>156.22850000000003</v>
      </c>
      <c r="F882" s="14">
        <f>156.2264 * CHOOSE(CONTROL!$C$9, $D$9, 100%, $F$9) + CHOOSE(CONTROL!$C$27, 0.0021, 0)</f>
        <v>156.22850000000003</v>
      </c>
      <c r="G882" s="14">
        <f>156.4977 * CHOOSE(CONTROL!$C$9, $D$9, 100%, $F$9) + CHOOSE(CONTROL!$C$27, 0.0021, 0)</f>
        <v>156.49980000000002</v>
      </c>
      <c r="H882" s="14">
        <f>156.363 * CHOOSE(CONTROL!$C$9, $D$9, 100%, $F$9) + CHOOSE(CONTROL!$C$27, 0.0021, 0)</f>
        <v>156.36510000000001</v>
      </c>
      <c r="I882" s="14">
        <f>156.363 * CHOOSE(CONTROL!$C$9, $D$9, 100%, $F$9) + CHOOSE(CONTROL!$C$27, 0.0021, 0)</f>
        <v>156.36510000000001</v>
      </c>
      <c r="J882" s="14">
        <f>156.363 * CHOOSE(CONTROL!$C$9, $D$9, 100%, $F$9) + CHOOSE(CONTROL!$C$27, 0.0021, 0)</f>
        <v>156.36510000000001</v>
      </c>
      <c r="K882" s="14">
        <f>156.363 * CHOOSE(CONTROL!$C$9, $D$9, 100%, $F$9) + CHOOSE(CONTROL!$C$27, 0.0021, 0)</f>
        <v>156.36510000000001</v>
      </c>
      <c r="L882" s="14"/>
    </row>
    <row r="883" spans="1:12" ht="15.75" x14ac:dyDescent="0.25">
      <c r="A883" s="32">
        <v>67815</v>
      </c>
      <c r="B883" s="14">
        <f>153.1985 * CHOOSE(CONTROL!$C$9, $D$9, 100%, $F$9) + CHOOSE(CONTROL!$C$27, 0.0021, 0)</f>
        <v>153.20060000000001</v>
      </c>
      <c r="C883" s="14">
        <f>152.7663 * CHOOSE(CONTROL!$C$9, $D$9, 100%, $F$9) + CHOOSE(CONTROL!$C$27, 0.0021, 0)</f>
        <v>152.76840000000001</v>
      </c>
      <c r="D883" s="14">
        <f>152.7663 * CHOOSE(CONTROL!$C$9, $D$9, 100%, $F$9) + CHOOSE(CONTROL!$C$27, 0.0021, 0)</f>
        <v>152.76840000000001</v>
      </c>
      <c r="E883" s="14">
        <f>152.6296 * CHOOSE(CONTROL!$C$9, $D$9, 100%, $F$9) + CHOOSE(CONTROL!$C$27, 0.0021, 0)</f>
        <v>152.63170000000002</v>
      </c>
      <c r="F883" s="14">
        <f>152.6296 * CHOOSE(CONTROL!$C$9, $D$9, 100%, $F$9) + CHOOSE(CONTROL!$C$27, 0.0021, 0)</f>
        <v>152.63170000000002</v>
      </c>
      <c r="G883" s="14">
        <f>152.901 * CHOOSE(CONTROL!$C$9, $D$9, 100%, $F$9) + CHOOSE(CONTROL!$C$27, 0.0021, 0)</f>
        <v>152.90310000000002</v>
      </c>
      <c r="H883" s="14">
        <f>152.7663 * CHOOSE(CONTROL!$C$9, $D$9, 100%, $F$9) + CHOOSE(CONTROL!$C$27, 0.0021, 0)</f>
        <v>152.76840000000001</v>
      </c>
      <c r="I883" s="14">
        <f>152.7663 * CHOOSE(CONTROL!$C$9, $D$9, 100%, $F$9) + CHOOSE(CONTROL!$C$27, 0.0021, 0)</f>
        <v>152.76840000000001</v>
      </c>
      <c r="J883" s="14">
        <f>152.7663 * CHOOSE(CONTROL!$C$9, $D$9, 100%, $F$9) + CHOOSE(CONTROL!$C$27, 0.0021, 0)</f>
        <v>152.76840000000001</v>
      </c>
      <c r="K883" s="14">
        <f>152.7663 * CHOOSE(CONTROL!$C$9, $D$9, 100%, $F$9) + CHOOSE(CONTROL!$C$27, 0.0021, 0)</f>
        <v>152.76840000000001</v>
      </c>
      <c r="L883" s="14"/>
    </row>
    <row r="884" spans="1:12" ht="15.75" x14ac:dyDescent="0.25">
      <c r="A884" s="32">
        <v>67845</v>
      </c>
      <c r="B884" s="14">
        <f>148.1827 * CHOOSE(CONTROL!$C$9, $D$9, 100%, $F$9) + CHOOSE(CONTROL!$C$27, 0.0021, 0)</f>
        <v>148.18480000000002</v>
      </c>
      <c r="C884" s="14">
        <f>147.7504 * CHOOSE(CONTROL!$C$9, $D$9, 100%, $F$9) + CHOOSE(CONTROL!$C$27, 0.0021, 0)</f>
        <v>147.75250000000003</v>
      </c>
      <c r="D884" s="14">
        <f>147.7504 * CHOOSE(CONTROL!$C$9, $D$9, 100%, $F$9) + CHOOSE(CONTROL!$C$27, 0.0021, 0)</f>
        <v>147.75250000000003</v>
      </c>
      <c r="E884" s="14">
        <f>147.6137 * CHOOSE(CONTROL!$C$9, $D$9, 100%, $F$9) + CHOOSE(CONTROL!$C$27, 0.0021, 0)</f>
        <v>147.61580000000001</v>
      </c>
      <c r="F884" s="14">
        <f>147.6137 * CHOOSE(CONTROL!$C$9, $D$9, 100%, $F$9) + CHOOSE(CONTROL!$C$27, 0.0021, 0)</f>
        <v>147.61580000000001</v>
      </c>
      <c r="G884" s="14">
        <f>147.8851 * CHOOSE(CONTROL!$C$9, $D$9, 100%, $F$9) + CHOOSE(CONTROL!$C$27, 0.0021, 0)</f>
        <v>147.88720000000001</v>
      </c>
      <c r="H884" s="14">
        <f>147.7504 * CHOOSE(CONTROL!$C$9, $D$9, 100%, $F$9) + CHOOSE(CONTROL!$C$27, 0.0021, 0)</f>
        <v>147.75250000000003</v>
      </c>
      <c r="I884" s="14">
        <f>147.7504 * CHOOSE(CONTROL!$C$9, $D$9, 100%, $F$9) + CHOOSE(CONTROL!$C$27, 0.0021, 0)</f>
        <v>147.75250000000003</v>
      </c>
      <c r="J884" s="14">
        <f>147.7504 * CHOOSE(CONTROL!$C$9, $D$9, 100%, $F$9) + CHOOSE(CONTROL!$C$27, 0.0021, 0)</f>
        <v>147.75250000000003</v>
      </c>
      <c r="K884" s="14">
        <f>147.7504 * CHOOSE(CONTROL!$C$9, $D$9, 100%, $F$9) + CHOOSE(CONTROL!$C$27, 0.0021, 0)</f>
        <v>147.75250000000003</v>
      </c>
      <c r="L884" s="14"/>
    </row>
    <row r="885" spans="1:12" ht="15.75" x14ac:dyDescent="0.25">
      <c r="A885" s="32">
        <v>67876</v>
      </c>
      <c r="B885" s="14">
        <f>143.1376 * CHOOSE(CONTROL!$C$9, $D$9, 100%, $F$9) + CHOOSE(CONTROL!$C$27, 0.0021, 0)</f>
        <v>143.1397</v>
      </c>
      <c r="C885" s="14">
        <f>142.7054 * CHOOSE(CONTROL!$C$9, $D$9, 100%, $F$9) + CHOOSE(CONTROL!$C$27, 0.0021, 0)</f>
        <v>142.70750000000001</v>
      </c>
      <c r="D885" s="14">
        <f>142.7054 * CHOOSE(CONTROL!$C$9, $D$9, 100%, $F$9) + CHOOSE(CONTROL!$C$27, 0.0021, 0)</f>
        <v>142.70750000000001</v>
      </c>
      <c r="E885" s="14">
        <f>142.5687 * CHOOSE(CONTROL!$C$9, $D$9, 100%, $F$9) + CHOOSE(CONTROL!$C$27, 0.0021, 0)</f>
        <v>142.57080000000002</v>
      </c>
      <c r="F885" s="14">
        <f>142.5687 * CHOOSE(CONTROL!$C$9, $D$9, 100%, $F$9) + CHOOSE(CONTROL!$C$27, 0.0021, 0)</f>
        <v>142.57080000000002</v>
      </c>
      <c r="G885" s="14">
        <f>142.8401 * CHOOSE(CONTROL!$C$9, $D$9, 100%, $F$9) + CHOOSE(CONTROL!$C$27, 0.0021, 0)</f>
        <v>142.84220000000002</v>
      </c>
      <c r="H885" s="14">
        <f>142.7054 * CHOOSE(CONTROL!$C$9, $D$9, 100%, $F$9) + CHOOSE(CONTROL!$C$27, 0.0021, 0)</f>
        <v>142.70750000000001</v>
      </c>
      <c r="I885" s="14">
        <f>142.7054 * CHOOSE(CONTROL!$C$9, $D$9, 100%, $F$9) + CHOOSE(CONTROL!$C$27, 0.0021, 0)</f>
        <v>142.70750000000001</v>
      </c>
      <c r="J885" s="14">
        <f>142.7054 * CHOOSE(CONTROL!$C$9, $D$9, 100%, $F$9) + CHOOSE(CONTROL!$C$27, 0.0021, 0)</f>
        <v>142.70750000000001</v>
      </c>
      <c r="K885" s="14">
        <f>142.7054 * CHOOSE(CONTROL!$C$9, $D$9, 100%, $F$9) + CHOOSE(CONTROL!$C$27, 0.0021, 0)</f>
        <v>142.70750000000001</v>
      </c>
      <c r="L885" s="14"/>
    </row>
    <row r="886" spans="1:12" ht="15.75" x14ac:dyDescent="0.25">
      <c r="A886" s="32">
        <v>67906</v>
      </c>
      <c r="B886" s="14">
        <f>142.1341 * CHOOSE(CONTROL!$C$9, $D$9, 100%, $F$9) + CHOOSE(CONTROL!$C$27, 0.0021, 0)</f>
        <v>142.1362</v>
      </c>
      <c r="C886" s="14">
        <f>141.7018 * CHOOSE(CONTROL!$C$9, $D$9, 100%, $F$9) + CHOOSE(CONTROL!$C$27, 0.0021, 0)</f>
        <v>141.7039</v>
      </c>
      <c r="D886" s="14">
        <f>141.7018 * CHOOSE(CONTROL!$C$9, $D$9, 100%, $F$9) + CHOOSE(CONTROL!$C$27, 0.0021, 0)</f>
        <v>141.7039</v>
      </c>
      <c r="E886" s="14">
        <f>141.5652 * CHOOSE(CONTROL!$C$9, $D$9, 100%, $F$9) + CHOOSE(CONTROL!$C$27, 0.0021, 0)</f>
        <v>141.56730000000002</v>
      </c>
      <c r="F886" s="14">
        <f>141.5652 * CHOOSE(CONTROL!$C$9, $D$9, 100%, $F$9) + CHOOSE(CONTROL!$C$27, 0.0021, 0)</f>
        <v>141.56730000000002</v>
      </c>
      <c r="G886" s="14">
        <f>141.8365 * CHOOSE(CONTROL!$C$9, $D$9, 100%, $F$9) + CHOOSE(CONTROL!$C$27, 0.0021, 0)</f>
        <v>141.83860000000001</v>
      </c>
      <c r="H886" s="14">
        <f>141.7018 * CHOOSE(CONTROL!$C$9, $D$9, 100%, $F$9) + CHOOSE(CONTROL!$C$27, 0.0021, 0)</f>
        <v>141.7039</v>
      </c>
      <c r="I886" s="14">
        <f>141.7018 * CHOOSE(CONTROL!$C$9, $D$9, 100%, $F$9) + CHOOSE(CONTROL!$C$27, 0.0021, 0)</f>
        <v>141.7039</v>
      </c>
      <c r="J886" s="14">
        <f>141.7018 * CHOOSE(CONTROL!$C$9, $D$9, 100%, $F$9) + CHOOSE(CONTROL!$C$27, 0.0021, 0)</f>
        <v>141.7039</v>
      </c>
      <c r="K886" s="14">
        <f>141.7018 * CHOOSE(CONTROL!$C$9, $D$9, 100%, $F$9) + CHOOSE(CONTROL!$C$27, 0.0021, 0)</f>
        <v>141.7039</v>
      </c>
      <c r="L886" s="14"/>
    </row>
    <row r="887" spans="1:12" ht="15.75" x14ac:dyDescent="0.25">
      <c r="A887" s="32">
        <v>67937</v>
      </c>
      <c r="B887" s="14">
        <f>137.9842 * CHOOSE(CONTROL!$C$9, $D$9, 100%, $F$9) + CHOOSE(CONTROL!$C$27, 0.0021, 0)</f>
        <v>137.9863</v>
      </c>
      <c r="C887" s="14">
        <f>137.552 * CHOOSE(CONTROL!$C$9, $D$9, 100%, $F$9) + CHOOSE(CONTROL!$C$27, 0.0021, 0)</f>
        <v>137.55410000000001</v>
      </c>
      <c r="D887" s="14">
        <f>137.552 * CHOOSE(CONTROL!$C$9, $D$9, 100%, $F$9) + CHOOSE(CONTROL!$C$27, 0.0021, 0)</f>
        <v>137.55410000000001</v>
      </c>
      <c r="E887" s="14">
        <f>137.4153 * CHOOSE(CONTROL!$C$9, $D$9, 100%, $F$9) + CHOOSE(CONTROL!$C$27, 0.0021, 0)</f>
        <v>137.41740000000001</v>
      </c>
      <c r="F887" s="14">
        <f>137.4153 * CHOOSE(CONTROL!$C$9, $D$9, 100%, $F$9) + CHOOSE(CONTROL!$C$27, 0.0021, 0)</f>
        <v>137.41740000000001</v>
      </c>
      <c r="G887" s="14">
        <f>137.6867 * CHOOSE(CONTROL!$C$9, $D$9, 100%, $F$9) + CHOOSE(CONTROL!$C$27, 0.0021, 0)</f>
        <v>137.68880000000001</v>
      </c>
      <c r="H887" s="14">
        <f>137.552 * CHOOSE(CONTROL!$C$9, $D$9, 100%, $F$9) + CHOOSE(CONTROL!$C$27, 0.0021, 0)</f>
        <v>137.55410000000001</v>
      </c>
      <c r="I887" s="14">
        <f>137.552 * CHOOSE(CONTROL!$C$9, $D$9, 100%, $F$9) + CHOOSE(CONTROL!$C$27, 0.0021, 0)</f>
        <v>137.55410000000001</v>
      </c>
      <c r="J887" s="14">
        <f>137.552 * CHOOSE(CONTROL!$C$9, $D$9, 100%, $F$9) + CHOOSE(CONTROL!$C$27, 0.0021, 0)</f>
        <v>137.55410000000001</v>
      </c>
      <c r="K887" s="14">
        <f>137.552 * CHOOSE(CONTROL!$C$9, $D$9, 100%, $F$9) + CHOOSE(CONTROL!$C$27, 0.0021, 0)</f>
        <v>137.55410000000001</v>
      </c>
      <c r="L887" s="14"/>
    </row>
    <row r="888" spans="1:12" ht="15.75" x14ac:dyDescent="0.25">
      <c r="A888" s="32">
        <v>67968</v>
      </c>
      <c r="B888" s="14">
        <f>137.1763 * CHOOSE(CONTROL!$C$9, $D$9, 100%, $F$9) + CHOOSE(CONTROL!$C$27, 0.0021, 0)</f>
        <v>137.17840000000001</v>
      </c>
      <c r="C888" s="14">
        <f>136.7441 * CHOOSE(CONTROL!$C$9, $D$9, 100%, $F$9) + CHOOSE(CONTROL!$C$27, 0.0021, 0)</f>
        <v>136.74620000000002</v>
      </c>
      <c r="D888" s="14">
        <f>136.7441 * CHOOSE(CONTROL!$C$9, $D$9, 100%, $F$9) + CHOOSE(CONTROL!$C$27, 0.0021, 0)</f>
        <v>136.74620000000002</v>
      </c>
      <c r="E888" s="14">
        <f>136.6074 * CHOOSE(CONTROL!$C$9, $D$9, 100%, $F$9) + CHOOSE(CONTROL!$C$27, 0.0021, 0)</f>
        <v>136.60950000000003</v>
      </c>
      <c r="F888" s="14">
        <f>136.6074 * CHOOSE(CONTROL!$C$9, $D$9, 100%, $F$9) + CHOOSE(CONTROL!$C$27, 0.0021, 0)</f>
        <v>136.60950000000003</v>
      </c>
      <c r="G888" s="14">
        <f>136.8788 * CHOOSE(CONTROL!$C$9, $D$9, 100%, $F$9) + CHOOSE(CONTROL!$C$27, 0.0021, 0)</f>
        <v>136.88090000000003</v>
      </c>
      <c r="H888" s="14">
        <f>136.7441 * CHOOSE(CONTROL!$C$9, $D$9, 100%, $F$9) + CHOOSE(CONTROL!$C$27, 0.0021, 0)</f>
        <v>136.74620000000002</v>
      </c>
      <c r="I888" s="14">
        <f>136.7441 * CHOOSE(CONTROL!$C$9, $D$9, 100%, $F$9) + CHOOSE(CONTROL!$C$27, 0.0021, 0)</f>
        <v>136.74620000000002</v>
      </c>
      <c r="J888" s="14">
        <f>136.7441 * CHOOSE(CONTROL!$C$9, $D$9, 100%, $F$9) + CHOOSE(CONTROL!$C$27, 0.0021, 0)</f>
        <v>136.74620000000002</v>
      </c>
      <c r="K888" s="14">
        <f>136.7441 * CHOOSE(CONTROL!$C$9, $D$9, 100%, $F$9) + CHOOSE(CONTROL!$C$27, 0.0021, 0)</f>
        <v>136.74620000000002</v>
      </c>
      <c r="L888" s="14"/>
    </row>
    <row r="889" spans="1:12" ht="15.75" x14ac:dyDescent="0.25">
      <c r="A889" s="32">
        <v>67996</v>
      </c>
      <c r="B889" s="14">
        <f>136.8014 * CHOOSE(CONTROL!$C$9, $D$9, 100%, $F$9) + CHOOSE(CONTROL!$C$27, 0.0021, 0)</f>
        <v>136.80350000000001</v>
      </c>
      <c r="C889" s="14">
        <f>136.3691 * CHOOSE(CONTROL!$C$9, $D$9, 100%, $F$9) + CHOOSE(CONTROL!$C$27, 0.0021, 0)</f>
        <v>136.37120000000002</v>
      </c>
      <c r="D889" s="14">
        <f>136.3691 * CHOOSE(CONTROL!$C$9, $D$9, 100%, $F$9) + CHOOSE(CONTROL!$C$27, 0.0021, 0)</f>
        <v>136.37120000000002</v>
      </c>
      <c r="E889" s="14">
        <f>136.2325 * CHOOSE(CONTROL!$C$9, $D$9, 100%, $F$9) + CHOOSE(CONTROL!$C$27, 0.0021, 0)</f>
        <v>136.2346</v>
      </c>
      <c r="F889" s="14">
        <f>136.2325 * CHOOSE(CONTROL!$C$9, $D$9, 100%, $F$9) + CHOOSE(CONTROL!$C$27, 0.0021, 0)</f>
        <v>136.2346</v>
      </c>
      <c r="G889" s="14">
        <f>136.5039 * CHOOSE(CONTROL!$C$9, $D$9, 100%, $F$9) + CHOOSE(CONTROL!$C$27, 0.0021, 0)</f>
        <v>136.506</v>
      </c>
      <c r="H889" s="14">
        <f>136.3691 * CHOOSE(CONTROL!$C$9, $D$9, 100%, $F$9) + CHOOSE(CONTROL!$C$27, 0.0021, 0)</f>
        <v>136.37120000000002</v>
      </c>
      <c r="I889" s="14">
        <f>136.3691 * CHOOSE(CONTROL!$C$9, $D$9, 100%, $F$9) + CHOOSE(CONTROL!$C$27, 0.0021, 0)</f>
        <v>136.37120000000002</v>
      </c>
      <c r="J889" s="14">
        <f>136.3691 * CHOOSE(CONTROL!$C$9, $D$9, 100%, $F$9) + CHOOSE(CONTROL!$C$27, 0.0021, 0)</f>
        <v>136.37120000000002</v>
      </c>
      <c r="K889" s="14">
        <f>136.3691 * CHOOSE(CONTROL!$C$9, $D$9, 100%, $F$9) + CHOOSE(CONTROL!$C$27, 0.0021, 0)</f>
        <v>136.37120000000002</v>
      </c>
      <c r="L889" s="14"/>
    </row>
    <row r="890" spans="1:12" ht="15.75" x14ac:dyDescent="0.25">
      <c r="A890" s="32">
        <v>68027</v>
      </c>
      <c r="B890" s="14">
        <f>143.8908 * CHOOSE(CONTROL!$C$9, $D$9, 100%, $F$9) + CHOOSE(CONTROL!$C$27, 0.0021, 0)</f>
        <v>143.89290000000003</v>
      </c>
      <c r="C890" s="14">
        <f>143.4585 * CHOOSE(CONTROL!$C$9, $D$9, 100%, $F$9) + CHOOSE(CONTROL!$C$27, 0.0021, 0)</f>
        <v>143.4606</v>
      </c>
      <c r="D890" s="14">
        <f>143.4585 * CHOOSE(CONTROL!$C$9, $D$9, 100%, $F$9) + CHOOSE(CONTROL!$C$27, 0.0021, 0)</f>
        <v>143.4606</v>
      </c>
      <c r="E890" s="14">
        <f>143.3219 * CHOOSE(CONTROL!$C$9, $D$9, 100%, $F$9) + CHOOSE(CONTROL!$C$27, 0.0021, 0)</f>
        <v>143.32400000000001</v>
      </c>
      <c r="F890" s="14">
        <f>143.3219 * CHOOSE(CONTROL!$C$9, $D$9, 100%, $F$9) + CHOOSE(CONTROL!$C$27, 0.0021, 0)</f>
        <v>143.32400000000001</v>
      </c>
      <c r="G890" s="14">
        <f>143.5933 * CHOOSE(CONTROL!$C$9, $D$9, 100%, $F$9) + CHOOSE(CONTROL!$C$27, 0.0021, 0)</f>
        <v>143.59540000000001</v>
      </c>
      <c r="H890" s="14">
        <f>143.4585 * CHOOSE(CONTROL!$C$9, $D$9, 100%, $F$9) + CHOOSE(CONTROL!$C$27, 0.0021, 0)</f>
        <v>143.4606</v>
      </c>
      <c r="I890" s="14">
        <f>143.4585 * CHOOSE(CONTROL!$C$9, $D$9, 100%, $F$9) + CHOOSE(CONTROL!$C$27, 0.0021, 0)</f>
        <v>143.4606</v>
      </c>
      <c r="J890" s="14">
        <f>143.4585 * CHOOSE(CONTROL!$C$9, $D$9, 100%, $F$9) + CHOOSE(CONTROL!$C$27, 0.0021, 0)</f>
        <v>143.4606</v>
      </c>
      <c r="K890" s="14">
        <f>143.4585 * CHOOSE(CONTROL!$C$9, $D$9, 100%, $F$9) + CHOOSE(CONTROL!$C$27, 0.0021, 0)</f>
        <v>143.4606</v>
      </c>
      <c r="L890" s="14"/>
    </row>
    <row r="891" spans="1:12" ht="15.75" x14ac:dyDescent="0.25">
      <c r="A891" s="32">
        <v>68057</v>
      </c>
      <c r="B891" s="14">
        <f>153.0841 * CHOOSE(CONTROL!$C$9, $D$9, 100%, $F$9) + CHOOSE(CONTROL!$C$27, 0.0021, 0)</f>
        <v>153.08620000000002</v>
      </c>
      <c r="C891" s="14">
        <f>152.6518 * CHOOSE(CONTROL!$C$9, $D$9, 100%, $F$9) + CHOOSE(CONTROL!$C$27, 0.0021, 0)</f>
        <v>152.65390000000002</v>
      </c>
      <c r="D891" s="14">
        <f>152.6518 * CHOOSE(CONTROL!$C$9, $D$9, 100%, $F$9) + CHOOSE(CONTROL!$C$27, 0.0021, 0)</f>
        <v>152.65390000000002</v>
      </c>
      <c r="E891" s="14">
        <f>152.5151 * CHOOSE(CONTROL!$C$9, $D$9, 100%, $F$9) + CHOOSE(CONTROL!$C$27, 0.0021, 0)</f>
        <v>152.5172</v>
      </c>
      <c r="F891" s="14">
        <f>152.5151 * CHOOSE(CONTROL!$C$9, $D$9, 100%, $F$9) + CHOOSE(CONTROL!$C$27, 0.0021, 0)</f>
        <v>152.5172</v>
      </c>
      <c r="G891" s="14">
        <f>152.7865 * CHOOSE(CONTROL!$C$9, $D$9, 100%, $F$9) + CHOOSE(CONTROL!$C$27, 0.0021, 0)</f>
        <v>152.7886</v>
      </c>
      <c r="H891" s="14">
        <f>152.6518 * CHOOSE(CONTROL!$C$9, $D$9, 100%, $F$9) + CHOOSE(CONTROL!$C$27, 0.0021, 0)</f>
        <v>152.65390000000002</v>
      </c>
      <c r="I891" s="14">
        <f>152.6518 * CHOOSE(CONTROL!$C$9, $D$9, 100%, $F$9) + CHOOSE(CONTROL!$C$27, 0.0021, 0)</f>
        <v>152.65390000000002</v>
      </c>
      <c r="J891" s="14">
        <f>152.6518 * CHOOSE(CONTROL!$C$9, $D$9, 100%, $F$9) + CHOOSE(CONTROL!$C$27, 0.0021, 0)</f>
        <v>152.65390000000002</v>
      </c>
      <c r="K891" s="14">
        <f>152.6518 * CHOOSE(CONTROL!$C$9, $D$9, 100%, $F$9) + CHOOSE(CONTROL!$C$27, 0.0021, 0)</f>
        <v>152.65390000000002</v>
      </c>
      <c r="L891" s="14"/>
    </row>
    <row r="892" spans="1:12" ht="15.75" x14ac:dyDescent="0.25">
      <c r="A892" s="32">
        <v>68088</v>
      </c>
      <c r="B892" s="14">
        <f>158.1443 * CHOOSE(CONTROL!$C$9, $D$9, 100%, $F$9) + CHOOSE(CONTROL!$C$27, 0.0021, 0)</f>
        <v>158.1464</v>
      </c>
      <c r="C892" s="14">
        <f>157.7121 * CHOOSE(CONTROL!$C$9, $D$9, 100%, $F$9) + CHOOSE(CONTROL!$C$27, 0.0021, 0)</f>
        <v>157.71420000000001</v>
      </c>
      <c r="D892" s="14">
        <f>157.7121 * CHOOSE(CONTROL!$C$9, $D$9, 100%, $F$9) + CHOOSE(CONTROL!$C$27, 0.0021, 0)</f>
        <v>157.71420000000001</v>
      </c>
      <c r="E892" s="14">
        <f>157.5754 * CHOOSE(CONTROL!$C$9, $D$9, 100%, $F$9) + CHOOSE(CONTROL!$C$27, 0.0021, 0)</f>
        <v>157.57750000000001</v>
      </c>
      <c r="F892" s="14">
        <f>157.5754 * CHOOSE(CONTROL!$C$9, $D$9, 100%, $F$9) + CHOOSE(CONTROL!$C$27, 0.0021, 0)</f>
        <v>157.57750000000001</v>
      </c>
      <c r="G892" s="14">
        <f>157.8468 * CHOOSE(CONTROL!$C$9, $D$9, 100%, $F$9) + CHOOSE(CONTROL!$C$27, 0.0021, 0)</f>
        <v>157.84890000000001</v>
      </c>
      <c r="H892" s="14">
        <f>157.7121 * CHOOSE(CONTROL!$C$9, $D$9, 100%, $F$9) + CHOOSE(CONTROL!$C$27, 0.0021, 0)</f>
        <v>157.71420000000001</v>
      </c>
      <c r="I892" s="14">
        <f>157.7121 * CHOOSE(CONTROL!$C$9, $D$9, 100%, $F$9) + CHOOSE(CONTROL!$C$27, 0.0021, 0)</f>
        <v>157.71420000000001</v>
      </c>
      <c r="J892" s="14">
        <f>157.7121 * CHOOSE(CONTROL!$C$9, $D$9, 100%, $F$9) + CHOOSE(CONTROL!$C$27, 0.0021, 0)</f>
        <v>157.71420000000001</v>
      </c>
      <c r="K892" s="14">
        <f>157.7121 * CHOOSE(CONTROL!$C$9, $D$9, 100%, $F$9) + CHOOSE(CONTROL!$C$27, 0.0021, 0)</f>
        <v>157.71420000000001</v>
      </c>
      <c r="L892" s="14"/>
    </row>
    <row r="893" spans="1:12" ht="15.75" x14ac:dyDescent="0.25">
      <c r="A893" s="32">
        <v>68118</v>
      </c>
      <c r="B893" s="14">
        <f>160.39 * CHOOSE(CONTROL!$C$9, $D$9, 100%, $F$9) + CHOOSE(CONTROL!$C$27, 0.0021, 0)</f>
        <v>160.3921</v>
      </c>
      <c r="C893" s="14">
        <f>159.9577 * CHOOSE(CONTROL!$C$9, $D$9, 100%, $F$9) + CHOOSE(CONTROL!$C$27, 0.0021, 0)</f>
        <v>159.9598</v>
      </c>
      <c r="D893" s="14">
        <f>159.9577 * CHOOSE(CONTROL!$C$9, $D$9, 100%, $F$9) + CHOOSE(CONTROL!$C$27, 0.0021, 0)</f>
        <v>159.9598</v>
      </c>
      <c r="E893" s="14">
        <f>159.8211 * CHOOSE(CONTROL!$C$9, $D$9, 100%, $F$9) + CHOOSE(CONTROL!$C$27, 0.0021, 0)</f>
        <v>159.82320000000001</v>
      </c>
      <c r="F893" s="14">
        <f>159.8211 * CHOOSE(CONTROL!$C$9, $D$9, 100%, $F$9) + CHOOSE(CONTROL!$C$27, 0.0021, 0)</f>
        <v>159.82320000000001</v>
      </c>
      <c r="G893" s="14">
        <f>160.0925 * CHOOSE(CONTROL!$C$9, $D$9, 100%, $F$9) + CHOOSE(CONTROL!$C$27, 0.0021, 0)</f>
        <v>160.09460000000001</v>
      </c>
      <c r="H893" s="14">
        <f>159.9577 * CHOOSE(CONTROL!$C$9, $D$9, 100%, $F$9) + CHOOSE(CONTROL!$C$27, 0.0021, 0)</f>
        <v>159.9598</v>
      </c>
      <c r="I893" s="14">
        <f>159.9577 * CHOOSE(CONTROL!$C$9, $D$9, 100%, $F$9) + CHOOSE(CONTROL!$C$27, 0.0021, 0)</f>
        <v>159.9598</v>
      </c>
      <c r="J893" s="14">
        <f>159.9577 * CHOOSE(CONTROL!$C$9, $D$9, 100%, $F$9) + CHOOSE(CONTROL!$C$27, 0.0021, 0)</f>
        <v>159.9598</v>
      </c>
      <c r="K893" s="14">
        <f>159.9577 * CHOOSE(CONTROL!$C$9, $D$9, 100%, $F$9) + CHOOSE(CONTROL!$C$27, 0.0021, 0)</f>
        <v>159.9598</v>
      </c>
      <c r="L893" s="14"/>
    </row>
    <row r="894" spans="1:12" ht="15.75" x14ac:dyDescent="0.25">
      <c r="A894" s="32">
        <v>68149</v>
      </c>
      <c r="B894" s="14">
        <f>159.6506 * CHOOSE(CONTROL!$C$9, $D$9, 100%, $F$9) + CHOOSE(CONTROL!$C$27, 0.0021, 0)</f>
        <v>159.65270000000001</v>
      </c>
      <c r="C894" s="14">
        <f>159.2184 * CHOOSE(CONTROL!$C$9, $D$9, 100%, $F$9) + CHOOSE(CONTROL!$C$27, 0.0021, 0)</f>
        <v>159.22050000000002</v>
      </c>
      <c r="D894" s="14">
        <f>159.2184 * CHOOSE(CONTROL!$C$9, $D$9, 100%, $F$9) + CHOOSE(CONTROL!$C$27, 0.0021, 0)</f>
        <v>159.22050000000002</v>
      </c>
      <c r="E894" s="14">
        <f>159.0817 * CHOOSE(CONTROL!$C$9, $D$9, 100%, $F$9) + CHOOSE(CONTROL!$C$27, 0.0021, 0)</f>
        <v>159.08380000000002</v>
      </c>
      <c r="F894" s="14">
        <f>159.0817 * CHOOSE(CONTROL!$C$9, $D$9, 100%, $F$9) + CHOOSE(CONTROL!$C$27, 0.0021, 0)</f>
        <v>159.08380000000002</v>
      </c>
      <c r="G894" s="14">
        <f>159.3531 * CHOOSE(CONTROL!$C$9, $D$9, 100%, $F$9) + CHOOSE(CONTROL!$C$27, 0.0021, 0)</f>
        <v>159.35520000000002</v>
      </c>
      <c r="H894" s="14">
        <f>159.2184 * CHOOSE(CONTROL!$C$9, $D$9, 100%, $F$9) + CHOOSE(CONTROL!$C$27, 0.0021, 0)</f>
        <v>159.22050000000002</v>
      </c>
      <c r="I894" s="14">
        <f>159.2184 * CHOOSE(CONTROL!$C$9, $D$9, 100%, $F$9) + CHOOSE(CONTROL!$C$27, 0.0021, 0)</f>
        <v>159.22050000000002</v>
      </c>
      <c r="J894" s="14">
        <f>159.2184 * CHOOSE(CONTROL!$C$9, $D$9, 100%, $F$9) + CHOOSE(CONTROL!$C$27, 0.0021, 0)</f>
        <v>159.22050000000002</v>
      </c>
      <c r="K894" s="14">
        <f>159.2184 * CHOOSE(CONTROL!$C$9, $D$9, 100%, $F$9) + CHOOSE(CONTROL!$C$27, 0.0021, 0)</f>
        <v>159.22050000000002</v>
      </c>
      <c r="L894" s="14"/>
    </row>
    <row r="895" spans="1:12" ht="15.75" x14ac:dyDescent="0.25">
      <c r="A895" s="32">
        <v>68180</v>
      </c>
      <c r="B895" s="14">
        <f>155.9874 * CHOOSE(CONTROL!$C$9, $D$9, 100%, $F$9) + CHOOSE(CONTROL!$C$27, 0.0021, 0)</f>
        <v>155.98950000000002</v>
      </c>
      <c r="C895" s="14">
        <f>155.5551 * CHOOSE(CONTROL!$C$9, $D$9, 100%, $F$9) + CHOOSE(CONTROL!$C$27, 0.0021, 0)</f>
        <v>155.55720000000002</v>
      </c>
      <c r="D895" s="14">
        <f>155.5551 * CHOOSE(CONTROL!$C$9, $D$9, 100%, $F$9) + CHOOSE(CONTROL!$C$27, 0.0021, 0)</f>
        <v>155.55720000000002</v>
      </c>
      <c r="E895" s="14">
        <f>155.4185 * CHOOSE(CONTROL!$C$9, $D$9, 100%, $F$9) + CHOOSE(CONTROL!$C$27, 0.0021, 0)</f>
        <v>155.42060000000001</v>
      </c>
      <c r="F895" s="14">
        <f>155.4185 * CHOOSE(CONTROL!$C$9, $D$9, 100%, $F$9) + CHOOSE(CONTROL!$C$27, 0.0021, 0)</f>
        <v>155.42060000000001</v>
      </c>
      <c r="G895" s="14">
        <f>155.6898 * CHOOSE(CONTROL!$C$9, $D$9, 100%, $F$9) + CHOOSE(CONTROL!$C$27, 0.0021, 0)</f>
        <v>155.6919</v>
      </c>
      <c r="H895" s="14">
        <f>155.5551 * CHOOSE(CONTROL!$C$9, $D$9, 100%, $F$9) + CHOOSE(CONTROL!$C$27, 0.0021, 0)</f>
        <v>155.55720000000002</v>
      </c>
      <c r="I895" s="14">
        <f>155.5551 * CHOOSE(CONTROL!$C$9, $D$9, 100%, $F$9) + CHOOSE(CONTROL!$C$27, 0.0021, 0)</f>
        <v>155.55720000000002</v>
      </c>
      <c r="J895" s="14">
        <f>155.5551 * CHOOSE(CONTROL!$C$9, $D$9, 100%, $F$9) + CHOOSE(CONTROL!$C$27, 0.0021, 0)</f>
        <v>155.55720000000002</v>
      </c>
      <c r="K895" s="14">
        <f>155.5551 * CHOOSE(CONTROL!$C$9, $D$9, 100%, $F$9) + CHOOSE(CONTROL!$C$27, 0.0021, 0)</f>
        <v>155.55720000000002</v>
      </c>
      <c r="L895" s="14"/>
    </row>
    <row r="896" spans="1:12" ht="15.75" x14ac:dyDescent="0.25">
      <c r="A896" s="32">
        <v>68210</v>
      </c>
      <c r="B896" s="14">
        <f>150.8788 * CHOOSE(CONTROL!$C$9, $D$9, 100%, $F$9) + CHOOSE(CONTROL!$C$27, 0.0021, 0)</f>
        <v>150.88090000000003</v>
      </c>
      <c r="C896" s="14">
        <f>150.4466 * CHOOSE(CONTROL!$C$9, $D$9, 100%, $F$9) + CHOOSE(CONTROL!$C$27, 0.0021, 0)</f>
        <v>150.4487</v>
      </c>
      <c r="D896" s="14">
        <f>150.4466 * CHOOSE(CONTROL!$C$9, $D$9, 100%, $F$9) + CHOOSE(CONTROL!$C$27, 0.0021, 0)</f>
        <v>150.4487</v>
      </c>
      <c r="E896" s="14">
        <f>150.3099 * CHOOSE(CONTROL!$C$9, $D$9, 100%, $F$9) + CHOOSE(CONTROL!$C$27, 0.0021, 0)</f>
        <v>150.31200000000001</v>
      </c>
      <c r="F896" s="14">
        <f>150.3099 * CHOOSE(CONTROL!$C$9, $D$9, 100%, $F$9) + CHOOSE(CONTROL!$C$27, 0.0021, 0)</f>
        <v>150.31200000000001</v>
      </c>
      <c r="G896" s="14">
        <f>150.5813 * CHOOSE(CONTROL!$C$9, $D$9, 100%, $F$9) + CHOOSE(CONTROL!$C$27, 0.0021, 0)</f>
        <v>150.58340000000001</v>
      </c>
      <c r="H896" s="14">
        <f>150.4466 * CHOOSE(CONTROL!$C$9, $D$9, 100%, $F$9) + CHOOSE(CONTROL!$C$27, 0.0021, 0)</f>
        <v>150.4487</v>
      </c>
      <c r="I896" s="14">
        <f>150.4466 * CHOOSE(CONTROL!$C$9, $D$9, 100%, $F$9) + CHOOSE(CONTROL!$C$27, 0.0021, 0)</f>
        <v>150.4487</v>
      </c>
      <c r="J896" s="14">
        <f>150.4466 * CHOOSE(CONTROL!$C$9, $D$9, 100%, $F$9) + CHOOSE(CONTROL!$C$27, 0.0021, 0)</f>
        <v>150.4487</v>
      </c>
      <c r="K896" s="14">
        <f>150.4466 * CHOOSE(CONTROL!$C$9, $D$9, 100%, $F$9) + CHOOSE(CONTROL!$C$27, 0.0021, 0)</f>
        <v>150.4487</v>
      </c>
      <c r="L896" s="14"/>
    </row>
    <row r="897" spans="1:12" ht="15.75" x14ac:dyDescent="0.25">
      <c r="A897" s="32">
        <v>68241</v>
      </c>
      <c r="B897" s="14">
        <f>145.7405 * CHOOSE(CONTROL!$C$9, $D$9, 100%, $F$9) + CHOOSE(CONTROL!$C$27, 0.0021, 0)</f>
        <v>145.74260000000001</v>
      </c>
      <c r="C897" s="14">
        <f>145.3083 * CHOOSE(CONTROL!$C$9, $D$9, 100%, $F$9) + CHOOSE(CONTROL!$C$27, 0.0021, 0)</f>
        <v>145.31040000000002</v>
      </c>
      <c r="D897" s="14">
        <f>145.3083 * CHOOSE(CONTROL!$C$9, $D$9, 100%, $F$9) + CHOOSE(CONTROL!$C$27, 0.0021, 0)</f>
        <v>145.31040000000002</v>
      </c>
      <c r="E897" s="14">
        <f>145.1716 * CHOOSE(CONTROL!$C$9, $D$9, 100%, $F$9) + CHOOSE(CONTROL!$C$27, 0.0021, 0)</f>
        <v>145.17370000000003</v>
      </c>
      <c r="F897" s="14">
        <f>145.1716 * CHOOSE(CONTROL!$C$9, $D$9, 100%, $F$9) + CHOOSE(CONTROL!$C$27, 0.0021, 0)</f>
        <v>145.17370000000003</v>
      </c>
      <c r="G897" s="14">
        <f>145.443 * CHOOSE(CONTROL!$C$9, $D$9, 100%, $F$9) + CHOOSE(CONTROL!$C$27, 0.0021, 0)</f>
        <v>145.44510000000002</v>
      </c>
      <c r="H897" s="14">
        <f>145.3083 * CHOOSE(CONTROL!$C$9, $D$9, 100%, $F$9) + CHOOSE(CONTROL!$C$27, 0.0021, 0)</f>
        <v>145.31040000000002</v>
      </c>
      <c r="I897" s="14">
        <f>145.3083 * CHOOSE(CONTROL!$C$9, $D$9, 100%, $F$9) + CHOOSE(CONTROL!$C$27, 0.0021, 0)</f>
        <v>145.31040000000002</v>
      </c>
      <c r="J897" s="14">
        <f>145.3083 * CHOOSE(CONTROL!$C$9, $D$9, 100%, $F$9) + CHOOSE(CONTROL!$C$27, 0.0021, 0)</f>
        <v>145.31040000000002</v>
      </c>
      <c r="K897" s="14">
        <f>145.3083 * CHOOSE(CONTROL!$C$9, $D$9, 100%, $F$9) + CHOOSE(CONTROL!$C$27, 0.0021, 0)</f>
        <v>145.31040000000002</v>
      </c>
      <c r="L897" s="14"/>
    </row>
    <row r="898" spans="1:12" ht="15.75" x14ac:dyDescent="0.25">
      <c r="A898" s="32">
        <v>68271</v>
      </c>
      <c r="B898" s="14">
        <f>144.7184 * CHOOSE(CONTROL!$C$9, $D$9, 100%, $F$9) + CHOOSE(CONTROL!$C$27, 0.0021, 0)</f>
        <v>144.72050000000002</v>
      </c>
      <c r="C898" s="14">
        <f>144.2862 * CHOOSE(CONTROL!$C$9, $D$9, 100%, $F$9) + CHOOSE(CONTROL!$C$27, 0.0021, 0)</f>
        <v>144.28830000000002</v>
      </c>
      <c r="D898" s="14">
        <f>144.2862 * CHOOSE(CONTROL!$C$9, $D$9, 100%, $F$9) + CHOOSE(CONTROL!$C$27, 0.0021, 0)</f>
        <v>144.28830000000002</v>
      </c>
      <c r="E898" s="14">
        <f>144.1495 * CHOOSE(CONTROL!$C$9, $D$9, 100%, $F$9) + CHOOSE(CONTROL!$C$27, 0.0021, 0)</f>
        <v>144.1516</v>
      </c>
      <c r="F898" s="14">
        <f>144.1495 * CHOOSE(CONTROL!$C$9, $D$9, 100%, $F$9) + CHOOSE(CONTROL!$C$27, 0.0021, 0)</f>
        <v>144.1516</v>
      </c>
      <c r="G898" s="14">
        <f>144.4209 * CHOOSE(CONTROL!$C$9, $D$9, 100%, $F$9) + CHOOSE(CONTROL!$C$27, 0.0021, 0)</f>
        <v>144.423</v>
      </c>
      <c r="H898" s="14">
        <f>144.2862 * CHOOSE(CONTROL!$C$9, $D$9, 100%, $F$9) + CHOOSE(CONTROL!$C$27, 0.0021, 0)</f>
        <v>144.28830000000002</v>
      </c>
      <c r="I898" s="14">
        <f>144.2862 * CHOOSE(CONTROL!$C$9, $D$9, 100%, $F$9) + CHOOSE(CONTROL!$C$27, 0.0021, 0)</f>
        <v>144.28830000000002</v>
      </c>
      <c r="J898" s="14">
        <f>144.2862 * CHOOSE(CONTROL!$C$9, $D$9, 100%, $F$9) + CHOOSE(CONTROL!$C$27, 0.0021, 0)</f>
        <v>144.28830000000002</v>
      </c>
      <c r="K898" s="14">
        <f>144.2862 * CHOOSE(CONTROL!$C$9, $D$9, 100%, $F$9) + CHOOSE(CONTROL!$C$27, 0.0021, 0)</f>
        <v>144.28830000000002</v>
      </c>
      <c r="L898" s="14"/>
    </row>
    <row r="899" spans="1:12" ht="15.75" x14ac:dyDescent="0.25">
      <c r="A899" s="32">
        <v>68302</v>
      </c>
      <c r="B899" s="14">
        <f>140.4919 * CHOOSE(CONTROL!$C$9, $D$9, 100%, $F$9) + CHOOSE(CONTROL!$C$27, 0.0021, 0)</f>
        <v>140.494</v>
      </c>
      <c r="C899" s="14">
        <f>140.0597 * CHOOSE(CONTROL!$C$9, $D$9, 100%, $F$9) + CHOOSE(CONTROL!$C$27, 0.0021, 0)</f>
        <v>140.06180000000001</v>
      </c>
      <c r="D899" s="14">
        <f>140.0597 * CHOOSE(CONTROL!$C$9, $D$9, 100%, $F$9) + CHOOSE(CONTROL!$C$27, 0.0021, 0)</f>
        <v>140.06180000000001</v>
      </c>
      <c r="E899" s="14">
        <f>139.923 * CHOOSE(CONTROL!$C$9, $D$9, 100%, $F$9) + CHOOSE(CONTROL!$C$27, 0.0021, 0)</f>
        <v>139.92510000000001</v>
      </c>
      <c r="F899" s="14">
        <f>139.923 * CHOOSE(CONTROL!$C$9, $D$9, 100%, $F$9) + CHOOSE(CONTROL!$C$27, 0.0021, 0)</f>
        <v>139.92510000000001</v>
      </c>
      <c r="G899" s="14">
        <f>140.1944 * CHOOSE(CONTROL!$C$9, $D$9, 100%, $F$9) + CHOOSE(CONTROL!$C$27, 0.0021, 0)</f>
        <v>140.19650000000001</v>
      </c>
      <c r="H899" s="14">
        <f>140.0597 * CHOOSE(CONTROL!$C$9, $D$9, 100%, $F$9) + CHOOSE(CONTROL!$C$27, 0.0021, 0)</f>
        <v>140.06180000000001</v>
      </c>
      <c r="I899" s="14">
        <f>140.0597 * CHOOSE(CONTROL!$C$9, $D$9, 100%, $F$9) + CHOOSE(CONTROL!$C$27, 0.0021, 0)</f>
        <v>140.06180000000001</v>
      </c>
      <c r="J899" s="14">
        <f>140.0597 * CHOOSE(CONTROL!$C$9, $D$9, 100%, $F$9) + CHOOSE(CONTROL!$C$27, 0.0021, 0)</f>
        <v>140.06180000000001</v>
      </c>
      <c r="K899" s="14">
        <f>140.0597 * CHOOSE(CONTROL!$C$9, $D$9, 100%, $F$9) + CHOOSE(CONTROL!$C$27, 0.0021, 0)</f>
        <v>140.06180000000001</v>
      </c>
      <c r="L899" s="14"/>
    </row>
    <row r="900" spans="1:12" ht="15.75" x14ac:dyDescent="0.25">
      <c r="A900" s="32">
        <v>68333</v>
      </c>
      <c r="B900" s="14">
        <f>139.6691 * CHOOSE(CONTROL!$C$9, $D$9, 100%, $F$9) + CHOOSE(CONTROL!$C$27, 0.0021, 0)</f>
        <v>139.6712</v>
      </c>
      <c r="C900" s="14">
        <f>139.2368 * CHOOSE(CONTROL!$C$9, $D$9, 100%, $F$9) + CHOOSE(CONTROL!$C$27, 0.0021, 0)</f>
        <v>139.2389</v>
      </c>
      <c r="D900" s="14">
        <f>139.2368 * CHOOSE(CONTROL!$C$9, $D$9, 100%, $F$9) + CHOOSE(CONTROL!$C$27, 0.0021, 0)</f>
        <v>139.2389</v>
      </c>
      <c r="E900" s="14">
        <f>139.1002 * CHOOSE(CONTROL!$C$9, $D$9, 100%, $F$9) + CHOOSE(CONTROL!$C$27, 0.0021, 0)</f>
        <v>139.10230000000001</v>
      </c>
      <c r="F900" s="14">
        <f>139.1002 * CHOOSE(CONTROL!$C$9, $D$9, 100%, $F$9) + CHOOSE(CONTROL!$C$27, 0.0021, 0)</f>
        <v>139.10230000000001</v>
      </c>
      <c r="G900" s="14">
        <f>139.3715 * CHOOSE(CONTROL!$C$9, $D$9, 100%, $F$9) + CHOOSE(CONTROL!$C$27, 0.0021, 0)</f>
        <v>139.37360000000001</v>
      </c>
      <c r="H900" s="14">
        <f>139.2368 * CHOOSE(CONTROL!$C$9, $D$9, 100%, $F$9) + CHOOSE(CONTROL!$C$27, 0.0021, 0)</f>
        <v>139.2389</v>
      </c>
      <c r="I900" s="14">
        <f>139.2368 * CHOOSE(CONTROL!$C$9, $D$9, 100%, $F$9) + CHOOSE(CONTROL!$C$27, 0.0021, 0)</f>
        <v>139.2389</v>
      </c>
      <c r="J900" s="14">
        <f>139.2368 * CHOOSE(CONTROL!$C$9, $D$9, 100%, $F$9) + CHOOSE(CONTROL!$C$27, 0.0021, 0)</f>
        <v>139.2389</v>
      </c>
      <c r="K900" s="14">
        <f>139.2368 * CHOOSE(CONTROL!$C$9, $D$9, 100%, $F$9) + CHOOSE(CONTROL!$C$27, 0.0021, 0)</f>
        <v>139.2389</v>
      </c>
      <c r="L900" s="14"/>
    </row>
    <row r="901" spans="1:12" ht="15.75" x14ac:dyDescent="0.25">
      <c r="A901" s="32">
        <v>68361</v>
      </c>
      <c r="B901" s="14">
        <f>139.2872 * CHOOSE(CONTROL!$C$9, $D$9, 100%, $F$9) + CHOOSE(CONTROL!$C$27, 0.0021, 0)</f>
        <v>139.28930000000003</v>
      </c>
      <c r="C901" s="14">
        <f>138.855 * CHOOSE(CONTROL!$C$9, $D$9, 100%, $F$9) + CHOOSE(CONTROL!$C$27, 0.0021, 0)</f>
        <v>138.8571</v>
      </c>
      <c r="D901" s="14">
        <f>138.855 * CHOOSE(CONTROL!$C$9, $D$9, 100%, $F$9) + CHOOSE(CONTROL!$C$27, 0.0021, 0)</f>
        <v>138.8571</v>
      </c>
      <c r="E901" s="14">
        <f>138.7183 * CHOOSE(CONTROL!$C$9, $D$9, 100%, $F$9) + CHOOSE(CONTROL!$C$27, 0.0021, 0)</f>
        <v>138.72040000000001</v>
      </c>
      <c r="F901" s="14">
        <f>138.7183 * CHOOSE(CONTROL!$C$9, $D$9, 100%, $F$9) + CHOOSE(CONTROL!$C$27, 0.0021, 0)</f>
        <v>138.72040000000001</v>
      </c>
      <c r="G901" s="14">
        <f>138.9897 * CHOOSE(CONTROL!$C$9, $D$9, 100%, $F$9) + CHOOSE(CONTROL!$C$27, 0.0021, 0)</f>
        <v>138.99180000000001</v>
      </c>
      <c r="H901" s="14">
        <f>138.855 * CHOOSE(CONTROL!$C$9, $D$9, 100%, $F$9) + CHOOSE(CONTROL!$C$27, 0.0021, 0)</f>
        <v>138.8571</v>
      </c>
      <c r="I901" s="14">
        <f>138.855 * CHOOSE(CONTROL!$C$9, $D$9, 100%, $F$9) + CHOOSE(CONTROL!$C$27, 0.0021, 0)</f>
        <v>138.8571</v>
      </c>
      <c r="J901" s="14">
        <f>138.855 * CHOOSE(CONTROL!$C$9, $D$9, 100%, $F$9) + CHOOSE(CONTROL!$C$27, 0.0021, 0)</f>
        <v>138.8571</v>
      </c>
      <c r="K901" s="14">
        <f>138.855 * CHOOSE(CONTROL!$C$9, $D$9, 100%, $F$9) + CHOOSE(CONTROL!$C$27, 0.0021, 0)</f>
        <v>138.8571</v>
      </c>
      <c r="L901" s="14"/>
    </row>
    <row r="902" spans="1:12" ht="15.75" x14ac:dyDescent="0.25">
      <c r="A902" s="32">
        <v>68392</v>
      </c>
      <c r="B902" s="14">
        <f>146.5076 * CHOOSE(CONTROL!$C$9, $D$9, 100%, $F$9) + CHOOSE(CONTROL!$C$27, 0.0021, 0)</f>
        <v>146.50970000000001</v>
      </c>
      <c r="C902" s="14">
        <f>146.0754 * CHOOSE(CONTROL!$C$9, $D$9, 100%, $F$9) + CHOOSE(CONTROL!$C$27, 0.0021, 0)</f>
        <v>146.07750000000001</v>
      </c>
      <c r="D902" s="14">
        <f>146.0754 * CHOOSE(CONTROL!$C$9, $D$9, 100%, $F$9) + CHOOSE(CONTROL!$C$27, 0.0021, 0)</f>
        <v>146.07750000000001</v>
      </c>
      <c r="E902" s="14">
        <f>145.9387 * CHOOSE(CONTROL!$C$9, $D$9, 100%, $F$9) + CHOOSE(CONTROL!$C$27, 0.0021, 0)</f>
        <v>145.94080000000002</v>
      </c>
      <c r="F902" s="14">
        <f>145.9387 * CHOOSE(CONTROL!$C$9, $D$9, 100%, $F$9) + CHOOSE(CONTROL!$C$27, 0.0021, 0)</f>
        <v>145.94080000000002</v>
      </c>
      <c r="G902" s="14">
        <f>146.2101 * CHOOSE(CONTROL!$C$9, $D$9, 100%, $F$9) + CHOOSE(CONTROL!$C$27, 0.0021, 0)</f>
        <v>146.21220000000002</v>
      </c>
      <c r="H902" s="14">
        <f>146.0754 * CHOOSE(CONTROL!$C$9, $D$9, 100%, $F$9) + CHOOSE(CONTROL!$C$27, 0.0021, 0)</f>
        <v>146.07750000000001</v>
      </c>
      <c r="I902" s="14">
        <f>146.0754 * CHOOSE(CONTROL!$C$9, $D$9, 100%, $F$9) + CHOOSE(CONTROL!$C$27, 0.0021, 0)</f>
        <v>146.07750000000001</v>
      </c>
      <c r="J902" s="14">
        <f>146.0754 * CHOOSE(CONTROL!$C$9, $D$9, 100%, $F$9) + CHOOSE(CONTROL!$C$27, 0.0021, 0)</f>
        <v>146.07750000000001</v>
      </c>
      <c r="K902" s="14">
        <f>146.0754 * CHOOSE(CONTROL!$C$9, $D$9, 100%, $F$9) + CHOOSE(CONTROL!$C$27, 0.0021, 0)</f>
        <v>146.07750000000001</v>
      </c>
      <c r="L902" s="14"/>
    </row>
    <row r="903" spans="1:12" ht="15.75" x14ac:dyDescent="0.25">
      <c r="A903" s="32">
        <v>68422</v>
      </c>
      <c r="B903" s="14">
        <f>155.8708 * CHOOSE(CONTROL!$C$9, $D$9, 100%, $F$9) + CHOOSE(CONTROL!$C$27, 0.0021, 0)</f>
        <v>155.87290000000002</v>
      </c>
      <c r="C903" s="14">
        <f>155.4386 * CHOOSE(CONTROL!$C$9, $D$9, 100%, $F$9) + CHOOSE(CONTROL!$C$27, 0.0021, 0)</f>
        <v>155.44070000000002</v>
      </c>
      <c r="D903" s="14">
        <f>155.4386 * CHOOSE(CONTROL!$C$9, $D$9, 100%, $F$9) + CHOOSE(CONTROL!$C$27, 0.0021, 0)</f>
        <v>155.44070000000002</v>
      </c>
      <c r="E903" s="14">
        <f>155.3019 * CHOOSE(CONTROL!$C$9, $D$9, 100%, $F$9) + CHOOSE(CONTROL!$C$27, 0.0021, 0)</f>
        <v>155.304</v>
      </c>
      <c r="F903" s="14">
        <f>155.3019 * CHOOSE(CONTROL!$C$9, $D$9, 100%, $F$9) + CHOOSE(CONTROL!$C$27, 0.0021, 0)</f>
        <v>155.304</v>
      </c>
      <c r="G903" s="14">
        <f>155.5733 * CHOOSE(CONTROL!$C$9, $D$9, 100%, $F$9) + CHOOSE(CONTROL!$C$27, 0.0021, 0)</f>
        <v>155.5754</v>
      </c>
      <c r="H903" s="14">
        <f>155.4386 * CHOOSE(CONTROL!$C$9, $D$9, 100%, $F$9) + CHOOSE(CONTROL!$C$27, 0.0021, 0)</f>
        <v>155.44070000000002</v>
      </c>
      <c r="I903" s="14">
        <f>155.4386 * CHOOSE(CONTROL!$C$9, $D$9, 100%, $F$9) + CHOOSE(CONTROL!$C$27, 0.0021, 0)</f>
        <v>155.44070000000002</v>
      </c>
      <c r="J903" s="14">
        <f>155.4386 * CHOOSE(CONTROL!$C$9, $D$9, 100%, $F$9) + CHOOSE(CONTROL!$C$27, 0.0021, 0)</f>
        <v>155.44070000000002</v>
      </c>
      <c r="K903" s="14">
        <f>155.4386 * CHOOSE(CONTROL!$C$9, $D$9, 100%, $F$9) + CHOOSE(CONTROL!$C$27, 0.0021, 0)</f>
        <v>155.44070000000002</v>
      </c>
      <c r="L903" s="14"/>
    </row>
    <row r="904" spans="1:12" ht="15.75" x14ac:dyDescent="0.25">
      <c r="A904" s="32">
        <v>68453</v>
      </c>
      <c r="B904" s="14">
        <f>161.0246 * CHOOSE(CONTROL!$C$9, $D$9, 100%, $F$9) + CHOOSE(CONTROL!$C$27, 0.0021, 0)</f>
        <v>161.02670000000001</v>
      </c>
      <c r="C904" s="14">
        <f>160.5923 * CHOOSE(CONTROL!$C$9, $D$9, 100%, $F$9) + CHOOSE(CONTROL!$C$27, 0.0021, 0)</f>
        <v>160.59440000000001</v>
      </c>
      <c r="D904" s="14">
        <f>160.5923 * CHOOSE(CONTROL!$C$9, $D$9, 100%, $F$9) + CHOOSE(CONTROL!$C$27, 0.0021, 0)</f>
        <v>160.59440000000001</v>
      </c>
      <c r="E904" s="14">
        <f>160.4557 * CHOOSE(CONTROL!$C$9, $D$9, 100%, $F$9) + CHOOSE(CONTROL!$C$27, 0.0021, 0)</f>
        <v>160.45780000000002</v>
      </c>
      <c r="F904" s="14">
        <f>160.4557 * CHOOSE(CONTROL!$C$9, $D$9, 100%, $F$9) + CHOOSE(CONTROL!$C$27, 0.0021, 0)</f>
        <v>160.45780000000002</v>
      </c>
      <c r="G904" s="14">
        <f>160.7271 * CHOOSE(CONTROL!$C$9, $D$9, 100%, $F$9) + CHOOSE(CONTROL!$C$27, 0.0021, 0)</f>
        <v>160.72920000000002</v>
      </c>
      <c r="H904" s="14">
        <f>160.5923 * CHOOSE(CONTROL!$C$9, $D$9, 100%, $F$9) + CHOOSE(CONTROL!$C$27, 0.0021, 0)</f>
        <v>160.59440000000001</v>
      </c>
      <c r="I904" s="14">
        <f>160.5923 * CHOOSE(CONTROL!$C$9, $D$9, 100%, $F$9) + CHOOSE(CONTROL!$C$27, 0.0021, 0)</f>
        <v>160.59440000000001</v>
      </c>
      <c r="J904" s="14">
        <f>160.5923 * CHOOSE(CONTROL!$C$9, $D$9, 100%, $F$9) + CHOOSE(CONTROL!$C$27, 0.0021, 0)</f>
        <v>160.59440000000001</v>
      </c>
      <c r="K904" s="14">
        <f>160.5923 * CHOOSE(CONTROL!$C$9, $D$9, 100%, $F$9) + CHOOSE(CONTROL!$C$27, 0.0021, 0)</f>
        <v>160.59440000000001</v>
      </c>
      <c r="L904" s="14"/>
    </row>
    <row r="905" spans="1:12" ht="15.75" x14ac:dyDescent="0.25">
      <c r="A905" s="32">
        <v>68483</v>
      </c>
      <c r="B905" s="14">
        <f>163.3117 * CHOOSE(CONTROL!$C$9, $D$9, 100%, $F$9) + CHOOSE(CONTROL!$C$27, 0.0021, 0)</f>
        <v>163.31380000000001</v>
      </c>
      <c r="C905" s="14">
        <f>162.8795 * CHOOSE(CONTROL!$C$9, $D$9, 100%, $F$9) + CHOOSE(CONTROL!$C$27, 0.0021, 0)</f>
        <v>162.88160000000002</v>
      </c>
      <c r="D905" s="14">
        <f>162.8795 * CHOOSE(CONTROL!$C$9, $D$9, 100%, $F$9) + CHOOSE(CONTROL!$C$27, 0.0021, 0)</f>
        <v>162.88160000000002</v>
      </c>
      <c r="E905" s="14">
        <f>162.7428 * CHOOSE(CONTROL!$C$9, $D$9, 100%, $F$9) + CHOOSE(CONTROL!$C$27, 0.0021, 0)</f>
        <v>162.7449</v>
      </c>
      <c r="F905" s="14">
        <f>162.7428 * CHOOSE(CONTROL!$C$9, $D$9, 100%, $F$9) + CHOOSE(CONTROL!$C$27, 0.0021, 0)</f>
        <v>162.7449</v>
      </c>
      <c r="G905" s="14">
        <f>163.0142 * CHOOSE(CONTROL!$C$9, $D$9, 100%, $F$9) + CHOOSE(CONTROL!$C$27, 0.0021, 0)</f>
        <v>163.0163</v>
      </c>
      <c r="H905" s="14">
        <f>162.8795 * CHOOSE(CONTROL!$C$9, $D$9, 100%, $F$9) + CHOOSE(CONTROL!$C$27, 0.0021, 0)</f>
        <v>162.88160000000002</v>
      </c>
      <c r="I905" s="14">
        <f>162.8795 * CHOOSE(CONTROL!$C$9, $D$9, 100%, $F$9) + CHOOSE(CONTROL!$C$27, 0.0021, 0)</f>
        <v>162.88160000000002</v>
      </c>
      <c r="J905" s="14">
        <f>162.8795 * CHOOSE(CONTROL!$C$9, $D$9, 100%, $F$9) + CHOOSE(CONTROL!$C$27, 0.0021, 0)</f>
        <v>162.88160000000002</v>
      </c>
      <c r="K905" s="14">
        <f>162.8795 * CHOOSE(CONTROL!$C$9, $D$9, 100%, $F$9) + CHOOSE(CONTROL!$C$27, 0.0021, 0)</f>
        <v>162.88160000000002</v>
      </c>
      <c r="L905" s="14"/>
    </row>
    <row r="906" spans="1:12" ht="15.75" x14ac:dyDescent="0.25">
      <c r="A906" s="32">
        <v>68514</v>
      </c>
      <c r="B906" s="14">
        <f>162.5587 * CHOOSE(CONTROL!$C$9, $D$9, 100%, $F$9) + CHOOSE(CONTROL!$C$27, 0.0021, 0)</f>
        <v>162.5608</v>
      </c>
      <c r="C906" s="14">
        <f>162.1265 * CHOOSE(CONTROL!$C$9, $D$9, 100%, $F$9) + CHOOSE(CONTROL!$C$27, 0.0021, 0)</f>
        <v>162.12860000000001</v>
      </c>
      <c r="D906" s="14">
        <f>162.1265 * CHOOSE(CONTROL!$C$9, $D$9, 100%, $F$9) + CHOOSE(CONTROL!$C$27, 0.0021, 0)</f>
        <v>162.12860000000001</v>
      </c>
      <c r="E906" s="14">
        <f>161.9898 * CHOOSE(CONTROL!$C$9, $D$9, 100%, $F$9) + CHOOSE(CONTROL!$C$27, 0.0021, 0)</f>
        <v>161.99190000000002</v>
      </c>
      <c r="F906" s="14">
        <f>161.9898 * CHOOSE(CONTROL!$C$9, $D$9, 100%, $F$9) + CHOOSE(CONTROL!$C$27, 0.0021, 0)</f>
        <v>161.99190000000002</v>
      </c>
      <c r="G906" s="14">
        <f>162.2612 * CHOOSE(CONTROL!$C$9, $D$9, 100%, $F$9) + CHOOSE(CONTROL!$C$27, 0.0021, 0)</f>
        <v>162.26330000000002</v>
      </c>
      <c r="H906" s="14">
        <f>162.1265 * CHOOSE(CONTROL!$C$9, $D$9, 100%, $F$9) + CHOOSE(CONTROL!$C$27, 0.0021, 0)</f>
        <v>162.12860000000001</v>
      </c>
      <c r="I906" s="14">
        <f>162.1265 * CHOOSE(CONTROL!$C$9, $D$9, 100%, $F$9) + CHOOSE(CONTROL!$C$27, 0.0021, 0)</f>
        <v>162.12860000000001</v>
      </c>
      <c r="J906" s="14">
        <f>162.1265 * CHOOSE(CONTROL!$C$9, $D$9, 100%, $F$9) + CHOOSE(CONTROL!$C$27, 0.0021, 0)</f>
        <v>162.12860000000001</v>
      </c>
      <c r="K906" s="14">
        <f>162.1265 * CHOOSE(CONTROL!$C$9, $D$9, 100%, $F$9) + CHOOSE(CONTROL!$C$27, 0.0021, 0)</f>
        <v>162.12860000000001</v>
      </c>
      <c r="L906" s="14"/>
    </row>
    <row r="907" spans="1:12" ht="15.75" x14ac:dyDescent="0.25">
      <c r="A907" s="32">
        <v>68545</v>
      </c>
      <c r="B907" s="14">
        <f>158.8278 * CHOOSE(CONTROL!$C$9, $D$9, 100%, $F$9) + CHOOSE(CONTROL!$C$27, 0.0021, 0)</f>
        <v>158.82990000000001</v>
      </c>
      <c r="C907" s="14">
        <f>158.3955 * CHOOSE(CONTROL!$C$9, $D$9, 100%, $F$9) + CHOOSE(CONTROL!$C$27, 0.0021, 0)</f>
        <v>158.39760000000001</v>
      </c>
      <c r="D907" s="14">
        <f>158.3955 * CHOOSE(CONTROL!$C$9, $D$9, 100%, $F$9) + CHOOSE(CONTROL!$C$27, 0.0021, 0)</f>
        <v>158.39760000000001</v>
      </c>
      <c r="E907" s="14">
        <f>158.2589 * CHOOSE(CONTROL!$C$9, $D$9, 100%, $F$9) + CHOOSE(CONTROL!$C$27, 0.0021, 0)</f>
        <v>158.26100000000002</v>
      </c>
      <c r="F907" s="14">
        <f>158.2589 * CHOOSE(CONTROL!$C$9, $D$9, 100%, $F$9) + CHOOSE(CONTROL!$C$27, 0.0021, 0)</f>
        <v>158.26100000000002</v>
      </c>
      <c r="G907" s="14">
        <f>158.5302 * CHOOSE(CONTROL!$C$9, $D$9, 100%, $F$9) + CHOOSE(CONTROL!$C$27, 0.0021, 0)</f>
        <v>158.53230000000002</v>
      </c>
      <c r="H907" s="14">
        <f>158.3955 * CHOOSE(CONTROL!$C$9, $D$9, 100%, $F$9) + CHOOSE(CONTROL!$C$27, 0.0021, 0)</f>
        <v>158.39760000000001</v>
      </c>
      <c r="I907" s="14">
        <f>158.3955 * CHOOSE(CONTROL!$C$9, $D$9, 100%, $F$9) + CHOOSE(CONTROL!$C$27, 0.0021, 0)</f>
        <v>158.39760000000001</v>
      </c>
      <c r="J907" s="14">
        <f>158.3955 * CHOOSE(CONTROL!$C$9, $D$9, 100%, $F$9) + CHOOSE(CONTROL!$C$27, 0.0021, 0)</f>
        <v>158.39760000000001</v>
      </c>
      <c r="K907" s="14">
        <f>158.3955 * CHOOSE(CONTROL!$C$9, $D$9, 100%, $F$9) + CHOOSE(CONTROL!$C$27, 0.0021, 0)</f>
        <v>158.39760000000001</v>
      </c>
      <c r="L907" s="14"/>
    </row>
    <row r="908" spans="1:12" ht="15.75" x14ac:dyDescent="0.25">
      <c r="A908" s="32">
        <v>68575</v>
      </c>
      <c r="B908" s="14">
        <f>153.6248 * CHOOSE(CONTROL!$C$9, $D$9, 100%, $F$9) + CHOOSE(CONTROL!$C$27, 0.0021, 0)</f>
        <v>153.62690000000001</v>
      </c>
      <c r="C908" s="14">
        <f>153.1926 * CHOOSE(CONTROL!$C$9, $D$9, 100%, $F$9) + CHOOSE(CONTROL!$C$27, 0.0021, 0)</f>
        <v>153.19470000000001</v>
      </c>
      <c r="D908" s="14">
        <f>153.1926 * CHOOSE(CONTROL!$C$9, $D$9, 100%, $F$9) + CHOOSE(CONTROL!$C$27, 0.0021, 0)</f>
        <v>153.19470000000001</v>
      </c>
      <c r="E908" s="14">
        <f>153.0559 * CHOOSE(CONTROL!$C$9, $D$9, 100%, $F$9) + CHOOSE(CONTROL!$C$27, 0.0021, 0)</f>
        <v>153.05800000000002</v>
      </c>
      <c r="F908" s="14">
        <f>153.0559 * CHOOSE(CONTROL!$C$9, $D$9, 100%, $F$9) + CHOOSE(CONTROL!$C$27, 0.0021, 0)</f>
        <v>153.05800000000002</v>
      </c>
      <c r="G908" s="14">
        <f>153.3273 * CHOOSE(CONTROL!$C$9, $D$9, 100%, $F$9) + CHOOSE(CONTROL!$C$27, 0.0021, 0)</f>
        <v>153.32940000000002</v>
      </c>
      <c r="H908" s="14">
        <f>153.1926 * CHOOSE(CONTROL!$C$9, $D$9, 100%, $F$9) + CHOOSE(CONTROL!$C$27, 0.0021, 0)</f>
        <v>153.19470000000001</v>
      </c>
      <c r="I908" s="14">
        <f>153.1926 * CHOOSE(CONTROL!$C$9, $D$9, 100%, $F$9) + CHOOSE(CONTROL!$C$27, 0.0021, 0)</f>
        <v>153.19470000000001</v>
      </c>
      <c r="J908" s="14">
        <f>153.1926 * CHOOSE(CONTROL!$C$9, $D$9, 100%, $F$9) + CHOOSE(CONTROL!$C$27, 0.0021, 0)</f>
        <v>153.19470000000001</v>
      </c>
      <c r="K908" s="14">
        <f>153.1926 * CHOOSE(CONTROL!$C$9, $D$9, 100%, $F$9) + CHOOSE(CONTROL!$C$27, 0.0021, 0)</f>
        <v>153.19470000000001</v>
      </c>
      <c r="L908" s="14"/>
    </row>
    <row r="909" spans="1:12" ht="15.75" x14ac:dyDescent="0.25">
      <c r="A909" s="32">
        <v>68606</v>
      </c>
      <c r="B909" s="14">
        <f>148.3916 * CHOOSE(CONTROL!$C$9, $D$9, 100%, $F$9) + CHOOSE(CONTROL!$C$27, 0.0021, 0)</f>
        <v>148.39370000000002</v>
      </c>
      <c r="C909" s="14">
        <f>147.9593 * CHOOSE(CONTROL!$C$9, $D$9, 100%, $F$9) + CHOOSE(CONTROL!$C$27, 0.0021, 0)</f>
        <v>147.96140000000003</v>
      </c>
      <c r="D909" s="14">
        <f>147.9593 * CHOOSE(CONTROL!$C$9, $D$9, 100%, $F$9) + CHOOSE(CONTROL!$C$27, 0.0021, 0)</f>
        <v>147.96140000000003</v>
      </c>
      <c r="E909" s="14">
        <f>147.8227 * CHOOSE(CONTROL!$C$9, $D$9, 100%, $F$9) + CHOOSE(CONTROL!$C$27, 0.0021, 0)</f>
        <v>147.82480000000001</v>
      </c>
      <c r="F909" s="14">
        <f>147.8227 * CHOOSE(CONTROL!$C$9, $D$9, 100%, $F$9) + CHOOSE(CONTROL!$C$27, 0.0021, 0)</f>
        <v>147.82480000000001</v>
      </c>
      <c r="G909" s="14">
        <f>148.094 * CHOOSE(CONTROL!$C$9, $D$9, 100%, $F$9) + CHOOSE(CONTROL!$C$27, 0.0021, 0)</f>
        <v>148.09610000000001</v>
      </c>
      <c r="H909" s="14">
        <f>147.9593 * CHOOSE(CONTROL!$C$9, $D$9, 100%, $F$9) + CHOOSE(CONTROL!$C$27, 0.0021, 0)</f>
        <v>147.96140000000003</v>
      </c>
      <c r="I909" s="14">
        <f>147.9593 * CHOOSE(CONTROL!$C$9, $D$9, 100%, $F$9) + CHOOSE(CONTROL!$C$27, 0.0021, 0)</f>
        <v>147.96140000000003</v>
      </c>
      <c r="J909" s="14">
        <f>147.9593 * CHOOSE(CONTROL!$C$9, $D$9, 100%, $F$9) + CHOOSE(CONTROL!$C$27, 0.0021, 0)</f>
        <v>147.96140000000003</v>
      </c>
      <c r="K909" s="14">
        <f>147.9593 * CHOOSE(CONTROL!$C$9, $D$9, 100%, $F$9) + CHOOSE(CONTROL!$C$27, 0.0021, 0)</f>
        <v>147.96140000000003</v>
      </c>
      <c r="L909" s="14"/>
    </row>
    <row r="910" spans="1:12" ht="15.75" x14ac:dyDescent="0.25">
      <c r="A910" s="32">
        <v>68636</v>
      </c>
      <c r="B910" s="14">
        <f>147.3506 * CHOOSE(CONTROL!$C$9, $D$9, 100%, $F$9) + CHOOSE(CONTROL!$C$27, 0.0021, 0)</f>
        <v>147.3527</v>
      </c>
      <c r="C910" s="14">
        <f>146.9183 * CHOOSE(CONTROL!$C$9, $D$9, 100%, $F$9) + CHOOSE(CONTROL!$C$27, 0.0021, 0)</f>
        <v>146.9204</v>
      </c>
      <c r="D910" s="14">
        <f>146.9183 * CHOOSE(CONTROL!$C$9, $D$9, 100%, $F$9) + CHOOSE(CONTROL!$C$27, 0.0021, 0)</f>
        <v>146.9204</v>
      </c>
      <c r="E910" s="14">
        <f>146.7817 * CHOOSE(CONTROL!$C$9, $D$9, 100%, $F$9) + CHOOSE(CONTROL!$C$27, 0.0021, 0)</f>
        <v>146.78380000000001</v>
      </c>
      <c r="F910" s="14">
        <f>146.7817 * CHOOSE(CONTROL!$C$9, $D$9, 100%, $F$9) + CHOOSE(CONTROL!$C$27, 0.0021, 0)</f>
        <v>146.78380000000001</v>
      </c>
      <c r="G910" s="14">
        <f>147.053 * CHOOSE(CONTROL!$C$9, $D$9, 100%, $F$9) + CHOOSE(CONTROL!$C$27, 0.0021, 0)</f>
        <v>147.05510000000001</v>
      </c>
      <c r="H910" s="14">
        <f>146.9183 * CHOOSE(CONTROL!$C$9, $D$9, 100%, $F$9) + CHOOSE(CONTROL!$C$27, 0.0021, 0)</f>
        <v>146.9204</v>
      </c>
      <c r="I910" s="14">
        <f>146.9183 * CHOOSE(CONTROL!$C$9, $D$9, 100%, $F$9) + CHOOSE(CONTROL!$C$27, 0.0021, 0)</f>
        <v>146.9204</v>
      </c>
      <c r="J910" s="14">
        <f>146.9183 * CHOOSE(CONTROL!$C$9, $D$9, 100%, $F$9) + CHOOSE(CONTROL!$C$27, 0.0021, 0)</f>
        <v>146.9204</v>
      </c>
      <c r="K910" s="14">
        <f>146.9183 * CHOOSE(CONTROL!$C$9, $D$9, 100%, $F$9) + CHOOSE(CONTROL!$C$27, 0.0021, 0)</f>
        <v>146.9204</v>
      </c>
      <c r="L910" s="14"/>
    </row>
    <row r="911" spans="1:12" ht="15.75" x14ac:dyDescent="0.25">
      <c r="A911" s="32">
        <v>68667</v>
      </c>
      <c r="B911" s="14">
        <f>143.046 * CHOOSE(CONTROL!$C$9, $D$9, 100%, $F$9) + CHOOSE(CONTROL!$C$27, 0.0021, 0)</f>
        <v>143.04810000000001</v>
      </c>
      <c r="C911" s="14">
        <f>142.6137 * CHOOSE(CONTROL!$C$9, $D$9, 100%, $F$9) + CHOOSE(CONTROL!$C$27, 0.0021, 0)</f>
        <v>142.61580000000001</v>
      </c>
      <c r="D911" s="14">
        <f>142.6137 * CHOOSE(CONTROL!$C$9, $D$9, 100%, $F$9) + CHOOSE(CONTROL!$C$27, 0.0021, 0)</f>
        <v>142.61580000000001</v>
      </c>
      <c r="E911" s="14">
        <f>142.4771 * CHOOSE(CONTROL!$C$9, $D$9, 100%, $F$9) + CHOOSE(CONTROL!$C$27, 0.0021, 0)</f>
        <v>142.47920000000002</v>
      </c>
      <c r="F911" s="14">
        <f>142.4771 * CHOOSE(CONTROL!$C$9, $D$9, 100%, $F$9) + CHOOSE(CONTROL!$C$27, 0.0021, 0)</f>
        <v>142.47920000000002</v>
      </c>
      <c r="G911" s="14">
        <f>142.7484 * CHOOSE(CONTROL!$C$9, $D$9, 100%, $F$9) + CHOOSE(CONTROL!$C$27, 0.0021, 0)</f>
        <v>142.75050000000002</v>
      </c>
      <c r="H911" s="14">
        <f>142.6137 * CHOOSE(CONTROL!$C$9, $D$9, 100%, $F$9) + CHOOSE(CONTROL!$C$27, 0.0021, 0)</f>
        <v>142.61580000000001</v>
      </c>
      <c r="I911" s="14">
        <f>142.6137 * CHOOSE(CONTROL!$C$9, $D$9, 100%, $F$9) + CHOOSE(CONTROL!$C$27, 0.0021, 0)</f>
        <v>142.61580000000001</v>
      </c>
      <c r="J911" s="14">
        <f>142.6137 * CHOOSE(CONTROL!$C$9, $D$9, 100%, $F$9) + CHOOSE(CONTROL!$C$27, 0.0021, 0)</f>
        <v>142.61580000000001</v>
      </c>
      <c r="K911" s="14">
        <f>142.6137 * CHOOSE(CONTROL!$C$9, $D$9, 100%, $F$9) + CHOOSE(CONTROL!$C$27, 0.0021, 0)</f>
        <v>142.61580000000001</v>
      </c>
      <c r="L911" s="14"/>
    </row>
    <row r="912" spans="1:12" ht="15.75" x14ac:dyDescent="0.25">
      <c r="A912" s="32">
        <v>68698</v>
      </c>
      <c r="B912" s="14">
        <f>142.2079 * CHOOSE(CONTROL!$C$9, $D$9, 100%, $F$9) + CHOOSE(CONTROL!$C$27, 0.0021, 0)</f>
        <v>142.21</v>
      </c>
      <c r="C912" s="14">
        <f>141.7757 * CHOOSE(CONTROL!$C$9, $D$9, 100%, $F$9) + CHOOSE(CONTROL!$C$27, 0.0021, 0)</f>
        <v>141.77780000000001</v>
      </c>
      <c r="D912" s="14">
        <f>141.7757 * CHOOSE(CONTROL!$C$9, $D$9, 100%, $F$9) + CHOOSE(CONTROL!$C$27, 0.0021, 0)</f>
        <v>141.77780000000001</v>
      </c>
      <c r="E912" s="14">
        <f>141.639 * CHOOSE(CONTROL!$C$9, $D$9, 100%, $F$9) + CHOOSE(CONTROL!$C$27, 0.0021, 0)</f>
        <v>141.64110000000002</v>
      </c>
      <c r="F912" s="14">
        <f>141.639 * CHOOSE(CONTROL!$C$9, $D$9, 100%, $F$9) + CHOOSE(CONTROL!$C$27, 0.0021, 0)</f>
        <v>141.64110000000002</v>
      </c>
      <c r="G912" s="14">
        <f>141.9104 * CHOOSE(CONTROL!$C$9, $D$9, 100%, $F$9) + CHOOSE(CONTROL!$C$27, 0.0021, 0)</f>
        <v>141.91250000000002</v>
      </c>
      <c r="H912" s="14">
        <f>141.7757 * CHOOSE(CONTROL!$C$9, $D$9, 100%, $F$9) + CHOOSE(CONTROL!$C$27, 0.0021, 0)</f>
        <v>141.77780000000001</v>
      </c>
      <c r="I912" s="14">
        <f>141.7757 * CHOOSE(CONTROL!$C$9, $D$9, 100%, $F$9) + CHOOSE(CONTROL!$C$27, 0.0021, 0)</f>
        <v>141.77780000000001</v>
      </c>
      <c r="J912" s="14">
        <f>141.7757 * CHOOSE(CONTROL!$C$9, $D$9, 100%, $F$9) + CHOOSE(CONTROL!$C$27, 0.0021, 0)</f>
        <v>141.77780000000001</v>
      </c>
      <c r="K912" s="14">
        <f>141.7757 * CHOOSE(CONTROL!$C$9, $D$9, 100%, $F$9) + CHOOSE(CONTROL!$C$27, 0.0021, 0)</f>
        <v>141.77780000000001</v>
      </c>
      <c r="L912" s="14"/>
    </row>
    <row r="913" spans="1:12" ht="15.75" x14ac:dyDescent="0.25">
      <c r="A913" s="32">
        <v>68727</v>
      </c>
      <c r="B913" s="14">
        <f>141.819 * CHOOSE(CONTROL!$C$9, $D$9, 100%, $F$9) + CHOOSE(CONTROL!$C$27, 0.0021, 0)</f>
        <v>141.8211</v>
      </c>
      <c r="C913" s="14">
        <f>141.3867 * CHOOSE(CONTROL!$C$9, $D$9, 100%, $F$9) + CHOOSE(CONTROL!$C$27, 0.0021, 0)</f>
        <v>141.3888</v>
      </c>
      <c r="D913" s="14">
        <f>141.3867 * CHOOSE(CONTROL!$C$9, $D$9, 100%, $F$9) + CHOOSE(CONTROL!$C$27, 0.0021, 0)</f>
        <v>141.3888</v>
      </c>
      <c r="E913" s="14">
        <f>141.2501 * CHOOSE(CONTROL!$C$9, $D$9, 100%, $F$9) + CHOOSE(CONTROL!$C$27, 0.0021, 0)</f>
        <v>141.25220000000002</v>
      </c>
      <c r="F913" s="14">
        <f>141.2501 * CHOOSE(CONTROL!$C$9, $D$9, 100%, $F$9) + CHOOSE(CONTROL!$C$27, 0.0021, 0)</f>
        <v>141.25220000000002</v>
      </c>
      <c r="G913" s="14">
        <f>141.5215 * CHOOSE(CONTROL!$C$9, $D$9, 100%, $F$9) + CHOOSE(CONTROL!$C$27, 0.0021, 0)</f>
        <v>141.52360000000002</v>
      </c>
      <c r="H913" s="14">
        <f>141.3867 * CHOOSE(CONTROL!$C$9, $D$9, 100%, $F$9) + CHOOSE(CONTROL!$C$27, 0.0021, 0)</f>
        <v>141.3888</v>
      </c>
      <c r="I913" s="14">
        <f>141.3867 * CHOOSE(CONTROL!$C$9, $D$9, 100%, $F$9) + CHOOSE(CONTROL!$C$27, 0.0021, 0)</f>
        <v>141.3888</v>
      </c>
      <c r="J913" s="14">
        <f>141.3867 * CHOOSE(CONTROL!$C$9, $D$9, 100%, $F$9) + CHOOSE(CONTROL!$C$27, 0.0021, 0)</f>
        <v>141.3888</v>
      </c>
      <c r="K913" s="14">
        <f>141.3867 * CHOOSE(CONTROL!$C$9, $D$9, 100%, $F$9) + CHOOSE(CONTROL!$C$27, 0.0021, 0)</f>
        <v>141.3888</v>
      </c>
      <c r="L913" s="14"/>
    </row>
    <row r="914" spans="1:12" ht="15.75" x14ac:dyDescent="0.25">
      <c r="A914" s="32">
        <v>68758</v>
      </c>
      <c r="B914" s="14">
        <f>149.1728 * CHOOSE(CONTROL!$C$9, $D$9, 100%, $F$9) + CHOOSE(CONTROL!$C$27, 0.0021, 0)</f>
        <v>149.17490000000001</v>
      </c>
      <c r="C914" s="14">
        <f>148.7406 * CHOOSE(CONTROL!$C$9, $D$9, 100%, $F$9) + CHOOSE(CONTROL!$C$27, 0.0021, 0)</f>
        <v>148.74270000000001</v>
      </c>
      <c r="D914" s="14">
        <f>148.7406 * CHOOSE(CONTROL!$C$9, $D$9, 100%, $F$9) + CHOOSE(CONTROL!$C$27, 0.0021, 0)</f>
        <v>148.74270000000001</v>
      </c>
      <c r="E914" s="14">
        <f>148.6039 * CHOOSE(CONTROL!$C$9, $D$9, 100%, $F$9) + CHOOSE(CONTROL!$C$27, 0.0021, 0)</f>
        <v>148.60600000000002</v>
      </c>
      <c r="F914" s="14">
        <f>148.6039 * CHOOSE(CONTROL!$C$9, $D$9, 100%, $F$9) + CHOOSE(CONTROL!$C$27, 0.0021, 0)</f>
        <v>148.60600000000002</v>
      </c>
      <c r="G914" s="14">
        <f>148.8753 * CHOOSE(CONTROL!$C$9, $D$9, 100%, $F$9) + CHOOSE(CONTROL!$C$27, 0.0021, 0)</f>
        <v>148.87740000000002</v>
      </c>
      <c r="H914" s="14">
        <f>148.7406 * CHOOSE(CONTROL!$C$9, $D$9, 100%, $F$9) + CHOOSE(CONTROL!$C$27, 0.0021, 0)</f>
        <v>148.74270000000001</v>
      </c>
      <c r="I914" s="14">
        <f>148.7406 * CHOOSE(CONTROL!$C$9, $D$9, 100%, $F$9) + CHOOSE(CONTROL!$C$27, 0.0021, 0)</f>
        <v>148.74270000000001</v>
      </c>
      <c r="J914" s="14">
        <f>148.7406 * CHOOSE(CONTROL!$C$9, $D$9, 100%, $F$9) + CHOOSE(CONTROL!$C$27, 0.0021, 0)</f>
        <v>148.74270000000001</v>
      </c>
      <c r="K914" s="14">
        <f>148.7406 * CHOOSE(CONTROL!$C$9, $D$9, 100%, $F$9) + CHOOSE(CONTROL!$C$27, 0.0021, 0)</f>
        <v>148.74270000000001</v>
      </c>
      <c r="L914" s="14"/>
    </row>
    <row r="915" spans="1:12" ht="15.75" x14ac:dyDescent="0.25">
      <c r="A915" s="32">
        <v>68788</v>
      </c>
      <c r="B915" s="14">
        <f>158.709 * CHOOSE(CONTROL!$C$9, $D$9, 100%, $F$9) + CHOOSE(CONTROL!$C$27, 0.0021, 0)</f>
        <v>158.71110000000002</v>
      </c>
      <c r="C915" s="14">
        <f>158.2768 * CHOOSE(CONTROL!$C$9, $D$9, 100%, $F$9) + CHOOSE(CONTROL!$C$27, 0.0021, 0)</f>
        <v>158.27890000000002</v>
      </c>
      <c r="D915" s="14">
        <f>158.2768 * CHOOSE(CONTROL!$C$9, $D$9, 100%, $F$9) + CHOOSE(CONTROL!$C$27, 0.0021, 0)</f>
        <v>158.27890000000002</v>
      </c>
      <c r="E915" s="14">
        <f>158.1401 * CHOOSE(CONTROL!$C$9, $D$9, 100%, $F$9) + CHOOSE(CONTROL!$C$27, 0.0021, 0)</f>
        <v>158.1422</v>
      </c>
      <c r="F915" s="14">
        <f>158.1401 * CHOOSE(CONTROL!$C$9, $D$9, 100%, $F$9) + CHOOSE(CONTROL!$C$27, 0.0021, 0)</f>
        <v>158.1422</v>
      </c>
      <c r="G915" s="14">
        <f>158.4115 * CHOOSE(CONTROL!$C$9, $D$9, 100%, $F$9) + CHOOSE(CONTROL!$C$27, 0.0021, 0)</f>
        <v>158.4136</v>
      </c>
      <c r="H915" s="14">
        <f>158.2768 * CHOOSE(CONTROL!$C$9, $D$9, 100%, $F$9) + CHOOSE(CONTROL!$C$27, 0.0021, 0)</f>
        <v>158.27890000000002</v>
      </c>
      <c r="I915" s="14">
        <f>158.2768 * CHOOSE(CONTROL!$C$9, $D$9, 100%, $F$9) + CHOOSE(CONTROL!$C$27, 0.0021, 0)</f>
        <v>158.27890000000002</v>
      </c>
      <c r="J915" s="14">
        <f>158.2768 * CHOOSE(CONTROL!$C$9, $D$9, 100%, $F$9) + CHOOSE(CONTROL!$C$27, 0.0021, 0)</f>
        <v>158.27890000000002</v>
      </c>
      <c r="K915" s="14">
        <f>158.2768 * CHOOSE(CONTROL!$C$9, $D$9, 100%, $F$9) + CHOOSE(CONTROL!$C$27, 0.0021, 0)</f>
        <v>158.27890000000002</v>
      </c>
      <c r="L915" s="14"/>
    </row>
    <row r="916" spans="1:12" ht="15.75" x14ac:dyDescent="0.25">
      <c r="A916" s="32">
        <v>68819</v>
      </c>
      <c r="B916" s="14">
        <f>163.9581 * CHOOSE(CONTROL!$C$9, $D$9, 100%, $F$9) + CHOOSE(CONTROL!$C$27, 0.0021, 0)</f>
        <v>163.96020000000001</v>
      </c>
      <c r="C916" s="14">
        <f>163.5258 * CHOOSE(CONTROL!$C$9, $D$9, 100%, $F$9) + CHOOSE(CONTROL!$C$27, 0.0021, 0)</f>
        <v>163.52790000000002</v>
      </c>
      <c r="D916" s="14">
        <f>163.5258 * CHOOSE(CONTROL!$C$9, $D$9, 100%, $F$9) + CHOOSE(CONTROL!$C$27, 0.0021, 0)</f>
        <v>163.52790000000002</v>
      </c>
      <c r="E916" s="14">
        <f>163.3892 * CHOOSE(CONTROL!$C$9, $D$9, 100%, $F$9) + CHOOSE(CONTROL!$C$27, 0.0021, 0)</f>
        <v>163.3913</v>
      </c>
      <c r="F916" s="14">
        <f>163.3892 * CHOOSE(CONTROL!$C$9, $D$9, 100%, $F$9) + CHOOSE(CONTROL!$C$27, 0.0021, 0)</f>
        <v>163.3913</v>
      </c>
      <c r="G916" s="14">
        <f>163.6605 * CHOOSE(CONTROL!$C$9, $D$9, 100%, $F$9) + CHOOSE(CONTROL!$C$27, 0.0021, 0)</f>
        <v>163.66260000000003</v>
      </c>
      <c r="H916" s="14">
        <f>163.5258 * CHOOSE(CONTROL!$C$9, $D$9, 100%, $F$9) + CHOOSE(CONTROL!$C$27, 0.0021, 0)</f>
        <v>163.52790000000002</v>
      </c>
      <c r="I916" s="14">
        <f>163.5258 * CHOOSE(CONTROL!$C$9, $D$9, 100%, $F$9) + CHOOSE(CONTROL!$C$27, 0.0021, 0)</f>
        <v>163.52790000000002</v>
      </c>
      <c r="J916" s="14">
        <f>163.5258 * CHOOSE(CONTROL!$C$9, $D$9, 100%, $F$9) + CHOOSE(CONTROL!$C$27, 0.0021, 0)</f>
        <v>163.52790000000002</v>
      </c>
      <c r="K916" s="14">
        <f>163.5258 * CHOOSE(CONTROL!$C$9, $D$9, 100%, $F$9) + CHOOSE(CONTROL!$C$27, 0.0021, 0)</f>
        <v>163.52790000000002</v>
      </c>
      <c r="L916" s="14"/>
    </row>
    <row r="917" spans="1:12" ht="15.75" x14ac:dyDescent="0.25">
      <c r="A917" s="32">
        <v>68849</v>
      </c>
      <c r="B917" s="14">
        <f>166.2875 * CHOOSE(CONTROL!$C$9, $D$9, 100%, $F$9) + CHOOSE(CONTROL!$C$27, 0.0021, 0)</f>
        <v>166.28960000000001</v>
      </c>
      <c r="C917" s="14">
        <f>165.8553 * CHOOSE(CONTROL!$C$9, $D$9, 100%, $F$9) + CHOOSE(CONTROL!$C$27, 0.0021, 0)</f>
        <v>165.85740000000001</v>
      </c>
      <c r="D917" s="14">
        <f>165.8553 * CHOOSE(CONTROL!$C$9, $D$9, 100%, $F$9) + CHOOSE(CONTROL!$C$27, 0.0021, 0)</f>
        <v>165.85740000000001</v>
      </c>
      <c r="E917" s="14">
        <f>165.7186 * CHOOSE(CONTROL!$C$9, $D$9, 100%, $F$9) + CHOOSE(CONTROL!$C$27, 0.0021, 0)</f>
        <v>165.72070000000002</v>
      </c>
      <c r="F917" s="14">
        <f>165.7186 * CHOOSE(CONTROL!$C$9, $D$9, 100%, $F$9) + CHOOSE(CONTROL!$C$27, 0.0021, 0)</f>
        <v>165.72070000000002</v>
      </c>
      <c r="G917" s="14">
        <f>165.99 * CHOOSE(CONTROL!$C$9, $D$9, 100%, $F$9) + CHOOSE(CONTROL!$C$27, 0.0021, 0)</f>
        <v>165.99210000000002</v>
      </c>
      <c r="H917" s="14">
        <f>165.8553 * CHOOSE(CONTROL!$C$9, $D$9, 100%, $F$9) + CHOOSE(CONTROL!$C$27, 0.0021, 0)</f>
        <v>165.85740000000001</v>
      </c>
      <c r="I917" s="14">
        <f>165.8553 * CHOOSE(CONTROL!$C$9, $D$9, 100%, $F$9) + CHOOSE(CONTROL!$C$27, 0.0021, 0)</f>
        <v>165.85740000000001</v>
      </c>
      <c r="J917" s="14">
        <f>165.8553 * CHOOSE(CONTROL!$C$9, $D$9, 100%, $F$9) + CHOOSE(CONTROL!$C$27, 0.0021, 0)</f>
        <v>165.85740000000001</v>
      </c>
      <c r="K917" s="14">
        <f>165.8553 * CHOOSE(CONTROL!$C$9, $D$9, 100%, $F$9) + CHOOSE(CONTROL!$C$27, 0.0021, 0)</f>
        <v>165.85740000000001</v>
      </c>
      <c r="L917" s="14"/>
    </row>
    <row r="918" spans="1:12" ht="15.75" x14ac:dyDescent="0.25">
      <c r="A918" s="32">
        <v>68880</v>
      </c>
      <c r="B918" s="14">
        <f>165.5205 * CHOOSE(CONTROL!$C$9, $D$9, 100%, $F$9) + CHOOSE(CONTROL!$C$27, 0.0021, 0)</f>
        <v>165.52260000000001</v>
      </c>
      <c r="C918" s="14">
        <f>165.0883 * CHOOSE(CONTROL!$C$9, $D$9, 100%, $F$9) + CHOOSE(CONTROL!$C$27, 0.0021, 0)</f>
        <v>165.09040000000002</v>
      </c>
      <c r="D918" s="14">
        <f>165.0883 * CHOOSE(CONTROL!$C$9, $D$9, 100%, $F$9) + CHOOSE(CONTROL!$C$27, 0.0021, 0)</f>
        <v>165.09040000000002</v>
      </c>
      <c r="E918" s="14">
        <f>164.9516 * CHOOSE(CONTROL!$C$9, $D$9, 100%, $F$9) + CHOOSE(CONTROL!$C$27, 0.0021, 0)</f>
        <v>164.95370000000003</v>
      </c>
      <c r="F918" s="14">
        <f>164.9516 * CHOOSE(CONTROL!$C$9, $D$9, 100%, $F$9) + CHOOSE(CONTROL!$C$27, 0.0021, 0)</f>
        <v>164.95370000000003</v>
      </c>
      <c r="G918" s="14">
        <f>165.223 * CHOOSE(CONTROL!$C$9, $D$9, 100%, $F$9) + CHOOSE(CONTROL!$C$27, 0.0021, 0)</f>
        <v>165.22510000000003</v>
      </c>
      <c r="H918" s="14">
        <f>165.0883 * CHOOSE(CONTROL!$C$9, $D$9, 100%, $F$9) + CHOOSE(CONTROL!$C$27, 0.0021, 0)</f>
        <v>165.09040000000002</v>
      </c>
      <c r="I918" s="14">
        <f>165.0883 * CHOOSE(CONTROL!$C$9, $D$9, 100%, $F$9) + CHOOSE(CONTROL!$C$27, 0.0021, 0)</f>
        <v>165.09040000000002</v>
      </c>
      <c r="J918" s="14">
        <f>165.0883 * CHOOSE(CONTROL!$C$9, $D$9, 100%, $F$9) + CHOOSE(CONTROL!$C$27, 0.0021, 0)</f>
        <v>165.09040000000002</v>
      </c>
      <c r="K918" s="14">
        <f>165.0883 * CHOOSE(CONTROL!$C$9, $D$9, 100%, $F$9) + CHOOSE(CONTROL!$C$27, 0.0021, 0)</f>
        <v>165.09040000000002</v>
      </c>
      <c r="L918" s="14"/>
    </row>
    <row r="919" spans="1:12" ht="15.75" x14ac:dyDescent="0.25">
      <c r="A919" s="32">
        <v>68911</v>
      </c>
      <c r="B919" s="14">
        <f>161.7207 * CHOOSE(CONTROL!$C$9, $D$9, 100%, $F$9) + CHOOSE(CONTROL!$C$27, 0.0021, 0)</f>
        <v>161.72280000000001</v>
      </c>
      <c r="C919" s="14">
        <f>161.2884 * CHOOSE(CONTROL!$C$9, $D$9, 100%, $F$9) + CHOOSE(CONTROL!$C$27, 0.0021, 0)</f>
        <v>161.29050000000001</v>
      </c>
      <c r="D919" s="14">
        <f>161.2884 * CHOOSE(CONTROL!$C$9, $D$9, 100%, $F$9) + CHOOSE(CONTROL!$C$27, 0.0021, 0)</f>
        <v>161.29050000000001</v>
      </c>
      <c r="E919" s="14">
        <f>161.1518 * CHOOSE(CONTROL!$C$9, $D$9, 100%, $F$9) + CHOOSE(CONTROL!$C$27, 0.0021, 0)</f>
        <v>161.15390000000002</v>
      </c>
      <c r="F919" s="14">
        <f>161.1518 * CHOOSE(CONTROL!$C$9, $D$9, 100%, $F$9) + CHOOSE(CONTROL!$C$27, 0.0021, 0)</f>
        <v>161.15390000000002</v>
      </c>
      <c r="G919" s="14">
        <f>161.4231 * CHOOSE(CONTROL!$C$9, $D$9, 100%, $F$9) + CHOOSE(CONTROL!$C$27, 0.0021, 0)</f>
        <v>161.42520000000002</v>
      </c>
      <c r="H919" s="14">
        <f>161.2884 * CHOOSE(CONTROL!$C$9, $D$9, 100%, $F$9) + CHOOSE(CONTROL!$C$27, 0.0021, 0)</f>
        <v>161.29050000000001</v>
      </c>
      <c r="I919" s="14">
        <f>161.2884 * CHOOSE(CONTROL!$C$9, $D$9, 100%, $F$9) + CHOOSE(CONTROL!$C$27, 0.0021, 0)</f>
        <v>161.29050000000001</v>
      </c>
      <c r="J919" s="14">
        <f>161.2884 * CHOOSE(CONTROL!$C$9, $D$9, 100%, $F$9) + CHOOSE(CONTROL!$C$27, 0.0021, 0)</f>
        <v>161.29050000000001</v>
      </c>
      <c r="K919" s="14">
        <f>161.2884 * CHOOSE(CONTROL!$C$9, $D$9, 100%, $F$9) + CHOOSE(CONTROL!$C$27, 0.0021, 0)</f>
        <v>161.29050000000001</v>
      </c>
      <c r="L919" s="14"/>
    </row>
    <row r="920" spans="1:12" ht="15.75" x14ac:dyDescent="0.25">
      <c r="A920" s="32">
        <v>68941</v>
      </c>
      <c r="B920" s="14">
        <f>156.4215 * CHOOSE(CONTROL!$C$9, $D$9, 100%, $F$9) + CHOOSE(CONTROL!$C$27, 0.0021, 0)</f>
        <v>156.42360000000002</v>
      </c>
      <c r="C920" s="14">
        <f>155.9893 * CHOOSE(CONTROL!$C$9, $D$9, 100%, $F$9) + CHOOSE(CONTROL!$C$27, 0.0021, 0)</f>
        <v>155.9914</v>
      </c>
      <c r="D920" s="14">
        <f>155.9893 * CHOOSE(CONTROL!$C$9, $D$9, 100%, $F$9) + CHOOSE(CONTROL!$C$27, 0.0021, 0)</f>
        <v>155.9914</v>
      </c>
      <c r="E920" s="14">
        <f>155.8526 * CHOOSE(CONTROL!$C$9, $D$9, 100%, $F$9) + CHOOSE(CONTROL!$C$27, 0.0021, 0)</f>
        <v>155.85470000000001</v>
      </c>
      <c r="F920" s="14">
        <f>155.8526 * CHOOSE(CONTROL!$C$9, $D$9, 100%, $F$9) + CHOOSE(CONTROL!$C$27, 0.0021, 0)</f>
        <v>155.85470000000001</v>
      </c>
      <c r="G920" s="14">
        <f>156.124 * CHOOSE(CONTROL!$C$9, $D$9, 100%, $F$9) + CHOOSE(CONTROL!$C$27, 0.0021, 0)</f>
        <v>156.12610000000001</v>
      </c>
      <c r="H920" s="14">
        <f>155.9893 * CHOOSE(CONTROL!$C$9, $D$9, 100%, $F$9) + CHOOSE(CONTROL!$C$27, 0.0021, 0)</f>
        <v>155.9914</v>
      </c>
      <c r="I920" s="14">
        <f>155.9893 * CHOOSE(CONTROL!$C$9, $D$9, 100%, $F$9) + CHOOSE(CONTROL!$C$27, 0.0021, 0)</f>
        <v>155.9914</v>
      </c>
      <c r="J920" s="14">
        <f>155.9893 * CHOOSE(CONTROL!$C$9, $D$9, 100%, $F$9) + CHOOSE(CONTROL!$C$27, 0.0021, 0)</f>
        <v>155.9914</v>
      </c>
      <c r="K920" s="14">
        <f>155.9893 * CHOOSE(CONTROL!$C$9, $D$9, 100%, $F$9) + CHOOSE(CONTROL!$C$27, 0.0021, 0)</f>
        <v>155.9914</v>
      </c>
      <c r="L920" s="14"/>
    </row>
    <row r="921" spans="1:12" ht="15.75" x14ac:dyDescent="0.25">
      <c r="A921" s="32">
        <v>68972</v>
      </c>
      <c r="B921" s="14">
        <f>151.0916 * CHOOSE(CONTROL!$C$9, $D$9, 100%, $F$9) + CHOOSE(CONTROL!$C$27, 0.0021, 0)</f>
        <v>151.09370000000001</v>
      </c>
      <c r="C921" s="14">
        <f>150.6594 * CHOOSE(CONTROL!$C$9, $D$9, 100%, $F$9) + CHOOSE(CONTROL!$C$27, 0.0021, 0)</f>
        <v>150.66150000000002</v>
      </c>
      <c r="D921" s="14">
        <f>150.6594 * CHOOSE(CONTROL!$C$9, $D$9, 100%, $F$9) + CHOOSE(CONTROL!$C$27, 0.0021, 0)</f>
        <v>150.66150000000002</v>
      </c>
      <c r="E921" s="14">
        <f>150.5227 * CHOOSE(CONTROL!$C$9, $D$9, 100%, $F$9) + CHOOSE(CONTROL!$C$27, 0.0021, 0)</f>
        <v>150.5248</v>
      </c>
      <c r="F921" s="14">
        <f>150.5227 * CHOOSE(CONTROL!$C$9, $D$9, 100%, $F$9) + CHOOSE(CONTROL!$C$27, 0.0021, 0)</f>
        <v>150.5248</v>
      </c>
      <c r="G921" s="14">
        <f>150.7941 * CHOOSE(CONTROL!$C$9, $D$9, 100%, $F$9) + CHOOSE(CONTROL!$C$27, 0.0021, 0)</f>
        <v>150.7962</v>
      </c>
      <c r="H921" s="14">
        <f>150.6594 * CHOOSE(CONTROL!$C$9, $D$9, 100%, $F$9) + CHOOSE(CONTROL!$C$27, 0.0021, 0)</f>
        <v>150.66150000000002</v>
      </c>
      <c r="I921" s="14">
        <f>150.6594 * CHOOSE(CONTROL!$C$9, $D$9, 100%, $F$9) + CHOOSE(CONTROL!$C$27, 0.0021, 0)</f>
        <v>150.66150000000002</v>
      </c>
      <c r="J921" s="14">
        <f>150.6594 * CHOOSE(CONTROL!$C$9, $D$9, 100%, $F$9) + CHOOSE(CONTROL!$C$27, 0.0021, 0)</f>
        <v>150.66150000000002</v>
      </c>
      <c r="K921" s="14">
        <f>150.6594 * CHOOSE(CONTROL!$C$9, $D$9, 100%, $F$9) + CHOOSE(CONTROL!$C$27, 0.0021, 0)</f>
        <v>150.66150000000002</v>
      </c>
      <c r="L921" s="14"/>
    </row>
    <row r="922" spans="1:12" ht="15.75" x14ac:dyDescent="0.25">
      <c r="A922" s="32">
        <v>69002</v>
      </c>
      <c r="B922" s="14">
        <f>150.0314 * CHOOSE(CONTROL!$C$9, $D$9, 100%, $F$9) + CHOOSE(CONTROL!$C$27, 0.0021, 0)</f>
        <v>150.0335</v>
      </c>
      <c r="C922" s="14">
        <f>149.5991 * CHOOSE(CONTROL!$C$9, $D$9, 100%, $F$9) + CHOOSE(CONTROL!$C$27, 0.0021, 0)</f>
        <v>149.60120000000001</v>
      </c>
      <c r="D922" s="14">
        <f>149.5991 * CHOOSE(CONTROL!$C$9, $D$9, 100%, $F$9) + CHOOSE(CONTROL!$C$27, 0.0021, 0)</f>
        <v>149.60120000000001</v>
      </c>
      <c r="E922" s="14">
        <f>149.4625 * CHOOSE(CONTROL!$C$9, $D$9, 100%, $F$9) + CHOOSE(CONTROL!$C$27, 0.0021, 0)</f>
        <v>149.46460000000002</v>
      </c>
      <c r="F922" s="14">
        <f>149.4625 * CHOOSE(CONTROL!$C$9, $D$9, 100%, $F$9) + CHOOSE(CONTROL!$C$27, 0.0021, 0)</f>
        <v>149.46460000000002</v>
      </c>
      <c r="G922" s="14">
        <f>149.7338 * CHOOSE(CONTROL!$C$9, $D$9, 100%, $F$9) + CHOOSE(CONTROL!$C$27, 0.0021, 0)</f>
        <v>149.73590000000002</v>
      </c>
      <c r="H922" s="14">
        <f>149.5991 * CHOOSE(CONTROL!$C$9, $D$9, 100%, $F$9) + CHOOSE(CONTROL!$C$27, 0.0021, 0)</f>
        <v>149.60120000000001</v>
      </c>
      <c r="I922" s="14">
        <f>149.5991 * CHOOSE(CONTROL!$C$9, $D$9, 100%, $F$9) + CHOOSE(CONTROL!$C$27, 0.0021, 0)</f>
        <v>149.60120000000001</v>
      </c>
      <c r="J922" s="14">
        <f>149.5991 * CHOOSE(CONTROL!$C$9, $D$9, 100%, $F$9) + CHOOSE(CONTROL!$C$27, 0.0021, 0)</f>
        <v>149.60120000000001</v>
      </c>
      <c r="K922" s="14">
        <f>149.5991 * CHOOSE(CONTROL!$C$9, $D$9, 100%, $F$9) + CHOOSE(CONTROL!$C$27, 0.0021, 0)</f>
        <v>149.60120000000001</v>
      </c>
      <c r="L922" s="14"/>
    </row>
    <row r="923" spans="1:12" ht="15.75" x14ac:dyDescent="0.25">
      <c r="A923" s="32">
        <v>69033</v>
      </c>
      <c r="B923" s="14">
        <f>145.6472 * CHOOSE(CONTROL!$C$9, $D$9, 100%, $F$9) + CHOOSE(CONTROL!$C$27, 0.0021, 0)</f>
        <v>145.64930000000001</v>
      </c>
      <c r="C923" s="14">
        <f>145.215 * CHOOSE(CONTROL!$C$9, $D$9, 100%, $F$9) + CHOOSE(CONTROL!$C$27, 0.0021, 0)</f>
        <v>145.21710000000002</v>
      </c>
      <c r="D923" s="14">
        <f>145.215 * CHOOSE(CONTROL!$C$9, $D$9, 100%, $F$9) + CHOOSE(CONTROL!$C$27, 0.0021, 0)</f>
        <v>145.21710000000002</v>
      </c>
      <c r="E923" s="14">
        <f>145.0783 * CHOOSE(CONTROL!$C$9, $D$9, 100%, $F$9) + CHOOSE(CONTROL!$C$27, 0.0021, 0)</f>
        <v>145.08040000000003</v>
      </c>
      <c r="F923" s="14">
        <f>145.0783 * CHOOSE(CONTROL!$C$9, $D$9, 100%, $F$9) + CHOOSE(CONTROL!$C$27, 0.0021, 0)</f>
        <v>145.08040000000003</v>
      </c>
      <c r="G923" s="14">
        <f>145.3497 * CHOOSE(CONTROL!$C$9, $D$9, 100%, $F$9) + CHOOSE(CONTROL!$C$27, 0.0021, 0)</f>
        <v>145.35180000000003</v>
      </c>
      <c r="H923" s="14">
        <f>145.215 * CHOOSE(CONTROL!$C$9, $D$9, 100%, $F$9) + CHOOSE(CONTROL!$C$27, 0.0021, 0)</f>
        <v>145.21710000000002</v>
      </c>
      <c r="I923" s="14">
        <f>145.215 * CHOOSE(CONTROL!$C$9, $D$9, 100%, $F$9) + CHOOSE(CONTROL!$C$27, 0.0021, 0)</f>
        <v>145.21710000000002</v>
      </c>
      <c r="J923" s="14">
        <f>145.215 * CHOOSE(CONTROL!$C$9, $D$9, 100%, $F$9) + CHOOSE(CONTROL!$C$27, 0.0021, 0)</f>
        <v>145.21710000000002</v>
      </c>
      <c r="K923" s="14">
        <f>145.215 * CHOOSE(CONTROL!$C$9, $D$9, 100%, $F$9) + CHOOSE(CONTROL!$C$27, 0.0021, 0)</f>
        <v>145.21710000000002</v>
      </c>
      <c r="L923" s="14"/>
    </row>
    <row r="924" spans="1:12" ht="15.75" x14ac:dyDescent="0.25">
      <c r="A924" s="32">
        <v>69064</v>
      </c>
      <c r="B924" s="14">
        <f>144.7936 * CHOOSE(CONTROL!$C$9, $D$9, 100%, $F$9) + CHOOSE(CONTROL!$C$27, 0.0021, 0)</f>
        <v>144.79570000000001</v>
      </c>
      <c r="C924" s="14">
        <f>144.3614 * CHOOSE(CONTROL!$C$9, $D$9, 100%, $F$9) + CHOOSE(CONTROL!$C$27, 0.0021, 0)</f>
        <v>144.36350000000002</v>
      </c>
      <c r="D924" s="14">
        <f>144.3614 * CHOOSE(CONTROL!$C$9, $D$9, 100%, $F$9) + CHOOSE(CONTROL!$C$27, 0.0021, 0)</f>
        <v>144.36350000000002</v>
      </c>
      <c r="E924" s="14">
        <f>144.2247 * CHOOSE(CONTROL!$C$9, $D$9, 100%, $F$9) + CHOOSE(CONTROL!$C$27, 0.0021, 0)</f>
        <v>144.22680000000003</v>
      </c>
      <c r="F924" s="14">
        <f>144.2247 * CHOOSE(CONTROL!$C$9, $D$9, 100%, $F$9) + CHOOSE(CONTROL!$C$27, 0.0021, 0)</f>
        <v>144.22680000000003</v>
      </c>
      <c r="G924" s="14">
        <f>144.4961 * CHOOSE(CONTROL!$C$9, $D$9, 100%, $F$9) + CHOOSE(CONTROL!$C$27, 0.0021, 0)</f>
        <v>144.49820000000003</v>
      </c>
      <c r="H924" s="14">
        <f>144.3614 * CHOOSE(CONTROL!$C$9, $D$9, 100%, $F$9) + CHOOSE(CONTROL!$C$27, 0.0021, 0)</f>
        <v>144.36350000000002</v>
      </c>
      <c r="I924" s="14">
        <f>144.3614 * CHOOSE(CONTROL!$C$9, $D$9, 100%, $F$9) + CHOOSE(CONTROL!$C$27, 0.0021, 0)</f>
        <v>144.36350000000002</v>
      </c>
      <c r="J924" s="14">
        <f>144.3614 * CHOOSE(CONTROL!$C$9, $D$9, 100%, $F$9) + CHOOSE(CONTROL!$C$27, 0.0021, 0)</f>
        <v>144.36350000000002</v>
      </c>
      <c r="K924" s="14">
        <f>144.3614 * CHOOSE(CONTROL!$C$9, $D$9, 100%, $F$9) + CHOOSE(CONTROL!$C$27, 0.0021, 0)</f>
        <v>144.36350000000002</v>
      </c>
      <c r="L924" s="14"/>
    </row>
    <row r="925" spans="1:12" ht="15.75" x14ac:dyDescent="0.25">
      <c r="A925" s="32">
        <v>69092</v>
      </c>
      <c r="B925" s="14">
        <f>144.3975 * CHOOSE(CONTROL!$C$9, $D$9, 100%, $F$9) + CHOOSE(CONTROL!$C$27, 0.0021, 0)</f>
        <v>144.39960000000002</v>
      </c>
      <c r="C925" s="14">
        <f>143.9653 * CHOOSE(CONTROL!$C$9, $D$9, 100%, $F$9) + CHOOSE(CONTROL!$C$27, 0.0021, 0)</f>
        <v>143.96740000000003</v>
      </c>
      <c r="D925" s="14">
        <f>143.9653 * CHOOSE(CONTROL!$C$9, $D$9, 100%, $F$9) + CHOOSE(CONTROL!$C$27, 0.0021, 0)</f>
        <v>143.96740000000003</v>
      </c>
      <c r="E925" s="14">
        <f>143.8286 * CHOOSE(CONTROL!$C$9, $D$9, 100%, $F$9) + CHOOSE(CONTROL!$C$27, 0.0021, 0)</f>
        <v>143.83070000000001</v>
      </c>
      <c r="F925" s="14">
        <f>143.8286 * CHOOSE(CONTROL!$C$9, $D$9, 100%, $F$9) + CHOOSE(CONTROL!$C$27, 0.0021, 0)</f>
        <v>143.83070000000001</v>
      </c>
      <c r="G925" s="14">
        <f>144.1 * CHOOSE(CONTROL!$C$9, $D$9, 100%, $F$9) + CHOOSE(CONTROL!$C$27, 0.0021, 0)</f>
        <v>144.10210000000001</v>
      </c>
      <c r="H925" s="14">
        <f>143.9653 * CHOOSE(CONTROL!$C$9, $D$9, 100%, $F$9) + CHOOSE(CONTROL!$C$27, 0.0021, 0)</f>
        <v>143.96740000000003</v>
      </c>
      <c r="I925" s="14">
        <f>143.9653 * CHOOSE(CONTROL!$C$9, $D$9, 100%, $F$9) + CHOOSE(CONTROL!$C$27, 0.0021, 0)</f>
        <v>143.96740000000003</v>
      </c>
      <c r="J925" s="14">
        <f>143.9653 * CHOOSE(CONTROL!$C$9, $D$9, 100%, $F$9) + CHOOSE(CONTROL!$C$27, 0.0021, 0)</f>
        <v>143.96740000000003</v>
      </c>
      <c r="K925" s="14">
        <f>143.9653 * CHOOSE(CONTROL!$C$9, $D$9, 100%, $F$9) + CHOOSE(CONTROL!$C$27, 0.0021, 0)</f>
        <v>143.96740000000003</v>
      </c>
      <c r="L925" s="14"/>
    </row>
    <row r="926" spans="1:12" ht="15.75" x14ac:dyDescent="0.25">
      <c r="A926" s="32">
        <v>69123</v>
      </c>
      <c r="B926" s="14">
        <f>151.8873 * CHOOSE(CONTROL!$C$9, $D$9, 100%, $F$9) + CHOOSE(CONTROL!$C$27, 0.0021, 0)</f>
        <v>151.88940000000002</v>
      </c>
      <c r="C926" s="14">
        <f>151.4551 * CHOOSE(CONTROL!$C$9, $D$9, 100%, $F$9) + CHOOSE(CONTROL!$C$27, 0.0021, 0)</f>
        <v>151.4572</v>
      </c>
      <c r="D926" s="14">
        <f>151.4551 * CHOOSE(CONTROL!$C$9, $D$9, 100%, $F$9) + CHOOSE(CONTROL!$C$27, 0.0021, 0)</f>
        <v>151.4572</v>
      </c>
      <c r="E926" s="14">
        <f>151.3184 * CHOOSE(CONTROL!$C$9, $D$9, 100%, $F$9) + CHOOSE(CONTROL!$C$27, 0.0021, 0)</f>
        <v>151.32050000000001</v>
      </c>
      <c r="F926" s="14">
        <f>151.3184 * CHOOSE(CONTROL!$C$9, $D$9, 100%, $F$9) + CHOOSE(CONTROL!$C$27, 0.0021, 0)</f>
        <v>151.32050000000001</v>
      </c>
      <c r="G926" s="14">
        <f>151.5898 * CHOOSE(CONTROL!$C$9, $D$9, 100%, $F$9) + CHOOSE(CONTROL!$C$27, 0.0021, 0)</f>
        <v>151.59190000000001</v>
      </c>
      <c r="H926" s="14">
        <f>151.4551 * CHOOSE(CONTROL!$C$9, $D$9, 100%, $F$9) + CHOOSE(CONTROL!$C$27, 0.0021, 0)</f>
        <v>151.4572</v>
      </c>
      <c r="I926" s="14">
        <f>151.4551 * CHOOSE(CONTROL!$C$9, $D$9, 100%, $F$9) + CHOOSE(CONTROL!$C$27, 0.0021, 0)</f>
        <v>151.4572</v>
      </c>
      <c r="J926" s="14">
        <f>151.4551 * CHOOSE(CONTROL!$C$9, $D$9, 100%, $F$9) + CHOOSE(CONTROL!$C$27, 0.0021, 0)</f>
        <v>151.4572</v>
      </c>
      <c r="K926" s="14">
        <f>151.4551 * CHOOSE(CONTROL!$C$9, $D$9, 100%, $F$9) + CHOOSE(CONTROL!$C$27, 0.0021, 0)</f>
        <v>151.4572</v>
      </c>
      <c r="L926" s="14"/>
    </row>
    <row r="927" spans="1:12" ht="15.75" x14ac:dyDescent="0.25">
      <c r="A927" s="32">
        <v>69153</v>
      </c>
      <c r="B927" s="14">
        <f>161.5997 * CHOOSE(CONTROL!$C$9, $D$9, 100%, $F$9) + CHOOSE(CONTROL!$C$27, 0.0021, 0)</f>
        <v>161.60180000000003</v>
      </c>
      <c r="C927" s="14">
        <f>161.1675 * CHOOSE(CONTROL!$C$9, $D$9, 100%, $F$9) + CHOOSE(CONTROL!$C$27, 0.0021, 0)</f>
        <v>161.1696</v>
      </c>
      <c r="D927" s="14">
        <f>161.1675 * CHOOSE(CONTROL!$C$9, $D$9, 100%, $F$9) + CHOOSE(CONTROL!$C$27, 0.0021, 0)</f>
        <v>161.1696</v>
      </c>
      <c r="E927" s="14">
        <f>161.0308 * CHOOSE(CONTROL!$C$9, $D$9, 100%, $F$9) + CHOOSE(CONTROL!$C$27, 0.0021, 0)</f>
        <v>161.03290000000001</v>
      </c>
      <c r="F927" s="14">
        <f>161.0308 * CHOOSE(CONTROL!$C$9, $D$9, 100%, $F$9) + CHOOSE(CONTROL!$C$27, 0.0021, 0)</f>
        <v>161.03290000000001</v>
      </c>
      <c r="G927" s="14">
        <f>161.3022 * CHOOSE(CONTROL!$C$9, $D$9, 100%, $F$9) + CHOOSE(CONTROL!$C$27, 0.0021, 0)</f>
        <v>161.30430000000001</v>
      </c>
      <c r="H927" s="14">
        <f>161.1675 * CHOOSE(CONTROL!$C$9, $D$9, 100%, $F$9) + CHOOSE(CONTROL!$C$27, 0.0021, 0)</f>
        <v>161.1696</v>
      </c>
      <c r="I927" s="14">
        <f>161.1675 * CHOOSE(CONTROL!$C$9, $D$9, 100%, $F$9) + CHOOSE(CONTROL!$C$27, 0.0021, 0)</f>
        <v>161.1696</v>
      </c>
      <c r="J927" s="14">
        <f>161.1675 * CHOOSE(CONTROL!$C$9, $D$9, 100%, $F$9) + CHOOSE(CONTROL!$C$27, 0.0021, 0)</f>
        <v>161.1696</v>
      </c>
      <c r="K927" s="14">
        <f>161.1675 * CHOOSE(CONTROL!$C$9, $D$9, 100%, $F$9) + CHOOSE(CONTROL!$C$27, 0.0021, 0)</f>
        <v>161.1696</v>
      </c>
      <c r="L927" s="14"/>
    </row>
    <row r="928" spans="1:12" ht="15.75" x14ac:dyDescent="0.25">
      <c r="A928" s="32">
        <v>69184</v>
      </c>
      <c r="B928" s="14">
        <f>166.9458 * CHOOSE(CONTROL!$C$9, $D$9, 100%, $F$9) + CHOOSE(CONTROL!$C$27, 0.0021, 0)</f>
        <v>166.9479</v>
      </c>
      <c r="C928" s="14">
        <f>166.5135 * CHOOSE(CONTROL!$C$9, $D$9, 100%, $F$9) + CHOOSE(CONTROL!$C$27, 0.0021, 0)</f>
        <v>166.51560000000001</v>
      </c>
      <c r="D928" s="14">
        <f>166.5135 * CHOOSE(CONTROL!$C$9, $D$9, 100%, $F$9) + CHOOSE(CONTROL!$C$27, 0.0021, 0)</f>
        <v>166.51560000000001</v>
      </c>
      <c r="E928" s="14">
        <f>166.3769 * CHOOSE(CONTROL!$C$9, $D$9, 100%, $F$9) + CHOOSE(CONTROL!$C$27, 0.0021, 0)</f>
        <v>166.37900000000002</v>
      </c>
      <c r="F928" s="14">
        <f>166.3769 * CHOOSE(CONTROL!$C$9, $D$9, 100%, $F$9) + CHOOSE(CONTROL!$C$27, 0.0021, 0)</f>
        <v>166.37900000000002</v>
      </c>
      <c r="G928" s="14">
        <f>166.6483 * CHOOSE(CONTROL!$C$9, $D$9, 100%, $F$9) + CHOOSE(CONTROL!$C$27, 0.0021, 0)</f>
        <v>166.65040000000002</v>
      </c>
      <c r="H928" s="14">
        <f>166.5135 * CHOOSE(CONTROL!$C$9, $D$9, 100%, $F$9) + CHOOSE(CONTROL!$C$27, 0.0021, 0)</f>
        <v>166.51560000000001</v>
      </c>
      <c r="I928" s="14">
        <f>166.5135 * CHOOSE(CONTROL!$C$9, $D$9, 100%, $F$9) + CHOOSE(CONTROL!$C$27, 0.0021, 0)</f>
        <v>166.51560000000001</v>
      </c>
      <c r="J928" s="14">
        <f>166.5135 * CHOOSE(CONTROL!$C$9, $D$9, 100%, $F$9) + CHOOSE(CONTROL!$C$27, 0.0021, 0)</f>
        <v>166.51560000000001</v>
      </c>
      <c r="K928" s="14">
        <f>166.5135 * CHOOSE(CONTROL!$C$9, $D$9, 100%, $F$9) + CHOOSE(CONTROL!$C$27, 0.0021, 0)</f>
        <v>166.51560000000001</v>
      </c>
      <c r="L928" s="14"/>
    </row>
    <row r="929" spans="1:12" ht="15.75" x14ac:dyDescent="0.25">
      <c r="A929" s="32">
        <v>69214</v>
      </c>
      <c r="B929" s="14">
        <f>169.3183 * CHOOSE(CONTROL!$C$9, $D$9, 100%, $F$9) + CHOOSE(CONTROL!$C$27, 0.0021, 0)</f>
        <v>169.32040000000001</v>
      </c>
      <c r="C929" s="14">
        <f>168.886 * CHOOSE(CONTROL!$C$9, $D$9, 100%, $F$9) + CHOOSE(CONTROL!$C$27, 0.0021, 0)</f>
        <v>168.88810000000001</v>
      </c>
      <c r="D929" s="14">
        <f>168.886 * CHOOSE(CONTROL!$C$9, $D$9, 100%, $F$9) + CHOOSE(CONTROL!$C$27, 0.0021, 0)</f>
        <v>168.88810000000001</v>
      </c>
      <c r="E929" s="14">
        <f>168.7494 * CHOOSE(CONTROL!$C$9, $D$9, 100%, $F$9) + CHOOSE(CONTROL!$C$27, 0.0021, 0)</f>
        <v>168.75150000000002</v>
      </c>
      <c r="F929" s="14">
        <f>168.7494 * CHOOSE(CONTROL!$C$9, $D$9, 100%, $F$9) + CHOOSE(CONTROL!$C$27, 0.0021, 0)</f>
        <v>168.75150000000002</v>
      </c>
      <c r="G929" s="14">
        <f>169.0207 * CHOOSE(CONTROL!$C$9, $D$9, 100%, $F$9) + CHOOSE(CONTROL!$C$27, 0.0021, 0)</f>
        <v>169.02280000000002</v>
      </c>
      <c r="H929" s="14">
        <f>168.886 * CHOOSE(CONTROL!$C$9, $D$9, 100%, $F$9) + CHOOSE(CONTROL!$C$27, 0.0021, 0)</f>
        <v>168.88810000000001</v>
      </c>
      <c r="I929" s="14">
        <f>168.886 * CHOOSE(CONTROL!$C$9, $D$9, 100%, $F$9) + CHOOSE(CONTROL!$C$27, 0.0021, 0)</f>
        <v>168.88810000000001</v>
      </c>
      <c r="J929" s="14">
        <f>168.886 * CHOOSE(CONTROL!$C$9, $D$9, 100%, $F$9) + CHOOSE(CONTROL!$C$27, 0.0021, 0)</f>
        <v>168.88810000000001</v>
      </c>
      <c r="K929" s="14">
        <f>168.886 * CHOOSE(CONTROL!$C$9, $D$9, 100%, $F$9) + CHOOSE(CONTROL!$C$27, 0.0021, 0)</f>
        <v>168.88810000000001</v>
      </c>
      <c r="L929" s="14"/>
    </row>
    <row r="930" spans="1:12" ht="15.75" x14ac:dyDescent="0.25">
      <c r="A930" s="32">
        <v>69245</v>
      </c>
      <c r="B930" s="14">
        <f>168.5371 * CHOOSE(CONTROL!$C$9, $D$9, 100%, $F$9) + CHOOSE(CONTROL!$C$27, 0.0021, 0)</f>
        <v>168.53920000000002</v>
      </c>
      <c r="C930" s="14">
        <f>168.1049 * CHOOSE(CONTROL!$C$9, $D$9, 100%, $F$9) + CHOOSE(CONTROL!$C$27, 0.0021, 0)</f>
        <v>168.107</v>
      </c>
      <c r="D930" s="14">
        <f>168.1049 * CHOOSE(CONTROL!$C$9, $D$9, 100%, $F$9) + CHOOSE(CONTROL!$C$27, 0.0021, 0)</f>
        <v>168.107</v>
      </c>
      <c r="E930" s="14">
        <f>167.9682 * CHOOSE(CONTROL!$C$9, $D$9, 100%, $F$9) + CHOOSE(CONTROL!$C$27, 0.0021, 0)</f>
        <v>167.97030000000001</v>
      </c>
      <c r="F930" s="14">
        <f>167.9682 * CHOOSE(CONTROL!$C$9, $D$9, 100%, $F$9) + CHOOSE(CONTROL!$C$27, 0.0021, 0)</f>
        <v>167.97030000000001</v>
      </c>
      <c r="G930" s="14">
        <f>168.2396 * CHOOSE(CONTROL!$C$9, $D$9, 100%, $F$9) + CHOOSE(CONTROL!$C$27, 0.0021, 0)</f>
        <v>168.24170000000001</v>
      </c>
      <c r="H930" s="14">
        <f>168.1049 * CHOOSE(CONTROL!$C$9, $D$9, 100%, $F$9) + CHOOSE(CONTROL!$C$27, 0.0021, 0)</f>
        <v>168.107</v>
      </c>
      <c r="I930" s="14">
        <f>168.1049 * CHOOSE(CONTROL!$C$9, $D$9, 100%, $F$9) + CHOOSE(CONTROL!$C$27, 0.0021, 0)</f>
        <v>168.107</v>
      </c>
      <c r="J930" s="14">
        <f>168.1049 * CHOOSE(CONTROL!$C$9, $D$9, 100%, $F$9) + CHOOSE(CONTROL!$C$27, 0.0021, 0)</f>
        <v>168.107</v>
      </c>
      <c r="K930" s="14">
        <f>168.1049 * CHOOSE(CONTROL!$C$9, $D$9, 100%, $F$9) + CHOOSE(CONTROL!$C$27, 0.0021, 0)</f>
        <v>168.107</v>
      </c>
      <c r="L930" s="14"/>
    </row>
    <row r="931" spans="1:12" ht="15.75" x14ac:dyDescent="0.25">
      <c r="A931" s="32">
        <v>69276</v>
      </c>
      <c r="B931" s="14">
        <f>164.667 * CHOOSE(CONTROL!$C$9, $D$9, 100%, $F$9) + CHOOSE(CONTROL!$C$27, 0.0021, 0)</f>
        <v>164.66910000000001</v>
      </c>
      <c r="C931" s="14">
        <f>164.2348 * CHOOSE(CONTROL!$C$9, $D$9, 100%, $F$9) + CHOOSE(CONTROL!$C$27, 0.0021, 0)</f>
        <v>164.23690000000002</v>
      </c>
      <c r="D931" s="14">
        <f>164.2348 * CHOOSE(CONTROL!$C$9, $D$9, 100%, $F$9) + CHOOSE(CONTROL!$C$27, 0.0021, 0)</f>
        <v>164.23690000000002</v>
      </c>
      <c r="E931" s="14">
        <f>164.0981 * CHOOSE(CONTROL!$C$9, $D$9, 100%, $F$9) + CHOOSE(CONTROL!$C$27, 0.0021, 0)</f>
        <v>164.1002</v>
      </c>
      <c r="F931" s="14">
        <f>164.0981 * CHOOSE(CONTROL!$C$9, $D$9, 100%, $F$9) + CHOOSE(CONTROL!$C$27, 0.0021, 0)</f>
        <v>164.1002</v>
      </c>
      <c r="G931" s="14">
        <f>164.3695 * CHOOSE(CONTROL!$C$9, $D$9, 100%, $F$9) + CHOOSE(CONTROL!$C$27, 0.0021, 0)</f>
        <v>164.3716</v>
      </c>
      <c r="H931" s="14">
        <f>164.2348 * CHOOSE(CONTROL!$C$9, $D$9, 100%, $F$9) + CHOOSE(CONTROL!$C$27, 0.0021, 0)</f>
        <v>164.23690000000002</v>
      </c>
      <c r="I931" s="14">
        <f>164.2348 * CHOOSE(CONTROL!$C$9, $D$9, 100%, $F$9) + CHOOSE(CONTROL!$C$27, 0.0021, 0)</f>
        <v>164.23690000000002</v>
      </c>
      <c r="J931" s="14">
        <f>164.2348 * CHOOSE(CONTROL!$C$9, $D$9, 100%, $F$9) + CHOOSE(CONTROL!$C$27, 0.0021, 0)</f>
        <v>164.23690000000002</v>
      </c>
      <c r="K931" s="14">
        <f>164.2348 * CHOOSE(CONTROL!$C$9, $D$9, 100%, $F$9) + CHOOSE(CONTROL!$C$27, 0.0021, 0)</f>
        <v>164.23690000000002</v>
      </c>
      <c r="L931" s="14"/>
    </row>
    <row r="932" spans="1:12" ht="15.75" x14ac:dyDescent="0.25">
      <c r="A932" s="32">
        <v>69306</v>
      </c>
      <c r="B932" s="14">
        <f>159.27 * CHOOSE(CONTROL!$C$9, $D$9, 100%, $F$9) + CHOOSE(CONTROL!$C$27, 0.0021, 0)</f>
        <v>159.27210000000002</v>
      </c>
      <c r="C932" s="14">
        <f>158.8377 * CHOOSE(CONTROL!$C$9, $D$9, 100%, $F$9) + CHOOSE(CONTROL!$C$27, 0.0021, 0)</f>
        <v>158.83980000000003</v>
      </c>
      <c r="D932" s="14">
        <f>158.8377 * CHOOSE(CONTROL!$C$9, $D$9, 100%, $F$9) + CHOOSE(CONTROL!$C$27, 0.0021, 0)</f>
        <v>158.83980000000003</v>
      </c>
      <c r="E932" s="14">
        <f>158.7011 * CHOOSE(CONTROL!$C$9, $D$9, 100%, $F$9) + CHOOSE(CONTROL!$C$27, 0.0021, 0)</f>
        <v>158.70320000000001</v>
      </c>
      <c r="F932" s="14">
        <f>158.7011 * CHOOSE(CONTROL!$C$9, $D$9, 100%, $F$9) + CHOOSE(CONTROL!$C$27, 0.0021, 0)</f>
        <v>158.70320000000001</v>
      </c>
      <c r="G932" s="14">
        <f>158.9724 * CHOOSE(CONTROL!$C$9, $D$9, 100%, $F$9) + CHOOSE(CONTROL!$C$27, 0.0021, 0)</f>
        <v>158.97450000000001</v>
      </c>
      <c r="H932" s="14">
        <f>158.8377 * CHOOSE(CONTROL!$C$9, $D$9, 100%, $F$9) + CHOOSE(CONTROL!$C$27, 0.0021, 0)</f>
        <v>158.83980000000003</v>
      </c>
      <c r="I932" s="14">
        <f>158.8377 * CHOOSE(CONTROL!$C$9, $D$9, 100%, $F$9) + CHOOSE(CONTROL!$C$27, 0.0021, 0)</f>
        <v>158.83980000000003</v>
      </c>
      <c r="J932" s="14">
        <f>158.8377 * CHOOSE(CONTROL!$C$9, $D$9, 100%, $F$9) + CHOOSE(CONTROL!$C$27, 0.0021, 0)</f>
        <v>158.83980000000003</v>
      </c>
      <c r="K932" s="14">
        <f>158.8377 * CHOOSE(CONTROL!$C$9, $D$9, 100%, $F$9) + CHOOSE(CONTROL!$C$27, 0.0021, 0)</f>
        <v>158.83980000000003</v>
      </c>
      <c r="L932" s="14"/>
    </row>
    <row r="933" spans="1:12" ht="15.75" x14ac:dyDescent="0.25">
      <c r="A933" s="32">
        <v>69337</v>
      </c>
      <c r="B933" s="14">
        <f>153.8415 * CHOOSE(CONTROL!$C$9, $D$9, 100%, $F$9) + CHOOSE(CONTROL!$C$27, 0.0021, 0)</f>
        <v>153.84360000000001</v>
      </c>
      <c r="C933" s="14">
        <f>153.4093 * CHOOSE(CONTROL!$C$9, $D$9, 100%, $F$9) + CHOOSE(CONTROL!$C$27, 0.0021, 0)</f>
        <v>153.41140000000001</v>
      </c>
      <c r="D933" s="14">
        <f>153.4093 * CHOOSE(CONTROL!$C$9, $D$9, 100%, $F$9) + CHOOSE(CONTROL!$C$27, 0.0021, 0)</f>
        <v>153.41140000000001</v>
      </c>
      <c r="E933" s="14">
        <f>153.2726 * CHOOSE(CONTROL!$C$9, $D$9, 100%, $F$9) + CHOOSE(CONTROL!$C$27, 0.0021, 0)</f>
        <v>153.27470000000002</v>
      </c>
      <c r="F933" s="14">
        <f>153.2726 * CHOOSE(CONTROL!$C$9, $D$9, 100%, $F$9) + CHOOSE(CONTROL!$C$27, 0.0021, 0)</f>
        <v>153.27470000000002</v>
      </c>
      <c r="G933" s="14">
        <f>153.544 * CHOOSE(CONTROL!$C$9, $D$9, 100%, $F$9) + CHOOSE(CONTROL!$C$27, 0.0021, 0)</f>
        <v>153.54610000000002</v>
      </c>
      <c r="H933" s="14">
        <f>153.4093 * CHOOSE(CONTROL!$C$9, $D$9, 100%, $F$9) + CHOOSE(CONTROL!$C$27, 0.0021, 0)</f>
        <v>153.41140000000001</v>
      </c>
      <c r="I933" s="14">
        <f>153.4093 * CHOOSE(CONTROL!$C$9, $D$9, 100%, $F$9) + CHOOSE(CONTROL!$C$27, 0.0021, 0)</f>
        <v>153.41140000000001</v>
      </c>
      <c r="J933" s="14">
        <f>153.4093 * CHOOSE(CONTROL!$C$9, $D$9, 100%, $F$9) + CHOOSE(CONTROL!$C$27, 0.0021, 0)</f>
        <v>153.41140000000001</v>
      </c>
      <c r="K933" s="14">
        <f>153.4093 * CHOOSE(CONTROL!$C$9, $D$9, 100%, $F$9) + CHOOSE(CONTROL!$C$27, 0.0021, 0)</f>
        <v>153.41140000000001</v>
      </c>
      <c r="L933" s="14"/>
    </row>
    <row r="934" spans="1:12" ht="15.75" x14ac:dyDescent="0.25">
      <c r="A934" s="32">
        <v>69367</v>
      </c>
      <c r="B934" s="14">
        <f>152.7617 * CHOOSE(CONTROL!$C$9, $D$9, 100%, $F$9) + CHOOSE(CONTROL!$C$27, 0.0021, 0)</f>
        <v>152.7638</v>
      </c>
      <c r="C934" s="14">
        <f>152.3294 * CHOOSE(CONTROL!$C$9, $D$9, 100%, $F$9) + CHOOSE(CONTROL!$C$27, 0.0021, 0)</f>
        <v>152.33150000000001</v>
      </c>
      <c r="D934" s="14">
        <f>152.3294 * CHOOSE(CONTROL!$C$9, $D$9, 100%, $F$9) + CHOOSE(CONTROL!$C$27, 0.0021, 0)</f>
        <v>152.33150000000001</v>
      </c>
      <c r="E934" s="14">
        <f>152.1928 * CHOOSE(CONTROL!$C$9, $D$9, 100%, $F$9) + CHOOSE(CONTROL!$C$27, 0.0021, 0)</f>
        <v>152.19490000000002</v>
      </c>
      <c r="F934" s="14">
        <f>152.1928 * CHOOSE(CONTROL!$C$9, $D$9, 100%, $F$9) + CHOOSE(CONTROL!$C$27, 0.0021, 0)</f>
        <v>152.19490000000002</v>
      </c>
      <c r="G934" s="14">
        <f>152.4642 * CHOOSE(CONTROL!$C$9, $D$9, 100%, $F$9) + CHOOSE(CONTROL!$C$27, 0.0021, 0)</f>
        <v>152.46630000000002</v>
      </c>
      <c r="H934" s="14">
        <f>152.3294 * CHOOSE(CONTROL!$C$9, $D$9, 100%, $F$9) + CHOOSE(CONTROL!$C$27, 0.0021, 0)</f>
        <v>152.33150000000001</v>
      </c>
      <c r="I934" s="14">
        <f>152.3294 * CHOOSE(CONTROL!$C$9, $D$9, 100%, $F$9) + CHOOSE(CONTROL!$C$27, 0.0021, 0)</f>
        <v>152.33150000000001</v>
      </c>
      <c r="J934" s="14">
        <f>152.3294 * CHOOSE(CONTROL!$C$9, $D$9, 100%, $F$9) + CHOOSE(CONTROL!$C$27, 0.0021, 0)</f>
        <v>152.33150000000001</v>
      </c>
      <c r="K934" s="14">
        <f>152.3294 * CHOOSE(CONTROL!$C$9, $D$9, 100%, $F$9) + CHOOSE(CONTROL!$C$27, 0.0021, 0)</f>
        <v>152.33150000000001</v>
      </c>
      <c r="L934" s="14"/>
    </row>
    <row r="935" spans="1:12" ht="15.75" x14ac:dyDescent="0.25">
      <c r="A935" s="32">
        <v>69398</v>
      </c>
      <c r="B935" s="14">
        <f>148.2965 * CHOOSE(CONTROL!$C$9, $D$9, 100%, $F$9) + CHOOSE(CONTROL!$C$27, 0.0021, 0)</f>
        <v>148.29860000000002</v>
      </c>
      <c r="C935" s="14">
        <f>147.8643 * CHOOSE(CONTROL!$C$9, $D$9, 100%, $F$9) + CHOOSE(CONTROL!$C$27, 0.0021, 0)</f>
        <v>147.8664</v>
      </c>
      <c r="D935" s="14">
        <f>147.8643 * CHOOSE(CONTROL!$C$9, $D$9, 100%, $F$9) + CHOOSE(CONTROL!$C$27, 0.0021, 0)</f>
        <v>147.8664</v>
      </c>
      <c r="E935" s="14">
        <f>147.7276 * CHOOSE(CONTROL!$C$9, $D$9, 100%, $F$9) + CHOOSE(CONTROL!$C$27, 0.0021, 0)</f>
        <v>147.72970000000001</v>
      </c>
      <c r="F935" s="14">
        <f>147.7276 * CHOOSE(CONTROL!$C$9, $D$9, 100%, $F$9) + CHOOSE(CONTROL!$C$27, 0.0021, 0)</f>
        <v>147.72970000000001</v>
      </c>
      <c r="G935" s="14">
        <f>147.999 * CHOOSE(CONTROL!$C$9, $D$9, 100%, $F$9) + CHOOSE(CONTROL!$C$27, 0.0021, 0)</f>
        <v>148.00110000000001</v>
      </c>
      <c r="H935" s="14">
        <f>147.8643 * CHOOSE(CONTROL!$C$9, $D$9, 100%, $F$9) + CHOOSE(CONTROL!$C$27, 0.0021, 0)</f>
        <v>147.8664</v>
      </c>
      <c r="I935" s="14">
        <f>147.8643 * CHOOSE(CONTROL!$C$9, $D$9, 100%, $F$9) + CHOOSE(CONTROL!$C$27, 0.0021, 0)</f>
        <v>147.8664</v>
      </c>
      <c r="J935" s="14">
        <f>147.8643 * CHOOSE(CONTROL!$C$9, $D$9, 100%, $F$9) + CHOOSE(CONTROL!$C$27, 0.0021, 0)</f>
        <v>147.8664</v>
      </c>
      <c r="K935" s="14">
        <f>147.8643 * CHOOSE(CONTROL!$C$9, $D$9, 100%, $F$9) + CHOOSE(CONTROL!$C$27, 0.0021, 0)</f>
        <v>147.8664</v>
      </c>
      <c r="L935" s="14"/>
    </row>
    <row r="936" spans="1:12" ht="15.75" x14ac:dyDescent="0.25">
      <c r="A936" s="32">
        <v>69429</v>
      </c>
      <c r="B936" s="14">
        <f>147.4272 * CHOOSE(CONTROL!$C$9, $D$9, 100%, $F$9) + CHOOSE(CONTROL!$C$27, 0.0021, 0)</f>
        <v>147.42930000000001</v>
      </c>
      <c r="C936" s="14">
        <f>146.9949 * CHOOSE(CONTROL!$C$9, $D$9, 100%, $F$9) + CHOOSE(CONTROL!$C$27, 0.0021, 0)</f>
        <v>146.99700000000001</v>
      </c>
      <c r="D936" s="14">
        <f>146.9949 * CHOOSE(CONTROL!$C$9, $D$9, 100%, $F$9) + CHOOSE(CONTROL!$C$27, 0.0021, 0)</f>
        <v>146.99700000000001</v>
      </c>
      <c r="E936" s="14">
        <f>146.8583 * CHOOSE(CONTROL!$C$9, $D$9, 100%, $F$9) + CHOOSE(CONTROL!$C$27, 0.0021, 0)</f>
        <v>146.86040000000003</v>
      </c>
      <c r="F936" s="14">
        <f>146.8583 * CHOOSE(CONTROL!$C$9, $D$9, 100%, $F$9) + CHOOSE(CONTROL!$C$27, 0.0021, 0)</f>
        <v>146.86040000000003</v>
      </c>
      <c r="G936" s="14">
        <f>147.1296 * CHOOSE(CONTROL!$C$9, $D$9, 100%, $F$9) + CHOOSE(CONTROL!$C$27, 0.0021, 0)</f>
        <v>147.13170000000002</v>
      </c>
      <c r="H936" s="14">
        <f>146.9949 * CHOOSE(CONTROL!$C$9, $D$9, 100%, $F$9) + CHOOSE(CONTROL!$C$27, 0.0021, 0)</f>
        <v>146.99700000000001</v>
      </c>
      <c r="I936" s="14">
        <f>146.9949 * CHOOSE(CONTROL!$C$9, $D$9, 100%, $F$9) + CHOOSE(CONTROL!$C$27, 0.0021, 0)</f>
        <v>146.99700000000001</v>
      </c>
      <c r="J936" s="14">
        <f>146.9949 * CHOOSE(CONTROL!$C$9, $D$9, 100%, $F$9) + CHOOSE(CONTROL!$C$27, 0.0021, 0)</f>
        <v>146.99700000000001</v>
      </c>
      <c r="K936" s="14">
        <f>146.9949 * CHOOSE(CONTROL!$C$9, $D$9, 100%, $F$9) + CHOOSE(CONTROL!$C$27, 0.0021, 0)</f>
        <v>146.99700000000001</v>
      </c>
      <c r="L936" s="14"/>
    </row>
    <row r="937" spans="1:12" ht="15.75" x14ac:dyDescent="0.25">
      <c r="A937" s="32">
        <v>69457</v>
      </c>
      <c r="B937" s="14">
        <f>147.0238 * CHOOSE(CONTROL!$C$9, $D$9, 100%, $F$9) + CHOOSE(CONTROL!$C$27, 0.0021, 0)</f>
        <v>147.02590000000001</v>
      </c>
      <c r="C937" s="14">
        <f>146.5915 * CHOOSE(CONTROL!$C$9, $D$9, 100%, $F$9) + CHOOSE(CONTROL!$C$27, 0.0021, 0)</f>
        <v>146.59360000000001</v>
      </c>
      <c r="D937" s="14">
        <f>146.5915 * CHOOSE(CONTROL!$C$9, $D$9, 100%, $F$9) + CHOOSE(CONTROL!$C$27, 0.0021, 0)</f>
        <v>146.59360000000001</v>
      </c>
      <c r="E937" s="14">
        <f>146.4548 * CHOOSE(CONTROL!$C$9, $D$9, 100%, $F$9) + CHOOSE(CONTROL!$C$27, 0.0021, 0)</f>
        <v>146.45690000000002</v>
      </c>
      <c r="F937" s="14">
        <f>146.4548 * CHOOSE(CONTROL!$C$9, $D$9, 100%, $F$9) + CHOOSE(CONTROL!$C$27, 0.0021, 0)</f>
        <v>146.45690000000002</v>
      </c>
      <c r="G937" s="14">
        <f>146.7262 * CHOOSE(CONTROL!$C$9, $D$9, 100%, $F$9) + CHOOSE(CONTROL!$C$27, 0.0021, 0)</f>
        <v>146.72830000000002</v>
      </c>
      <c r="H937" s="14">
        <f>146.5915 * CHOOSE(CONTROL!$C$9, $D$9, 100%, $F$9) + CHOOSE(CONTROL!$C$27, 0.0021, 0)</f>
        <v>146.59360000000001</v>
      </c>
      <c r="I937" s="14">
        <f>146.5915 * CHOOSE(CONTROL!$C$9, $D$9, 100%, $F$9) + CHOOSE(CONTROL!$C$27, 0.0021, 0)</f>
        <v>146.59360000000001</v>
      </c>
      <c r="J937" s="14">
        <f>146.5915 * CHOOSE(CONTROL!$C$9, $D$9, 100%, $F$9) + CHOOSE(CONTROL!$C$27, 0.0021, 0)</f>
        <v>146.59360000000001</v>
      </c>
      <c r="K937" s="14">
        <f>146.5915 * CHOOSE(CONTROL!$C$9, $D$9, 100%, $F$9) + CHOOSE(CONTROL!$C$27, 0.0021, 0)</f>
        <v>146.59360000000001</v>
      </c>
      <c r="L937" s="14"/>
    </row>
    <row r="938" spans="1:12" ht="15.75" x14ac:dyDescent="0.25">
      <c r="A938" s="32">
        <v>69488</v>
      </c>
      <c r="B938" s="14">
        <f>154.6519 * CHOOSE(CONTROL!$C$9, $D$9, 100%, $F$9) + CHOOSE(CONTROL!$C$27, 0.0021, 0)</f>
        <v>154.65400000000002</v>
      </c>
      <c r="C938" s="14">
        <f>154.2197 * CHOOSE(CONTROL!$C$9, $D$9, 100%, $F$9) + CHOOSE(CONTROL!$C$27, 0.0021, 0)</f>
        <v>154.2218</v>
      </c>
      <c r="D938" s="14">
        <f>154.2197 * CHOOSE(CONTROL!$C$9, $D$9, 100%, $F$9) + CHOOSE(CONTROL!$C$27, 0.0021, 0)</f>
        <v>154.2218</v>
      </c>
      <c r="E938" s="14">
        <f>154.083 * CHOOSE(CONTROL!$C$9, $D$9, 100%, $F$9) + CHOOSE(CONTROL!$C$27, 0.0021, 0)</f>
        <v>154.08510000000001</v>
      </c>
      <c r="F938" s="14">
        <f>154.083 * CHOOSE(CONTROL!$C$9, $D$9, 100%, $F$9) + CHOOSE(CONTROL!$C$27, 0.0021, 0)</f>
        <v>154.08510000000001</v>
      </c>
      <c r="G938" s="14">
        <f>154.3544 * CHOOSE(CONTROL!$C$9, $D$9, 100%, $F$9) + CHOOSE(CONTROL!$C$27, 0.0021, 0)</f>
        <v>154.35650000000001</v>
      </c>
      <c r="H938" s="14">
        <f>154.2197 * CHOOSE(CONTROL!$C$9, $D$9, 100%, $F$9) + CHOOSE(CONTROL!$C$27, 0.0021, 0)</f>
        <v>154.2218</v>
      </c>
      <c r="I938" s="14">
        <f>154.2197 * CHOOSE(CONTROL!$C$9, $D$9, 100%, $F$9) + CHOOSE(CONTROL!$C$27, 0.0021, 0)</f>
        <v>154.2218</v>
      </c>
      <c r="J938" s="14">
        <f>154.2197 * CHOOSE(CONTROL!$C$9, $D$9, 100%, $F$9) + CHOOSE(CONTROL!$C$27, 0.0021, 0)</f>
        <v>154.2218</v>
      </c>
      <c r="K938" s="14">
        <f>154.2197 * CHOOSE(CONTROL!$C$9, $D$9, 100%, $F$9) + CHOOSE(CONTROL!$C$27, 0.0021, 0)</f>
        <v>154.2218</v>
      </c>
      <c r="L938" s="14"/>
    </row>
    <row r="939" spans="1:12" ht="15.75" x14ac:dyDescent="0.25">
      <c r="A939" s="32">
        <v>69518</v>
      </c>
      <c r="B939" s="14">
        <f>164.5439 * CHOOSE(CONTROL!$C$9, $D$9, 100%, $F$9) + CHOOSE(CONTROL!$C$27, 0.0021, 0)</f>
        <v>164.54600000000002</v>
      </c>
      <c r="C939" s="14">
        <f>164.1116 * CHOOSE(CONTROL!$C$9, $D$9, 100%, $F$9) + CHOOSE(CONTROL!$C$27, 0.0021, 0)</f>
        <v>164.11370000000002</v>
      </c>
      <c r="D939" s="14">
        <f>164.1116 * CHOOSE(CONTROL!$C$9, $D$9, 100%, $F$9) + CHOOSE(CONTROL!$C$27, 0.0021, 0)</f>
        <v>164.11370000000002</v>
      </c>
      <c r="E939" s="14">
        <f>163.975 * CHOOSE(CONTROL!$C$9, $D$9, 100%, $F$9) + CHOOSE(CONTROL!$C$27, 0.0021, 0)</f>
        <v>163.97710000000001</v>
      </c>
      <c r="F939" s="14">
        <f>163.975 * CHOOSE(CONTROL!$C$9, $D$9, 100%, $F$9) + CHOOSE(CONTROL!$C$27, 0.0021, 0)</f>
        <v>163.97710000000001</v>
      </c>
      <c r="G939" s="14">
        <f>164.2463 * CHOOSE(CONTROL!$C$9, $D$9, 100%, $F$9) + CHOOSE(CONTROL!$C$27, 0.0021, 0)</f>
        <v>164.2484</v>
      </c>
      <c r="H939" s="14">
        <f>164.1116 * CHOOSE(CONTROL!$C$9, $D$9, 100%, $F$9) + CHOOSE(CONTROL!$C$27, 0.0021, 0)</f>
        <v>164.11370000000002</v>
      </c>
      <c r="I939" s="14">
        <f>164.1116 * CHOOSE(CONTROL!$C$9, $D$9, 100%, $F$9) + CHOOSE(CONTROL!$C$27, 0.0021, 0)</f>
        <v>164.11370000000002</v>
      </c>
      <c r="J939" s="14">
        <f>164.1116 * CHOOSE(CONTROL!$C$9, $D$9, 100%, $F$9) + CHOOSE(CONTROL!$C$27, 0.0021, 0)</f>
        <v>164.11370000000002</v>
      </c>
      <c r="K939" s="14">
        <f>164.1116 * CHOOSE(CONTROL!$C$9, $D$9, 100%, $F$9) + CHOOSE(CONTROL!$C$27, 0.0021, 0)</f>
        <v>164.11370000000002</v>
      </c>
      <c r="L939" s="14"/>
    </row>
    <row r="940" spans="1:12" ht="15.75" x14ac:dyDescent="0.25">
      <c r="A940" s="32">
        <v>69549</v>
      </c>
      <c r="B940" s="14">
        <f>169.9887 * CHOOSE(CONTROL!$C$9, $D$9, 100%, $F$9) + CHOOSE(CONTROL!$C$27, 0.0021, 0)</f>
        <v>169.99080000000001</v>
      </c>
      <c r="C940" s="14">
        <f>169.5565 * CHOOSE(CONTROL!$C$9, $D$9, 100%, $F$9) + CHOOSE(CONTROL!$C$27, 0.0021, 0)</f>
        <v>169.55860000000001</v>
      </c>
      <c r="D940" s="14">
        <f>169.5565 * CHOOSE(CONTROL!$C$9, $D$9, 100%, $F$9) + CHOOSE(CONTROL!$C$27, 0.0021, 0)</f>
        <v>169.55860000000001</v>
      </c>
      <c r="E940" s="14">
        <f>169.4198 * CHOOSE(CONTROL!$C$9, $D$9, 100%, $F$9) + CHOOSE(CONTROL!$C$27, 0.0021, 0)</f>
        <v>169.42190000000002</v>
      </c>
      <c r="F940" s="14">
        <f>169.4198 * CHOOSE(CONTROL!$C$9, $D$9, 100%, $F$9) + CHOOSE(CONTROL!$C$27, 0.0021, 0)</f>
        <v>169.42190000000002</v>
      </c>
      <c r="G940" s="14">
        <f>169.6912 * CHOOSE(CONTROL!$C$9, $D$9, 100%, $F$9) + CHOOSE(CONTROL!$C$27, 0.0021, 0)</f>
        <v>169.69330000000002</v>
      </c>
      <c r="H940" s="14">
        <f>169.5565 * CHOOSE(CONTROL!$C$9, $D$9, 100%, $F$9) + CHOOSE(CONTROL!$C$27, 0.0021, 0)</f>
        <v>169.55860000000001</v>
      </c>
      <c r="I940" s="14">
        <f>169.5565 * CHOOSE(CONTROL!$C$9, $D$9, 100%, $F$9) + CHOOSE(CONTROL!$C$27, 0.0021, 0)</f>
        <v>169.55860000000001</v>
      </c>
      <c r="J940" s="14">
        <f>169.5565 * CHOOSE(CONTROL!$C$9, $D$9, 100%, $F$9) + CHOOSE(CONTROL!$C$27, 0.0021, 0)</f>
        <v>169.55860000000001</v>
      </c>
      <c r="K940" s="14">
        <f>169.5565 * CHOOSE(CONTROL!$C$9, $D$9, 100%, $F$9) + CHOOSE(CONTROL!$C$27, 0.0021, 0)</f>
        <v>169.55860000000001</v>
      </c>
      <c r="L940" s="14"/>
    </row>
    <row r="941" spans="1:12" ht="15.75" x14ac:dyDescent="0.25">
      <c r="A941" s="32">
        <v>69579</v>
      </c>
      <c r="B941" s="14">
        <f>172.405 * CHOOSE(CONTROL!$C$9, $D$9, 100%, $F$9) + CHOOSE(CONTROL!$C$27, 0.0021, 0)</f>
        <v>172.40710000000001</v>
      </c>
      <c r="C941" s="14">
        <f>171.9728 * CHOOSE(CONTROL!$C$9, $D$9, 100%, $F$9) + CHOOSE(CONTROL!$C$27, 0.0021, 0)</f>
        <v>171.97490000000002</v>
      </c>
      <c r="D941" s="14">
        <f>171.9728 * CHOOSE(CONTROL!$C$9, $D$9, 100%, $F$9) + CHOOSE(CONTROL!$C$27, 0.0021, 0)</f>
        <v>171.97490000000002</v>
      </c>
      <c r="E941" s="14">
        <f>171.8361 * CHOOSE(CONTROL!$C$9, $D$9, 100%, $F$9) + CHOOSE(CONTROL!$C$27, 0.0021, 0)</f>
        <v>171.8382</v>
      </c>
      <c r="F941" s="14">
        <f>171.8361 * CHOOSE(CONTROL!$C$9, $D$9, 100%, $F$9) + CHOOSE(CONTROL!$C$27, 0.0021, 0)</f>
        <v>171.8382</v>
      </c>
      <c r="G941" s="14">
        <f>172.1075 * CHOOSE(CONTROL!$C$9, $D$9, 100%, $F$9) + CHOOSE(CONTROL!$C$27, 0.0021, 0)</f>
        <v>172.1096</v>
      </c>
      <c r="H941" s="14">
        <f>171.9728 * CHOOSE(CONTROL!$C$9, $D$9, 100%, $F$9) + CHOOSE(CONTROL!$C$27, 0.0021, 0)</f>
        <v>171.97490000000002</v>
      </c>
      <c r="I941" s="14">
        <f>171.9728 * CHOOSE(CONTROL!$C$9, $D$9, 100%, $F$9) + CHOOSE(CONTROL!$C$27, 0.0021, 0)</f>
        <v>171.97490000000002</v>
      </c>
      <c r="J941" s="14">
        <f>171.9728 * CHOOSE(CONTROL!$C$9, $D$9, 100%, $F$9) + CHOOSE(CONTROL!$C$27, 0.0021, 0)</f>
        <v>171.97490000000002</v>
      </c>
      <c r="K941" s="14">
        <f>171.9728 * CHOOSE(CONTROL!$C$9, $D$9, 100%, $F$9) + CHOOSE(CONTROL!$C$27, 0.0021, 0)</f>
        <v>171.97490000000002</v>
      </c>
      <c r="L941" s="14"/>
    </row>
    <row r="942" spans="1:12" ht="15.75" x14ac:dyDescent="0.25">
      <c r="A942" s="32">
        <v>69610</v>
      </c>
      <c r="B942" s="14">
        <f>171.6095 * CHOOSE(CONTROL!$C$9, $D$9, 100%, $F$9) + CHOOSE(CONTROL!$C$27, 0.0021, 0)</f>
        <v>171.61160000000001</v>
      </c>
      <c r="C942" s="14">
        <f>171.1772 * CHOOSE(CONTROL!$C$9, $D$9, 100%, $F$9) + CHOOSE(CONTROL!$C$27, 0.0021, 0)</f>
        <v>171.17930000000001</v>
      </c>
      <c r="D942" s="14">
        <f>171.1772 * CHOOSE(CONTROL!$C$9, $D$9, 100%, $F$9) + CHOOSE(CONTROL!$C$27, 0.0021, 0)</f>
        <v>171.17930000000001</v>
      </c>
      <c r="E942" s="14">
        <f>171.0406 * CHOOSE(CONTROL!$C$9, $D$9, 100%, $F$9) + CHOOSE(CONTROL!$C$27, 0.0021, 0)</f>
        <v>171.04270000000002</v>
      </c>
      <c r="F942" s="14">
        <f>171.0406 * CHOOSE(CONTROL!$C$9, $D$9, 100%, $F$9) + CHOOSE(CONTROL!$C$27, 0.0021, 0)</f>
        <v>171.04270000000002</v>
      </c>
      <c r="G942" s="14">
        <f>171.3119 * CHOOSE(CONTROL!$C$9, $D$9, 100%, $F$9) + CHOOSE(CONTROL!$C$27, 0.0021, 0)</f>
        <v>171.31400000000002</v>
      </c>
      <c r="H942" s="14">
        <f>171.1772 * CHOOSE(CONTROL!$C$9, $D$9, 100%, $F$9) + CHOOSE(CONTROL!$C$27, 0.0021, 0)</f>
        <v>171.17930000000001</v>
      </c>
      <c r="I942" s="14">
        <f>171.1772 * CHOOSE(CONTROL!$C$9, $D$9, 100%, $F$9) + CHOOSE(CONTROL!$C$27, 0.0021, 0)</f>
        <v>171.17930000000001</v>
      </c>
      <c r="J942" s="14">
        <f>171.1772 * CHOOSE(CONTROL!$C$9, $D$9, 100%, $F$9) + CHOOSE(CONTROL!$C$27, 0.0021, 0)</f>
        <v>171.17930000000001</v>
      </c>
      <c r="K942" s="14">
        <f>171.1772 * CHOOSE(CONTROL!$C$9, $D$9, 100%, $F$9) + CHOOSE(CONTROL!$C$27, 0.0021, 0)</f>
        <v>171.17930000000001</v>
      </c>
      <c r="L942" s="14"/>
    </row>
    <row r="943" spans="1:12" ht="15.75" x14ac:dyDescent="0.25">
      <c r="A943" s="32">
        <v>69641</v>
      </c>
      <c r="B943" s="14">
        <f>167.6678 * CHOOSE(CONTROL!$C$9, $D$9, 100%, $F$9) + CHOOSE(CONTROL!$C$27, 0.0021, 0)</f>
        <v>167.66990000000001</v>
      </c>
      <c r="C943" s="14">
        <f>167.2356 * CHOOSE(CONTROL!$C$9, $D$9, 100%, $F$9) + CHOOSE(CONTROL!$C$27, 0.0021, 0)</f>
        <v>167.23770000000002</v>
      </c>
      <c r="D943" s="14">
        <f>167.2356 * CHOOSE(CONTROL!$C$9, $D$9, 100%, $F$9) + CHOOSE(CONTROL!$C$27, 0.0021, 0)</f>
        <v>167.23770000000002</v>
      </c>
      <c r="E943" s="14">
        <f>167.0989 * CHOOSE(CONTROL!$C$9, $D$9, 100%, $F$9) + CHOOSE(CONTROL!$C$27, 0.0021, 0)</f>
        <v>167.101</v>
      </c>
      <c r="F943" s="14">
        <f>167.0989 * CHOOSE(CONTROL!$C$9, $D$9, 100%, $F$9) + CHOOSE(CONTROL!$C$27, 0.0021, 0)</f>
        <v>167.101</v>
      </c>
      <c r="G943" s="14">
        <f>167.3703 * CHOOSE(CONTROL!$C$9, $D$9, 100%, $F$9) + CHOOSE(CONTROL!$C$27, 0.0021, 0)</f>
        <v>167.3724</v>
      </c>
      <c r="H943" s="14">
        <f>167.2356 * CHOOSE(CONTROL!$C$9, $D$9, 100%, $F$9) + CHOOSE(CONTROL!$C$27, 0.0021, 0)</f>
        <v>167.23770000000002</v>
      </c>
      <c r="I943" s="14">
        <f>167.2356 * CHOOSE(CONTROL!$C$9, $D$9, 100%, $F$9) + CHOOSE(CONTROL!$C$27, 0.0021, 0)</f>
        <v>167.23770000000002</v>
      </c>
      <c r="J943" s="14">
        <f>167.2356 * CHOOSE(CONTROL!$C$9, $D$9, 100%, $F$9) + CHOOSE(CONTROL!$C$27, 0.0021, 0)</f>
        <v>167.23770000000002</v>
      </c>
      <c r="K943" s="14">
        <f>167.2356 * CHOOSE(CONTROL!$C$9, $D$9, 100%, $F$9) + CHOOSE(CONTROL!$C$27, 0.0021, 0)</f>
        <v>167.23770000000002</v>
      </c>
      <c r="L943" s="14"/>
    </row>
    <row r="944" spans="1:12" ht="15.75" x14ac:dyDescent="0.25">
      <c r="A944" s="32">
        <v>69671</v>
      </c>
      <c r="B944" s="14">
        <f>162.171 * CHOOSE(CONTROL!$C$9, $D$9, 100%, $F$9) + CHOOSE(CONTROL!$C$27, 0.0021, 0)</f>
        <v>162.17310000000001</v>
      </c>
      <c r="C944" s="14">
        <f>161.7388 * CHOOSE(CONTROL!$C$9, $D$9, 100%, $F$9) + CHOOSE(CONTROL!$C$27, 0.0021, 0)</f>
        <v>161.74090000000001</v>
      </c>
      <c r="D944" s="14">
        <f>161.7388 * CHOOSE(CONTROL!$C$9, $D$9, 100%, $F$9) + CHOOSE(CONTROL!$C$27, 0.0021, 0)</f>
        <v>161.74090000000001</v>
      </c>
      <c r="E944" s="14">
        <f>161.6021 * CHOOSE(CONTROL!$C$9, $D$9, 100%, $F$9) + CHOOSE(CONTROL!$C$27, 0.0021, 0)</f>
        <v>161.60420000000002</v>
      </c>
      <c r="F944" s="14">
        <f>161.6021 * CHOOSE(CONTROL!$C$9, $D$9, 100%, $F$9) + CHOOSE(CONTROL!$C$27, 0.0021, 0)</f>
        <v>161.60420000000002</v>
      </c>
      <c r="G944" s="14">
        <f>161.8735 * CHOOSE(CONTROL!$C$9, $D$9, 100%, $F$9) + CHOOSE(CONTROL!$C$27, 0.0021, 0)</f>
        <v>161.87560000000002</v>
      </c>
      <c r="H944" s="14">
        <f>161.7388 * CHOOSE(CONTROL!$C$9, $D$9, 100%, $F$9) + CHOOSE(CONTROL!$C$27, 0.0021, 0)</f>
        <v>161.74090000000001</v>
      </c>
      <c r="I944" s="14">
        <f>161.7388 * CHOOSE(CONTROL!$C$9, $D$9, 100%, $F$9) + CHOOSE(CONTROL!$C$27, 0.0021, 0)</f>
        <v>161.74090000000001</v>
      </c>
      <c r="J944" s="14">
        <f>161.7388 * CHOOSE(CONTROL!$C$9, $D$9, 100%, $F$9) + CHOOSE(CONTROL!$C$27, 0.0021, 0)</f>
        <v>161.74090000000001</v>
      </c>
      <c r="K944" s="14">
        <f>161.7388 * CHOOSE(CONTROL!$C$9, $D$9, 100%, $F$9) + CHOOSE(CONTROL!$C$27, 0.0021, 0)</f>
        <v>161.74090000000001</v>
      </c>
      <c r="L944" s="14"/>
    </row>
    <row r="945" spans="1:12" ht="15.75" x14ac:dyDescent="0.25">
      <c r="A945" s="32">
        <v>69702</v>
      </c>
      <c r="B945" s="14">
        <f>156.6423 * CHOOSE(CONTROL!$C$9, $D$9, 100%, $F$9) + CHOOSE(CONTROL!$C$27, 0.0021, 0)</f>
        <v>156.64440000000002</v>
      </c>
      <c r="C945" s="14">
        <f>156.21 * CHOOSE(CONTROL!$C$9, $D$9, 100%, $F$9) + CHOOSE(CONTROL!$C$27, 0.0021, 0)</f>
        <v>156.21210000000002</v>
      </c>
      <c r="D945" s="14">
        <f>156.21 * CHOOSE(CONTROL!$C$9, $D$9, 100%, $F$9) + CHOOSE(CONTROL!$C$27, 0.0021, 0)</f>
        <v>156.21210000000002</v>
      </c>
      <c r="E945" s="14">
        <f>156.0734 * CHOOSE(CONTROL!$C$9, $D$9, 100%, $F$9) + CHOOSE(CONTROL!$C$27, 0.0021, 0)</f>
        <v>156.07550000000001</v>
      </c>
      <c r="F945" s="14">
        <f>156.0734 * CHOOSE(CONTROL!$C$9, $D$9, 100%, $F$9) + CHOOSE(CONTROL!$C$27, 0.0021, 0)</f>
        <v>156.07550000000001</v>
      </c>
      <c r="G945" s="14">
        <f>156.3447 * CHOOSE(CONTROL!$C$9, $D$9, 100%, $F$9) + CHOOSE(CONTROL!$C$27, 0.0021, 0)</f>
        <v>156.3468</v>
      </c>
      <c r="H945" s="14">
        <f>156.21 * CHOOSE(CONTROL!$C$9, $D$9, 100%, $F$9) + CHOOSE(CONTROL!$C$27, 0.0021, 0)</f>
        <v>156.21210000000002</v>
      </c>
      <c r="I945" s="14">
        <f>156.21 * CHOOSE(CONTROL!$C$9, $D$9, 100%, $F$9) + CHOOSE(CONTROL!$C$27, 0.0021, 0)</f>
        <v>156.21210000000002</v>
      </c>
      <c r="J945" s="14">
        <f>156.21 * CHOOSE(CONTROL!$C$9, $D$9, 100%, $F$9) + CHOOSE(CONTROL!$C$27, 0.0021, 0)</f>
        <v>156.21210000000002</v>
      </c>
      <c r="K945" s="14">
        <f>156.21 * CHOOSE(CONTROL!$C$9, $D$9, 100%, $F$9) + CHOOSE(CONTROL!$C$27, 0.0021, 0)</f>
        <v>156.21210000000002</v>
      </c>
      <c r="L945" s="14"/>
    </row>
    <row r="946" spans="1:12" ht="15.75" x14ac:dyDescent="0.25">
      <c r="A946" s="32">
        <v>69732</v>
      </c>
      <c r="B946" s="14">
        <f>155.5425 * CHOOSE(CONTROL!$C$9, $D$9, 100%, $F$9) + CHOOSE(CONTROL!$C$27, 0.0021, 0)</f>
        <v>155.5446</v>
      </c>
      <c r="C946" s="14">
        <f>155.1102 * CHOOSE(CONTROL!$C$9, $D$9, 100%, $F$9) + CHOOSE(CONTROL!$C$27, 0.0021, 0)</f>
        <v>155.1123</v>
      </c>
      <c r="D946" s="14">
        <f>155.1102 * CHOOSE(CONTROL!$C$9, $D$9, 100%, $F$9) + CHOOSE(CONTROL!$C$27, 0.0021, 0)</f>
        <v>155.1123</v>
      </c>
      <c r="E946" s="14">
        <f>154.9736 * CHOOSE(CONTROL!$C$9, $D$9, 100%, $F$9) + CHOOSE(CONTROL!$C$27, 0.0021, 0)</f>
        <v>154.97570000000002</v>
      </c>
      <c r="F946" s="14">
        <f>154.9736 * CHOOSE(CONTROL!$C$9, $D$9, 100%, $F$9) + CHOOSE(CONTROL!$C$27, 0.0021, 0)</f>
        <v>154.97570000000002</v>
      </c>
      <c r="G946" s="14">
        <f>155.2449 * CHOOSE(CONTROL!$C$9, $D$9, 100%, $F$9) + CHOOSE(CONTROL!$C$27, 0.0021, 0)</f>
        <v>155.24700000000001</v>
      </c>
      <c r="H946" s="14">
        <f>155.1102 * CHOOSE(CONTROL!$C$9, $D$9, 100%, $F$9) + CHOOSE(CONTROL!$C$27, 0.0021, 0)</f>
        <v>155.1123</v>
      </c>
      <c r="I946" s="14">
        <f>155.1102 * CHOOSE(CONTROL!$C$9, $D$9, 100%, $F$9) + CHOOSE(CONTROL!$C$27, 0.0021, 0)</f>
        <v>155.1123</v>
      </c>
      <c r="J946" s="14">
        <f>155.1102 * CHOOSE(CONTROL!$C$9, $D$9, 100%, $F$9) + CHOOSE(CONTROL!$C$27, 0.0021, 0)</f>
        <v>155.1123</v>
      </c>
      <c r="K946" s="14">
        <f>155.1102 * CHOOSE(CONTROL!$C$9, $D$9, 100%, $F$9) + CHOOSE(CONTROL!$C$27, 0.0021, 0)</f>
        <v>155.1123</v>
      </c>
      <c r="L946" s="14"/>
    </row>
    <row r="947" spans="1:12" ht="15.75" x14ac:dyDescent="0.25">
      <c r="A947" s="32">
        <v>69763</v>
      </c>
      <c r="B947" s="14">
        <f>150.9948 * CHOOSE(CONTROL!$C$9, $D$9, 100%, $F$9) + CHOOSE(CONTROL!$C$27, 0.0021, 0)</f>
        <v>150.99690000000001</v>
      </c>
      <c r="C947" s="14">
        <f>150.5625 * CHOOSE(CONTROL!$C$9, $D$9, 100%, $F$9) + CHOOSE(CONTROL!$C$27, 0.0021, 0)</f>
        <v>150.56460000000001</v>
      </c>
      <c r="D947" s="14">
        <f>150.5625 * CHOOSE(CONTROL!$C$9, $D$9, 100%, $F$9) + CHOOSE(CONTROL!$C$27, 0.0021, 0)</f>
        <v>150.56460000000001</v>
      </c>
      <c r="E947" s="14">
        <f>150.4259 * CHOOSE(CONTROL!$C$9, $D$9, 100%, $F$9) + CHOOSE(CONTROL!$C$27, 0.0021, 0)</f>
        <v>150.42800000000003</v>
      </c>
      <c r="F947" s="14">
        <f>150.4259 * CHOOSE(CONTROL!$C$9, $D$9, 100%, $F$9) + CHOOSE(CONTROL!$C$27, 0.0021, 0)</f>
        <v>150.42800000000003</v>
      </c>
      <c r="G947" s="14">
        <f>150.6972 * CHOOSE(CONTROL!$C$9, $D$9, 100%, $F$9) + CHOOSE(CONTROL!$C$27, 0.0021, 0)</f>
        <v>150.69930000000002</v>
      </c>
      <c r="H947" s="14">
        <f>150.5625 * CHOOSE(CONTROL!$C$9, $D$9, 100%, $F$9) + CHOOSE(CONTROL!$C$27, 0.0021, 0)</f>
        <v>150.56460000000001</v>
      </c>
      <c r="I947" s="14">
        <f>150.5625 * CHOOSE(CONTROL!$C$9, $D$9, 100%, $F$9) + CHOOSE(CONTROL!$C$27, 0.0021, 0)</f>
        <v>150.56460000000001</v>
      </c>
      <c r="J947" s="14">
        <f>150.5625 * CHOOSE(CONTROL!$C$9, $D$9, 100%, $F$9) + CHOOSE(CONTROL!$C$27, 0.0021, 0)</f>
        <v>150.56460000000001</v>
      </c>
      <c r="K947" s="14">
        <f>150.5625 * CHOOSE(CONTROL!$C$9, $D$9, 100%, $F$9) + CHOOSE(CONTROL!$C$27, 0.0021, 0)</f>
        <v>150.56460000000001</v>
      </c>
      <c r="L947" s="14"/>
    </row>
    <row r="948" spans="1:12" ht="15.75" x14ac:dyDescent="0.25">
      <c r="A948" s="32">
        <v>69794</v>
      </c>
      <c r="B948" s="14">
        <f>150.1094 * CHOOSE(CONTROL!$C$9, $D$9, 100%, $F$9) + CHOOSE(CONTROL!$C$27, 0.0021, 0)</f>
        <v>150.11150000000001</v>
      </c>
      <c r="C948" s="14">
        <f>149.6771 * CHOOSE(CONTROL!$C$9, $D$9, 100%, $F$9) + CHOOSE(CONTROL!$C$27, 0.0021, 0)</f>
        <v>149.67920000000001</v>
      </c>
      <c r="D948" s="14">
        <f>149.6771 * CHOOSE(CONTROL!$C$9, $D$9, 100%, $F$9) + CHOOSE(CONTROL!$C$27, 0.0021, 0)</f>
        <v>149.67920000000001</v>
      </c>
      <c r="E948" s="14">
        <f>149.5405 * CHOOSE(CONTROL!$C$9, $D$9, 100%, $F$9) + CHOOSE(CONTROL!$C$27, 0.0021, 0)</f>
        <v>149.54260000000002</v>
      </c>
      <c r="F948" s="14">
        <f>149.5405 * CHOOSE(CONTROL!$C$9, $D$9, 100%, $F$9) + CHOOSE(CONTROL!$C$27, 0.0021, 0)</f>
        <v>149.54260000000002</v>
      </c>
      <c r="G948" s="14">
        <f>149.8118 * CHOOSE(CONTROL!$C$9, $D$9, 100%, $F$9) + CHOOSE(CONTROL!$C$27, 0.0021, 0)</f>
        <v>149.81390000000002</v>
      </c>
      <c r="H948" s="14">
        <f>149.6771 * CHOOSE(CONTROL!$C$9, $D$9, 100%, $F$9) + CHOOSE(CONTROL!$C$27, 0.0021, 0)</f>
        <v>149.67920000000001</v>
      </c>
      <c r="I948" s="14">
        <f>149.6771 * CHOOSE(CONTROL!$C$9, $D$9, 100%, $F$9) + CHOOSE(CONTROL!$C$27, 0.0021, 0)</f>
        <v>149.67920000000001</v>
      </c>
      <c r="J948" s="14">
        <f>149.6771 * CHOOSE(CONTROL!$C$9, $D$9, 100%, $F$9) + CHOOSE(CONTROL!$C$27, 0.0021, 0)</f>
        <v>149.67920000000001</v>
      </c>
      <c r="K948" s="14">
        <f>149.6771 * CHOOSE(CONTROL!$C$9, $D$9, 100%, $F$9) + CHOOSE(CONTROL!$C$27, 0.0021, 0)</f>
        <v>149.67920000000001</v>
      </c>
      <c r="L948" s="14"/>
    </row>
    <row r="949" spans="1:12" ht="15.75" x14ac:dyDescent="0.25">
      <c r="A949" s="32">
        <v>69822</v>
      </c>
      <c r="B949" s="14">
        <f>149.6985 * CHOOSE(CONTROL!$C$9, $D$9, 100%, $F$9) + CHOOSE(CONTROL!$C$27, 0.0021, 0)</f>
        <v>149.70060000000001</v>
      </c>
      <c r="C949" s="14">
        <f>149.2662 * CHOOSE(CONTROL!$C$9, $D$9, 100%, $F$9) + CHOOSE(CONTROL!$C$27, 0.0021, 0)</f>
        <v>149.26830000000001</v>
      </c>
      <c r="D949" s="14">
        <f>149.2662 * CHOOSE(CONTROL!$C$9, $D$9, 100%, $F$9) + CHOOSE(CONTROL!$C$27, 0.0021, 0)</f>
        <v>149.26830000000001</v>
      </c>
      <c r="E949" s="14">
        <f>149.1296 * CHOOSE(CONTROL!$C$9, $D$9, 100%, $F$9) + CHOOSE(CONTROL!$C$27, 0.0021, 0)</f>
        <v>149.13170000000002</v>
      </c>
      <c r="F949" s="14">
        <f>149.1296 * CHOOSE(CONTROL!$C$9, $D$9, 100%, $F$9) + CHOOSE(CONTROL!$C$27, 0.0021, 0)</f>
        <v>149.13170000000002</v>
      </c>
      <c r="G949" s="14">
        <f>149.401 * CHOOSE(CONTROL!$C$9, $D$9, 100%, $F$9) + CHOOSE(CONTROL!$C$27, 0.0021, 0)</f>
        <v>149.40310000000002</v>
      </c>
      <c r="H949" s="14">
        <f>149.2662 * CHOOSE(CONTROL!$C$9, $D$9, 100%, $F$9) + CHOOSE(CONTROL!$C$27, 0.0021, 0)</f>
        <v>149.26830000000001</v>
      </c>
      <c r="I949" s="14">
        <f>149.2662 * CHOOSE(CONTROL!$C$9, $D$9, 100%, $F$9) + CHOOSE(CONTROL!$C$27, 0.0021, 0)</f>
        <v>149.26830000000001</v>
      </c>
      <c r="J949" s="14">
        <f>149.2662 * CHOOSE(CONTROL!$C$9, $D$9, 100%, $F$9) + CHOOSE(CONTROL!$C$27, 0.0021, 0)</f>
        <v>149.26830000000001</v>
      </c>
      <c r="K949" s="14">
        <f>149.2662 * CHOOSE(CONTROL!$C$9, $D$9, 100%, $F$9) + CHOOSE(CONTROL!$C$27, 0.0021, 0)</f>
        <v>149.26830000000001</v>
      </c>
      <c r="L949" s="14"/>
    </row>
    <row r="950" spans="1:12" ht="15.75" x14ac:dyDescent="0.25">
      <c r="A950" s="32">
        <v>69853</v>
      </c>
      <c r="B950" s="14">
        <f>157.4677 * CHOOSE(CONTROL!$C$9, $D$9, 100%, $F$9) + CHOOSE(CONTROL!$C$27, 0.0021, 0)</f>
        <v>157.46980000000002</v>
      </c>
      <c r="C950" s="14">
        <f>157.0354 * CHOOSE(CONTROL!$C$9, $D$9, 100%, $F$9) + CHOOSE(CONTROL!$C$27, 0.0021, 0)</f>
        <v>157.03750000000002</v>
      </c>
      <c r="D950" s="14">
        <f>157.0354 * CHOOSE(CONTROL!$C$9, $D$9, 100%, $F$9) + CHOOSE(CONTROL!$C$27, 0.0021, 0)</f>
        <v>157.03750000000002</v>
      </c>
      <c r="E950" s="14">
        <f>156.8987 * CHOOSE(CONTROL!$C$9, $D$9, 100%, $F$9) + CHOOSE(CONTROL!$C$27, 0.0021, 0)</f>
        <v>156.9008</v>
      </c>
      <c r="F950" s="14">
        <f>156.8987 * CHOOSE(CONTROL!$C$9, $D$9, 100%, $F$9) + CHOOSE(CONTROL!$C$27, 0.0021, 0)</f>
        <v>156.9008</v>
      </c>
      <c r="G950" s="14">
        <f>157.1701 * CHOOSE(CONTROL!$C$9, $D$9, 100%, $F$9) + CHOOSE(CONTROL!$C$27, 0.0021, 0)</f>
        <v>157.1722</v>
      </c>
      <c r="H950" s="14">
        <f>157.0354 * CHOOSE(CONTROL!$C$9, $D$9, 100%, $F$9) + CHOOSE(CONTROL!$C$27, 0.0021, 0)</f>
        <v>157.03750000000002</v>
      </c>
      <c r="I950" s="14">
        <f>157.0354 * CHOOSE(CONTROL!$C$9, $D$9, 100%, $F$9) + CHOOSE(CONTROL!$C$27, 0.0021, 0)</f>
        <v>157.03750000000002</v>
      </c>
      <c r="J950" s="14">
        <f>157.0354 * CHOOSE(CONTROL!$C$9, $D$9, 100%, $F$9) + CHOOSE(CONTROL!$C$27, 0.0021, 0)</f>
        <v>157.03750000000002</v>
      </c>
      <c r="K950" s="14">
        <f>157.0354 * CHOOSE(CONTROL!$C$9, $D$9, 100%, $F$9) + CHOOSE(CONTROL!$C$27, 0.0021, 0)</f>
        <v>157.03750000000002</v>
      </c>
      <c r="L950" s="14"/>
    </row>
    <row r="951" spans="1:12" ht="15.75" x14ac:dyDescent="0.25">
      <c r="A951" s="32">
        <v>69883</v>
      </c>
      <c r="B951" s="14">
        <f>167.5424 * CHOOSE(CONTROL!$C$9, $D$9, 100%, $F$9) + CHOOSE(CONTROL!$C$27, 0.0021, 0)</f>
        <v>167.5445</v>
      </c>
      <c r="C951" s="14">
        <f>167.1101 * CHOOSE(CONTROL!$C$9, $D$9, 100%, $F$9) + CHOOSE(CONTROL!$C$27, 0.0021, 0)</f>
        <v>167.1122</v>
      </c>
      <c r="D951" s="14">
        <f>167.1101 * CHOOSE(CONTROL!$C$9, $D$9, 100%, $F$9) + CHOOSE(CONTROL!$C$27, 0.0021, 0)</f>
        <v>167.1122</v>
      </c>
      <c r="E951" s="14">
        <f>166.9735 * CHOOSE(CONTROL!$C$9, $D$9, 100%, $F$9) + CHOOSE(CONTROL!$C$27, 0.0021, 0)</f>
        <v>166.97560000000001</v>
      </c>
      <c r="F951" s="14">
        <f>166.9735 * CHOOSE(CONTROL!$C$9, $D$9, 100%, $F$9) + CHOOSE(CONTROL!$C$27, 0.0021, 0)</f>
        <v>166.97560000000001</v>
      </c>
      <c r="G951" s="14">
        <f>167.2449 * CHOOSE(CONTROL!$C$9, $D$9, 100%, $F$9) + CHOOSE(CONTROL!$C$27, 0.0021, 0)</f>
        <v>167.24700000000001</v>
      </c>
      <c r="H951" s="14">
        <f>167.1101 * CHOOSE(CONTROL!$C$9, $D$9, 100%, $F$9) + CHOOSE(CONTROL!$C$27, 0.0021, 0)</f>
        <v>167.1122</v>
      </c>
      <c r="I951" s="14">
        <f>167.1101 * CHOOSE(CONTROL!$C$9, $D$9, 100%, $F$9) + CHOOSE(CONTROL!$C$27, 0.0021, 0)</f>
        <v>167.1122</v>
      </c>
      <c r="J951" s="14">
        <f>167.1101 * CHOOSE(CONTROL!$C$9, $D$9, 100%, $F$9) + CHOOSE(CONTROL!$C$27, 0.0021, 0)</f>
        <v>167.1122</v>
      </c>
      <c r="K951" s="14">
        <f>167.1101 * CHOOSE(CONTROL!$C$9, $D$9, 100%, $F$9) + CHOOSE(CONTROL!$C$27, 0.0021, 0)</f>
        <v>167.1122</v>
      </c>
      <c r="L951" s="14"/>
    </row>
    <row r="952" spans="1:12" ht="15.75" x14ac:dyDescent="0.25">
      <c r="A952" s="32">
        <v>69914</v>
      </c>
      <c r="B952" s="14">
        <f>173.0879 * CHOOSE(CONTROL!$C$9, $D$9, 100%, $F$9) + CHOOSE(CONTROL!$C$27, 0.0021, 0)</f>
        <v>173.09</v>
      </c>
      <c r="C952" s="14">
        <f>172.6556 * CHOOSE(CONTROL!$C$9, $D$9, 100%, $F$9) + CHOOSE(CONTROL!$C$27, 0.0021, 0)</f>
        <v>172.65770000000001</v>
      </c>
      <c r="D952" s="14">
        <f>172.6556 * CHOOSE(CONTROL!$C$9, $D$9, 100%, $F$9) + CHOOSE(CONTROL!$C$27, 0.0021, 0)</f>
        <v>172.65770000000001</v>
      </c>
      <c r="E952" s="14">
        <f>172.5189 * CHOOSE(CONTROL!$C$9, $D$9, 100%, $F$9) + CHOOSE(CONTROL!$C$27, 0.0021, 0)</f>
        <v>172.52100000000002</v>
      </c>
      <c r="F952" s="14">
        <f>172.5189 * CHOOSE(CONTROL!$C$9, $D$9, 100%, $F$9) + CHOOSE(CONTROL!$C$27, 0.0021, 0)</f>
        <v>172.52100000000002</v>
      </c>
      <c r="G952" s="14">
        <f>172.7903 * CHOOSE(CONTROL!$C$9, $D$9, 100%, $F$9) + CHOOSE(CONTROL!$C$27, 0.0021, 0)</f>
        <v>172.79240000000001</v>
      </c>
      <c r="H952" s="14">
        <f>172.6556 * CHOOSE(CONTROL!$C$9, $D$9, 100%, $F$9) + CHOOSE(CONTROL!$C$27, 0.0021, 0)</f>
        <v>172.65770000000001</v>
      </c>
      <c r="I952" s="14">
        <f>172.6556 * CHOOSE(CONTROL!$C$9, $D$9, 100%, $F$9) + CHOOSE(CONTROL!$C$27, 0.0021, 0)</f>
        <v>172.65770000000001</v>
      </c>
      <c r="J952" s="14">
        <f>172.6556 * CHOOSE(CONTROL!$C$9, $D$9, 100%, $F$9) + CHOOSE(CONTROL!$C$27, 0.0021, 0)</f>
        <v>172.65770000000001</v>
      </c>
      <c r="K952" s="14">
        <f>172.6556 * CHOOSE(CONTROL!$C$9, $D$9, 100%, $F$9) + CHOOSE(CONTROL!$C$27, 0.0021, 0)</f>
        <v>172.65770000000001</v>
      </c>
      <c r="L952" s="14"/>
    </row>
    <row r="953" spans="1:12" ht="15.75" x14ac:dyDescent="0.25">
      <c r="A953" s="32">
        <v>69944</v>
      </c>
      <c r="B953" s="14">
        <f>175.5488 * CHOOSE(CONTROL!$C$9, $D$9, 100%, $F$9) + CHOOSE(CONTROL!$C$27, 0.0021, 0)</f>
        <v>175.55090000000001</v>
      </c>
      <c r="C953" s="14">
        <f>175.1166 * CHOOSE(CONTROL!$C$9, $D$9, 100%, $F$9) + CHOOSE(CONTROL!$C$27, 0.0021, 0)</f>
        <v>175.11870000000002</v>
      </c>
      <c r="D953" s="14">
        <f>175.1166 * CHOOSE(CONTROL!$C$9, $D$9, 100%, $F$9) + CHOOSE(CONTROL!$C$27, 0.0021, 0)</f>
        <v>175.11870000000002</v>
      </c>
      <c r="E953" s="14">
        <f>174.9799 * CHOOSE(CONTROL!$C$9, $D$9, 100%, $F$9) + CHOOSE(CONTROL!$C$27, 0.0021, 0)</f>
        <v>174.982</v>
      </c>
      <c r="F953" s="14">
        <f>174.9799 * CHOOSE(CONTROL!$C$9, $D$9, 100%, $F$9) + CHOOSE(CONTROL!$C$27, 0.0021, 0)</f>
        <v>174.982</v>
      </c>
      <c r="G953" s="14">
        <f>175.2513 * CHOOSE(CONTROL!$C$9, $D$9, 100%, $F$9) + CHOOSE(CONTROL!$C$27, 0.0021, 0)</f>
        <v>175.2534</v>
      </c>
      <c r="H953" s="14">
        <f>175.1166 * CHOOSE(CONTROL!$C$9, $D$9, 100%, $F$9) + CHOOSE(CONTROL!$C$27, 0.0021, 0)</f>
        <v>175.11870000000002</v>
      </c>
      <c r="I953" s="14">
        <f>175.1166 * CHOOSE(CONTROL!$C$9, $D$9, 100%, $F$9) + CHOOSE(CONTROL!$C$27, 0.0021, 0)</f>
        <v>175.11870000000002</v>
      </c>
      <c r="J953" s="14">
        <f>175.1166 * CHOOSE(CONTROL!$C$9, $D$9, 100%, $F$9) + CHOOSE(CONTROL!$C$27, 0.0021, 0)</f>
        <v>175.11870000000002</v>
      </c>
      <c r="K953" s="14">
        <f>175.1166 * CHOOSE(CONTROL!$C$9, $D$9, 100%, $F$9) + CHOOSE(CONTROL!$C$27, 0.0021, 0)</f>
        <v>175.11870000000002</v>
      </c>
      <c r="L953" s="14"/>
    </row>
    <row r="954" spans="1:12" ht="15.75" x14ac:dyDescent="0.25">
      <c r="A954" s="32">
        <v>69975</v>
      </c>
      <c r="B954" s="14">
        <f>174.7386 * CHOOSE(CONTROL!$C$9, $D$9, 100%, $F$9) + CHOOSE(CONTROL!$C$27, 0.0021, 0)</f>
        <v>174.7407</v>
      </c>
      <c r="C954" s="14">
        <f>174.3063 * CHOOSE(CONTROL!$C$9, $D$9, 100%, $F$9) + CHOOSE(CONTROL!$C$27, 0.0021, 0)</f>
        <v>174.30840000000001</v>
      </c>
      <c r="D954" s="14">
        <f>174.3063 * CHOOSE(CONTROL!$C$9, $D$9, 100%, $F$9) + CHOOSE(CONTROL!$C$27, 0.0021, 0)</f>
        <v>174.30840000000001</v>
      </c>
      <c r="E954" s="14">
        <f>174.1697 * CHOOSE(CONTROL!$C$9, $D$9, 100%, $F$9) + CHOOSE(CONTROL!$C$27, 0.0021, 0)</f>
        <v>174.17180000000002</v>
      </c>
      <c r="F954" s="14">
        <f>174.1697 * CHOOSE(CONTROL!$C$9, $D$9, 100%, $F$9) + CHOOSE(CONTROL!$C$27, 0.0021, 0)</f>
        <v>174.17180000000002</v>
      </c>
      <c r="G954" s="14">
        <f>174.441 * CHOOSE(CONTROL!$C$9, $D$9, 100%, $F$9) + CHOOSE(CONTROL!$C$27, 0.0021, 0)</f>
        <v>174.44310000000002</v>
      </c>
      <c r="H954" s="14">
        <f>174.3063 * CHOOSE(CONTROL!$C$9, $D$9, 100%, $F$9) + CHOOSE(CONTROL!$C$27, 0.0021, 0)</f>
        <v>174.30840000000001</v>
      </c>
      <c r="I954" s="14">
        <f>174.3063 * CHOOSE(CONTROL!$C$9, $D$9, 100%, $F$9) + CHOOSE(CONTROL!$C$27, 0.0021, 0)</f>
        <v>174.30840000000001</v>
      </c>
      <c r="J954" s="14">
        <f>174.3063 * CHOOSE(CONTROL!$C$9, $D$9, 100%, $F$9) + CHOOSE(CONTROL!$C$27, 0.0021, 0)</f>
        <v>174.30840000000001</v>
      </c>
      <c r="K954" s="14">
        <f>174.3063 * CHOOSE(CONTROL!$C$9, $D$9, 100%, $F$9) + CHOOSE(CONTROL!$C$27, 0.0021, 0)</f>
        <v>174.30840000000001</v>
      </c>
      <c r="L954" s="14"/>
    </row>
    <row r="955" spans="1:12" ht="15.75" x14ac:dyDescent="0.25">
      <c r="A955" s="32">
        <v>70006</v>
      </c>
      <c r="B955" s="14">
        <f>170.7241 * CHOOSE(CONTROL!$C$9, $D$9, 100%, $F$9) + CHOOSE(CONTROL!$C$27, 0.0021, 0)</f>
        <v>170.72620000000001</v>
      </c>
      <c r="C955" s="14">
        <f>170.2918 * CHOOSE(CONTROL!$C$9, $D$9, 100%, $F$9) + CHOOSE(CONTROL!$C$27, 0.0021, 0)</f>
        <v>170.29390000000001</v>
      </c>
      <c r="D955" s="14">
        <f>170.2918 * CHOOSE(CONTROL!$C$9, $D$9, 100%, $F$9) + CHOOSE(CONTROL!$C$27, 0.0021, 0)</f>
        <v>170.29390000000001</v>
      </c>
      <c r="E955" s="14">
        <f>170.1552 * CHOOSE(CONTROL!$C$9, $D$9, 100%, $F$9) + CHOOSE(CONTROL!$C$27, 0.0021, 0)</f>
        <v>170.15730000000002</v>
      </c>
      <c r="F955" s="14">
        <f>170.1552 * CHOOSE(CONTROL!$C$9, $D$9, 100%, $F$9) + CHOOSE(CONTROL!$C$27, 0.0021, 0)</f>
        <v>170.15730000000002</v>
      </c>
      <c r="G955" s="14">
        <f>170.4266 * CHOOSE(CONTROL!$C$9, $D$9, 100%, $F$9) + CHOOSE(CONTROL!$C$27, 0.0021, 0)</f>
        <v>170.42870000000002</v>
      </c>
      <c r="H955" s="14">
        <f>170.2918 * CHOOSE(CONTROL!$C$9, $D$9, 100%, $F$9) + CHOOSE(CONTROL!$C$27, 0.0021, 0)</f>
        <v>170.29390000000001</v>
      </c>
      <c r="I955" s="14">
        <f>170.2918 * CHOOSE(CONTROL!$C$9, $D$9, 100%, $F$9) + CHOOSE(CONTROL!$C$27, 0.0021, 0)</f>
        <v>170.29390000000001</v>
      </c>
      <c r="J955" s="14">
        <f>170.2918 * CHOOSE(CONTROL!$C$9, $D$9, 100%, $F$9) + CHOOSE(CONTROL!$C$27, 0.0021, 0)</f>
        <v>170.29390000000001</v>
      </c>
      <c r="K955" s="14">
        <f>170.2918 * CHOOSE(CONTROL!$C$9, $D$9, 100%, $F$9) + CHOOSE(CONTROL!$C$27, 0.0021, 0)</f>
        <v>170.29390000000001</v>
      </c>
      <c r="L955" s="14"/>
    </row>
    <row r="956" spans="1:12" ht="15.75" x14ac:dyDescent="0.25">
      <c r="A956" s="32">
        <v>70036</v>
      </c>
      <c r="B956" s="14">
        <f>165.1257 * CHOOSE(CONTROL!$C$9, $D$9, 100%, $F$9) + CHOOSE(CONTROL!$C$27, 0.0021, 0)</f>
        <v>165.12780000000001</v>
      </c>
      <c r="C956" s="14">
        <f>164.6935 * CHOOSE(CONTROL!$C$9, $D$9, 100%, $F$9) + CHOOSE(CONTROL!$C$27, 0.0021, 0)</f>
        <v>164.69560000000001</v>
      </c>
      <c r="D956" s="14">
        <f>164.6935 * CHOOSE(CONTROL!$C$9, $D$9, 100%, $F$9) + CHOOSE(CONTROL!$C$27, 0.0021, 0)</f>
        <v>164.69560000000001</v>
      </c>
      <c r="E956" s="14">
        <f>164.5568 * CHOOSE(CONTROL!$C$9, $D$9, 100%, $F$9) + CHOOSE(CONTROL!$C$27, 0.0021, 0)</f>
        <v>164.55890000000002</v>
      </c>
      <c r="F956" s="14">
        <f>164.5568 * CHOOSE(CONTROL!$C$9, $D$9, 100%, $F$9) + CHOOSE(CONTROL!$C$27, 0.0021, 0)</f>
        <v>164.55890000000002</v>
      </c>
      <c r="G956" s="14">
        <f>164.8282 * CHOOSE(CONTROL!$C$9, $D$9, 100%, $F$9) + CHOOSE(CONTROL!$C$27, 0.0021, 0)</f>
        <v>164.83030000000002</v>
      </c>
      <c r="H956" s="14">
        <f>164.6935 * CHOOSE(CONTROL!$C$9, $D$9, 100%, $F$9) + CHOOSE(CONTROL!$C$27, 0.0021, 0)</f>
        <v>164.69560000000001</v>
      </c>
      <c r="I956" s="14">
        <f>164.6935 * CHOOSE(CONTROL!$C$9, $D$9, 100%, $F$9) + CHOOSE(CONTROL!$C$27, 0.0021, 0)</f>
        <v>164.69560000000001</v>
      </c>
      <c r="J956" s="14">
        <f>164.6935 * CHOOSE(CONTROL!$C$9, $D$9, 100%, $F$9) + CHOOSE(CONTROL!$C$27, 0.0021, 0)</f>
        <v>164.69560000000001</v>
      </c>
      <c r="K956" s="14">
        <f>164.6935 * CHOOSE(CONTROL!$C$9, $D$9, 100%, $F$9) + CHOOSE(CONTROL!$C$27, 0.0021, 0)</f>
        <v>164.69560000000001</v>
      </c>
      <c r="L956" s="14"/>
    </row>
    <row r="957" spans="1:12" ht="15.75" x14ac:dyDescent="0.25">
      <c r="A957" s="32">
        <v>70067</v>
      </c>
      <c r="B957" s="14">
        <f>159.4948 * CHOOSE(CONTROL!$C$9, $D$9, 100%, $F$9) + CHOOSE(CONTROL!$C$27, 0.0021, 0)</f>
        <v>159.49690000000001</v>
      </c>
      <c r="C957" s="14">
        <f>159.0625 * CHOOSE(CONTROL!$C$9, $D$9, 100%, $F$9) + CHOOSE(CONTROL!$C$27, 0.0021, 0)</f>
        <v>159.06460000000001</v>
      </c>
      <c r="D957" s="14">
        <f>159.0625 * CHOOSE(CONTROL!$C$9, $D$9, 100%, $F$9) + CHOOSE(CONTROL!$C$27, 0.0021, 0)</f>
        <v>159.06460000000001</v>
      </c>
      <c r="E957" s="14">
        <f>158.9259 * CHOOSE(CONTROL!$C$9, $D$9, 100%, $F$9) + CHOOSE(CONTROL!$C$27, 0.0021, 0)</f>
        <v>158.92800000000003</v>
      </c>
      <c r="F957" s="14">
        <f>158.9259 * CHOOSE(CONTROL!$C$9, $D$9, 100%, $F$9) + CHOOSE(CONTROL!$C$27, 0.0021, 0)</f>
        <v>158.92800000000003</v>
      </c>
      <c r="G957" s="14">
        <f>159.1972 * CHOOSE(CONTROL!$C$9, $D$9, 100%, $F$9) + CHOOSE(CONTROL!$C$27, 0.0021, 0)</f>
        <v>159.19930000000002</v>
      </c>
      <c r="H957" s="14">
        <f>159.0625 * CHOOSE(CONTROL!$C$9, $D$9, 100%, $F$9) + CHOOSE(CONTROL!$C$27, 0.0021, 0)</f>
        <v>159.06460000000001</v>
      </c>
      <c r="I957" s="14">
        <f>159.0625 * CHOOSE(CONTROL!$C$9, $D$9, 100%, $F$9) + CHOOSE(CONTROL!$C$27, 0.0021, 0)</f>
        <v>159.06460000000001</v>
      </c>
      <c r="J957" s="14">
        <f>159.0625 * CHOOSE(CONTROL!$C$9, $D$9, 100%, $F$9) + CHOOSE(CONTROL!$C$27, 0.0021, 0)</f>
        <v>159.06460000000001</v>
      </c>
      <c r="K957" s="14">
        <f>159.0625 * CHOOSE(CONTROL!$C$9, $D$9, 100%, $F$9) + CHOOSE(CONTROL!$C$27, 0.0021, 0)</f>
        <v>159.06460000000001</v>
      </c>
      <c r="L957" s="14"/>
    </row>
    <row r="958" spans="1:12" ht="15.75" x14ac:dyDescent="0.25">
      <c r="A958" s="32">
        <v>70097</v>
      </c>
      <c r="B958" s="14">
        <f>158.3747 * CHOOSE(CONTROL!$C$9, $D$9, 100%, $F$9) + CHOOSE(CONTROL!$C$27, 0.0021, 0)</f>
        <v>158.3768</v>
      </c>
      <c r="C958" s="14">
        <f>157.9424 * CHOOSE(CONTROL!$C$9, $D$9, 100%, $F$9) + CHOOSE(CONTROL!$C$27, 0.0021, 0)</f>
        <v>157.94450000000001</v>
      </c>
      <c r="D958" s="14">
        <f>157.9424 * CHOOSE(CONTROL!$C$9, $D$9, 100%, $F$9) + CHOOSE(CONTROL!$C$27, 0.0021, 0)</f>
        <v>157.94450000000001</v>
      </c>
      <c r="E958" s="14">
        <f>157.8058 * CHOOSE(CONTROL!$C$9, $D$9, 100%, $F$9) + CHOOSE(CONTROL!$C$27, 0.0021, 0)</f>
        <v>157.80790000000002</v>
      </c>
      <c r="F958" s="14">
        <f>157.8058 * CHOOSE(CONTROL!$C$9, $D$9, 100%, $F$9) + CHOOSE(CONTROL!$C$27, 0.0021, 0)</f>
        <v>157.80790000000002</v>
      </c>
      <c r="G958" s="14">
        <f>158.0771 * CHOOSE(CONTROL!$C$9, $D$9, 100%, $F$9) + CHOOSE(CONTROL!$C$27, 0.0021, 0)</f>
        <v>158.07920000000001</v>
      </c>
      <c r="H958" s="14">
        <f>157.9424 * CHOOSE(CONTROL!$C$9, $D$9, 100%, $F$9) + CHOOSE(CONTROL!$C$27, 0.0021, 0)</f>
        <v>157.94450000000001</v>
      </c>
      <c r="I958" s="14">
        <f>157.9424 * CHOOSE(CONTROL!$C$9, $D$9, 100%, $F$9) + CHOOSE(CONTROL!$C$27, 0.0021, 0)</f>
        <v>157.94450000000001</v>
      </c>
      <c r="J958" s="14">
        <f>157.9424 * CHOOSE(CONTROL!$C$9, $D$9, 100%, $F$9) + CHOOSE(CONTROL!$C$27, 0.0021, 0)</f>
        <v>157.94450000000001</v>
      </c>
      <c r="K958" s="14">
        <f>157.9424 * CHOOSE(CONTROL!$C$9, $D$9, 100%, $F$9) + CHOOSE(CONTROL!$C$27, 0.0021, 0)</f>
        <v>157.94450000000001</v>
      </c>
      <c r="L958" s="14"/>
    </row>
    <row r="959" spans="1:12" ht="15.75" x14ac:dyDescent="0.25">
      <c r="A959" s="32">
        <v>70128</v>
      </c>
      <c r="B959" s="14">
        <f>153.7429 * CHOOSE(CONTROL!$C$9, $D$9, 100%, $F$9) + CHOOSE(CONTROL!$C$27, 0.0021, 0)</f>
        <v>153.745</v>
      </c>
      <c r="C959" s="14">
        <f>153.3107 * CHOOSE(CONTROL!$C$9, $D$9, 100%, $F$9) + CHOOSE(CONTROL!$C$27, 0.0021, 0)</f>
        <v>153.31280000000001</v>
      </c>
      <c r="D959" s="14">
        <f>153.3107 * CHOOSE(CONTROL!$C$9, $D$9, 100%, $F$9) + CHOOSE(CONTROL!$C$27, 0.0021, 0)</f>
        <v>153.31280000000001</v>
      </c>
      <c r="E959" s="14">
        <f>153.174 * CHOOSE(CONTROL!$C$9, $D$9, 100%, $F$9) + CHOOSE(CONTROL!$C$27, 0.0021, 0)</f>
        <v>153.17610000000002</v>
      </c>
      <c r="F959" s="14">
        <f>153.174 * CHOOSE(CONTROL!$C$9, $D$9, 100%, $F$9) + CHOOSE(CONTROL!$C$27, 0.0021, 0)</f>
        <v>153.17610000000002</v>
      </c>
      <c r="G959" s="14">
        <f>153.4454 * CHOOSE(CONTROL!$C$9, $D$9, 100%, $F$9) + CHOOSE(CONTROL!$C$27, 0.0021, 0)</f>
        <v>153.44750000000002</v>
      </c>
      <c r="H959" s="14">
        <f>153.3107 * CHOOSE(CONTROL!$C$9, $D$9, 100%, $F$9) + CHOOSE(CONTROL!$C$27, 0.0021, 0)</f>
        <v>153.31280000000001</v>
      </c>
      <c r="I959" s="14">
        <f>153.3107 * CHOOSE(CONTROL!$C$9, $D$9, 100%, $F$9) + CHOOSE(CONTROL!$C$27, 0.0021, 0)</f>
        <v>153.31280000000001</v>
      </c>
      <c r="J959" s="14">
        <f>153.3107 * CHOOSE(CONTROL!$C$9, $D$9, 100%, $F$9) + CHOOSE(CONTROL!$C$27, 0.0021, 0)</f>
        <v>153.31280000000001</v>
      </c>
      <c r="K959" s="14">
        <f>153.3107 * CHOOSE(CONTROL!$C$9, $D$9, 100%, $F$9) + CHOOSE(CONTROL!$C$27, 0.0021, 0)</f>
        <v>153.31280000000001</v>
      </c>
      <c r="L959" s="14"/>
    </row>
    <row r="960" spans="1:12" ht="15.75" x14ac:dyDescent="0.25">
      <c r="A960" s="32">
        <v>70159</v>
      </c>
      <c r="B960" s="14">
        <f>152.8411 * CHOOSE(CONTROL!$C$9, $D$9, 100%, $F$9) + CHOOSE(CONTROL!$C$27, 0.0021, 0)</f>
        <v>152.84320000000002</v>
      </c>
      <c r="C960" s="14">
        <f>152.4089 * CHOOSE(CONTROL!$C$9, $D$9, 100%, $F$9) + CHOOSE(CONTROL!$C$27, 0.0021, 0)</f>
        <v>152.411</v>
      </c>
      <c r="D960" s="14">
        <f>152.4089 * CHOOSE(CONTROL!$C$9, $D$9, 100%, $F$9) + CHOOSE(CONTROL!$C$27, 0.0021, 0)</f>
        <v>152.411</v>
      </c>
      <c r="E960" s="14">
        <f>152.2722 * CHOOSE(CONTROL!$C$9, $D$9, 100%, $F$9) + CHOOSE(CONTROL!$C$27, 0.0021, 0)</f>
        <v>152.27430000000001</v>
      </c>
      <c r="F960" s="14">
        <f>152.2722 * CHOOSE(CONTROL!$C$9, $D$9, 100%, $F$9) + CHOOSE(CONTROL!$C$27, 0.0021, 0)</f>
        <v>152.27430000000001</v>
      </c>
      <c r="G960" s="14">
        <f>152.5436 * CHOOSE(CONTROL!$C$9, $D$9, 100%, $F$9) + CHOOSE(CONTROL!$C$27, 0.0021, 0)</f>
        <v>152.54570000000001</v>
      </c>
      <c r="H960" s="14">
        <f>152.4089 * CHOOSE(CONTROL!$C$9, $D$9, 100%, $F$9) + CHOOSE(CONTROL!$C$27, 0.0021, 0)</f>
        <v>152.411</v>
      </c>
      <c r="I960" s="14">
        <f>152.4089 * CHOOSE(CONTROL!$C$9, $D$9, 100%, $F$9) + CHOOSE(CONTROL!$C$27, 0.0021, 0)</f>
        <v>152.411</v>
      </c>
      <c r="J960" s="14">
        <f>152.4089 * CHOOSE(CONTROL!$C$9, $D$9, 100%, $F$9) + CHOOSE(CONTROL!$C$27, 0.0021, 0)</f>
        <v>152.411</v>
      </c>
      <c r="K960" s="14">
        <f>152.4089 * CHOOSE(CONTROL!$C$9, $D$9, 100%, $F$9) + CHOOSE(CONTROL!$C$27, 0.0021, 0)</f>
        <v>152.411</v>
      </c>
      <c r="L960" s="14"/>
    </row>
    <row r="961" spans="1:12" ht="15.75" x14ac:dyDescent="0.25">
      <c r="A961" s="32">
        <v>70188</v>
      </c>
      <c r="B961" s="14">
        <f>152.4227 * CHOOSE(CONTROL!$C$9, $D$9, 100%, $F$9) + CHOOSE(CONTROL!$C$27, 0.0021, 0)</f>
        <v>152.4248</v>
      </c>
      <c r="C961" s="14">
        <f>151.9904 * CHOOSE(CONTROL!$C$9, $D$9, 100%, $F$9) + CHOOSE(CONTROL!$C$27, 0.0021, 0)</f>
        <v>151.99250000000001</v>
      </c>
      <c r="D961" s="14">
        <f>151.9904 * CHOOSE(CONTROL!$C$9, $D$9, 100%, $F$9) + CHOOSE(CONTROL!$C$27, 0.0021, 0)</f>
        <v>151.99250000000001</v>
      </c>
      <c r="E961" s="14">
        <f>151.8538 * CHOOSE(CONTROL!$C$9, $D$9, 100%, $F$9) + CHOOSE(CONTROL!$C$27, 0.0021, 0)</f>
        <v>151.85590000000002</v>
      </c>
      <c r="F961" s="14">
        <f>151.8538 * CHOOSE(CONTROL!$C$9, $D$9, 100%, $F$9) + CHOOSE(CONTROL!$C$27, 0.0021, 0)</f>
        <v>151.85590000000002</v>
      </c>
      <c r="G961" s="14">
        <f>152.1251 * CHOOSE(CONTROL!$C$9, $D$9, 100%, $F$9) + CHOOSE(CONTROL!$C$27, 0.0021, 0)</f>
        <v>152.12720000000002</v>
      </c>
      <c r="H961" s="14">
        <f>151.9904 * CHOOSE(CONTROL!$C$9, $D$9, 100%, $F$9) + CHOOSE(CONTROL!$C$27, 0.0021, 0)</f>
        <v>151.99250000000001</v>
      </c>
      <c r="I961" s="14">
        <f>151.9904 * CHOOSE(CONTROL!$C$9, $D$9, 100%, $F$9) + CHOOSE(CONTROL!$C$27, 0.0021, 0)</f>
        <v>151.99250000000001</v>
      </c>
      <c r="J961" s="14">
        <f>151.9904 * CHOOSE(CONTROL!$C$9, $D$9, 100%, $F$9) + CHOOSE(CONTROL!$C$27, 0.0021, 0)</f>
        <v>151.99250000000001</v>
      </c>
      <c r="K961" s="14">
        <f>151.9904 * CHOOSE(CONTROL!$C$9, $D$9, 100%, $F$9) + CHOOSE(CONTROL!$C$27, 0.0021, 0)</f>
        <v>151.99250000000001</v>
      </c>
      <c r="L961" s="14"/>
    </row>
    <row r="962" spans="1:12" ht="15.75" x14ac:dyDescent="0.25">
      <c r="A962" s="32">
        <v>70219</v>
      </c>
      <c r="B962" s="14">
        <f>160.3354 * CHOOSE(CONTROL!$C$9, $D$9, 100%, $F$9) + CHOOSE(CONTROL!$C$27, 0.0021, 0)</f>
        <v>160.33750000000001</v>
      </c>
      <c r="C962" s="14">
        <f>159.9032 * CHOOSE(CONTROL!$C$9, $D$9, 100%, $F$9) + CHOOSE(CONTROL!$C$27, 0.0021, 0)</f>
        <v>159.90530000000001</v>
      </c>
      <c r="D962" s="14">
        <f>159.9032 * CHOOSE(CONTROL!$C$9, $D$9, 100%, $F$9) + CHOOSE(CONTROL!$C$27, 0.0021, 0)</f>
        <v>159.90530000000001</v>
      </c>
      <c r="E962" s="14">
        <f>159.7665 * CHOOSE(CONTROL!$C$9, $D$9, 100%, $F$9) + CHOOSE(CONTROL!$C$27, 0.0021, 0)</f>
        <v>159.76860000000002</v>
      </c>
      <c r="F962" s="14">
        <f>159.7665 * CHOOSE(CONTROL!$C$9, $D$9, 100%, $F$9) + CHOOSE(CONTROL!$C$27, 0.0021, 0)</f>
        <v>159.76860000000002</v>
      </c>
      <c r="G962" s="14">
        <f>160.0379 * CHOOSE(CONTROL!$C$9, $D$9, 100%, $F$9) + CHOOSE(CONTROL!$C$27, 0.0021, 0)</f>
        <v>160.04000000000002</v>
      </c>
      <c r="H962" s="14">
        <f>159.9032 * CHOOSE(CONTROL!$C$9, $D$9, 100%, $F$9) + CHOOSE(CONTROL!$C$27, 0.0021, 0)</f>
        <v>159.90530000000001</v>
      </c>
      <c r="I962" s="14">
        <f>159.9032 * CHOOSE(CONTROL!$C$9, $D$9, 100%, $F$9) + CHOOSE(CONTROL!$C$27, 0.0021, 0)</f>
        <v>159.90530000000001</v>
      </c>
      <c r="J962" s="14">
        <f>159.9032 * CHOOSE(CONTROL!$C$9, $D$9, 100%, $F$9) + CHOOSE(CONTROL!$C$27, 0.0021, 0)</f>
        <v>159.90530000000001</v>
      </c>
      <c r="K962" s="14">
        <f>159.9032 * CHOOSE(CONTROL!$C$9, $D$9, 100%, $F$9) + CHOOSE(CONTROL!$C$27, 0.0021, 0)</f>
        <v>159.90530000000001</v>
      </c>
      <c r="L962" s="14"/>
    </row>
    <row r="963" spans="1:12" ht="15.75" x14ac:dyDescent="0.25">
      <c r="A963" s="32">
        <v>70249</v>
      </c>
      <c r="B963" s="14">
        <f>170.5963 * CHOOSE(CONTROL!$C$9, $D$9, 100%, $F$9) + CHOOSE(CONTROL!$C$27, 0.0021, 0)</f>
        <v>170.59840000000003</v>
      </c>
      <c r="C963" s="14">
        <f>170.1641 * CHOOSE(CONTROL!$C$9, $D$9, 100%, $F$9) + CHOOSE(CONTROL!$C$27, 0.0021, 0)</f>
        <v>170.1662</v>
      </c>
      <c r="D963" s="14">
        <f>170.1641 * CHOOSE(CONTROL!$C$9, $D$9, 100%, $F$9) + CHOOSE(CONTROL!$C$27, 0.0021, 0)</f>
        <v>170.1662</v>
      </c>
      <c r="E963" s="14">
        <f>170.0274 * CHOOSE(CONTROL!$C$9, $D$9, 100%, $F$9) + CHOOSE(CONTROL!$C$27, 0.0021, 0)</f>
        <v>170.02950000000001</v>
      </c>
      <c r="F963" s="14">
        <f>170.0274 * CHOOSE(CONTROL!$C$9, $D$9, 100%, $F$9) + CHOOSE(CONTROL!$C$27, 0.0021, 0)</f>
        <v>170.02950000000001</v>
      </c>
      <c r="G963" s="14">
        <f>170.2988 * CHOOSE(CONTROL!$C$9, $D$9, 100%, $F$9) + CHOOSE(CONTROL!$C$27, 0.0021, 0)</f>
        <v>170.30090000000001</v>
      </c>
      <c r="H963" s="14">
        <f>170.1641 * CHOOSE(CONTROL!$C$9, $D$9, 100%, $F$9) + CHOOSE(CONTROL!$C$27, 0.0021, 0)</f>
        <v>170.1662</v>
      </c>
      <c r="I963" s="14">
        <f>170.1641 * CHOOSE(CONTROL!$C$9, $D$9, 100%, $F$9) + CHOOSE(CONTROL!$C$27, 0.0021, 0)</f>
        <v>170.1662</v>
      </c>
      <c r="J963" s="14">
        <f>170.1641 * CHOOSE(CONTROL!$C$9, $D$9, 100%, $F$9) + CHOOSE(CONTROL!$C$27, 0.0021, 0)</f>
        <v>170.1662</v>
      </c>
      <c r="K963" s="14">
        <f>170.1641 * CHOOSE(CONTROL!$C$9, $D$9, 100%, $F$9) + CHOOSE(CONTROL!$C$27, 0.0021, 0)</f>
        <v>170.1662</v>
      </c>
      <c r="L963" s="14"/>
    </row>
    <row r="964" spans="1:12" ht="15.75" x14ac:dyDescent="0.25">
      <c r="A964" s="32">
        <v>70280</v>
      </c>
      <c r="B964" s="14">
        <f>176.2443 * CHOOSE(CONTROL!$C$9, $D$9, 100%, $F$9) + CHOOSE(CONTROL!$C$27, 0.0021, 0)</f>
        <v>176.24640000000002</v>
      </c>
      <c r="C964" s="14">
        <f>175.812 * CHOOSE(CONTROL!$C$9, $D$9, 100%, $F$9) + CHOOSE(CONTROL!$C$27, 0.0021, 0)</f>
        <v>175.81410000000002</v>
      </c>
      <c r="D964" s="14">
        <f>175.812 * CHOOSE(CONTROL!$C$9, $D$9, 100%, $F$9) + CHOOSE(CONTROL!$C$27, 0.0021, 0)</f>
        <v>175.81410000000002</v>
      </c>
      <c r="E964" s="14">
        <f>175.6754 * CHOOSE(CONTROL!$C$9, $D$9, 100%, $F$9) + CHOOSE(CONTROL!$C$27, 0.0021, 0)</f>
        <v>175.67750000000001</v>
      </c>
      <c r="F964" s="14">
        <f>175.6754 * CHOOSE(CONTROL!$C$9, $D$9, 100%, $F$9) + CHOOSE(CONTROL!$C$27, 0.0021, 0)</f>
        <v>175.67750000000001</v>
      </c>
      <c r="G964" s="14">
        <f>175.9468 * CHOOSE(CONTROL!$C$9, $D$9, 100%, $F$9) + CHOOSE(CONTROL!$C$27, 0.0021, 0)</f>
        <v>175.94890000000001</v>
      </c>
      <c r="H964" s="14">
        <f>175.812 * CHOOSE(CONTROL!$C$9, $D$9, 100%, $F$9) + CHOOSE(CONTROL!$C$27, 0.0021, 0)</f>
        <v>175.81410000000002</v>
      </c>
      <c r="I964" s="14">
        <f>175.812 * CHOOSE(CONTROL!$C$9, $D$9, 100%, $F$9) + CHOOSE(CONTROL!$C$27, 0.0021, 0)</f>
        <v>175.81410000000002</v>
      </c>
      <c r="J964" s="14">
        <f>175.812 * CHOOSE(CONTROL!$C$9, $D$9, 100%, $F$9) + CHOOSE(CONTROL!$C$27, 0.0021, 0)</f>
        <v>175.81410000000002</v>
      </c>
      <c r="K964" s="14">
        <f>175.812 * CHOOSE(CONTROL!$C$9, $D$9, 100%, $F$9) + CHOOSE(CONTROL!$C$27, 0.0021, 0)</f>
        <v>175.81410000000002</v>
      </c>
      <c r="L964" s="14"/>
    </row>
    <row r="965" spans="1:12" ht="15.75" x14ac:dyDescent="0.25">
      <c r="A965" s="32">
        <v>70310</v>
      </c>
      <c r="B965" s="14">
        <f>178.7507 * CHOOSE(CONTROL!$C$9, $D$9, 100%, $F$9) + CHOOSE(CONTROL!$C$27, 0.0021, 0)</f>
        <v>178.75280000000001</v>
      </c>
      <c r="C965" s="14">
        <f>178.3185 * CHOOSE(CONTROL!$C$9, $D$9, 100%, $F$9) + CHOOSE(CONTROL!$C$27, 0.0021, 0)</f>
        <v>178.32060000000001</v>
      </c>
      <c r="D965" s="14">
        <f>178.3185 * CHOOSE(CONTROL!$C$9, $D$9, 100%, $F$9) + CHOOSE(CONTROL!$C$27, 0.0021, 0)</f>
        <v>178.32060000000001</v>
      </c>
      <c r="E965" s="14">
        <f>178.1818 * CHOOSE(CONTROL!$C$9, $D$9, 100%, $F$9) + CHOOSE(CONTROL!$C$27, 0.0021, 0)</f>
        <v>178.18390000000002</v>
      </c>
      <c r="F965" s="14">
        <f>178.1818 * CHOOSE(CONTROL!$C$9, $D$9, 100%, $F$9) + CHOOSE(CONTROL!$C$27, 0.0021, 0)</f>
        <v>178.18390000000002</v>
      </c>
      <c r="G965" s="14">
        <f>178.4532 * CHOOSE(CONTROL!$C$9, $D$9, 100%, $F$9) + CHOOSE(CONTROL!$C$27, 0.0021, 0)</f>
        <v>178.45530000000002</v>
      </c>
      <c r="H965" s="14">
        <f>178.3185 * CHOOSE(CONTROL!$C$9, $D$9, 100%, $F$9) + CHOOSE(CONTROL!$C$27, 0.0021, 0)</f>
        <v>178.32060000000001</v>
      </c>
      <c r="I965" s="14">
        <f>178.3185 * CHOOSE(CONTROL!$C$9, $D$9, 100%, $F$9) + CHOOSE(CONTROL!$C$27, 0.0021, 0)</f>
        <v>178.32060000000001</v>
      </c>
      <c r="J965" s="14">
        <f>178.3185 * CHOOSE(CONTROL!$C$9, $D$9, 100%, $F$9) + CHOOSE(CONTROL!$C$27, 0.0021, 0)</f>
        <v>178.32060000000001</v>
      </c>
      <c r="K965" s="14">
        <f>178.3185 * CHOOSE(CONTROL!$C$9, $D$9, 100%, $F$9) + CHOOSE(CONTROL!$C$27, 0.0021, 0)</f>
        <v>178.32060000000001</v>
      </c>
      <c r="L965" s="14"/>
    </row>
    <row r="966" spans="1:12" ht="15.75" x14ac:dyDescent="0.25">
      <c r="A966" s="32">
        <v>70341</v>
      </c>
      <c r="B966" s="14">
        <f>177.9255 * CHOOSE(CONTROL!$C$9, $D$9, 100%, $F$9) + CHOOSE(CONTROL!$C$27, 0.0021, 0)</f>
        <v>177.92760000000001</v>
      </c>
      <c r="C966" s="14">
        <f>177.4933 * CHOOSE(CONTROL!$C$9, $D$9, 100%, $F$9) + CHOOSE(CONTROL!$C$27, 0.0021, 0)</f>
        <v>177.49540000000002</v>
      </c>
      <c r="D966" s="14">
        <f>177.4933 * CHOOSE(CONTROL!$C$9, $D$9, 100%, $F$9) + CHOOSE(CONTROL!$C$27, 0.0021, 0)</f>
        <v>177.49540000000002</v>
      </c>
      <c r="E966" s="14">
        <f>177.3566 * CHOOSE(CONTROL!$C$9, $D$9, 100%, $F$9) + CHOOSE(CONTROL!$C$27, 0.0021, 0)</f>
        <v>177.3587</v>
      </c>
      <c r="F966" s="14">
        <f>177.3566 * CHOOSE(CONTROL!$C$9, $D$9, 100%, $F$9) + CHOOSE(CONTROL!$C$27, 0.0021, 0)</f>
        <v>177.3587</v>
      </c>
      <c r="G966" s="14">
        <f>177.628 * CHOOSE(CONTROL!$C$9, $D$9, 100%, $F$9) + CHOOSE(CONTROL!$C$27, 0.0021, 0)</f>
        <v>177.6301</v>
      </c>
      <c r="H966" s="14">
        <f>177.4933 * CHOOSE(CONTROL!$C$9, $D$9, 100%, $F$9) + CHOOSE(CONTROL!$C$27, 0.0021, 0)</f>
        <v>177.49540000000002</v>
      </c>
      <c r="I966" s="14">
        <f>177.4933 * CHOOSE(CONTROL!$C$9, $D$9, 100%, $F$9) + CHOOSE(CONTROL!$C$27, 0.0021, 0)</f>
        <v>177.49540000000002</v>
      </c>
      <c r="J966" s="14">
        <f>177.4933 * CHOOSE(CONTROL!$C$9, $D$9, 100%, $F$9) + CHOOSE(CONTROL!$C$27, 0.0021, 0)</f>
        <v>177.49540000000002</v>
      </c>
      <c r="K966" s="14">
        <f>177.4933 * CHOOSE(CONTROL!$C$9, $D$9, 100%, $F$9) + CHOOSE(CONTROL!$C$27, 0.0021, 0)</f>
        <v>177.49540000000002</v>
      </c>
      <c r="L966" s="14"/>
    </row>
    <row r="967" spans="1:12" ht="15.75" x14ac:dyDescent="0.25">
      <c r="A967" s="32">
        <v>70372</v>
      </c>
      <c r="B967" s="14">
        <f>173.8368 * CHOOSE(CONTROL!$C$9, $D$9, 100%, $F$9) + CHOOSE(CONTROL!$C$27, 0.0021, 0)</f>
        <v>173.83890000000002</v>
      </c>
      <c r="C967" s="14">
        <f>173.4046 * CHOOSE(CONTROL!$C$9, $D$9, 100%, $F$9) + CHOOSE(CONTROL!$C$27, 0.0021, 0)</f>
        <v>173.4067</v>
      </c>
      <c r="D967" s="14">
        <f>173.4046 * CHOOSE(CONTROL!$C$9, $D$9, 100%, $F$9) + CHOOSE(CONTROL!$C$27, 0.0021, 0)</f>
        <v>173.4067</v>
      </c>
      <c r="E967" s="14">
        <f>173.2679 * CHOOSE(CONTROL!$C$9, $D$9, 100%, $F$9) + CHOOSE(CONTROL!$C$27, 0.0021, 0)</f>
        <v>173.27</v>
      </c>
      <c r="F967" s="14">
        <f>173.2679 * CHOOSE(CONTROL!$C$9, $D$9, 100%, $F$9) + CHOOSE(CONTROL!$C$27, 0.0021, 0)</f>
        <v>173.27</v>
      </c>
      <c r="G967" s="14">
        <f>173.5393 * CHOOSE(CONTROL!$C$9, $D$9, 100%, $F$9) + CHOOSE(CONTROL!$C$27, 0.0021, 0)</f>
        <v>173.54140000000001</v>
      </c>
      <c r="H967" s="14">
        <f>173.4046 * CHOOSE(CONTROL!$C$9, $D$9, 100%, $F$9) + CHOOSE(CONTROL!$C$27, 0.0021, 0)</f>
        <v>173.4067</v>
      </c>
      <c r="I967" s="14">
        <f>173.4046 * CHOOSE(CONTROL!$C$9, $D$9, 100%, $F$9) + CHOOSE(CONTROL!$C$27, 0.0021, 0)</f>
        <v>173.4067</v>
      </c>
      <c r="J967" s="14">
        <f>173.4046 * CHOOSE(CONTROL!$C$9, $D$9, 100%, $F$9) + CHOOSE(CONTROL!$C$27, 0.0021, 0)</f>
        <v>173.4067</v>
      </c>
      <c r="K967" s="14">
        <f>173.4046 * CHOOSE(CONTROL!$C$9, $D$9, 100%, $F$9) + CHOOSE(CONTROL!$C$27, 0.0021, 0)</f>
        <v>173.4067</v>
      </c>
      <c r="L967" s="14"/>
    </row>
    <row r="968" spans="1:12" ht="15.75" x14ac:dyDescent="0.25">
      <c r="A968" s="32">
        <v>70402</v>
      </c>
      <c r="B968" s="14">
        <f>168.135 * CHOOSE(CONTROL!$C$9, $D$9, 100%, $F$9) + CHOOSE(CONTROL!$C$27, 0.0021, 0)</f>
        <v>168.1371</v>
      </c>
      <c r="C968" s="14">
        <f>167.7027 * CHOOSE(CONTROL!$C$9, $D$9, 100%, $F$9) + CHOOSE(CONTROL!$C$27, 0.0021, 0)</f>
        <v>167.70480000000001</v>
      </c>
      <c r="D968" s="14">
        <f>167.7027 * CHOOSE(CONTROL!$C$9, $D$9, 100%, $F$9) + CHOOSE(CONTROL!$C$27, 0.0021, 0)</f>
        <v>167.70480000000001</v>
      </c>
      <c r="E968" s="14">
        <f>167.5661 * CHOOSE(CONTROL!$C$9, $D$9, 100%, $F$9) + CHOOSE(CONTROL!$C$27, 0.0021, 0)</f>
        <v>167.56820000000002</v>
      </c>
      <c r="F968" s="14">
        <f>167.5661 * CHOOSE(CONTROL!$C$9, $D$9, 100%, $F$9) + CHOOSE(CONTROL!$C$27, 0.0021, 0)</f>
        <v>167.56820000000002</v>
      </c>
      <c r="G968" s="14">
        <f>167.8375 * CHOOSE(CONTROL!$C$9, $D$9, 100%, $F$9) + CHOOSE(CONTROL!$C$27, 0.0021, 0)</f>
        <v>167.83960000000002</v>
      </c>
      <c r="H968" s="14">
        <f>167.7027 * CHOOSE(CONTROL!$C$9, $D$9, 100%, $F$9) + CHOOSE(CONTROL!$C$27, 0.0021, 0)</f>
        <v>167.70480000000001</v>
      </c>
      <c r="I968" s="14">
        <f>167.7027 * CHOOSE(CONTROL!$C$9, $D$9, 100%, $F$9) + CHOOSE(CONTROL!$C$27, 0.0021, 0)</f>
        <v>167.70480000000001</v>
      </c>
      <c r="J968" s="14">
        <f>167.7027 * CHOOSE(CONTROL!$C$9, $D$9, 100%, $F$9) + CHOOSE(CONTROL!$C$27, 0.0021, 0)</f>
        <v>167.70480000000001</v>
      </c>
      <c r="K968" s="14">
        <f>167.7027 * CHOOSE(CONTROL!$C$9, $D$9, 100%, $F$9) + CHOOSE(CONTROL!$C$27, 0.0021, 0)</f>
        <v>167.70480000000001</v>
      </c>
      <c r="L968" s="14"/>
    </row>
    <row r="969" spans="1:12" ht="15.75" x14ac:dyDescent="0.25">
      <c r="A969" s="32">
        <v>70433</v>
      </c>
      <c r="B969" s="14">
        <f>162.4 * CHOOSE(CONTROL!$C$9, $D$9, 100%, $F$9) + CHOOSE(CONTROL!$C$27, 0.0021, 0)</f>
        <v>162.40210000000002</v>
      </c>
      <c r="C969" s="14">
        <f>161.9677 * CHOOSE(CONTROL!$C$9, $D$9, 100%, $F$9) + CHOOSE(CONTROL!$C$27, 0.0021, 0)</f>
        <v>161.96980000000002</v>
      </c>
      <c r="D969" s="14">
        <f>161.9677 * CHOOSE(CONTROL!$C$9, $D$9, 100%, $F$9) + CHOOSE(CONTROL!$C$27, 0.0021, 0)</f>
        <v>161.96980000000002</v>
      </c>
      <c r="E969" s="14">
        <f>161.8311 * CHOOSE(CONTROL!$C$9, $D$9, 100%, $F$9) + CHOOSE(CONTROL!$C$27, 0.0021, 0)</f>
        <v>161.83320000000001</v>
      </c>
      <c r="F969" s="14">
        <f>161.8311 * CHOOSE(CONTROL!$C$9, $D$9, 100%, $F$9) + CHOOSE(CONTROL!$C$27, 0.0021, 0)</f>
        <v>161.83320000000001</v>
      </c>
      <c r="G969" s="14">
        <f>162.1025 * CHOOSE(CONTROL!$C$9, $D$9, 100%, $F$9) + CHOOSE(CONTROL!$C$27, 0.0021, 0)</f>
        <v>162.1046</v>
      </c>
      <c r="H969" s="14">
        <f>161.9677 * CHOOSE(CONTROL!$C$9, $D$9, 100%, $F$9) + CHOOSE(CONTROL!$C$27, 0.0021, 0)</f>
        <v>161.96980000000002</v>
      </c>
      <c r="I969" s="14">
        <f>161.9677 * CHOOSE(CONTROL!$C$9, $D$9, 100%, $F$9) + CHOOSE(CONTROL!$C$27, 0.0021, 0)</f>
        <v>161.96980000000002</v>
      </c>
      <c r="J969" s="14">
        <f>161.9677 * CHOOSE(CONTROL!$C$9, $D$9, 100%, $F$9) + CHOOSE(CONTROL!$C$27, 0.0021, 0)</f>
        <v>161.96980000000002</v>
      </c>
      <c r="K969" s="14">
        <f>161.9677 * CHOOSE(CONTROL!$C$9, $D$9, 100%, $F$9) + CHOOSE(CONTROL!$C$27, 0.0021, 0)</f>
        <v>161.96980000000002</v>
      </c>
      <c r="L969" s="14"/>
    </row>
    <row r="970" spans="1:12" ht="15.75" x14ac:dyDescent="0.25">
      <c r="A970" s="32">
        <v>70463</v>
      </c>
      <c r="B970" s="14">
        <f>161.2592 * CHOOSE(CONTROL!$C$9, $D$9, 100%, $F$9) + CHOOSE(CONTROL!$C$27, 0.0021, 0)</f>
        <v>161.26130000000001</v>
      </c>
      <c r="C970" s="14">
        <f>160.8269 * CHOOSE(CONTROL!$C$9, $D$9, 100%, $F$9) + CHOOSE(CONTROL!$C$27, 0.0021, 0)</f>
        <v>160.82900000000001</v>
      </c>
      <c r="D970" s="14">
        <f>160.8269 * CHOOSE(CONTROL!$C$9, $D$9, 100%, $F$9) + CHOOSE(CONTROL!$C$27, 0.0021, 0)</f>
        <v>160.82900000000001</v>
      </c>
      <c r="E970" s="14">
        <f>160.6903 * CHOOSE(CONTROL!$C$9, $D$9, 100%, $F$9) + CHOOSE(CONTROL!$C$27, 0.0021, 0)</f>
        <v>160.69240000000002</v>
      </c>
      <c r="F970" s="14">
        <f>160.6903 * CHOOSE(CONTROL!$C$9, $D$9, 100%, $F$9) + CHOOSE(CONTROL!$C$27, 0.0021, 0)</f>
        <v>160.69240000000002</v>
      </c>
      <c r="G970" s="14">
        <f>160.9616 * CHOOSE(CONTROL!$C$9, $D$9, 100%, $F$9) + CHOOSE(CONTROL!$C$27, 0.0021, 0)</f>
        <v>160.96370000000002</v>
      </c>
      <c r="H970" s="14">
        <f>160.8269 * CHOOSE(CONTROL!$C$9, $D$9, 100%, $F$9) + CHOOSE(CONTROL!$C$27, 0.0021, 0)</f>
        <v>160.82900000000001</v>
      </c>
      <c r="I970" s="14">
        <f>160.8269 * CHOOSE(CONTROL!$C$9, $D$9, 100%, $F$9) + CHOOSE(CONTROL!$C$27, 0.0021, 0)</f>
        <v>160.82900000000001</v>
      </c>
      <c r="J970" s="14">
        <f>160.8269 * CHOOSE(CONTROL!$C$9, $D$9, 100%, $F$9) + CHOOSE(CONTROL!$C$27, 0.0021, 0)</f>
        <v>160.82900000000001</v>
      </c>
      <c r="K970" s="14">
        <f>160.8269 * CHOOSE(CONTROL!$C$9, $D$9, 100%, $F$9) + CHOOSE(CONTROL!$C$27, 0.0021, 0)</f>
        <v>160.82900000000001</v>
      </c>
      <c r="L970" s="14"/>
    </row>
    <row r="971" spans="1:12" ht="15.75" x14ac:dyDescent="0.25">
      <c r="A971" s="32">
        <v>70494</v>
      </c>
      <c r="B971" s="14">
        <f>156.5418 * CHOOSE(CONTROL!$C$9, $D$9, 100%, $F$9) + CHOOSE(CONTROL!$C$27, 0.0021, 0)</f>
        <v>156.54390000000001</v>
      </c>
      <c r="C971" s="14">
        <f>156.1096 * CHOOSE(CONTROL!$C$9, $D$9, 100%, $F$9) + CHOOSE(CONTROL!$C$27, 0.0021, 0)</f>
        <v>156.11170000000001</v>
      </c>
      <c r="D971" s="14">
        <f>156.1096 * CHOOSE(CONTROL!$C$9, $D$9, 100%, $F$9) + CHOOSE(CONTROL!$C$27, 0.0021, 0)</f>
        <v>156.11170000000001</v>
      </c>
      <c r="E971" s="14">
        <f>155.9729 * CHOOSE(CONTROL!$C$9, $D$9, 100%, $F$9) + CHOOSE(CONTROL!$C$27, 0.0021, 0)</f>
        <v>155.97500000000002</v>
      </c>
      <c r="F971" s="14">
        <f>155.9729 * CHOOSE(CONTROL!$C$9, $D$9, 100%, $F$9) + CHOOSE(CONTROL!$C$27, 0.0021, 0)</f>
        <v>155.97500000000002</v>
      </c>
      <c r="G971" s="14">
        <f>156.2443 * CHOOSE(CONTROL!$C$9, $D$9, 100%, $F$9) + CHOOSE(CONTROL!$C$27, 0.0021, 0)</f>
        <v>156.24640000000002</v>
      </c>
      <c r="H971" s="14">
        <f>156.1096 * CHOOSE(CONTROL!$C$9, $D$9, 100%, $F$9) + CHOOSE(CONTROL!$C$27, 0.0021, 0)</f>
        <v>156.11170000000001</v>
      </c>
      <c r="I971" s="14">
        <f>156.1096 * CHOOSE(CONTROL!$C$9, $D$9, 100%, $F$9) + CHOOSE(CONTROL!$C$27, 0.0021, 0)</f>
        <v>156.11170000000001</v>
      </c>
      <c r="J971" s="14">
        <f>156.1096 * CHOOSE(CONTROL!$C$9, $D$9, 100%, $F$9) + CHOOSE(CONTROL!$C$27, 0.0021, 0)</f>
        <v>156.11170000000001</v>
      </c>
      <c r="K971" s="14">
        <f>156.1096 * CHOOSE(CONTROL!$C$9, $D$9, 100%, $F$9) + CHOOSE(CONTROL!$C$27, 0.0021, 0)</f>
        <v>156.11170000000001</v>
      </c>
      <c r="L971" s="14"/>
    </row>
    <row r="972" spans="1:12" ht="15.75" x14ac:dyDescent="0.25">
      <c r="A972" s="32">
        <v>70525</v>
      </c>
      <c r="B972" s="14">
        <f>155.6234 * CHOOSE(CONTROL!$C$9, $D$9, 100%, $F$9) + CHOOSE(CONTROL!$C$27, 0.0021, 0)</f>
        <v>155.62550000000002</v>
      </c>
      <c r="C972" s="14">
        <f>155.1912 * CHOOSE(CONTROL!$C$9, $D$9, 100%, $F$9) + CHOOSE(CONTROL!$C$27, 0.0021, 0)</f>
        <v>155.19330000000002</v>
      </c>
      <c r="D972" s="14">
        <f>155.1912 * CHOOSE(CONTROL!$C$9, $D$9, 100%, $F$9) + CHOOSE(CONTROL!$C$27, 0.0021, 0)</f>
        <v>155.19330000000002</v>
      </c>
      <c r="E972" s="14">
        <f>155.0545 * CHOOSE(CONTROL!$C$9, $D$9, 100%, $F$9) + CHOOSE(CONTROL!$C$27, 0.0021, 0)</f>
        <v>155.0566</v>
      </c>
      <c r="F972" s="14">
        <f>155.0545 * CHOOSE(CONTROL!$C$9, $D$9, 100%, $F$9) + CHOOSE(CONTROL!$C$27, 0.0021, 0)</f>
        <v>155.0566</v>
      </c>
      <c r="G972" s="14">
        <f>155.3259 * CHOOSE(CONTROL!$C$9, $D$9, 100%, $F$9) + CHOOSE(CONTROL!$C$27, 0.0021, 0)</f>
        <v>155.328</v>
      </c>
      <c r="H972" s="14">
        <f>155.1912 * CHOOSE(CONTROL!$C$9, $D$9, 100%, $F$9) + CHOOSE(CONTROL!$C$27, 0.0021, 0)</f>
        <v>155.19330000000002</v>
      </c>
      <c r="I972" s="14">
        <f>155.1912 * CHOOSE(CONTROL!$C$9, $D$9, 100%, $F$9) + CHOOSE(CONTROL!$C$27, 0.0021, 0)</f>
        <v>155.19330000000002</v>
      </c>
      <c r="J972" s="14">
        <f>155.1912 * CHOOSE(CONTROL!$C$9, $D$9, 100%, $F$9) + CHOOSE(CONTROL!$C$27, 0.0021, 0)</f>
        <v>155.19330000000002</v>
      </c>
      <c r="K972" s="14">
        <f>155.1912 * CHOOSE(CONTROL!$C$9, $D$9, 100%, $F$9) + CHOOSE(CONTROL!$C$27, 0.0021, 0)</f>
        <v>155.19330000000002</v>
      </c>
      <c r="L972" s="14"/>
    </row>
    <row r="973" spans="1:12" ht="15.75" x14ac:dyDescent="0.25">
      <c r="A973" s="32">
        <v>70553</v>
      </c>
      <c r="B973" s="14">
        <f>155.1972 * CHOOSE(CONTROL!$C$9, $D$9, 100%, $F$9) + CHOOSE(CONTROL!$C$27, 0.0021, 0)</f>
        <v>155.19930000000002</v>
      </c>
      <c r="C973" s="14">
        <f>154.7649 * CHOOSE(CONTROL!$C$9, $D$9, 100%, $F$9) + CHOOSE(CONTROL!$C$27, 0.0021, 0)</f>
        <v>154.76700000000002</v>
      </c>
      <c r="D973" s="14">
        <f>154.7649 * CHOOSE(CONTROL!$C$9, $D$9, 100%, $F$9) + CHOOSE(CONTROL!$C$27, 0.0021, 0)</f>
        <v>154.76700000000002</v>
      </c>
      <c r="E973" s="14">
        <f>154.6283 * CHOOSE(CONTROL!$C$9, $D$9, 100%, $F$9) + CHOOSE(CONTROL!$C$27, 0.0021, 0)</f>
        <v>154.63040000000001</v>
      </c>
      <c r="F973" s="14">
        <f>154.6283 * CHOOSE(CONTROL!$C$9, $D$9, 100%, $F$9) + CHOOSE(CONTROL!$C$27, 0.0021, 0)</f>
        <v>154.63040000000001</v>
      </c>
      <c r="G973" s="14">
        <f>154.8997 * CHOOSE(CONTROL!$C$9, $D$9, 100%, $F$9) + CHOOSE(CONTROL!$C$27, 0.0021, 0)</f>
        <v>154.90180000000001</v>
      </c>
      <c r="H973" s="14">
        <f>154.7649 * CHOOSE(CONTROL!$C$9, $D$9, 100%, $F$9) + CHOOSE(CONTROL!$C$27, 0.0021, 0)</f>
        <v>154.76700000000002</v>
      </c>
      <c r="I973" s="14">
        <f>154.7649 * CHOOSE(CONTROL!$C$9, $D$9, 100%, $F$9) + CHOOSE(CONTROL!$C$27, 0.0021, 0)</f>
        <v>154.76700000000002</v>
      </c>
      <c r="J973" s="14">
        <f>154.7649 * CHOOSE(CONTROL!$C$9, $D$9, 100%, $F$9) + CHOOSE(CONTROL!$C$27, 0.0021, 0)</f>
        <v>154.76700000000002</v>
      </c>
      <c r="K973" s="14">
        <f>154.7649 * CHOOSE(CONTROL!$C$9, $D$9, 100%, $F$9) + CHOOSE(CONTROL!$C$27, 0.0021, 0)</f>
        <v>154.76700000000002</v>
      </c>
      <c r="L973" s="14"/>
    </row>
    <row r="974" spans="1:12" ht="15.75" x14ac:dyDescent="0.25">
      <c r="A974" s="32">
        <v>70584</v>
      </c>
      <c r="B974" s="14">
        <f>163.2562 * CHOOSE(CONTROL!$C$9, $D$9, 100%, $F$9) + CHOOSE(CONTROL!$C$27, 0.0021, 0)</f>
        <v>163.25830000000002</v>
      </c>
      <c r="C974" s="14">
        <f>162.8239 * CHOOSE(CONTROL!$C$9, $D$9, 100%, $F$9) + CHOOSE(CONTROL!$C$27, 0.0021, 0)</f>
        <v>162.82600000000002</v>
      </c>
      <c r="D974" s="14">
        <f>162.8239 * CHOOSE(CONTROL!$C$9, $D$9, 100%, $F$9) + CHOOSE(CONTROL!$C$27, 0.0021, 0)</f>
        <v>162.82600000000002</v>
      </c>
      <c r="E974" s="14">
        <f>162.6873 * CHOOSE(CONTROL!$C$9, $D$9, 100%, $F$9) + CHOOSE(CONTROL!$C$27, 0.0021, 0)</f>
        <v>162.68940000000001</v>
      </c>
      <c r="F974" s="14">
        <f>162.6873 * CHOOSE(CONTROL!$C$9, $D$9, 100%, $F$9) + CHOOSE(CONTROL!$C$27, 0.0021, 0)</f>
        <v>162.68940000000001</v>
      </c>
      <c r="G974" s="14">
        <f>162.9586 * CHOOSE(CONTROL!$C$9, $D$9, 100%, $F$9) + CHOOSE(CONTROL!$C$27, 0.0021, 0)</f>
        <v>162.9607</v>
      </c>
      <c r="H974" s="14">
        <f>162.8239 * CHOOSE(CONTROL!$C$9, $D$9, 100%, $F$9) + CHOOSE(CONTROL!$C$27, 0.0021, 0)</f>
        <v>162.82600000000002</v>
      </c>
      <c r="I974" s="14">
        <f>162.8239 * CHOOSE(CONTROL!$C$9, $D$9, 100%, $F$9) + CHOOSE(CONTROL!$C$27, 0.0021, 0)</f>
        <v>162.82600000000002</v>
      </c>
      <c r="J974" s="14">
        <f>162.8239 * CHOOSE(CONTROL!$C$9, $D$9, 100%, $F$9) + CHOOSE(CONTROL!$C$27, 0.0021, 0)</f>
        <v>162.82600000000002</v>
      </c>
      <c r="K974" s="14">
        <f>162.8239 * CHOOSE(CONTROL!$C$9, $D$9, 100%, $F$9) + CHOOSE(CONTROL!$C$27, 0.0021, 0)</f>
        <v>162.82600000000002</v>
      </c>
      <c r="L974" s="14"/>
    </row>
    <row r="975" spans="1:12" ht="15.75" x14ac:dyDescent="0.25">
      <c r="A975" s="32">
        <v>70614</v>
      </c>
      <c r="B975" s="14">
        <f>173.7067 * CHOOSE(CONTROL!$C$9, $D$9, 100%, $F$9) + CHOOSE(CONTROL!$C$27, 0.0021, 0)</f>
        <v>173.70880000000002</v>
      </c>
      <c r="C975" s="14">
        <f>173.2745 * CHOOSE(CONTROL!$C$9, $D$9, 100%, $F$9) + CHOOSE(CONTROL!$C$27, 0.0021, 0)</f>
        <v>173.2766</v>
      </c>
      <c r="D975" s="14">
        <f>173.2745 * CHOOSE(CONTROL!$C$9, $D$9, 100%, $F$9) + CHOOSE(CONTROL!$C$27, 0.0021, 0)</f>
        <v>173.2766</v>
      </c>
      <c r="E975" s="14">
        <f>173.1378 * CHOOSE(CONTROL!$C$9, $D$9, 100%, $F$9) + CHOOSE(CONTROL!$C$27, 0.0021, 0)</f>
        <v>173.13990000000001</v>
      </c>
      <c r="F975" s="14">
        <f>173.1378 * CHOOSE(CONTROL!$C$9, $D$9, 100%, $F$9) + CHOOSE(CONTROL!$C$27, 0.0021, 0)</f>
        <v>173.13990000000001</v>
      </c>
      <c r="G975" s="14">
        <f>173.4092 * CHOOSE(CONTROL!$C$9, $D$9, 100%, $F$9) + CHOOSE(CONTROL!$C$27, 0.0021, 0)</f>
        <v>173.41130000000001</v>
      </c>
      <c r="H975" s="14">
        <f>173.2745 * CHOOSE(CONTROL!$C$9, $D$9, 100%, $F$9) + CHOOSE(CONTROL!$C$27, 0.0021, 0)</f>
        <v>173.2766</v>
      </c>
      <c r="I975" s="14">
        <f>173.2745 * CHOOSE(CONTROL!$C$9, $D$9, 100%, $F$9) + CHOOSE(CONTROL!$C$27, 0.0021, 0)</f>
        <v>173.2766</v>
      </c>
      <c r="J975" s="14">
        <f>173.2745 * CHOOSE(CONTROL!$C$9, $D$9, 100%, $F$9) + CHOOSE(CONTROL!$C$27, 0.0021, 0)</f>
        <v>173.2766</v>
      </c>
      <c r="K975" s="14">
        <f>173.2745 * CHOOSE(CONTROL!$C$9, $D$9, 100%, $F$9) + CHOOSE(CONTROL!$C$27, 0.0021, 0)</f>
        <v>173.2766</v>
      </c>
      <c r="L975" s="14"/>
    </row>
    <row r="976" spans="1:12" ht="15.75" x14ac:dyDescent="0.25">
      <c r="A976" s="32">
        <v>70645</v>
      </c>
      <c r="B976" s="14">
        <f>179.459 * CHOOSE(CONTROL!$C$9, $D$9, 100%, $F$9) + CHOOSE(CONTROL!$C$27, 0.0021, 0)</f>
        <v>179.46110000000002</v>
      </c>
      <c r="C976" s="14">
        <f>179.0268 * CHOOSE(CONTROL!$C$9, $D$9, 100%, $F$9) + CHOOSE(CONTROL!$C$27, 0.0021, 0)</f>
        <v>179.02890000000002</v>
      </c>
      <c r="D976" s="14">
        <f>179.0268 * CHOOSE(CONTROL!$C$9, $D$9, 100%, $F$9) + CHOOSE(CONTROL!$C$27, 0.0021, 0)</f>
        <v>179.02890000000002</v>
      </c>
      <c r="E976" s="14">
        <f>178.8901 * CHOOSE(CONTROL!$C$9, $D$9, 100%, $F$9) + CHOOSE(CONTROL!$C$27, 0.0021, 0)</f>
        <v>178.8922</v>
      </c>
      <c r="F976" s="14">
        <f>178.8901 * CHOOSE(CONTROL!$C$9, $D$9, 100%, $F$9) + CHOOSE(CONTROL!$C$27, 0.0021, 0)</f>
        <v>178.8922</v>
      </c>
      <c r="G976" s="14">
        <f>179.1615 * CHOOSE(CONTROL!$C$9, $D$9, 100%, $F$9) + CHOOSE(CONTROL!$C$27, 0.0021, 0)</f>
        <v>179.1636</v>
      </c>
      <c r="H976" s="14">
        <f>179.0268 * CHOOSE(CONTROL!$C$9, $D$9, 100%, $F$9) + CHOOSE(CONTROL!$C$27, 0.0021, 0)</f>
        <v>179.02890000000002</v>
      </c>
      <c r="I976" s="14">
        <f>179.0268 * CHOOSE(CONTROL!$C$9, $D$9, 100%, $F$9) + CHOOSE(CONTROL!$C$27, 0.0021, 0)</f>
        <v>179.02890000000002</v>
      </c>
      <c r="J976" s="14">
        <f>179.0268 * CHOOSE(CONTROL!$C$9, $D$9, 100%, $F$9) + CHOOSE(CONTROL!$C$27, 0.0021, 0)</f>
        <v>179.02890000000002</v>
      </c>
      <c r="K976" s="14">
        <f>179.0268 * CHOOSE(CONTROL!$C$9, $D$9, 100%, $F$9) + CHOOSE(CONTROL!$C$27, 0.0021, 0)</f>
        <v>179.02890000000002</v>
      </c>
      <c r="L976" s="14"/>
    </row>
    <row r="977" spans="1:12" ht="15.75" x14ac:dyDescent="0.25">
      <c r="A977" s="32">
        <v>70675</v>
      </c>
      <c r="B977" s="14">
        <f>182.0118 * CHOOSE(CONTROL!$C$9, $D$9, 100%, $F$9) + CHOOSE(CONTROL!$C$27, 0.0021, 0)</f>
        <v>182.01390000000001</v>
      </c>
      <c r="C977" s="14">
        <f>181.5796 * CHOOSE(CONTROL!$C$9, $D$9, 100%, $F$9) + CHOOSE(CONTROL!$C$27, 0.0021, 0)</f>
        <v>181.58170000000001</v>
      </c>
      <c r="D977" s="14">
        <f>181.5796 * CHOOSE(CONTROL!$C$9, $D$9, 100%, $F$9) + CHOOSE(CONTROL!$C$27, 0.0021, 0)</f>
        <v>181.58170000000001</v>
      </c>
      <c r="E977" s="14">
        <f>181.4429 * CHOOSE(CONTROL!$C$9, $D$9, 100%, $F$9) + CHOOSE(CONTROL!$C$27, 0.0021, 0)</f>
        <v>181.44500000000002</v>
      </c>
      <c r="F977" s="14">
        <f>181.4429 * CHOOSE(CONTROL!$C$9, $D$9, 100%, $F$9) + CHOOSE(CONTROL!$C$27, 0.0021, 0)</f>
        <v>181.44500000000002</v>
      </c>
      <c r="G977" s="14">
        <f>181.7143 * CHOOSE(CONTROL!$C$9, $D$9, 100%, $F$9) + CHOOSE(CONTROL!$C$27, 0.0021, 0)</f>
        <v>181.71640000000002</v>
      </c>
      <c r="H977" s="14">
        <f>181.5796 * CHOOSE(CONTROL!$C$9, $D$9, 100%, $F$9) + CHOOSE(CONTROL!$C$27, 0.0021, 0)</f>
        <v>181.58170000000001</v>
      </c>
      <c r="I977" s="14">
        <f>181.5796 * CHOOSE(CONTROL!$C$9, $D$9, 100%, $F$9) + CHOOSE(CONTROL!$C$27, 0.0021, 0)</f>
        <v>181.58170000000001</v>
      </c>
      <c r="J977" s="14">
        <f>181.5796 * CHOOSE(CONTROL!$C$9, $D$9, 100%, $F$9) + CHOOSE(CONTROL!$C$27, 0.0021, 0)</f>
        <v>181.58170000000001</v>
      </c>
      <c r="K977" s="14">
        <f>181.5796 * CHOOSE(CONTROL!$C$9, $D$9, 100%, $F$9) + CHOOSE(CONTROL!$C$27, 0.0021, 0)</f>
        <v>181.58170000000001</v>
      </c>
      <c r="L977" s="14"/>
    </row>
    <row r="978" spans="1:12" ht="15.75" x14ac:dyDescent="0.25">
      <c r="A978" s="32">
        <v>70706</v>
      </c>
      <c r="B978" s="14">
        <f>181.1713 * CHOOSE(CONTROL!$C$9, $D$9, 100%, $F$9) + CHOOSE(CONTROL!$C$27, 0.0021, 0)</f>
        <v>181.17340000000002</v>
      </c>
      <c r="C978" s="14">
        <f>180.7391 * CHOOSE(CONTROL!$C$9, $D$9, 100%, $F$9) + CHOOSE(CONTROL!$C$27, 0.0021, 0)</f>
        <v>180.74120000000002</v>
      </c>
      <c r="D978" s="14">
        <f>180.7391 * CHOOSE(CONTROL!$C$9, $D$9, 100%, $F$9) + CHOOSE(CONTROL!$C$27, 0.0021, 0)</f>
        <v>180.74120000000002</v>
      </c>
      <c r="E978" s="14">
        <f>180.6024 * CHOOSE(CONTROL!$C$9, $D$9, 100%, $F$9) + CHOOSE(CONTROL!$C$27, 0.0021, 0)</f>
        <v>180.6045</v>
      </c>
      <c r="F978" s="14">
        <f>180.6024 * CHOOSE(CONTROL!$C$9, $D$9, 100%, $F$9) + CHOOSE(CONTROL!$C$27, 0.0021, 0)</f>
        <v>180.6045</v>
      </c>
      <c r="G978" s="14">
        <f>180.8738 * CHOOSE(CONTROL!$C$9, $D$9, 100%, $F$9) + CHOOSE(CONTROL!$C$27, 0.0021, 0)</f>
        <v>180.8759</v>
      </c>
      <c r="H978" s="14">
        <f>180.7391 * CHOOSE(CONTROL!$C$9, $D$9, 100%, $F$9) + CHOOSE(CONTROL!$C$27, 0.0021, 0)</f>
        <v>180.74120000000002</v>
      </c>
      <c r="I978" s="14">
        <f>180.7391 * CHOOSE(CONTROL!$C$9, $D$9, 100%, $F$9) + CHOOSE(CONTROL!$C$27, 0.0021, 0)</f>
        <v>180.74120000000002</v>
      </c>
      <c r="J978" s="14">
        <f>180.7391 * CHOOSE(CONTROL!$C$9, $D$9, 100%, $F$9) + CHOOSE(CONTROL!$C$27, 0.0021, 0)</f>
        <v>180.74120000000002</v>
      </c>
      <c r="K978" s="14">
        <f>180.7391 * CHOOSE(CONTROL!$C$9, $D$9, 100%, $F$9) + CHOOSE(CONTROL!$C$27, 0.0021, 0)</f>
        <v>180.74120000000002</v>
      </c>
      <c r="L978" s="14"/>
    </row>
    <row r="979" spans="1:12" ht="15.75" x14ac:dyDescent="0.25">
      <c r="A979" s="32">
        <v>70737</v>
      </c>
      <c r="B979" s="14">
        <f>177.0071 * CHOOSE(CONTROL!$C$9, $D$9, 100%, $F$9) + CHOOSE(CONTROL!$C$27, 0.0021, 0)</f>
        <v>177.00920000000002</v>
      </c>
      <c r="C979" s="14">
        <f>176.5749 * CHOOSE(CONTROL!$C$9, $D$9, 100%, $F$9) + CHOOSE(CONTROL!$C$27, 0.0021, 0)</f>
        <v>176.57700000000003</v>
      </c>
      <c r="D979" s="14">
        <f>176.5749 * CHOOSE(CONTROL!$C$9, $D$9, 100%, $F$9) + CHOOSE(CONTROL!$C$27, 0.0021, 0)</f>
        <v>176.57700000000003</v>
      </c>
      <c r="E979" s="14">
        <f>176.4382 * CHOOSE(CONTROL!$C$9, $D$9, 100%, $F$9) + CHOOSE(CONTROL!$C$27, 0.0021, 0)</f>
        <v>176.44030000000001</v>
      </c>
      <c r="F979" s="14">
        <f>176.4382 * CHOOSE(CONTROL!$C$9, $D$9, 100%, $F$9) + CHOOSE(CONTROL!$C$27, 0.0021, 0)</f>
        <v>176.44030000000001</v>
      </c>
      <c r="G979" s="14">
        <f>176.7096 * CHOOSE(CONTROL!$C$9, $D$9, 100%, $F$9) + CHOOSE(CONTROL!$C$27, 0.0021, 0)</f>
        <v>176.71170000000001</v>
      </c>
      <c r="H979" s="14">
        <f>176.5749 * CHOOSE(CONTROL!$C$9, $D$9, 100%, $F$9) + CHOOSE(CONTROL!$C$27, 0.0021, 0)</f>
        <v>176.57700000000003</v>
      </c>
      <c r="I979" s="14">
        <f>176.5749 * CHOOSE(CONTROL!$C$9, $D$9, 100%, $F$9) + CHOOSE(CONTROL!$C$27, 0.0021, 0)</f>
        <v>176.57700000000003</v>
      </c>
      <c r="J979" s="14">
        <f>176.5749 * CHOOSE(CONTROL!$C$9, $D$9, 100%, $F$9) + CHOOSE(CONTROL!$C$27, 0.0021, 0)</f>
        <v>176.57700000000003</v>
      </c>
      <c r="K979" s="14">
        <f>176.5749 * CHOOSE(CONTROL!$C$9, $D$9, 100%, $F$9) + CHOOSE(CONTROL!$C$27, 0.0021, 0)</f>
        <v>176.57700000000003</v>
      </c>
      <c r="L979" s="14"/>
    </row>
    <row r="980" spans="1:12" ht="15.75" x14ac:dyDescent="0.25">
      <c r="A980" s="32">
        <v>70767</v>
      </c>
      <c r="B980" s="14">
        <f>171.1999 * CHOOSE(CONTROL!$C$9, $D$9, 100%, $F$9) + CHOOSE(CONTROL!$C$27, 0.0021, 0)</f>
        <v>171.20200000000003</v>
      </c>
      <c r="C980" s="14">
        <f>170.7676 * CHOOSE(CONTROL!$C$9, $D$9, 100%, $F$9) + CHOOSE(CONTROL!$C$27, 0.0021, 0)</f>
        <v>170.7697</v>
      </c>
      <c r="D980" s="14">
        <f>170.7676 * CHOOSE(CONTROL!$C$9, $D$9, 100%, $F$9) + CHOOSE(CONTROL!$C$27, 0.0021, 0)</f>
        <v>170.7697</v>
      </c>
      <c r="E980" s="14">
        <f>170.631 * CHOOSE(CONTROL!$C$9, $D$9, 100%, $F$9) + CHOOSE(CONTROL!$C$27, 0.0021, 0)</f>
        <v>170.63310000000001</v>
      </c>
      <c r="F980" s="14">
        <f>170.631 * CHOOSE(CONTROL!$C$9, $D$9, 100%, $F$9) + CHOOSE(CONTROL!$C$27, 0.0021, 0)</f>
        <v>170.63310000000001</v>
      </c>
      <c r="G980" s="14">
        <f>170.9024 * CHOOSE(CONTROL!$C$9, $D$9, 100%, $F$9) + CHOOSE(CONTROL!$C$27, 0.0021, 0)</f>
        <v>170.90450000000001</v>
      </c>
      <c r="H980" s="14">
        <f>170.7676 * CHOOSE(CONTROL!$C$9, $D$9, 100%, $F$9) + CHOOSE(CONTROL!$C$27, 0.0021, 0)</f>
        <v>170.7697</v>
      </c>
      <c r="I980" s="14">
        <f>170.7676 * CHOOSE(CONTROL!$C$9, $D$9, 100%, $F$9) + CHOOSE(CONTROL!$C$27, 0.0021, 0)</f>
        <v>170.7697</v>
      </c>
      <c r="J980" s="14">
        <f>170.7676 * CHOOSE(CONTROL!$C$9, $D$9, 100%, $F$9) + CHOOSE(CONTROL!$C$27, 0.0021, 0)</f>
        <v>170.7697</v>
      </c>
      <c r="K980" s="14">
        <f>170.7676 * CHOOSE(CONTROL!$C$9, $D$9, 100%, $F$9) + CHOOSE(CONTROL!$C$27, 0.0021, 0)</f>
        <v>170.7697</v>
      </c>
      <c r="L980" s="14"/>
    </row>
    <row r="981" spans="1:12" ht="15.75" x14ac:dyDescent="0.25">
      <c r="A981" s="32">
        <v>70798</v>
      </c>
      <c r="B981" s="14">
        <f>165.3589 * CHOOSE(CONTROL!$C$9, $D$9, 100%, $F$9) + CHOOSE(CONTROL!$C$27, 0.0021, 0)</f>
        <v>165.36100000000002</v>
      </c>
      <c r="C981" s="14">
        <f>164.9266 * CHOOSE(CONTROL!$C$9, $D$9, 100%, $F$9) + CHOOSE(CONTROL!$C$27, 0.0021, 0)</f>
        <v>164.92870000000002</v>
      </c>
      <c r="D981" s="14">
        <f>164.9266 * CHOOSE(CONTROL!$C$9, $D$9, 100%, $F$9) + CHOOSE(CONTROL!$C$27, 0.0021, 0)</f>
        <v>164.92870000000002</v>
      </c>
      <c r="E981" s="14">
        <f>164.79 * CHOOSE(CONTROL!$C$9, $D$9, 100%, $F$9) + CHOOSE(CONTROL!$C$27, 0.0021, 0)</f>
        <v>164.7921</v>
      </c>
      <c r="F981" s="14">
        <f>164.79 * CHOOSE(CONTROL!$C$9, $D$9, 100%, $F$9) + CHOOSE(CONTROL!$C$27, 0.0021, 0)</f>
        <v>164.7921</v>
      </c>
      <c r="G981" s="14">
        <f>165.0614 * CHOOSE(CONTROL!$C$9, $D$9, 100%, $F$9) + CHOOSE(CONTROL!$C$27, 0.0021, 0)</f>
        <v>165.0635</v>
      </c>
      <c r="H981" s="14">
        <f>164.9266 * CHOOSE(CONTROL!$C$9, $D$9, 100%, $F$9) + CHOOSE(CONTROL!$C$27, 0.0021, 0)</f>
        <v>164.92870000000002</v>
      </c>
      <c r="I981" s="14">
        <f>164.9266 * CHOOSE(CONTROL!$C$9, $D$9, 100%, $F$9) + CHOOSE(CONTROL!$C$27, 0.0021, 0)</f>
        <v>164.92870000000002</v>
      </c>
      <c r="J981" s="14">
        <f>164.9266 * CHOOSE(CONTROL!$C$9, $D$9, 100%, $F$9) + CHOOSE(CONTROL!$C$27, 0.0021, 0)</f>
        <v>164.92870000000002</v>
      </c>
      <c r="K981" s="14">
        <f>164.9266 * CHOOSE(CONTROL!$C$9, $D$9, 100%, $F$9) + CHOOSE(CONTROL!$C$27, 0.0021, 0)</f>
        <v>164.92870000000002</v>
      </c>
      <c r="L981" s="14"/>
    </row>
    <row r="982" spans="1:12" ht="15.75" x14ac:dyDescent="0.25">
      <c r="A982" s="32">
        <v>70828</v>
      </c>
      <c r="B982" s="14">
        <f>164.197 * CHOOSE(CONTROL!$C$9, $D$9, 100%, $F$9) + CHOOSE(CONTROL!$C$27, 0.0021, 0)</f>
        <v>164.19910000000002</v>
      </c>
      <c r="C982" s="14">
        <f>163.7648 * CHOOSE(CONTROL!$C$9, $D$9, 100%, $F$9) + CHOOSE(CONTROL!$C$27, 0.0021, 0)</f>
        <v>163.76690000000002</v>
      </c>
      <c r="D982" s="14">
        <f>163.7648 * CHOOSE(CONTROL!$C$9, $D$9, 100%, $F$9) + CHOOSE(CONTROL!$C$27, 0.0021, 0)</f>
        <v>163.76690000000002</v>
      </c>
      <c r="E982" s="14">
        <f>163.6281 * CHOOSE(CONTROL!$C$9, $D$9, 100%, $F$9) + CHOOSE(CONTROL!$C$27, 0.0021, 0)</f>
        <v>163.6302</v>
      </c>
      <c r="F982" s="14">
        <f>163.6281 * CHOOSE(CONTROL!$C$9, $D$9, 100%, $F$9) + CHOOSE(CONTROL!$C$27, 0.0021, 0)</f>
        <v>163.6302</v>
      </c>
      <c r="G982" s="14">
        <f>163.8995 * CHOOSE(CONTROL!$C$9, $D$9, 100%, $F$9) + CHOOSE(CONTROL!$C$27, 0.0021, 0)</f>
        <v>163.9016</v>
      </c>
      <c r="H982" s="14">
        <f>163.7648 * CHOOSE(CONTROL!$C$9, $D$9, 100%, $F$9) + CHOOSE(CONTROL!$C$27, 0.0021, 0)</f>
        <v>163.76690000000002</v>
      </c>
      <c r="I982" s="14">
        <f>163.7648 * CHOOSE(CONTROL!$C$9, $D$9, 100%, $F$9) + CHOOSE(CONTROL!$C$27, 0.0021, 0)</f>
        <v>163.76690000000002</v>
      </c>
      <c r="J982" s="14">
        <f>163.7648 * CHOOSE(CONTROL!$C$9, $D$9, 100%, $F$9) + CHOOSE(CONTROL!$C$27, 0.0021, 0)</f>
        <v>163.76690000000002</v>
      </c>
      <c r="K982" s="14">
        <f>163.7648 * CHOOSE(CONTROL!$C$9, $D$9, 100%, $F$9) + CHOOSE(CONTROL!$C$27, 0.0021, 0)</f>
        <v>163.76690000000002</v>
      </c>
      <c r="L982" s="14"/>
    </row>
    <row r="983" spans="1:12" ht="15.75" x14ac:dyDescent="0.25">
      <c r="A983" s="32">
        <v>70859</v>
      </c>
      <c r="B983" s="14">
        <f>159.3925 * CHOOSE(CONTROL!$C$9, $D$9, 100%, $F$9) + CHOOSE(CONTROL!$C$27, 0.0021, 0)</f>
        <v>159.39460000000003</v>
      </c>
      <c r="C983" s="14">
        <f>158.9602 * CHOOSE(CONTROL!$C$9, $D$9, 100%, $F$9) + CHOOSE(CONTROL!$C$27, 0.0021, 0)</f>
        <v>158.9623</v>
      </c>
      <c r="D983" s="14">
        <f>158.9602 * CHOOSE(CONTROL!$C$9, $D$9, 100%, $F$9) + CHOOSE(CONTROL!$C$27, 0.0021, 0)</f>
        <v>158.9623</v>
      </c>
      <c r="E983" s="14">
        <f>158.8236 * CHOOSE(CONTROL!$C$9, $D$9, 100%, $F$9) + CHOOSE(CONTROL!$C$27, 0.0021, 0)</f>
        <v>158.82570000000001</v>
      </c>
      <c r="F983" s="14">
        <f>158.8236 * CHOOSE(CONTROL!$C$9, $D$9, 100%, $F$9) + CHOOSE(CONTROL!$C$27, 0.0021, 0)</f>
        <v>158.82570000000001</v>
      </c>
      <c r="G983" s="14">
        <f>159.0949 * CHOOSE(CONTROL!$C$9, $D$9, 100%, $F$9) + CHOOSE(CONTROL!$C$27, 0.0021, 0)</f>
        <v>159.09700000000001</v>
      </c>
      <c r="H983" s="14">
        <f>158.9602 * CHOOSE(CONTROL!$C$9, $D$9, 100%, $F$9) + CHOOSE(CONTROL!$C$27, 0.0021, 0)</f>
        <v>158.9623</v>
      </c>
      <c r="I983" s="14">
        <f>158.9602 * CHOOSE(CONTROL!$C$9, $D$9, 100%, $F$9) + CHOOSE(CONTROL!$C$27, 0.0021, 0)</f>
        <v>158.9623</v>
      </c>
      <c r="J983" s="14">
        <f>158.9602 * CHOOSE(CONTROL!$C$9, $D$9, 100%, $F$9) + CHOOSE(CONTROL!$C$27, 0.0021, 0)</f>
        <v>158.9623</v>
      </c>
      <c r="K983" s="14">
        <f>158.9602 * CHOOSE(CONTROL!$C$9, $D$9, 100%, $F$9) + CHOOSE(CONTROL!$C$27, 0.0021, 0)</f>
        <v>158.9623</v>
      </c>
      <c r="L983" s="14"/>
    </row>
    <row r="984" spans="1:12" ht="15.75" x14ac:dyDescent="0.25">
      <c r="A984" s="32">
        <v>70890</v>
      </c>
      <c r="B984" s="14">
        <f>158.4571 * CHOOSE(CONTROL!$C$9, $D$9, 100%, $F$9) + CHOOSE(CONTROL!$C$27, 0.0021, 0)</f>
        <v>158.45920000000001</v>
      </c>
      <c r="C984" s="14">
        <f>158.0248 * CHOOSE(CONTROL!$C$9, $D$9, 100%, $F$9) + CHOOSE(CONTROL!$C$27, 0.0021, 0)</f>
        <v>158.02690000000001</v>
      </c>
      <c r="D984" s="14">
        <f>158.0248 * CHOOSE(CONTROL!$C$9, $D$9, 100%, $F$9) + CHOOSE(CONTROL!$C$27, 0.0021, 0)</f>
        <v>158.02690000000001</v>
      </c>
      <c r="E984" s="14">
        <f>157.8882 * CHOOSE(CONTROL!$C$9, $D$9, 100%, $F$9) + CHOOSE(CONTROL!$C$27, 0.0021, 0)</f>
        <v>157.89030000000002</v>
      </c>
      <c r="F984" s="14">
        <f>157.8882 * CHOOSE(CONTROL!$C$9, $D$9, 100%, $F$9) + CHOOSE(CONTROL!$C$27, 0.0021, 0)</f>
        <v>157.89030000000002</v>
      </c>
      <c r="G984" s="14">
        <f>158.1595 * CHOOSE(CONTROL!$C$9, $D$9, 100%, $F$9) + CHOOSE(CONTROL!$C$27, 0.0021, 0)</f>
        <v>158.16160000000002</v>
      </c>
      <c r="H984" s="14">
        <f>158.0248 * CHOOSE(CONTROL!$C$9, $D$9, 100%, $F$9) + CHOOSE(CONTROL!$C$27, 0.0021, 0)</f>
        <v>158.02690000000001</v>
      </c>
      <c r="I984" s="14">
        <f>158.0248 * CHOOSE(CONTROL!$C$9, $D$9, 100%, $F$9) + CHOOSE(CONTROL!$C$27, 0.0021, 0)</f>
        <v>158.02690000000001</v>
      </c>
      <c r="J984" s="14">
        <f>158.0248 * CHOOSE(CONTROL!$C$9, $D$9, 100%, $F$9) + CHOOSE(CONTROL!$C$27, 0.0021, 0)</f>
        <v>158.02690000000001</v>
      </c>
      <c r="K984" s="14">
        <f>158.0248 * CHOOSE(CONTROL!$C$9, $D$9, 100%, $F$9) + CHOOSE(CONTROL!$C$27, 0.0021, 0)</f>
        <v>158.02690000000001</v>
      </c>
      <c r="L984" s="14"/>
    </row>
    <row r="985" spans="1:12" ht="15.75" x14ac:dyDescent="0.25">
      <c r="A985" s="32">
        <v>70918</v>
      </c>
      <c r="B985" s="14">
        <f>158.023 * CHOOSE(CONTROL!$C$9, $D$9, 100%, $F$9) + CHOOSE(CONTROL!$C$27, 0.0021, 0)</f>
        <v>158.02510000000001</v>
      </c>
      <c r="C985" s="14">
        <f>157.5907 * CHOOSE(CONTROL!$C$9, $D$9, 100%, $F$9) + CHOOSE(CONTROL!$C$27, 0.0021, 0)</f>
        <v>157.59280000000001</v>
      </c>
      <c r="D985" s="14">
        <f>157.5907 * CHOOSE(CONTROL!$C$9, $D$9, 100%, $F$9) + CHOOSE(CONTROL!$C$27, 0.0021, 0)</f>
        <v>157.59280000000001</v>
      </c>
      <c r="E985" s="14">
        <f>157.4541 * CHOOSE(CONTROL!$C$9, $D$9, 100%, $F$9) + CHOOSE(CONTROL!$C$27, 0.0021, 0)</f>
        <v>157.45620000000002</v>
      </c>
      <c r="F985" s="14">
        <f>157.4541 * CHOOSE(CONTROL!$C$9, $D$9, 100%, $F$9) + CHOOSE(CONTROL!$C$27, 0.0021, 0)</f>
        <v>157.45620000000002</v>
      </c>
      <c r="G985" s="14">
        <f>157.7255 * CHOOSE(CONTROL!$C$9, $D$9, 100%, $F$9) + CHOOSE(CONTROL!$C$27, 0.0021, 0)</f>
        <v>157.72760000000002</v>
      </c>
      <c r="H985" s="14">
        <f>157.5907 * CHOOSE(CONTROL!$C$9, $D$9, 100%, $F$9) + CHOOSE(CONTROL!$C$27, 0.0021, 0)</f>
        <v>157.59280000000001</v>
      </c>
      <c r="I985" s="14">
        <f>157.5907 * CHOOSE(CONTROL!$C$9, $D$9, 100%, $F$9) + CHOOSE(CONTROL!$C$27, 0.0021, 0)</f>
        <v>157.59280000000001</v>
      </c>
      <c r="J985" s="14">
        <f>157.5907 * CHOOSE(CONTROL!$C$9, $D$9, 100%, $F$9) + CHOOSE(CONTROL!$C$27, 0.0021, 0)</f>
        <v>157.59280000000001</v>
      </c>
      <c r="K985" s="14">
        <f>157.5907 * CHOOSE(CONTROL!$C$9, $D$9, 100%, $F$9) + CHOOSE(CONTROL!$C$27, 0.0021, 0)</f>
        <v>157.59280000000001</v>
      </c>
      <c r="L985" s="14"/>
    </row>
    <row r="986" spans="1:12" ht="15.75" x14ac:dyDescent="0.25">
      <c r="A986" s="32">
        <v>70949</v>
      </c>
      <c r="B986" s="14">
        <f>166.2309 * CHOOSE(CONTROL!$C$9, $D$9, 100%, $F$9) + CHOOSE(CONTROL!$C$27, 0.0021, 0)</f>
        <v>166.233</v>
      </c>
      <c r="C986" s="14">
        <f>165.7986 * CHOOSE(CONTROL!$C$9, $D$9, 100%, $F$9) + CHOOSE(CONTROL!$C$27, 0.0021, 0)</f>
        <v>165.80070000000001</v>
      </c>
      <c r="D986" s="14">
        <f>165.7986 * CHOOSE(CONTROL!$C$9, $D$9, 100%, $F$9) + CHOOSE(CONTROL!$C$27, 0.0021, 0)</f>
        <v>165.80070000000001</v>
      </c>
      <c r="E986" s="14">
        <f>165.662 * CHOOSE(CONTROL!$C$9, $D$9, 100%, $F$9) + CHOOSE(CONTROL!$C$27, 0.0021, 0)</f>
        <v>165.66410000000002</v>
      </c>
      <c r="F986" s="14">
        <f>165.662 * CHOOSE(CONTROL!$C$9, $D$9, 100%, $F$9) + CHOOSE(CONTROL!$C$27, 0.0021, 0)</f>
        <v>165.66410000000002</v>
      </c>
      <c r="G986" s="14">
        <f>165.9334 * CHOOSE(CONTROL!$C$9, $D$9, 100%, $F$9) + CHOOSE(CONTROL!$C$27, 0.0021, 0)</f>
        <v>165.93550000000002</v>
      </c>
      <c r="H986" s="14">
        <f>165.7986 * CHOOSE(CONTROL!$C$9, $D$9, 100%, $F$9) + CHOOSE(CONTROL!$C$27, 0.0021, 0)</f>
        <v>165.80070000000001</v>
      </c>
      <c r="I986" s="14">
        <f>165.7986 * CHOOSE(CONTROL!$C$9, $D$9, 100%, $F$9) + CHOOSE(CONTROL!$C$27, 0.0021, 0)</f>
        <v>165.80070000000001</v>
      </c>
      <c r="J986" s="14">
        <f>165.7986 * CHOOSE(CONTROL!$C$9, $D$9, 100%, $F$9) + CHOOSE(CONTROL!$C$27, 0.0021, 0)</f>
        <v>165.80070000000001</v>
      </c>
      <c r="K986" s="14">
        <f>165.7986 * CHOOSE(CONTROL!$C$9, $D$9, 100%, $F$9) + CHOOSE(CONTROL!$C$27, 0.0021, 0)</f>
        <v>165.80070000000001</v>
      </c>
      <c r="L986" s="14"/>
    </row>
    <row r="987" spans="1:12" ht="15.75" x14ac:dyDescent="0.25">
      <c r="A987" s="32">
        <v>70979</v>
      </c>
      <c r="B987" s="14">
        <f>176.8746 * CHOOSE(CONTROL!$C$9, $D$9, 100%, $F$9) + CHOOSE(CONTROL!$C$27, 0.0021, 0)</f>
        <v>176.8767</v>
      </c>
      <c r="C987" s="14">
        <f>176.4423 * CHOOSE(CONTROL!$C$9, $D$9, 100%, $F$9) + CHOOSE(CONTROL!$C$27, 0.0021, 0)</f>
        <v>176.4444</v>
      </c>
      <c r="D987" s="14">
        <f>176.4423 * CHOOSE(CONTROL!$C$9, $D$9, 100%, $F$9) + CHOOSE(CONTROL!$C$27, 0.0021, 0)</f>
        <v>176.4444</v>
      </c>
      <c r="E987" s="14">
        <f>176.3057 * CHOOSE(CONTROL!$C$9, $D$9, 100%, $F$9) + CHOOSE(CONTROL!$C$27, 0.0021, 0)</f>
        <v>176.30780000000001</v>
      </c>
      <c r="F987" s="14">
        <f>176.3057 * CHOOSE(CONTROL!$C$9, $D$9, 100%, $F$9) + CHOOSE(CONTROL!$C$27, 0.0021, 0)</f>
        <v>176.30780000000001</v>
      </c>
      <c r="G987" s="14">
        <f>176.5771 * CHOOSE(CONTROL!$C$9, $D$9, 100%, $F$9) + CHOOSE(CONTROL!$C$27, 0.0021, 0)</f>
        <v>176.57920000000001</v>
      </c>
      <c r="H987" s="14">
        <f>176.4423 * CHOOSE(CONTROL!$C$9, $D$9, 100%, $F$9) + CHOOSE(CONTROL!$C$27, 0.0021, 0)</f>
        <v>176.4444</v>
      </c>
      <c r="I987" s="14">
        <f>176.4423 * CHOOSE(CONTROL!$C$9, $D$9, 100%, $F$9) + CHOOSE(CONTROL!$C$27, 0.0021, 0)</f>
        <v>176.4444</v>
      </c>
      <c r="J987" s="14">
        <f>176.4423 * CHOOSE(CONTROL!$C$9, $D$9, 100%, $F$9) + CHOOSE(CONTROL!$C$27, 0.0021, 0)</f>
        <v>176.4444</v>
      </c>
      <c r="K987" s="14">
        <f>176.4423 * CHOOSE(CONTROL!$C$9, $D$9, 100%, $F$9) + CHOOSE(CONTROL!$C$27, 0.0021, 0)</f>
        <v>176.4444</v>
      </c>
      <c r="L987" s="14"/>
    </row>
    <row r="988" spans="1:12" ht="15.75" x14ac:dyDescent="0.25">
      <c r="A988" s="32">
        <v>71010</v>
      </c>
      <c r="B988" s="14">
        <f>182.7332 * CHOOSE(CONTROL!$C$9, $D$9, 100%, $F$9) + CHOOSE(CONTROL!$C$27, 0.0021, 0)</f>
        <v>182.73530000000002</v>
      </c>
      <c r="C988" s="14">
        <f>182.301 * CHOOSE(CONTROL!$C$9, $D$9, 100%, $F$9) + CHOOSE(CONTROL!$C$27, 0.0021, 0)</f>
        <v>182.3031</v>
      </c>
      <c r="D988" s="14">
        <f>182.301 * CHOOSE(CONTROL!$C$9, $D$9, 100%, $F$9) + CHOOSE(CONTROL!$C$27, 0.0021, 0)</f>
        <v>182.3031</v>
      </c>
      <c r="E988" s="14">
        <f>182.1643 * CHOOSE(CONTROL!$C$9, $D$9, 100%, $F$9) + CHOOSE(CONTROL!$C$27, 0.0021, 0)</f>
        <v>182.16640000000001</v>
      </c>
      <c r="F988" s="14">
        <f>182.1643 * CHOOSE(CONTROL!$C$9, $D$9, 100%, $F$9) + CHOOSE(CONTROL!$C$27, 0.0021, 0)</f>
        <v>182.16640000000001</v>
      </c>
      <c r="G988" s="14">
        <f>182.4357 * CHOOSE(CONTROL!$C$9, $D$9, 100%, $F$9) + CHOOSE(CONTROL!$C$27, 0.0021, 0)</f>
        <v>182.43780000000001</v>
      </c>
      <c r="H988" s="14">
        <f>182.301 * CHOOSE(CONTROL!$C$9, $D$9, 100%, $F$9) + CHOOSE(CONTROL!$C$27, 0.0021, 0)</f>
        <v>182.3031</v>
      </c>
      <c r="I988" s="14">
        <f>182.301 * CHOOSE(CONTROL!$C$9, $D$9, 100%, $F$9) + CHOOSE(CONTROL!$C$27, 0.0021, 0)</f>
        <v>182.3031</v>
      </c>
      <c r="J988" s="14">
        <f>182.301 * CHOOSE(CONTROL!$C$9, $D$9, 100%, $F$9) + CHOOSE(CONTROL!$C$27, 0.0021, 0)</f>
        <v>182.3031</v>
      </c>
      <c r="K988" s="14">
        <f>182.301 * CHOOSE(CONTROL!$C$9, $D$9, 100%, $F$9) + CHOOSE(CONTROL!$C$27, 0.0021, 0)</f>
        <v>182.3031</v>
      </c>
      <c r="L988" s="14"/>
    </row>
    <row r="989" spans="1:12" ht="15.75" x14ac:dyDescent="0.25">
      <c r="A989" s="32">
        <v>71040</v>
      </c>
      <c r="B989" s="14">
        <f>185.3332 * CHOOSE(CONTROL!$C$9, $D$9, 100%, $F$9) + CHOOSE(CONTROL!$C$27, 0.0021, 0)</f>
        <v>185.33530000000002</v>
      </c>
      <c r="C989" s="14">
        <f>184.9009 * CHOOSE(CONTROL!$C$9, $D$9, 100%, $F$9) + CHOOSE(CONTROL!$C$27, 0.0021, 0)</f>
        <v>184.90300000000002</v>
      </c>
      <c r="D989" s="14">
        <f>184.9009 * CHOOSE(CONTROL!$C$9, $D$9, 100%, $F$9) + CHOOSE(CONTROL!$C$27, 0.0021, 0)</f>
        <v>184.90300000000002</v>
      </c>
      <c r="E989" s="14">
        <f>184.7643 * CHOOSE(CONTROL!$C$9, $D$9, 100%, $F$9) + CHOOSE(CONTROL!$C$27, 0.0021, 0)</f>
        <v>184.7664</v>
      </c>
      <c r="F989" s="14">
        <f>184.7643 * CHOOSE(CONTROL!$C$9, $D$9, 100%, $F$9) + CHOOSE(CONTROL!$C$27, 0.0021, 0)</f>
        <v>184.7664</v>
      </c>
      <c r="G989" s="14">
        <f>185.0356 * CHOOSE(CONTROL!$C$9, $D$9, 100%, $F$9) + CHOOSE(CONTROL!$C$27, 0.0021, 0)</f>
        <v>185.0377</v>
      </c>
      <c r="H989" s="14">
        <f>184.9009 * CHOOSE(CONTROL!$C$9, $D$9, 100%, $F$9) + CHOOSE(CONTROL!$C$27, 0.0021, 0)</f>
        <v>184.90300000000002</v>
      </c>
      <c r="I989" s="14">
        <f>184.9009 * CHOOSE(CONTROL!$C$9, $D$9, 100%, $F$9) + CHOOSE(CONTROL!$C$27, 0.0021, 0)</f>
        <v>184.90300000000002</v>
      </c>
      <c r="J989" s="14">
        <f>184.9009 * CHOOSE(CONTROL!$C$9, $D$9, 100%, $F$9) + CHOOSE(CONTROL!$C$27, 0.0021, 0)</f>
        <v>184.90300000000002</v>
      </c>
      <c r="K989" s="14">
        <f>184.9009 * CHOOSE(CONTROL!$C$9, $D$9, 100%, $F$9) + CHOOSE(CONTROL!$C$27, 0.0021, 0)</f>
        <v>184.90300000000002</v>
      </c>
      <c r="L989" s="14"/>
    </row>
    <row r="990" spans="1:12" ht="15.75" x14ac:dyDescent="0.25">
      <c r="A990" s="32">
        <v>71071</v>
      </c>
      <c r="B990" s="14">
        <f>184.4771 * CHOOSE(CONTROL!$C$9, $D$9, 100%, $F$9) + CHOOSE(CONTROL!$C$27, 0.0021, 0)</f>
        <v>184.47920000000002</v>
      </c>
      <c r="C990" s="14">
        <f>184.0449 * CHOOSE(CONTROL!$C$9, $D$9, 100%, $F$9) + CHOOSE(CONTROL!$C$27, 0.0021, 0)</f>
        <v>184.04700000000003</v>
      </c>
      <c r="D990" s="14">
        <f>184.0449 * CHOOSE(CONTROL!$C$9, $D$9, 100%, $F$9) + CHOOSE(CONTROL!$C$27, 0.0021, 0)</f>
        <v>184.04700000000003</v>
      </c>
      <c r="E990" s="14">
        <f>183.9082 * CHOOSE(CONTROL!$C$9, $D$9, 100%, $F$9) + CHOOSE(CONTROL!$C$27, 0.0021, 0)</f>
        <v>183.91030000000001</v>
      </c>
      <c r="F990" s="14">
        <f>183.9082 * CHOOSE(CONTROL!$C$9, $D$9, 100%, $F$9) + CHOOSE(CONTROL!$C$27, 0.0021, 0)</f>
        <v>183.91030000000001</v>
      </c>
      <c r="G990" s="14">
        <f>184.1796 * CHOOSE(CONTROL!$C$9, $D$9, 100%, $F$9) + CHOOSE(CONTROL!$C$27, 0.0021, 0)</f>
        <v>184.18170000000001</v>
      </c>
      <c r="H990" s="14">
        <f>184.0449 * CHOOSE(CONTROL!$C$9, $D$9, 100%, $F$9) + CHOOSE(CONTROL!$C$27, 0.0021, 0)</f>
        <v>184.04700000000003</v>
      </c>
      <c r="I990" s="14">
        <f>184.0449 * CHOOSE(CONTROL!$C$9, $D$9, 100%, $F$9) + CHOOSE(CONTROL!$C$27, 0.0021, 0)</f>
        <v>184.04700000000003</v>
      </c>
      <c r="J990" s="14">
        <f>184.0449 * CHOOSE(CONTROL!$C$9, $D$9, 100%, $F$9) + CHOOSE(CONTROL!$C$27, 0.0021, 0)</f>
        <v>184.04700000000003</v>
      </c>
      <c r="K990" s="14">
        <f>184.0449 * CHOOSE(CONTROL!$C$9, $D$9, 100%, $F$9) + CHOOSE(CONTROL!$C$27, 0.0021, 0)</f>
        <v>184.04700000000003</v>
      </c>
      <c r="L990" s="14"/>
    </row>
    <row r="991" spans="1:12" ht="15.75" x14ac:dyDescent="0.25">
      <c r="A991" s="32">
        <v>71102</v>
      </c>
      <c r="B991" s="14">
        <f>180.236 * CHOOSE(CONTROL!$C$9, $D$9, 100%, $F$9) + CHOOSE(CONTROL!$C$27, 0.0021, 0)</f>
        <v>180.2381</v>
      </c>
      <c r="C991" s="14">
        <f>179.8037 * CHOOSE(CONTROL!$C$9, $D$9, 100%, $F$9) + CHOOSE(CONTROL!$C$27, 0.0021, 0)</f>
        <v>179.8058</v>
      </c>
      <c r="D991" s="14">
        <f>179.8037 * CHOOSE(CONTROL!$C$9, $D$9, 100%, $F$9) + CHOOSE(CONTROL!$C$27, 0.0021, 0)</f>
        <v>179.8058</v>
      </c>
      <c r="E991" s="14">
        <f>179.6671 * CHOOSE(CONTROL!$C$9, $D$9, 100%, $F$9) + CHOOSE(CONTROL!$C$27, 0.0021, 0)</f>
        <v>179.66920000000002</v>
      </c>
      <c r="F991" s="14">
        <f>179.6671 * CHOOSE(CONTROL!$C$9, $D$9, 100%, $F$9) + CHOOSE(CONTROL!$C$27, 0.0021, 0)</f>
        <v>179.66920000000002</v>
      </c>
      <c r="G991" s="14">
        <f>179.9384 * CHOOSE(CONTROL!$C$9, $D$9, 100%, $F$9) + CHOOSE(CONTROL!$C$27, 0.0021, 0)</f>
        <v>179.94050000000001</v>
      </c>
      <c r="H991" s="14">
        <f>179.8037 * CHOOSE(CONTROL!$C$9, $D$9, 100%, $F$9) + CHOOSE(CONTROL!$C$27, 0.0021, 0)</f>
        <v>179.8058</v>
      </c>
      <c r="I991" s="14">
        <f>179.8037 * CHOOSE(CONTROL!$C$9, $D$9, 100%, $F$9) + CHOOSE(CONTROL!$C$27, 0.0021, 0)</f>
        <v>179.8058</v>
      </c>
      <c r="J991" s="14">
        <f>179.8037 * CHOOSE(CONTROL!$C$9, $D$9, 100%, $F$9) + CHOOSE(CONTROL!$C$27, 0.0021, 0)</f>
        <v>179.8058</v>
      </c>
      <c r="K991" s="14">
        <f>179.8037 * CHOOSE(CONTROL!$C$9, $D$9, 100%, $F$9) + CHOOSE(CONTROL!$C$27, 0.0021, 0)</f>
        <v>179.8058</v>
      </c>
      <c r="L991" s="14"/>
    </row>
    <row r="992" spans="1:12" ht="15.75" x14ac:dyDescent="0.25">
      <c r="A992" s="32">
        <v>71132</v>
      </c>
      <c r="B992" s="14">
        <f>174.3214 * CHOOSE(CONTROL!$C$9, $D$9, 100%, $F$9) + CHOOSE(CONTROL!$C$27, 0.0021, 0)</f>
        <v>174.32350000000002</v>
      </c>
      <c r="C992" s="14">
        <f>173.8892 * CHOOSE(CONTROL!$C$9, $D$9, 100%, $F$9) + CHOOSE(CONTROL!$C$27, 0.0021, 0)</f>
        <v>173.8913</v>
      </c>
      <c r="D992" s="14">
        <f>173.8892 * CHOOSE(CONTROL!$C$9, $D$9, 100%, $F$9) + CHOOSE(CONTROL!$C$27, 0.0021, 0)</f>
        <v>173.8913</v>
      </c>
      <c r="E992" s="14">
        <f>173.7525 * CHOOSE(CONTROL!$C$9, $D$9, 100%, $F$9) + CHOOSE(CONTROL!$C$27, 0.0021, 0)</f>
        <v>173.75460000000001</v>
      </c>
      <c r="F992" s="14">
        <f>173.7525 * CHOOSE(CONTROL!$C$9, $D$9, 100%, $F$9) + CHOOSE(CONTROL!$C$27, 0.0021, 0)</f>
        <v>173.75460000000001</v>
      </c>
      <c r="G992" s="14">
        <f>174.0239 * CHOOSE(CONTROL!$C$9, $D$9, 100%, $F$9) + CHOOSE(CONTROL!$C$27, 0.0021, 0)</f>
        <v>174.02600000000001</v>
      </c>
      <c r="H992" s="14">
        <f>173.8892 * CHOOSE(CONTROL!$C$9, $D$9, 100%, $F$9) + CHOOSE(CONTROL!$C$27, 0.0021, 0)</f>
        <v>173.8913</v>
      </c>
      <c r="I992" s="14">
        <f>173.8892 * CHOOSE(CONTROL!$C$9, $D$9, 100%, $F$9) + CHOOSE(CONTROL!$C$27, 0.0021, 0)</f>
        <v>173.8913</v>
      </c>
      <c r="J992" s="14">
        <f>173.8892 * CHOOSE(CONTROL!$C$9, $D$9, 100%, $F$9) + CHOOSE(CONTROL!$C$27, 0.0021, 0)</f>
        <v>173.8913</v>
      </c>
      <c r="K992" s="14">
        <f>173.8892 * CHOOSE(CONTROL!$C$9, $D$9, 100%, $F$9) + CHOOSE(CONTROL!$C$27, 0.0021, 0)</f>
        <v>173.8913</v>
      </c>
      <c r="L992" s="14"/>
    </row>
    <row r="993" spans="1:12" ht="15.75" x14ac:dyDescent="0.25">
      <c r="A993" s="32">
        <v>71163</v>
      </c>
      <c r="B993" s="14">
        <f>168.3725 * CHOOSE(CONTROL!$C$9, $D$9, 100%, $F$9) + CHOOSE(CONTROL!$C$27, 0.0021, 0)</f>
        <v>168.37460000000002</v>
      </c>
      <c r="C993" s="14">
        <f>167.9402 * CHOOSE(CONTROL!$C$9, $D$9, 100%, $F$9) + CHOOSE(CONTROL!$C$27, 0.0021, 0)</f>
        <v>167.94230000000002</v>
      </c>
      <c r="D993" s="14">
        <f>167.9402 * CHOOSE(CONTROL!$C$9, $D$9, 100%, $F$9) + CHOOSE(CONTROL!$C$27, 0.0021, 0)</f>
        <v>167.94230000000002</v>
      </c>
      <c r="E993" s="14">
        <f>167.8036 * CHOOSE(CONTROL!$C$9, $D$9, 100%, $F$9) + CHOOSE(CONTROL!$C$27, 0.0021, 0)</f>
        <v>167.8057</v>
      </c>
      <c r="F993" s="14">
        <f>167.8036 * CHOOSE(CONTROL!$C$9, $D$9, 100%, $F$9) + CHOOSE(CONTROL!$C$27, 0.0021, 0)</f>
        <v>167.8057</v>
      </c>
      <c r="G993" s="14">
        <f>168.075 * CHOOSE(CONTROL!$C$9, $D$9, 100%, $F$9) + CHOOSE(CONTROL!$C$27, 0.0021, 0)</f>
        <v>168.0771</v>
      </c>
      <c r="H993" s="14">
        <f>167.9402 * CHOOSE(CONTROL!$C$9, $D$9, 100%, $F$9) + CHOOSE(CONTROL!$C$27, 0.0021, 0)</f>
        <v>167.94230000000002</v>
      </c>
      <c r="I993" s="14">
        <f>167.9402 * CHOOSE(CONTROL!$C$9, $D$9, 100%, $F$9) + CHOOSE(CONTROL!$C$27, 0.0021, 0)</f>
        <v>167.94230000000002</v>
      </c>
      <c r="J993" s="14">
        <f>167.9402 * CHOOSE(CONTROL!$C$9, $D$9, 100%, $F$9) + CHOOSE(CONTROL!$C$27, 0.0021, 0)</f>
        <v>167.94230000000002</v>
      </c>
      <c r="K993" s="14">
        <f>167.9402 * CHOOSE(CONTROL!$C$9, $D$9, 100%, $F$9) + CHOOSE(CONTROL!$C$27, 0.0021, 0)</f>
        <v>167.94230000000002</v>
      </c>
      <c r="L993" s="14"/>
    </row>
    <row r="994" spans="1:12" ht="15.75" x14ac:dyDescent="0.25">
      <c r="A994" s="32">
        <v>71193</v>
      </c>
      <c r="B994" s="14">
        <f>167.1891 * CHOOSE(CONTROL!$C$9, $D$9, 100%, $F$9) + CHOOSE(CONTROL!$C$27, 0.0021, 0)</f>
        <v>167.19120000000001</v>
      </c>
      <c r="C994" s="14">
        <f>166.7569 * CHOOSE(CONTROL!$C$9, $D$9, 100%, $F$9) + CHOOSE(CONTROL!$C$27, 0.0021, 0)</f>
        <v>166.75900000000001</v>
      </c>
      <c r="D994" s="14">
        <f>166.7569 * CHOOSE(CONTROL!$C$9, $D$9, 100%, $F$9) + CHOOSE(CONTROL!$C$27, 0.0021, 0)</f>
        <v>166.75900000000001</v>
      </c>
      <c r="E994" s="14">
        <f>166.6202 * CHOOSE(CONTROL!$C$9, $D$9, 100%, $F$9) + CHOOSE(CONTROL!$C$27, 0.0021, 0)</f>
        <v>166.62230000000002</v>
      </c>
      <c r="F994" s="14">
        <f>166.6202 * CHOOSE(CONTROL!$C$9, $D$9, 100%, $F$9) + CHOOSE(CONTROL!$C$27, 0.0021, 0)</f>
        <v>166.62230000000002</v>
      </c>
      <c r="G994" s="14">
        <f>166.8916 * CHOOSE(CONTROL!$C$9, $D$9, 100%, $F$9) + CHOOSE(CONTROL!$C$27, 0.0021, 0)</f>
        <v>166.89370000000002</v>
      </c>
      <c r="H994" s="14">
        <f>166.7569 * CHOOSE(CONTROL!$C$9, $D$9, 100%, $F$9) + CHOOSE(CONTROL!$C$27, 0.0021, 0)</f>
        <v>166.75900000000001</v>
      </c>
      <c r="I994" s="14">
        <f>166.7569 * CHOOSE(CONTROL!$C$9, $D$9, 100%, $F$9) + CHOOSE(CONTROL!$C$27, 0.0021, 0)</f>
        <v>166.75900000000001</v>
      </c>
      <c r="J994" s="14">
        <f>166.7569 * CHOOSE(CONTROL!$C$9, $D$9, 100%, $F$9) + CHOOSE(CONTROL!$C$27, 0.0021, 0)</f>
        <v>166.75900000000001</v>
      </c>
      <c r="K994" s="14">
        <f>166.7569 * CHOOSE(CONTROL!$C$9, $D$9, 100%, $F$9) + CHOOSE(CONTROL!$C$27, 0.0021, 0)</f>
        <v>166.75900000000001</v>
      </c>
      <c r="L994" s="14"/>
    </row>
    <row r="995" spans="1:12" ht="15.75" x14ac:dyDescent="0.25">
      <c r="A995" s="32">
        <v>71224</v>
      </c>
      <c r="B995" s="14">
        <f>162.2958 * CHOOSE(CONTROL!$C$9, $D$9, 100%, $F$9) + CHOOSE(CONTROL!$C$27, 0.0021, 0)</f>
        <v>162.29790000000003</v>
      </c>
      <c r="C995" s="14">
        <f>161.8635 * CHOOSE(CONTROL!$C$9, $D$9, 100%, $F$9) + CHOOSE(CONTROL!$C$27, 0.0021, 0)</f>
        <v>161.8656</v>
      </c>
      <c r="D995" s="14">
        <f>161.8635 * CHOOSE(CONTROL!$C$9, $D$9, 100%, $F$9) + CHOOSE(CONTROL!$C$27, 0.0021, 0)</f>
        <v>161.8656</v>
      </c>
      <c r="E995" s="14">
        <f>161.7269 * CHOOSE(CONTROL!$C$9, $D$9, 100%, $F$9) + CHOOSE(CONTROL!$C$27, 0.0021, 0)</f>
        <v>161.72900000000001</v>
      </c>
      <c r="F995" s="14">
        <f>161.7269 * CHOOSE(CONTROL!$C$9, $D$9, 100%, $F$9) + CHOOSE(CONTROL!$C$27, 0.0021, 0)</f>
        <v>161.72900000000001</v>
      </c>
      <c r="G995" s="14">
        <f>161.9983 * CHOOSE(CONTROL!$C$9, $D$9, 100%, $F$9) + CHOOSE(CONTROL!$C$27, 0.0021, 0)</f>
        <v>162.00040000000001</v>
      </c>
      <c r="H995" s="14">
        <f>161.8635 * CHOOSE(CONTROL!$C$9, $D$9, 100%, $F$9) + CHOOSE(CONTROL!$C$27, 0.0021, 0)</f>
        <v>161.8656</v>
      </c>
      <c r="I995" s="14">
        <f>161.8635 * CHOOSE(CONTROL!$C$9, $D$9, 100%, $F$9) + CHOOSE(CONTROL!$C$27, 0.0021, 0)</f>
        <v>161.8656</v>
      </c>
      <c r="J995" s="14">
        <f>161.8635 * CHOOSE(CONTROL!$C$9, $D$9, 100%, $F$9) + CHOOSE(CONTROL!$C$27, 0.0021, 0)</f>
        <v>161.8656</v>
      </c>
      <c r="K995" s="14">
        <f>161.8635 * CHOOSE(CONTROL!$C$9, $D$9, 100%, $F$9) + CHOOSE(CONTROL!$C$27, 0.0021, 0)</f>
        <v>161.8656</v>
      </c>
      <c r="L995" s="14"/>
    </row>
    <row r="996" spans="1:12" ht="15.75" x14ac:dyDescent="0.25">
      <c r="A996" s="32">
        <v>71255</v>
      </c>
      <c r="B996" s="14">
        <f>161.3431 * CHOOSE(CONTROL!$C$9, $D$9, 100%, $F$9) + CHOOSE(CONTROL!$C$27, 0.0021, 0)</f>
        <v>161.34520000000001</v>
      </c>
      <c r="C996" s="14">
        <f>160.9109 * CHOOSE(CONTROL!$C$9, $D$9, 100%, $F$9) + CHOOSE(CONTROL!$C$27, 0.0021, 0)</f>
        <v>160.91300000000001</v>
      </c>
      <c r="D996" s="14">
        <f>160.9109 * CHOOSE(CONTROL!$C$9, $D$9, 100%, $F$9) + CHOOSE(CONTROL!$C$27, 0.0021, 0)</f>
        <v>160.91300000000001</v>
      </c>
      <c r="E996" s="14">
        <f>160.7742 * CHOOSE(CONTROL!$C$9, $D$9, 100%, $F$9) + CHOOSE(CONTROL!$C$27, 0.0021, 0)</f>
        <v>160.77630000000002</v>
      </c>
      <c r="F996" s="14">
        <f>160.7742 * CHOOSE(CONTROL!$C$9, $D$9, 100%, $F$9) + CHOOSE(CONTROL!$C$27, 0.0021, 0)</f>
        <v>160.77630000000002</v>
      </c>
      <c r="G996" s="14">
        <f>161.0456 * CHOOSE(CONTROL!$C$9, $D$9, 100%, $F$9) + CHOOSE(CONTROL!$C$27, 0.0021, 0)</f>
        <v>161.04770000000002</v>
      </c>
      <c r="H996" s="14">
        <f>160.9109 * CHOOSE(CONTROL!$C$9, $D$9, 100%, $F$9) + CHOOSE(CONTROL!$C$27, 0.0021, 0)</f>
        <v>160.91300000000001</v>
      </c>
      <c r="I996" s="14">
        <f>160.9109 * CHOOSE(CONTROL!$C$9, $D$9, 100%, $F$9) + CHOOSE(CONTROL!$C$27, 0.0021, 0)</f>
        <v>160.91300000000001</v>
      </c>
      <c r="J996" s="14">
        <f>160.9109 * CHOOSE(CONTROL!$C$9, $D$9, 100%, $F$9) + CHOOSE(CONTROL!$C$27, 0.0021, 0)</f>
        <v>160.91300000000001</v>
      </c>
      <c r="K996" s="14">
        <f>160.9109 * CHOOSE(CONTROL!$C$9, $D$9, 100%, $F$9) + CHOOSE(CONTROL!$C$27, 0.0021, 0)</f>
        <v>160.91300000000001</v>
      </c>
      <c r="L996" s="14"/>
    </row>
    <row r="997" spans="1:12" ht="15.75" x14ac:dyDescent="0.25">
      <c r="A997" s="32">
        <v>71283</v>
      </c>
      <c r="B997" s="14">
        <f>160.901 * CHOOSE(CONTROL!$C$9, $D$9, 100%, $F$9) + CHOOSE(CONTROL!$C$27, 0.0021, 0)</f>
        <v>160.90310000000002</v>
      </c>
      <c r="C997" s="14">
        <f>160.4688 * CHOOSE(CONTROL!$C$9, $D$9, 100%, $F$9) + CHOOSE(CONTROL!$C$27, 0.0021, 0)</f>
        <v>160.4709</v>
      </c>
      <c r="D997" s="14">
        <f>160.4688 * CHOOSE(CONTROL!$C$9, $D$9, 100%, $F$9) + CHOOSE(CONTROL!$C$27, 0.0021, 0)</f>
        <v>160.4709</v>
      </c>
      <c r="E997" s="14">
        <f>160.3321 * CHOOSE(CONTROL!$C$9, $D$9, 100%, $F$9) + CHOOSE(CONTROL!$C$27, 0.0021, 0)</f>
        <v>160.33420000000001</v>
      </c>
      <c r="F997" s="14">
        <f>160.3321 * CHOOSE(CONTROL!$C$9, $D$9, 100%, $F$9) + CHOOSE(CONTROL!$C$27, 0.0021, 0)</f>
        <v>160.33420000000001</v>
      </c>
      <c r="G997" s="14">
        <f>160.6035 * CHOOSE(CONTROL!$C$9, $D$9, 100%, $F$9) + CHOOSE(CONTROL!$C$27, 0.0021, 0)</f>
        <v>160.60560000000001</v>
      </c>
      <c r="H997" s="14">
        <f>160.4688 * CHOOSE(CONTROL!$C$9, $D$9, 100%, $F$9) + CHOOSE(CONTROL!$C$27, 0.0021, 0)</f>
        <v>160.4709</v>
      </c>
      <c r="I997" s="14">
        <f>160.4688 * CHOOSE(CONTROL!$C$9, $D$9, 100%, $F$9) + CHOOSE(CONTROL!$C$27, 0.0021, 0)</f>
        <v>160.4709</v>
      </c>
      <c r="J997" s="14">
        <f>160.4688 * CHOOSE(CONTROL!$C$9, $D$9, 100%, $F$9) + CHOOSE(CONTROL!$C$27, 0.0021, 0)</f>
        <v>160.4709</v>
      </c>
      <c r="K997" s="14">
        <f>160.4688 * CHOOSE(CONTROL!$C$9, $D$9, 100%, $F$9) + CHOOSE(CONTROL!$C$27, 0.0021, 0)</f>
        <v>160.4709</v>
      </c>
      <c r="L997" s="14"/>
    </row>
    <row r="998" spans="1:12" ht="15.75" x14ac:dyDescent="0.25">
      <c r="A998" s="32">
        <v>71314</v>
      </c>
      <c r="B998" s="14">
        <f>169.2606 * CHOOSE(CONTROL!$C$9, $D$9, 100%, $F$9) + CHOOSE(CONTROL!$C$27, 0.0021, 0)</f>
        <v>169.26270000000002</v>
      </c>
      <c r="C998" s="14">
        <f>168.8284 * CHOOSE(CONTROL!$C$9, $D$9, 100%, $F$9) + CHOOSE(CONTROL!$C$27, 0.0021, 0)</f>
        <v>168.8305</v>
      </c>
      <c r="D998" s="14">
        <f>168.8284 * CHOOSE(CONTROL!$C$9, $D$9, 100%, $F$9) + CHOOSE(CONTROL!$C$27, 0.0021, 0)</f>
        <v>168.8305</v>
      </c>
      <c r="E998" s="14">
        <f>168.6917 * CHOOSE(CONTROL!$C$9, $D$9, 100%, $F$9) + CHOOSE(CONTROL!$C$27, 0.0021, 0)</f>
        <v>168.69380000000001</v>
      </c>
      <c r="F998" s="14">
        <f>168.6917 * CHOOSE(CONTROL!$C$9, $D$9, 100%, $F$9) + CHOOSE(CONTROL!$C$27, 0.0021, 0)</f>
        <v>168.69380000000001</v>
      </c>
      <c r="G998" s="14">
        <f>168.9631 * CHOOSE(CONTROL!$C$9, $D$9, 100%, $F$9) + CHOOSE(CONTROL!$C$27, 0.0021, 0)</f>
        <v>168.96520000000001</v>
      </c>
      <c r="H998" s="14">
        <f>168.8284 * CHOOSE(CONTROL!$C$9, $D$9, 100%, $F$9) + CHOOSE(CONTROL!$C$27, 0.0021, 0)</f>
        <v>168.8305</v>
      </c>
      <c r="I998" s="14">
        <f>168.8284 * CHOOSE(CONTROL!$C$9, $D$9, 100%, $F$9) + CHOOSE(CONTROL!$C$27, 0.0021, 0)</f>
        <v>168.8305</v>
      </c>
      <c r="J998" s="14">
        <f>168.8284 * CHOOSE(CONTROL!$C$9, $D$9, 100%, $F$9) + CHOOSE(CONTROL!$C$27, 0.0021, 0)</f>
        <v>168.8305</v>
      </c>
      <c r="K998" s="14">
        <f>168.8284 * CHOOSE(CONTROL!$C$9, $D$9, 100%, $F$9) + CHOOSE(CONTROL!$C$27, 0.0021, 0)</f>
        <v>168.8305</v>
      </c>
      <c r="L998" s="14"/>
    </row>
    <row r="999" spans="1:12" ht="15.75" x14ac:dyDescent="0.25">
      <c r="A999" s="32">
        <v>71344</v>
      </c>
      <c r="B999" s="14">
        <f>180.101 * CHOOSE(CONTROL!$C$9, $D$9, 100%, $F$9) + CHOOSE(CONTROL!$C$27, 0.0021, 0)</f>
        <v>180.10310000000001</v>
      </c>
      <c r="C999" s="14">
        <f>179.6687 * CHOOSE(CONTROL!$C$9, $D$9, 100%, $F$9) + CHOOSE(CONTROL!$C$27, 0.0021, 0)</f>
        <v>179.67080000000001</v>
      </c>
      <c r="D999" s="14">
        <f>179.6687 * CHOOSE(CONTROL!$C$9, $D$9, 100%, $F$9) + CHOOSE(CONTROL!$C$27, 0.0021, 0)</f>
        <v>179.67080000000001</v>
      </c>
      <c r="E999" s="14">
        <f>179.5321 * CHOOSE(CONTROL!$C$9, $D$9, 100%, $F$9) + CHOOSE(CONTROL!$C$27, 0.0021, 0)</f>
        <v>179.53420000000003</v>
      </c>
      <c r="F999" s="14">
        <f>179.5321 * CHOOSE(CONTROL!$C$9, $D$9, 100%, $F$9) + CHOOSE(CONTROL!$C$27, 0.0021, 0)</f>
        <v>179.53420000000003</v>
      </c>
      <c r="G999" s="14">
        <f>179.8035 * CHOOSE(CONTROL!$C$9, $D$9, 100%, $F$9) + CHOOSE(CONTROL!$C$27, 0.0021, 0)</f>
        <v>179.80560000000003</v>
      </c>
      <c r="H999" s="14">
        <f>179.6687 * CHOOSE(CONTROL!$C$9, $D$9, 100%, $F$9) + CHOOSE(CONTROL!$C$27, 0.0021, 0)</f>
        <v>179.67080000000001</v>
      </c>
      <c r="I999" s="14">
        <f>179.6687 * CHOOSE(CONTROL!$C$9, $D$9, 100%, $F$9) + CHOOSE(CONTROL!$C$27, 0.0021, 0)</f>
        <v>179.67080000000001</v>
      </c>
      <c r="J999" s="14">
        <f>179.6687 * CHOOSE(CONTROL!$C$9, $D$9, 100%, $F$9) + CHOOSE(CONTROL!$C$27, 0.0021, 0)</f>
        <v>179.67080000000001</v>
      </c>
      <c r="K999" s="14">
        <f>179.6687 * CHOOSE(CONTROL!$C$9, $D$9, 100%, $F$9) + CHOOSE(CONTROL!$C$27, 0.0021, 0)</f>
        <v>179.67080000000001</v>
      </c>
      <c r="L999" s="14"/>
    </row>
    <row r="1000" spans="1:12" ht="15.75" x14ac:dyDescent="0.25">
      <c r="A1000" s="32">
        <v>71375</v>
      </c>
      <c r="B1000" s="14">
        <f>186.0679 * CHOOSE(CONTROL!$C$9, $D$9, 100%, $F$9) + CHOOSE(CONTROL!$C$27, 0.0021, 0)</f>
        <v>186.07000000000002</v>
      </c>
      <c r="C1000" s="14">
        <f>185.6357 * CHOOSE(CONTROL!$C$9, $D$9, 100%, $F$9) + CHOOSE(CONTROL!$C$27, 0.0021, 0)</f>
        <v>185.63780000000003</v>
      </c>
      <c r="D1000" s="14">
        <f>185.6357 * CHOOSE(CONTROL!$C$9, $D$9, 100%, $F$9) + CHOOSE(CONTROL!$C$27, 0.0021, 0)</f>
        <v>185.63780000000003</v>
      </c>
      <c r="E1000" s="14">
        <f>185.499 * CHOOSE(CONTROL!$C$9, $D$9, 100%, $F$9) + CHOOSE(CONTROL!$C$27, 0.0021, 0)</f>
        <v>185.50110000000001</v>
      </c>
      <c r="F1000" s="14">
        <f>185.499 * CHOOSE(CONTROL!$C$9, $D$9, 100%, $F$9) + CHOOSE(CONTROL!$C$27, 0.0021, 0)</f>
        <v>185.50110000000001</v>
      </c>
      <c r="G1000" s="14">
        <f>185.7704 * CHOOSE(CONTROL!$C$9, $D$9, 100%, $F$9) + CHOOSE(CONTROL!$C$27, 0.0021, 0)</f>
        <v>185.77250000000001</v>
      </c>
      <c r="H1000" s="14">
        <f>185.6357 * CHOOSE(CONTROL!$C$9, $D$9, 100%, $F$9) + CHOOSE(CONTROL!$C$27, 0.0021, 0)</f>
        <v>185.63780000000003</v>
      </c>
      <c r="I1000" s="14">
        <f>185.6357 * CHOOSE(CONTROL!$C$9, $D$9, 100%, $F$9) + CHOOSE(CONTROL!$C$27, 0.0021, 0)</f>
        <v>185.63780000000003</v>
      </c>
      <c r="J1000" s="14">
        <f>185.6357 * CHOOSE(CONTROL!$C$9, $D$9, 100%, $F$9) + CHOOSE(CONTROL!$C$27, 0.0021, 0)</f>
        <v>185.63780000000003</v>
      </c>
      <c r="K1000" s="14">
        <f>185.6357 * CHOOSE(CONTROL!$C$9, $D$9, 100%, $F$9) + CHOOSE(CONTROL!$C$27, 0.0021, 0)</f>
        <v>185.63780000000003</v>
      </c>
      <c r="L1000" s="14"/>
    </row>
    <row r="1001" spans="1:12" ht="15.75" x14ac:dyDescent="0.25">
      <c r="A1001" s="32">
        <v>71405</v>
      </c>
      <c r="B1001" s="14">
        <f>188.7159 * CHOOSE(CONTROL!$C$9, $D$9, 100%, $F$9) + CHOOSE(CONTROL!$C$27, 0.0021, 0)</f>
        <v>188.71800000000002</v>
      </c>
      <c r="C1001" s="14">
        <f>188.2837 * CHOOSE(CONTROL!$C$9, $D$9, 100%, $F$9) + CHOOSE(CONTROL!$C$27, 0.0021, 0)</f>
        <v>188.28580000000002</v>
      </c>
      <c r="D1001" s="14">
        <f>188.2837 * CHOOSE(CONTROL!$C$9, $D$9, 100%, $F$9) + CHOOSE(CONTROL!$C$27, 0.0021, 0)</f>
        <v>188.28580000000002</v>
      </c>
      <c r="E1001" s="14">
        <f>188.147 * CHOOSE(CONTROL!$C$9, $D$9, 100%, $F$9) + CHOOSE(CONTROL!$C$27, 0.0021, 0)</f>
        <v>188.1491</v>
      </c>
      <c r="F1001" s="14">
        <f>188.147 * CHOOSE(CONTROL!$C$9, $D$9, 100%, $F$9) + CHOOSE(CONTROL!$C$27, 0.0021, 0)</f>
        <v>188.1491</v>
      </c>
      <c r="G1001" s="14">
        <f>188.4184 * CHOOSE(CONTROL!$C$9, $D$9, 100%, $F$9) + CHOOSE(CONTROL!$C$27, 0.0021, 0)</f>
        <v>188.4205</v>
      </c>
      <c r="H1001" s="14">
        <f>188.2837 * CHOOSE(CONTROL!$C$9, $D$9, 100%, $F$9) + CHOOSE(CONTROL!$C$27, 0.0021, 0)</f>
        <v>188.28580000000002</v>
      </c>
      <c r="I1001" s="14">
        <f>188.2837 * CHOOSE(CONTROL!$C$9, $D$9, 100%, $F$9) + CHOOSE(CONTROL!$C$27, 0.0021, 0)</f>
        <v>188.28580000000002</v>
      </c>
      <c r="J1001" s="14">
        <f>188.2837 * CHOOSE(CONTROL!$C$9, $D$9, 100%, $F$9) + CHOOSE(CONTROL!$C$27, 0.0021, 0)</f>
        <v>188.28580000000002</v>
      </c>
      <c r="K1001" s="14">
        <f>188.2837 * CHOOSE(CONTROL!$C$9, $D$9, 100%, $F$9) + CHOOSE(CONTROL!$C$27, 0.0021, 0)</f>
        <v>188.28580000000002</v>
      </c>
      <c r="L1001" s="14"/>
    </row>
    <row r="1002" spans="1:12" ht="15.75" x14ac:dyDescent="0.25">
      <c r="A1002" s="32">
        <v>71436</v>
      </c>
      <c r="B1002" s="14">
        <f>187.8441 * CHOOSE(CONTROL!$C$9, $D$9, 100%, $F$9) + CHOOSE(CONTROL!$C$27, 0.0021, 0)</f>
        <v>187.84620000000001</v>
      </c>
      <c r="C1002" s="14">
        <f>187.4118 * CHOOSE(CONTROL!$C$9, $D$9, 100%, $F$9) + CHOOSE(CONTROL!$C$27, 0.0021, 0)</f>
        <v>187.41390000000001</v>
      </c>
      <c r="D1002" s="14">
        <f>187.4118 * CHOOSE(CONTROL!$C$9, $D$9, 100%, $F$9) + CHOOSE(CONTROL!$C$27, 0.0021, 0)</f>
        <v>187.41390000000001</v>
      </c>
      <c r="E1002" s="14">
        <f>187.2752 * CHOOSE(CONTROL!$C$9, $D$9, 100%, $F$9) + CHOOSE(CONTROL!$C$27, 0.0021, 0)</f>
        <v>187.27730000000003</v>
      </c>
      <c r="F1002" s="14">
        <f>187.2752 * CHOOSE(CONTROL!$C$9, $D$9, 100%, $F$9) + CHOOSE(CONTROL!$C$27, 0.0021, 0)</f>
        <v>187.27730000000003</v>
      </c>
      <c r="G1002" s="14">
        <f>187.5465 * CHOOSE(CONTROL!$C$9, $D$9, 100%, $F$9) + CHOOSE(CONTROL!$C$27, 0.0021, 0)</f>
        <v>187.54860000000002</v>
      </c>
      <c r="H1002" s="14">
        <f>187.4118 * CHOOSE(CONTROL!$C$9, $D$9, 100%, $F$9) + CHOOSE(CONTROL!$C$27, 0.0021, 0)</f>
        <v>187.41390000000001</v>
      </c>
      <c r="I1002" s="14">
        <f>187.4118 * CHOOSE(CONTROL!$C$9, $D$9, 100%, $F$9) + CHOOSE(CONTROL!$C$27, 0.0021, 0)</f>
        <v>187.41390000000001</v>
      </c>
      <c r="J1002" s="14">
        <f>187.4118 * CHOOSE(CONTROL!$C$9, $D$9, 100%, $F$9) + CHOOSE(CONTROL!$C$27, 0.0021, 0)</f>
        <v>187.41390000000001</v>
      </c>
      <c r="K1002" s="14">
        <f>187.4118 * CHOOSE(CONTROL!$C$9, $D$9, 100%, $F$9) + CHOOSE(CONTROL!$C$27, 0.0021, 0)</f>
        <v>187.41390000000001</v>
      </c>
      <c r="L1002" s="14"/>
    </row>
    <row r="1003" spans="1:12" ht="15.75" x14ac:dyDescent="0.25">
      <c r="A1003" s="32">
        <v>71467</v>
      </c>
      <c r="B1003" s="14">
        <f>183.5245 * CHOOSE(CONTROL!$C$9, $D$9, 100%, $F$9) + CHOOSE(CONTROL!$C$27, 0.0021, 0)</f>
        <v>183.5266</v>
      </c>
      <c r="C1003" s="14">
        <f>183.0922 * CHOOSE(CONTROL!$C$9, $D$9, 100%, $F$9) + CHOOSE(CONTROL!$C$27, 0.0021, 0)</f>
        <v>183.0943</v>
      </c>
      <c r="D1003" s="14">
        <f>183.0922 * CHOOSE(CONTROL!$C$9, $D$9, 100%, $F$9) + CHOOSE(CONTROL!$C$27, 0.0021, 0)</f>
        <v>183.0943</v>
      </c>
      <c r="E1003" s="14">
        <f>182.9556 * CHOOSE(CONTROL!$C$9, $D$9, 100%, $F$9) + CHOOSE(CONTROL!$C$27, 0.0021, 0)</f>
        <v>182.95770000000002</v>
      </c>
      <c r="F1003" s="14">
        <f>182.9556 * CHOOSE(CONTROL!$C$9, $D$9, 100%, $F$9) + CHOOSE(CONTROL!$C$27, 0.0021, 0)</f>
        <v>182.95770000000002</v>
      </c>
      <c r="G1003" s="14">
        <f>183.227 * CHOOSE(CONTROL!$C$9, $D$9, 100%, $F$9) + CHOOSE(CONTROL!$C$27, 0.0021, 0)</f>
        <v>183.22910000000002</v>
      </c>
      <c r="H1003" s="14">
        <f>183.0922 * CHOOSE(CONTROL!$C$9, $D$9, 100%, $F$9) + CHOOSE(CONTROL!$C$27, 0.0021, 0)</f>
        <v>183.0943</v>
      </c>
      <c r="I1003" s="14">
        <f>183.0922 * CHOOSE(CONTROL!$C$9, $D$9, 100%, $F$9) + CHOOSE(CONTROL!$C$27, 0.0021, 0)</f>
        <v>183.0943</v>
      </c>
      <c r="J1003" s="14">
        <f>183.0922 * CHOOSE(CONTROL!$C$9, $D$9, 100%, $F$9) + CHOOSE(CONTROL!$C$27, 0.0021, 0)</f>
        <v>183.0943</v>
      </c>
      <c r="K1003" s="14">
        <f>183.0922 * CHOOSE(CONTROL!$C$9, $D$9, 100%, $F$9) + CHOOSE(CONTROL!$C$27, 0.0021, 0)</f>
        <v>183.0943</v>
      </c>
      <c r="L1003" s="14"/>
    </row>
    <row r="1004" spans="1:12" ht="15.75" x14ac:dyDescent="0.25">
      <c r="A1004" s="32">
        <v>71497</v>
      </c>
      <c r="B1004" s="14">
        <f>177.5007 * CHOOSE(CONTROL!$C$9, $D$9, 100%, $F$9) + CHOOSE(CONTROL!$C$27, 0.0021, 0)</f>
        <v>177.50280000000001</v>
      </c>
      <c r="C1004" s="14">
        <f>177.0684 * CHOOSE(CONTROL!$C$9, $D$9, 100%, $F$9) + CHOOSE(CONTROL!$C$27, 0.0021, 0)</f>
        <v>177.07050000000001</v>
      </c>
      <c r="D1004" s="14">
        <f>177.0684 * CHOOSE(CONTROL!$C$9, $D$9, 100%, $F$9) + CHOOSE(CONTROL!$C$27, 0.0021, 0)</f>
        <v>177.07050000000001</v>
      </c>
      <c r="E1004" s="14">
        <f>176.9317 * CHOOSE(CONTROL!$C$9, $D$9, 100%, $F$9) + CHOOSE(CONTROL!$C$27, 0.0021, 0)</f>
        <v>176.93380000000002</v>
      </c>
      <c r="F1004" s="14">
        <f>176.9317 * CHOOSE(CONTROL!$C$9, $D$9, 100%, $F$9) + CHOOSE(CONTROL!$C$27, 0.0021, 0)</f>
        <v>176.93380000000002</v>
      </c>
      <c r="G1004" s="14">
        <f>177.2031 * CHOOSE(CONTROL!$C$9, $D$9, 100%, $F$9) + CHOOSE(CONTROL!$C$27, 0.0021, 0)</f>
        <v>177.20520000000002</v>
      </c>
      <c r="H1004" s="14">
        <f>177.0684 * CHOOSE(CONTROL!$C$9, $D$9, 100%, $F$9) + CHOOSE(CONTROL!$C$27, 0.0021, 0)</f>
        <v>177.07050000000001</v>
      </c>
      <c r="I1004" s="14">
        <f>177.0684 * CHOOSE(CONTROL!$C$9, $D$9, 100%, $F$9) + CHOOSE(CONTROL!$C$27, 0.0021, 0)</f>
        <v>177.07050000000001</v>
      </c>
      <c r="J1004" s="14">
        <f>177.0684 * CHOOSE(CONTROL!$C$9, $D$9, 100%, $F$9) + CHOOSE(CONTROL!$C$27, 0.0021, 0)</f>
        <v>177.07050000000001</v>
      </c>
      <c r="K1004" s="14">
        <f>177.0684 * CHOOSE(CONTROL!$C$9, $D$9, 100%, $F$9) + CHOOSE(CONTROL!$C$27, 0.0021, 0)</f>
        <v>177.07050000000001</v>
      </c>
      <c r="L1004" s="14"/>
    </row>
    <row r="1005" spans="1:12" ht="15.75" x14ac:dyDescent="0.25">
      <c r="A1005" s="32">
        <v>71528</v>
      </c>
      <c r="B1005" s="14">
        <f>171.4418 * CHOOSE(CONTROL!$C$9, $D$9, 100%, $F$9) + CHOOSE(CONTROL!$C$27, 0.0021, 0)</f>
        <v>171.44390000000001</v>
      </c>
      <c r="C1005" s="14">
        <f>171.0095 * CHOOSE(CONTROL!$C$9, $D$9, 100%, $F$9) + CHOOSE(CONTROL!$C$27, 0.0021, 0)</f>
        <v>171.01160000000002</v>
      </c>
      <c r="D1005" s="14">
        <f>171.0095 * CHOOSE(CONTROL!$C$9, $D$9, 100%, $F$9) + CHOOSE(CONTROL!$C$27, 0.0021, 0)</f>
        <v>171.01160000000002</v>
      </c>
      <c r="E1005" s="14">
        <f>170.8729 * CHOOSE(CONTROL!$C$9, $D$9, 100%, $F$9) + CHOOSE(CONTROL!$C$27, 0.0021, 0)</f>
        <v>170.875</v>
      </c>
      <c r="F1005" s="14">
        <f>170.8729 * CHOOSE(CONTROL!$C$9, $D$9, 100%, $F$9) + CHOOSE(CONTROL!$C$27, 0.0021, 0)</f>
        <v>170.875</v>
      </c>
      <c r="G1005" s="14">
        <f>171.1442 * CHOOSE(CONTROL!$C$9, $D$9, 100%, $F$9) + CHOOSE(CONTROL!$C$27, 0.0021, 0)</f>
        <v>171.14630000000002</v>
      </c>
      <c r="H1005" s="14">
        <f>171.0095 * CHOOSE(CONTROL!$C$9, $D$9, 100%, $F$9) + CHOOSE(CONTROL!$C$27, 0.0021, 0)</f>
        <v>171.01160000000002</v>
      </c>
      <c r="I1005" s="14">
        <f>171.0095 * CHOOSE(CONTROL!$C$9, $D$9, 100%, $F$9) + CHOOSE(CONTROL!$C$27, 0.0021, 0)</f>
        <v>171.01160000000002</v>
      </c>
      <c r="J1005" s="14">
        <f>171.0095 * CHOOSE(CONTROL!$C$9, $D$9, 100%, $F$9) + CHOOSE(CONTROL!$C$27, 0.0021, 0)</f>
        <v>171.01160000000002</v>
      </c>
      <c r="K1005" s="14">
        <f>171.0095 * CHOOSE(CONTROL!$C$9, $D$9, 100%, $F$9) + CHOOSE(CONTROL!$C$27, 0.0021, 0)</f>
        <v>171.01160000000002</v>
      </c>
      <c r="L1005" s="14"/>
    </row>
    <row r="1006" spans="1:12" ht="15.75" x14ac:dyDescent="0.25">
      <c r="A1006" s="32">
        <v>71558</v>
      </c>
      <c r="B1006" s="14">
        <f>170.2365 * CHOOSE(CONTROL!$C$9, $D$9, 100%, $F$9) + CHOOSE(CONTROL!$C$27, 0.0021, 0)</f>
        <v>170.23860000000002</v>
      </c>
      <c r="C1006" s="14">
        <f>169.8043 * CHOOSE(CONTROL!$C$9, $D$9, 100%, $F$9) + CHOOSE(CONTROL!$C$27, 0.0021, 0)</f>
        <v>169.80640000000002</v>
      </c>
      <c r="D1006" s="14">
        <f>169.8043 * CHOOSE(CONTROL!$C$9, $D$9, 100%, $F$9) + CHOOSE(CONTROL!$C$27, 0.0021, 0)</f>
        <v>169.80640000000002</v>
      </c>
      <c r="E1006" s="14">
        <f>169.6676 * CHOOSE(CONTROL!$C$9, $D$9, 100%, $F$9) + CHOOSE(CONTROL!$C$27, 0.0021, 0)</f>
        <v>169.66970000000001</v>
      </c>
      <c r="F1006" s="14">
        <f>169.6676 * CHOOSE(CONTROL!$C$9, $D$9, 100%, $F$9) + CHOOSE(CONTROL!$C$27, 0.0021, 0)</f>
        <v>169.66970000000001</v>
      </c>
      <c r="G1006" s="14">
        <f>169.939 * CHOOSE(CONTROL!$C$9, $D$9, 100%, $F$9) + CHOOSE(CONTROL!$C$27, 0.0021, 0)</f>
        <v>169.94110000000001</v>
      </c>
      <c r="H1006" s="14">
        <f>169.8043 * CHOOSE(CONTROL!$C$9, $D$9, 100%, $F$9) + CHOOSE(CONTROL!$C$27, 0.0021, 0)</f>
        <v>169.80640000000002</v>
      </c>
      <c r="I1006" s="14">
        <f>169.8043 * CHOOSE(CONTROL!$C$9, $D$9, 100%, $F$9) + CHOOSE(CONTROL!$C$27, 0.0021, 0)</f>
        <v>169.80640000000002</v>
      </c>
      <c r="J1006" s="14">
        <f>169.8043 * CHOOSE(CONTROL!$C$9, $D$9, 100%, $F$9) + CHOOSE(CONTROL!$C$27, 0.0021, 0)</f>
        <v>169.80640000000002</v>
      </c>
      <c r="K1006" s="14">
        <f>169.8043 * CHOOSE(CONTROL!$C$9, $D$9, 100%, $F$9) + CHOOSE(CONTROL!$C$27, 0.0021, 0)</f>
        <v>169.80640000000002</v>
      </c>
      <c r="L1006" s="14"/>
    </row>
    <row r="1007" spans="1:12" ht="15.75" x14ac:dyDescent="0.25">
      <c r="A1007" s="32">
        <v>71589</v>
      </c>
      <c r="B1007" s="14">
        <f>165.2528 * CHOOSE(CONTROL!$C$9, $D$9, 100%, $F$9) + CHOOSE(CONTROL!$C$27, 0.0021, 0)</f>
        <v>165.25490000000002</v>
      </c>
      <c r="C1007" s="14">
        <f>164.8205 * CHOOSE(CONTROL!$C$9, $D$9, 100%, $F$9) + CHOOSE(CONTROL!$C$27, 0.0021, 0)</f>
        <v>164.82260000000002</v>
      </c>
      <c r="D1007" s="14">
        <f>164.8205 * CHOOSE(CONTROL!$C$9, $D$9, 100%, $F$9) + CHOOSE(CONTROL!$C$27, 0.0021, 0)</f>
        <v>164.82260000000002</v>
      </c>
      <c r="E1007" s="14">
        <f>164.6839 * CHOOSE(CONTROL!$C$9, $D$9, 100%, $F$9) + CHOOSE(CONTROL!$C$27, 0.0021, 0)</f>
        <v>164.68600000000001</v>
      </c>
      <c r="F1007" s="14">
        <f>164.6839 * CHOOSE(CONTROL!$C$9, $D$9, 100%, $F$9) + CHOOSE(CONTROL!$C$27, 0.0021, 0)</f>
        <v>164.68600000000001</v>
      </c>
      <c r="G1007" s="14">
        <f>164.9552 * CHOOSE(CONTROL!$C$9, $D$9, 100%, $F$9) + CHOOSE(CONTROL!$C$27, 0.0021, 0)</f>
        <v>164.9573</v>
      </c>
      <c r="H1007" s="14">
        <f>164.8205 * CHOOSE(CONTROL!$C$9, $D$9, 100%, $F$9) + CHOOSE(CONTROL!$C$27, 0.0021, 0)</f>
        <v>164.82260000000002</v>
      </c>
      <c r="I1007" s="14">
        <f>164.8205 * CHOOSE(CONTROL!$C$9, $D$9, 100%, $F$9) + CHOOSE(CONTROL!$C$27, 0.0021, 0)</f>
        <v>164.82260000000002</v>
      </c>
      <c r="J1007" s="14">
        <f>164.8205 * CHOOSE(CONTROL!$C$9, $D$9, 100%, $F$9) + CHOOSE(CONTROL!$C$27, 0.0021, 0)</f>
        <v>164.82260000000002</v>
      </c>
      <c r="K1007" s="14">
        <f>164.8205 * CHOOSE(CONTROL!$C$9, $D$9, 100%, $F$9) + CHOOSE(CONTROL!$C$27, 0.0021, 0)</f>
        <v>164.82260000000002</v>
      </c>
      <c r="L1007" s="14"/>
    </row>
    <row r="1008" spans="1:12" ht="15.75" x14ac:dyDescent="0.25">
      <c r="A1008" s="32">
        <v>71620</v>
      </c>
      <c r="B1008" s="14">
        <f>164.2825 * CHOOSE(CONTROL!$C$9, $D$9, 100%, $F$9) + CHOOSE(CONTROL!$C$27, 0.0021, 0)</f>
        <v>164.28460000000001</v>
      </c>
      <c r="C1008" s="14">
        <f>163.8502 * CHOOSE(CONTROL!$C$9, $D$9, 100%, $F$9) + CHOOSE(CONTROL!$C$27, 0.0021, 0)</f>
        <v>163.85230000000001</v>
      </c>
      <c r="D1008" s="14">
        <f>163.8502 * CHOOSE(CONTROL!$C$9, $D$9, 100%, $F$9) + CHOOSE(CONTROL!$C$27, 0.0021, 0)</f>
        <v>163.85230000000001</v>
      </c>
      <c r="E1008" s="14">
        <f>163.7136 * CHOOSE(CONTROL!$C$9, $D$9, 100%, $F$9) + CHOOSE(CONTROL!$C$27, 0.0021, 0)</f>
        <v>163.71570000000003</v>
      </c>
      <c r="F1008" s="14">
        <f>163.7136 * CHOOSE(CONTROL!$C$9, $D$9, 100%, $F$9) + CHOOSE(CONTROL!$C$27, 0.0021, 0)</f>
        <v>163.71570000000003</v>
      </c>
      <c r="G1008" s="14">
        <f>163.985 * CHOOSE(CONTROL!$C$9, $D$9, 100%, $F$9) + CHOOSE(CONTROL!$C$27, 0.0021, 0)</f>
        <v>163.98710000000003</v>
      </c>
      <c r="H1008" s="14">
        <f>163.8502 * CHOOSE(CONTROL!$C$9, $D$9, 100%, $F$9) + CHOOSE(CONTROL!$C$27, 0.0021, 0)</f>
        <v>163.85230000000001</v>
      </c>
      <c r="I1008" s="14">
        <f>163.8502 * CHOOSE(CONTROL!$C$9, $D$9, 100%, $F$9) + CHOOSE(CONTROL!$C$27, 0.0021, 0)</f>
        <v>163.85230000000001</v>
      </c>
      <c r="J1008" s="14">
        <f>163.8502 * CHOOSE(CONTROL!$C$9, $D$9, 100%, $F$9) + CHOOSE(CONTROL!$C$27, 0.0021, 0)</f>
        <v>163.85230000000001</v>
      </c>
      <c r="K1008" s="14">
        <f>163.8502 * CHOOSE(CONTROL!$C$9, $D$9, 100%, $F$9) + CHOOSE(CONTROL!$C$27, 0.0021, 0)</f>
        <v>163.85230000000001</v>
      </c>
      <c r="L1008" s="14"/>
    </row>
    <row r="1009" spans="1:12" ht="15.75" x14ac:dyDescent="0.25">
      <c r="A1009" s="32">
        <v>71649</v>
      </c>
      <c r="B1009" s="14">
        <f>163.8322 * CHOOSE(CONTROL!$C$9, $D$9, 100%, $F$9) + CHOOSE(CONTROL!$C$27, 0.0021, 0)</f>
        <v>163.83430000000001</v>
      </c>
      <c r="C1009" s="14">
        <f>163.4 * CHOOSE(CONTROL!$C$9, $D$9, 100%, $F$9) + CHOOSE(CONTROL!$C$27, 0.0021, 0)</f>
        <v>163.40210000000002</v>
      </c>
      <c r="D1009" s="14">
        <f>163.4 * CHOOSE(CONTROL!$C$9, $D$9, 100%, $F$9) + CHOOSE(CONTROL!$C$27, 0.0021, 0)</f>
        <v>163.40210000000002</v>
      </c>
      <c r="E1009" s="14">
        <f>163.2633 * CHOOSE(CONTROL!$C$9, $D$9, 100%, $F$9) + CHOOSE(CONTROL!$C$27, 0.0021, 0)</f>
        <v>163.2654</v>
      </c>
      <c r="F1009" s="14">
        <f>163.2633 * CHOOSE(CONTROL!$C$9, $D$9, 100%, $F$9) + CHOOSE(CONTROL!$C$27, 0.0021, 0)</f>
        <v>163.2654</v>
      </c>
      <c r="G1009" s="14">
        <f>163.5347 * CHOOSE(CONTROL!$C$9, $D$9, 100%, $F$9) + CHOOSE(CONTROL!$C$27, 0.0021, 0)</f>
        <v>163.5368</v>
      </c>
      <c r="H1009" s="14">
        <f>163.4 * CHOOSE(CONTROL!$C$9, $D$9, 100%, $F$9) + CHOOSE(CONTROL!$C$27, 0.0021, 0)</f>
        <v>163.40210000000002</v>
      </c>
      <c r="I1009" s="14">
        <f>163.4 * CHOOSE(CONTROL!$C$9, $D$9, 100%, $F$9) + CHOOSE(CONTROL!$C$27, 0.0021, 0)</f>
        <v>163.40210000000002</v>
      </c>
      <c r="J1009" s="14">
        <f>163.4 * CHOOSE(CONTROL!$C$9, $D$9, 100%, $F$9) + CHOOSE(CONTROL!$C$27, 0.0021, 0)</f>
        <v>163.40210000000002</v>
      </c>
      <c r="K1009" s="14">
        <f>163.4 * CHOOSE(CONTROL!$C$9, $D$9, 100%, $F$9) + CHOOSE(CONTROL!$C$27, 0.0021, 0)</f>
        <v>163.40210000000002</v>
      </c>
      <c r="L1009" s="14"/>
    </row>
    <row r="1010" spans="1:12" ht="15.75" x14ac:dyDescent="0.25">
      <c r="A1010" s="32">
        <v>71680</v>
      </c>
      <c r="B1010" s="14">
        <f>172.3463 * CHOOSE(CONTROL!$C$9, $D$9, 100%, $F$9) + CHOOSE(CONTROL!$C$27, 0.0021, 0)</f>
        <v>172.34840000000003</v>
      </c>
      <c r="C1010" s="14">
        <f>171.9141 * CHOOSE(CONTROL!$C$9, $D$9, 100%, $F$9) + CHOOSE(CONTROL!$C$27, 0.0021, 0)</f>
        <v>171.9162</v>
      </c>
      <c r="D1010" s="14">
        <f>171.9141 * CHOOSE(CONTROL!$C$9, $D$9, 100%, $F$9) + CHOOSE(CONTROL!$C$27, 0.0021, 0)</f>
        <v>171.9162</v>
      </c>
      <c r="E1010" s="14">
        <f>171.7774 * CHOOSE(CONTROL!$C$9, $D$9, 100%, $F$9) + CHOOSE(CONTROL!$C$27, 0.0021, 0)</f>
        <v>171.77950000000001</v>
      </c>
      <c r="F1010" s="14">
        <f>171.7774 * CHOOSE(CONTROL!$C$9, $D$9, 100%, $F$9) + CHOOSE(CONTROL!$C$27, 0.0021, 0)</f>
        <v>171.77950000000001</v>
      </c>
      <c r="G1010" s="14">
        <f>172.0488 * CHOOSE(CONTROL!$C$9, $D$9, 100%, $F$9) + CHOOSE(CONTROL!$C$27, 0.0021, 0)</f>
        <v>172.05090000000001</v>
      </c>
      <c r="H1010" s="14">
        <f>171.9141 * CHOOSE(CONTROL!$C$9, $D$9, 100%, $F$9) + CHOOSE(CONTROL!$C$27, 0.0021, 0)</f>
        <v>171.9162</v>
      </c>
      <c r="I1010" s="14">
        <f>171.9141 * CHOOSE(CONTROL!$C$9, $D$9, 100%, $F$9) + CHOOSE(CONTROL!$C$27, 0.0021, 0)</f>
        <v>171.9162</v>
      </c>
      <c r="J1010" s="14">
        <f>171.9141 * CHOOSE(CONTROL!$C$9, $D$9, 100%, $F$9) + CHOOSE(CONTROL!$C$27, 0.0021, 0)</f>
        <v>171.9162</v>
      </c>
      <c r="K1010" s="14">
        <f>171.9141 * CHOOSE(CONTROL!$C$9, $D$9, 100%, $F$9) + CHOOSE(CONTROL!$C$27, 0.0021, 0)</f>
        <v>171.9162</v>
      </c>
      <c r="L1010" s="14"/>
    </row>
    <row r="1011" spans="1:12" ht="15.75" x14ac:dyDescent="0.25">
      <c r="A1011" s="32">
        <v>71710</v>
      </c>
      <c r="B1011" s="14">
        <f>183.387 * CHOOSE(CONTROL!$C$9, $D$9, 100%, $F$9) + CHOOSE(CONTROL!$C$27, 0.0021, 0)</f>
        <v>183.38910000000001</v>
      </c>
      <c r="C1011" s="14">
        <f>182.9548 * CHOOSE(CONTROL!$C$9, $D$9, 100%, $F$9) + CHOOSE(CONTROL!$C$27, 0.0021, 0)</f>
        <v>182.95690000000002</v>
      </c>
      <c r="D1011" s="14">
        <f>182.9548 * CHOOSE(CONTROL!$C$9, $D$9, 100%, $F$9) + CHOOSE(CONTROL!$C$27, 0.0021, 0)</f>
        <v>182.95690000000002</v>
      </c>
      <c r="E1011" s="14">
        <f>182.8181 * CHOOSE(CONTROL!$C$9, $D$9, 100%, $F$9) + CHOOSE(CONTROL!$C$27, 0.0021, 0)</f>
        <v>182.8202</v>
      </c>
      <c r="F1011" s="14">
        <f>182.8181 * CHOOSE(CONTROL!$C$9, $D$9, 100%, $F$9) + CHOOSE(CONTROL!$C$27, 0.0021, 0)</f>
        <v>182.8202</v>
      </c>
      <c r="G1011" s="14">
        <f>183.0895 * CHOOSE(CONTROL!$C$9, $D$9, 100%, $F$9) + CHOOSE(CONTROL!$C$27, 0.0021, 0)</f>
        <v>183.0916</v>
      </c>
      <c r="H1011" s="14">
        <f>182.9548 * CHOOSE(CONTROL!$C$9, $D$9, 100%, $F$9) + CHOOSE(CONTROL!$C$27, 0.0021, 0)</f>
        <v>182.95690000000002</v>
      </c>
      <c r="I1011" s="14">
        <f>182.9548 * CHOOSE(CONTROL!$C$9, $D$9, 100%, $F$9) + CHOOSE(CONTROL!$C$27, 0.0021, 0)</f>
        <v>182.95690000000002</v>
      </c>
      <c r="J1011" s="14">
        <f>182.9548 * CHOOSE(CONTROL!$C$9, $D$9, 100%, $F$9) + CHOOSE(CONTROL!$C$27, 0.0021, 0)</f>
        <v>182.95690000000002</v>
      </c>
      <c r="K1011" s="14">
        <f>182.9548 * CHOOSE(CONTROL!$C$9, $D$9, 100%, $F$9) + CHOOSE(CONTROL!$C$27, 0.0021, 0)</f>
        <v>182.95690000000002</v>
      </c>
      <c r="L1011" s="14"/>
    </row>
    <row r="1012" spans="1:12" ht="15.75" x14ac:dyDescent="0.25">
      <c r="A1012" s="32">
        <v>71741</v>
      </c>
      <c r="B1012" s="14">
        <f>189.4642 * CHOOSE(CONTROL!$C$9, $D$9, 100%, $F$9) + CHOOSE(CONTROL!$C$27, 0.0021, 0)</f>
        <v>189.46630000000002</v>
      </c>
      <c r="C1012" s="14">
        <f>189.032 * CHOOSE(CONTROL!$C$9, $D$9, 100%, $F$9) + CHOOSE(CONTROL!$C$27, 0.0021, 0)</f>
        <v>189.03410000000002</v>
      </c>
      <c r="D1012" s="14">
        <f>189.032 * CHOOSE(CONTROL!$C$9, $D$9, 100%, $F$9) + CHOOSE(CONTROL!$C$27, 0.0021, 0)</f>
        <v>189.03410000000002</v>
      </c>
      <c r="E1012" s="14">
        <f>188.8953 * CHOOSE(CONTROL!$C$9, $D$9, 100%, $F$9) + CHOOSE(CONTROL!$C$27, 0.0021, 0)</f>
        <v>188.8974</v>
      </c>
      <c r="F1012" s="14">
        <f>188.8953 * CHOOSE(CONTROL!$C$9, $D$9, 100%, $F$9) + CHOOSE(CONTROL!$C$27, 0.0021, 0)</f>
        <v>188.8974</v>
      </c>
      <c r="G1012" s="14">
        <f>189.1667 * CHOOSE(CONTROL!$C$9, $D$9, 100%, $F$9) + CHOOSE(CONTROL!$C$27, 0.0021, 0)</f>
        <v>189.1688</v>
      </c>
      <c r="H1012" s="14">
        <f>189.032 * CHOOSE(CONTROL!$C$9, $D$9, 100%, $F$9) + CHOOSE(CONTROL!$C$27, 0.0021, 0)</f>
        <v>189.03410000000002</v>
      </c>
      <c r="I1012" s="14">
        <f>189.032 * CHOOSE(CONTROL!$C$9, $D$9, 100%, $F$9) + CHOOSE(CONTROL!$C$27, 0.0021, 0)</f>
        <v>189.03410000000002</v>
      </c>
      <c r="J1012" s="14">
        <f>189.032 * CHOOSE(CONTROL!$C$9, $D$9, 100%, $F$9) + CHOOSE(CONTROL!$C$27, 0.0021, 0)</f>
        <v>189.03410000000002</v>
      </c>
      <c r="K1012" s="14">
        <f>189.032 * CHOOSE(CONTROL!$C$9, $D$9, 100%, $F$9) + CHOOSE(CONTROL!$C$27, 0.0021, 0)</f>
        <v>189.03410000000002</v>
      </c>
      <c r="L1012" s="14"/>
    </row>
    <row r="1013" spans="1:12" ht="15.75" x14ac:dyDescent="0.25">
      <c r="A1013" s="32">
        <v>71771</v>
      </c>
      <c r="B1013" s="14">
        <f>192.1612 * CHOOSE(CONTROL!$C$9, $D$9, 100%, $F$9) + CHOOSE(CONTROL!$C$27, 0.0021, 0)</f>
        <v>192.16330000000002</v>
      </c>
      <c r="C1013" s="14">
        <f>191.7289 * CHOOSE(CONTROL!$C$9, $D$9, 100%, $F$9) + CHOOSE(CONTROL!$C$27, 0.0021, 0)</f>
        <v>191.73100000000002</v>
      </c>
      <c r="D1013" s="14">
        <f>191.7289 * CHOOSE(CONTROL!$C$9, $D$9, 100%, $F$9) + CHOOSE(CONTROL!$C$27, 0.0021, 0)</f>
        <v>191.73100000000002</v>
      </c>
      <c r="E1013" s="14">
        <f>191.5923 * CHOOSE(CONTROL!$C$9, $D$9, 100%, $F$9) + CHOOSE(CONTROL!$C$27, 0.0021, 0)</f>
        <v>191.59440000000001</v>
      </c>
      <c r="F1013" s="14">
        <f>191.5923 * CHOOSE(CONTROL!$C$9, $D$9, 100%, $F$9) + CHOOSE(CONTROL!$C$27, 0.0021, 0)</f>
        <v>191.59440000000001</v>
      </c>
      <c r="G1013" s="14">
        <f>191.8636 * CHOOSE(CONTROL!$C$9, $D$9, 100%, $F$9) + CHOOSE(CONTROL!$C$27, 0.0021, 0)</f>
        <v>191.8657</v>
      </c>
      <c r="H1013" s="14">
        <f>191.7289 * CHOOSE(CONTROL!$C$9, $D$9, 100%, $F$9) + CHOOSE(CONTROL!$C$27, 0.0021, 0)</f>
        <v>191.73100000000002</v>
      </c>
      <c r="I1013" s="14">
        <f>191.7289 * CHOOSE(CONTROL!$C$9, $D$9, 100%, $F$9) + CHOOSE(CONTROL!$C$27, 0.0021, 0)</f>
        <v>191.73100000000002</v>
      </c>
      <c r="J1013" s="14">
        <f>191.7289 * CHOOSE(CONTROL!$C$9, $D$9, 100%, $F$9) + CHOOSE(CONTROL!$C$27, 0.0021, 0)</f>
        <v>191.73100000000002</v>
      </c>
      <c r="K1013" s="14">
        <f>191.7289 * CHOOSE(CONTROL!$C$9, $D$9, 100%, $F$9) + CHOOSE(CONTROL!$C$27, 0.0021, 0)</f>
        <v>191.73100000000002</v>
      </c>
      <c r="L1013" s="14"/>
    </row>
    <row r="1014" spans="1:12" ht="15.75" x14ac:dyDescent="0.25">
      <c r="A1014" s="32">
        <v>71802</v>
      </c>
      <c r="B1014" s="14">
        <f>191.2732 * CHOOSE(CONTROL!$C$9, $D$9, 100%, $F$9) + CHOOSE(CONTROL!$C$27, 0.0021, 0)</f>
        <v>191.27530000000002</v>
      </c>
      <c r="C1014" s="14">
        <f>190.8409 * CHOOSE(CONTROL!$C$9, $D$9, 100%, $F$9) + CHOOSE(CONTROL!$C$27, 0.0021, 0)</f>
        <v>190.84300000000002</v>
      </c>
      <c r="D1014" s="14">
        <f>190.8409 * CHOOSE(CONTROL!$C$9, $D$9, 100%, $F$9) + CHOOSE(CONTROL!$C$27, 0.0021, 0)</f>
        <v>190.84300000000002</v>
      </c>
      <c r="E1014" s="14">
        <f>190.7043 * CHOOSE(CONTROL!$C$9, $D$9, 100%, $F$9) + CHOOSE(CONTROL!$C$27, 0.0021, 0)</f>
        <v>190.7064</v>
      </c>
      <c r="F1014" s="14">
        <f>190.7043 * CHOOSE(CONTROL!$C$9, $D$9, 100%, $F$9) + CHOOSE(CONTROL!$C$27, 0.0021, 0)</f>
        <v>190.7064</v>
      </c>
      <c r="G1014" s="14">
        <f>190.9757 * CHOOSE(CONTROL!$C$9, $D$9, 100%, $F$9) + CHOOSE(CONTROL!$C$27, 0.0021, 0)</f>
        <v>190.9778</v>
      </c>
      <c r="H1014" s="14">
        <f>190.8409 * CHOOSE(CONTROL!$C$9, $D$9, 100%, $F$9) + CHOOSE(CONTROL!$C$27, 0.0021, 0)</f>
        <v>190.84300000000002</v>
      </c>
      <c r="I1014" s="14">
        <f>190.8409 * CHOOSE(CONTROL!$C$9, $D$9, 100%, $F$9) + CHOOSE(CONTROL!$C$27, 0.0021, 0)</f>
        <v>190.84300000000002</v>
      </c>
      <c r="J1014" s="14">
        <f>190.8409 * CHOOSE(CONTROL!$C$9, $D$9, 100%, $F$9) + CHOOSE(CONTROL!$C$27, 0.0021, 0)</f>
        <v>190.84300000000002</v>
      </c>
      <c r="K1014" s="14">
        <f>190.8409 * CHOOSE(CONTROL!$C$9, $D$9, 100%, $F$9) + CHOOSE(CONTROL!$C$27, 0.0021, 0)</f>
        <v>190.84300000000002</v>
      </c>
      <c r="L1014" s="14"/>
    </row>
    <row r="1015" spans="1:12" ht="15.75" x14ac:dyDescent="0.25">
      <c r="A1015" s="32">
        <v>71833</v>
      </c>
      <c r="B1015" s="14">
        <f>186.8738 * CHOOSE(CONTROL!$C$9, $D$9, 100%, $F$9) + CHOOSE(CONTROL!$C$27, 0.0021, 0)</f>
        <v>186.8759</v>
      </c>
      <c r="C1015" s="14">
        <f>186.4416 * CHOOSE(CONTROL!$C$9, $D$9, 100%, $F$9) + CHOOSE(CONTROL!$C$27, 0.0021, 0)</f>
        <v>186.44370000000001</v>
      </c>
      <c r="D1015" s="14">
        <f>186.4416 * CHOOSE(CONTROL!$C$9, $D$9, 100%, $F$9) + CHOOSE(CONTROL!$C$27, 0.0021, 0)</f>
        <v>186.44370000000001</v>
      </c>
      <c r="E1015" s="14">
        <f>186.3049 * CHOOSE(CONTROL!$C$9, $D$9, 100%, $F$9) + CHOOSE(CONTROL!$C$27, 0.0021, 0)</f>
        <v>186.30700000000002</v>
      </c>
      <c r="F1015" s="14">
        <f>186.3049 * CHOOSE(CONTROL!$C$9, $D$9, 100%, $F$9) + CHOOSE(CONTROL!$C$27, 0.0021, 0)</f>
        <v>186.30700000000002</v>
      </c>
      <c r="G1015" s="14">
        <f>186.5763 * CHOOSE(CONTROL!$C$9, $D$9, 100%, $F$9) + CHOOSE(CONTROL!$C$27, 0.0021, 0)</f>
        <v>186.57840000000002</v>
      </c>
      <c r="H1015" s="14">
        <f>186.4416 * CHOOSE(CONTROL!$C$9, $D$9, 100%, $F$9) + CHOOSE(CONTROL!$C$27, 0.0021, 0)</f>
        <v>186.44370000000001</v>
      </c>
      <c r="I1015" s="14">
        <f>186.4416 * CHOOSE(CONTROL!$C$9, $D$9, 100%, $F$9) + CHOOSE(CONTROL!$C$27, 0.0021, 0)</f>
        <v>186.44370000000001</v>
      </c>
      <c r="J1015" s="14">
        <f>186.4416 * CHOOSE(CONTROL!$C$9, $D$9, 100%, $F$9) + CHOOSE(CONTROL!$C$27, 0.0021, 0)</f>
        <v>186.44370000000001</v>
      </c>
      <c r="K1015" s="14">
        <f>186.4416 * CHOOSE(CONTROL!$C$9, $D$9, 100%, $F$9) + CHOOSE(CONTROL!$C$27, 0.0021, 0)</f>
        <v>186.44370000000001</v>
      </c>
      <c r="L1015" s="14"/>
    </row>
    <row r="1016" spans="1:12" ht="15.75" x14ac:dyDescent="0.25">
      <c r="A1016" s="32">
        <v>71863</v>
      </c>
      <c r="B1016" s="14">
        <f>180.7386 * CHOOSE(CONTROL!$C$9, $D$9, 100%, $F$9) + CHOOSE(CONTROL!$C$27, 0.0021, 0)</f>
        <v>180.7407</v>
      </c>
      <c r="C1016" s="14">
        <f>180.3064 * CHOOSE(CONTROL!$C$9, $D$9, 100%, $F$9) + CHOOSE(CONTROL!$C$27, 0.0021, 0)</f>
        <v>180.30850000000001</v>
      </c>
      <c r="D1016" s="14">
        <f>180.3064 * CHOOSE(CONTROL!$C$9, $D$9, 100%, $F$9) + CHOOSE(CONTROL!$C$27, 0.0021, 0)</f>
        <v>180.30850000000001</v>
      </c>
      <c r="E1016" s="14">
        <f>180.1697 * CHOOSE(CONTROL!$C$9, $D$9, 100%, $F$9) + CHOOSE(CONTROL!$C$27, 0.0021, 0)</f>
        <v>180.17180000000002</v>
      </c>
      <c r="F1016" s="14">
        <f>180.1697 * CHOOSE(CONTROL!$C$9, $D$9, 100%, $F$9) + CHOOSE(CONTROL!$C$27, 0.0021, 0)</f>
        <v>180.17180000000002</v>
      </c>
      <c r="G1016" s="14">
        <f>180.4411 * CHOOSE(CONTROL!$C$9, $D$9, 100%, $F$9) + CHOOSE(CONTROL!$C$27, 0.0021, 0)</f>
        <v>180.44320000000002</v>
      </c>
      <c r="H1016" s="14">
        <f>180.3064 * CHOOSE(CONTROL!$C$9, $D$9, 100%, $F$9) + CHOOSE(CONTROL!$C$27, 0.0021, 0)</f>
        <v>180.30850000000001</v>
      </c>
      <c r="I1016" s="14">
        <f>180.3064 * CHOOSE(CONTROL!$C$9, $D$9, 100%, $F$9) + CHOOSE(CONTROL!$C$27, 0.0021, 0)</f>
        <v>180.30850000000001</v>
      </c>
      <c r="J1016" s="14">
        <f>180.3064 * CHOOSE(CONTROL!$C$9, $D$9, 100%, $F$9) + CHOOSE(CONTROL!$C$27, 0.0021, 0)</f>
        <v>180.30850000000001</v>
      </c>
      <c r="K1016" s="14">
        <f>180.3064 * CHOOSE(CONTROL!$C$9, $D$9, 100%, $F$9) + CHOOSE(CONTROL!$C$27, 0.0021, 0)</f>
        <v>180.30850000000001</v>
      </c>
      <c r="L1016" s="14"/>
    </row>
    <row r="1017" spans="1:12" ht="15.75" x14ac:dyDescent="0.25">
      <c r="A1017" s="32">
        <v>71894</v>
      </c>
      <c r="B1017" s="14">
        <f>174.5678 * CHOOSE(CONTROL!$C$9, $D$9, 100%, $F$9) + CHOOSE(CONTROL!$C$27, 0.0021, 0)</f>
        <v>174.56990000000002</v>
      </c>
      <c r="C1017" s="14">
        <f>174.1355 * CHOOSE(CONTROL!$C$9, $D$9, 100%, $F$9) + CHOOSE(CONTROL!$C$27, 0.0021, 0)</f>
        <v>174.13760000000002</v>
      </c>
      <c r="D1017" s="14">
        <f>174.1355 * CHOOSE(CONTROL!$C$9, $D$9, 100%, $F$9) + CHOOSE(CONTROL!$C$27, 0.0021, 0)</f>
        <v>174.13760000000002</v>
      </c>
      <c r="E1017" s="14">
        <f>173.9989 * CHOOSE(CONTROL!$C$9, $D$9, 100%, $F$9) + CHOOSE(CONTROL!$C$27, 0.0021, 0)</f>
        <v>174.001</v>
      </c>
      <c r="F1017" s="14">
        <f>173.9989 * CHOOSE(CONTROL!$C$9, $D$9, 100%, $F$9) + CHOOSE(CONTROL!$C$27, 0.0021, 0)</f>
        <v>174.001</v>
      </c>
      <c r="G1017" s="14">
        <f>174.2702 * CHOOSE(CONTROL!$C$9, $D$9, 100%, $F$9) + CHOOSE(CONTROL!$C$27, 0.0021, 0)</f>
        <v>174.2723</v>
      </c>
      <c r="H1017" s="14">
        <f>174.1355 * CHOOSE(CONTROL!$C$9, $D$9, 100%, $F$9) + CHOOSE(CONTROL!$C$27, 0.0021, 0)</f>
        <v>174.13760000000002</v>
      </c>
      <c r="I1017" s="14">
        <f>174.1355 * CHOOSE(CONTROL!$C$9, $D$9, 100%, $F$9) + CHOOSE(CONTROL!$C$27, 0.0021, 0)</f>
        <v>174.13760000000002</v>
      </c>
      <c r="J1017" s="14">
        <f>174.1355 * CHOOSE(CONTROL!$C$9, $D$9, 100%, $F$9) + CHOOSE(CONTROL!$C$27, 0.0021, 0)</f>
        <v>174.13760000000002</v>
      </c>
      <c r="K1017" s="14">
        <f>174.1355 * CHOOSE(CONTROL!$C$9, $D$9, 100%, $F$9) + CHOOSE(CONTROL!$C$27, 0.0021, 0)</f>
        <v>174.13760000000002</v>
      </c>
      <c r="L1017" s="14"/>
    </row>
    <row r="1018" spans="1:12" ht="15.75" x14ac:dyDescent="0.25">
      <c r="A1018" s="32">
        <v>71924</v>
      </c>
      <c r="B1018" s="14">
        <f>173.3403 * CHOOSE(CONTROL!$C$9, $D$9, 100%, $F$9) + CHOOSE(CONTROL!$C$27, 0.0021, 0)</f>
        <v>173.34240000000003</v>
      </c>
      <c r="C1018" s="14">
        <f>172.908 * CHOOSE(CONTROL!$C$9, $D$9, 100%, $F$9) + CHOOSE(CONTROL!$C$27, 0.0021, 0)</f>
        <v>172.9101</v>
      </c>
      <c r="D1018" s="14">
        <f>172.908 * CHOOSE(CONTROL!$C$9, $D$9, 100%, $F$9) + CHOOSE(CONTROL!$C$27, 0.0021, 0)</f>
        <v>172.9101</v>
      </c>
      <c r="E1018" s="14">
        <f>172.7714 * CHOOSE(CONTROL!$C$9, $D$9, 100%, $F$9) + CHOOSE(CONTROL!$C$27, 0.0021, 0)</f>
        <v>172.77350000000001</v>
      </c>
      <c r="F1018" s="14">
        <f>172.7714 * CHOOSE(CONTROL!$C$9, $D$9, 100%, $F$9) + CHOOSE(CONTROL!$C$27, 0.0021, 0)</f>
        <v>172.77350000000001</v>
      </c>
      <c r="G1018" s="14">
        <f>173.0427 * CHOOSE(CONTROL!$C$9, $D$9, 100%, $F$9) + CHOOSE(CONTROL!$C$27, 0.0021, 0)</f>
        <v>173.04480000000001</v>
      </c>
      <c r="H1018" s="14">
        <f>172.908 * CHOOSE(CONTROL!$C$9, $D$9, 100%, $F$9) + CHOOSE(CONTROL!$C$27, 0.0021, 0)</f>
        <v>172.9101</v>
      </c>
      <c r="I1018" s="14">
        <f>172.908 * CHOOSE(CONTROL!$C$9, $D$9, 100%, $F$9) + CHOOSE(CONTROL!$C$27, 0.0021, 0)</f>
        <v>172.9101</v>
      </c>
      <c r="J1018" s="14">
        <f>172.908 * CHOOSE(CONTROL!$C$9, $D$9, 100%, $F$9) + CHOOSE(CONTROL!$C$27, 0.0021, 0)</f>
        <v>172.9101</v>
      </c>
      <c r="K1018" s="14">
        <f>172.908 * CHOOSE(CONTROL!$C$9, $D$9, 100%, $F$9) + CHOOSE(CONTROL!$C$27, 0.0021, 0)</f>
        <v>172.9101</v>
      </c>
      <c r="L1018" s="14"/>
    </row>
    <row r="1019" spans="1:12" ht="15.75" x14ac:dyDescent="0.25">
      <c r="A1019" s="32">
        <v>71955</v>
      </c>
      <c r="B1019" s="14">
        <f>168.2644 * CHOOSE(CONTROL!$C$9, $D$9, 100%, $F$9) + CHOOSE(CONTROL!$C$27, 0.0021, 0)</f>
        <v>168.26650000000001</v>
      </c>
      <c r="C1019" s="14">
        <f>167.8322 * CHOOSE(CONTROL!$C$9, $D$9, 100%, $F$9) + CHOOSE(CONTROL!$C$27, 0.0021, 0)</f>
        <v>167.83430000000001</v>
      </c>
      <c r="D1019" s="14">
        <f>167.8322 * CHOOSE(CONTROL!$C$9, $D$9, 100%, $F$9) + CHOOSE(CONTROL!$C$27, 0.0021, 0)</f>
        <v>167.83430000000001</v>
      </c>
      <c r="E1019" s="14">
        <f>167.6955 * CHOOSE(CONTROL!$C$9, $D$9, 100%, $F$9) + CHOOSE(CONTROL!$C$27, 0.0021, 0)</f>
        <v>167.69760000000002</v>
      </c>
      <c r="F1019" s="14">
        <f>167.6955 * CHOOSE(CONTROL!$C$9, $D$9, 100%, $F$9) + CHOOSE(CONTROL!$C$27, 0.0021, 0)</f>
        <v>167.69760000000002</v>
      </c>
      <c r="G1019" s="14">
        <f>167.9669 * CHOOSE(CONTROL!$C$9, $D$9, 100%, $F$9) + CHOOSE(CONTROL!$C$27, 0.0021, 0)</f>
        <v>167.96900000000002</v>
      </c>
      <c r="H1019" s="14">
        <f>167.8322 * CHOOSE(CONTROL!$C$9, $D$9, 100%, $F$9) + CHOOSE(CONTROL!$C$27, 0.0021, 0)</f>
        <v>167.83430000000001</v>
      </c>
      <c r="I1019" s="14">
        <f>167.8322 * CHOOSE(CONTROL!$C$9, $D$9, 100%, $F$9) + CHOOSE(CONTROL!$C$27, 0.0021, 0)</f>
        <v>167.83430000000001</v>
      </c>
      <c r="J1019" s="14">
        <f>167.8322 * CHOOSE(CONTROL!$C$9, $D$9, 100%, $F$9) + CHOOSE(CONTROL!$C$27, 0.0021, 0)</f>
        <v>167.83430000000001</v>
      </c>
      <c r="K1019" s="14">
        <f>167.8322 * CHOOSE(CONTROL!$C$9, $D$9, 100%, $F$9) + CHOOSE(CONTROL!$C$27, 0.0021, 0)</f>
        <v>167.83430000000001</v>
      </c>
      <c r="L1019" s="14"/>
    </row>
    <row r="1020" spans="1:12" ht="15.75" x14ac:dyDescent="0.25">
      <c r="A1020" s="32">
        <v>71986</v>
      </c>
      <c r="B1020" s="14">
        <f>167.2762 * CHOOSE(CONTROL!$C$9, $D$9, 100%, $F$9) + CHOOSE(CONTROL!$C$27, 0.0021, 0)</f>
        <v>167.2783</v>
      </c>
      <c r="C1020" s="14">
        <f>166.8439 * CHOOSE(CONTROL!$C$9, $D$9, 100%, $F$9) + CHOOSE(CONTROL!$C$27, 0.0021, 0)</f>
        <v>166.846</v>
      </c>
      <c r="D1020" s="14">
        <f>166.8439 * CHOOSE(CONTROL!$C$9, $D$9, 100%, $F$9) + CHOOSE(CONTROL!$C$27, 0.0021, 0)</f>
        <v>166.846</v>
      </c>
      <c r="E1020" s="14">
        <f>166.7073 * CHOOSE(CONTROL!$C$9, $D$9, 100%, $F$9) + CHOOSE(CONTROL!$C$27, 0.0021, 0)</f>
        <v>166.70940000000002</v>
      </c>
      <c r="F1020" s="14">
        <f>166.7073 * CHOOSE(CONTROL!$C$9, $D$9, 100%, $F$9) + CHOOSE(CONTROL!$C$27, 0.0021, 0)</f>
        <v>166.70940000000002</v>
      </c>
      <c r="G1020" s="14">
        <f>166.9787 * CHOOSE(CONTROL!$C$9, $D$9, 100%, $F$9) + CHOOSE(CONTROL!$C$27, 0.0021, 0)</f>
        <v>166.98080000000002</v>
      </c>
      <c r="H1020" s="14">
        <f>166.8439 * CHOOSE(CONTROL!$C$9, $D$9, 100%, $F$9) + CHOOSE(CONTROL!$C$27, 0.0021, 0)</f>
        <v>166.846</v>
      </c>
      <c r="I1020" s="14">
        <f>166.8439 * CHOOSE(CONTROL!$C$9, $D$9, 100%, $F$9) + CHOOSE(CONTROL!$C$27, 0.0021, 0)</f>
        <v>166.846</v>
      </c>
      <c r="J1020" s="14">
        <f>166.8439 * CHOOSE(CONTROL!$C$9, $D$9, 100%, $F$9) + CHOOSE(CONTROL!$C$27, 0.0021, 0)</f>
        <v>166.846</v>
      </c>
      <c r="K1020" s="14">
        <f>166.8439 * CHOOSE(CONTROL!$C$9, $D$9, 100%, $F$9) + CHOOSE(CONTROL!$C$27, 0.0021, 0)</f>
        <v>166.846</v>
      </c>
      <c r="L1020" s="14"/>
    </row>
    <row r="1021" spans="1:12" ht="15.75" x14ac:dyDescent="0.25">
      <c r="A1021" s="32">
        <v>72014</v>
      </c>
      <c r="B1021" s="14">
        <f>166.8176 * CHOOSE(CONTROL!$C$9, $D$9, 100%, $F$9) + CHOOSE(CONTROL!$C$27, 0.0021, 0)</f>
        <v>166.81970000000001</v>
      </c>
      <c r="C1021" s="14">
        <f>166.3853 * CHOOSE(CONTROL!$C$9, $D$9, 100%, $F$9) + CHOOSE(CONTROL!$C$27, 0.0021, 0)</f>
        <v>166.38740000000001</v>
      </c>
      <c r="D1021" s="14">
        <f>166.3853 * CHOOSE(CONTROL!$C$9, $D$9, 100%, $F$9) + CHOOSE(CONTROL!$C$27, 0.0021, 0)</f>
        <v>166.38740000000001</v>
      </c>
      <c r="E1021" s="14">
        <f>166.2487 * CHOOSE(CONTROL!$C$9, $D$9, 100%, $F$9) + CHOOSE(CONTROL!$C$27, 0.0021, 0)</f>
        <v>166.25080000000003</v>
      </c>
      <c r="F1021" s="14">
        <f>166.2487 * CHOOSE(CONTROL!$C$9, $D$9, 100%, $F$9) + CHOOSE(CONTROL!$C$27, 0.0021, 0)</f>
        <v>166.25080000000003</v>
      </c>
      <c r="G1021" s="14">
        <f>166.5201 * CHOOSE(CONTROL!$C$9, $D$9, 100%, $F$9) + CHOOSE(CONTROL!$C$27, 0.0021, 0)</f>
        <v>166.52220000000003</v>
      </c>
      <c r="H1021" s="14">
        <f>166.3853 * CHOOSE(CONTROL!$C$9, $D$9, 100%, $F$9) + CHOOSE(CONTROL!$C$27, 0.0021, 0)</f>
        <v>166.38740000000001</v>
      </c>
      <c r="I1021" s="14">
        <f>166.3853 * CHOOSE(CONTROL!$C$9, $D$9, 100%, $F$9) + CHOOSE(CONTROL!$C$27, 0.0021, 0)</f>
        <v>166.38740000000001</v>
      </c>
      <c r="J1021" s="14">
        <f>166.3853 * CHOOSE(CONTROL!$C$9, $D$9, 100%, $F$9) + CHOOSE(CONTROL!$C$27, 0.0021, 0)</f>
        <v>166.38740000000001</v>
      </c>
      <c r="K1021" s="14">
        <f>166.3853 * CHOOSE(CONTROL!$C$9, $D$9, 100%, $F$9) + CHOOSE(CONTROL!$C$27, 0.0021, 0)</f>
        <v>166.38740000000001</v>
      </c>
      <c r="L1021" s="14"/>
    </row>
    <row r="1022" spans="1:12" ht="15.75" x14ac:dyDescent="0.25">
      <c r="A1022" s="32">
        <v>72045</v>
      </c>
      <c r="B1022" s="14">
        <f>175.489 * CHOOSE(CONTROL!$C$9, $D$9, 100%, $F$9) + CHOOSE(CONTROL!$C$27, 0.0021, 0)</f>
        <v>175.49110000000002</v>
      </c>
      <c r="C1022" s="14">
        <f>175.0568 * CHOOSE(CONTROL!$C$9, $D$9, 100%, $F$9) + CHOOSE(CONTROL!$C$27, 0.0021, 0)</f>
        <v>175.05890000000002</v>
      </c>
      <c r="D1022" s="14">
        <f>175.0568 * CHOOSE(CONTROL!$C$9, $D$9, 100%, $F$9) + CHOOSE(CONTROL!$C$27, 0.0021, 0)</f>
        <v>175.05890000000002</v>
      </c>
      <c r="E1022" s="14">
        <f>174.9201 * CHOOSE(CONTROL!$C$9, $D$9, 100%, $F$9) + CHOOSE(CONTROL!$C$27, 0.0021, 0)</f>
        <v>174.9222</v>
      </c>
      <c r="F1022" s="14">
        <f>174.9201 * CHOOSE(CONTROL!$C$9, $D$9, 100%, $F$9) + CHOOSE(CONTROL!$C$27, 0.0021, 0)</f>
        <v>174.9222</v>
      </c>
      <c r="G1022" s="14">
        <f>175.1915 * CHOOSE(CONTROL!$C$9, $D$9, 100%, $F$9) + CHOOSE(CONTROL!$C$27, 0.0021, 0)</f>
        <v>175.1936</v>
      </c>
      <c r="H1022" s="14">
        <f>175.0568 * CHOOSE(CONTROL!$C$9, $D$9, 100%, $F$9) + CHOOSE(CONTROL!$C$27, 0.0021, 0)</f>
        <v>175.05890000000002</v>
      </c>
      <c r="I1022" s="14">
        <f>175.0568 * CHOOSE(CONTROL!$C$9, $D$9, 100%, $F$9) + CHOOSE(CONTROL!$C$27, 0.0021, 0)</f>
        <v>175.05890000000002</v>
      </c>
      <c r="J1022" s="14">
        <f>175.0568 * CHOOSE(CONTROL!$C$9, $D$9, 100%, $F$9) + CHOOSE(CONTROL!$C$27, 0.0021, 0)</f>
        <v>175.05890000000002</v>
      </c>
      <c r="K1022" s="14">
        <f>175.0568 * CHOOSE(CONTROL!$C$9, $D$9, 100%, $F$9) + CHOOSE(CONTROL!$C$27, 0.0021, 0)</f>
        <v>175.05890000000002</v>
      </c>
      <c r="L1022" s="14"/>
    </row>
    <row r="1023" spans="1:12" ht="15.75" x14ac:dyDescent="0.25">
      <c r="A1023" s="32">
        <v>72075</v>
      </c>
      <c r="B1023" s="14">
        <f>186.7338 * CHOOSE(CONTROL!$C$9, $D$9, 100%, $F$9) + CHOOSE(CONTROL!$C$27, 0.0021, 0)</f>
        <v>186.73590000000002</v>
      </c>
      <c r="C1023" s="14">
        <f>186.3016 * CHOOSE(CONTROL!$C$9, $D$9, 100%, $F$9) + CHOOSE(CONTROL!$C$27, 0.0021, 0)</f>
        <v>186.30370000000002</v>
      </c>
      <c r="D1023" s="14">
        <f>186.3016 * CHOOSE(CONTROL!$C$9, $D$9, 100%, $F$9) + CHOOSE(CONTROL!$C$27, 0.0021, 0)</f>
        <v>186.30370000000002</v>
      </c>
      <c r="E1023" s="14">
        <f>186.1649 * CHOOSE(CONTROL!$C$9, $D$9, 100%, $F$9) + CHOOSE(CONTROL!$C$27, 0.0021, 0)</f>
        <v>186.167</v>
      </c>
      <c r="F1023" s="14">
        <f>186.1649 * CHOOSE(CONTROL!$C$9, $D$9, 100%, $F$9) + CHOOSE(CONTROL!$C$27, 0.0021, 0)</f>
        <v>186.167</v>
      </c>
      <c r="G1023" s="14">
        <f>186.4363 * CHOOSE(CONTROL!$C$9, $D$9, 100%, $F$9) + CHOOSE(CONTROL!$C$27, 0.0021, 0)</f>
        <v>186.4384</v>
      </c>
      <c r="H1023" s="14">
        <f>186.3016 * CHOOSE(CONTROL!$C$9, $D$9, 100%, $F$9) + CHOOSE(CONTROL!$C$27, 0.0021, 0)</f>
        <v>186.30370000000002</v>
      </c>
      <c r="I1023" s="14">
        <f>186.3016 * CHOOSE(CONTROL!$C$9, $D$9, 100%, $F$9) + CHOOSE(CONTROL!$C$27, 0.0021, 0)</f>
        <v>186.30370000000002</v>
      </c>
      <c r="J1023" s="14">
        <f>186.3016 * CHOOSE(CONTROL!$C$9, $D$9, 100%, $F$9) + CHOOSE(CONTROL!$C$27, 0.0021, 0)</f>
        <v>186.30370000000002</v>
      </c>
      <c r="K1023" s="14">
        <f>186.3016 * CHOOSE(CONTROL!$C$9, $D$9, 100%, $F$9) + CHOOSE(CONTROL!$C$27, 0.0021, 0)</f>
        <v>186.30370000000002</v>
      </c>
      <c r="L1023" s="14"/>
    </row>
    <row r="1024" spans="1:12" ht="15.75" x14ac:dyDescent="0.25">
      <c r="A1024" s="32">
        <v>72106</v>
      </c>
      <c r="B1024" s="14">
        <f>192.9233 * CHOOSE(CONTROL!$C$9, $D$9, 100%, $F$9) + CHOOSE(CONTROL!$C$27, 0.0021, 0)</f>
        <v>192.92540000000002</v>
      </c>
      <c r="C1024" s="14">
        <f>192.491 * CHOOSE(CONTROL!$C$9, $D$9, 100%, $F$9) + CHOOSE(CONTROL!$C$27, 0.0021, 0)</f>
        <v>192.49310000000003</v>
      </c>
      <c r="D1024" s="14">
        <f>192.491 * CHOOSE(CONTROL!$C$9, $D$9, 100%, $F$9) + CHOOSE(CONTROL!$C$27, 0.0021, 0)</f>
        <v>192.49310000000003</v>
      </c>
      <c r="E1024" s="14">
        <f>192.3544 * CHOOSE(CONTROL!$C$9, $D$9, 100%, $F$9) + CHOOSE(CONTROL!$C$27, 0.0021, 0)</f>
        <v>192.35650000000001</v>
      </c>
      <c r="F1024" s="14">
        <f>192.3544 * CHOOSE(CONTROL!$C$9, $D$9, 100%, $F$9) + CHOOSE(CONTROL!$C$27, 0.0021, 0)</f>
        <v>192.35650000000001</v>
      </c>
      <c r="G1024" s="14">
        <f>192.6258 * CHOOSE(CONTROL!$C$9, $D$9, 100%, $F$9) + CHOOSE(CONTROL!$C$27, 0.0021, 0)</f>
        <v>192.62790000000001</v>
      </c>
      <c r="H1024" s="14">
        <f>192.491 * CHOOSE(CONTROL!$C$9, $D$9, 100%, $F$9) + CHOOSE(CONTROL!$C$27, 0.0021, 0)</f>
        <v>192.49310000000003</v>
      </c>
      <c r="I1024" s="14">
        <f>192.491 * CHOOSE(CONTROL!$C$9, $D$9, 100%, $F$9) + CHOOSE(CONTROL!$C$27, 0.0021, 0)</f>
        <v>192.49310000000003</v>
      </c>
      <c r="J1024" s="14">
        <f>192.491 * CHOOSE(CONTROL!$C$9, $D$9, 100%, $F$9) + CHOOSE(CONTROL!$C$27, 0.0021, 0)</f>
        <v>192.49310000000003</v>
      </c>
      <c r="K1024" s="14">
        <f>192.491 * CHOOSE(CONTROL!$C$9, $D$9, 100%, $F$9) + CHOOSE(CONTROL!$C$27, 0.0021, 0)</f>
        <v>192.49310000000003</v>
      </c>
      <c r="L1024" s="14"/>
    </row>
    <row r="1025" spans="1:12" ht="15.75" x14ac:dyDescent="0.25">
      <c r="A1025" s="32">
        <v>72136</v>
      </c>
      <c r="B1025" s="14">
        <f>195.6701 * CHOOSE(CONTROL!$C$9, $D$9, 100%, $F$9) + CHOOSE(CONTROL!$C$27, 0.0021, 0)</f>
        <v>195.6722</v>
      </c>
      <c r="C1025" s="14">
        <f>195.2378 * CHOOSE(CONTROL!$C$9, $D$9, 100%, $F$9) + CHOOSE(CONTROL!$C$27, 0.0021, 0)</f>
        <v>195.23990000000001</v>
      </c>
      <c r="D1025" s="14">
        <f>195.2378 * CHOOSE(CONTROL!$C$9, $D$9, 100%, $F$9) + CHOOSE(CONTROL!$C$27, 0.0021, 0)</f>
        <v>195.23990000000001</v>
      </c>
      <c r="E1025" s="14">
        <f>195.1012 * CHOOSE(CONTROL!$C$9, $D$9, 100%, $F$9) + CHOOSE(CONTROL!$C$27, 0.0021, 0)</f>
        <v>195.10330000000002</v>
      </c>
      <c r="F1025" s="14">
        <f>195.1012 * CHOOSE(CONTROL!$C$9, $D$9, 100%, $F$9) + CHOOSE(CONTROL!$C$27, 0.0021, 0)</f>
        <v>195.10330000000002</v>
      </c>
      <c r="G1025" s="14">
        <f>195.3725 * CHOOSE(CONTROL!$C$9, $D$9, 100%, $F$9) + CHOOSE(CONTROL!$C$27, 0.0021, 0)</f>
        <v>195.37460000000002</v>
      </c>
      <c r="H1025" s="14">
        <f>195.2378 * CHOOSE(CONTROL!$C$9, $D$9, 100%, $F$9) + CHOOSE(CONTROL!$C$27, 0.0021, 0)</f>
        <v>195.23990000000001</v>
      </c>
      <c r="I1025" s="14">
        <f>195.2378 * CHOOSE(CONTROL!$C$9, $D$9, 100%, $F$9) + CHOOSE(CONTROL!$C$27, 0.0021, 0)</f>
        <v>195.23990000000001</v>
      </c>
      <c r="J1025" s="14">
        <f>195.2378 * CHOOSE(CONTROL!$C$9, $D$9, 100%, $F$9) + CHOOSE(CONTROL!$C$27, 0.0021, 0)</f>
        <v>195.23990000000001</v>
      </c>
      <c r="K1025" s="14">
        <f>195.2378 * CHOOSE(CONTROL!$C$9, $D$9, 100%, $F$9) + CHOOSE(CONTROL!$C$27, 0.0021, 0)</f>
        <v>195.23990000000001</v>
      </c>
      <c r="L1025" s="14"/>
    </row>
    <row r="1026" spans="1:12" ht="15.75" x14ac:dyDescent="0.25">
      <c r="A1026" s="32">
        <v>72167</v>
      </c>
      <c r="B1026" s="14">
        <f>194.7657 * CHOOSE(CONTROL!$C$9, $D$9, 100%, $F$9) + CHOOSE(CONTROL!$C$27, 0.0021, 0)</f>
        <v>194.76780000000002</v>
      </c>
      <c r="C1026" s="14">
        <f>194.3335 * CHOOSE(CONTROL!$C$9, $D$9, 100%, $F$9) + CHOOSE(CONTROL!$C$27, 0.0021, 0)</f>
        <v>194.3356</v>
      </c>
      <c r="D1026" s="14">
        <f>194.3335 * CHOOSE(CONTROL!$C$9, $D$9, 100%, $F$9) + CHOOSE(CONTROL!$C$27, 0.0021, 0)</f>
        <v>194.3356</v>
      </c>
      <c r="E1026" s="14">
        <f>194.1968 * CHOOSE(CONTROL!$C$9, $D$9, 100%, $F$9) + CHOOSE(CONTROL!$C$27, 0.0021, 0)</f>
        <v>194.19890000000001</v>
      </c>
      <c r="F1026" s="14">
        <f>194.1968 * CHOOSE(CONTROL!$C$9, $D$9, 100%, $F$9) + CHOOSE(CONTROL!$C$27, 0.0021, 0)</f>
        <v>194.19890000000001</v>
      </c>
      <c r="G1026" s="14">
        <f>194.4682 * CHOOSE(CONTROL!$C$9, $D$9, 100%, $F$9) + CHOOSE(CONTROL!$C$27, 0.0021, 0)</f>
        <v>194.47030000000001</v>
      </c>
      <c r="H1026" s="14">
        <f>194.3335 * CHOOSE(CONTROL!$C$9, $D$9, 100%, $F$9) + CHOOSE(CONTROL!$C$27, 0.0021, 0)</f>
        <v>194.3356</v>
      </c>
      <c r="I1026" s="14">
        <f>194.3335 * CHOOSE(CONTROL!$C$9, $D$9, 100%, $F$9) + CHOOSE(CONTROL!$C$27, 0.0021, 0)</f>
        <v>194.3356</v>
      </c>
      <c r="J1026" s="14">
        <f>194.3335 * CHOOSE(CONTROL!$C$9, $D$9, 100%, $F$9) + CHOOSE(CONTROL!$C$27, 0.0021, 0)</f>
        <v>194.3356</v>
      </c>
      <c r="K1026" s="14">
        <f>194.3335 * CHOOSE(CONTROL!$C$9, $D$9, 100%, $F$9) + CHOOSE(CONTROL!$C$27, 0.0021, 0)</f>
        <v>194.3356</v>
      </c>
      <c r="L1026" s="14"/>
    </row>
    <row r="1027" spans="1:12" ht="15.75" x14ac:dyDescent="0.25">
      <c r="A1027" s="32">
        <v>72198</v>
      </c>
      <c r="B1027" s="14">
        <f>190.285 * CHOOSE(CONTROL!$C$9, $D$9, 100%, $F$9) + CHOOSE(CONTROL!$C$27, 0.0021, 0)</f>
        <v>190.28710000000001</v>
      </c>
      <c r="C1027" s="14">
        <f>189.8528 * CHOOSE(CONTROL!$C$9, $D$9, 100%, $F$9) + CHOOSE(CONTROL!$C$27, 0.0021, 0)</f>
        <v>189.85490000000001</v>
      </c>
      <c r="D1027" s="14">
        <f>189.8528 * CHOOSE(CONTROL!$C$9, $D$9, 100%, $F$9) + CHOOSE(CONTROL!$C$27, 0.0021, 0)</f>
        <v>189.85490000000001</v>
      </c>
      <c r="E1027" s="14">
        <f>189.7161 * CHOOSE(CONTROL!$C$9, $D$9, 100%, $F$9) + CHOOSE(CONTROL!$C$27, 0.0021, 0)</f>
        <v>189.71820000000002</v>
      </c>
      <c r="F1027" s="14">
        <f>189.7161 * CHOOSE(CONTROL!$C$9, $D$9, 100%, $F$9) + CHOOSE(CONTROL!$C$27, 0.0021, 0)</f>
        <v>189.71820000000002</v>
      </c>
      <c r="G1027" s="14">
        <f>189.9875 * CHOOSE(CONTROL!$C$9, $D$9, 100%, $F$9) + CHOOSE(CONTROL!$C$27, 0.0021, 0)</f>
        <v>189.98960000000002</v>
      </c>
      <c r="H1027" s="14">
        <f>189.8528 * CHOOSE(CONTROL!$C$9, $D$9, 100%, $F$9) + CHOOSE(CONTROL!$C$27, 0.0021, 0)</f>
        <v>189.85490000000001</v>
      </c>
      <c r="I1027" s="14">
        <f>189.8528 * CHOOSE(CONTROL!$C$9, $D$9, 100%, $F$9) + CHOOSE(CONTROL!$C$27, 0.0021, 0)</f>
        <v>189.85490000000001</v>
      </c>
      <c r="J1027" s="14">
        <f>189.8528 * CHOOSE(CONTROL!$C$9, $D$9, 100%, $F$9) + CHOOSE(CONTROL!$C$27, 0.0021, 0)</f>
        <v>189.85490000000001</v>
      </c>
      <c r="K1027" s="14">
        <f>189.8528 * CHOOSE(CONTROL!$C$9, $D$9, 100%, $F$9) + CHOOSE(CONTROL!$C$27, 0.0021, 0)</f>
        <v>189.85490000000001</v>
      </c>
      <c r="L1027" s="14"/>
    </row>
    <row r="1028" spans="1:12" ht="15.75" x14ac:dyDescent="0.25">
      <c r="A1028" s="32">
        <v>72228</v>
      </c>
      <c r="B1028" s="14">
        <f>184.0365 * CHOOSE(CONTROL!$C$9, $D$9, 100%, $F$9) + CHOOSE(CONTROL!$C$27, 0.0021, 0)</f>
        <v>184.0386</v>
      </c>
      <c r="C1028" s="14">
        <f>183.6042 * CHOOSE(CONTROL!$C$9, $D$9, 100%, $F$9) + CHOOSE(CONTROL!$C$27, 0.0021, 0)</f>
        <v>183.6063</v>
      </c>
      <c r="D1028" s="14">
        <f>183.6042 * CHOOSE(CONTROL!$C$9, $D$9, 100%, $F$9) + CHOOSE(CONTROL!$C$27, 0.0021, 0)</f>
        <v>183.6063</v>
      </c>
      <c r="E1028" s="14">
        <f>183.4675 * CHOOSE(CONTROL!$C$9, $D$9, 100%, $F$9) + CHOOSE(CONTROL!$C$27, 0.0021, 0)</f>
        <v>183.46960000000001</v>
      </c>
      <c r="F1028" s="14">
        <f>183.4675 * CHOOSE(CONTROL!$C$9, $D$9, 100%, $F$9) + CHOOSE(CONTROL!$C$27, 0.0021, 0)</f>
        <v>183.46960000000001</v>
      </c>
      <c r="G1028" s="14">
        <f>183.7389 * CHOOSE(CONTROL!$C$9, $D$9, 100%, $F$9) + CHOOSE(CONTROL!$C$27, 0.0021, 0)</f>
        <v>183.74100000000001</v>
      </c>
      <c r="H1028" s="14">
        <f>183.6042 * CHOOSE(CONTROL!$C$9, $D$9, 100%, $F$9) + CHOOSE(CONTROL!$C$27, 0.0021, 0)</f>
        <v>183.6063</v>
      </c>
      <c r="I1028" s="14">
        <f>183.6042 * CHOOSE(CONTROL!$C$9, $D$9, 100%, $F$9) + CHOOSE(CONTROL!$C$27, 0.0021, 0)</f>
        <v>183.6063</v>
      </c>
      <c r="J1028" s="14">
        <f>183.6042 * CHOOSE(CONTROL!$C$9, $D$9, 100%, $F$9) + CHOOSE(CONTROL!$C$27, 0.0021, 0)</f>
        <v>183.6063</v>
      </c>
      <c r="K1028" s="14">
        <f>183.6042 * CHOOSE(CONTROL!$C$9, $D$9, 100%, $F$9) + CHOOSE(CONTROL!$C$27, 0.0021, 0)</f>
        <v>183.6063</v>
      </c>
      <c r="L1028" s="14"/>
    </row>
    <row r="1029" spans="1:12" ht="15.75" x14ac:dyDescent="0.25">
      <c r="A1029" s="32">
        <v>72259</v>
      </c>
      <c r="B1029" s="14">
        <f>177.7516 * CHOOSE(CONTROL!$C$9, $D$9, 100%, $F$9) + CHOOSE(CONTROL!$C$27, 0.0021, 0)</f>
        <v>177.75370000000001</v>
      </c>
      <c r="C1029" s="14">
        <f>177.3193 * CHOOSE(CONTROL!$C$9, $D$9, 100%, $F$9) + CHOOSE(CONTROL!$C$27, 0.0021, 0)</f>
        <v>177.32140000000001</v>
      </c>
      <c r="D1029" s="14">
        <f>177.3193 * CHOOSE(CONTROL!$C$9, $D$9, 100%, $F$9) + CHOOSE(CONTROL!$C$27, 0.0021, 0)</f>
        <v>177.32140000000001</v>
      </c>
      <c r="E1029" s="14">
        <f>177.1827 * CHOOSE(CONTROL!$C$9, $D$9, 100%, $F$9) + CHOOSE(CONTROL!$C$27, 0.0021, 0)</f>
        <v>177.18480000000002</v>
      </c>
      <c r="F1029" s="14">
        <f>177.1827 * CHOOSE(CONTROL!$C$9, $D$9, 100%, $F$9) + CHOOSE(CONTROL!$C$27, 0.0021, 0)</f>
        <v>177.18480000000002</v>
      </c>
      <c r="G1029" s="14">
        <f>177.454 * CHOOSE(CONTROL!$C$9, $D$9, 100%, $F$9) + CHOOSE(CONTROL!$C$27, 0.0021, 0)</f>
        <v>177.45610000000002</v>
      </c>
      <c r="H1029" s="14">
        <f>177.3193 * CHOOSE(CONTROL!$C$9, $D$9, 100%, $F$9) + CHOOSE(CONTROL!$C$27, 0.0021, 0)</f>
        <v>177.32140000000001</v>
      </c>
      <c r="I1029" s="14">
        <f>177.3193 * CHOOSE(CONTROL!$C$9, $D$9, 100%, $F$9) + CHOOSE(CONTROL!$C$27, 0.0021, 0)</f>
        <v>177.32140000000001</v>
      </c>
      <c r="J1029" s="14">
        <f>177.3193 * CHOOSE(CONTROL!$C$9, $D$9, 100%, $F$9) + CHOOSE(CONTROL!$C$27, 0.0021, 0)</f>
        <v>177.32140000000001</v>
      </c>
      <c r="K1029" s="14">
        <f>177.3193 * CHOOSE(CONTROL!$C$9, $D$9, 100%, $F$9) + CHOOSE(CONTROL!$C$27, 0.0021, 0)</f>
        <v>177.32140000000001</v>
      </c>
      <c r="L1029" s="14"/>
    </row>
    <row r="1030" spans="1:12" ht="15.75" x14ac:dyDescent="0.25">
      <c r="A1030" s="32">
        <v>72289</v>
      </c>
      <c r="B1030" s="14">
        <f>176.5014 * CHOOSE(CONTROL!$C$9, $D$9, 100%, $F$9) + CHOOSE(CONTROL!$C$27, 0.0021, 0)</f>
        <v>176.5035</v>
      </c>
      <c r="C1030" s="14">
        <f>176.0691 * CHOOSE(CONTROL!$C$9, $D$9, 100%, $F$9) + CHOOSE(CONTROL!$C$27, 0.0021, 0)</f>
        <v>176.0712</v>
      </c>
      <c r="D1030" s="14">
        <f>176.0691 * CHOOSE(CONTROL!$C$9, $D$9, 100%, $F$9) + CHOOSE(CONTROL!$C$27, 0.0021, 0)</f>
        <v>176.0712</v>
      </c>
      <c r="E1030" s="14">
        <f>175.9325 * CHOOSE(CONTROL!$C$9, $D$9, 100%, $F$9) + CHOOSE(CONTROL!$C$27, 0.0021, 0)</f>
        <v>175.93460000000002</v>
      </c>
      <c r="F1030" s="14">
        <f>175.9325 * CHOOSE(CONTROL!$C$9, $D$9, 100%, $F$9) + CHOOSE(CONTROL!$C$27, 0.0021, 0)</f>
        <v>175.93460000000002</v>
      </c>
      <c r="G1030" s="14">
        <f>176.2038 * CHOOSE(CONTROL!$C$9, $D$9, 100%, $F$9) + CHOOSE(CONTROL!$C$27, 0.0021, 0)</f>
        <v>176.20590000000001</v>
      </c>
      <c r="H1030" s="14">
        <f>176.0691 * CHOOSE(CONTROL!$C$9, $D$9, 100%, $F$9) + CHOOSE(CONTROL!$C$27, 0.0021, 0)</f>
        <v>176.0712</v>
      </c>
      <c r="I1030" s="14">
        <f>176.0691 * CHOOSE(CONTROL!$C$9, $D$9, 100%, $F$9) + CHOOSE(CONTROL!$C$27, 0.0021, 0)</f>
        <v>176.0712</v>
      </c>
      <c r="J1030" s="14">
        <f>176.0691 * CHOOSE(CONTROL!$C$9, $D$9, 100%, $F$9) + CHOOSE(CONTROL!$C$27, 0.0021, 0)</f>
        <v>176.0712</v>
      </c>
      <c r="K1030" s="14">
        <f>176.0691 * CHOOSE(CONTROL!$C$9, $D$9, 100%, $F$9) + CHOOSE(CONTROL!$C$27, 0.0021, 0)</f>
        <v>176.0712</v>
      </c>
      <c r="L1030" s="14"/>
    </row>
    <row r="1031" spans="1:12" ht="15.75" x14ac:dyDescent="0.25">
      <c r="A1031" s="32">
        <v>72320</v>
      </c>
      <c r="B1031" s="14">
        <f>171.3317 * CHOOSE(CONTROL!$C$9, $D$9, 100%, $F$9) + CHOOSE(CONTROL!$C$27, 0.0021, 0)</f>
        <v>171.33380000000002</v>
      </c>
      <c r="C1031" s="14">
        <f>170.8995 * CHOOSE(CONTROL!$C$9, $D$9, 100%, $F$9) + CHOOSE(CONTROL!$C$27, 0.0021, 0)</f>
        <v>170.9016</v>
      </c>
      <c r="D1031" s="14">
        <f>170.8995 * CHOOSE(CONTROL!$C$9, $D$9, 100%, $F$9) + CHOOSE(CONTROL!$C$27, 0.0021, 0)</f>
        <v>170.9016</v>
      </c>
      <c r="E1031" s="14">
        <f>170.7628 * CHOOSE(CONTROL!$C$9, $D$9, 100%, $F$9) + CHOOSE(CONTROL!$C$27, 0.0021, 0)</f>
        <v>170.76490000000001</v>
      </c>
      <c r="F1031" s="14">
        <f>170.7628 * CHOOSE(CONTROL!$C$9, $D$9, 100%, $F$9) + CHOOSE(CONTROL!$C$27, 0.0021, 0)</f>
        <v>170.76490000000001</v>
      </c>
      <c r="G1031" s="14">
        <f>171.0342 * CHOOSE(CONTROL!$C$9, $D$9, 100%, $F$9) + CHOOSE(CONTROL!$C$27, 0.0021, 0)</f>
        <v>171.03630000000001</v>
      </c>
      <c r="H1031" s="14">
        <f>170.8995 * CHOOSE(CONTROL!$C$9, $D$9, 100%, $F$9) + CHOOSE(CONTROL!$C$27, 0.0021, 0)</f>
        <v>170.9016</v>
      </c>
      <c r="I1031" s="14">
        <f>170.8995 * CHOOSE(CONTROL!$C$9, $D$9, 100%, $F$9) + CHOOSE(CONTROL!$C$27, 0.0021, 0)</f>
        <v>170.9016</v>
      </c>
      <c r="J1031" s="14">
        <f>170.8995 * CHOOSE(CONTROL!$C$9, $D$9, 100%, $F$9) + CHOOSE(CONTROL!$C$27, 0.0021, 0)</f>
        <v>170.9016</v>
      </c>
      <c r="K1031" s="14">
        <f>170.8995 * CHOOSE(CONTROL!$C$9, $D$9, 100%, $F$9) + CHOOSE(CONTROL!$C$27, 0.0021, 0)</f>
        <v>170.9016</v>
      </c>
      <c r="L1031" s="14"/>
    </row>
    <row r="1032" spans="1:12" ht="15.75" x14ac:dyDescent="0.25">
      <c r="A1032" s="32">
        <v>72351</v>
      </c>
      <c r="B1032" s="14">
        <f>170.3252 * CHOOSE(CONTROL!$C$9, $D$9, 100%, $F$9) + CHOOSE(CONTROL!$C$27, 0.0021, 0)</f>
        <v>170.32730000000001</v>
      </c>
      <c r="C1032" s="14">
        <f>169.893 * CHOOSE(CONTROL!$C$9, $D$9, 100%, $F$9) + CHOOSE(CONTROL!$C$27, 0.0021, 0)</f>
        <v>169.89510000000001</v>
      </c>
      <c r="D1032" s="14">
        <f>169.893 * CHOOSE(CONTROL!$C$9, $D$9, 100%, $F$9) + CHOOSE(CONTROL!$C$27, 0.0021, 0)</f>
        <v>169.89510000000001</v>
      </c>
      <c r="E1032" s="14">
        <f>169.7563 * CHOOSE(CONTROL!$C$9, $D$9, 100%, $F$9) + CHOOSE(CONTROL!$C$27, 0.0021, 0)</f>
        <v>169.75840000000002</v>
      </c>
      <c r="F1032" s="14">
        <f>169.7563 * CHOOSE(CONTROL!$C$9, $D$9, 100%, $F$9) + CHOOSE(CONTROL!$C$27, 0.0021, 0)</f>
        <v>169.75840000000002</v>
      </c>
      <c r="G1032" s="14">
        <f>170.0277 * CHOOSE(CONTROL!$C$9, $D$9, 100%, $F$9) + CHOOSE(CONTROL!$C$27, 0.0021, 0)</f>
        <v>170.02980000000002</v>
      </c>
      <c r="H1032" s="14">
        <f>169.893 * CHOOSE(CONTROL!$C$9, $D$9, 100%, $F$9) + CHOOSE(CONTROL!$C$27, 0.0021, 0)</f>
        <v>169.89510000000001</v>
      </c>
      <c r="I1032" s="14">
        <f>169.893 * CHOOSE(CONTROL!$C$9, $D$9, 100%, $F$9) + CHOOSE(CONTROL!$C$27, 0.0021, 0)</f>
        <v>169.89510000000001</v>
      </c>
      <c r="J1032" s="14">
        <f>169.893 * CHOOSE(CONTROL!$C$9, $D$9, 100%, $F$9) + CHOOSE(CONTROL!$C$27, 0.0021, 0)</f>
        <v>169.89510000000001</v>
      </c>
      <c r="K1032" s="14">
        <f>169.893 * CHOOSE(CONTROL!$C$9, $D$9, 100%, $F$9) + CHOOSE(CONTROL!$C$27, 0.0021, 0)</f>
        <v>169.89510000000001</v>
      </c>
      <c r="L1032" s="14"/>
    </row>
    <row r="1033" spans="1:12" ht="15.75" x14ac:dyDescent="0.25">
      <c r="A1033" s="32">
        <v>72379</v>
      </c>
      <c r="B1033" s="14">
        <f>169.8581 * CHOOSE(CONTROL!$C$9, $D$9, 100%, $F$9) + CHOOSE(CONTROL!$C$27, 0.0021, 0)</f>
        <v>169.86020000000002</v>
      </c>
      <c r="C1033" s="14">
        <f>169.4259 * CHOOSE(CONTROL!$C$9, $D$9, 100%, $F$9) + CHOOSE(CONTROL!$C$27, 0.0021, 0)</f>
        <v>169.42800000000003</v>
      </c>
      <c r="D1033" s="14">
        <f>169.4259 * CHOOSE(CONTROL!$C$9, $D$9, 100%, $F$9) + CHOOSE(CONTROL!$C$27, 0.0021, 0)</f>
        <v>169.42800000000003</v>
      </c>
      <c r="E1033" s="14">
        <f>169.2892 * CHOOSE(CONTROL!$C$9, $D$9, 100%, $F$9) + CHOOSE(CONTROL!$C$27, 0.0021, 0)</f>
        <v>169.29130000000001</v>
      </c>
      <c r="F1033" s="14">
        <f>169.2892 * CHOOSE(CONTROL!$C$9, $D$9, 100%, $F$9) + CHOOSE(CONTROL!$C$27, 0.0021, 0)</f>
        <v>169.29130000000001</v>
      </c>
      <c r="G1033" s="14">
        <f>169.5606 * CHOOSE(CONTROL!$C$9, $D$9, 100%, $F$9) + CHOOSE(CONTROL!$C$27, 0.0021, 0)</f>
        <v>169.56270000000001</v>
      </c>
      <c r="H1033" s="14">
        <f>169.4259 * CHOOSE(CONTROL!$C$9, $D$9, 100%, $F$9) + CHOOSE(CONTROL!$C$27, 0.0021, 0)</f>
        <v>169.42800000000003</v>
      </c>
      <c r="I1033" s="14">
        <f>169.4259 * CHOOSE(CONTROL!$C$9, $D$9, 100%, $F$9) + CHOOSE(CONTROL!$C$27, 0.0021, 0)</f>
        <v>169.42800000000003</v>
      </c>
      <c r="J1033" s="14">
        <f>169.4259 * CHOOSE(CONTROL!$C$9, $D$9, 100%, $F$9) + CHOOSE(CONTROL!$C$27, 0.0021, 0)</f>
        <v>169.42800000000003</v>
      </c>
      <c r="K1033" s="14">
        <f>169.4259 * CHOOSE(CONTROL!$C$9, $D$9, 100%, $F$9) + CHOOSE(CONTROL!$C$27, 0.0021, 0)</f>
        <v>169.42800000000003</v>
      </c>
      <c r="L1033" s="14"/>
    </row>
    <row r="1034" spans="1:12" ht="15.75" x14ac:dyDescent="0.25">
      <c r="A1034" s="32">
        <v>72410</v>
      </c>
      <c r="B1034" s="14">
        <f>178.6898 * CHOOSE(CONTROL!$C$9, $D$9, 100%, $F$9) + CHOOSE(CONTROL!$C$27, 0.0021, 0)</f>
        <v>178.6919</v>
      </c>
      <c r="C1034" s="14">
        <f>178.2576 * CHOOSE(CONTROL!$C$9, $D$9, 100%, $F$9) + CHOOSE(CONTROL!$C$27, 0.0021, 0)</f>
        <v>178.25970000000001</v>
      </c>
      <c r="D1034" s="14">
        <f>178.2576 * CHOOSE(CONTROL!$C$9, $D$9, 100%, $F$9) + CHOOSE(CONTROL!$C$27, 0.0021, 0)</f>
        <v>178.25970000000001</v>
      </c>
      <c r="E1034" s="14">
        <f>178.1209 * CHOOSE(CONTROL!$C$9, $D$9, 100%, $F$9) + CHOOSE(CONTROL!$C$27, 0.0021, 0)</f>
        <v>178.12300000000002</v>
      </c>
      <c r="F1034" s="14">
        <f>178.1209 * CHOOSE(CONTROL!$C$9, $D$9, 100%, $F$9) + CHOOSE(CONTROL!$C$27, 0.0021, 0)</f>
        <v>178.12300000000002</v>
      </c>
      <c r="G1034" s="14">
        <f>178.3923 * CHOOSE(CONTROL!$C$9, $D$9, 100%, $F$9) + CHOOSE(CONTROL!$C$27, 0.0021, 0)</f>
        <v>178.39440000000002</v>
      </c>
      <c r="H1034" s="14">
        <f>178.2576 * CHOOSE(CONTROL!$C$9, $D$9, 100%, $F$9) + CHOOSE(CONTROL!$C$27, 0.0021, 0)</f>
        <v>178.25970000000001</v>
      </c>
      <c r="I1034" s="14">
        <f>178.2576 * CHOOSE(CONTROL!$C$9, $D$9, 100%, $F$9) + CHOOSE(CONTROL!$C$27, 0.0021, 0)</f>
        <v>178.25970000000001</v>
      </c>
      <c r="J1034" s="14">
        <f>178.2576 * CHOOSE(CONTROL!$C$9, $D$9, 100%, $F$9) + CHOOSE(CONTROL!$C$27, 0.0021, 0)</f>
        <v>178.25970000000001</v>
      </c>
      <c r="K1034" s="14">
        <f>178.2576 * CHOOSE(CONTROL!$C$9, $D$9, 100%, $F$9) + CHOOSE(CONTROL!$C$27, 0.0021, 0)</f>
        <v>178.25970000000001</v>
      </c>
      <c r="L1034" s="14"/>
    </row>
    <row r="1035" spans="1:12" ht="15.75" x14ac:dyDescent="0.25">
      <c r="A1035" s="32">
        <v>72440</v>
      </c>
      <c r="B1035" s="14">
        <f>190.1424 * CHOOSE(CONTROL!$C$9, $D$9, 100%, $F$9) + CHOOSE(CONTROL!$C$27, 0.0021, 0)</f>
        <v>190.14450000000002</v>
      </c>
      <c r="C1035" s="14">
        <f>189.7102 * CHOOSE(CONTROL!$C$9, $D$9, 100%, $F$9) + CHOOSE(CONTROL!$C$27, 0.0021, 0)</f>
        <v>189.7123</v>
      </c>
      <c r="D1035" s="14">
        <f>189.7102 * CHOOSE(CONTROL!$C$9, $D$9, 100%, $F$9) + CHOOSE(CONTROL!$C$27, 0.0021, 0)</f>
        <v>189.7123</v>
      </c>
      <c r="E1035" s="14">
        <f>189.5735 * CHOOSE(CONTROL!$C$9, $D$9, 100%, $F$9) + CHOOSE(CONTROL!$C$27, 0.0021, 0)</f>
        <v>189.57560000000001</v>
      </c>
      <c r="F1035" s="14">
        <f>189.5735 * CHOOSE(CONTROL!$C$9, $D$9, 100%, $F$9) + CHOOSE(CONTROL!$C$27, 0.0021, 0)</f>
        <v>189.57560000000001</v>
      </c>
      <c r="G1035" s="14">
        <f>189.8449 * CHOOSE(CONTROL!$C$9, $D$9, 100%, $F$9) + CHOOSE(CONTROL!$C$27, 0.0021, 0)</f>
        <v>189.84700000000001</v>
      </c>
      <c r="H1035" s="14">
        <f>189.7102 * CHOOSE(CONTROL!$C$9, $D$9, 100%, $F$9) + CHOOSE(CONTROL!$C$27, 0.0021, 0)</f>
        <v>189.7123</v>
      </c>
      <c r="I1035" s="14">
        <f>189.7102 * CHOOSE(CONTROL!$C$9, $D$9, 100%, $F$9) + CHOOSE(CONTROL!$C$27, 0.0021, 0)</f>
        <v>189.7123</v>
      </c>
      <c r="J1035" s="14">
        <f>189.7102 * CHOOSE(CONTROL!$C$9, $D$9, 100%, $F$9) + CHOOSE(CONTROL!$C$27, 0.0021, 0)</f>
        <v>189.7123</v>
      </c>
      <c r="K1035" s="14">
        <f>189.7102 * CHOOSE(CONTROL!$C$9, $D$9, 100%, $F$9) + CHOOSE(CONTROL!$C$27, 0.0021, 0)</f>
        <v>189.7123</v>
      </c>
      <c r="L1035" s="14"/>
    </row>
    <row r="1036" spans="1:12" ht="15.75" x14ac:dyDescent="0.25">
      <c r="A1036" s="32">
        <v>72471</v>
      </c>
      <c r="B1036" s="14">
        <f>196.4463 * CHOOSE(CONTROL!$C$9, $D$9, 100%, $F$9) + CHOOSE(CONTROL!$C$27, 0.0021, 0)</f>
        <v>196.44840000000002</v>
      </c>
      <c r="C1036" s="14">
        <f>196.014 * CHOOSE(CONTROL!$C$9, $D$9, 100%, $F$9) + CHOOSE(CONTROL!$C$27, 0.0021, 0)</f>
        <v>196.01610000000002</v>
      </c>
      <c r="D1036" s="14">
        <f>196.014 * CHOOSE(CONTROL!$C$9, $D$9, 100%, $F$9) + CHOOSE(CONTROL!$C$27, 0.0021, 0)</f>
        <v>196.01610000000002</v>
      </c>
      <c r="E1036" s="14">
        <f>195.8774 * CHOOSE(CONTROL!$C$9, $D$9, 100%, $F$9) + CHOOSE(CONTROL!$C$27, 0.0021, 0)</f>
        <v>195.87950000000001</v>
      </c>
      <c r="F1036" s="14">
        <f>195.8774 * CHOOSE(CONTROL!$C$9, $D$9, 100%, $F$9) + CHOOSE(CONTROL!$C$27, 0.0021, 0)</f>
        <v>195.87950000000001</v>
      </c>
      <c r="G1036" s="14">
        <f>196.1488 * CHOOSE(CONTROL!$C$9, $D$9, 100%, $F$9) + CHOOSE(CONTROL!$C$27, 0.0021, 0)</f>
        <v>196.15090000000001</v>
      </c>
      <c r="H1036" s="14">
        <f>196.014 * CHOOSE(CONTROL!$C$9, $D$9, 100%, $F$9) + CHOOSE(CONTROL!$C$27, 0.0021, 0)</f>
        <v>196.01610000000002</v>
      </c>
      <c r="I1036" s="14">
        <f>196.014 * CHOOSE(CONTROL!$C$9, $D$9, 100%, $F$9) + CHOOSE(CONTROL!$C$27, 0.0021, 0)</f>
        <v>196.01610000000002</v>
      </c>
      <c r="J1036" s="14">
        <f>196.014 * CHOOSE(CONTROL!$C$9, $D$9, 100%, $F$9) + CHOOSE(CONTROL!$C$27, 0.0021, 0)</f>
        <v>196.01610000000002</v>
      </c>
      <c r="K1036" s="14">
        <f>196.014 * CHOOSE(CONTROL!$C$9, $D$9, 100%, $F$9) + CHOOSE(CONTROL!$C$27, 0.0021, 0)</f>
        <v>196.01610000000002</v>
      </c>
      <c r="L1036" s="14"/>
    </row>
    <row r="1037" spans="1:12" ht="15.75" x14ac:dyDescent="0.25">
      <c r="A1037" s="32">
        <v>72501</v>
      </c>
      <c r="B1037" s="14">
        <f>199.2438 * CHOOSE(CONTROL!$C$9, $D$9, 100%, $F$9) + CHOOSE(CONTROL!$C$27, 0.0021, 0)</f>
        <v>199.24590000000001</v>
      </c>
      <c r="C1037" s="14">
        <f>198.8116 * CHOOSE(CONTROL!$C$9, $D$9, 100%, $F$9) + CHOOSE(CONTROL!$C$27, 0.0021, 0)</f>
        <v>198.81370000000001</v>
      </c>
      <c r="D1037" s="14">
        <f>198.8116 * CHOOSE(CONTROL!$C$9, $D$9, 100%, $F$9) + CHOOSE(CONTROL!$C$27, 0.0021, 0)</f>
        <v>198.81370000000001</v>
      </c>
      <c r="E1037" s="14">
        <f>198.6749 * CHOOSE(CONTROL!$C$9, $D$9, 100%, $F$9) + CHOOSE(CONTROL!$C$27, 0.0021, 0)</f>
        <v>198.67700000000002</v>
      </c>
      <c r="F1037" s="14">
        <f>198.6749 * CHOOSE(CONTROL!$C$9, $D$9, 100%, $F$9) + CHOOSE(CONTROL!$C$27, 0.0021, 0)</f>
        <v>198.67700000000002</v>
      </c>
      <c r="G1037" s="14">
        <f>198.9463 * CHOOSE(CONTROL!$C$9, $D$9, 100%, $F$9) + CHOOSE(CONTROL!$C$27, 0.0021, 0)</f>
        <v>198.94840000000002</v>
      </c>
      <c r="H1037" s="14">
        <f>198.8116 * CHOOSE(CONTROL!$C$9, $D$9, 100%, $F$9) + CHOOSE(CONTROL!$C$27, 0.0021, 0)</f>
        <v>198.81370000000001</v>
      </c>
      <c r="I1037" s="14">
        <f>198.8116 * CHOOSE(CONTROL!$C$9, $D$9, 100%, $F$9) + CHOOSE(CONTROL!$C$27, 0.0021, 0)</f>
        <v>198.81370000000001</v>
      </c>
      <c r="J1037" s="14">
        <f>198.8116 * CHOOSE(CONTROL!$C$9, $D$9, 100%, $F$9) + CHOOSE(CONTROL!$C$27, 0.0021, 0)</f>
        <v>198.81370000000001</v>
      </c>
      <c r="K1037" s="14">
        <f>198.8116 * CHOOSE(CONTROL!$C$9, $D$9, 100%, $F$9) + CHOOSE(CONTROL!$C$27, 0.0021, 0)</f>
        <v>198.81370000000001</v>
      </c>
      <c r="L1037" s="14"/>
    </row>
    <row r="1038" spans="1:12" ht="15.75" x14ac:dyDescent="0.25">
      <c r="A1038" s="32">
        <v>72532</v>
      </c>
      <c r="B1038" s="14">
        <f>198.3228 * CHOOSE(CONTROL!$C$9, $D$9, 100%, $F$9) + CHOOSE(CONTROL!$C$27, 0.0021, 0)</f>
        <v>198.32490000000001</v>
      </c>
      <c r="C1038" s="14">
        <f>197.8905 * CHOOSE(CONTROL!$C$9, $D$9, 100%, $F$9) + CHOOSE(CONTROL!$C$27, 0.0021, 0)</f>
        <v>197.89260000000002</v>
      </c>
      <c r="D1038" s="14">
        <f>197.8905 * CHOOSE(CONTROL!$C$9, $D$9, 100%, $F$9) + CHOOSE(CONTROL!$C$27, 0.0021, 0)</f>
        <v>197.89260000000002</v>
      </c>
      <c r="E1038" s="14">
        <f>197.7539 * CHOOSE(CONTROL!$C$9, $D$9, 100%, $F$9) + CHOOSE(CONTROL!$C$27, 0.0021, 0)</f>
        <v>197.756</v>
      </c>
      <c r="F1038" s="14">
        <f>197.7539 * CHOOSE(CONTROL!$C$9, $D$9, 100%, $F$9) + CHOOSE(CONTROL!$C$27, 0.0021, 0)</f>
        <v>197.756</v>
      </c>
      <c r="G1038" s="14">
        <f>198.0252 * CHOOSE(CONTROL!$C$9, $D$9, 100%, $F$9) + CHOOSE(CONTROL!$C$27, 0.0021, 0)</f>
        <v>198.02730000000003</v>
      </c>
      <c r="H1038" s="14">
        <f>197.8905 * CHOOSE(CONTROL!$C$9, $D$9, 100%, $F$9) + CHOOSE(CONTROL!$C$27, 0.0021, 0)</f>
        <v>197.89260000000002</v>
      </c>
      <c r="I1038" s="14">
        <f>197.8905 * CHOOSE(CONTROL!$C$9, $D$9, 100%, $F$9) + CHOOSE(CONTROL!$C$27, 0.0021, 0)</f>
        <v>197.89260000000002</v>
      </c>
      <c r="J1038" s="14">
        <f>197.8905 * CHOOSE(CONTROL!$C$9, $D$9, 100%, $F$9) + CHOOSE(CONTROL!$C$27, 0.0021, 0)</f>
        <v>197.89260000000002</v>
      </c>
      <c r="K1038" s="14">
        <f>197.8905 * CHOOSE(CONTROL!$C$9, $D$9, 100%, $F$9) + CHOOSE(CONTROL!$C$27, 0.0021, 0)</f>
        <v>197.89260000000002</v>
      </c>
      <c r="L1038" s="14"/>
    </row>
    <row r="1039" spans="1:12" ht="15.75" x14ac:dyDescent="0.25">
      <c r="A1039" s="32">
        <v>72563</v>
      </c>
      <c r="B1039" s="14">
        <f>193.7593 * CHOOSE(CONTROL!$C$9, $D$9, 100%, $F$9) + CHOOSE(CONTROL!$C$27, 0.0021, 0)</f>
        <v>193.76140000000001</v>
      </c>
      <c r="C1039" s="14">
        <f>193.327 * CHOOSE(CONTROL!$C$9, $D$9, 100%, $F$9) + CHOOSE(CONTROL!$C$27, 0.0021, 0)</f>
        <v>193.32910000000001</v>
      </c>
      <c r="D1039" s="14">
        <f>193.327 * CHOOSE(CONTROL!$C$9, $D$9, 100%, $F$9) + CHOOSE(CONTROL!$C$27, 0.0021, 0)</f>
        <v>193.32910000000001</v>
      </c>
      <c r="E1039" s="14">
        <f>193.1903 * CHOOSE(CONTROL!$C$9, $D$9, 100%, $F$9) + CHOOSE(CONTROL!$C$27, 0.0021, 0)</f>
        <v>193.19240000000002</v>
      </c>
      <c r="F1039" s="14">
        <f>193.1903 * CHOOSE(CONTROL!$C$9, $D$9, 100%, $F$9) + CHOOSE(CONTROL!$C$27, 0.0021, 0)</f>
        <v>193.19240000000002</v>
      </c>
      <c r="G1039" s="14">
        <f>193.4617 * CHOOSE(CONTROL!$C$9, $D$9, 100%, $F$9) + CHOOSE(CONTROL!$C$27, 0.0021, 0)</f>
        <v>193.46380000000002</v>
      </c>
      <c r="H1039" s="14">
        <f>193.327 * CHOOSE(CONTROL!$C$9, $D$9, 100%, $F$9) + CHOOSE(CONTROL!$C$27, 0.0021, 0)</f>
        <v>193.32910000000001</v>
      </c>
      <c r="I1039" s="14">
        <f>193.327 * CHOOSE(CONTROL!$C$9, $D$9, 100%, $F$9) + CHOOSE(CONTROL!$C$27, 0.0021, 0)</f>
        <v>193.32910000000001</v>
      </c>
      <c r="J1039" s="14">
        <f>193.327 * CHOOSE(CONTROL!$C$9, $D$9, 100%, $F$9) + CHOOSE(CONTROL!$C$27, 0.0021, 0)</f>
        <v>193.32910000000001</v>
      </c>
      <c r="K1039" s="14">
        <f>193.327 * CHOOSE(CONTROL!$C$9, $D$9, 100%, $F$9) + CHOOSE(CONTROL!$C$27, 0.0021, 0)</f>
        <v>193.32910000000001</v>
      </c>
      <c r="L1039" s="14"/>
    </row>
    <row r="1040" spans="1:12" ht="15.75" x14ac:dyDescent="0.25">
      <c r="A1040" s="32">
        <v>72593</v>
      </c>
      <c r="B1040" s="14">
        <f>187.3952 * CHOOSE(CONTROL!$C$9, $D$9, 100%, $F$9) + CHOOSE(CONTROL!$C$27, 0.0021, 0)</f>
        <v>187.3973</v>
      </c>
      <c r="C1040" s="14">
        <f>186.963 * CHOOSE(CONTROL!$C$9, $D$9, 100%, $F$9) + CHOOSE(CONTROL!$C$27, 0.0021, 0)</f>
        <v>186.96510000000001</v>
      </c>
      <c r="D1040" s="14">
        <f>186.963 * CHOOSE(CONTROL!$C$9, $D$9, 100%, $F$9) + CHOOSE(CONTROL!$C$27, 0.0021, 0)</f>
        <v>186.96510000000001</v>
      </c>
      <c r="E1040" s="14">
        <f>186.8263 * CHOOSE(CONTROL!$C$9, $D$9, 100%, $F$9) + CHOOSE(CONTROL!$C$27, 0.0021, 0)</f>
        <v>186.82840000000002</v>
      </c>
      <c r="F1040" s="14">
        <f>186.8263 * CHOOSE(CONTROL!$C$9, $D$9, 100%, $F$9) + CHOOSE(CONTROL!$C$27, 0.0021, 0)</f>
        <v>186.82840000000002</v>
      </c>
      <c r="G1040" s="14">
        <f>187.0977 * CHOOSE(CONTROL!$C$9, $D$9, 100%, $F$9) + CHOOSE(CONTROL!$C$27, 0.0021, 0)</f>
        <v>187.09980000000002</v>
      </c>
      <c r="H1040" s="14">
        <f>186.963 * CHOOSE(CONTROL!$C$9, $D$9, 100%, $F$9) + CHOOSE(CONTROL!$C$27, 0.0021, 0)</f>
        <v>186.96510000000001</v>
      </c>
      <c r="I1040" s="14">
        <f>186.963 * CHOOSE(CONTROL!$C$9, $D$9, 100%, $F$9) + CHOOSE(CONTROL!$C$27, 0.0021, 0)</f>
        <v>186.96510000000001</v>
      </c>
      <c r="J1040" s="14">
        <f>186.963 * CHOOSE(CONTROL!$C$9, $D$9, 100%, $F$9) + CHOOSE(CONTROL!$C$27, 0.0021, 0)</f>
        <v>186.96510000000001</v>
      </c>
      <c r="K1040" s="14">
        <f>186.963 * CHOOSE(CONTROL!$C$9, $D$9, 100%, $F$9) + CHOOSE(CONTROL!$C$27, 0.0021, 0)</f>
        <v>186.96510000000001</v>
      </c>
      <c r="L1040" s="14"/>
    </row>
    <row r="1041" spans="1:12" ht="15.75" x14ac:dyDescent="0.25">
      <c r="A1041" s="32">
        <v>72624</v>
      </c>
      <c r="B1041" s="14">
        <f>180.9942 * CHOOSE(CONTROL!$C$9, $D$9, 100%, $F$9) + CHOOSE(CONTROL!$C$27, 0.0021, 0)</f>
        <v>180.99630000000002</v>
      </c>
      <c r="C1041" s="14">
        <f>180.5619 * CHOOSE(CONTROL!$C$9, $D$9, 100%, $F$9) + CHOOSE(CONTROL!$C$27, 0.0021, 0)</f>
        <v>180.56400000000002</v>
      </c>
      <c r="D1041" s="14">
        <f>180.5619 * CHOOSE(CONTROL!$C$9, $D$9, 100%, $F$9) + CHOOSE(CONTROL!$C$27, 0.0021, 0)</f>
        <v>180.56400000000002</v>
      </c>
      <c r="E1041" s="14">
        <f>180.4253 * CHOOSE(CONTROL!$C$9, $D$9, 100%, $F$9) + CHOOSE(CONTROL!$C$27, 0.0021, 0)</f>
        <v>180.42740000000001</v>
      </c>
      <c r="F1041" s="14">
        <f>180.4253 * CHOOSE(CONTROL!$C$9, $D$9, 100%, $F$9) + CHOOSE(CONTROL!$C$27, 0.0021, 0)</f>
        <v>180.42740000000001</v>
      </c>
      <c r="G1041" s="14">
        <f>180.6966 * CHOOSE(CONTROL!$C$9, $D$9, 100%, $F$9) + CHOOSE(CONTROL!$C$27, 0.0021, 0)</f>
        <v>180.6987</v>
      </c>
      <c r="H1041" s="14">
        <f>180.5619 * CHOOSE(CONTROL!$C$9, $D$9, 100%, $F$9) + CHOOSE(CONTROL!$C$27, 0.0021, 0)</f>
        <v>180.56400000000002</v>
      </c>
      <c r="I1041" s="14">
        <f>180.5619 * CHOOSE(CONTROL!$C$9, $D$9, 100%, $F$9) + CHOOSE(CONTROL!$C$27, 0.0021, 0)</f>
        <v>180.56400000000002</v>
      </c>
      <c r="J1041" s="14">
        <f>180.5619 * CHOOSE(CONTROL!$C$9, $D$9, 100%, $F$9) + CHOOSE(CONTROL!$C$27, 0.0021, 0)</f>
        <v>180.56400000000002</v>
      </c>
      <c r="K1041" s="14">
        <f>180.5619 * CHOOSE(CONTROL!$C$9, $D$9, 100%, $F$9) + CHOOSE(CONTROL!$C$27, 0.0021, 0)</f>
        <v>180.56400000000002</v>
      </c>
      <c r="L1041" s="14"/>
    </row>
    <row r="1042" spans="1:12" ht="15.75" x14ac:dyDescent="0.25">
      <c r="A1042" s="32">
        <v>72654</v>
      </c>
      <c r="B1042" s="14">
        <f>179.7209 * CHOOSE(CONTROL!$C$9, $D$9, 100%, $F$9) + CHOOSE(CONTROL!$C$27, 0.0021, 0)</f>
        <v>179.72300000000001</v>
      </c>
      <c r="C1042" s="14">
        <f>179.2886 * CHOOSE(CONTROL!$C$9, $D$9, 100%, $F$9) + CHOOSE(CONTROL!$C$27, 0.0021, 0)</f>
        <v>179.29070000000002</v>
      </c>
      <c r="D1042" s="14">
        <f>179.2886 * CHOOSE(CONTROL!$C$9, $D$9, 100%, $F$9) + CHOOSE(CONTROL!$C$27, 0.0021, 0)</f>
        <v>179.29070000000002</v>
      </c>
      <c r="E1042" s="14">
        <f>179.152 * CHOOSE(CONTROL!$C$9, $D$9, 100%, $F$9) + CHOOSE(CONTROL!$C$27, 0.0021, 0)</f>
        <v>179.1541</v>
      </c>
      <c r="F1042" s="14">
        <f>179.152 * CHOOSE(CONTROL!$C$9, $D$9, 100%, $F$9) + CHOOSE(CONTROL!$C$27, 0.0021, 0)</f>
        <v>179.1541</v>
      </c>
      <c r="G1042" s="14">
        <f>179.4233 * CHOOSE(CONTROL!$C$9, $D$9, 100%, $F$9) + CHOOSE(CONTROL!$C$27, 0.0021, 0)</f>
        <v>179.42540000000002</v>
      </c>
      <c r="H1042" s="14">
        <f>179.2886 * CHOOSE(CONTROL!$C$9, $D$9, 100%, $F$9) + CHOOSE(CONTROL!$C$27, 0.0021, 0)</f>
        <v>179.29070000000002</v>
      </c>
      <c r="I1042" s="14">
        <f>179.2886 * CHOOSE(CONTROL!$C$9, $D$9, 100%, $F$9) + CHOOSE(CONTROL!$C$27, 0.0021, 0)</f>
        <v>179.29070000000002</v>
      </c>
      <c r="J1042" s="14">
        <f>179.2886 * CHOOSE(CONTROL!$C$9, $D$9, 100%, $F$9) + CHOOSE(CONTROL!$C$27, 0.0021, 0)</f>
        <v>179.29070000000002</v>
      </c>
      <c r="K1042" s="14">
        <f>179.2886 * CHOOSE(CONTROL!$C$9, $D$9, 100%, $F$9) + CHOOSE(CONTROL!$C$27, 0.0021, 0)</f>
        <v>179.29070000000002</v>
      </c>
      <c r="L1042" s="14"/>
    </row>
    <row r="1043" spans="1:12" ht="15.75" x14ac:dyDescent="0.25">
      <c r="A1043" s="32">
        <v>72685</v>
      </c>
      <c r="B1043" s="14">
        <f>174.4557 * CHOOSE(CONTROL!$C$9, $D$9, 100%, $F$9) + CHOOSE(CONTROL!$C$27, 0.0021, 0)</f>
        <v>174.45780000000002</v>
      </c>
      <c r="C1043" s="14">
        <f>174.0234 * CHOOSE(CONTROL!$C$9, $D$9, 100%, $F$9) + CHOOSE(CONTROL!$C$27, 0.0021, 0)</f>
        <v>174.02550000000002</v>
      </c>
      <c r="D1043" s="14">
        <f>174.0234 * CHOOSE(CONTROL!$C$9, $D$9, 100%, $F$9) + CHOOSE(CONTROL!$C$27, 0.0021, 0)</f>
        <v>174.02550000000002</v>
      </c>
      <c r="E1043" s="14">
        <f>173.8868 * CHOOSE(CONTROL!$C$9, $D$9, 100%, $F$9) + CHOOSE(CONTROL!$C$27, 0.0021, 0)</f>
        <v>173.88890000000001</v>
      </c>
      <c r="F1043" s="14">
        <f>173.8868 * CHOOSE(CONTROL!$C$9, $D$9, 100%, $F$9) + CHOOSE(CONTROL!$C$27, 0.0021, 0)</f>
        <v>173.88890000000001</v>
      </c>
      <c r="G1043" s="14">
        <f>174.1581 * CHOOSE(CONTROL!$C$9, $D$9, 100%, $F$9) + CHOOSE(CONTROL!$C$27, 0.0021, 0)</f>
        <v>174.1602</v>
      </c>
      <c r="H1043" s="14">
        <f>174.0234 * CHOOSE(CONTROL!$C$9, $D$9, 100%, $F$9) + CHOOSE(CONTROL!$C$27, 0.0021, 0)</f>
        <v>174.02550000000002</v>
      </c>
      <c r="I1043" s="14">
        <f>174.0234 * CHOOSE(CONTROL!$C$9, $D$9, 100%, $F$9) + CHOOSE(CONTROL!$C$27, 0.0021, 0)</f>
        <v>174.02550000000002</v>
      </c>
      <c r="J1043" s="14">
        <f>174.0234 * CHOOSE(CONTROL!$C$9, $D$9, 100%, $F$9) + CHOOSE(CONTROL!$C$27, 0.0021, 0)</f>
        <v>174.02550000000002</v>
      </c>
      <c r="K1043" s="14">
        <f>174.0234 * CHOOSE(CONTROL!$C$9, $D$9, 100%, $F$9) + CHOOSE(CONTROL!$C$27, 0.0021, 0)</f>
        <v>174.02550000000002</v>
      </c>
      <c r="L1043" s="14"/>
    </row>
    <row r="1044" spans="1:12" ht="15.75" x14ac:dyDescent="0.25">
      <c r="A1044" s="32">
        <v>72716</v>
      </c>
      <c r="B1044" s="14">
        <f>173.4306 * CHOOSE(CONTROL!$C$9, $D$9, 100%, $F$9) + CHOOSE(CONTROL!$C$27, 0.0021, 0)</f>
        <v>173.43270000000001</v>
      </c>
      <c r="C1044" s="14">
        <f>172.9983 * CHOOSE(CONTROL!$C$9, $D$9, 100%, $F$9) + CHOOSE(CONTROL!$C$27, 0.0021, 0)</f>
        <v>173.00040000000001</v>
      </c>
      <c r="D1044" s="14">
        <f>172.9983 * CHOOSE(CONTROL!$C$9, $D$9, 100%, $F$9) + CHOOSE(CONTROL!$C$27, 0.0021, 0)</f>
        <v>173.00040000000001</v>
      </c>
      <c r="E1044" s="14">
        <f>172.8617 * CHOOSE(CONTROL!$C$9, $D$9, 100%, $F$9) + CHOOSE(CONTROL!$C$27, 0.0021, 0)</f>
        <v>172.86380000000003</v>
      </c>
      <c r="F1044" s="14">
        <f>172.8617 * CHOOSE(CONTROL!$C$9, $D$9, 100%, $F$9) + CHOOSE(CONTROL!$C$27, 0.0021, 0)</f>
        <v>172.86380000000003</v>
      </c>
      <c r="G1044" s="14">
        <f>173.1331 * CHOOSE(CONTROL!$C$9, $D$9, 100%, $F$9) + CHOOSE(CONTROL!$C$27, 0.0021, 0)</f>
        <v>173.13520000000003</v>
      </c>
      <c r="H1044" s="14">
        <f>172.9983 * CHOOSE(CONTROL!$C$9, $D$9, 100%, $F$9) + CHOOSE(CONTROL!$C$27, 0.0021, 0)</f>
        <v>173.00040000000001</v>
      </c>
      <c r="I1044" s="14">
        <f>172.9983 * CHOOSE(CONTROL!$C$9, $D$9, 100%, $F$9) + CHOOSE(CONTROL!$C$27, 0.0021, 0)</f>
        <v>173.00040000000001</v>
      </c>
      <c r="J1044" s="14">
        <f>172.9983 * CHOOSE(CONTROL!$C$9, $D$9, 100%, $F$9) + CHOOSE(CONTROL!$C$27, 0.0021, 0)</f>
        <v>173.00040000000001</v>
      </c>
      <c r="K1044" s="14">
        <f>172.9983 * CHOOSE(CONTROL!$C$9, $D$9, 100%, $F$9) + CHOOSE(CONTROL!$C$27, 0.0021, 0)</f>
        <v>173.00040000000001</v>
      </c>
      <c r="L1044" s="14"/>
    </row>
    <row r="1045" spans="1:12" ht="15.75" x14ac:dyDescent="0.25">
      <c r="A1045" s="32">
        <v>72744</v>
      </c>
      <c r="B1045" s="14">
        <f>172.9549 * CHOOSE(CONTROL!$C$9, $D$9, 100%, $F$9) + CHOOSE(CONTROL!$C$27, 0.0021, 0)</f>
        <v>172.95700000000002</v>
      </c>
      <c r="C1045" s="14">
        <f>172.5226 * CHOOSE(CONTROL!$C$9, $D$9, 100%, $F$9) + CHOOSE(CONTROL!$C$27, 0.0021, 0)</f>
        <v>172.52470000000002</v>
      </c>
      <c r="D1045" s="14">
        <f>172.5226 * CHOOSE(CONTROL!$C$9, $D$9, 100%, $F$9) + CHOOSE(CONTROL!$C$27, 0.0021, 0)</f>
        <v>172.52470000000002</v>
      </c>
      <c r="E1045" s="14">
        <f>172.386 * CHOOSE(CONTROL!$C$9, $D$9, 100%, $F$9) + CHOOSE(CONTROL!$C$27, 0.0021, 0)</f>
        <v>172.38810000000001</v>
      </c>
      <c r="F1045" s="14">
        <f>172.386 * CHOOSE(CONTROL!$C$9, $D$9, 100%, $F$9) + CHOOSE(CONTROL!$C$27, 0.0021, 0)</f>
        <v>172.38810000000001</v>
      </c>
      <c r="G1045" s="14">
        <f>172.6574 * CHOOSE(CONTROL!$C$9, $D$9, 100%, $F$9) + CHOOSE(CONTROL!$C$27, 0.0021, 0)</f>
        <v>172.65950000000001</v>
      </c>
      <c r="H1045" s="14">
        <f>172.5226 * CHOOSE(CONTROL!$C$9, $D$9, 100%, $F$9) + CHOOSE(CONTROL!$C$27, 0.0021, 0)</f>
        <v>172.52470000000002</v>
      </c>
      <c r="I1045" s="14">
        <f>172.5226 * CHOOSE(CONTROL!$C$9, $D$9, 100%, $F$9) + CHOOSE(CONTROL!$C$27, 0.0021, 0)</f>
        <v>172.52470000000002</v>
      </c>
      <c r="J1045" s="14">
        <f>172.5226 * CHOOSE(CONTROL!$C$9, $D$9, 100%, $F$9) + CHOOSE(CONTROL!$C$27, 0.0021, 0)</f>
        <v>172.52470000000002</v>
      </c>
      <c r="K1045" s="14">
        <f>172.5226 * CHOOSE(CONTROL!$C$9, $D$9, 100%, $F$9) + CHOOSE(CONTROL!$C$27, 0.0021, 0)</f>
        <v>172.52470000000002</v>
      </c>
      <c r="L1045" s="14"/>
    </row>
    <row r="1046" spans="1:12" ht="15.75" x14ac:dyDescent="0.25">
      <c r="A1046" s="32">
        <v>72775</v>
      </c>
      <c r="B1046" s="14">
        <f>181.9498 * CHOOSE(CONTROL!$C$9, $D$9, 100%, $F$9) + CHOOSE(CONTROL!$C$27, 0.0021, 0)</f>
        <v>181.95190000000002</v>
      </c>
      <c r="C1046" s="14">
        <f>181.5175 * CHOOSE(CONTROL!$C$9, $D$9, 100%, $F$9) + CHOOSE(CONTROL!$C$27, 0.0021, 0)</f>
        <v>181.51960000000003</v>
      </c>
      <c r="D1046" s="14">
        <f>181.5175 * CHOOSE(CONTROL!$C$9, $D$9, 100%, $F$9) + CHOOSE(CONTROL!$C$27, 0.0021, 0)</f>
        <v>181.51960000000003</v>
      </c>
      <c r="E1046" s="14">
        <f>181.3809 * CHOOSE(CONTROL!$C$9, $D$9, 100%, $F$9) + CHOOSE(CONTROL!$C$27, 0.0021, 0)</f>
        <v>181.38300000000001</v>
      </c>
      <c r="F1046" s="14">
        <f>181.3809 * CHOOSE(CONTROL!$C$9, $D$9, 100%, $F$9) + CHOOSE(CONTROL!$C$27, 0.0021, 0)</f>
        <v>181.38300000000001</v>
      </c>
      <c r="G1046" s="14">
        <f>181.6523 * CHOOSE(CONTROL!$C$9, $D$9, 100%, $F$9) + CHOOSE(CONTROL!$C$27, 0.0021, 0)</f>
        <v>181.65440000000001</v>
      </c>
      <c r="H1046" s="14">
        <f>181.5175 * CHOOSE(CONTROL!$C$9, $D$9, 100%, $F$9) + CHOOSE(CONTROL!$C$27, 0.0021, 0)</f>
        <v>181.51960000000003</v>
      </c>
      <c r="I1046" s="14">
        <f>181.5175 * CHOOSE(CONTROL!$C$9, $D$9, 100%, $F$9) + CHOOSE(CONTROL!$C$27, 0.0021, 0)</f>
        <v>181.51960000000003</v>
      </c>
      <c r="J1046" s="14">
        <f>181.5175 * CHOOSE(CONTROL!$C$9, $D$9, 100%, $F$9) + CHOOSE(CONTROL!$C$27, 0.0021, 0)</f>
        <v>181.51960000000003</v>
      </c>
      <c r="K1046" s="14">
        <f>181.5175 * CHOOSE(CONTROL!$C$9, $D$9, 100%, $F$9) + CHOOSE(CONTROL!$C$27, 0.0021, 0)</f>
        <v>181.51960000000003</v>
      </c>
      <c r="L1046" s="14"/>
    </row>
    <row r="1047" spans="1:12" ht="15.75" x14ac:dyDescent="0.25">
      <c r="A1047" s="32">
        <v>72805</v>
      </c>
      <c r="B1047" s="14">
        <f>193.614 * CHOOSE(CONTROL!$C$9, $D$9, 100%, $F$9) + CHOOSE(CONTROL!$C$27, 0.0021, 0)</f>
        <v>193.61610000000002</v>
      </c>
      <c r="C1047" s="14">
        <f>193.1818 * CHOOSE(CONTROL!$C$9, $D$9, 100%, $F$9) + CHOOSE(CONTROL!$C$27, 0.0021, 0)</f>
        <v>193.18390000000002</v>
      </c>
      <c r="D1047" s="14">
        <f>193.1818 * CHOOSE(CONTROL!$C$9, $D$9, 100%, $F$9) + CHOOSE(CONTROL!$C$27, 0.0021, 0)</f>
        <v>193.18390000000002</v>
      </c>
      <c r="E1047" s="14">
        <f>193.0451 * CHOOSE(CONTROL!$C$9, $D$9, 100%, $F$9) + CHOOSE(CONTROL!$C$27, 0.0021, 0)</f>
        <v>193.0472</v>
      </c>
      <c r="F1047" s="14">
        <f>193.0451 * CHOOSE(CONTROL!$C$9, $D$9, 100%, $F$9) + CHOOSE(CONTROL!$C$27, 0.0021, 0)</f>
        <v>193.0472</v>
      </c>
      <c r="G1047" s="14">
        <f>193.3165 * CHOOSE(CONTROL!$C$9, $D$9, 100%, $F$9) + CHOOSE(CONTROL!$C$27, 0.0021, 0)</f>
        <v>193.3186</v>
      </c>
      <c r="H1047" s="14">
        <f>193.1818 * CHOOSE(CONTROL!$C$9, $D$9, 100%, $F$9) + CHOOSE(CONTROL!$C$27, 0.0021, 0)</f>
        <v>193.18390000000002</v>
      </c>
      <c r="I1047" s="14">
        <f>193.1818 * CHOOSE(CONTROL!$C$9, $D$9, 100%, $F$9) + CHOOSE(CONTROL!$C$27, 0.0021, 0)</f>
        <v>193.18390000000002</v>
      </c>
      <c r="J1047" s="14">
        <f>193.1818 * CHOOSE(CONTROL!$C$9, $D$9, 100%, $F$9) + CHOOSE(CONTROL!$C$27, 0.0021, 0)</f>
        <v>193.18390000000002</v>
      </c>
      <c r="K1047" s="14">
        <f>193.1818 * CHOOSE(CONTROL!$C$9, $D$9, 100%, $F$9) + CHOOSE(CONTROL!$C$27, 0.0021, 0)</f>
        <v>193.18390000000002</v>
      </c>
      <c r="L1047" s="14"/>
    </row>
    <row r="1048" spans="1:12" ht="15.75" x14ac:dyDescent="0.25">
      <c r="A1048" s="32">
        <v>72836</v>
      </c>
      <c r="B1048" s="14">
        <f>200.0344 * CHOOSE(CONTROL!$C$9, $D$9, 100%, $F$9) + CHOOSE(CONTROL!$C$27, 0.0021, 0)</f>
        <v>200.03650000000002</v>
      </c>
      <c r="C1048" s="14">
        <f>199.6022 * CHOOSE(CONTROL!$C$9, $D$9, 100%, $F$9) + CHOOSE(CONTROL!$C$27, 0.0021, 0)</f>
        <v>199.60430000000002</v>
      </c>
      <c r="D1048" s="14">
        <f>199.6022 * CHOOSE(CONTROL!$C$9, $D$9, 100%, $F$9) + CHOOSE(CONTROL!$C$27, 0.0021, 0)</f>
        <v>199.60430000000002</v>
      </c>
      <c r="E1048" s="14">
        <f>199.4655 * CHOOSE(CONTROL!$C$9, $D$9, 100%, $F$9) + CHOOSE(CONTROL!$C$27, 0.0021, 0)</f>
        <v>199.4676</v>
      </c>
      <c r="F1048" s="14">
        <f>199.4655 * CHOOSE(CONTROL!$C$9, $D$9, 100%, $F$9) + CHOOSE(CONTROL!$C$27, 0.0021, 0)</f>
        <v>199.4676</v>
      </c>
      <c r="G1048" s="14">
        <f>199.7369 * CHOOSE(CONTROL!$C$9, $D$9, 100%, $F$9) + CHOOSE(CONTROL!$C$27, 0.0021, 0)</f>
        <v>199.739</v>
      </c>
      <c r="H1048" s="14">
        <f>199.6022 * CHOOSE(CONTROL!$C$9, $D$9, 100%, $F$9) + CHOOSE(CONTROL!$C$27, 0.0021, 0)</f>
        <v>199.60430000000002</v>
      </c>
      <c r="I1048" s="14">
        <f>199.6022 * CHOOSE(CONTROL!$C$9, $D$9, 100%, $F$9) + CHOOSE(CONTROL!$C$27, 0.0021, 0)</f>
        <v>199.60430000000002</v>
      </c>
      <c r="J1048" s="14">
        <f>199.6022 * CHOOSE(CONTROL!$C$9, $D$9, 100%, $F$9) + CHOOSE(CONTROL!$C$27, 0.0021, 0)</f>
        <v>199.60430000000002</v>
      </c>
      <c r="K1048" s="14">
        <f>199.6022 * CHOOSE(CONTROL!$C$9, $D$9, 100%, $F$9) + CHOOSE(CONTROL!$C$27, 0.0021, 0)</f>
        <v>199.60430000000002</v>
      </c>
      <c r="L1048" s="14"/>
    </row>
    <row r="1049" spans="1:12" ht="15.75" x14ac:dyDescent="0.25">
      <c r="A1049" s="32">
        <v>72866</v>
      </c>
      <c r="B1049" s="14">
        <f>202.8837 * CHOOSE(CONTROL!$C$9, $D$9, 100%, $F$9) + CHOOSE(CONTROL!$C$27, 0.0021, 0)</f>
        <v>202.88580000000002</v>
      </c>
      <c r="C1049" s="14">
        <f>202.4514 * CHOOSE(CONTROL!$C$9, $D$9, 100%, $F$9) + CHOOSE(CONTROL!$C$27, 0.0021, 0)</f>
        <v>202.45350000000002</v>
      </c>
      <c r="D1049" s="14">
        <f>202.4514 * CHOOSE(CONTROL!$C$9, $D$9, 100%, $F$9) + CHOOSE(CONTROL!$C$27, 0.0021, 0)</f>
        <v>202.45350000000002</v>
      </c>
      <c r="E1049" s="14">
        <f>202.3147 * CHOOSE(CONTROL!$C$9, $D$9, 100%, $F$9) + CHOOSE(CONTROL!$C$27, 0.0021, 0)</f>
        <v>202.3168</v>
      </c>
      <c r="F1049" s="14">
        <f>202.3147 * CHOOSE(CONTROL!$C$9, $D$9, 100%, $F$9) + CHOOSE(CONTROL!$C$27, 0.0021, 0)</f>
        <v>202.3168</v>
      </c>
      <c r="G1049" s="14">
        <f>202.5861 * CHOOSE(CONTROL!$C$9, $D$9, 100%, $F$9) + CHOOSE(CONTROL!$C$27, 0.0021, 0)</f>
        <v>202.5882</v>
      </c>
      <c r="H1049" s="14">
        <f>202.4514 * CHOOSE(CONTROL!$C$9, $D$9, 100%, $F$9) + CHOOSE(CONTROL!$C$27, 0.0021, 0)</f>
        <v>202.45350000000002</v>
      </c>
      <c r="I1049" s="14">
        <f>202.4514 * CHOOSE(CONTROL!$C$9, $D$9, 100%, $F$9) + CHOOSE(CONTROL!$C$27, 0.0021, 0)</f>
        <v>202.45350000000002</v>
      </c>
      <c r="J1049" s="14">
        <f>202.4514 * CHOOSE(CONTROL!$C$9, $D$9, 100%, $F$9) + CHOOSE(CONTROL!$C$27, 0.0021, 0)</f>
        <v>202.45350000000002</v>
      </c>
      <c r="K1049" s="14">
        <f>202.4514 * CHOOSE(CONTROL!$C$9, $D$9, 100%, $F$9) + CHOOSE(CONTROL!$C$27, 0.0021, 0)</f>
        <v>202.45350000000002</v>
      </c>
      <c r="L1049" s="14"/>
    </row>
    <row r="1050" spans="1:12" ht="15.75" x14ac:dyDescent="0.25">
      <c r="A1050" s="32">
        <v>72897</v>
      </c>
      <c r="B1050" s="14">
        <f>201.9455 * CHOOSE(CONTROL!$C$9, $D$9, 100%, $F$9) + CHOOSE(CONTROL!$C$27, 0.0021, 0)</f>
        <v>201.94760000000002</v>
      </c>
      <c r="C1050" s="14">
        <f>201.5133 * CHOOSE(CONTROL!$C$9, $D$9, 100%, $F$9) + CHOOSE(CONTROL!$C$27, 0.0021, 0)</f>
        <v>201.5154</v>
      </c>
      <c r="D1050" s="14">
        <f>201.5133 * CHOOSE(CONTROL!$C$9, $D$9, 100%, $F$9) + CHOOSE(CONTROL!$C$27, 0.0021, 0)</f>
        <v>201.5154</v>
      </c>
      <c r="E1050" s="14">
        <f>201.3766 * CHOOSE(CONTROL!$C$9, $D$9, 100%, $F$9) + CHOOSE(CONTROL!$C$27, 0.0021, 0)</f>
        <v>201.37870000000001</v>
      </c>
      <c r="F1050" s="14">
        <f>201.3766 * CHOOSE(CONTROL!$C$9, $D$9, 100%, $F$9) + CHOOSE(CONTROL!$C$27, 0.0021, 0)</f>
        <v>201.37870000000001</v>
      </c>
      <c r="G1050" s="14">
        <f>201.648 * CHOOSE(CONTROL!$C$9, $D$9, 100%, $F$9) + CHOOSE(CONTROL!$C$27, 0.0021, 0)</f>
        <v>201.65010000000001</v>
      </c>
      <c r="H1050" s="14">
        <f>201.5133 * CHOOSE(CONTROL!$C$9, $D$9, 100%, $F$9) + CHOOSE(CONTROL!$C$27, 0.0021, 0)</f>
        <v>201.5154</v>
      </c>
      <c r="I1050" s="14">
        <f>201.5133 * CHOOSE(CONTROL!$C$9, $D$9, 100%, $F$9) + CHOOSE(CONTROL!$C$27, 0.0021, 0)</f>
        <v>201.5154</v>
      </c>
      <c r="J1050" s="14">
        <f>201.5133 * CHOOSE(CONTROL!$C$9, $D$9, 100%, $F$9) + CHOOSE(CONTROL!$C$27, 0.0021, 0)</f>
        <v>201.5154</v>
      </c>
      <c r="K1050" s="14">
        <f>201.5133 * CHOOSE(CONTROL!$C$9, $D$9, 100%, $F$9) + CHOOSE(CONTROL!$C$27, 0.0021, 0)</f>
        <v>201.5154</v>
      </c>
      <c r="L1050" s="14"/>
    </row>
    <row r="1051" spans="1:12" ht="15.75" x14ac:dyDescent="0.25">
      <c r="A1051" s="32">
        <v>72928</v>
      </c>
      <c r="B1051" s="14">
        <f>197.2977 * CHOOSE(CONTROL!$C$9, $D$9, 100%, $F$9) + CHOOSE(CONTROL!$C$27, 0.0021, 0)</f>
        <v>197.2998</v>
      </c>
      <c r="C1051" s="14">
        <f>196.8655 * CHOOSE(CONTROL!$C$9, $D$9, 100%, $F$9) + CHOOSE(CONTROL!$C$27, 0.0021, 0)</f>
        <v>196.86760000000001</v>
      </c>
      <c r="D1051" s="14">
        <f>196.8655 * CHOOSE(CONTROL!$C$9, $D$9, 100%, $F$9) + CHOOSE(CONTROL!$C$27, 0.0021, 0)</f>
        <v>196.86760000000001</v>
      </c>
      <c r="E1051" s="14">
        <f>196.7288 * CHOOSE(CONTROL!$C$9, $D$9, 100%, $F$9) + CHOOSE(CONTROL!$C$27, 0.0021, 0)</f>
        <v>196.73090000000002</v>
      </c>
      <c r="F1051" s="14">
        <f>196.7288 * CHOOSE(CONTROL!$C$9, $D$9, 100%, $F$9) + CHOOSE(CONTROL!$C$27, 0.0021, 0)</f>
        <v>196.73090000000002</v>
      </c>
      <c r="G1051" s="14">
        <f>197.0002 * CHOOSE(CONTROL!$C$9, $D$9, 100%, $F$9) + CHOOSE(CONTROL!$C$27, 0.0021, 0)</f>
        <v>197.00230000000002</v>
      </c>
      <c r="H1051" s="14">
        <f>196.8655 * CHOOSE(CONTROL!$C$9, $D$9, 100%, $F$9) + CHOOSE(CONTROL!$C$27, 0.0021, 0)</f>
        <v>196.86760000000001</v>
      </c>
      <c r="I1051" s="14">
        <f>196.8655 * CHOOSE(CONTROL!$C$9, $D$9, 100%, $F$9) + CHOOSE(CONTROL!$C$27, 0.0021, 0)</f>
        <v>196.86760000000001</v>
      </c>
      <c r="J1051" s="14">
        <f>196.8655 * CHOOSE(CONTROL!$C$9, $D$9, 100%, $F$9) + CHOOSE(CONTROL!$C$27, 0.0021, 0)</f>
        <v>196.86760000000001</v>
      </c>
      <c r="K1051" s="14">
        <f>196.8655 * CHOOSE(CONTROL!$C$9, $D$9, 100%, $F$9) + CHOOSE(CONTROL!$C$27, 0.0021, 0)</f>
        <v>196.86760000000001</v>
      </c>
      <c r="L1051" s="14"/>
    </row>
    <row r="1052" spans="1:12" ht="15.75" x14ac:dyDescent="0.25">
      <c r="A1052" s="32">
        <v>72958</v>
      </c>
      <c r="B1052" s="14">
        <f>190.8161 * CHOOSE(CONTROL!$C$9, $D$9, 100%, $F$9) + CHOOSE(CONTROL!$C$27, 0.0021, 0)</f>
        <v>190.81820000000002</v>
      </c>
      <c r="C1052" s="14">
        <f>190.3838 * CHOOSE(CONTROL!$C$9, $D$9, 100%, $F$9) + CHOOSE(CONTROL!$C$27, 0.0021, 0)</f>
        <v>190.38590000000002</v>
      </c>
      <c r="D1052" s="14">
        <f>190.3838 * CHOOSE(CONTROL!$C$9, $D$9, 100%, $F$9) + CHOOSE(CONTROL!$C$27, 0.0021, 0)</f>
        <v>190.38590000000002</v>
      </c>
      <c r="E1052" s="14">
        <f>190.2472 * CHOOSE(CONTROL!$C$9, $D$9, 100%, $F$9) + CHOOSE(CONTROL!$C$27, 0.0021, 0)</f>
        <v>190.24930000000001</v>
      </c>
      <c r="F1052" s="14">
        <f>190.2472 * CHOOSE(CONTROL!$C$9, $D$9, 100%, $F$9) + CHOOSE(CONTROL!$C$27, 0.0021, 0)</f>
        <v>190.24930000000001</v>
      </c>
      <c r="G1052" s="14">
        <f>190.5185 * CHOOSE(CONTROL!$C$9, $D$9, 100%, $F$9) + CHOOSE(CONTROL!$C$27, 0.0021, 0)</f>
        <v>190.5206</v>
      </c>
      <c r="H1052" s="14">
        <f>190.3838 * CHOOSE(CONTROL!$C$9, $D$9, 100%, $F$9) + CHOOSE(CONTROL!$C$27, 0.0021, 0)</f>
        <v>190.38590000000002</v>
      </c>
      <c r="I1052" s="14">
        <f>190.3838 * CHOOSE(CONTROL!$C$9, $D$9, 100%, $F$9) + CHOOSE(CONTROL!$C$27, 0.0021, 0)</f>
        <v>190.38590000000002</v>
      </c>
      <c r="J1052" s="14">
        <f>190.3838 * CHOOSE(CONTROL!$C$9, $D$9, 100%, $F$9) + CHOOSE(CONTROL!$C$27, 0.0021, 0)</f>
        <v>190.38590000000002</v>
      </c>
      <c r="K1052" s="14">
        <f>190.3838 * CHOOSE(CONTROL!$C$9, $D$9, 100%, $F$9) + CHOOSE(CONTROL!$C$27, 0.0021, 0)</f>
        <v>190.38590000000002</v>
      </c>
      <c r="L1052" s="14"/>
    </row>
    <row r="1053" spans="1:12" ht="15.75" x14ac:dyDescent="0.25">
      <c r="A1053" s="32">
        <v>72989</v>
      </c>
      <c r="B1053" s="14">
        <f>184.2967 * CHOOSE(CONTROL!$C$9, $D$9, 100%, $F$9) + CHOOSE(CONTROL!$C$27, 0.0021, 0)</f>
        <v>184.2988</v>
      </c>
      <c r="C1053" s="14">
        <f>183.8645 * CHOOSE(CONTROL!$C$9, $D$9, 100%, $F$9) + CHOOSE(CONTROL!$C$27, 0.0021, 0)</f>
        <v>183.86660000000001</v>
      </c>
      <c r="D1053" s="14">
        <f>183.8645 * CHOOSE(CONTROL!$C$9, $D$9, 100%, $F$9) + CHOOSE(CONTROL!$C$27, 0.0021, 0)</f>
        <v>183.86660000000001</v>
      </c>
      <c r="E1053" s="14">
        <f>183.7278 * CHOOSE(CONTROL!$C$9, $D$9, 100%, $F$9) + CHOOSE(CONTROL!$C$27, 0.0021, 0)</f>
        <v>183.72990000000001</v>
      </c>
      <c r="F1053" s="14">
        <f>183.7278 * CHOOSE(CONTROL!$C$9, $D$9, 100%, $F$9) + CHOOSE(CONTROL!$C$27, 0.0021, 0)</f>
        <v>183.72990000000001</v>
      </c>
      <c r="G1053" s="14">
        <f>183.9992 * CHOOSE(CONTROL!$C$9, $D$9, 100%, $F$9) + CHOOSE(CONTROL!$C$27, 0.0021, 0)</f>
        <v>184.00130000000001</v>
      </c>
      <c r="H1053" s="14">
        <f>183.8645 * CHOOSE(CONTROL!$C$9, $D$9, 100%, $F$9) + CHOOSE(CONTROL!$C$27, 0.0021, 0)</f>
        <v>183.86660000000001</v>
      </c>
      <c r="I1053" s="14">
        <f>183.8645 * CHOOSE(CONTROL!$C$9, $D$9, 100%, $F$9) + CHOOSE(CONTROL!$C$27, 0.0021, 0)</f>
        <v>183.86660000000001</v>
      </c>
      <c r="J1053" s="14">
        <f>183.8645 * CHOOSE(CONTROL!$C$9, $D$9, 100%, $F$9) + CHOOSE(CONTROL!$C$27, 0.0021, 0)</f>
        <v>183.86660000000001</v>
      </c>
      <c r="K1053" s="14">
        <f>183.8645 * CHOOSE(CONTROL!$C$9, $D$9, 100%, $F$9) + CHOOSE(CONTROL!$C$27, 0.0021, 0)</f>
        <v>183.86660000000001</v>
      </c>
      <c r="L1053" s="14"/>
    </row>
    <row r="1054" spans="1:12" ht="15.75" x14ac:dyDescent="0.25">
      <c r="A1054" s="32">
        <v>73019</v>
      </c>
      <c r="B1054" s="14">
        <f>182.9999 * CHOOSE(CONTROL!$C$9, $D$9, 100%, $F$9) + CHOOSE(CONTROL!$C$27, 0.0021, 0)</f>
        <v>183.00200000000001</v>
      </c>
      <c r="C1054" s="14">
        <f>182.5676 * CHOOSE(CONTROL!$C$9, $D$9, 100%, $F$9) + CHOOSE(CONTROL!$C$27, 0.0021, 0)</f>
        <v>182.56970000000001</v>
      </c>
      <c r="D1054" s="14">
        <f>182.5676 * CHOOSE(CONTROL!$C$9, $D$9, 100%, $F$9) + CHOOSE(CONTROL!$C$27, 0.0021, 0)</f>
        <v>182.56970000000001</v>
      </c>
      <c r="E1054" s="14">
        <f>182.431 * CHOOSE(CONTROL!$C$9, $D$9, 100%, $F$9) + CHOOSE(CONTROL!$C$27, 0.0021, 0)</f>
        <v>182.43310000000002</v>
      </c>
      <c r="F1054" s="14">
        <f>182.431 * CHOOSE(CONTROL!$C$9, $D$9, 100%, $F$9) + CHOOSE(CONTROL!$C$27, 0.0021, 0)</f>
        <v>182.43310000000002</v>
      </c>
      <c r="G1054" s="14">
        <f>182.7024 * CHOOSE(CONTROL!$C$9, $D$9, 100%, $F$9) + CHOOSE(CONTROL!$C$27, 0.0021, 0)</f>
        <v>182.70450000000002</v>
      </c>
      <c r="H1054" s="14">
        <f>182.5676 * CHOOSE(CONTROL!$C$9, $D$9, 100%, $F$9) + CHOOSE(CONTROL!$C$27, 0.0021, 0)</f>
        <v>182.56970000000001</v>
      </c>
      <c r="I1054" s="14">
        <f>182.5676 * CHOOSE(CONTROL!$C$9, $D$9, 100%, $F$9) + CHOOSE(CONTROL!$C$27, 0.0021, 0)</f>
        <v>182.56970000000001</v>
      </c>
      <c r="J1054" s="14">
        <f>182.5676 * CHOOSE(CONTROL!$C$9, $D$9, 100%, $F$9) + CHOOSE(CONTROL!$C$27, 0.0021, 0)</f>
        <v>182.56970000000001</v>
      </c>
      <c r="K1054" s="14">
        <f>182.5676 * CHOOSE(CONTROL!$C$9, $D$9, 100%, $F$9) + CHOOSE(CONTROL!$C$27, 0.0021, 0)</f>
        <v>182.56970000000001</v>
      </c>
      <c r="L1054" s="14"/>
    </row>
    <row r="1055" spans="1:12" ht="15.75" x14ac:dyDescent="0.25">
      <c r="A1055" s="32">
        <v>73050</v>
      </c>
      <c r="B1055" s="14">
        <f>177.6374 * CHOOSE(CONTROL!$C$9, $D$9, 100%, $F$9) + CHOOSE(CONTROL!$C$27, 0.0021, 0)</f>
        <v>177.63950000000003</v>
      </c>
      <c r="C1055" s="14">
        <f>177.2051 * CHOOSE(CONTROL!$C$9, $D$9, 100%, $F$9) + CHOOSE(CONTROL!$C$27, 0.0021, 0)</f>
        <v>177.2072</v>
      </c>
      <c r="D1055" s="14">
        <f>177.2051 * CHOOSE(CONTROL!$C$9, $D$9, 100%, $F$9) + CHOOSE(CONTROL!$C$27, 0.0021, 0)</f>
        <v>177.2072</v>
      </c>
      <c r="E1055" s="14">
        <f>177.0685 * CHOOSE(CONTROL!$C$9, $D$9, 100%, $F$9) + CHOOSE(CONTROL!$C$27, 0.0021, 0)</f>
        <v>177.07060000000001</v>
      </c>
      <c r="F1055" s="14">
        <f>177.0685 * CHOOSE(CONTROL!$C$9, $D$9, 100%, $F$9) + CHOOSE(CONTROL!$C$27, 0.0021, 0)</f>
        <v>177.07060000000001</v>
      </c>
      <c r="G1055" s="14">
        <f>177.3398 * CHOOSE(CONTROL!$C$9, $D$9, 100%, $F$9) + CHOOSE(CONTROL!$C$27, 0.0021, 0)</f>
        <v>177.34190000000001</v>
      </c>
      <c r="H1055" s="14">
        <f>177.2051 * CHOOSE(CONTROL!$C$9, $D$9, 100%, $F$9) + CHOOSE(CONTROL!$C$27, 0.0021, 0)</f>
        <v>177.2072</v>
      </c>
      <c r="I1055" s="14">
        <f>177.2051 * CHOOSE(CONTROL!$C$9, $D$9, 100%, $F$9) + CHOOSE(CONTROL!$C$27, 0.0021, 0)</f>
        <v>177.2072</v>
      </c>
      <c r="J1055" s="14">
        <f>177.2051 * CHOOSE(CONTROL!$C$9, $D$9, 100%, $F$9) + CHOOSE(CONTROL!$C$27, 0.0021, 0)</f>
        <v>177.2072</v>
      </c>
      <c r="K1055" s="14">
        <f>177.2051 * CHOOSE(CONTROL!$C$9, $D$9, 100%, $F$9) + CHOOSE(CONTROL!$C$27, 0.0021, 0)</f>
        <v>177.2072</v>
      </c>
      <c r="L1055" s="14"/>
    </row>
    <row r="1056" spans="1:12" ht="15.75" x14ac:dyDescent="0.25">
      <c r="A1056" s="32">
        <v>73081</v>
      </c>
      <c r="B1056" s="14">
        <f>176.5934 * CHOOSE(CONTROL!$C$9, $D$9, 100%, $F$9) + CHOOSE(CONTROL!$C$27, 0.0021, 0)</f>
        <v>176.59550000000002</v>
      </c>
      <c r="C1056" s="14">
        <f>176.1611 * CHOOSE(CONTROL!$C$9, $D$9, 100%, $F$9) + CHOOSE(CONTROL!$C$27, 0.0021, 0)</f>
        <v>176.16320000000002</v>
      </c>
      <c r="D1056" s="14">
        <f>176.1611 * CHOOSE(CONTROL!$C$9, $D$9, 100%, $F$9) + CHOOSE(CONTROL!$C$27, 0.0021, 0)</f>
        <v>176.16320000000002</v>
      </c>
      <c r="E1056" s="14">
        <f>176.0244 * CHOOSE(CONTROL!$C$9, $D$9, 100%, $F$9) + CHOOSE(CONTROL!$C$27, 0.0021, 0)</f>
        <v>176.02650000000003</v>
      </c>
      <c r="F1056" s="14">
        <f>176.0244 * CHOOSE(CONTROL!$C$9, $D$9, 100%, $F$9) + CHOOSE(CONTROL!$C$27, 0.0021, 0)</f>
        <v>176.02650000000003</v>
      </c>
      <c r="G1056" s="14">
        <f>176.2958 * CHOOSE(CONTROL!$C$9, $D$9, 100%, $F$9) + CHOOSE(CONTROL!$C$27, 0.0021, 0)</f>
        <v>176.29790000000003</v>
      </c>
      <c r="H1056" s="14">
        <f>176.1611 * CHOOSE(CONTROL!$C$9, $D$9, 100%, $F$9) + CHOOSE(CONTROL!$C$27, 0.0021, 0)</f>
        <v>176.16320000000002</v>
      </c>
      <c r="I1056" s="14">
        <f>176.1611 * CHOOSE(CONTROL!$C$9, $D$9, 100%, $F$9) + CHOOSE(CONTROL!$C$27, 0.0021, 0)</f>
        <v>176.16320000000002</v>
      </c>
      <c r="J1056" s="14">
        <f>176.1611 * CHOOSE(CONTROL!$C$9, $D$9, 100%, $F$9) + CHOOSE(CONTROL!$C$27, 0.0021, 0)</f>
        <v>176.16320000000002</v>
      </c>
      <c r="K1056" s="14">
        <f>176.1611 * CHOOSE(CONTROL!$C$9, $D$9, 100%, $F$9) + CHOOSE(CONTROL!$C$27, 0.0021, 0)</f>
        <v>176.16320000000002</v>
      </c>
      <c r="L1056" s="14"/>
    </row>
    <row r="1057" spans="1:12" ht="15.75" x14ac:dyDescent="0.25">
      <c r="A1057" s="32">
        <v>73109</v>
      </c>
      <c r="B1057" s="14">
        <f>176.1089 * CHOOSE(CONTROL!$C$9, $D$9, 100%, $F$9) + CHOOSE(CONTROL!$C$27, 0.0021, 0)</f>
        <v>176.11100000000002</v>
      </c>
      <c r="C1057" s="14">
        <f>175.6766 * CHOOSE(CONTROL!$C$9, $D$9, 100%, $F$9) + CHOOSE(CONTROL!$C$27, 0.0021, 0)</f>
        <v>175.67870000000002</v>
      </c>
      <c r="D1057" s="14">
        <f>175.6766 * CHOOSE(CONTROL!$C$9, $D$9, 100%, $F$9) + CHOOSE(CONTROL!$C$27, 0.0021, 0)</f>
        <v>175.67870000000002</v>
      </c>
      <c r="E1057" s="14">
        <f>175.5399 * CHOOSE(CONTROL!$C$9, $D$9, 100%, $F$9) + CHOOSE(CONTROL!$C$27, 0.0021, 0)</f>
        <v>175.542</v>
      </c>
      <c r="F1057" s="14">
        <f>175.5399 * CHOOSE(CONTROL!$C$9, $D$9, 100%, $F$9) + CHOOSE(CONTROL!$C$27, 0.0021, 0)</f>
        <v>175.542</v>
      </c>
      <c r="G1057" s="14">
        <f>175.8113 * CHOOSE(CONTROL!$C$9, $D$9, 100%, $F$9) + CHOOSE(CONTROL!$C$27, 0.0021, 0)</f>
        <v>175.8134</v>
      </c>
      <c r="H1057" s="14">
        <f>175.6766 * CHOOSE(CONTROL!$C$9, $D$9, 100%, $F$9) + CHOOSE(CONTROL!$C$27, 0.0021, 0)</f>
        <v>175.67870000000002</v>
      </c>
      <c r="I1057" s="14">
        <f>175.6766 * CHOOSE(CONTROL!$C$9, $D$9, 100%, $F$9) + CHOOSE(CONTROL!$C$27, 0.0021, 0)</f>
        <v>175.67870000000002</v>
      </c>
      <c r="J1057" s="14">
        <f>175.6766 * CHOOSE(CONTROL!$C$9, $D$9, 100%, $F$9) + CHOOSE(CONTROL!$C$27, 0.0021, 0)</f>
        <v>175.67870000000002</v>
      </c>
      <c r="K1057" s="14">
        <f>175.6766 * CHOOSE(CONTROL!$C$9, $D$9, 100%, $F$9) + CHOOSE(CONTROL!$C$27, 0.0021, 0)</f>
        <v>175.67870000000002</v>
      </c>
      <c r="L1057" s="14"/>
    </row>
    <row r="1058" spans="1:12" ht="15.75" x14ac:dyDescent="0.25">
      <c r="A1058" s="32">
        <v>73140</v>
      </c>
      <c r="B1058" s="14">
        <f>185.27 * CHOOSE(CONTROL!$C$9, $D$9, 100%, $F$9) + CHOOSE(CONTROL!$C$27, 0.0021, 0)</f>
        <v>185.27210000000002</v>
      </c>
      <c r="C1058" s="14">
        <f>184.8377 * CHOOSE(CONTROL!$C$9, $D$9, 100%, $F$9) + CHOOSE(CONTROL!$C$27, 0.0021, 0)</f>
        <v>184.83980000000003</v>
      </c>
      <c r="D1058" s="14">
        <f>184.8377 * CHOOSE(CONTROL!$C$9, $D$9, 100%, $F$9) + CHOOSE(CONTROL!$C$27, 0.0021, 0)</f>
        <v>184.83980000000003</v>
      </c>
      <c r="E1058" s="14">
        <f>184.7011 * CHOOSE(CONTROL!$C$9, $D$9, 100%, $F$9) + CHOOSE(CONTROL!$C$27, 0.0021, 0)</f>
        <v>184.70320000000001</v>
      </c>
      <c r="F1058" s="14">
        <f>184.7011 * CHOOSE(CONTROL!$C$9, $D$9, 100%, $F$9) + CHOOSE(CONTROL!$C$27, 0.0021, 0)</f>
        <v>184.70320000000001</v>
      </c>
      <c r="G1058" s="14">
        <f>184.9725 * CHOOSE(CONTROL!$C$9, $D$9, 100%, $F$9) + CHOOSE(CONTROL!$C$27, 0.0021, 0)</f>
        <v>184.97460000000001</v>
      </c>
      <c r="H1058" s="14">
        <f>184.8377 * CHOOSE(CONTROL!$C$9, $D$9, 100%, $F$9) + CHOOSE(CONTROL!$C$27, 0.0021, 0)</f>
        <v>184.83980000000003</v>
      </c>
      <c r="I1058" s="14">
        <f>184.8377 * CHOOSE(CONTROL!$C$9, $D$9, 100%, $F$9) + CHOOSE(CONTROL!$C$27, 0.0021, 0)</f>
        <v>184.83980000000003</v>
      </c>
      <c r="J1058" s="14">
        <f>184.8377 * CHOOSE(CONTROL!$C$9, $D$9, 100%, $F$9) + CHOOSE(CONTROL!$C$27, 0.0021, 0)</f>
        <v>184.83980000000003</v>
      </c>
      <c r="K1058" s="14">
        <f>184.8377 * CHOOSE(CONTROL!$C$9, $D$9, 100%, $F$9) + CHOOSE(CONTROL!$C$27, 0.0021, 0)</f>
        <v>184.83980000000003</v>
      </c>
      <c r="L1058" s="14"/>
    </row>
    <row r="1059" spans="1:12" ht="15.75" x14ac:dyDescent="0.25">
      <c r="A1059" s="32">
        <v>73170</v>
      </c>
      <c r="B1059" s="14">
        <f>197.1498 * CHOOSE(CONTROL!$C$9, $D$9, 100%, $F$9) + CHOOSE(CONTROL!$C$27, 0.0021, 0)</f>
        <v>197.15190000000001</v>
      </c>
      <c r="C1059" s="14">
        <f>196.7175 * CHOOSE(CONTROL!$C$9, $D$9, 100%, $F$9) + CHOOSE(CONTROL!$C$27, 0.0021, 0)</f>
        <v>196.71960000000001</v>
      </c>
      <c r="D1059" s="14">
        <f>196.7175 * CHOOSE(CONTROL!$C$9, $D$9, 100%, $F$9) + CHOOSE(CONTROL!$C$27, 0.0021, 0)</f>
        <v>196.71960000000001</v>
      </c>
      <c r="E1059" s="14">
        <f>196.5809 * CHOOSE(CONTROL!$C$9, $D$9, 100%, $F$9) + CHOOSE(CONTROL!$C$27, 0.0021, 0)</f>
        <v>196.58300000000003</v>
      </c>
      <c r="F1059" s="14">
        <f>196.5809 * CHOOSE(CONTROL!$C$9, $D$9, 100%, $F$9) + CHOOSE(CONTROL!$C$27, 0.0021, 0)</f>
        <v>196.58300000000003</v>
      </c>
      <c r="G1059" s="14">
        <f>196.8523 * CHOOSE(CONTROL!$C$9, $D$9, 100%, $F$9) + CHOOSE(CONTROL!$C$27, 0.0021, 0)</f>
        <v>196.85440000000003</v>
      </c>
      <c r="H1059" s="14">
        <f>196.7175 * CHOOSE(CONTROL!$C$9, $D$9, 100%, $F$9) + CHOOSE(CONTROL!$C$27, 0.0021, 0)</f>
        <v>196.71960000000001</v>
      </c>
      <c r="I1059" s="14">
        <f>196.7175 * CHOOSE(CONTROL!$C$9, $D$9, 100%, $F$9) + CHOOSE(CONTROL!$C$27, 0.0021, 0)</f>
        <v>196.71960000000001</v>
      </c>
      <c r="J1059" s="14">
        <f>196.7175 * CHOOSE(CONTROL!$C$9, $D$9, 100%, $F$9) + CHOOSE(CONTROL!$C$27, 0.0021, 0)</f>
        <v>196.71960000000001</v>
      </c>
      <c r="K1059" s="14">
        <f>196.7175 * CHOOSE(CONTROL!$C$9, $D$9, 100%, $F$9) + CHOOSE(CONTROL!$C$27, 0.0021, 0)</f>
        <v>196.71960000000001</v>
      </c>
      <c r="L1059" s="14"/>
    </row>
    <row r="1060" spans="1:12" ht="15.75" x14ac:dyDescent="0.25">
      <c r="A1060" s="32">
        <v>73201</v>
      </c>
      <c r="B1060" s="14">
        <f>203.6888 * CHOOSE(CONTROL!$C$9, $D$9, 100%, $F$9) + CHOOSE(CONTROL!$C$27, 0.0021, 0)</f>
        <v>203.6909</v>
      </c>
      <c r="C1060" s="14">
        <f>203.2566 * CHOOSE(CONTROL!$C$9, $D$9, 100%, $F$9) + CHOOSE(CONTROL!$C$27, 0.0021, 0)</f>
        <v>203.2587</v>
      </c>
      <c r="D1060" s="14">
        <f>203.2566 * CHOOSE(CONTROL!$C$9, $D$9, 100%, $F$9) + CHOOSE(CONTROL!$C$27, 0.0021, 0)</f>
        <v>203.2587</v>
      </c>
      <c r="E1060" s="14">
        <f>203.1199 * CHOOSE(CONTROL!$C$9, $D$9, 100%, $F$9) + CHOOSE(CONTROL!$C$27, 0.0021, 0)</f>
        <v>203.12200000000001</v>
      </c>
      <c r="F1060" s="14">
        <f>203.1199 * CHOOSE(CONTROL!$C$9, $D$9, 100%, $F$9) + CHOOSE(CONTROL!$C$27, 0.0021, 0)</f>
        <v>203.12200000000001</v>
      </c>
      <c r="G1060" s="14">
        <f>203.3913 * CHOOSE(CONTROL!$C$9, $D$9, 100%, $F$9) + CHOOSE(CONTROL!$C$27, 0.0021, 0)</f>
        <v>203.39340000000001</v>
      </c>
      <c r="H1060" s="14">
        <f>203.2566 * CHOOSE(CONTROL!$C$9, $D$9, 100%, $F$9) + CHOOSE(CONTROL!$C$27, 0.0021, 0)</f>
        <v>203.2587</v>
      </c>
      <c r="I1060" s="14">
        <f>203.2566 * CHOOSE(CONTROL!$C$9, $D$9, 100%, $F$9) + CHOOSE(CONTROL!$C$27, 0.0021, 0)</f>
        <v>203.2587</v>
      </c>
      <c r="J1060" s="14">
        <f>203.2566 * CHOOSE(CONTROL!$C$9, $D$9, 100%, $F$9) + CHOOSE(CONTROL!$C$27, 0.0021, 0)</f>
        <v>203.2587</v>
      </c>
      <c r="K1060" s="14">
        <f>203.2566 * CHOOSE(CONTROL!$C$9, $D$9, 100%, $F$9) + CHOOSE(CONTROL!$C$27, 0.0021, 0)</f>
        <v>203.2587</v>
      </c>
      <c r="L1060" s="14"/>
    </row>
    <row r="1061" spans="1:12" ht="15.75" x14ac:dyDescent="0.25">
      <c r="A1061" s="32">
        <v>73231</v>
      </c>
      <c r="B1061" s="14">
        <f>206.5907 * CHOOSE(CONTROL!$C$9, $D$9, 100%, $F$9) + CHOOSE(CONTROL!$C$27, 0.0021, 0)</f>
        <v>206.59280000000001</v>
      </c>
      <c r="C1061" s="14">
        <f>206.1585 * CHOOSE(CONTROL!$C$9, $D$9, 100%, $F$9) + CHOOSE(CONTROL!$C$27, 0.0021, 0)</f>
        <v>206.16060000000002</v>
      </c>
      <c r="D1061" s="14">
        <f>206.1585 * CHOOSE(CONTROL!$C$9, $D$9, 100%, $F$9) + CHOOSE(CONTROL!$C$27, 0.0021, 0)</f>
        <v>206.16060000000002</v>
      </c>
      <c r="E1061" s="14">
        <f>206.0218 * CHOOSE(CONTROL!$C$9, $D$9, 100%, $F$9) + CHOOSE(CONTROL!$C$27, 0.0021, 0)</f>
        <v>206.02390000000003</v>
      </c>
      <c r="F1061" s="14">
        <f>206.0218 * CHOOSE(CONTROL!$C$9, $D$9, 100%, $F$9) + CHOOSE(CONTROL!$C$27, 0.0021, 0)</f>
        <v>206.02390000000003</v>
      </c>
      <c r="G1061" s="14">
        <f>206.2932 * CHOOSE(CONTROL!$C$9, $D$9, 100%, $F$9) + CHOOSE(CONTROL!$C$27, 0.0021, 0)</f>
        <v>206.29530000000003</v>
      </c>
      <c r="H1061" s="14">
        <f>206.1585 * CHOOSE(CONTROL!$C$9, $D$9, 100%, $F$9) + CHOOSE(CONTROL!$C$27, 0.0021, 0)</f>
        <v>206.16060000000002</v>
      </c>
      <c r="I1061" s="14">
        <f>206.1585 * CHOOSE(CONTROL!$C$9, $D$9, 100%, $F$9) + CHOOSE(CONTROL!$C$27, 0.0021, 0)</f>
        <v>206.16060000000002</v>
      </c>
      <c r="J1061" s="14">
        <f>206.1585 * CHOOSE(CONTROL!$C$9, $D$9, 100%, $F$9) + CHOOSE(CONTROL!$C$27, 0.0021, 0)</f>
        <v>206.16060000000002</v>
      </c>
      <c r="K1061" s="14">
        <f>206.1585 * CHOOSE(CONTROL!$C$9, $D$9, 100%, $F$9) + CHOOSE(CONTROL!$C$27, 0.0021, 0)</f>
        <v>206.16060000000002</v>
      </c>
      <c r="L1061" s="14"/>
    </row>
    <row r="1062" spans="1:12" ht="15.75" x14ac:dyDescent="0.25">
      <c r="A1062" s="32">
        <v>73262</v>
      </c>
      <c r="B1062" s="14">
        <f>205.6353 * CHOOSE(CONTROL!$C$9, $D$9, 100%, $F$9) + CHOOSE(CONTROL!$C$27, 0.0021, 0)</f>
        <v>205.63740000000001</v>
      </c>
      <c r="C1062" s="14">
        <f>205.203 * CHOOSE(CONTROL!$C$9, $D$9, 100%, $F$9) + CHOOSE(CONTROL!$C$27, 0.0021, 0)</f>
        <v>205.20510000000002</v>
      </c>
      <c r="D1062" s="14">
        <f>205.203 * CHOOSE(CONTROL!$C$9, $D$9, 100%, $F$9) + CHOOSE(CONTROL!$C$27, 0.0021, 0)</f>
        <v>205.20510000000002</v>
      </c>
      <c r="E1062" s="14">
        <f>205.0664 * CHOOSE(CONTROL!$C$9, $D$9, 100%, $F$9) + CHOOSE(CONTROL!$C$27, 0.0021, 0)</f>
        <v>205.0685</v>
      </c>
      <c r="F1062" s="14">
        <f>205.0664 * CHOOSE(CONTROL!$C$9, $D$9, 100%, $F$9) + CHOOSE(CONTROL!$C$27, 0.0021, 0)</f>
        <v>205.0685</v>
      </c>
      <c r="G1062" s="14">
        <f>205.3378 * CHOOSE(CONTROL!$C$9, $D$9, 100%, $F$9) + CHOOSE(CONTROL!$C$27, 0.0021, 0)</f>
        <v>205.3399</v>
      </c>
      <c r="H1062" s="14">
        <f>205.203 * CHOOSE(CONTROL!$C$9, $D$9, 100%, $F$9) + CHOOSE(CONTROL!$C$27, 0.0021, 0)</f>
        <v>205.20510000000002</v>
      </c>
      <c r="I1062" s="14">
        <f>205.203 * CHOOSE(CONTROL!$C$9, $D$9, 100%, $F$9) + CHOOSE(CONTROL!$C$27, 0.0021, 0)</f>
        <v>205.20510000000002</v>
      </c>
      <c r="J1062" s="14">
        <f>205.203 * CHOOSE(CONTROL!$C$9, $D$9, 100%, $F$9) + CHOOSE(CONTROL!$C$27, 0.0021, 0)</f>
        <v>205.20510000000002</v>
      </c>
      <c r="K1062" s="14">
        <f>205.203 * CHOOSE(CONTROL!$C$9, $D$9, 100%, $F$9) + CHOOSE(CONTROL!$C$27, 0.0021, 0)</f>
        <v>205.20510000000002</v>
      </c>
      <c r="L1062" s="14"/>
    </row>
    <row r="1063" spans="1:12" ht="15.75" x14ac:dyDescent="0.25">
      <c r="A1063" s="32">
        <v>73293</v>
      </c>
      <c r="B1063" s="14">
        <f>200.9015 * CHOOSE(CONTROL!$C$9, $D$9, 100%, $F$9) + CHOOSE(CONTROL!$C$27, 0.0021, 0)</f>
        <v>200.90360000000001</v>
      </c>
      <c r="C1063" s="14">
        <f>200.4693 * CHOOSE(CONTROL!$C$9, $D$9, 100%, $F$9) + CHOOSE(CONTROL!$C$27, 0.0021, 0)</f>
        <v>200.47140000000002</v>
      </c>
      <c r="D1063" s="14">
        <f>200.4693 * CHOOSE(CONTROL!$C$9, $D$9, 100%, $F$9) + CHOOSE(CONTROL!$C$27, 0.0021, 0)</f>
        <v>200.47140000000002</v>
      </c>
      <c r="E1063" s="14">
        <f>200.3326 * CHOOSE(CONTROL!$C$9, $D$9, 100%, $F$9) + CHOOSE(CONTROL!$C$27, 0.0021, 0)</f>
        <v>200.33470000000003</v>
      </c>
      <c r="F1063" s="14">
        <f>200.3326 * CHOOSE(CONTROL!$C$9, $D$9, 100%, $F$9) + CHOOSE(CONTROL!$C$27, 0.0021, 0)</f>
        <v>200.33470000000003</v>
      </c>
      <c r="G1063" s="14">
        <f>200.604 * CHOOSE(CONTROL!$C$9, $D$9, 100%, $F$9) + CHOOSE(CONTROL!$C$27, 0.0021, 0)</f>
        <v>200.60610000000003</v>
      </c>
      <c r="H1063" s="14">
        <f>200.4693 * CHOOSE(CONTROL!$C$9, $D$9, 100%, $F$9) + CHOOSE(CONTROL!$C$27, 0.0021, 0)</f>
        <v>200.47140000000002</v>
      </c>
      <c r="I1063" s="14">
        <f>200.4693 * CHOOSE(CONTROL!$C$9, $D$9, 100%, $F$9) + CHOOSE(CONTROL!$C$27, 0.0021, 0)</f>
        <v>200.47140000000002</v>
      </c>
      <c r="J1063" s="14">
        <f>200.4693 * CHOOSE(CONTROL!$C$9, $D$9, 100%, $F$9) + CHOOSE(CONTROL!$C$27, 0.0021, 0)</f>
        <v>200.47140000000002</v>
      </c>
      <c r="K1063" s="14">
        <f>200.4693 * CHOOSE(CONTROL!$C$9, $D$9, 100%, $F$9) + CHOOSE(CONTROL!$C$27, 0.0021, 0)</f>
        <v>200.47140000000002</v>
      </c>
      <c r="L1063" s="14"/>
    </row>
    <row r="1064" spans="1:12" ht="15.75" x14ac:dyDescent="0.25">
      <c r="A1064" s="32">
        <v>73323</v>
      </c>
      <c r="B1064" s="14">
        <f>194.3001 * CHOOSE(CONTROL!$C$9, $D$9, 100%, $F$9) + CHOOSE(CONTROL!$C$27, 0.0021, 0)</f>
        <v>194.3022</v>
      </c>
      <c r="C1064" s="14">
        <f>193.8679 * CHOOSE(CONTROL!$C$9, $D$9, 100%, $F$9) + CHOOSE(CONTROL!$C$27, 0.0021, 0)</f>
        <v>193.87</v>
      </c>
      <c r="D1064" s="14">
        <f>193.8679 * CHOOSE(CONTROL!$C$9, $D$9, 100%, $F$9) + CHOOSE(CONTROL!$C$27, 0.0021, 0)</f>
        <v>193.87</v>
      </c>
      <c r="E1064" s="14">
        <f>193.7312 * CHOOSE(CONTROL!$C$9, $D$9, 100%, $F$9) + CHOOSE(CONTROL!$C$27, 0.0021, 0)</f>
        <v>193.73330000000001</v>
      </c>
      <c r="F1064" s="14">
        <f>193.7312 * CHOOSE(CONTROL!$C$9, $D$9, 100%, $F$9) + CHOOSE(CONTROL!$C$27, 0.0021, 0)</f>
        <v>193.73330000000001</v>
      </c>
      <c r="G1064" s="14">
        <f>194.0026 * CHOOSE(CONTROL!$C$9, $D$9, 100%, $F$9) + CHOOSE(CONTROL!$C$27, 0.0021, 0)</f>
        <v>194.00470000000001</v>
      </c>
      <c r="H1064" s="14">
        <f>193.8679 * CHOOSE(CONTROL!$C$9, $D$9, 100%, $F$9) + CHOOSE(CONTROL!$C$27, 0.0021, 0)</f>
        <v>193.87</v>
      </c>
      <c r="I1064" s="14">
        <f>193.8679 * CHOOSE(CONTROL!$C$9, $D$9, 100%, $F$9) + CHOOSE(CONTROL!$C$27, 0.0021, 0)</f>
        <v>193.87</v>
      </c>
      <c r="J1064" s="14">
        <f>193.8679 * CHOOSE(CONTROL!$C$9, $D$9, 100%, $F$9) + CHOOSE(CONTROL!$C$27, 0.0021, 0)</f>
        <v>193.87</v>
      </c>
      <c r="K1064" s="14">
        <f>193.8679 * CHOOSE(CONTROL!$C$9, $D$9, 100%, $F$9) + CHOOSE(CONTROL!$C$27, 0.0021, 0)</f>
        <v>193.87</v>
      </c>
      <c r="L1064" s="14"/>
    </row>
    <row r="1065" spans="1:12" ht="15.75" x14ac:dyDescent="0.25">
      <c r="A1065" s="32">
        <v>73354</v>
      </c>
      <c r="B1065" s="14">
        <f>187.6603 * CHOOSE(CONTROL!$C$9, $D$9, 100%, $F$9) + CHOOSE(CONTROL!$C$27, 0.0021, 0)</f>
        <v>187.66240000000002</v>
      </c>
      <c r="C1065" s="14">
        <f>187.228 * CHOOSE(CONTROL!$C$9, $D$9, 100%, $F$9) + CHOOSE(CONTROL!$C$27, 0.0021, 0)</f>
        <v>187.23010000000002</v>
      </c>
      <c r="D1065" s="14">
        <f>187.228 * CHOOSE(CONTROL!$C$9, $D$9, 100%, $F$9) + CHOOSE(CONTROL!$C$27, 0.0021, 0)</f>
        <v>187.23010000000002</v>
      </c>
      <c r="E1065" s="14">
        <f>187.0914 * CHOOSE(CONTROL!$C$9, $D$9, 100%, $F$9) + CHOOSE(CONTROL!$C$27, 0.0021, 0)</f>
        <v>187.09350000000001</v>
      </c>
      <c r="F1065" s="14">
        <f>187.0914 * CHOOSE(CONTROL!$C$9, $D$9, 100%, $F$9) + CHOOSE(CONTROL!$C$27, 0.0021, 0)</f>
        <v>187.09350000000001</v>
      </c>
      <c r="G1065" s="14">
        <f>187.3628 * CHOOSE(CONTROL!$C$9, $D$9, 100%, $F$9) + CHOOSE(CONTROL!$C$27, 0.0021, 0)</f>
        <v>187.36490000000001</v>
      </c>
      <c r="H1065" s="14">
        <f>187.228 * CHOOSE(CONTROL!$C$9, $D$9, 100%, $F$9) + CHOOSE(CONTROL!$C$27, 0.0021, 0)</f>
        <v>187.23010000000002</v>
      </c>
      <c r="I1065" s="14">
        <f>187.228 * CHOOSE(CONTROL!$C$9, $D$9, 100%, $F$9) + CHOOSE(CONTROL!$C$27, 0.0021, 0)</f>
        <v>187.23010000000002</v>
      </c>
      <c r="J1065" s="14">
        <f>187.228 * CHOOSE(CONTROL!$C$9, $D$9, 100%, $F$9) + CHOOSE(CONTROL!$C$27, 0.0021, 0)</f>
        <v>187.23010000000002</v>
      </c>
      <c r="K1065" s="14">
        <f>187.228 * CHOOSE(CONTROL!$C$9, $D$9, 100%, $F$9) + CHOOSE(CONTROL!$C$27, 0.0021, 0)</f>
        <v>187.23010000000002</v>
      </c>
      <c r="L1065" s="14"/>
    </row>
    <row r="1066" spans="1:12" ht="15.75" x14ac:dyDescent="0.25">
      <c r="A1066" s="32">
        <v>73384</v>
      </c>
      <c r="B1066" s="14">
        <f>186.3395 * CHOOSE(CONTROL!$C$9, $D$9, 100%, $F$9) + CHOOSE(CONTROL!$C$27, 0.0021, 0)</f>
        <v>186.3416</v>
      </c>
      <c r="C1066" s="14">
        <f>185.9073 * CHOOSE(CONTROL!$C$9, $D$9, 100%, $F$9) + CHOOSE(CONTROL!$C$27, 0.0021, 0)</f>
        <v>185.90940000000001</v>
      </c>
      <c r="D1066" s="14">
        <f>185.9073 * CHOOSE(CONTROL!$C$9, $D$9, 100%, $F$9) + CHOOSE(CONTROL!$C$27, 0.0021, 0)</f>
        <v>185.90940000000001</v>
      </c>
      <c r="E1066" s="14">
        <f>185.7706 * CHOOSE(CONTROL!$C$9, $D$9, 100%, $F$9) + CHOOSE(CONTROL!$C$27, 0.0021, 0)</f>
        <v>185.77270000000001</v>
      </c>
      <c r="F1066" s="14">
        <f>185.7706 * CHOOSE(CONTROL!$C$9, $D$9, 100%, $F$9) + CHOOSE(CONTROL!$C$27, 0.0021, 0)</f>
        <v>185.77270000000001</v>
      </c>
      <c r="G1066" s="14">
        <f>186.042 * CHOOSE(CONTROL!$C$9, $D$9, 100%, $F$9) + CHOOSE(CONTROL!$C$27, 0.0021, 0)</f>
        <v>186.04410000000001</v>
      </c>
      <c r="H1066" s="14">
        <f>185.9073 * CHOOSE(CONTROL!$C$9, $D$9, 100%, $F$9) + CHOOSE(CONTROL!$C$27, 0.0021, 0)</f>
        <v>185.90940000000001</v>
      </c>
      <c r="I1066" s="14">
        <f>185.9073 * CHOOSE(CONTROL!$C$9, $D$9, 100%, $F$9) + CHOOSE(CONTROL!$C$27, 0.0021, 0)</f>
        <v>185.90940000000001</v>
      </c>
      <c r="J1066" s="14">
        <f>185.9073 * CHOOSE(CONTROL!$C$9, $D$9, 100%, $F$9) + CHOOSE(CONTROL!$C$27, 0.0021, 0)</f>
        <v>185.90940000000001</v>
      </c>
      <c r="K1066" s="14">
        <f>185.9073 * CHOOSE(CONTROL!$C$9, $D$9, 100%, $F$9) + CHOOSE(CONTROL!$C$27, 0.0021, 0)</f>
        <v>185.90940000000001</v>
      </c>
      <c r="L1066" s="14"/>
    </row>
    <row r="1067" spans="1:12" ht="15.75" x14ac:dyDescent="0.25">
      <c r="A1067" s="32">
        <v>73415</v>
      </c>
      <c r="B1067" s="14">
        <f>180.8779 * CHOOSE(CONTROL!$C$9, $D$9, 100%, $F$9) + CHOOSE(CONTROL!$C$27, 0.0021, 0)</f>
        <v>180.88000000000002</v>
      </c>
      <c r="C1067" s="14">
        <f>180.4456 * CHOOSE(CONTROL!$C$9, $D$9, 100%, $F$9) + CHOOSE(CONTROL!$C$27, 0.0021, 0)</f>
        <v>180.44770000000003</v>
      </c>
      <c r="D1067" s="14">
        <f>180.4456 * CHOOSE(CONTROL!$C$9, $D$9, 100%, $F$9) + CHOOSE(CONTROL!$C$27, 0.0021, 0)</f>
        <v>180.44770000000003</v>
      </c>
      <c r="E1067" s="14">
        <f>180.309 * CHOOSE(CONTROL!$C$9, $D$9, 100%, $F$9) + CHOOSE(CONTROL!$C$27, 0.0021, 0)</f>
        <v>180.31110000000001</v>
      </c>
      <c r="F1067" s="14">
        <f>180.309 * CHOOSE(CONTROL!$C$9, $D$9, 100%, $F$9) + CHOOSE(CONTROL!$C$27, 0.0021, 0)</f>
        <v>180.31110000000001</v>
      </c>
      <c r="G1067" s="14">
        <f>180.5804 * CHOOSE(CONTROL!$C$9, $D$9, 100%, $F$9) + CHOOSE(CONTROL!$C$27, 0.0021, 0)</f>
        <v>180.58250000000001</v>
      </c>
      <c r="H1067" s="14">
        <f>180.4456 * CHOOSE(CONTROL!$C$9, $D$9, 100%, $F$9) + CHOOSE(CONTROL!$C$27, 0.0021, 0)</f>
        <v>180.44770000000003</v>
      </c>
      <c r="I1067" s="14">
        <f>180.4456 * CHOOSE(CONTROL!$C$9, $D$9, 100%, $F$9) + CHOOSE(CONTROL!$C$27, 0.0021, 0)</f>
        <v>180.44770000000003</v>
      </c>
      <c r="J1067" s="14">
        <f>180.4456 * CHOOSE(CONTROL!$C$9, $D$9, 100%, $F$9) + CHOOSE(CONTROL!$C$27, 0.0021, 0)</f>
        <v>180.44770000000003</v>
      </c>
      <c r="K1067" s="14">
        <f>180.4456 * CHOOSE(CONTROL!$C$9, $D$9, 100%, $F$9) + CHOOSE(CONTROL!$C$27, 0.0021, 0)</f>
        <v>180.44770000000003</v>
      </c>
      <c r="L1067" s="14"/>
    </row>
    <row r="1068" spans="1:12" ht="15" x14ac:dyDescent="0.2">
      <c r="A1068" s="12"/>
      <c r="B1068" s="14"/>
      <c r="C1068" s="14"/>
      <c r="D1068" s="14"/>
      <c r="E1068" s="14"/>
      <c r="F1068" s="14"/>
      <c r="G1068" s="14"/>
      <c r="H1068" s="14"/>
      <c r="I1068" s="14"/>
      <c r="L1068" s="14"/>
    </row>
    <row r="1069" spans="1:12" ht="15" x14ac:dyDescent="0.2">
      <c r="A1069" s="10">
        <v>2013</v>
      </c>
      <c r="B1069" s="14">
        <f>AVERAGE(B12:B23)</f>
        <v>23.634365582637091</v>
      </c>
      <c r="C1069" s="14">
        <f>AVERAGE(C12:C23)</f>
        <v>23.202129333351767</v>
      </c>
      <c r="D1069" s="14"/>
      <c r="E1069" s="14">
        <f t="shared" ref="E1069:K1069" si="0">AVERAGE(E12:E23)</f>
        <v>23.065463295615931</v>
      </c>
      <c r="F1069" s="14">
        <f t="shared" si="0"/>
        <v>23.065463295615931</v>
      </c>
      <c r="G1069" s="14">
        <f t="shared" si="0"/>
        <v>23.336836408823473</v>
      </c>
      <c r="H1069" s="14">
        <f t="shared" si="0"/>
        <v>23.202129333351767</v>
      </c>
      <c r="I1069" s="14">
        <f t="shared" si="0"/>
        <v>23.202129333351767</v>
      </c>
      <c r="J1069" s="14">
        <f t="shared" si="0"/>
        <v>22.841918570058464</v>
      </c>
      <c r="K1069" s="14">
        <f t="shared" si="0"/>
        <v>23.202129333351767</v>
      </c>
      <c r="L1069" s="14"/>
    </row>
    <row r="1070" spans="1:12" ht="15" x14ac:dyDescent="0.2">
      <c r="A1070" s="10">
        <v>2014</v>
      </c>
      <c r="B1070" s="14">
        <f>AVERAGE(B24:B35)</f>
        <v>23.270066666666661</v>
      </c>
      <c r="C1070" s="14">
        <f>AVERAGE(C24:C35)</f>
        <v>22.837833333333332</v>
      </c>
      <c r="D1070" s="14"/>
      <c r="E1070" s="14">
        <f t="shared" ref="E1070:K1070" si="1">AVERAGE(E24:E35)</f>
        <v>22.701166666666666</v>
      </c>
      <c r="F1070" s="14">
        <f t="shared" si="1"/>
        <v>22.701166666666666</v>
      </c>
      <c r="G1070" s="14">
        <f t="shared" si="1"/>
        <v>22.972558333333335</v>
      </c>
      <c r="H1070" s="14">
        <f t="shared" si="1"/>
        <v>22.837833333333332</v>
      </c>
      <c r="I1070" s="14">
        <f t="shared" si="1"/>
        <v>22.837833333333332</v>
      </c>
      <c r="J1070" s="14">
        <f t="shared" si="1"/>
        <v>22.477625</v>
      </c>
      <c r="K1070" s="14">
        <f t="shared" si="1"/>
        <v>22.837833333333332</v>
      </c>
      <c r="L1070" s="14"/>
    </row>
    <row r="1071" spans="1:12" ht="15" x14ac:dyDescent="0.2">
      <c r="A1071" s="10">
        <v>2015</v>
      </c>
      <c r="B1071" s="14">
        <f>AVERAGE(B36:B47)</f>
        <v>22.614383333333333</v>
      </c>
      <c r="C1071" s="14">
        <f>AVERAGE(C36:C47)</f>
        <v>22.182133333333336</v>
      </c>
      <c r="D1071" s="14"/>
      <c r="E1071" s="14">
        <f t="shared" ref="E1071:K1071" si="2">AVERAGE(E36:E47)</f>
        <v>22.045483333333333</v>
      </c>
      <c r="F1071" s="14">
        <f t="shared" si="2"/>
        <v>22.045483333333333</v>
      </c>
      <c r="G1071" s="14">
        <f t="shared" si="2"/>
        <v>22.316849999999999</v>
      </c>
      <c r="H1071" s="14">
        <f t="shared" si="2"/>
        <v>22.182133333333336</v>
      </c>
      <c r="I1071" s="14">
        <f t="shared" si="2"/>
        <v>22.182133333333336</v>
      </c>
      <c r="J1071" s="14">
        <f t="shared" si="2"/>
        <v>22.182133333333336</v>
      </c>
      <c r="K1071" s="14">
        <f t="shared" si="2"/>
        <v>22.182133333333336</v>
      </c>
      <c r="L1071" s="14"/>
    </row>
    <row r="1072" spans="1:12" ht="15" x14ac:dyDescent="0.2">
      <c r="A1072" s="10">
        <v>2016</v>
      </c>
      <c r="B1072" s="14">
        <f>AVERAGE(B48:B59)</f>
        <v>24.486124999999998</v>
      </c>
      <c r="C1072" s="14">
        <f>AVERAGE(C48:C59)</f>
        <v>24.053875000000001</v>
      </c>
      <c r="D1072" s="14"/>
      <c r="E1072" s="14">
        <f t="shared" ref="E1072:K1072" si="3">AVERAGE(E48:E59)</f>
        <v>23.917216666666665</v>
      </c>
      <c r="F1072" s="14">
        <f t="shared" si="3"/>
        <v>23.917216666666665</v>
      </c>
      <c r="G1072" s="14">
        <f t="shared" si="3"/>
        <v>24.188591666666664</v>
      </c>
      <c r="H1072" s="14">
        <f t="shared" si="3"/>
        <v>24.053875000000001</v>
      </c>
      <c r="I1072" s="14">
        <f t="shared" si="3"/>
        <v>24.053875000000001</v>
      </c>
      <c r="J1072" s="14">
        <f t="shared" si="3"/>
        <v>24.053875000000001</v>
      </c>
      <c r="K1072" s="14">
        <f t="shared" si="3"/>
        <v>24.053875000000001</v>
      </c>
      <c r="L1072" s="14"/>
    </row>
    <row r="1073" spans="1:12" ht="15" x14ac:dyDescent="0.2">
      <c r="A1073" s="10">
        <v>2017</v>
      </c>
      <c r="B1073" s="14">
        <f>AVERAGE(B60:B71)</f>
        <v>25.299066666666661</v>
      </c>
      <c r="C1073" s="14">
        <f>AVERAGE(C60:C71)</f>
        <v>24.866841666666662</v>
      </c>
      <c r="D1073" s="14"/>
      <c r="E1073" s="14">
        <f t="shared" ref="E1073:K1073" si="4">AVERAGE(E60:E71)</f>
        <v>24.730166666666666</v>
      </c>
      <c r="F1073" s="14">
        <f t="shared" si="4"/>
        <v>24.730166666666666</v>
      </c>
      <c r="G1073" s="14">
        <f t="shared" si="4"/>
        <v>25.001550000000005</v>
      </c>
      <c r="H1073" s="14">
        <f t="shared" si="4"/>
        <v>24.866841666666662</v>
      </c>
      <c r="I1073" s="14">
        <f t="shared" si="4"/>
        <v>24.866841666666662</v>
      </c>
      <c r="J1073" s="14">
        <f t="shared" si="4"/>
        <v>24.866841666666662</v>
      </c>
      <c r="K1073" s="14">
        <f t="shared" si="4"/>
        <v>24.866841666666662</v>
      </c>
      <c r="L1073" s="14"/>
    </row>
    <row r="1074" spans="1:12" ht="15" x14ac:dyDescent="0.2">
      <c r="A1074" s="10">
        <v>2018</v>
      </c>
      <c r="B1074" s="14">
        <f>AVERAGE(B72:B83)</f>
        <v>29.022149999999996</v>
      </c>
      <c r="C1074" s="14">
        <f>AVERAGE(C72:C83)</f>
        <v>28.589916666666664</v>
      </c>
      <c r="D1074" s="14"/>
      <c r="E1074" s="14">
        <f t="shared" ref="E1074:K1074" si="5">AVERAGE(E72:E83)</f>
        <v>28.45323333333333</v>
      </c>
      <c r="F1074" s="14">
        <f t="shared" si="5"/>
        <v>28.45323333333333</v>
      </c>
      <c r="G1074" s="14">
        <f t="shared" si="5"/>
        <v>28.724616666666666</v>
      </c>
      <c r="H1074" s="14">
        <f t="shared" si="5"/>
        <v>28.589916666666664</v>
      </c>
      <c r="I1074" s="14">
        <f t="shared" si="5"/>
        <v>28.589916666666664</v>
      </c>
      <c r="J1074" s="14">
        <f t="shared" si="5"/>
        <v>28.589916666666664</v>
      </c>
      <c r="K1074" s="14">
        <f t="shared" si="5"/>
        <v>28.589916666666664</v>
      </c>
      <c r="L1074" s="14"/>
    </row>
    <row r="1075" spans="1:12" ht="15" x14ac:dyDescent="0.2">
      <c r="A1075" s="10">
        <v>2019</v>
      </c>
      <c r="B1075" s="14">
        <f>AVERAGE(B84:B95)</f>
        <v>30.382450000000002</v>
      </c>
      <c r="C1075" s="14">
        <f>AVERAGE(C84:C95)</f>
        <v>29.950200000000006</v>
      </c>
      <c r="D1075" s="14"/>
      <c r="E1075" s="14">
        <f t="shared" ref="E1075:K1075" si="6">AVERAGE(E84:E95)</f>
        <v>29.813549999999992</v>
      </c>
      <c r="F1075" s="14">
        <f t="shared" si="6"/>
        <v>29.813549999999992</v>
      </c>
      <c r="G1075" s="14">
        <f t="shared" si="6"/>
        <v>30.084916666666661</v>
      </c>
      <c r="H1075" s="14">
        <f t="shared" si="6"/>
        <v>29.950200000000006</v>
      </c>
      <c r="I1075" s="14">
        <f t="shared" si="6"/>
        <v>29.950200000000006</v>
      </c>
      <c r="J1075" s="14">
        <f t="shared" si="6"/>
        <v>29.950200000000006</v>
      </c>
      <c r="K1075" s="14">
        <f t="shared" si="6"/>
        <v>29.950200000000006</v>
      </c>
      <c r="L1075" s="14"/>
    </row>
    <row r="1076" spans="1:12" ht="15" x14ac:dyDescent="0.2">
      <c r="A1076" s="10">
        <v>2020</v>
      </c>
      <c r="B1076" s="14">
        <f>AVERAGE(B96:B107)</f>
        <v>31.973575</v>
      </c>
      <c r="C1076" s="14">
        <f>AVERAGE(C96:C107)</f>
        <v>31.541349999999998</v>
      </c>
      <c r="D1076" s="14"/>
      <c r="E1076" s="14">
        <f t="shared" ref="E1076:K1076" si="7">AVERAGE(E96:E107)</f>
        <v>31.404674999999997</v>
      </c>
      <c r="F1076" s="14">
        <f t="shared" si="7"/>
        <v>31.404674999999997</v>
      </c>
      <c r="G1076" s="14">
        <f t="shared" si="7"/>
        <v>31.676066666666667</v>
      </c>
      <c r="H1076" s="14">
        <f t="shared" si="7"/>
        <v>31.541349999999998</v>
      </c>
      <c r="I1076" s="14">
        <f t="shared" si="7"/>
        <v>31.541349999999998</v>
      </c>
      <c r="J1076" s="14">
        <f t="shared" si="7"/>
        <v>31.541349999999998</v>
      </c>
      <c r="K1076" s="14">
        <f t="shared" si="7"/>
        <v>31.541349999999998</v>
      </c>
      <c r="L1076" s="14"/>
    </row>
    <row r="1077" spans="1:12" ht="15" x14ac:dyDescent="0.2">
      <c r="A1077" s="10">
        <v>2021</v>
      </c>
      <c r="B1077" s="14">
        <f>AVERAGE(B108:B119)</f>
        <v>34.254641666666664</v>
      </c>
      <c r="C1077" s="14">
        <f>AVERAGE(C108:C119)</f>
        <v>33.822400000000002</v>
      </c>
      <c r="D1077" s="14"/>
      <c r="E1077" s="14">
        <f t="shared" ref="E1077:K1077" si="8">AVERAGE(E108:E119)</f>
        <v>33.685733333333332</v>
      </c>
      <c r="F1077" s="14">
        <f t="shared" si="8"/>
        <v>33.685733333333332</v>
      </c>
      <c r="G1077" s="14">
        <f t="shared" si="8"/>
        <v>33.957108333333331</v>
      </c>
      <c r="H1077" s="14">
        <f t="shared" si="8"/>
        <v>33.822400000000002</v>
      </c>
      <c r="I1077" s="14">
        <f t="shared" si="8"/>
        <v>33.822400000000002</v>
      </c>
      <c r="J1077" s="14">
        <f t="shared" si="8"/>
        <v>33.822400000000002</v>
      </c>
      <c r="K1077" s="14">
        <f t="shared" si="8"/>
        <v>33.822400000000002</v>
      </c>
      <c r="L1077" s="14"/>
    </row>
    <row r="1078" spans="1:12" ht="15" x14ac:dyDescent="0.2">
      <c r="A1078" s="10">
        <v>2022</v>
      </c>
      <c r="B1078" s="14">
        <f>AVERAGE(B120:B131)</f>
        <v>36.744800000000005</v>
      </c>
      <c r="C1078" s="14">
        <f>AVERAGE(C120:C131)</f>
        <v>36.312541666666668</v>
      </c>
      <c r="D1078" s="14"/>
      <c r="E1078" s="14">
        <f t="shared" ref="E1078:K1078" si="9">AVERAGE(E120:E131)</f>
        <v>36.175883333333331</v>
      </c>
      <c r="F1078" s="14">
        <f t="shared" si="9"/>
        <v>36.175883333333331</v>
      </c>
      <c r="G1078" s="14">
        <f t="shared" si="9"/>
        <v>36.447266666666671</v>
      </c>
      <c r="H1078" s="14">
        <f t="shared" si="9"/>
        <v>36.312541666666668</v>
      </c>
      <c r="I1078" s="14">
        <f t="shared" si="9"/>
        <v>36.312541666666668</v>
      </c>
      <c r="J1078" s="14">
        <f t="shared" si="9"/>
        <v>36.312541666666668</v>
      </c>
      <c r="K1078" s="14">
        <f t="shared" si="9"/>
        <v>36.312541666666668</v>
      </c>
      <c r="L1078" s="14"/>
    </row>
    <row r="1079" spans="1:12" ht="15" x14ac:dyDescent="0.2">
      <c r="A1079" s="10">
        <v>2023</v>
      </c>
      <c r="B1079" s="14">
        <f>AVERAGE(B132:B143)</f>
        <v>39.278350000000003</v>
      </c>
      <c r="C1079" s="14">
        <f>AVERAGE(C132:C143)</f>
        <v>38.846091666666666</v>
      </c>
      <c r="D1079" s="14"/>
      <c r="E1079" s="14">
        <f t="shared" ref="E1079:K1079" si="10">AVERAGE(E132:E143)</f>
        <v>38.709450000000004</v>
      </c>
      <c r="F1079" s="14">
        <f t="shared" si="10"/>
        <v>38.709450000000004</v>
      </c>
      <c r="G1079" s="14">
        <f t="shared" si="10"/>
        <v>38.980808333333336</v>
      </c>
      <c r="H1079" s="14">
        <f t="shared" si="10"/>
        <v>38.846091666666666</v>
      </c>
      <c r="I1079" s="14">
        <f t="shared" si="10"/>
        <v>38.846091666666666</v>
      </c>
      <c r="J1079" s="14">
        <f t="shared" si="10"/>
        <v>38.846091666666666</v>
      </c>
      <c r="K1079" s="14">
        <f t="shared" si="10"/>
        <v>38.846091666666666</v>
      </c>
      <c r="L1079" s="14"/>
    </row>
    <row r="1080" spans="1:12" ht="15" x14ac:dyDescent="0.2">
      <c r="A1080" s="10">
        <v>2024</v>
      </c>
      <c r="B1080" s="14">
        <f>AVERAGE(B144:B155)</f>
        <v>41.871083333333338</v>
      </c>
      <c r="C1080" s="14">
        <f>AVERAGE(C144:C155)</f>
        <v>41.438849999999995</v>
      </c>
      <c r="D1080" s="14"/>
      <c r="E1080" s="14">
        <f t="shared" ref="E1080:K1080" si="11">AVERAGE(E144:E155)</f>
        <v>41.302183333333325</v>
      </c>
      <c r="F1080" s="14">
        <f t="shared" si="11"/>
        <v>41.302183333333325</v>
      </c>
      <c r="G1080" s="14">
        <f t="shared" si="11"/>
        <v>41.573574999999998</v>
      </c>
      <c r="H1080" s="14">
        <f t="shared" si="11"/>
        <v>41.438849999999995</v>
      </c>
      <c r="I1080" s="14">
        <f t="shared" si="11"/>
        <v>41.438849999999995</v>
      </c>
      <c r="J1080" s="14">
        <f t="shared" si="11"/>
        <v>41.438849999999995</v>
      </c>
      <c r="K1080" s="14">
        <f t="shared" si="11"/>
        <v>41.438849999999995</v>
      </c>
      <c r="L1080" s="14"/>
    </row>
    <row r="1081" spans="1:12" ht="15" x14ac:dyDescent="0.2">
      <c r="A1081" s="10">
        <v>2025</v>
      </c>
      <c r="B1081" s="14">
        <f>AVERAGE(B156:B167)</f>
        <v>44.504191666666664</v>
      </c>
      <c r="C1081" s="14">
        <f>AVERAGE(C156:C167)</f>
        <v>44.071941666666667</v>
      </c>
      <c r="D1081" s="14"/>
      <c r="E1081" s="14">
        <f t="shared" ref="E1081:K1081" si="12">AVERAGE(E156:E167)</f>
        <v>43.935283333333331</v>
      </c>
      <c r="F1081" s="14">
        <f t="shared" si="12"/>
        <v>43.935283333333331</v>
      </c>
      <c r="G1081" s="14">
        <f t="shared" si="12"/>
        <v>44.206650000000003</v>
      </c>
      <c r="H1081" s="14">
        <f t="shared" si="12"/>
        <v>44.071941666666667</v>
      </c>
      <c r="I1081" s="14">
        <f t="shared" si="12"/>
        <v>44.071941666666667</v>
      </c>
      <c r="J1081" s="14">
        <f t="shared" si="12"/>
        <v>44.071941666666667</v>
      </c>
      <c r="K1081" s="14">
        <f t="shared" si="12"/>
        <v>44.071941666666667</v>
      </c>
      <c r="L1081" s="14"/>
    </row>
    <row r="1082" spans="1:12" ht="15" x14ac:dyDescent="0.2">
      <c r="A1082" s="10">
        <v>2026</v>
      </c>
      <c r="B1082" s="14">
        <f>AVERAGE(B168:B179)</f>
        <v>46.482824999999991</v>
      </c>
      <c r="C1082" s="14">
        <f>AVERAGE(C168:C179)</f>
        <v>46.050566666666668</v>
      </c>
      <c r="D1082" s="14"/>
      <c r="E1082" s="14">
        <f t="shared" ref="E1082:K1082" si="13">AVERAGE(E168:E179)</f>
        <v>45.913924999999999</v>
      </c>
      <c r="F1082" s="14">
        <f t="shared" si="13"/>
        <v>45.913924999999999</v>
      </c>
      <c r="G1082" s="14">
        <f t="shared" si="13"/>
        <v>46.185308333333325</v>
      </c>
      <c r="H1082" s="14">
        <f t="shared" si="13"/>
        <v>46.050566666666668</v>
      </c>
      <c r="I1082" s="14">
        <f t="shared" si="13"/>
        <v>46.050566666666668</v>
      </c>
      <c r="J1082" s="14">
        <f t="shared" si="13"/>
        <v>46.050566666666668</v>
      </c>
      <c r="K1082" s="14">
        <f t="shared" si="13"/>
        <v>46.050566666666668</v>
      </c>
      <c r="L1082" s="14"/>
    </row>
    <row r="1083" spans="1:12" ht="15" x14ac:dyDescent="0.2">
      <c r="A1083" s="10">
        <v>2027</v>
      </c>
      <c r="B1083" s="14">
        <f>AVERAGE(B180:B191)</f>
        <v>48.498216666666671</v>
      </c>
      <c r="C1083" s="14">
        <f>AVERAGE(C180:C191)</f>
        <v>48.065991666666662</v>
      </c>
      <c r="D1083" s="14"/>
      <c r="E1083" s="14">
        <f t="shared" ref="E1083:K1083" si="14">AVERAGE(E180:E191)</f>
        <v>47.929308333333331</v>
      </c>
      <c r="F1083" s="14">
        <f t="shared" si="14"/>
        <v>47.929308333333331</v>
      </c>
      <c r="G1083" s="14">
        <f t="shared" si="14"/>
        <v>48.200691666666671</v>
      </c>
      <c r="H1083" s="14">
        <f t="shared" si="14"/>
        <v>48.065991666666662</v>
      </c>
      <c r="I1083" s="14">
        <f t="shared" si="14"/>
        <v>48.065991666666662</v>
      </c>
      <c r="J1083" s="14">
        <f t="shared" si="14"/>
        <v>48.065991666666662</v>
      </c>
      <c r="K1083" s="14">
        <f t="shared" si="14"/>
        <v>48.065991666666662</v>
      </c>
      <c r="L1083" s="14"/>
    </row>
    <row r="1084" spans="1:12" ht="15" x14ac:dyDescent="0.2">
      <c r="A1084" s="10">
        <v>2028</v>
      </c>
      <c r="B1084" s="14">
        <f>AVERAGE(B192:B203)</f>
        <v>50.511316666666659</v>
      </c>
      <c r="C1084" s="14">
        <f>AVERAGE(C192:C203)</f>
        <v>50.07906666666667</v>
      </c>
      <c r="D1084" s="14"/>
      <c r="E1084" s="14">
        <f t="shared" ref="E1084:K1084" si="15">AVERAGE(E192:E203)</f>
        <v>49.942391666666673</v>
      </c>
      <c r="F1084" s="14">
        <f t="shared" si="15"/>
        <v>49.942391666666673</v>
      </c>
      <c r="G1084" s="14">
        <f t="shared" si="15"/>
        <v>50.213774999999991</v>
      </c>
      <c r="H1084" s="14">
        <f t="shared" si="15"/>
        <v>50.07906666666667</v>
      </c>
      <c r="I1084" s="14">
        <f t="shared" si="15"/>
        <v>50.07906666666667</v>
      </c>
      <c r="J1084" s="14">
        <f t="shared" si="15"/>
        <v>50.07906666666667</v>
      </c>
      <c r="K1084" s="14">
        <f t="shared" si="15"/>
        <v>50.07906666666667</v>
      </c>
      <c r="L1084" s="14"/>
    </row>
    <row r="1085" spans="1:12" ht="15" x14ac:dyDescent="0.2">
      <c r="A1085" s="10">
        <v>2029</v>
      </c>
      <c r="B1085" s="14">
        <f>AVERAGE(B204:B215)</f>
        <v>52.639433333333336</v>
      </c>
      <c r="C1085" s="14">
        <f>AVERAGE(C204:C215)</f>
        <v>52.207158333333332</v>
      </c>
      <c r="D1085" s="14"/>
      <c r="E1085" s="14">
        <f t="shared" ref="E1085:K1085" si="16">AVERAGE(E204:E215)</f>
        <v>52.070533333333337</v>
      </c>
      <c r="F1085" s="14">
        <f t="shared" si="16"/>
        <v>52.070533333333337</v>
      </c>
      <c r="G1085" s="14">
        <f t="shared" si="16"/>
        <v>52.341883333333335</v>
      </c>
      <c r="H1085" s="14">
        <f t="shared" si="16"/>
        <v>52.207158333333332</v>
      </c>
      <c r="I1085" s="14">
        <f t="shared" si="16"/>
        <v>52.207158333333332</v>
      </c>
      <c r="J1085" s="14">
        <f t="shared" si="16"/>
        <v>52.207158333333332</v>
      </c>
      <c r="K1085" s="14">
        <f t="shared" si="16"/>
        <v>52.207158333333332</v>
      </c>
      <c r="L1085" s="14"/>
    </row>
    <row r="1086" spans="1:12" ht="15" x14ac:dyDescent="0.2">
      <c r="A1086" s="10">
        <v>2030</v>
      </c>
      <c r="B1086" s="14">
        <f>AVERAGE(B216:B227)</f>
        <v>54.692541666666664</v>
      </c>
      <c r="C1086" s="14">
        <f>AVERAGE(C216:C227)</f>
        <v>54.260308333333342</v>
      </c>
      <c r="D1086" s="14"/>
      <c r="E1086" s="14">
        <f t="shared" ref="E1086:K1086" si="17">AVERAGE(E216:E227)</f>
        <v>54.123641666666678</v>
      </c>
      <c r="F1086" s="14">
        <f t="shared" si="17"/>
        <v>54.123641666666678</v>
      </c>
      <c r="G1086" s="14">
        <f t="shared" si="17"/>
        <v>54.395024999999997</v>
      </c>
      <c r="H1086" s="14">
        <f t="shared" si="17"/>
        <v>54.260308333333342</v>
      </c>
      <c r="I1086" s="14">
        <f t="shared" si="17"/>
        <v>54.260308333333342</v>
      </c>
      <c r="J1086" s="14">
        <f t="shared" si="17"/>
        <v>54.260308333333342</v>
      </c>
      <c r="K1086" s="14">
        <f t="shared" si="17"/>
        <v>54.260308333333342</v>
      </c>
      <c r="L1086" s="14"/>
    </row>
    <row r="1087" spans="1:12" ht="15" x14ac:dyDescent="0.2">
      <c r="A1087" s="10">
        <v>2031</v>
      </c>
      <c r="B1087" s="14">
        <f>AVERAGE(B228:B239)</f>
        <v>55.848141666666663</v>
      </c>
      <c r="C1087" s="14">
        <f>AVERAGE(C228:C239)</f>
        <v>55.41589166666666</v>
      </c>
      <c r="D1087" s="14"/>
      <c r="E1087" s="14">
        <f t="shared" ref="E1087:K1087" si="18">AVERAGE(E228:E239)</f>
        <v>55.279241666666657</v>
      </c>
      <c r="F1087" s="14">
        <f t="shared" si="18"/>
        <v>55.279241666666657</v>
      </c>
      <c r="G1087" s="14">
        <f t="shared" si="18"/>
        <v>55.550608333333336</v>
      </c>
      <c r="H1087" s="14">
        <f t="shared" si="18"/>
        <v>55.41589166666666</v>
      </c>
      <c r="I1087" s="14">
        <f t="shared" si="18"/>
        <v>55.41589166666666</v>
      </c>
      <c r="J1087" s="14">
        <f t="shared" si="18"/>
        <v>55.41589166666666</v>
      </c>
      <c r="K1087" s="14">
        <f t="shared" si="18"/>
        <v>55.41589166666666</v>
      </c>
      <c r="L1087" s="14"/>
    </row>
    <row r="1088" spans="1:12" ht="15" x14ac:dyDescent="0.2">
      <c r="A1088" s="10">
        <v>2032</v>
      </c>
      <c r="B1088" s="14">
        <f>AVERAGE(B240:B251)</f>
        <v>56.837841666666669</v>
      </c>
      <c r="C1088" s="14">
        <f>AVERAGE(C240:C251)</f>
        <v>56.405624999999993</v>
      </c>
      <c r="D1088" s="14"/>
      <c r="E1088" s="14">
        <f t="shared" ref="E1088:K1088" si="19">AVERAGE(E240:E251)</f>
        <v>56.268933333333337</v>
      </c>
      <c r="F1088" s="14">
        <f t="shared" si="19"/>
        <v>56.268933333333337</v>
      </c>
      <c r="G1088" s="14">
        <f t="shared" si="19"/>
        <v>56.540333333333336</v>
      </c>
      <c r="H1088" s="14">
        <f t="shared" si="19"/>
        <v>56.405624999999993</v>
      </c>
      <c r="I1088" s="14">
        <f t="shared" si="19"/>
        <v>56.405624999999993</v>
      </c>
      <c r="J1088" s="14">
        <f t="shared" si="19"/>
        <v>56.405624999999993</v>
      </c>
      <c r="K1088" s="14">
        <f t="shared" si="19"/>
        <v>56.405624999999993</v>
      </c>
      <c r="L1088" s="14"/>
    </row>
    <row r="1089" spans="1:12" ht="15" x14ac:dyDescent="0.2">
      <c r="A1089" s="10">
        <v>2033</v>
      </c>
      <c r="B1089" s="14">
        <f>AVERAGE(B252:B263)</f>
        <v>57.845858333333332</v>
      </c>
      <c r="C1089" s="14">
        <f>AVERAGE(C252:C263)</f>
        <v>57.413608333333336</v>
      </c>
      <c r="D1089" s="14"/>
      <c r="E1089" s="14">
        <f t="shared" ref="E1089:K1089" si="20">AVERAGE(E252:E263)</f>
        <v>57.276949999999992</v>
      </c>
      <c r="F1089" s="14">
        <f t="shared" si="20"/>
        <v>57.276949999999992</v>
      </c>
      <c r="G1089" s="14">
        <f t="shared" si="20"/>
        <v>57.548324999999998</v>
      </c>
      <c r="H1089" s="14">
        <f t="shared" si="20"/>
        <v>57.413608333333336</v>
      </c>
      <c r="I1089" s="14">
        <f t="shared" si="20"/>
        <v>57.413608333333336</v>
      </c>
      <c r="J1089" s="14">
        <f t="shared" si="20"/>
        <v>57.413608333333336</v>
      </c>
      <c r="K1089" s="14">
        <f t="shared" si="20"/>
        <v>57.413608333333336</v>
      </c>
      <c r="L1089" s="14"/>
    </row>
    <row r="1090" spans="1:12" ht="15" x14ac:dyDescent="0.2">
      <c r="A1090" s="10">
        <v>2034</v>
      </c>
      <c r="B1090" s="14">
        <f>AVERAGE(B264:B275)</f>
        <v>58.872475000000001</v>
      </c>
      <c r="C1090" s="14">
        <f>AVERAGE(C264:C275)</f>
        <v>58.440249999999999</v>
      </c>
      <c r="D1090" s="14"/>
      <c r="E1090" s="14">
        <f t="shared" ref="E1090:K1090" si="21">AVERAGE(E264:E275)</f>
        <v>58.303575000000002</v>
      </c>
      <c r="F1090" s="14">
        <f t="shared" si="21"/>
        <v>58.303575000000002</v>
      </c>
      <c r="G1090" s="14">
        <f t="shared" si="21"/>
        <v>58.574958333333335</v>
      </c>
      <c r="H1090" s="14">
        <f t="shared" si="21"/>
        <v>58.440249999999999</v>
      </c>
      <c r="I1090" s="14">
        <f t="shared" si="21"/>
        <v>58.440249999999999</v>
      </c>
      <c r="J1090" s="14">
        <f t="shared" si="21"/>
        <v>58.440249999999999</v>
      </c>
      <c r="K1090" s="14">
        <f t="shared" si="21"/>
        <v>58.440249999999999</v>
      </c>
      <c r="L1090" s="14"/>
    </row>
    <row r="1091" spans="1:12" ht="15" x14ac:dyDescent="0.2">
      <c r="A1091" s="10">
        <v>2035</v>
      </c>
      <c r="B1091" s="14">
        <f>AVERAGE(B276:B287)</f>
        <v>59.918083333333328</v>
      </c>
      <c r="C1091" s="14">
        <f>AVERAGE(C276:C287)</f>
        <v>59.485866666666674</v>
      </c>
      <c r="D1091" s="14"/>
      <c r="E1091" s="14">
        <f t="shared" ref="E1091:K1091" si="22">AVERAGE(E276:E287)</f>
        <v>59.349183333333336</v>
      </c>
      <c r="F1091" s="14">
        <f t="shared" si="22"/>
        <v>59.349183333333336</v>
      </c>
      <c r="G1091" s="14">
        <f t="shared" si="22"/>
        <v>59.620574999999995</v>
      </c>
      <c r="H1091" s="14">
        <f t="shared" si="22"/>
        <v>59.485866666666674</v>
      </c>
      <c r="I1091" s="14">
        <f t="shared" si="22"/>
        <v>59.485866666666674</v>
      </c>
      <c r="J1091" s="14">
        <f t="shared" si="22"/>
        <v>59.485866666666674</v>
      </c>
      <c r="K1091" s="14">
        <f t="shared" si="22"/>
        <v>59.485866666666674</v>
      </c>
      <c r="L1091" s="14"/>
    </row>
    <row r="1092" spans="1:12" ht="15" x14ac:dyDescent="0.2">
      <c r="A1092" s="10">
        <v>2036</v>
      </c>
      <c r="B1092" s="14">
        <f>AVERAGE(B288:B299)</f>
        <v>60.983024999999998</v>
      </c>
      <c r="C1092" s="14">
        <f>AVERAGE(C288:C299)</f>
        <v>60.550791666666662</v>
      </c>
      <c r="D1092" s="14"/>
      <c r="E1092" s="14">
        <f t="shared" ref="E1092:K1092" si="23">AVERAGE(E288:E299)</f>
        <v>60.414116666666672</v>
      </c>
      <c r="F1092" s="14">
        <f t="shared" si="23"/>
        <v>60.414116666666672</v>
      </c>
      <c r="G1092" s="14">
        <f t="shared" si="23"/>
        <v>60.685499999999998</v>
      </c>
      <c r="H1092" s="14">
        <f t="shared" si="23"/>
        <v>60.550791666666662</v>
      </c>
      <c r="I1092" s="14">
        <f t="shared" si="23"/>
        <v>60.550791666666662</v>
      </c>
      <c r="J1092" s="14">
        <f t="shared" si="23"/>
        <v>60.550791666666662</v>
      </c>
      <c r="K1092" s="14">
        <f t="shared" si="23"/>
        <v>60.550791666666662</v>
      </c>
      <c r="L1092" s="14"/>
    </row>
    <row r="1093" spans="1:12" ht="15" x14ac:dyDescent="0.2">
      <c r="A1093" s="10">
        <v>2037</v>
      </c>
      <c r="B1093" s="14">
        <f>AVERAGE(B300:B311)</f>
        <v>62.067625</v>
      </c>
      <c r="C1093" s="14">
        <f>AVERAGE(C300:C311)</f>
        <v>61.63538333333333</v>
      </c>
      <c r="D1093" s="14"/>
      <c r="E1093" s="14">
        <f t="shared" ref="E1093:K1093" si="24">AVERAGE(E300:E311)</f>
        <v>61.498725</v>
      </c>
      <c r="F1093" s="14">
        <f t="shared" si="24"/>
        <v>61.498725</v>
      </c>
      <c r="G1093" s="14">
        <f t="shared" si="24"/>
        <v>61.770091666666666</v>
      </c>
      <c r="H1093" s="14">
        <f t="shared" si="24"/>
        <v>61.63538333333333</v>
      </c>
      <c r="I1093" s="14">
        <f t="shared" si="24"/>
        <v>61.63538333333333</v>
      </c>
      <c r="J1093" s="14">
        <f t="shared" si="24"/>
        <v>61.63538333333333</v>
      </c>
      <c r="K1093" s="14">
        <f t="shared" si="24"/>
        <v>61.63538333333333</v>
      </c>
      <c r="L1093" s="14"/>
    </row>
    <row r="1094" spans="1:12" ht="15" x14ac:dyDescent="0.2">
      <c r="A1094" s="10">
        <f t="shared" ref="A1094:A1125" si="25">A1093+1</f>
        <v>2038</v>
      </c>
      <c r="B1094" s="14">
        <f>AVERAGE(B312:B323)</f>
        <v>63.172274999999992</v>
      </c>
      <c r="C1094" s="14">
        <f>AVERAGE(C312:C323)</f>
        <v>62.740033333333336</v>
      </c>
      <c r="D1094" s="14"/>
      <c r="E1094" s="14">
        <f t="shared" ref="E1094:K1094" si="26">AVERAGE(E312:E323)</f>
        <v>62.603375</v>
      </c>
      <c r="F1094" s="14">
        <f t="shared" si="26"/>
        <v>62.603375</v>
      </c>
      <c r="G1094" s="14">
        <f t="shared" si="26"/>
        <v>62.874766666666659</v>
      </c>
      <c r="H1094" s="14">
        <f t="shared" si="26"/>
        <v>62.740033333333336</v>
      </c>
      <c r="I1094" s="14">
        <f t="shared" si="26"/>
        <v>62.740033333333336</v>
      </c>
      <c r="J1094" s="14">
        <f t="shared" si="26"/>
        <v>62.740033333333336</v>
      </c>
      <c r="K1094" s="14">
        <f t="shared" si="26"/>
        <v>62.740033333333336</v>
      </c>
      <c r="L1094" s="14"/>
    </row>
    <row r="1095" spans="1:12" ht="15" x14ac:dyDescent="0.2">
      <c r="A1095" s="10">
        <f t="shared" si="25"/>
        <v>2039</v>
      </c>
      <c r="B1095" s="14">
        <f>AVERAGE(B324:B335)</f>
        <v>64.297358333333321</v>
      </c>
      <c r="C1095" s="14">
        <f>AVERAGE(C324:C335)</f>
        <v>63.865100000000005</v>
      </c>
      <c r="D1095" s="14"/>
      <c r="E1095" s="14">
        <f t="shared" ref="E1095:K1095" si="27">AVERAGE(E324:E335)</f>
        <v>63.728458333333329</v>
      </c>
      <c r="F1095" s="14">
        <f t="shared" si="27"/>
        <v>63.728458333333329</v>
      </c>
      <c r="G1095" s="14">
        <f t="shared" si="27"/>
        <v>63.999824999999994</v>
      </c>
      <c r="H1095" s="14">
        <f t="shared" si="27"/>
        <v>63.865100000000005</v>
      </c>
      <c r="I1095" s="14">
        <f t="shared" si="27"/>
        <v>63.865100000000005</v>
      </c>
      <c r="J1095" s="14">
        <f t="shared" si="27"/>
        <v>63.865100000000005</v>
      </c>
      <c r="K1095" s="14">
        <f t="shared" si="27"/>
        <v>63.865100000000005</v>
      </c>
      <c r="L1095" s="14"/>
    </row>
    <row r="1096" spans="1:12" ht="15" x14ac:dyDescent="0.2">
      <c r="A1096" s="10">
        <f t="shared" si="25"/>
        <v>2040</v>
      </c>
      <c r="B1096" s="14">
        <f>AVERAGE(B336:B347)</f>
        <v>65.443208333333317</v>
      </c>
      <c r="C1096" s="14">
        <f>AVERAGE(C336:C347)</f>
        <v>65.010966666666675</v>
      </c>
      <c r="D1096" s="14"/>
      <c r="E1096" s="14">
        <f t="shared" ref="E1096:K1096" si="28">AVERAGE(E336:E347)</f>
        <v>64.874308333333332</v>
      </c>
      <c r="F1096" s="14">
        <f t="shared" si="28"/>
        <v>64.874308333333332</v>
      </c>
      <c r="G1096" s="14">
        <f t="shared" si="28"/>
        <v>65.145683333333338</v>
      </c>
      <c r="H1096" s="14">
        <f t="shared" si="28"/>
        <v>65.010966666666675</v>
      </c>
      <c r="I1096" s="14">
        <f t="shared" si="28"/>
        <v>65.010966666666675</v>
      </c>
      <c r="J1096" s="14">
        <f t="shared" si="28"/>
        <v>65.010966666666675</v>
      </c>
      <c r="K1096" s="14">
        <f t="shared" si="28"/>
        <v>65.010966666666675</v>
      </c>
      <c r="L1096" s="14"/>
    </row>
    <row r="1097" spans="1:12" ht="15" x14ac:dyDescent="0.2">
      <c r="A1097" s="10">
        <f t="shared" si="25"/>
        <v>2041</v>
      </c>
      <c r="B1097" s="14">
        <f>AVERAGE(B348:B359)</f>
        <v>66.610233333333341</v>
      </c>
      <c r="C1097" s="14">
        <f>AVERAGE(C348:C359)</f>
        <v>66.178000000000011</v>
      </c>
      <c r="D1097" s="14"/>
      <c r="E1097" s="14">
        <f t="shared" ref="E1097:K1097" si="29">AVERAGE(E348:E359)</f>
        <v>66.041333333333341</v>
      </c>
      <c r="F1097" s="14">
        <f t="shared" si="29"/>
        <v>66.041333333333341</v>
      </c>
      <c r="G1097" s="14">
        <f t="shared" si="29"/>
        <v>66.312725</v>
      </c>
      <c r="H1097" s="14">
        <f t="shared" si="29"/>
        <v>66.178000000000011</v>
      </c>
      <c r="I1097" s="14">
        <f t="shared" si="29"/>
        <v>66.178000000000011</v>
      </c>
      <c r="J1097" s="14">
        <f t="shared" si="29"/>
        <v>66.178000000000011</v>
      </c>
      <c r="K1097" s="14">
        <f t="shared" si="29"/>
        <v>66.178000000000011</v>
      </c>
      <c r="L1097" s="14"/>
    </row>
    <row r="1098" spans="1:12" ht="15" x14ac:dyDescent="0.2">
      <c r="A1098" s="10">
        <f t="shared" si="25"/>
        <v>2042</v>
      </c>
      <c r="B1098" s="14">
        <f>AVERAGE(B360:B371)</f>
        <v>67.798841666666661</v>
      </c>
      <c r="C1098" s="14">
        <f>AVERAGE(C360:C371)</f>
        <v>67.366616666666658</v>
      </c>
      <c r="D1098" s="14"/>
      <c r="E1098" s="14">
        <f t="shared" ref="E1098:K1098" si="30">AVERAGE(E360:E371)</f>
        <v>67.229941666666676</v>
      </c>
      <c r="F1098" s="14">
        <f t="shared" si="30"/>
        <v>67.229941666666676</v>
      </c>
      <c r="G1098" s="14">
        <f t="shared" si="30"/>
        <v>67.501333333333321</v>
      </c>
      <c r="H1098" s="14">
        <f t="shared" si="30"/>
        <v>67.366616666666658</v>
      </c>
      <c r="I1098" s="14">
        <f t="shared" si="30"/>
        <v>67.366616666666658</v>
      </c>
      <c r="J1098" s="14">
        <f t="shared" si="30"/>
        <v>67.366616666666658</v>
      </c>
      <c r="K1098" s="14">
        <f t="shared" si="30"/>
        <v>67.366616666666658</v>
      </c>
      <c r="L1098" s="14"/>
    </row>
    <row r="1099" spans="1:12" ht="15" x14ac:dyDescent="0.2">
      <c r="A1099" s="10">
        <f t="shared" si="25"/>
        <v>2043</v>
      </c>
      <c r="B1099" s="14">
        <f>AVERAGE(B372:B383)</f>
        <v>69.009424999999979</v>
      </c>
      <c r="C1099" s="14">
        <f>AVERAGE(C372:C383)</f>
        <v>68.577183333333338</v>
      </c>
      <c r="D1099" s="14"/>
      <c r="E1099" s="14">
        <f t="shared" ref="E1099:K1099" si="31">AVERAGE(E372:E383)</f>
        <v>68.440524999999994</v>
      </c>
      <c r="F1099" s="14">
        <f t="shared" si="31"/>
        <v>68.440524999999994</v>
      </c>
      <c r="G1099" s="14">
        <f t="shared" si="31"/>
        <v>68.711883333333333</v>
      </c>
      <c r="H1099" s="14">
        <f t="shared" si="31"/>
        <v>68.577183333333338</v>
      </c>
      <c r="I1099" s="14">
        <f t="shared" si="31"/>
        <v>68.577183333333338</v>
      </c>
      <c r="J1099" s="14">
        <f t="shared" si="31"/>
        <v>68.577183333333338</v>
      </c>
      <c r="K1099" s="14">
        <f t="shared" si="31"/>
        <v>68.577183333333338</v>
      </c>
      <c r="L1099" s="14"/>
    </row>
    <row r="1100" spans="1:12" ht="15" x14ac:dyDescent="0.2">
      <c r="A1100" s="10">
        <f t="shared" si="25"/>
        <v>2044</v>
      </c>
      <c r="B1100" s="14">
        <f>AVERAGE(B384:B395)</f>
        <v>70.242358333333328</v>
      </c>
      <c r="C1100" s="14">
        <f>AVERAGE(C384:C395)</f>
        <v>69.810108333333346</v>
      </c>
      <c r="D1100" s="14"/>
      <c r="E1100" s="14">
        <f t="shared" ref="E1100:K1100" si="32">AVERAGE(E384:E395)</f>
        <v>69.673458333333329</v>
      </c>
      <c r="F1100" s="14">
        <f t="shared" si="32"/>
        <v>69.673458333333329</v>
      </c>
      <c r="G1100" s="14">
        <f t="shared" si="32"/>
        <v>69.944841666666662</v>
      </c>
      <c r="H1100" s="14">
        <f t="shared" si="32"/>
        <v>69.810108333333346</v>
      </c>
      <c r="I1100" s="14">
        <f t="shared" si="32"/>
        <v>69.810108333333346</v>
      </c>
      <c r="J1100" s="14">
        <f t="shared" si="32"/>
        <v>69.810108333333346</v>
      </c>
      <c r="K1100" s="14">
        <f t="shared" si="32"/>
        <v>69.810108333333346</v>
      </c>
      <c r="L1100" s="14"/>
    </row>
    <row r="1101" spans="1:12" ht="15" x14ac:dyDescent="0.2">
      <c r="A1101" s="10">
        <f t="shared" si="25"/>
        <v>2045</v>
      </c>
      <c r="B1101" s="14">
        <f>AVERAGE(B396:B407)</f>
        <v>71.498091666666667</v>
      </c>
      <c r="C1101" s="14">
        <f>AVERAGE(C396:C407)</f>
        <v>71.065858333333324</v>
      </c>
      <c r="D1101" s="14"/>
      <c r="E1101" s="14">
        <f t="shared" ref="E1101:K1101" si="33">AVERAGE(E396:E407)</f>
        <v>70.929191666666668</v>
      </c>
      <c r="F1101" s="14">
        <f t="shared" si="33"/>
        <v>70.929191666666668</v>
      </c>
      <c r="G1101" s="14">
        <f t="shared" si="33"/>
        <v>71.200558333333348</v>
      </c>
      <c r="H1101" s="14">
        <f t="shared" si="33"/>
        <v>71.065858333333324</v>
      </c>
      <c r="I1101" s="14">
        <f t="shared" si="33"/>
        <v>71.065858333333324</v>
      </c>
      <c r="J1101" s="14">
        <f t="shared" si="33"/>
        <v>71.065858333333324</v>
      </c>
      <c r="K1101" s="14">
        <f t="shared" si="33"/>
        <v>71.065858333333324</v>
      </c>
      <c r="L1101" s="14"/>
    </row>
    <row r="1102" spans="1:12" ht="15" x14ac:dyDescent="0.2">
      <c r="A1102" s="10">
        <f t="shared" si="25"/>
        <v>2046</v>
      </c>
      <c r="B1102" s="14">
        <f>AVERAGE(B408:B419)</f>
        <v>72.77703333333335</v>
      </c>
      <c r="C1102" s="14">
        <f>AVERAGE(C408:C419)</f>
        <v>72.344766666666672</v>
      </c>
      <c r="D1102" s="14"/>
      <c r="E1102" s="14">
        <f t="shared" ref="E1102:K1102" si="34">AVERAGE(E408:E419)</f>
        <v>72.208124999999995</v>
      </c>
      <c r="F1102" s="14">
        <f t="shared" si="34"/>
        <v>72.208124999999995</v>
      </c>
      <c r="G1102" s="14">
        <f t="shared" si="34"/>
        <v>72.479491666666675</v>
      </c>
      <c r="H1102" s="14">
        <f t="shared" si="34"/>
        <v>72.344766666666672</v>
      </c>
      <c r="I1102" s="14">
        <f t="shared" si="34"/>
        <v>72.344766666666672</v>
      </c>
      <c r="J1102" s="14">
        <f t="shared" si="34"/>
        <v>72.344766666666672</v>
      </c>
      <c r="K1102" s="14">
        <f t="shared" si="34"/>
        <v>72.344766666666672</v>
      </c>
      <c r="L1102" s="14"/>
    </row>
    <row r="1103" spans="1:12" ht="15" x14ac:dyDescent="0.2">
      <c r="A1103" s="10">
        <f t="shared" si="25"/>
        <v>2047</v>
      </c>
      <c r="B1103" s="14">
        <f>AVERAGE(B420:B431)</f>
        <v>74.07960833333334</v>
      </c>
      <c r="C1103" s="14">
        <f>AVERAGE(C420:C431)</f>
        <v>73.647358333333329</v>
      </c>
      <c r="D1103" s="14"/>
      <c r="E1103" s="14">
        <f t="shared" ref="E1103:K1103" si="35">AVERAGE(E420:E431)</f>
        <v>73.510691666666673</v>
      </c>
      <c r="F1103" s="14">
        <f t="shared" si="35"/>
        <v>73.510691666666673</v>
      </c>
      <c r="G1103" s="14">
        <f t="shared" si="35"/>
        <v>73.782058333333339</v>
      </c>
      <c r="H1103" s="14">
        <f t="shared" si="35"/>
        <v>73.647358333333329</v>
      </c>
      <c r="I1103" s="14">
        <f t="shared" si="35"/>
        <v>73.647358333333329</v>
      </c>
      <c r="J1103" s="14">
        <f t="shared" si="35"/>
        <v>73.647358333333329</v>
      </c>
      <c r="K1103" s="14">
        <f t="shared" si="35"/>
        <v>73.647358333333329</v>
      </c>
      <c r="L1103" s="14"/>
    </row>
    <row r="1104" spans="1:12" ht="15" x14ac:dyDescent="0.2">
      <c r="A1104" s="10">
        <f t="shared" si="25"/>
        <v>2048</v>
      </c>
      <c r="B1104" s="14">
        <f>AVERAGE(B432:B443)</f>
        <v>75.406258333333327</v>
      </c>
      <c r="C1104" s="14">
        <f>AVERAGE(C432:C443)</f>
        <v>74.97399999999999</v>
      </c>
      <c r="D1104" s="14"/>
      <c r="E1104" s="14">
        <f t="shared" ref="E1104:K1104" si="36">AVERAGE(E432:E443)</f>
        <v>74.837341666666688</v>
      </c>
      <c r="F1104" s="14">
        <f t="shared" si="36"/>
        <v>74.837341666666688</v>
      </c>
      <c r="G1104" s="14">
        <f t="shared" si="36"/>
        <v>75.10870833333334</v>
      </c>
      <c r="H1104" s="14">
        <f t="shared" si="36"/>
        <v>74.97399999999999</v>
      </c>
      <c r="I1104" s="14">
        <f t="shared" si="36"/>
        <v>74.97399999999999</v>
      </c>
      <c r="J1104" s="14">
        <f t="shared" si="36"/>
        <v>74.97399999999999</v>
      </c>
      <c r="K1104" s="14">
        <f t="shared" si="36"/>
        <v>74.97399999999999</v>
      </c>
      <c r="L1104" s="14"/>
    </row>
    <row r="1105" spans="1:12" ht="15" x14ac:dyDescent="0.2">
      <c r="A1105" s="10">
        <f t="shared" si="25"/>
        <v>2049</v>
      </c>
      <c r="B1105" s="14">
        <f>AVERAGE(B444:B455)</f>
        <v>76.757400000000004</v>
      </c>
      <c r="C1105" s="14">
        <f>AVERAGE(C444:C455)</f>
        <v>76.325150000000008</v>
      </c>
      <c r="D1105" s="14"/>
      <c r="E1105" s="14">
        <f t="shared" ref="E1105:K1105" si="37">AVERAGE(E444:E455)</f>
        <v>76.188491666666664</v>
      </c>
      <c r="F1105" s="14">
        <f t="shared" si="37"/>
        <v>76.188491666666664</v>
      </c>
      <c r="G1105" s="14">
        <f t="shared" si="37"/>
        <v>76.459875000000011</v>
      </c>
      <c r="H1105" s="14">
        <f t="shared" si="37"/>
        <v>76.325150000000008</v>
      </c>
      <c r="I1105" s="14">
        <f t="shared" si="37"/>
        <v>76.325150000000008</v>
      </c>
      <c r="J1105" s="14">
        <f t="shared" si="37"/>
        <v>76.325150000000008</v>
      </c>
      <c r="K1105" s="14">
        <f t="shared" si="37"/>
        <v>76.325150000000008</v>
      </c>
      <c r="L1105" s="14"/>
    </row>
    <row r="1106" spans="1:12" ht="15" x14ac:dyDescent="0.2">
      <c r="A1106" s="10">
        <f t="shared" si="25"/>
        <v>2050</v>
      </c>
      <c r="B1106" s="14">
        <f>AVERAGE(B456:B467)</f>
        <v>78.13355</v>
      </c>
      <c r="C1106" s="14">
        <f>AVERAGE(C456:C467)</f>
        <v>77.701283333333336</v>
      </c>
      <c r="D1106" s="14"/>
      <c r="E1106" s="14">
        <f t="shared" ref="E1106:K1106" si="38">AVERAGE(E456:E467)</f>
        <v>77.56464166666666</v>
      </c>
      <c r="F1106" s="14">
        <f t="shared" si="38"/>
        <v>77.56464166666666</v>
      </c>
      <c r="G1106" s="14">
        <f t="shared" si="38"/>
        <v>77.835999999999999</v>
      </c>
      <c r="H1106" s="14">
        <f t="shared" si="38"/>
        <v>77.701283333333336</v>
      </c>
      <c r="I1106" s="14">
        <f t="shared" si="38"/>
        <v>77.701283333333336</v>
      </c>
      <c r="J1106" s="14">
        <f t="shared" si="38"/>
        <v>77.701283333333336</v>
      </c>
      <c r="K1106" s="14">
        <f t="shared" si="38"/>
        <v>77.701283333333336</v>
      </c>
      <c r="L1106" s="14"/>
    </row>
    <row r="1107" spans="1:12" ht="15" x14ac:dyDescent="0.2">
      <c r="A1107" s="10">
        <f t="shared" si="25"/>
        <v>2051</v>
      </c>
      <c r="B1107" s="14">
        <f>AVERAGE(B468:B479)</f>
        <v>79.535108333333326</v>
      </c>
      <c r="C1107" s="14">
        <f>AVERAGE(C468:C479)</f>
        <v>79.102841666666649</v>
      </c>
      <c r="D1107" s="14"/>
      <c r="E1107" s="14">
        <f t="shared" ref="E1107:K1107" si="39">AVERAGE(E468:E479)</f>
        <v>78.966208333333341</v>
      </c>
      <c r="F1107" s="14">
        <f t="shared" si="39"/>
        <v>78.966208333333341</v>
      </c>
      <c r="G1107" s="14">
        <f t="shared" si="39"/>
        <v>79.23756666666668</v>
      </c>
      <c r="H1107" s="14">
        <f t="shared" si="39"/>
        <v>79.102841666666649</v>
      </c>
      <c r="I1107" s="14">
        <f t="shared" si="39"/>
        <v>79.102841666666649</v>
      </c>
      <c r="J1107" s="14">
        <f t="shared" si="39"/>
        <v>79.102841666666649</v>
      </c>
      <c r="K1107" s="14">
        <f t="shared" si="39"/>
        <v>79.102841666666649</v>
      </c>
      <c r="L1107" s="14"/>
    </row>
    <row r="1108" spans="1:12" ht="15" x14ac:dyDescent="0.2">
      <c r="A1108" s="10">
        <f t="shared" si="25"/>
        <v>2052</v>
      </c>
      <c r="B1108" s="14">
        <f>AVERAGE(B480:B491)</f>
        <v>80.962550000000007</v>
      </c>
      <c r="C1108" s="14">
        <f>AVERAGE(C480:C491)</f>
        <v>80.530325000000005</v>
      </c>
      <c r="D1108" s="14"/>
      <c r="E1108" s="14">
        <f t="shared" ref="E1108:K1108" si="40">AVERAGE(E480:E491)</f>
        <v>80.393649999999994</v>
      </c>
      <c r="F1108" s="14">
        <f t="shared" si="40"/>
        <v>80.393649999999994</v>
      </c>
      <c r="G1108" s="14">
        <f t="shared" si="40"/>
        <v>80.665041666666667</v>
      </c>
      <c r="H1108" s="14">
        <f t="shared" si="40"/>
        <v>80.530325000000005</v>
      </c>
      <c r="I1108" s="14">
        <f t="shared" si="40"/>
        <v>80.530325000000005</v>
      </c>
      <c r="J1108" s="14">
        <f t="shared" si="40"/>
        <v>80.530325000000005</v>
      </c>
      <c r="K1108" s="14">
        <f t="shared" si="40"/>
        <v>80.530325000000005</v>
      </c>
      <c r="L1108" s="14"/>
    </row>
    <row r="1109" spans="1:12" ht="15" x14ac:dyDescent="0.2">
      <c r="A1109" s="10">
        <f t="shared" si="25"/>
        <v>2053</v>
      </c>
      <c r="B1109" s="14">
        <f>AVERAGE(B492:B503)</f>
        <v>82.416416666666677</v>
      </c>
      <c r="C1109" s="14">
        <f>AVERAGE(C492:C503)</f>
        <v>81.984166666666667</v>
      </c>
      <c r="D1109" s="14"/>
      <c r="E1109" s="14">
        <f t="shared" ref="E1109:K1109" si="41">AVERAGE(E492:E503)</f>
        <v>81.847508333333352</v>
      </c>
      <c r="F1109" s="14">
        <f t="shared" si="41"/>
        <v>81.847508333333352</v>
      </c>
      <c r="G1109" s="14">
        <f t="shared" si="41"/>
        <v>82.118866666666676</v>
      </c>
      <c r="H1109" s="14">
        <f t="shared" si="41"/>
        <v>81.984166666666667</v>
      </c>
      <c r="I1109" s="14">
        <f t="shared" si="41"/>
        <v>81.984166666666667</v>
      </c>
      <c r="J1109" s="14">
        <f t="shared" si="41"/>
        <v>81.984166666666667</v>
      </c>
      <c r="K1109" s="14">
        <f t="shared" si="41"/>
        <v>81.984166666666667</v>
      </c>
      <c r="L1109" s="14"/>
    </row>
    <row r="1110" spans="1:12" ht="15" x14ac:dyDescent="0.2">
      <c r="A1110" s="10">
        <f t="shared" si="25"/>
        <v>2054</v>
      </c>
      <c r="B1110" s="14">
        <f>AVERAGE(B504:B515)</f>
        <v>83.897125000000003</v>
      </c>
      <c r="C1110" s="14">
        <f>AVERAGE(C504:C515)</f>
        <v>83.464883333333333</v>
      </c>
      <c r="D1110" s="14"/>
      <c r="E1110" s="14">
        <f t="shared" ref="E1110:K1110" si="42">AVERAGE(E504:E515)</f>
        <v>83.328216666666677</v>
      </c>
      <c r="F1110" s="14">
        <f t="shared" si="42"/>
        <v>83.328216666666677</v>
      </c>
      <c r="G1110" s="14">
        <f t="shared" si="42"/>
        <v>83.599583333333328</v>
      </c>
      <c r="H1110" s="14">
        <f t="shared" si="42"/>
        <v>83.464883333333333</v>
      </c>
      <c r="I1110" s="14">
        <f t="shared" si="42"/>
        <v>83.464883333333333</v>
      </c>
      <c r="J1110" s="14">
        <f t="shared" si="42"/>
        <v>83.464883333333333</v>
      </c>
      <c r="K1110" s="14">
        <f t="shared" si="42"/>
        <v>83.464883333333333</v>
      </c>
      <c r="L1110" s="14"/>
    </row>
    <row r="1111" spans="1:12" ht="15" x14ac:dyDescent="0.2">
      <c r="A1111" s="10">
        <f t="shared" si="25"/>
        <v>2055</v>
      </c>
      <c r="B1111" s="14">
        <f>AVERAGE(B516:B527)</f>
        <v>85.405208333333334</v>
      </c>
      <c r="C1111" s="14">
        <f>AVERAGE(C516:C527)</f>
        <v>84.972950000000012</v>
      </c>
      <c r="D1111" s="14"/>
      <c r="E1111" s="14">
        <f t="shared" ref="E1111:K1111" si="43">AVERAGE(E516:E527)</f>
        <v>84.836300000000008</v>
      </c>
      <c r="F1111" s="14">
        <f t="shared" si="43"/>
        <v>84.836300000000008</v>
      </c>
      <c r="G1111" s="14">
        <f t="shared" si="43"/>
        <v>85.107666666666674</v>
      </c>
      <c r="H1111" s="14">
        <f t="shared" si="43"/>
        <v>84.972950000000012</v>
      </c>
      <c r="I1111" s="14">
        <f t="shared" si="43"/>
        <v>84.972950000000012</v>
      </c>
      <c r="J1111" s="14">
        <f t="shared" si="43"/>
        <v>84.972950000000012</v>
      </c>
      <c r="K1111" s="14">
        <f t="shared" si="43"/>
        <v>84.972950000000012</v>
      </c>
      <c r="L1111" s="14"/>
    </row>
    <row r="1112" spans="1:12" ht="15" x14ac:dyDescent="0.2">
      <c r="A1112" s="10">
        <f t="shared" si="25"/>
        <v>2056</v>
      </c>
      <c r="B1112" s="14">
        <f>AVERAGE(B528:B539)</f>
        <v>86.941149999999993</v>
      </c>
      <c r="C1112" s="14">
        <f>AVERAGE(C528:C539)</f>
        <v>86.508899999999997</v>
      </c>
      <c r="D1112" s="14"/>
      <c r="E1112" s="14">
        <f t="shared" ref="E1112:K1112" si="44">AVERAGE(E528:E539)</f>
        <v>86.372250000000008</v>
      </c>
      <c r="F1112" s="14">
        <f t="shared" si="44"/>
        <v>86.372250000000008</v>
      </c>
      <c r="G1112" s="14">
        <f t="shared" si="44"/>
        <v>86.643641666666667</v>
      </c>
      <c r="H1112" s="14">
        <f t="shared" si="44"/>
        <v>86.508899999999997</v>
      </c>
      <c r="I1112" s="14">
        <f t="shared" si="44"/>
        <v>86.508899999999997</v>
      </c>
      <c r="J1112" s="14">
        <f t="shared" si="44"/>
        <v>86.508899999999997</v>
      </c>
      <c r="K1112" s="14">
        <f t="shared" si="44"/>
        <v>86.508899999999997</v>
      </c>
      <c r="L1112" s="14"/>
    </row>
    <row r="1113" spans="1:12" ht="15" x14ac:dyDescent="0.2">
      <c r="A1113" s="10">
        <f t="shared" si="25"/>
        <v>2057</v>
      </c>
      <c r="B1113" s="14">
        <f>AVERAGE(B540:B551)</f>
        <v>88.505483333333345</v>
      </c>
      <c r="C1113" s="14">
        <f>AVERAGE(C540:C551)</f>
        <v>88.073241666666675</v>
      </c>
      <c r="D1113" s="14"/>
      <c r="E1113" s="14">
        <f t="shared" ref="E1113:K1113" si="45">AVERAGE(E540:E551)</f>
        <v>87.936583333333331</v>
      </c>
      <c r="F1113" s="14">
        <f t="shared" si="45"/>
        <v>87.936583333333331</v>
      </c>
      <c r="G1113" s="14">
        <f t="shared" si="45"/>
        <v>88.207949999999997</v>
      </c>
      <c r="H1113" s="14">
        <f t="shared" si="45"/>
        <v>88.073241666666675</v>
      </c>
      <c r="I1113" s="14">
        <f t="shared" si="45"/>
        <v>88.073241666666675</v>
      </c>
      <c r="J1113" s="14">
        <f t="shared" si="45"/>
        <v>88.073241666666675</v>
      </c>
      <c r="K1113" s="14">
        <f t="shared" si="45"/>
        <v>88.073241666666675</v>
      </c>
      <c r="L1113" s="14"/>
    </row>
    <row r="1114" spans="1:12" ht="15" x14ac:dyDescent="0.2">
      <c r="A1114" s="10">
        <f t="shared" si="25"/>
        <v>2058</v>
      </c>
      <c r="B1114" s="14">
        <f>AVERAGE(B552:B563)</f>
        <v>90.098733333333328</v>
      </c>
      <c r="C1114" s="14">
        <f>AVERAGE(C552:C563)</f>
        <v>89.666474999999991</v>
      </c>
      <c r="D1114" s="14"/>
      <c r="E1114" s="14">
        <f t="shared" ref="E1114:K1114" si="46">AVERAGE(E552:E563)</f>
        <v>89.529825000000017</v>
      </c>
      <c r="F1114" s="14">
        <f t="shared" si="46"/>
        <v>89.529825000000017</v>
      </c>
      <c r="G1114" s="14">
        <f t="shared" si="46"/>
        <v>89.801208333333349</v>
      </c>
      <c r="H1114" s="14">
        <f t="shared" si="46"/>
        <v>89.666474999999991</v>
      </c>
      <c r="I1114" s="14">
        <f t="shared" si="46"/>
        <v>89.666474999999991</v>
      </c>
      <c r="J1114" s="14">
        <f t="shared" si="46"/>
        <v>89.666474999999991</v>
      </c>
      <c r="K1114" s="14">
        <f t="shared" si="46"/>
        <v>89.666474999999991</v>
      </c>
      <c r="L1114" s="14"/>
    </row>
    <row r="1115" spans="1:12" ht="15" x14ac:dyDescent="0.2">
      <c r="A1115" s="10">
        <f t="shared" si="25"/>
        <v>2059</v>
      </c>
      <c r="B1115" s="14">
        <f>AVERAGE(B564:B575)</f>
        <v>91.721424999999996</v>
      </c>
      <c r="C1115" s="14">
        <f>AVERAGE(C564:C575)</f>
        <v>91.289175</v>
      </c>
      <c r="D1115" s="14"/>
      <c r="E1115" s="14">
        <f t="shared" ref="E1115:K1115" si="47">AVERAGE(E564:E575)</f>
        <v>91.152525000000011</v>
      </c>
      <c r="F1115" s="14">
        <f t="shared" si="47"/>
        <v>91.152525000000011</v>
      </c>
      <c r="G1115" s="14">
        <f t="shared" si="47"/>
        <v>91.423883333333322</v>
      </c>
      <c r="H1115" s="14">
        <f t="shared" si="47"/>
        <v>91.289175</v>
      </c>
      <c r="I1115" s="14">
        <f t="shared" si="47"/>
        <v>91.289175</v>
      </c>
      <c r="J1115" s="14">
        <f t="shared" si="47"/>
        <v>91.289175</v>
      </c>
      <c r="K1115" s="14">
        <f t="shared" si="47"/>
        <v>91.289175</v>
      </c>
      <c r="L1115" s="14"/>
    </row>
    <row r="1116" spans="1:12" ht="15" x14ac:dyDescent="0.2">
      <c r="A1116" s="10">
        <f t="shared" si="25"/>
        <v>2060</v>
      </c>
      <c r="B1116" s="14">
        <f>AVERAGE(B576:B587)</f>
        <v>93.374091666666672</v>
      </c>
      <c r="C1116" s="14">
        <f>AVERAGE(C576:C587)</f>
        <v>92.941858333333315</v>
      </c>
      <c r="D1116" s="14"/>
      <c r="E1116" s="14">
        <f t="shared" ref="E1116:K1116" si="48">AVERAGE(E576:E587)</f>
        <v>92.805191666666644</v>
      </c>
      <c r="F1116" s="14">
        <f t="shared" si="48"/>
        <v>92.805191666666644</v>
      </c>
      <c r="G1116" s="14">
        <f t="shared" si="48"/>
        <v>93.076566666666665</v>
      </c>
      <c r="H1116" s="14">
        <f t="shared" si="48"/>
        <v>92.941858333333315</v>
      </c>
      <c r="I1116" s="14">
        <f t="shared" si="48"/>
        <v>92.941858333333315</v>
      </c>
      <c r="J1116" s="14">
        <f t="shared" si="48"/>
        <v>92.941858333333315</v>
      </c>
      <c r="K1116" s="14">
        <f t="shared" si="48"/>
        <v>92.941858333333315</v>
      </c>
      <c r="L1116" s="14"/>
    </row>
    <row r="1117" spans="1:12" ht="15" x14ac:dyDescent="0.2">
      <c r="A1117" s="10">
        <f t="shared" si="25"/>
        <v>2061</v>
      </c>
      <c r="B1117" s="14">
        <f>AVERAGE(B588:B599)</f>
        <v>95.057316666666665</v>
      </c>
      <c r="C1117" s="14">
        <f>AVERAGE(C588:C599)</f>
        <v>94.625066666666669</v>
      </c>
      <c r="D1117" s="14"/>
      <c r="E1117" s="14">
        <f t="shared" ref="E1117:K1117" si="49">AVERAGE(E588:E599)</f>
        <v>94.48841666666668</v>
      </c>
      <c r="F1117" s="14">
        <f t="shared" si="49"/>
        <v>94.48841666666668</v>
      </c>
      <c r="G1117" s="14">
        <f t="shared" si="49"/>
        <v>94.759799999999998</v>
      </c>
      <c r="H1117" s="14">
        <f t="shared" si="49"/>
        <v>94.625066666666669</v>
      </c>
      <c r="I1117" s="14">
        <f t="shared" si="49"/>
        <v>94.625066666666669</v>
      </c>
      <c r="J1117" s="14">
        <f t="shared" si="49"/>
        <v>94.625066666666669</v>
      </c>
      <c r="K1117" s="14">
        <f t="shared" si="49"/>
        <v>94.625066666666669</v>
      </c>
      <c r="L1117" s="14"/>
    </row>
    <row r="1118" spans="1:12" ht="15" x14ac:dyDescent="0.2">
      <c r="A1118" s="10">
        <f t="shared" si="25"/>
        <v>2062</v>
      </c>
      <c r="B1118" s="14">
        <f t="shared" ref="B1118:C1137" ca="1" si="50">AVERAGE(OFFSET(B$600,($A1118-$A$1118)*12,0,12,1))</f>
        <v>96.771650000000008</v>
      </c>
      <c r="C1118" s="14">
        <f t="shared" ca="1" si="50"/>
        <v>96.339400000000012</v>
      </c>
      <c r="D1118" s="14"/>
      <c r="E1118" s="14">
        <f t="shared" ref="E1118:K1127" ca="1" si="51">AVERAGE(OFFSET(E$600,($A1118-$A$1118)*12,0,12,1))</f>
        <v>96.202749999999995</v>
      </c>
      <c r="F1118" s="14">
        <f t="shared" ca="1" si="51"/>
        <v>96.202749999999995</v>
      </c>
      <c r="G1118" s="14">
        <f t="shared" ca="1" si="51"/>
        <v>96.474125000000001</v>
      </c>
      <c r="H1118" s="14">
        <f t="shared" ca="1" si="51"/>
        <v>96.339400000000012</v>
      </c>
      <c r="I1118" s="14">
        <f t="shared" ca="1" si="51"/>
        <v>96.339400000000012</v>
      </c>
      <c r="J1118" s="14">
        <f t="shared" ca="1" si="51"/>
        <v>96.339400000000012</v>
      </c>
      <c r="K1118" s="14">
        <f t="shared" ca="1" si="51"/>
        <v>96.339400000000012</v>
      </c>
    </row>
    <row r="1119" spans="1:12" ht="15" x14ac:dyDescent="0.2">
      <c r="A1119" s="10">
        <f t="shared" si="25"/>
        <v>2063</v>
      </c>
      <c r="B1119" s="14">
        <f t="shared" ca="1" si="50"/>
        <v>98.51765833333333</v>
      </c>
      <c r="C1119" s="14">
        <f t="shared" ca="1" si="50"/>
        <v>98.085408333333319</v>
      </c>
      <c r="D1119" s="14"/>
      <c r="E1119" s="14">
        <f t="shared" ca="1" si="51"/>
        <v>97.948749999999976</v>
      </c>
      <c r="F1119" s="14">
        <f t="shared" ca="1" si="51"/>
        <v>97.948749999999976</v>
      </c>
      <c r="G1119" s="14">
        <f t="shared" ca="1" si="51"/>
        <v>98.220124999999996</v>
      </c>
      <c r="H1119" s="14">
        <f t="shared" ca="1" si="51"/>
        <v>98.085408333333319</v>
      </c>
      <c r="I1119" s="14">
        <f t="shared" ca="1" si="51"/>
        <v>98.085408333333319</v>
      </c>
      <c r="J1119" s="14">
        <f t="shared" ca="1" si="51"/>
        <v>98.085408333333319</v>
      </c>
      <c r="K1119" s="14">
        <f t="shared" ca="1" si="51"/>
        <v>98.085408333333319</v>
      </c>
    </row>
    <row r="1120" spans="1:12" ht="15" x14ac:dyDescent="0.2">
      <c r="A1120" s="10">
        <f t="shared" si="25"/>
        <v>2064</v>
      </c>
      <c r="B1120" s="14">
        <f t="shared" ca="1" si="50"/>
        <v>100.29595000000002</v>
      </c>
      <c r="C1120" s="14">
        <f t="shared" ca="1" si="50"/>
        <v>99.863675000000001</v>
      </c>
      <c r="D1120" s="14"/>
      <c r="E1120" s="14">
        <f t="shared" ca="1" si="51"/>
        <v>99.727016666666671</v>
      </c>
      <c r="F1120" s="14">
        <f t="shared" ca="1" si="51"/>
        <v>99.727016666666671</v>
      </c>
      <c r="G1120" s="14">
        <f t="shared" ca="1" si="51"/>
        <v>99.998391666666677</v>
      </c>
      <c r="H1120" s="14">
        <f t="shared" ca="1" si="51"/>
        <v>99.863675000000001</v>
      </c>
      <c r="I1120" s="14">
        <f t="shared" ca="1" si="51"/>
        <v>99.863675000000001</v>
      </c>
      <c r="J1120" s="14">
        <f t="shared" ca="1" si="51"/>
        <v>99.863675000000001</v>
      </c>
      <c r="K1120" s="14">
        <f t="shared" ca="1" si="51"/>
        <v>99.863675000000001</v>
      </c>
    </row>
    <row r="1121" spans="1:11" ht="15" x14ac:dyDescent="0.2">
      <c r="A1121" s="10">
        <f t="shared" si="25"/>
        <v>2065</v>
      </c>
      <c r="B1121" s="14">
        <f t="shared" ca="1" si="50"/>
        <v>102.10708333333332</v>
      </c>
      <c r="C1121" s="14">
        <f t="shared" ca="1" si="50"/>
        <v>101.67481666666667</v>
      </c>
      <c r="D1121" s="14"/>
      <c r="E1121" s="14">
        <f t="shared" ca="1" si="51"/>
        <v>101.53817499999998</v>
      </c>
      <c r="F1121" s="14">
        <f t="shared" ca="1" si="51"/>
        <v>101.53817499999998</v>
      </c>
      <c r="G1121" s="14">
        <f t="shared" ca="1" si="51"/>
        <v>101.80954166666668</v>
      </c>
      <c r="H1121" s="14">
        <f t="shared" ca="1" si="51"/>
        <v>101.67481666666667</v>
      </c>
      <c r="I1121" s="14">
        <f t="shared" ca="1" si="51"/>
        <v>101.67481666666667</v>
      </c>
      <c r="J1121" s="14">
        <f t="shared" ca="1" si="51"/>
        <v>101.67481666666667</v>
      </c>
      <c r="K1121" s="14">
        <f t="shared" ca="1" si="51"/>
        <v>101.67481666666667</v>
      </c>
    </row>
    <row r="1122" spans="1:11" ht="15" x14ac:dyDescent="0.2">
      <c r="A1122" s="10">
        <f t="shared" si="25"/>
        <v>2066</v>
      </c>
      <c r="B1122" s="14">
        <f t="shared" ca="1" si="50"/>
        <v>103.95168333333334</v>
      </c>
      <c r="C1122" s="14">
        <f t="shared" ca="1" si="50"/>
        <v>103.51943333333332</v>
      </c>
      <c r="D1122" s="14"/>
      <c r="E1122" s="14">
        <f t="shared" ca="1" si="51"/>
        <v>103.382775</v>
      </c>
      <c r="F1122" s="14">
        <f t="shared" ca="1" si="51"/>
        <v>103.382775</v>
      </c>
      <c r="G1122" s="14">
        <f t="shared" ca="1" si="51"/>
        <v>103.65415833333334</v>
      </c>
      <c r="H1122" s="14">
        <f t="shared" ca="1" si="51"/>
        <v>103.51943333333332</v>
      </c>
      <c r="I1122" s="14">
        <f t="shared" ca="1" si="51"/>
        <v>103.51943333333332</v>
      </c>
      <c r="J1122" s="14">
        <f t="shared" ca="1" si="51"/>
        <v>103.51943333333332</v>
      </c>
      <c r="K1122" s="14">
        <f t="shared" ca="1" si="51"/>
        <v>103.51943333333332</v>
      </c>
    </row>
    <row r="1123" spans="1:11" ht="15" x14ac:dyDescent="0.2">
      <c r="A1123" s="10">
        <f t="shared" si="25"/>
        <v>2067</v>
      </c>
      <c r="B1123" s="14">
        <f t="shared" ca="1" si="50"/>
        <v>105.830375</v>
      </c>
      <c r="C1123" s="14">
        <f t="shared" ca="1" si="50"/>
        <v>105.39814166666667</v>
      </c>
      <c r="D1123" s="14"/>
      <c r="E1123" s="14">
        <f t="shared" ca="1" si="51"/>
        <v>105.261475</v>
      </c>
      <c r="F1123" s="14">
        <f t="shared" ca="1" si="51"/>
        <v>105.261475</v>
      </c>
      <c r="G1123" s="14">
        <f t="shared" ca="1" si="51"/>
        <v>105.53284999999998</v>
      </c>
      <c r="H1123" s="14">
        <f t="shared" ca="1" si="51"/>
        <v>105.39814166666667</v>
      </c>
      <c r="I1123" s="14">
        <f t="shared" ca="1" si="51"/>
        <v>105.39814166666667</v>
      </c>
      <c r="J1123" s="14">
        <f t="shared" ca="1" si="51"/>
        <v>105.39814166666667</v>
      </c>
      <c r="K1123" s="14">
        <f t="shared" ca="1" si="51"/>
        <v>105.39814166666667</v>
      </c>
    </row>
    <row r="1124" spans="1:11" ht="15" x14ac:dyDescent="0.2">
      <c r="A1124" s="10">
        <f t="shared" si="25"/>
        <v>2068</v>
      </c>
      <c r="B1124" s="14">
        <f t="shared" ca="1" si="50"/>
        <v>107.74381666666666</v>
      </c>
      <c r="C1124" s="14">
        <f t="shared" ca="1" si="50"/>
        <v>107.31155833333334</v>
      </c>
      <c r="D1124" s="14"/>
      <c r="E1124" s="14">
        <f t="shared" ca="1" si="51"/>
        <v>107.17490833333333</v>
      </c>
      <c r="F1124" s="14">
        <f t="shared" ca="1" si="51"/>
        <v>107.17490833333333</v>
      </c>
      <c r="G1124" s="14">
        <f t="shared" ca="1" si="51"/>
        <v>107.44626666666665</v>
      </c>
      <c r="H1124" s="14">
        <f t="shared" ca="1" si="51"/>
        <v>107.31155833333334</v>
      </c>
      <c r="I1124" s="14">
        <f t="shared" ca="1" si="51"/>
        <v>107.31155833333334</v>
      </c>
      <c r="J1124" s="14">
        <f t="shared" ca="1" si="51"/>
        <v>107.31155833333334</v>
      </c>
      <c r="K1124" s="14">
        <f t="shared" ca="1" si="51"/>
        <v>107.31155833333334</v>
      </c>
    </row>
    <row r="1125" spans="1:11" ht="15" x14ac:dyDescent="0.2">
      <c r="A1125" s="10">
        <f t="shared" si="25"/>
        <v>2069</v>
      </c>
      <c r="B1125" s="14">
        <f t="shared" ca="1" si="50"/>
        <v>109.69259166666667</v>
      </c>
      <c r="C1125" s="14">
        <f t="shared" ca="1" si="50"/>
        <v>109.26034166666669</v>
      </c>
      <c r="D1125" s="14"/>
      <c r="E1125" s="14">
        <f t="shared" ca="1" si="51"/>
        <v>109.12369166666667</v>
      </c>
      <c r="F1125" s="14">
        <f t="shared" ca="1" si="51"/>
        <v>109.12369166666667</v>
      </c>
      <c r="G1125" s="14">
        <f t="shared" ca="1" si="51"/>
        <v>109.39505833333332</v>
      </c>
      <c r="H1125" s="14">
        <f t="shared" ca="1" si="51"/>
        <v>109.26034166666669</v>
      </c>
      <c r="I1125" s="14">
        <f t="shared" ca="1" si="51"/>
        <v>109.26034166666669</v>
      </c>
      <c r="J1125" s="14">
        <f t="shared" ca="1" si="51"/>
        <v>109.26034166666669</v>
      </c>
      <c r="K1125" s="14">
        <f t="shared" ca="1" si="51"/>
        <v>109.26034166666669</v>
      </c>
    </row>
    <row r="1126" spans="1:11" ht="15" x14ac:dyDescent="0.2">
      <c r="A1126" s="10">
        <f t="shared" ref="A1126:A1156" si="52">A1125+1</f>
        <v>2070</v>
      </c>
      <c r="B1126" s="14">
        <f t="shared" ca="1" si="50"/>
        <v>111.67738333333334</v>
      </c>
      <c r="C1126" s="14">
        <f t="shared" ca="1" si="50"/>
        <v>111.24515000000001</v>
      </c>
      <c r="D1126" s="14"/>
      <c r="E1126" s="14">
        <f t="shared" ca="1" si="51"/>
        <v>111.108475</v>
      </c>
      <c r="F1126" s="14">
        <f t="shared" ca="1" si="51"/>
        <v>111.108475</v>
      </c>
      <c r="G1126" s="14">
        <f t="shared" ca="1" si="51"/>
        <v>111.37986666666667</v>
      </c>
      <c r="H1126" s="14">
        <f t="shared" ca="1" si="51"/>
        <v>111.24515000000001</v>
      </c>
      <c r="I1126" s="14">
        <f t="shared" ca="1" si="51"/>
        <v>111.24515000000001</v>
      </c>
      <c r="J1126" s="14">
        <f t="shared" ca="1" si="51"/>
        <v>111.24515000000001</v>
      </c>
      <c r="K1126" s="14">
        <f t="shared" ca="1" si="51"/>
        <v>111.24515000000001</v>
      </c>
    </row>
    <row r="1127" spans="1:11" ht="15" x14ac:dyDescent="0.2">
      <c r="A1127" s="10">
        <f t="shared" si="52"/>
        <v>2071</v>
      </c>
      <c r="B1127" s="14">
        <f t="shared" ca="1" si="50"/>
        <v>113.69887499999999</v>
      </c>
      <c r="C1127" s="14">
        <f t="shared" ca="1" si="50"/>
        <v>113.26661666666668</v>
      </c>
      <c r="D1127" s="14"/>
      <c r="E1127" s="14">
        <f t="shared" ca="1" si="51"/>
        <v>113.12996666666668</v>
      </c>
      <c r="F1127" s="14">
        <f t="shared" ca="1" si="51"/>
        <v>113.12996666666668</v>
      </c>
      <c r="G1127" s="14">
        <f t="shared" ca="1" si="51"/>
        <v>113.401325</v>
      </c>
      <c r="H1127" s="14">
        <f t="shared" ca="1" si="51"/>
        <v>113.26661666666668</v>
      </c>
      <c r="I1127" s="14">
        <f t="shared" ca="1" si="51"/>
        <v>113.26661666666668</v>
      </c>
      <c r="J1127" s="14">
        <f t="shared" ca="1" si="51"/>
        <v>113.26661666666668</v>
      </c>
      <c r="K1127" s="14">
        <f t="shared" ca="1" si="51"/>
        <v>113.26661666666668</v>
      </c>
    </row>
    <row r="1128" spans="1:11" ht="15" x14ac:dyDescent="0.2">
      <c r="A1128" s="10">
        <f t="shared" si="52"/>
        <v>2072</v>
      </c>
      <c r="B1128" s="14">
        <f t="shared" ca="1" si="50"/>
        <v>115.7577</v>
      </c>
      <c r="C1128" s="14">
        <f t="shared" ca="1" si="50"/>
        <v>115.32545833333334</v>
      </c>
      <c r="D1128" s="14"/>
      <c r="E1128" s="14">
        <f t="shared" ref="E1128:K1137" ca="1" si="53">AVERAGE(OFFSET(E$600,($A1128-$A$1118)*12,0,12,1))</f>
        <v>115.1888</v>
      </c>
      <c r="F1128" s="14">
        <f t="shared" ca="1" si="53"/>
        <v>115.1888</v>
      </c>
      <c r="G1128" s="14">
        <f t="shared" ca="1" si="53"/>
        <v>115.46017500000004</v>
      </c>
      <c r="H1128" s="14">
        <f t="shared" ca="1" si="53"/>
        <v>115.32545833333334</v>
      </c>
      <c r="I1128" s="14">
        <f t="shared" ca="1" si="53"/>
        <v>115.32545833333334</v>
      </c>
      <c r="J1128" s="14">
        <f t="shared" ca="1" si="53"/>
        <v>115.32545833333334</v>
      </c>
      <c r="K1128" s="14">
        <f t="shared" ca="1" si="53"/>
        <v>115.32545833333334</v>
      </c>
    </row>
    <row r="1129" spans="1:11" ht="15" x14ac:dyDescent="0.2">
      <c r="A1129" s="10">
        <f t="shared" si="52"/>
        <v>2073</v>
      </c>
      <c r="B1129" s="14">
        <f t="shared" ca="1" si="50"/>
        <v>117.85459166666665</v>
      </c>
      <c r="C1129" s="14">
        <f t="shared" ca="1" si="50"/>
        <v>117.42234999999999</v>
      </c>
      <c r="D1129" s="14"/>
      <c r="E1129" s="14">
        <f t="shared" ca="1" si="53"/>
        <v>117.28568333333334</v>
      </c>
      <c r="F1129" s="14">
        <f t="shared" ca="1" si="53"/>
        <v>117.28568333333334</v>
      </c>
      <c r="G1129" s="14">
        <f t="shared" ca="1" si="53"/>
        <v>117.55706666666667</v>
      </c>
      <c r="H1129" s="14">
        <f t="shared" ca="1" si="53"/>
        <v>117.42234999999999</v>
      </c>
      <c r="I1129" s="14">
        <f t="shared" ca="1" si="53"/>
        <v>117.42234999999999</v>
      </c>
      <c r="J1129" s="14">
        <f t="shared" ca="1" si="53"/>
        <v>117.42234999999999</v>
      </c>
      <c r="K1129" s="14">
        <f t="shared" ca="1" si="53"/>
        <v>117.42234999999999</v>
      </c>
    </row>
    <row r="1130" spans="1:11" ht="15" x14ac:dyDescent="0.2">
      <c r="A1130" s="10">
        <f t="shared" si="52"/>
        <v>2074</v>
      </c>
      <c r="B1130" s="14">
        <f t="shared" ca="1" si="50"/>
        <v>119.990225</v>
      </c>
      <c r="C1130" s="14">
        <f t="shared" ca="1" si="50"/>
        <v>119.55798333333333</v>
      </c>
      <c r="D1130" s="14"/>
      <c r="E1130" s="14">
        <f t="shared" ca="1" si="53"/>
        <v>119.42131666666666</v>
      </c>
      <c r="F1130" s="14">
        <f t="shared" ca="1" si="53"/>
        <v>119.42131666666666</v>
      </c>
      <c r="G1130" s="14">
        <f t="shared" ca="1" si="53"/>
        <v>119.69269166666668</v>
      </c>
      <c r="H1130" s="14">
        <f t="shared" ca="1" si="53"/>
        <v>119.55798333333333</v>
      </c>
      <c r="I1130" s="14">
        <f t="shared" ca="1" si="53"/>
        <v>119.55798333333333</v>
      </c>
      <c r="J1130" s="14">
        <f t="shared" ca="1" si="53"/>
        <v>119.55798333333333</v>
      </c>
      <c r="K1130" s="14">
        <f t="shared" ca="1" si="53"/>
        <v>119.55798333333333</v>
      </c>
    </row>
    <row r="1131" spans="1:11" ht="15" x14ac:dyDescent="0.2">
      <c r="A1131" s="10">
        <f t="shared" si="52"/>
        <v>2075</v>
      </c>
      <c r="B1131" s="14">
        <f t="shared" ca="1" si="50"/>
        <v>122.16533333333335</v>
      </c>
      <c r="C1131" s="14">
        <f t="shared" ca="1" si="50"/>
        <v>121.73309166666668</v>
      </c>
      <c r="D1131" s="14"/>
      <c r="E1131" s="14">
        <f t="shared" ca="1" si="53"/>
        <v>121.59643333333334</v>
      </c>
      <c r="F1131" s="14">
        <f t="shared" ca="1" si="53"/>
        <v>121.59643333333334</v>
      </c>
      <c r="G1131" s="14">
        <f t="shared" ca="1" si="53"/>
        <v>121.86780833333334</v>
      </c>
      <c r="H1131" s="14">
        <f t="shared" ca="1" si="53"/>
        <v>121.73309166666668</v>
      </c>
      <c r="I1131" s="14">
        <f t="shared" ca="1" si="53"/>
        <v>121.73309166666668</v>
      </c>
      <c r="J1131" s="14">
        <f t="shared" ca="1" si="53"/>
        <v>121.73309166666668</v>
      </c>
      <c r="K1131" s="14">
        <f t="shared" ca="1" si="53"/>
        <v>121.73309166666668</v>
      </c>
    </row>
    <row r="1132" spans="1:11" ht="15" x14ac:dyDescent="0.2">
      <c r="A1132" s="10">
        <f t="shared" si="52"/>
        <v>2076</v>
      </c>
      <c r="B1132" s="14">
        <f t="shared" ca="1" si="50"/>
        <v>124.38064166666665</v>
      </c>
      <c r="C1132" s="14">
        <f t="shared" ca="1" si="50"/>
        <v>123.94839166666668</v>
      </c>
      <c r="D1132" s="14"/>
      <c r="E1132" s="14">
        <f t="shared" ca="1" si="53"/>
        <v>123.81173333333332</v>
      </c>
      <c r="F1132" s="14">
        <f t="shared" ca="1" si="53"/>
        <v>123.81173333333332</v>
      </c>
      <c r="G1132" s="14">
        <f t="shared" ca="1" si="53"/>
        <v>124.08311666666667</v>
      </c>
      <c r="H1132" s="14">
        <f t="shared" ca="1" si="53"/>
        <v>123.94839166666668</v>
      </c>
      <c r="I1132" s="14">
        <f t="shared" ca="1" si="53"/>
        <v>123.94839166666668</v>
      </c>
      <c r="J1132" s="14">
        <f t="shared" ca="1" si="53"/>
        <v>123.94839166666668</v>
      </c>
      <c r="K1132" s="14">
        <f t="shared" ca="1" si="53"/>
        <v>123.94839166666668</v>
      </c>
    </row>
    <row r="1133" spans="1:11" ht="15" x14ac:dyDescent="0.2">
      <c r="A1133" s="10">
        <f t="shared" si="52"/>
        <v>2077</v>
      </c>
      <c r="B1133" s="14">
        <f t="shared" ca="1" si="50"/>
        <v>126.63690000000001</v>
      </c>
      <c r="C1133" s="14">
        <f t="shared" ca="1" si="50"/>
        <v>126.20463333333335</v>
      </c>
      <c r="D1133" s="14"/>
      <c r="E1133" s="14">
        <f t="shared" ca="1" si="53"/>
        <v>126.06799166666667</v>
      </c>
      <c r="F1133" s="14">
        <f t="shared" ca="1" si="53"/>
        <v>126.06799166666667</v>
      </c>
      <c r="G1133" s="14">
        <f t="shared" ca="1" si="53"/>
        <v>126.33933333333334</v>
      </c>
      <c r="H1133" s="14">
        <f t="shared" ca="1" si="53"/>
        <v>126.20463333333335</v>
      </c>
      <c r="I1133" s="14">
        <f t="shared" ca="1" si="53"/>
        <v>126.20463333333335</v>
      </c>
      <c r="J1133" s="14">
        <f t="shared" ca="1" si="53"/>
        <v>126.20463333333335</v>
      </c>
      <c r="K1133" s="14">
        <f t="shared" ca="1" si="53"/>
        <v>126.20463333333335</v>
      </c>
    </row>
    <row r="1134" spans="1:11" ht="15" x14ac:dyDescent="0.2">
      <c r="A1134" s="10">
        <f t="shared" si="52"/>
        <v>2078</v>
      </c>
      <c r="B1134" s="14">
        <f t="shared" ca="1" si="50"/>
        <v>128.93483333333333</v>
      </c>
      <c r="C1134" s="14">
        <f t="shared" ca="1" si="50"/>
        <v>128.50257500000001</v>
      </c>
      <c r="D1134" s="14"/>
      <c r="E1134" s="14">
        <f t="shared" ca="1" si="53"/>
        <v>128.36593333333334</v>
      </c>
      <c r="F1134" s="14">
        <f t="shared" ca="1" si="53"/>
        <v>128.36593333333334</v>
      </c>
      <c r="G1134" s="14">
        <f t="shared" ca="1" si="53"/>
        <v>128.63730000000001</v>
      </c>
      <c r="H1134" s="14">
        <f t="shared" ca="1" si="53"/>
        <v>128.50257500000001</v>
      </c>
      <c r="I1134" s="14">
        <f t="shared" ca="1" si="53"/>
        <v>128.50257500000001</v>
      </c>
      <c r="J1134" s="14">
        <f t="shared" ca="1" si="53"/>
        <v>128.50257500000001</v>
      </c>
      <c r="K1134" s="14">
        <f t="shared" ca="1" si="53"/>
        <v>128.50257500000001</v>
      </c>
    </row>
    <row r="1135" spans="1:11" ht="15" x14ac:dyDescent="0.2">
      <c r="A1135" s="10">
        <f t="shared" si="52"/>
        <v>2079</v>
      </c>
      <c r="B1135" s="14">
        <f t="shared" ca="1" si="50"/>
        <v>131.27524166666666</v>
      </c>
      <c r="C1135" s="14">
        <f t="shared" ca="1" si="50"/>
        <v>130.84299166666668</v>
      </c>
      <c r="D1135" s="14"/>
      <c r="E1135" s="14">
        <f t="shared" ca="1" si="53"/>
        <v>130.70632499999999</v>
      </c>
      <c r="F1135" s="14">
        <f t="shared" ca="1" si="53"/>
        <v>130.70632499999999</v>
      </c>
      <c r="G1135" s="14">
        <f t="shared" ca="1" si="53"/>
        <v>130.9777</v>
      </c>
      <c r="H1135" s="14">
        <f t="shared" ca="1" si="53"/>
        <v>130.84299166666668</v>
      </c>
      <c r="I1135" s="14">
        <f t="shared" ca="1" si="53"/>
        <v>130.84299166666668</v>
      </c>
      <c r="J1135" s="14">
        <f t="shared" ca="1" si="53"/>
        <v>130.84299166666668</v>
      </c>
      <c r="K1135" s="14">
        <f t="shared" ca="1" si="53"/>
        <v>130.84299166666668</v>
      </c>
    </row>
    <row r="1136" spans="1:11" ht="15" x14ac:dyDescent="0.2">
      <c r="A1136" s="10">
        <f t="shared" si="52"/>
        <v>2080</v>
      </c>
      <c r="B1136" s="14">
        <f t="shared" ca="1" si="50"/>
        <v>133.65890000000005</v>
      </c>
      <c r="C1136" s="14">
        <f t="shared" ca="1" si="50"/>
        <v>133.22663333333335</v>
      </c>
      <c r="D1136" s="14"/>
      <c r="E1136" s="14">
        <f t="shared" ca="1" si="53"/>
        <v>133.08999166666669</v>
      </c>
      <c r="F1136" s="14">
        <f t="shared" ca="1" si="53"/>
        <v>133.08999166666669</v>
      </c>
      <c r="G1136" s="14">
        <f t="shared" ca="1" si="53"/>
        <v>133.36135833333333</v>
      </c>
      <c r="H1136" s="14">
        <f t="shared" ca="1" si="53"/>
        <v>133.22663333333335</v>
      </c>
      <c r="I1136" s="14">
        <f t="shared" ca="1" si="53"/>
        <v>133.22663333333335</v>
      </c>
      <c r="J1136" s="14">
        <f t="shared" ca="1" si="53"/>
        <v>133.22663333333335</v>
      </c>
      <c r="K1136" s="14">
        <f t="shared" ca="1" si="53"/>
        <v>133.22663333333335</v>
      </c>
    </row>
    <row r="1137" spans="1:11" ht="15" x14ac:dyDescent="0.2">
      <c r="A1137" s="10">
        <f t="shared" si="52"/>
        <v>2081</v>
      </c>
      <c r="B1137" s="14">
        <f t="shared" ca="1" si="50"/>
        <v>136.0866</v>
      </c>
      <c r="C1137" s="14">
        <f t="shared" ca="1" si="50"/>
        <v>135.65436666666668</v>
      </c>
      <c r="D1137" s="14"/>
      <c r="E1137" s="14">
        <f t="shared" ca="1" si="53"/>
        <v>135.51768333333334</v>
      </c>
      <c r="F1137" s="14">
        <f t="shared" ca="1" si="53"/>
        <v>135.51768333333334</v>
      </c>
      <c r="G1137" s="14">
        <f t="shared" ca="1" si="53"/>
        <v>135.78907500000003</v>
      </c>
      <c r="H1137" s="14">
        <f t="shared" ca="1" si="53"/>
        <v>135.65436666666668</v>
      </c>
      <c r="I1137" s="14">
        <f t="shared" ca="1" si="53"/>
        <v>135.65436666666668</v>
      </c>
      <c r="J1137" s="14">
        <f t="shared" ca="1" si="53"/>
        <v>135.65436666666668</v>
      </c>
      <c r="K1137" s="14">
        <f t="shared" ca="1" si="53"/>
        <v>135.65436666666668</v>
      </c>
    </row>
    <row r="1138" spans="1:11" ht="15" x14ac:dyDescent="0.2">
      <c r="A1138" s="10">
        <f t="shared" si="52"/>
        <v>2082</v>
      </c>
      <c r="B1138" s="14">
        <f t="shared" ref="B1138:C1156" ca="1" si="54">AVERAGE(OFFSET(B$600,($A1138-$A$1118)*12,0,12,1))</f>
        <v>138.55919166666669</v>
      </c>
      <c r="C1138" s="14">
        <f t="shared" ca="1" si="54"/>
        <v>138.12695833333333</v>
      </c>
      <c r="D1138" s="14"/>
      <c r="E1138" s="14">
        <f t="shared" ref="E1138:K1147" ca="1" si="55">AVERAGE(OFFSET(E$600,($A1138-$A$1118)*12,0,12,1))</f>
        <v>137.99028333333334</v>
      </c>
      <c r="F1138" s="14">
        <f t="shared" ca="1" si="55"/>
        <v>137.99028333333334</v>
      </c>
      <c r="G1138" s="14">
        <f t="shared" ca="1" si="55"/>
        <v>138.26165833333332</v>
      </c>
      <c r="H1138" s="14">
        <f t="shared" ca="1" si="55"/>
        <v>138.12695833333333</v>
      </c>
      <c r="I1138" s="14">
        <f t="shared" ca="1" si="55"/>
        <v>138.12695833333333</v>
      </c>
      <c r="J1138" s="14">
        <f t="shared" ca="1" si="55"/>
        <v>138.12695833333333</v>
      </c>
      <c r="K1138" s="14">
        <f t="shared" ca="1" si="55"/>
        <v>138.12695833333333</v>
      </c>
    </row>
    <row r="1139" spans="1:11" ht="15" x14ac:dyDescent="0.2">
      <c r="A1139" s="10">
        <f t="shared" si="52"/>
        <v>2083</v>
      </c>
      <c r="B1139" s="14">
        <f t="shared" ca="1" si="54"/>
        <v>141.07746666666668</v>
      </c>
      <c r="C1139" s="14">
        <f t="shared" ca="1" si="54"/>
        <v>140.64521666666667</v>
      </c>
      <c r="D1139" s="14"/>
      <c r="E1139" s="14">
        <f t="shared" ca="1" si="55"/>
        <v>140.50855833333333</v>
      </c>
      <c r="F1139" s="14">
        <f t="shared" ca="1" si="55"/>
        <v>140.50855833333333</v>
      </c>
      <c r="G1139" s="14">
        <f t="shared" ca="1" si="55"/>
        <v>140.77993333333333</v>
      </c>
      <c r="H1139" s="14">
        <f t="shared" ca="1" si="55"/>
        <v>140.64521666666667</v>
      </c>
      <c r="I1139" s="14">
        <f t="shared" ca="1" si="55"/>
        <v>140.64521666666667</v>
      </c>
      <c r="J1139" s="14">
        <f t="shared" ca="1" si="55"/>
        <v>140.64521666666667</v>
      </c>
      <c r="K1139" s="14">
        <f t="shared" ca="1" si="55"/>
        <v>140.64521666666667</v>
      </c>
    </row>
    <row r="1140" spans="1:11" ht="15" x14ac:dyDescent="0.2">
      <c r="A1140" s="10">
        <f t="shared" si="52"/>
        <v>2084</v>
      </c>
      <c r="B1140" s="14">
        <f t="shared" ca="1" si="54"/>
        <v>143.64227500000001</v>
      </c>
      <c r="C1140" s="14">
        <f t="shared" ca="1" si="54"/>
        <v>143.210025</v>
      </c>
      <c r="D1140" s="14"/>
      <c r="E1140" s="14">
        <f t="shared" ca="1" si="55"/>
        <v>143.07337500000003</v>
      </c>
      <c r="F1140" s="14">
        <f t="shared" ca="1" si="55"/>
        <v>143.07337500000003</v>
      </c>
      <c r="G1140" s="14">
        <f t="shared" ca="1" si="55"/>
        <v>143.34474166666666</v>
      </c>
      <c r="H1140" s="14">
        <f t="shared" ca="1" si="55"/>
        <v>143.210025</v>
      </c>
      <c r="I1140" s="14">
        <f t="shared" ca="1" si="55"/>
        <v>143.210025</v>
      </c>
      <c r="J1140" s="14">
        <f t="shared" ca="1" si="55"/>
        <v>143.210025</v>
      </c>
      <c r="K1140" s="14">
        <f t="shared" ca="1" si="55"/>
        <v>143.210025</v>
      </c>
    </row>
    <row r="1141" spans="1:11" ht="15" x14ac:dyDescent="0.2">
      <c r="A1141" s="10">
        <f t="shared" si="52"/>
        <v>2085</v>
      </c>
      <c r="B1141" s="14">
        <f t="shared" ca="1" si="54"/>
        <v>146.25449166666664</v>
      </c>
      <c r="C1141" s="14">
        <f t="shared" ca="1" si="54"/>
        <v>145.82224166666666</v>
      </c>
      <c r="D1141" s="14"/>
      <c r="E1141" s="14">
        <f t="shared" ca="1" si="55"/>
        <v>145.68558333333331</v>
      </c>
      <c r="F1141" s="14">
        <f t="shared" ca="1" si="55"/>
        <v>145.68558333333331</v>
      </c>
      <c r="G1141" s="14">
        <f t="shared" ca="1" si="55"/>
        <v>145.95695000000001</v>
      </c>
      <c r="H1141" s="14">
        <f t="shared" ca="1" si="55"/>
        <v>145.82224166666666</v>
      </c>
      <c r="I1141" s="14">
        <f t="shared" ca="1" si="55"/>
        <v>145.82224166666666</v>
      </c>
      <c r="J1141" s="14">
        <f t="shared" ca="1" si="55"/>
        <v>145.82224166666666</v>
      </c>
      <c r="K1141" s="14">
        <f t="shared" ca="1" si="55"/>
        <v>145.82224166666666</v>
      </c>
    </row>
    <row r="1142" spans="1:11" ht="15" x14ac:dyDescent="0.2">
      <c r="A1142" s="10">
        <f t="shared" si="52"/>
        <v>2086</v>
      </c>
      <c r="B1142" s="14">
        <f t="shared" ca="1" si="54"/>
        <v>148.914975</v>
      </c>
      <c r="C1142" s="14">
        <f t="shared" ca="1" si="54"/>
        <v>148.48273333333333</v>
      </c>
      <c r="D1142" s="14"/>
      <c r="E1142" s="14">
        <f t="shared" ca="1" si="55"/>
        <v>148.34606666666664</v>
      </c>
      <c r="F1142" s="14">
        <f t="shared" ca="1" si="55"/>
        <v>148.34606666666664</v>
      </c>
      <c r="G1142" s="14">
        <f t="shared" ca="1" si="55"/>
        <v>148.61745833333333</v>
      </c>
      <c r="H1142" s="14">
        <f t="shared" ca="1" si="55"/>
        <v>148.48273333333333</v>
      </c>
      <c r="I1142" s="14">
        <f t="shared" ca="1" si="55"/>
        <v>148.48273333333333</v>
      </c>
      <c r="J1142" s="14">
        <f t="shared" ca="1" si="55"/>
        <v>148.48273333333333</v>
      </c>
      <c r="K1142" s="14">
        <f t="shared" ca="1" si="55"/>
        <v>148.48273333333333</v>
      </c>
    </row>
    <row r="1143" spans="1:11" ht="15" x14ac:dyDescent="0.2">
      <c r="A1143" s="10">
        <f t="shared" si="52"/>
        <v>2087</v>
      </c>
      <c r="B1143" s="14">
        <f t="shared" ca="1" si="54"/>
        <v>151.62464166666666</v>
      </c>
      <c r="C1143" s="14">
        <f t="shared" ca="1" si="54"/>
        <v>151.19239166666668</v>
      </c>
      <c r="D1143" s="14"/>
      <c r="E1143" s="14">
        <f t="shared" ca="1" si="55"/>
        <v>151.05574166666668</v>
      </c>
      <c r="F1143" s="14">
        <f t="shared" ca="1" si="55"/>
        <v>151.05574166666668</v>
      </c>
      <c r="G1143" s="14">
        <f t="shared" ca="1" si="55"/>
        <v>151.32710000000003</v>
      </c>
      <c r="H1143" s="14">
        <f t="shared" ca="1" si="55"/>
        <v>151.19239166666668</v>
      </c>
      <c r="I1143" s="14">
        <f t="shared" ca="1" si="55"/>
        <v>151.19239166666668</v>
      </c>
      <c r="J1143" s="14">
        <f t="shared" ca="1" si="55"/>
        <v>151.19239166666668</v>
      </c>
      <c r="K1143" s="14">
        <f t="shared" ca="1" si="55"/>
        <v>151.19239166666668</v>
      </c>
    </row>
    <row r="1144" spans="1:11" ht="15" x14ac:dyDescent="0.2">
      <c r="A1144" s="10">
        <f t="shared" si="52"/>
        <v>2088</v>
      </c>
      <c r="B1144" s="14">
        <f t="shared" ca="1" si="54"/>
        <v>154.38436666666666</v>
      </c>
      <c r="C1144" s="14">
        <f t="shared" ca="1" si="54"/>
        <v>153.95213333333334</v>
      </c>
      <c r="D1144" s="14"/>
      <c r="E1144" s="14">
        <f t="shared" ca="1" si="55"/>
        <v>153.81546666666668</v>
      </c>
      <c r="F1144" s="14">
        <f t="shared" ca="1" si="55"/>
        <v>153.81546666666668</v>
      </c>
      <c r="G1144" s="14">
        <f t="shared" ca="1" si="55"/>
        <v>154.08684166666669</v>
      </c>
      <c r="H1144" s="14">
        <f t="shared" ca="1" si="55"/>
        <v>153.95213333333334</v>
      </c>
      <c r="I1144" s="14">
        <f t="shared" ca="1" si="55"/>
        <v>153.95213333333334</v>
      </c>
      <c r="J1144" s="14">
        <f t="shared" ca="1" si="55"/>
        <v>153.95213333333334</v>
      </c>
      <c r="K1144" s="14">
        <f t="shared" ca="1" si="55"/>
        <v>153.95213333333334</v>
      </c>
    </row>
    <row r="1145" spans="1:11" ht="15" x14ac:dyDescent="0.2">
      <c r="A1145" s="10">
        <f t="shared" si="52"/>
        <v>2089</v>
      </c>
      <c r="B1145" s="14">
        <f t="shared" ca="1" si="54"/>
        <v>157.1951</v>
      </c>
      <c r="C1145" s="14">
        <f t="shared" ca="1" si="54"/>
        <v>156.7628666666667</v>
      </c>
      <c r="D1145" s="14"/>
      <c r="E1145" s="14">
        <f t="shared" ca="1" si="55"/>
        <v>156.62620000000001</v>
      </c>
      <c r="F1145" s="14">
        <f t="shared" ca="1" si="55"/>
        <v>156.62620000000001</v>
      </c>
      <c r="G1145" s="14">
        <f t="shared" ca="1" si="55"/>
        <v>156.89758333333336</v>
      </c>
      <c r="H1145" s="14">
        <f t="shared" ca="1" si="55"/>
        <v>156.7628666666667</v>
      </c>
      <c r="I1145" s="14">
        <f t="shared" ca="1" si="55"/>
        <v>156.7628666666667</v>
      </c>
      <c r="J1145" s="14">
        <f t="shared" ca="1" si="55"/>
        <v>156.7628666666667</v>
      </c>
      <c r="K1145" s="14">
        <f t="shared" ca="1" si="55"/>
        <v>156.7628666666667</v>
      </c>
    </row>
    <row r="1146" spans="1:11" ht="15" x14ac:dyDescent="0.2">
      <c r="A1146" s="10">
        <f t="shared" si="52"/>
        <v>2090</v>
      </c>
      <c r="B1146" s="14">
        <f t="shared" ca="1" si="54"/>
        <v>160.05780000000001</v>
      </c>
      <c r="C1146" s="14">
        <f t="shared" ca="1" si="54"/>
        <v>159.62554166666666</v>
      </c>
      <c r="D1146" s="14"/>
      <c r="E1146" s="14">
        <f t="shared" ca="1" si="55"/>
        <v>159.48889166666666</v>
      </c>
      <c r="F1146" s="14">
        <f t="shared" ca="1" si="55"/>
        <v>159.48889166666666</v>
      </c>
      <c r="G1146" s="14">
        <f t="shared" ca="1" si="55"/>
        <v>159.76024166666667</v>
      </c>
      <c r="H1146" s="14">
        <f t="shared" ca="1" si="55"/>
        <v>159.62554166666666</v>
      </c>
      <c r="I1146" s="14">
        <f t="shared" ca="1" si="55"/>
        <v>159.62554166666666</v>
      </c>
      <c r="J1146" s="14">
        <f t="shared" ca="1" si="55"/>
        <v>159.62554166666666</v>
      </c>
      <c r="K1146" s="14">
        <f t="shared" ca="1" si="55"/>
        <v>159.62554166666666</v>
      </c>
    </row>
    <row r="1147" spans="1:11" ht="15" x14ac:dyDescent="0.2">
      <c r="A1147" s="10">
        <f t="shared" si="52"/>
        <v>2091</v>
      </c>
      <c r="B1147" s="14">
        <f t="shared" ca="1" si="54"/>
        <v>162.97339166666669</v>
      </c>
      <c r="C1147" s="14">
        <f t="shared" ca="1" si="54"/>
        <v>162.54111666666665</v>
      </c>
      <c r="D1147" s="14"/>
      <c r="E1147" s="14">
        <f t="shared" ca="1" si="55"/>
        <v>162.40447500000002</v>
      </c>
      <c r="F1147" s="14">
        <f t="shared" ca="1" si="55"/>
        <v>162.40447500000002</v>
      </c>
      <c r="G1147" s="14">
        <f t="shared" ca="1" si="55"/>
        <v>162.67584166666668</v>
      </c>
      <c r="H1147" s="14">
        <f t="shared" ca="1" si="55"/>
        <v>162.54111666666665</v>
      </c>
      <c r="I1147" s="14">
        <f t="shared" ca="1" si="55"/>
        <v>162.54111666666665</v>
      </c>
      <c r="J1147" s="14">
        <f t="shared" ca="1" si="55"/>
        <v>162.54111666666665</v>
      </c>
      <c r="K1147" s="14">
        <f t="shared" ca="1" si="55"/>
        <v>162.54111666666665</v>
      </c>
    </row>
    <row r="1148" spans="1:11" ht="15" x14ac:dyDescent="0.2">
      <c r="A1148" s="10">
        <f t="shared" si="52"/>
        <v>2092</v>
      </c>
      <c r="B1148" s="14">
        <f t="shared" ca="1" si="54"/>
        <v>165.94283333333331</v>
      </c>
      <c r="C1148" s="14">
        <f t="shared" ca="1" si="54"/>
        <v>165.51059166666667</v>
      </c>
      <c r="D1148" s="14"/>
      <c r="E1148" s="14">
        <f t="shared" ref="E1148:K1156" ca="1" si="56">AVERAGE(OFFSET(E$600,($A1148-$A$1118)*12,0,12,1))</f>
        <v>165.37393333333333</v>
      </c>
      <c r="F1148" s="14">
        <f t="shared" ca="1" si="56"/>
        <v>165.37393333333333</v>
      </c>
      <c r="G1148" s="14">
        <f t="shared" ca="1" si="56"/>
        <v>165.6453166666667</v>
      </c>
      <c r="H1148" s="14">
        <f t="shared" ca="1" si="56"/>
        <v>165.51059166666667</v>
      </c>
      <c r="I1148" s="14">
        <f t="shared" ca="1" si="56"/>
        <v>165.51059166666667</v>
      </c>
      <c r="J1148" s="14">
        <f t="shared" ca="1" si="56"/>
        <v>165.51059166666667</v>
      </c>
      <c r="K1148" s="14">
        <f t="shared" ca="1" si="56"/>
        <v>165.51059166666667</v>
      </c>
    </row>
    <row r="1149" spans="1:11" ht="15" x14ac:dyDescent="0.2">
      <c r="A1149" s="10">
        <f t="shared" si="52"/>
        <v>2093</v>
      </c>
      <c r="B1149" s="14">
        <f t="shared" ca="1" si="54"/>
        <v>168.96718333333337</v>
      </c>
      <c r="C1149" s="14">
        <f t="shared" ca="1" si="54"/>
        <v>168.53494166666667</v>
      </c>
      <c r="D1149" s="14"/>
      <c r="E1149" s="14">
        <f t="shared" ca="1" si="56"/>
        <v>168.39828333333335</v>
      </c>
      <c r="F1149" s="14">
        <f t="shared" ca="1" si="56"/>
        <v>168.39828333333335</v>
      </c>
      <c r="G1149" s="14">
        <f t="shared" ca="1" si="56"/>
        <v>168.66966666666667</v>
      </c>
      <c r="H1149" s="14">
        <f t="shared" ca="1" si="56"/>
        <v>168.53494166666667</v>
      </c>
      <c r="I1149" s="14">
        <f t="shared" ca="1" si="56"/>
        <v>168.53494166666667</v>
      </c>
      <c r="J1149" s="14">
        <f t="shared" ca="1" si="56"/>
        <v>168.53494166666667</v>
      </c>
      <c r="K1149" s="14">
        <f t="shared" ca="1" si="56"/>
        <v>168.53494166666667</v>
      </c>
    </row>
    <row r="1150" spans="1:11" ht="15" x14ac:dyDescent="0.2">
      <c r="A1150" s="10">
        <f t="shared" si="52"/>
        <v>2094</v>
      </c>
      <c r="B1150" s="14">
        <f t="shared" ca="1" si="54"/>
        <v>172.047425</v>
      </c>
      <c r="C1150" s="14">
        <f t="shared" ca="1" si="54"/>
        <v>171.61515833333337</v>
      </c>
      <c r="D1150" s="14"/>
      <c r="E1150" s="14">
        <f t="shared" ca="1" si="56"/>
        <v>171.47852499999999</v>
      </c>
      <c r="F1150" s="14">
        <f t="shared" ca="1" si="56"/>
        <v>171.47852499999999</v>
      </c>
      <c r="G1150" s="14">
        <f t="shared" ca="1" si="56"/>
        <v>171.74990000000003</v>
      </c>
      <c r="H1150" s="14">
        <f t="shared" ca="1" si="56"/>
        <v>171.61515833333337</v>
      </c>
      <c r="I1150" s="14">
        <f t="shared" ca="1" si="56"/>
        <v>171.61515833333337</v>
      </c>
      <c r="J1150" s="14">
        <f t="shared" ca="1" si="56"/>
        <v>171.61515833333337</v>
      </c>
      <c r="K1150" s="14">
        <f t="shared" ca="1" si="56"/>
        <v>171.61515833333337</v>
      </c>
    </row>
    <row r="1151" spans="1:11" ht="15" x14ac:dyDescent="0.2">
      <c r="A1151" s="10">
        <f t="shared" si="52"/>
        <v>2095</v>
      </c>
      <c r="B1151" s="14">
        <f t="shared" ca="1" si="54"/>
        <v>175.18459166666665</v>
      </c>
      <c r="C1151" s="14">
        <f t="shared" ca="1" si="54"/>
        <v>174.75234166666669</v>
      </c>
      <c r="D1151" s="14"/>
      <c r="E1151" s="14">
        <f t="shared" ca="1" si="56"/>
        <v>174.61568333333332</v>
      </c>
      <c r="F1151" s="14">
        <f t="shared" ca="1" si="56"/>
        <v>174.61568333333332</v>
      </c>
      <c r="G1151" s="14">
        <f t="shared" ca="1" si="56"/>
        <v>174.88705833333336</v>
      </c>
      <c r="H1151" s="14">
        <f t="shared" ca="1" si="56"/>
        <v>174.75234166666669</v>
      </c>
      <c r="I1151" s="14">
        <f t="shared" ca="1" si="56"/>
        <v>174.75234166666669</v>
      </c>
      <c r="J1151" s="14">
        <f t="shared" ca="1" si="56"/>
        <v>174.75234166666669</v>
      </c>
      <c r="K1151" s="14">
        <f t="shared" ca="1" si="56"/>
        <v>174.75234166666669</v>
      </c>
    </row>
    <row r="1152" spans="1:11" ht="15" x14ac:dyDescent="0.2">
      <c r="A1152" s="10">
        <f t="shared" si="52"/>
        <v>2096</v>
      </c>
      <c r="B1152" s="14">
        <f t="shared" ca="1" si="54"/>
        <v>178.37972500000001</v>
      </c>
      <c r="C1152" s="14">
        <f t="shared" ca="1" si="54"/>
        <v>177.94748333333337</v>
      </c>
      <c r="D1152" s="14"/>
      <c r="E1152" s="14">
        <f t="shared" ca="1" si="56"/>
        <v>177.81082500000002</v>
      </c>
      <c r="F1152" s="14">
        <f t="shared" ca="1" si="56"/>
        <v>177.81082500000002</v>
      </c>
      <c r="G1152" s="14">
        <f t="shared" ca="1" si="56"/>
        <v>178.08220000000003</v>
      </c>
      <c r="H1152" s="14">
        <f t="shared" ca="1" si="56"/>
        <v>177.94748333333337</v>
      </c>
      <c r="I1152" s="14">
        <f t="shared" ca="1" si="56"/>
        <v>177.94748333333337</v>
      </c>
      <c r="J1152" s="14">
        <f t="shared" ca="1" si="56"/>
        <v>177.94748333333337</v>
      </c>
      <c r="K1152" s="14">
        <f t="shared" ca="1" si="56"/>
        <v>177.94748333333337</v>
      </c>
    </row>
    <row r="1153" spans="1:11" ht="15" x14ac:dyDescent="0.2">
      <c r="A1153" s="10">
        <f t="shared" si="52"/>
        <v>2097</v>
      </c>
      <c r="B1153" s="14">
        <f t="shared" ca="1" si="54"/>
        <v>181.633925</v>
      </c>
      <c r="C1153" s="14">
        <f t="shared" ca="1" si="54"/>
        <v>181.20166666666668</v>
      </c>
      <c r="D1153" s="14"/>
      <c r="E1153" s="14">
        <f t="shared" ca="1" si="56"/>
        <v>181.06501666666671</v>
      </c>
      <c r="F1153" s="14">
        <f t="shared" ca="1" si="56"/>
        <v>181.06501666666671</v>
      </c>
      <c r="G1153" s="14">
        <f t="shared" ca="1" si="56"/>
        <v>181.33639166666669</v>
      </c>
      <c r="H1153" s="14">
        <f t="shared" ca="1" si="56"/>
        <v>181.20166666666668</v>
      </c>
      <c r="I1153" s="14">
        <f t="shared" ca="1" si="56"/>
        <v>181.20166666666668</v>
      </c>
      <c r="J1153" s="14">
        <f t="shared" ca="1" si="56"/>
        <v>181.20166666666668</v>
      </c>
      <c r="K1153" s="14">
        <f t="shared" ca="1" si="56"/>
        <v>181.20166666666668</v>
      </c>
    </row>
    <row r="1154" spans="1:11" ht="15" x14ac:dyDescent="0.2">
      <c r="A1154" s="10">
        <f t="shared" si="52"/>
        <v>2098</v>
      </c>
      <c r="B1154" s="14">
        <f t="shared" ca="1" si="54"/>
        <v>184.94824166666669</v>
      </c>
      <c r="C1154" s="14">
        <f t="shared" ca="1" si="54"/>
        <v>184.51599166666668</v>
      </c>
      <c r="D1154" s="14"/>
      <c r="E1154" s="14">
        <f t="shared" ca="1" si="56"/>
        <v>184.37933333333334</v>
      </c>
      <c r="F1154" s="14">
        <f t="shared" ca="1" si="56"/>
        <v>184.37933333333334</v>
      </c>
      <c r="G1154" s="14">
        <f t="shared" ca="1" si="56"/>
        <v>184.6507</v>
      </c>
      <c r="H1154" s="14">
        <f t="shared" ca="1" si="56"/>
        <v>184.51599166666668</v>
      </c>
      <c r="I1154" s="14">
        <f t="shared" ca="1" si="56"/>
        <v>184.51599166666668</v>
      </c>
      <c r="J1154" s="14">
        <f t="shared" ca="1" si="56"/>
        <v>184.51599166666668</v>
      </c>
      <c r="K1154" s="14">
        <f t="shared" ca="1" si="56"/>
        <v>184.51599166666668</v>
      </c>
    </row>
    <row r="1155" spans="1:11" ht="15" x14ac:dyDescent="0.2">
      <c r="A1155" s="10">
        <f t="shared" si="52"/>
        <v>2099</v>
      </c>
      <c r="B1155" s="14">
        <f t="shared" ca="1" si="54"/>
        <v>188.32382500000003</v>
      </c>
      <c r="C1155" s="14">
        <f t="shared" ca="1" si="54"/>
        <v>187.89156666666668</v>
      </c>
      <c r="D1155" s="14"/>
      <c r="E1155" s="14">
        <f t="shared" ca="1" si="56"/>
        <v>187.75491666666667</v>
      </c>
      <c r="F1155" s="14">
        <f t="shared" ca="1" si="56"/>
        <v>187.75491666666667</v>
      </c>
      <c r="G1155" s="14">
        <f t="shared" ca="1" si="56"/>
        <v>188.02629999999999</v>
      </c>
      <c r="H1155" s="14">
        <f t="shared" ca="1" si="56"/>
        <v>187.89156666666668</v>
      </c>
      <c r="I1155" s="14">
        <f t="shared" ca="1" si="56"/>
        <v>187.89156666666668</v>
      </c>
      <c r="J1155" s="14">
        <f t="shared" ca="1" si="56"/>
        <v>187.89156666666668</v>
      </c>
      <c r="K1155" s="14">
        <f t="shared" ca="1" si="56"/>
        <v>187.89156666666668</v>
      </c>
    </row>
    <row r="1156" spans="1:11" ht="15" x14ac:dyDescent="0.2">
      <c r="A1156" s="10">
        <f t="shared" si="52"/>
        <v>2100</v>
      </c>
      <c r="B1156" s="14">
        <f t="shared" ca="1" si="54"/>
        <v>191.76178333333337</v>
      </c>
      <c r="C1156" s="14">
        <f t="shared" ca="1" si="54"/>
        <v>191.32952499999999</v>
      </c>
      <c r="D1156" s="14"/>
      <c r="E1156" s="14">
        <f t="shared" ca="1" si="56"/>
        <v>191.19286666666673</v>
      </c>
      <c r="F1156" s="14">
        <f t="shared" ca="1" si="56"/>
        <v>191.19286666666673</v>
      </c>
      <c r="G1156" s="14">
        <f t="shared" ca="1" si="56"/>
        <v>191.46426666666665</v>
      </c>
      <c r="H1156" s="14">
        <f t="shared" ca="1" si="56"/>
        <v>191.32952499999999</v>
      </c>
      <c r="I1156" s="14">
        <f t="shared" ca="1" si="56"/>
        <v>191.32952499999999</v>
      </c>
      <c r="J1156" s="14">
        <f t="shared" ca="1" si="56"/>
        <v>191.32952499999999</v>
      </c>
      <c r="K1156" s="14">
        <f t="shared" ca="1" si="56"/>
        <v>191.32952499999999</v>
      </c>
    </row>
    <row r="1157" spans="1:11" x14ac:dyDescent="0.2">
      <c r="A1157" s="8"/>
    </row>
    <row r="1158" spans="1:11" x14ac:dyDescent="0.2">
      <c r="A1158" s="8"/>
    </row>
    <row r="1159" spans="1:11" x14ac:dyDescent="0.2">
      <c r="A1159" s="8"/>
    </row>
    <row r="1160" spans="1:11" x14ac:dyDescent="0.2">
      <c r="A1160" s="8"/>
    </row>
    <row r="1161" spans="1:11" x14ac:dyDescent="0.2">
      <c r="A1161" s="8"/>
    </row>
    <row r="1162" spans="1:11" x14ac:dyDescent="0.2">
      <c r="A1162" s="8"/>
    </row>
    <row r="1163" spans="1:11" x14ac:dyDescent="0.2">
      <c r="A1163" s="8"/>
    </row>
    <row r="1164" spans="1:11" x14ac:dyDescent="0.2">
      <c r="A1164" s="8"/>
    </row>
    <row r="1165" spans="1:11" x14ac:dyDescent="0.2">
      <c r="A1165" s="8"/>
    </row>
    <row r="1166" spans="1:11" x14ac:dyDescent="0.2">
      <c r="A1166" s="8"/>
    </row>
    <row r="1167" spans="1:11" x14ac:dyDescent="0.2">
      <c r="A1167" s="8"/>
    </row>
    <row r="1168" spans="1:11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</sheetData>
  <pageMargins left="0.25" right="0.25" top="0.5" bottom="0.5" header="0.25" footer="0.25"/>
  <pageSetup paperSize="5" scale="8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locked="0" defaultSize="0" autoLine="0" autoPict="0">
                <anchor moveWithCells="1">
                  <from>
                    <xdr:col>6</xdr:col>
                    <xdr:colOff>85725</xdr:colOff>
                    <xdr:row>7</xdr:row>
                    <xdr:rowOff>47625</xdr:rowOff>
                  </from>
                  <to>
                    <xdr:col>7</xdr:col>
                    <xdr:colOff>85725</xdr:colOff>
                    <xdr:row>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locked="0" defaultSize="0" autoLine="0" autoPict="0">
                <anchor moveWithCells="1">
                  <from>
                    <xdr:col>7</xdr:col>
                    <xdr:colOff>276225</xdr:colOff>
                    <xdr:row>7</xdr:row>
                    <xdr:rowOff>76200</xdr:rowOff>
                  </from>
                  <to>
                    <xdr:col>8</xdr:col>
                    <xdr:colOff>276225</xdr:colOff>
                    <xdr:row>8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K1176"/>
  <sheetViews>
    <sheetView zoomScale="75" zoomScaleNormal="75" workbookViewId="0">
      <pane xSplit="1" ySplit="11" topLeftCell="B12" activePane="bottomRight" state="frozen"/>
      <selection activeCell="A6" sqref="A6"/>
      <selection pane="topRight" activeCell="A6" sqref="A6"/>
      <selection pane="bottomLeft" activeCell="A6" sqref="A6"/>
      <selection pane="bottomRight" activeCell="A7" sqref="A7"/>
    </sheetView>
  </sheetViews>
  <sheetFormatPr defaultColWidth="7.109375" defaultRowHeight="12.75" x14ac:dyDescent="0.2"/>
  <cols>
    <col min="1" max="1" width="18.44140625" style="31" customWidth="1"/>
    <col min="2" max="3" width="14.5546875" style="31" customWidth="1"/>
    <col min="4" max="4" width="16.88671875" style="31" customWidth="1"/>
    <col min="5" max="5" width="14.5546875" style="31" customWidth="1"/>
    <col min="6" max="6" width="16.77734375" style="31" customWidth="1"/>
    <col min="7" max="9" width="14.5546875" style="31" customWidth="1"/>
    <col min="10" max="10" width="12.21875" style="8" customWidth="1"/>
    <col min="11" max="11" width="9.6640625" style="8" customWidth="1"/>
    <col min="12" max="16384" width="7.109375" style="8"/>
  </cols>
  <sheetData>
    <row r="1" spans="1:10" ht="15.75" x14ac:dyDescent="0.25">
      <c r="A1" s="102" t="s">
        <v>90</v>
      </c>
    </row>
    <row r="2" spans="1:10" ht="15.75" x14ac:dyDescent="0.25">
      <c r="A2" s="102" t="s">
        <v>91</v>
      </c>
    </row>
    <row r="3" spans="1:10" ht="15.75" x14ac:dyDescent="0.25">
      <c r="A3" s="102" t="s">
        <v>92</v>
      </c>
    </row>
    <row r="4" spans="1:10" ht="15.75" x14ac:dyDescent="0.25">
      <c r="A4" s="102" t="s">
        <v>93</v>
      </c>
    </row>
    <row r="5" spans="1:10" ht="15.75" x14ac:dyDescent="0.25">
      <c r="A5" s="102" t="s">
        <v>95</v>
      </c>
    </row>
    <row r="6" spans="1:10" ht="15.75" x14ac:dyDescent="0.25">
      <c r="A6" s="102" t="s">
        <v>96</v>
      </c>
    </row>
    <row r="8" spans="1:10" ht="15.75" x14ac:dyDescent="0.25">
      <c r="A8" s="47" t="s">
        <v>27</v>
      </c>
      <c r="B8" s="48"/>
      <c r="C8" s="42"/>
    </row>
    <row r="9" spans="1:10" ht="15.75" x14ac:dyDescent="0.25">
      <c r="A9" s="47"/>
      <c r="B9" s="42"/>
      <c r="C9" s="42"/>
      <c r="D9" s="41" t="s">
        <v>25</v>
      </c>
      <c r="E9" s="40">
        <f>1-0.278</f>
        <v>0.72199999999999998</v>
      </c>
      <c r="F9" s="41" t="s">
        <v>24</v>
      </c>
      <c r="G9" s="40">
        <v>1.278</v>
      </c>
    </row>
    <row r="10" spans="1:10" s="36" customFormat="1" ht="34.9" customHeight="1" x14ac:dyDescent="0.25">
      <c r="B10" s="39" t="s">
        <v>47</v>
      </c>
      <c r="C10" s="37" t="s">
        <v>46</v>
      </c>
      <c r="D10" s="39" t="s">
        <v>45</v>
      </c>
      <c r="E10" s="39" t="s">
        <v>44</v>
      </c>
      <c r="F10" s="39" t="s">
        <v>43</v>
      </c>
      <c r="G10" s="37" t="s">
        <v>42</v>
      </c>
      <c r="H10" s="37" t="s">
        <v>41</v>
      </c>
      <c r="I10" s="39" t="s">
        <v>40</v>
      </c>
      <c r="J10" s="37" t="s">
        <v>39</v>
      </c>
    </row>
    <row r="11" spans="1:10" s="36" customFormat="1" ht="13.15" customHeight="1" x14ac:dyDescent="0.25">
      <c r="A11" s="38" t="s">
        <v>15</v>
      </c>
      <c r="B11" s="38" t="s">
        <v>14</v>
      </c>
      <c r="C11" s="38" t="s">
        <v>14</v>
      </c>
      <c r="D11" s="38" t="s">
        <v>14</v>
      </c>
      <c r="E11" s="38" t="s">
        <v>14</v>
      </c>
      <c r="F11" s="38" t="s">
        <v>14</v>
      </c>
      <c r="G11" s="38" t="s">
        <v>14</v>
      </c>
      <c r="H11" s="38" t="s">
        <v>14</v>
      </c>
      <c r="I11" s="38" t="s">
        <v>14</v>
      </c>
      <c r="J11" s="38" t="s">
        <v>38</v>
      </c>
    </row>
    <row r="12" spans="1:10" ht="15" x14ac:dyDescent="0.2">
      <c r="A12" s="13">
        <v>41275</v>
      </c>
      <c r="B12" s="14">
        <v>17.5608163872467</v>
      </c>
      <c r="C12" s="14">
        <v>16.672788775099502</v>
      </c>
      <c r="D12" s="14">
        <v>16.664976275099502</v>
      </c>
      <c r="E12" s="14">
        <v>16.664976275099502</v>
      </c>
      <c r="F12" s="14">
        <v>16.6118512750995</v>
      </c>
      <c r="G12" s="14">
        <v>16.6712262750995</v>
      </c>
      <c r="H12" s="14">
        <v>16.6712262750995</v>
      </c>
      <c r="I12" s="14">
        <v>16.672788775099502</v>
      </c>
      <c r="J12" s="44">
        <f>89.51</f>
        <v>89.51</v>
      </c>
    </row>
    <row r="13" spans="1:10" ht="15" x14ac:dyDescent="0.2">
      <c r="A13" s="13">
        <v>41306</v>
      </c>
      <c r="B13" s="14">
        <v>18.139507285282502</v>
      </c>
      <c r="C13" s="14">
        <v>17.084489196554799</v>
      </c>
      <c r="D13" s="14">
        <v>17.076676696554799</v>
      </c>
      <c r="E13" s="14">
        <v>17.076676696554799</v>
      </c>
      <c r="F13" s="14">
        <v>17.023551696554801</v>
      </c>
      <c r="G13" s="14">
        <v>17.0829266965548</v>
      </c>
      <c r="H13" s="14">
        <v>17.0829266965548</v>
      </c>
      <c r="I13" s="14">
        <v>17.084489196554799</v>
      </c>
      <c r="J13" s="44">
        <f>96.24</f>
        <v>96.24</v>
      </c>
    </row>
    <row r="14" spans="1:10" ht="15" x14ac:dyDescent="0.2">
      <c r="A14" s="13">
        <v>41334</v>
      </c>
      <c r="B14" s="14">
        <v>16.456719986895401</v>
      </c>
      <c r="C14" s="14">
        <v>15.771603971900401</v>
      </c>
      <c r="D14" s="14">
        <v>15.763791471900401</v>
      </c>
      <c r="E14" s="14">
        <v>15.763791471900401</v>
      </c>
      <c r="F14" s="14">
        <v>16.456719986895401</v>
      </c>
      <c r="G14" s="14">
        <v>15.770041471900401</v>
      </c>
      <c r="H14" s="14">
        <v>15.770041471900401</v>
      </c>
      <c r="I14" s="14">
        <v>15.771603971900401</v>
      </c>
      <c r="J14" s="44">
        <f>94.46</f>
        <v>94.46</v>
      </c>
    </row>
    <row r="15" spans="1:10" ht="15" x14ac:dyDescent="0.2">
      <c r="A15" s="13">
        <v>41365</v>
      </c>
      <c r="B15" s="14">
        <v>16.071251267255601</v>
      </c>
      <c r="C15" s="14">
        <v>15.4136066904326</v>
      </c>
      <c r="D15" s="14">
        <v>15.4057941904326</v>
      </c>
      <c r="E15" s="14">
        <v>15.4057941904326</v>
      </c>
      <c r="F15" s="45">
        <v>15.915001267255599</v>
      </c>
      <c r="G15" s="14">
        <v>15.412044190432599</v>
      </c>
      <c r="H15" s="14">
        <v>15.412044190432599</v>
      </c>
      <c r="I15" s="14">
        <v>15.4136066904326</v>
      </c>
      <c r="J15" s="44">
        <f>92.96</f>
        <v>92.96</v>
      </c>
    </row>
    <row r="16" spans="1:10" ht="15" x14ac:dyDescent="0.2">
      <c r="A16" s="13">
        <v>41395</v>
      </c>
      <c r="B16" s="14">
        <v>15.943985642255599</v>
      </c>
      <c r="C16" s="14">
        <v>15.394804607099299</v>
      </c>
      <c r="D16" s="14">
        <v>15.386992107099299</v>
      </c>
      <c r="E16" s="14">
        <v>15.386992107099299</v>
      </c>
      <c r="F16" s="45">
        <v>15.787735642255599</v>
      </c>
      <c r="G16" s="14">
        <v>15.393242107099301</v>
      </c>
      <c r="H16" s="14">
        <v>15.393242107099301</v>
      </c>
      <c r="I16" s="14">
        <v>15.394804607099299</v>
      </c>
      <c r="J16" s="44">
        <f>88.76</f>
        <v>88.76</v>
      </c>
    </row>
    <row r="17" spans="1:10" ht="15" x14ac:dyDescent="0.2">
      <c r="A17" s="13">
        <v>41426</v>
      </c>
      <c r="B17" s="14">
        <f>16.25 * CHOOSE(CONTROL!$C$15, $E$9, 100%, $G$9) + CHOOSE(CONTROL!$C$38, 0.0264, 0)</f>
        <v>16.276399999999999</v>
      </c>
      <c r="C17" s="14">
        <f>15.625 * CHOOSE(CONTROL!$C$15, $E$9, 100%, $G$9) + CHOOSE(CONTROL!$C$38, 0.0354, 0)</f>
        <v>15.660399999999999</v>
      </c>
      <c r="D17" s="14">
        <f>15.6172 * CHOOSE(CONTROL!$C$15, $E$9, 100%, $G$9) + CHOOSE(CONTROL!$C$38, 0.0354, 0)</f>
        <v>15.6526</v>
      </c>
      <c r="E17" s="14">
        <f>15.6172 * CHOOSE(CONTROL!$C$15, $E$9, 100%, $G$9) + CHOOSE(CONTROL!$C$38, 0.0354, 0)</f>
        <v>15.6526</v>
      </c>
      <c r="F17" s="45">
        <f>16.0938 * CHOOSE(CONTROL!$C$15, $E$9, 100%, $G$9) + CHOOSE(CONTROL!$C$38, 0.0264, 0)</f>
        <v>16.120200000000001</v>
      </c>
      <c r="G17" s="14">
        <f>15.6234 * CHOOSE(CONTROL!$C$15, $E$9, 100%, $G$9) + CHOOSE(CONTROL!$C$38, 0.0354, 0)</f>
        <v>15.658799999999999</v>
      </c>
      <c r="H17" s="14">
        <f>15.6234 * CHOOSE(CONTROL!$C$15, $E$9, 100%, $G$9) + CHOOSE(CONTROL!$C$38, 0.0354, 0)</f>
        <v>15.658799999999999</v>
      </c>
      <c r="I17" s="14">
        <f>15.625 * CHOOSE(CONTROL!$C$15, $E$9, 100%, $G$9) + CHOOSE(CONTROL!$C$38, 0.0354, 0)</f>
        <v>15.660399999999999</v>
      </c>
      <c r="J17" s="44">
        <f>96.16</f>
        <v>96.16</v>
      </c>
    </row>
    <row r="18" spans="1:10" ht="15" x14ac:dyDescent="0.2">
      <c r="A18" s="13">
        <v>41456</v>
      </c>
      <c r="B18" s="14">
        <f>16.2344 * CHOOSE(CONTROL!$C$15, $E$9, 100%, $G$9) + CHOOSE(CONTROL!$C$38, 0.0264, 0)</f>
        <v>16.2608</v>
      </c>
      <c r="C18" s="14">
        <f>15.6094 * CHOOSE(CONTROL!$C$15, $E$9, 100%, $G$9) + CHOOSE(CONTROL!$C$38, 0.0354, 0)</f>
        <v>15.6448</v>
      </c>
      <c r="D18" s="14">
        <f>15.6016 * CHOOSE(CONTROL!$C$15, $E$9, 100%, $G$9) + CHOOSE(CONTROL!$C$38, 0.0354, 0)</f>
        <v>15.636999999999999</v>
      </c>
      <c r="E18" s="14">
        <f>15.6016 * CHOOSE(CONTROL!$C$15, $E$9, 100%, $G$9) + CHOOSE(CONTROL!$C$38, 0.0354, 0)</f>
        <v>15.636999999999999</v>
      </c>
      <c r="F18" s="45">
        <f>16.0781 * CHOOSE(CONTROL!$C$15, $E$9, 100%, $G$9) + CHOOSE(CONTROL!$C$38, 0.0264, 0)</f>
        <v>16.104499999999998</v>
      </c>
      <c r="G18" s="14">
        <f>15.6078 * CHOOSE(CONTROL!$C$15, $E$9, 100%, $G$9) + CHOOSE(CONTROL!$C$38, 0.0354, 0)</f>
        <v>15.643199999999998</v>
      </c>
      <c r="H18" s="14">
        <f>15.6078 * CHOOSE(CONTROL!$C$15, $E$9, 100%, $G$9) + CHOOSE(CONTROL!$C$38, 0.0354, 0)</f>
        <v>15.643199999999998</v>
      </c>
      <c r="I18" s="14">
        <f>15.6094 * CHOOSE(CONTROL!$C$15, $E$9, 100%, $G$9) + CHOOSE(CONTROL!$C$38, 0.0354, 0)</f>
        <v>15.6448</v>
      </c>
      <c r="J18" s="44">
        <f>96.39</f>
        <v>96.39</v>
      </c>
    </row>
    <row r="19" spans="1:10" ht="15" x14ac:dyDescent="0.2">
      <c r="A19" s="13">
        <v>41487</v>
      </c>
      <c r="B19" s="14">
        <f>16.2969 * CHOOSE(CONTROL!$C$15, $E$9, 100%, $G$9) + CHOOSE(CONTROL!$C$38, 0.0264, 0)</f>
        <v>16.3233</v>
      </c>
      <c r="C19" s="14">
        <f>15.5937 * CHOOSE(CONTROL!$C$15, $E$9, 100%, $G$9) + CHOOSE(CONTROL!$C$38, 0.0354, 0)</f>
        <v>15.629099999999999</v>
      </c>
      <c r="D19" s="14">
        <f>15.5859 * CHOOSE(CONTROL!$C$15, $E$9, 100%, $G$9) + CHOOSE(CONTROL!$C$38, 0.0354, 0)</f>
        <v>15.6213</v>
      </c>
      <c r="E19" s="14">
        <f>15.5859 * CHOOSE(CONTROL!$C$15, $E$9, 100%, $G$9) + CHOOSE(CONTROL!$C$38, 0.0354, 0)</f>
        <v>15.6213</v>
      </c>
      <c r="F19" s="45">
        <f>16.1406 * CHOOSE(CONTROL!$C$15, $E$9, 100%, $G$9) + CHOOSE(CONTROL!$C$38, 0.0264, 0)</f>
        <v>16.166999999999998</v>
      </c>
      <c r="G19" s="14">
        <f>15.5922 * CHOOSE(CONTROL!$C$15, $E$9, 100%, $G$9) + CHOOSE(CONTROL!$C$38, 0.0354, 0)</f>
        <v>15.627599999999999</v>
      </c>
      <c r="H19" s="14">
        <f>15.5922 * CHOOSE(CONTROL!$C$15, $E$9, 100%, $G$9) + CHOOSE(CONTROL!$C$38, 0.0354, 0)</f>
        <v>15.627599999999999</v>
      </c>
      <c r="I19" s="14">
        <f>15.5937 * CHOOSE(CONTROL!$C$15, $E$9, 100%, $G$9) + CHOOSE(CONTROL!$C$38, 0.0354, 0)</f>
        <v>15.629099999999999</v>
      </c>
      <c r="J19" s="44">
        <f>96.38</f>
        <v>96.38</v>
      </c>
    </row>
    <row r="20" spans="1:10" ht="15" x14ac:dyDescent="0.2">
      <c r="A20" s="13">
        <v>41518</v>
      </c>
      <c r="B20" s="14">
        <f>16.2797 * CHOOSE(CONTROL!$C$15, $E$9, 100%, $G$9) + CHOOSE(CONTROL!$C$38, 0.0264, 0)</f>
        <v>16.306099999999997</v>
      </c>
      <c r="C20" s="14">
        <f>15.5781 * CHOOSE(CONTROL!$C$15, $E$9, 100%, $G$9) + CHOOSE(CONTROL!$C$38, 0.0354, 0)</f>
        <v>15.613499999999998</v>
      </c>
      <c r="D20" s="14">
        <f>15.5703 * CHOOSE(CONTROL!$C$15, $E$9, 100%, $G$9) + CHOOSE(CONTROL!$C$38, 0.0354, 0)</f>
        <v>15.605699999999999</v>
      </c>
      <c r="E20" s="14">
        <f>15.5703 * CHOOSE(CONTROL!$C$15, $E$9, 100%, $G$9) + CHOOSE(CONTROL!$C$38, 0.0354, 0)</f>
        <v>15.605699999999999</v>
      </c>
      <c r="F20" s="45">
        <f>16.1234 * CHOOSE(CONTROL!$C$15, $E$9, 100%, $G$9) + CHOOSE(CONTROL!$C$38, 0.0264, 0)</f>
        <v>16.149799999999999</v>
      </c>
      <c r="G20" s="14">
        <f>15.5766 * CHOOSE(CONTROL!$C$15, $E$9, 100%, $G$9) + CHOOSE(CONTROL!$C$38, 0.0354, 0)</f>
        <v>15.611999999999998</v>
      </c>
      <c r="H20" s="14">
        <f>15.5766 * CHOOSE(CONTROL!$C$15, $E$9, 100%, $G$9) + CHOOSE(CONTROL!$C$38, 0.0354, 0)</f>
        <v>15.611999999999998</v>
      </c>
      <c r="I20" s="14">
        <f>15.5781 * CHOOSE(CONTROL!$C$15, $E$9, 100%, $G$9) + CHOOSE(CONTROL!$C$38, 0.0354, 0)</f>
        <v>15.613499999999998</v>
      </c>
      <c r="J20" s="44">
        <f>96.11</f>
        <v>96.11</v>
      </c>
    </row>
    <row r="21" spans="1:10" ht="15" x14ac:dyDescent="0.2">
      <c r="A21" s="13">
        <v>41548</v>
      </c>
      <c r="B21" s="14">
        <f>16.2266 * CHOOSE(CONTROL!$C$15, $E$9, 100%, $G$9) + CHOOSE(CONTROL!$C$38, 0.0251, 0)</f>
        <v>16.2517</v>
      </c>
      <c r="C21" s="14">
        <f>15.4844 * CHOOSE(CONTROL!$C$15, $E$9, 100%, $G$9) + CHOOSE(CONTROL!$C$38, 0.0342, 0)</f>
        <v>15.518600000000001</v>
      </c>
      <c r="D21" s="14">
        <f>15.4766 * CHOOSE(CONTROL!$C$15, $E$9, 100%, $G$9) + CHOOSE(CONTROL!$C$38, 0.0342, 0)</f>
        <v>15.5108</v>
      </c>
      <c r="E21" s="14">
        <f>15.4766 * CHOOSE(CONTROL!$C$15, $E$9, 100%, $G$9) + CHOOSE(CONTROL!$C$38, 0.0342, 0)</f>
        <v>15.5108</v>
      </c>
      <c r="F21" s="45">
        <f>16.0703 * CHOOSE(CONTROL!$C$15, $E$9, 100%, $G$9) + CHOOSE(CONTROL!$C$38, 0.0251, 0)</f>
        <v>16.095399999999998</v>
      </c>
      <c r="G21" s="14">
        <f>15.4828 * CHOOSE(CONTROL!$C$15, $E$9, 100%, $G$9) + CHOOSE(CONTROL!$C$38, 0.0342, 0)</f>
        <v>15.516999999999999</v>
      </c>
      <c r="H21" s="14">
        <f>15.4828 * CHOOSE(CONTROL!$C$15, $E$9, 100%, $G$9) + CHOOSE(CONTROL!$C$38, 0.0342, 0)</f>
        <v>15.516999999999999</v>
      </c>
      <c r="I21" s="14">
        <f>15.4844 * CHOOSE(CONTROL!$C$15, $E$9, 100%, $G$9) + CHOOSE(CONTROL!$C$38, 0.0342, 0)</f>
        <v>15.518600000000001</v>
      </c>
      <c r="J21" s="44">
        <f>95.67</f>
        <v>95.67</v>
      </c>
    </row>
    <row r="22" spans="1:10" ht="15" x14ac:dyDescent="0.2">
      <c r="A22" s="13">
        <v>41579</v>
      </c>
      <c r="B22" s="14">
        <f>16.2266 * CHOOSE(CONTROL!$C$15, $E$9, 100%, $G$9) + CHOOSE(CONTROL!$C$38, 0.0251, 0)</f>
        <v>16.2517</v>
      </c>
      <c r="C22" s="14">
        <f>15.4844 * CHOOSE(CONTROL!$C$15, $E$9, 100%, $G$9) + CHOOSE(CONTROL!$C$38, 0.0342, 0)</f>
        <v>15.518600000000001</v>
      </c>
      <c r="D22" s="14">
        <f>15.4766 * CHOOSE(CONTROL!$C$15, $E$9, 100%, $G$9) + CHOOSE(CONTROL!$C$38, 0.0342, 0)</f>
        <v>15.5108</v>
      </c>
      <c r="E22" s="14">
        <f>15.4766 * CHOOSE(CONTROL!$C$15, $E$9, 100%, $G$9) + CHOOSE(CONTROL!$C$38, 0.0342, 0)</f>
        <v>15.5108</v>
      </c>
      <c r="F22" s="45">
        <f>16.0703 * CHOOSE(CONTROL!$C$15, $E$9, 100%, $G$9) + CHOOSE(CONTROL!$C$38, 0.0251, 0)</f>
        <v>16.095399999999998</v>
      </c>
      <c r="G22" s="14">
        <f>15.4828 * CHOOSE(CONTROL!$C$15, $E$9, 100%, $G$9) + CHOOSE(CONTROL!$C$38, 0.0342, 0)</f>
        <v>15.516999999999999</v>
      </c>
      <c r="H22" s="14">
        <f>15.4828 * CHOOSE(CONTROL!$C$15, $E$9, 100%, $G$9) + CHOOSE(CONTROL!$C$38, 0.0342, 0)</f>
        <v>15.516999999999999</v>
      </c>
      <c r="I22" s="14">
        <f>15.4844 * CHOOSE(CONTROL!$C$15, $E$9, 100%, $G$9) + CHOOSE(CONTROL!$C$38, 0.0342, 0)</f>
        <v>15.518600000000001</v>
      </c>
      <c r="J22" s="44">
        <f>95.18</f>
        <v>95.18</v>
      </c>
    </row>
    <row r="23" spans="1:10" ht="15" x14ac:dyDescent="0.2">
      <c r="A23" s="13">
        <v>41609</v>
      </c>
      <c r="B23" s="14">
        <f>16.2266 * CHOOSE(CONTROL!$C$15, $E$9, 100%, $G$9) + CHOOSE(CONTROL!$C$38, 0.0251, 0)</f>
        <v>16.2517</v>
      </c>
      <c r="C23" s="14">
        <f>15.4844 * CHOOSE(CONTROL!$C$15, $E$9, 100%, $G$9) + CHOOSE(CONTROL!$C$38, 0.0342, 0)</f>
        <v>15.518600000000001</v>
      </c>
      <c r="D23" s="14">
        <f>15.4766 * CHOOSE(CONTROL!$C$15, $E$9, 100%, $G$9) + CHOOSE(CONTROL!$C$38, 0.0342, 0)</f>
        <v>15.5108</v>
      </c>
      <c r="E23" s="14">
        <f>15.4766 * CHOOSE(CONTROL!$C$15, $E$9, 100%, $G$9) + CHOOSE(CONTROL!$C$38, 0.0342, 0)</f>
        <v>15.5108</v>
      </c>
      <c r="F23" s="45">
        <f>16.0703 * CHOOSE(CONTROL!$C$15, $E$9, 100%, $G$9) + CHOOSE(CONTROL!$C$38, 0.0251, 0)</f>
        <v>16.095399999999998</v>
      </c>
      <c r="G23" s="14">
        <f>15.4828 * CHOOSE(CONTROL!$C$15, $E$9, 100%, $G$9) + CHOOSE(CONTROL!$C$38, 0.0342, 0)</f>
        <v>15.516999999999999</v>
      </c>
      <c r="H23" s="14">
        <f>15.4828 * CHOOSE(CONTROL!$C$15, $E$9, 100%, $G$9) + CHOOSE(CONTROL!$C$38, 0.0342, 0)</f>
        <v>15.516999999999999</v>
      </c>
      <c r="I23" s="14">
        <f>15.4844 * CHOOSE(CONTROL!$C$15, $E$9, 100%, $G$9) + CHOOSE(CONTROL!$C$38, 0.0342, 0)</f>
        <v>15.518600000000001</v>
      </c>
      <c r="J23" s="44">
        <f>94.66</f>
        <v>94.66</v>
      </c>
    </row>
    <row r="24" spans="1:10" ht="15" x14ac:dyDescent="0.2">
      <c r="A24" s="13">
        <v>41640</v>
      </c>
      <c r="B24" s="14">
        <f>16.2188 * CHOOSE(CONTROL!$C$15, $E$9, 100%, $G$9) + CHOOSE(CONTROL!$C$38, 0.0251, 0)</f>
        <v>16.2439</v>
      </c>
      <c r="C24" s="14">
        <f>15.4375 * CHOOSE(CONTROL!$C$15, $E$9, 100%, $G$9) + CHOOSE(CONTROL!$C$38, 0.0342, 0)</f>
        <v>15.4717</v>
      </c>
      <c r="D24" s="14">
        <f>15.4297 * CHOOSE(CONTROL!$C$15, $E$9, 100%, $G$9) + CHOOSE(CONTROL!$C$38, 0.0342, 0)</f>
        <v>15.463900000000001</v>
      </c>
      <c r="E24" s="46">
        <f>16.0625 * CHOOSE(CONTROL!$C$15, $E$9, 100%, $G$9) + CHOOSE(CONTROL!$C$38, 0.0342, 0)</f>
        <v>16.096699999999998</v>
      </c>
      <c r="F24" s="45">
        <f>16.0625 * CHOOSE(CONTROL!$C$15, $E$9, 100%, $G$9) + CHOOSE(CONTROL!$C$38, 0.0251, 0)</f>
        <v>16.087599999999998</v>
      </c>
      <c r="G24" s="14">
        <f>15.4359 * CHOOSE(CONTROL!$C$15, $E$9, 100%, $G$9) + CHOOSE(CONTROL!$C$38, 0.0342, 0)</f>
        <v>15.4701</v>
      </c>
      <c r="H24" s="14">
        <f>15.4359 * CHOOSE(CONTROL!$C$15, $E$9, 100%, $G$9) + CHOOSE(CONTROL!$C$38, 0.0342, 0)</f>
        <v>15.4701</v>
      </c>
      <c r="I24" s="14">
        <f>15.4375 * CHOOSE(CONTROL!$C$15, $E$9, 100%, $G$9) + CHOOSE(CONTROL!$C$38, 0.0342, 0)</f>
        <v>15.4717</v>
      </c>
      <c r="J24" s="44">
        <f>94.13</f>
        <v>94.13</v>
      </c>
    </row>
    <row r="25" spans="1:10" ht="15" x14ac:dyDescent="0.2">
      <c r="A25" s="13">
        <v>41671</v>
      </c>
      <c r="B25" s="14">
        <f>16.2188 * CHOOSE(CONTROL!$C$15, $E$9, 100%, $G$9) + CHOOSE(CONTROL!$C$38, 0.0251, 0)</f>
        <v>16.2439</v>
      </c>
      <c r="C25" s="14">
        <f>15.4375 * CHOOSE(CONTROL!$C$15, $E$9, 100%, $G$9) + CHOOSE(CONTROL!$C$38, 0.0342, 0)</f>
        <v>15.4717</v>
      </c>
      <c r="D25" s="14">
        <f>15.4297 * CHOOSE(CONTROL!$C$15, $E$9, 100%, $G$9) + CHOOSE(CONTROL!$C$38, 0.0342, 0)</f>
        <v>15.463900000000001</v>
      </c>
      <c r="E25" s="46">
        <f>16.0625 * CHOOSE(CONTROL!$C$15, $E$9, 100%, $G$9) + CHOOSE(CONTROL!$C$38, 0.0342, 0)</f>
        <v>16.096699999999998</v>
      </c>
      <c r="F25" s="45">
        <f>16.0625 * CHOOSE(CONTROL!$C$15, $E$9, 100%, $G$9) + CHOOSE(CONTROL!$C$38, 0.0251, 0)</f>
        <v>16.087599999999998</v>
      </c>
      <c r="G25" s="14">
        <f>15.4359 * CHOOSE(CONTROL!$C$15, $E$9, 100%, $G$9) + CHOOSE(CONTROL!$C$38, 0.0342, 0)</f>
        <v>15.4701</v>
      </c>
      <c r="H25" s="14">
        <f>15.4359 * CHOOSE(CONTROL!$C$15, $E$9, 100%, $G$9) + CHOOSE(CONTROL!$C$38, 0.0342, 0)</f>
        <v>15.4701</v>
      </c>
      <c r="I25" s="14">
        <f>15.4375 * CHOOSE(CONTROL!$C$15, $E$9, 100%, $G$9) + CHOOSE(CONTROL!$C$38, 0.0342, 0)</f>
        <v>15.4717</v>
      </c>
      <c r="J25" s="44">
        <f>93.63</f>
        <v>93.63</v>
      </c>
    </row>
    <row r="26" spans="1:10" ht="15" x14ac:dyDescent="0.2">
      <c r="A26" s="13">
        <v>41699</v>
      </c>
      <c r="B26" s="14">
        <f>16.2188 * CHOOSE(CONTROL!$C$15, $E$9, 100%, $G$9) + CHOOSE(CONTROL!$C$38, 0.0251, 0)</f>
        <v>16.2439</v>
      </c>
      <c r="C26" s="14">
        <f>15.4375 * CHOOSE(CONTROL!$C$15, $E$9, 100%, $G$9) + CHOOSE(CONTROL!$C$38, 0.0342, 0)</f>
        <v>15.4717</v>
      </c>
      <c r="D26" s="14">
        <f>15.4297 * CHOOSE(CONTROL!$C$15, $E$9, 100%, $G$9) + CHOOSE(CONTROL!$C$38, 0.0342, 0)</f>
        <v>15.463900000000001</v>
      </c>
      <c r="E26" s="46">
        <f>16.0625 * CHOOSE(CONTROL!$C$15, $E$9, 100%, $G$9) + CHOOSE(CONTROL!$C$38, 0.0342, 0)</f>
        <v>16.096699999999998</v>
      </c>
      <c r="F26" s="45">
        <f>16.0625 * CHOOSE(CONTROL!$C$15, $E$9, 100%, $G$9) + CHOOSE(CONTROL!$C$38, 0.0251, 0)</f>
        <v>16.087599999999998</v>
      </c>
      <c r="G26" s="14">
        <f>15.4359 * CHOOSE(CONTROL!$C$15, $E$9, 100%, $G$9) + CHOOSE(CONTROL!$C$38, 0.0342, 0)</f>
        <v>15.4701</v>
      </c>
      <c r="H26" s="14">
        <f>15.4359 * CHOOSE(CONTROL!$C$15, $E$9, 100%, $G$9) + CHOOSE(CONTROL!$C$38, 0.0342, 0)</f>
        <v>15.4701</v>
      </c>
      <c r="I26" s="14">
        <f>15.4375 * CHOOSE(CONTROL!$C$15, $E$9, 100%, $G$9) + CHOOSE(CONTROL!$C$38, 0.0342, 0)</f>
        <v>15.4717</v>
      </c>
      <c r="J26" s="44">
        <f>93.16</f>
        <v>93.16</v>
      </c>
    </row>
    <row r="27" spans="1:10" ht="15" x14ac:dyDescent="0.2">
      <c r="A27" s="13">
        <v>41730</v>
      </c>
      <c r="B27" s="14">
        <f>16.0521 * CHOOSE(CONTROL!$C$15, $E$9, 100%, $G$9) + CHOOSE(CONTROL!$C$38, 0.0251, 0)</f>
        <v>16.077199999999998</v>
      </c>
      <c r="C27" s="14">
        <f>15.1667 * CHOOSE(CONTROL!$C$15, $E$9, 100%, $G$9) + CHOOSE(CONTROL!$C$38, 0.0342, 0)</f>
        <v>15.200900000000001</v>
      </c>
      <c r="D27" s="14">
        <f>15.1589 * CHOOSE(CONTROL!$C$15, $E$9, 100%, $G$9) + CHOOSE(CONTROL!$C$38, 0.0342, 0)</f>
        <v>15.193099999999999</v>
      </c>
      <c r="E27" s="46">
        <f>15.8958 * CHOOSE(CONTROL!$C$15, $E$9, 100%, $G$9) + CHOOSE(CONTROL!$C$38, 0.0342, 0)</f>
        <v>15.93</v>
      </c>
      <c r="F27" s="45">
        <f>15.8958 * CHOOSE(CONTROL!$C$15, $E$9, 100%, $G$9) + CHOOSE(CONTROL!$C$38, 0.0251, 0)</f>
        <v>15.9209</v>
      </c>
      <c r="G27" s="14">
        <f>15.1651 * CHOOSE(CONTROL!$C$15, $E$9, 100%, $G$9) + CHOOSE(CONTROL!$C$38, 0.0342, 0)</f>
        <v>15.199300000000001</v>
      </c>
      <c r="H27" s="14">
        <f>15.1651 * CHOOSE(CONTROL!$C$15, $E$9, 100%, $G$9) + CHOOSE(CONTROL!$C$38, 0.0342, 0)</f>
        <v>15.199300000000001</v>
      </c>
      <c r="I27" s="14">
        <f>15.1667 * CHOOSE(CONTROL!$C$15, $E$9, 100%, $G$9) + CHOOSE(CONTROL!$C$38, 0.0342, 0)</f>
        <v>15.200900000000001</v>
      </c>
      <c r="J27" s="44">
        <f>92.7</f>
        <v>92.7</v>
      </c>
    </row>
    <row r="28" spans="1:10" ht="15" x14ac:dyDescent="0.2">
      <c r="A28" s="13">
        <v>41760</v>
      </c>
      <c r="B28" s="14">
        <f>16.0521 * CHOOSE(CONTROL!$C$15, $E$9, 100%, $G$9) + CHOOSE(CONTROL!$C$38, 0.0264, 0)</f>
        <v>16.078499999999998</v>
      </c>
      <c r="C28" s="14">
        <f>15.1667 * CHOOSE(CONTROL!$C$15, $E$9, 100%, $G$9) + CHOOSE(CONTROL!$C$38, 0.0354, 0)</f>
        <v>15.2021</v>
      </c>
      <c r="D28" s="14">
        <f>15.1589 * CHOOSE(CONTROL!$C$15, $E$9, 100%, $G$9) + CHOOSE(CONTROL!$C$38, 0.0354, 0)</f>
        <v>15.194299999999998</v>
      </c>
      <c r="E28" s="46">
        <f>15.8958 * CHOOSE(CONTROL!$C$15, $E$9, 100%, $G$9) + CHOOSE(CONTROL!$C$38, 0.0354, 0)</f>
        <v>15.931199999999999</v>
      </c>
      <c r="F28" s="45">
        <f>15.8958 * CHOOSE(CONTROL!$C$15, $E$9, 100%, $G$9) + CHOOSE(CONTROL!$C$38, 0.0264, 0)</f>
        <v>15.9222</v>
      </c>
      <c r="G28" s="14">
        <f>15.1651 * CHOOSE(CONTROL!$C$15, $E$9, 100%, $G$9) + CHOOSE(CONTROL!$C$38, 0.0354, 0)</f>
        <v>15.2005</v>
      </c>
      <c r="H28" s="14">
        <f>15.1651 * CHOOSE(CONTROL!$C$15, $E$9, 100%, $G$9) + CHOOSE(CONTROL!$C$38, 0.0354, 0)</f>
        <v>15.2005</v>
      </c>
      <c r="I28" s="14">
        <f>15.1667 * CHOOSE(CONTROL!$C$15, $E$9, 100%, $G$9) + CHOOSE(CONTROL!$C$38, 0.0354, 0)</f>
        <v>15.2021</v>
      </c>
      <c r="J28" s="44">
        <f>92.3</f>
        <v>92.3</v>
      </c>
    </row>
    <row r="29" spans="1:10" ht="15" x14ac:dyDescent="0.2">
      <c r="A29" s="13">
        <v>41791</v>
      </c>
      <c r="B29" s="14">
        <f>16.0521 * CHOOSE(CONTROL!$C$15, $E$9, 100%, $G$9) + CHOOSE(CONTROL!$C$38, 0.0264, 0)</f>
        <v>16.078499999999998</v>
      </c>
      <c r="C29" s="14">
        <f>15.1667 * CHOOSE(CONTROL!$C$15, $E$9, 100%, $G$9) + CHOOSE(CONTROL!$C$38, 0.0354, 0)</f>
        <v>15.2021</v>
      </c>
      <c r="D29" s="14">
        <f>15.1589 * CHOOSE(CONTROL!$C$15, $E$9, 100%, $G$9) + CHOOSE(CONTROL!$C$38, 0.0354, 0)</f>
        <v>15.194299999999998</v>
      </c>
      <c r="E29" s="46">
        <f>15.8958 * CHOOSE(CONTROL!$C$15, $E$9, 100%, $G$9) + CHOOSE(CONTROL!$C$38, 0.0354, 0)</f>
        <v>15.931199999999999</v>
      </c>
      <c r="F29" s="45">
        <f>15.8958 * CHOOSE(CONTROL!$C$15, $E$9, 100%, $G$9) + CHOOSE(CONTROL!$C$38, 0.0264, 0)</f>
        <v>15.9222</v>
      </c>
      <c r="G29" s="14">
        <f>15.1651 * CHOOSE(CONTROL!$C$15, $E$9, 100%, $G$9) + CHOOSE(CONTROL!$C$38, 0.0354, 0)</f>
        <v>15.2005</v>
      </c>
      <c r="H29" s="14">
        <f>15.1651 * CHOOSE(CONTROL!$C$15, $E$9, 100%, $G$9) + CHOOSE(CONTROL!$C$38, 0.0354, 0)</f>
        <v>15.2005</v>
      </c>
      <c r="I29" s="14">
        <f>15.1667 * CHOOSE(CONTROL!$C$15, $E$9, 100%, $G$9) + CHOOSE(CONTROL!$C$38, 0.0354, 0)</f>
        <v>15.2021</v>
      </c>
      <c r="J29" s="44">
        <f>91.96</f>
        <v>91.96</v>
      </c>
    </row>
    <row r="30" spans="1:10" ht="15" x14ac:dyDescent="0.2">
      <c r="A30" s="13">
        <v>41821</v>
      </c>
      <c r="B30" s="14">
        <f>16.0521 * CHOOSE(CONTROL!$C$15, $E$9, 100%, $G$9) + CHOOSE(CONTROL!$C$38, 0.0264, 0)</f>
        <v>16.078499999999998</v>
      </c>
      <c r="C30" s="14">
        <f>15.1667 * CHOOSE(CONTROL!$C$15, $E$9, 100%, $G$9) + CHOOSE(CONTROL!$C$38, 0.0354, 0)</f>
        <v>15.2021</v>
      </c>
      <c r="D30" s="14">
        <f>15.1589 * CHOOSE(CONTROL!$C$15, $E$9, 100%, $G$9) + CHOOSE(CONTROL!$C$38, 0.0354, 0)</f>
        <v>15.194299999999998</v>
      </c>
      <c r="E30" s="46">
        <f>15.8958 * CHOOSE(CONTROL!$C$15, $E$9, 100%, $G$9) + CHOOSE(CONTROL!$C$38, 0.0354, 0)</f>
        <v>15.931199999999999</v>
      </c>
      <c r="F30" s="45">
        <f>15.8958 * CHOOSE(CONTROL!$C$15, $E$9, 100%, $G$9) + CHOOSE(CONTROL!$C$38, 0.0264, 0)</f>
        <v>15.9222</v>
      </c>
      <c r="G30" s="14">
        <f>15.1651 * CHOOSE(CONTROL!$C$15, $E$9, 100%, $G$9) + CHOOSE(CONTROL!$C$38, 0.0354, 0)</f>
        <v>15.2005</v>
      </c>
      <c r="H30" s="14">
        <f>15.1651 * CHOOSE(CONTROL!$C$15, $E$9, 100%, $G$9) + CHOOSE(CONTROL!$C$38, 0.0354, 0)</f>
        <v>15.2005</v>
      </c>
      <c r="I30" s="14">
        <f>15.1667 * CHOOSE(CONTROL!$C$15, $E$9, 100%, $G$9) + CHOOSE(CONTROL!$C$38, 0.0354, 0)</f>
        <v>15.2021</v>
      </c>
      <c r="J30" s="44">
        <f>91.57</f>
        <v>91.57</v>
      </c>
    </row>
    <row r="31" spans="1:10" ht="15" x14ac:dyDescent="0.2">
      <c r="A31" s="13">
        <v>41852</v>
      </c>
      <c r="B31" s="14">
        <f>16.0521 * CHOOSE(CONTROL!$C$15, $E$9, 100%, $G$9) + CHOOSE(CONTROL!$C$38, 0.0264, 0)</f>
        <v>16.078499999999998</v>
      </c>
      <c r="C31" s="14">
        <f>15.1667 * CHOOSE(CONTROL!$C$15, $E$9, 100%, $G$9) + CHOOSE(CONTROL!$C$38, 0.0354, 0)</f>
        <v>15.2021</v>
      </c>
      <c r="D31" s="14">
        <f>15.1589 * CHOOSE(CONTROL!$C$15, $E$9, 100%, $G$9) + CHOOSE(CONTROL!$C$38, 0.0354, 0)</f>
        <v>15.194299999999998</v>
      </c>
      <c r="E31" s="46">
        <f>15.8958 * CHOOSE(CONTROL!$C$15, $E$9, 100%, $G$9) + CHOOSE(CONTROL!$C$38, 0.0354, 0)</f>
        <v>15.931199999999999</v>
      </c>
      <c r="F31" s="45">
        <f>15.8958 * CHOOSE(CONTROL!$C$15, $E$9, 100%, $G$9) + CHOOSE(CONTROL!$C$38, 0.0264, 0)</f>
        <v>15.9222</v>
      </c>
      <c r="G31" s="14">
        <f>15.1651 * CHOOSE(CONTROL!$C$15, $E$9, 100%, $G$9) + CHOOSE(CONTROL!$C$38, 0.0354, 0)</f>
        <v>15.2005</v>
      </c>
      <c r="H31" s="14">
        <f>15.1651 * CHOOSE(CONTROL!$C$15, $E$9, 100%, $G$9) + CHOOSE(CONTROL!$C$38, 0.0354, 0)</f>
        <v>15.2005</v>
      </c>
      <c r="I31" s="14">
        <f>15.1667 * CHOOSE(CONTROL!$C$15, $E$9, 100%, $G$9) + CHOOSE(CONTROL!$C$38, 0.0354, 0)</f>
        <v>15.2021</v>
      </c>
      <c r="J31" s="44">
        <f>91.2</f>
        <v>91.2</v>
      </c>
    </row>
    <row r="32" spans="1:10" ht="15" x14ac:dyDescent="0.2">
      <c r="A32" s="13">
        <v>41883</v>
      </c>
      <c r="B32" s="14">
        <f>16.0521 * CHOOSE(CONTROL!$C$15, $E$9, 100%, $G$9) + CHOOSE(CONTROL!$C$38, 0.0264, 0)</f>
        <v>16.078499999999998</v>
      </c>
      <c r="C32" s="14">
        <f>15.1667 * CHOOSE(CONTROL!$C$15, $E$9, 100%, $G$9) + CHOOSE(CONTROL!$C$38, 0.0354, 0)</f>
        <v>15.2021</v>
      </c>
      <c r="D32" s="14">
        <f>15.1589 * CHOOSE(CONTROL!$C$15, $E$9, 100%, $G$9) + CHOOSE(CONTROL!$C$38, 0.0354, 0)</f>
        <v>15.194299999999998</v>
      </c>
      <c r="E32" s="46">
        <f>15.8958 * CHOOSE(CONTROL!$C$15, $E$9, 100%, $G$9) + CHOOSE(CONTROL!$C$38, 0.0354, 0)</f>
        <v>15.931199999999999</v>
      </c>
      <c r="F32" s="45">
        <f>15.8958 * CHOOSE(CONTROL!$C$15, $E$9, 100%, $G$9) + CHOOSE(CONTROL!$C$38, 0.0264, 0)</f>
        <v>15.9222</v>
      </c>
      <c r="G32" s="14">
        <f>15.1651 * CHOOSE(CONTROL!$C$15, $E$9, 100%, $G$9) + CHOOSE(CONTROL!$C$38, 0.0354, 0)</f>
        <v>15.2005</v>
      </c>
      <c r="H32" s="14">
        <f>15.1651 * CHOOSE(CONTROL!$C$15, $E$9, 100%, $G$9) + CHOOSE(CONTROL!$C$38, 0.0354, 0)</f>
        <v>15.2005</v>
      </c>
      <c r="I32" s="14">
        <f>15.1667 * CHOOSE(CONTROL!$C$15, $E$9, 100%, $G$9) + CHOOSE(CONTROL!$C$38, 0.0354, 0)</f>
        <v>15.2021</v>
      </c>
      <c r="J32" s="44">
        <f>90.84</f>
        <v>90.84</v>
      </c>
    </row>
    <row r="33" spans="1:10" ht="15" x14ac:dyDescent="0.2">
      <c r="A33" s="13">
        <v>41913</v>
      </c>
      <c r="B33" s="14">
        <f>16.0521 * CHOOSE(CONTROL!$C$15, $E$9, 100%, $G$9) + CHOOSE(CONTROL!$C$38, 0.0251, 0)</f>
        <v>16.077199999999998</v>
      </c>
      <c r="C33" s="14">
        <f>15.1667 * CHOOSE(CONTROL!$C$15, $E$9, 100%, $G$9) + CHOOSE(CONTROL!$C$38, 0.0342, 0)</f>
        <v>15.200900000000001</v>
      </c>
      <c r="D33" s="14">
        <f>15.1589 * CHOOSE(CONTROL!$C$15, $E$9, 100%, $G$9) + CHOOSE(CONTROL!$C$38, 0.0342, 0)</f>
        <v>15.193099999999999</v>
      </c>
      <c r="E33" s="46">
        <f>15.8958 * CHOOSE(CONTROL!$C$15, $E$9, 100%, $G$9) + CHOOSE(CONTROL!$C$38, 0.0342, 0)</f>
        <v>15.93</v>
      </c>
      <c r="F33" s="45">
        <f>15.8958 * CHOOSE(CONTROL!$C$15, $E$9, 100%, $G$9) + CHOOSE(CONTROL!$C$38, 0.0251, 0)</f>
        <v>15.9209</v>
      </c>
      <c r="G33" s="14">
        <f>15.1651 * CHOOSE(CONTROL!$C$15, $E$9, 100%, $G$9) + CHOOSE(CONTROL!$C$38, 0.0342, 0)</f>
        <v>15.199300000000001</v>
      </c>
      <c r="H33" s="14">
        <f>15.1651 * CHOOSE(CONTROL!$C$15, $E$9, 100%, $G$9) + CHOOSE(CONTROL!$C$38, 0.0342, 0)</f>
        <v>15.199300000000001</v>
      </c>
      <c r="I33" s="14">
        <f>15.1667 * CHOOSE(CONTROL!$C$15, $E$9, 100%, $G$9) + CHOOSE(CONTROL!$C$38, 0.0342, 0)</f>
        <v>15.200900000000001</v>
      </c>
      <c r="J33" s="44">
        <f>90.51</f>
        <v>90.51</v>
      </c>
    </row>
    <row r="34" spans="1:10" ht="15" x14ac:dyDescent="0.2">
      <c r="A34" s="13">
        <v>41944</v>
      </c>
      <c r="B34" s="14">
        <f>16.0521 * CHOOSE(CONTROL!$C$15, $E$9, 100%, $G$9) + CHOOSE(CONTROL!$C$38, 0.0251, 0)</f>
        <v>16.077199999999998</v>
      </c>
      <c r="C34" s="14">
        <f>15.1667 * CHOOSE(CONTROL!$C$15, $E$9, 100%, $G$9) + CHOOSE(CONTROL!$C$38, 0.0342, 0)</f>
        <v>15.200900000000001</v>
      </c>
      <c r="D34" s="14">
        <f>15.1589 * CHOOSE(CONTROL!$C$15, $E$9, 100%, $G$9) + CHOOSE(CONTROL!$C$38, 0.0342, 0)</f>
        <v>15.193099999999999</v>
      </c>
      <c r="E34" s="46">
        <f>15.8958 * CHOOSE(CONTROL!$C$15, $E$9, 100%, $G$9) + CHOOSE(CONTROL!$C$38, 0.0342, 0)</f>
        <v>15.93</v>
      </c>
      <c r="F34" s="45">
        <f>15.8958 * CHOOSE(CONTROL!$C$15, $E$9, 100%, $G$9) + CHOOSE(CONTROL!$C$38, 0.0251, 0)</f>
        <v>15.9209</v>
      </c>
      <c r="G34" s="14">
        <f>15.1651 * CHOOSE(CONTROL!$C$15, $E$9, 100%, $G$9) + CHOOSE(CONTROL!$C$38, 0.0342, 0)</f>
        <v>15.199300000000001</v>
      </c>
      <c r="H34" s="14">
        <f>15.1651 * CHOOSE(CONTROL!$C$15, $E$9, 100%, $G$9) + CHOOSE(CONTROL!$C$38, 0.0342, 0)</f>
        <v>15.199300000000001</v>
      </c>
      <c r="I34" s="14">
        <f>15.1667 * CHOOSE(CONTROL!$C$15, $E$9, 100%, $G$9) + CHOOSE(CONTROL!$C$38, 0.0342, 0)</f>
        <v>15.200900000000001</v>
      </c>
      <c r="J34" s="44">
        <f>90.22</f>
        <v>90.22</v>
      </c>
    </row>
    <row r="35" spans="1:10" ht="15" x14ac:dyDescent="0.2">
      <c r="A35" s="13">
        <v>41974</v>
      </c>
      <c r="B35" s="14">
        <f>16.0521 * CHOOSE(CONTROL!$C$15, $E$9, 100%, $G$9) + CHOOSE(CONTROL!$C$38, 0.0251, 0)</f>
        <v>16.077199999999998</v>
      </c>
      <c r="C35" s="14">
        <f>15.1667 * CHOOSE(CONTROL!$C$15, $E$9, 100%, $G$9) + CHOOSE(CONTROL!$C$38, 0.0342, 0)</f>
        <v>15.200900000000001</v>
      </c>
      <c r="D35" s="14">
        <f>15.1589 * CHOOSE(CONTROL!$C$15, $E$9, 100%, $G$9) + CHOOSE(CONTROL!$C$38, 0.0342, 0)</f>
        <v>15.193099999999999</v>
      </c>
      <c r="E35" s="46">
        <f>15.8958 * CHOOSE(CONTROL!$C$15, $E$9, 100%, $G$9) + CHOOSE(CONTROL!$C$38, 0.0342, 0)</f>
        <v>15.93</v>
      </c>
      <c r="F35" s="45">
        <f>15.8958 * CHOOSE(CONTROL!$C$15, $E$9, 100%, $G$9) + CHOOSE(CONTROL!$C$38, 0.0251, 0)</f>
        <v>15.9209</v>
      </c>
      <c r="G35" s="14">
        <f>15.1651 * CHOOSE(CONTROL!$C$15, $E$9, 100%, $G$9) + CHOOSE(CONTROL!$C$38, 0.0342, 0)</f>
        <v>15.199300000000001</v>
      </c>
      <c r="H35" s="14">
        <f>15.1651 * CHOOSE(CONTROL!$C$15, $E$9, 100%, $G$9) + CHOOSE(CONTROL!$C$38, 0.0342, 0)</f>
        <v>15.199300000000001</v>
      </c>
      <c r="I35" s="14">
        <f>15.1667 * CHOOSE(CONTROL!$C$15, $E$9, 100%, $G$9) + CHOOSE(CONTROL!$C$38, 0.0342, 0)</f>
        <v>15.200900000000001</v>
      </c>
      <c r="J35" s="44">
        <f>89.98</f>
        <v>89.98</v>
      </c>
    </row>
    <row r="36" spans="1:10" ht="15" x14ac:dyDescent="0.2">
      <c r="A36" s="13">
        <v>42005</v>
      </c>
      <c r="B36" s="14">
        <f>15.5158 * CHOOSE(CONTROL!$C$15, $E$9, 100%, $G$9) + CHOOSE(CONTROL!$C$38, 0.0251, 0)</f>
        <v>15.540900000000001</v>
      </c>
      <c r="C36" s="14">
        <f>14.7266 * CHOOSE(CONTROL!$C$15, $E$9, 100%, $G$9) + CHOOSE(CONTROL!$C$38, 0.0342, 0)</f>
        <v>14.7608</v>
      </c>
      <c r="D36" s="14">
        <f>14.7187 * CHOOSE(CONTROL!$C$15, $E$9, 100%, $G$9) + CHOOSE(CONTROL!$C$38, 0.0342, 0)</f>
        <v>14.7529</v>
      </c>
      <c r="E36" s="46">
        <f>15.3595 * CHOOSE(CONTROL!$C$15, $E$9, 100%, $G$9) + CHOOSE(CONTROL!$C$38, 0.0342, 0)</f>
        <v>15.393700000000001</v>
      </c>
      <c r="F36" s="45">
        <f>15.3595 * CHOOSE(CONTROL!$C$15, $E$9, 100%, $G$9) + CHOOSE(CONTROL!$C$38, 0.0251, 0)</f>
        <v>15.384600000000001</v>
      </c>
      <c r="G36" s="14">
        <f>14.725 * CHOOSE(CONTROL!$C$15, $E$9, 100%, $G$9) + CHOOSE(CONTROL!$C$38, 0.0342, 0)</f>
        <v>14.7592</v>
      </c>
      <c r="H36" s="14">
        <f>14.725 * CHOOSE(CONTROL!$C$15, $E$9, 100%, $G$9) + CHOOSE(CONTROL!$C$38, 0.0342, 0)</f>
        <v>14.7592</v>
      </c>
      <c r="I36" s="14">
        <f>14.7266 * CHOOSE(CONTROL!$C$15, $E$9, 100%, $G$9) + CHOOSE(CONTROL!$C$38, 0.0342, 0)</f>
        <v>14.7608</v>
      </c>
      <c r="J36" s="44">
        <f>89.62</f>
        <v>89.62</v>
      </c>
    </row>
    <row r="37" spans="1:10" ht="15" x14ac:dyDescent="0.2">
      <c r="A37" s="13">
        <v>42036</v>
      </c>
      <c r="B37" s="14">
        <f>15.5158 * CHOOSE(CONTROL!$C$15, $E$9, 100%, $G$9) + CHOOSE(CONTROL!$C$38, 0.0251, 0)</f>
        <v>15.540900000000001</v>
      </c>
      <c r="C37" s="14">
        <f>14.7266 * CHOOSE(CONTROL!$C$15, $E$9, 100%, $G$9) + CHOOSE(CONTROL!$C$38, 0.0342, 0)</f>
        <v>14.7608</v>
      </c>
      <c r="D37" s="14">
        <f>14.7187 * CHOOSE(CONTROL!$C$15, $E$9, 100%, $G$9) + CHOOSE(CONTROL!$C$38, 0.0342, 0)</f>
        <v>14.7529</v>
      </c>
      <c r="E37" s="46">
        <f>15.3595 * CHOOSE(CONTROL!$C$15, $E$9, 100%, $G$9) + CHOOSE(CONTROL!$C$38, 0.0342, 0)</f>
        <v>15.393700000000001</v>
      </c>
      <c r="F37" s="45">
        <f>15.3595 * CHOOSE(CONTROL!$C$15, $E$9, 100%, $G$9) + CHOOSE(CONTROL!$C$38, 0.0251, 0)</f>
        <v>15.384600000000001</v>
      </c>
      <c r="G37" s="14">
        <f>14.725 * CHOOSE(CONTROL!$C$15, $E$9, 100%, $G$9) + CHOOSE(CONTROL!$C$38, 0.0342, 0)</f>
        <v>14.7592</v>
      </c>
      <c r="H37" s="14">
        <f>14.725 * CHOOSE(CONTROL!$C$15, $E$9, 100%, $G$9) + CHOOSE(CONTROL!$C$38, 0.0342, 0)</f>
        <v>14.7592</v>
      </c>
      <c r="I37" s="14">
        <f>14.7266 * CHOOSE(CONTROL!$C$15, $E$9, 100%, $G$9) + CHOOSE(CONTROL!$C$38, 0.0342, 0)</f>
        <v>14.7608</v>
      </c>
      <c r="J37" s="44">
        <f>89.29</f>
        <v>89.29</v>
      </c>
    </row>
    <row r="38" spans="1:10" ht="15" x14ac:dyDescent="0.2">
      <c r="A38" s="13">
        <v>42064</v>
      </c>
      <c r="B38" s="14">
        <f>15.5158 * CHOOSE(CONTROL!$C$15, $E$9, 100%, $G$9) + CHOOSE(CONTROL!$C$38, 0.0251, 0)</f>
        <v>15.540900000000001</v>
      </c>
      <c r="C38" s="14">
        <f>14.7266 * CHOOSE(CONTROL!$C$15, $E$9, 100%, $G$9) + CHOOSE(CONTROL!$C$38, 0.0342, 0)</f>
        <v>14.7608</v>
      </c>
      <c r="D38" s="14">
        <f>14.7187 * CHOOSE(CONTROL!$C$15, $E$9, 100%, $G$9) + CHOOSE(CONTROL!$C$38, 0.0342, 0)</f>
        <v>14.7529</v>
      </c>
      <c r="E38" s="46">
        <f>15.3595 * CHOOSE(CONTROL!$C$15, $E$9, 100%, $G$9) + CHOOSE(CONTROL!$C$38, 0.0342, 0)</f>
        <v>15.393700000000001</v>
      </c>
      <c r="F38" s="45">
        <f>15.3595 * CHOOSE(CONTROL!$C$15, $E$9, 100%, $G$9) + CHOOSE(CONTROL!$C$38, 0.0251, 0)</f>
        <v>15.384600000000001</v>
      </c>
      <c r="G38" s="14">
        <f>14.725 * CHOOSE(CONTROL!$C$15, $E$9, 100%, $G$9) + CHOOSE(CONTROL!$C$38, 0.0342, 0)</f>
        <v>14.7592</v>
      </c>
      <c r="H38" s="14">
        <f>14.725 * CHOOSE(CONTROL!$C$15, $E$9, 100%, $G$9) + CHOOSE(CONTROL!$C$38, 0.0342, 0)</f>
        <v>14.7592</v>
      </c>
      <c r="I38" s="14">
        <f>14.7266 * CHOOSE(CONTROL!$C$15, $E$9, 100%, $G$9) + CHOOSE(CONTROL!$C$38, 0.0342, 0)</f>
        <v>14.7608</v>
      </c>
      <c r="J38" s="44">
        <f>88.97</f>
        <v>88.97</v>
      </c>
    </row>
    <row r="39" spans="1:10" ht="15" x14ac:dyDescent="0.2">
      <c r="A39" s="13">
        <v>42095</v>
      </c>
      <c r="B39" s="14">
        <f>15.5158 * CHOOSE(CONTROL!$C$15, $E$9, 100%, $G$9) + CHOOSE(CONTROL!$C$38, 0.0251, 0)</f>
        <v>15.540900000000001</v>
      </c>
      <c r="C39" s="14">
        <f>14.7266 * CHOOSE(CONTROL!$C$15, $E$9, 100%, $G$9) + CHOOSE(CONTROL!$C$38, 0.0342, 0)</f>
        <v>14.7608</v>
      </c>
      <c r="D39" s="14">
        <f>14.7187 * CHOOSE(CONTROL!$C$15, $E$9, 100%, $G$9) + CHOOSE(CONTROL!$C$38, 0.0342, 0)</f>
        <v>14.7529</v>
      </c>
      <c r="E39" s="46">
        <f>15.3595 * CHOOSE(CONTROL!$C$15, $E$9, 100%, $G$9) + CHOOSE(CONTROL!$C$38, 0.0342, 0)</f>
        <v>15.393700000000001</v>
      </c>
      <c r="F39" s="45">
        <f>15.3595 * CHOOSE(CONTROL!$C$15, $E$9, 100%, $G$9) + CHOOSE(CONTROL!$C$38, 0.0251, 0)</f>
        <v>15.384600000000001</v>
      </c>
      <c r="G39" s="14">
        <f>14.725 * CHOOSE(CONTROL!$C$15, $E$9, 100%, $G$9) + CHOOSE(CONTROL!$C$38, 0.0342, 0)</f>
        <v>14.7592</v>
      </c>
      <c r="H39" s="14">
        <f>14.725 * CHOOSE(CONTROL!$C$15, $E$9, 100%, $G$9) + CHOOSE(CONTROL!$C$38, 0.0342, 0)</f>
        <v>14.7592</v>
      </c>
      <c r="I39" s="14">
        <f>14.7266 * CHOOSE(CONTROL!$C$15, $E$9, 100%, $G$9) + CHOOSE(CONTROL!$C$38, 0.0342, 0)</f>
        <v>14.7608</v>
      </c>
      <c r="J39" s="44">
        <f>88.68</f>
        <v>88.68</v>
      </c>
    </row>
    <row r="40" spans="1:10" ht="15" x14ac:dyDescent="0.2">
      <c r="A40" s="13">
        <v>42125</v>
      </c>
      <c r="B40" s="14">
        <f>15.5158 * CHOOSE(CONTROL!$C$15, $E$9, 100%, $G$9) + CHOOSE(CONTROL!$C$38, 0.0264, 0)</f>
        <v>15.542200000000001</v>
      </c>
      <c r="C40" s="14">
        <f>14.7266 * CHOOSE(CONTROL!$C$15, $E$9, 100%, $G$9) + CHOOSE(CONTROL!$C$38, 0.0354, 0)</f>
        <v>14.761999999999999</v>
      </c>
      <c r="D40" s="14">
        <f>14.7187 * CHOOSE(CONTROL!$C$15, $E$9, 100%, $G$9) + CHOOSE(CONTROL!$C$38, 0.0354, 0)</f>
        <v>14.754099999999999</v>
      </c>
      <c r="E40" s="46">
        <f>15.3595 * CHOOSE(CONTROL!$C$15, $E$9, 100%, $G$9) + CHOOSE(CONTROL!$C$38, 0.0354, 0)</f>
        <v>15.3949</v>
      </c>
      <c r="F40" s="45">
        <f>15.3595 * CHOOSE(CONTROL!$C$15, $E$9, 100%, $G$9) + CHOOSE(CONTROL!$C$38, 0.0264, 0)</f>
        <v>15.385900000000001</v>
      </c>
      <c r="G40" s="14">
        <f>14.725 * CHOOSE(CONTROL!$C$15, $E$9, 100%, $G$9) + CHOOSE(CONTROL!$C$38, 0.0354, 0)</f>
        <v>14.760399999999999</v>
      </c>
      <c r="H40" s="14">
        <f>14.725 * CHOOSE(CONTROL!$C$15, $E$9, 100%, $G$9) + CHOOSE(CONTROL!$C$38, 0.0354, 0)</f>
        <v>14.760399999999999</v>
      </c>
      <c r="I40" s="14">
        <f>14.7266 * CHOOSE(CONTROL!$C$15, $E$9, 100%, $G$9) + CHOOSE(CONTROL!$C$38, 0.0354, 0)</f>
        <v>14.761999999999999</v>
      </c>
      <c r="J40" s="44">
        <f>88.42</f>
        <v>88.42</v>
      </c>
    </row>
    <row r="41" spans="1:10" ht="15" x14ac:dyDescent="0.2">
      <c r="A41" s="13">
        <v>42156</v>
      </c>
      <c r="B41" s="14">
        <f>15.5158 * CHOOSE(CONTROL!$C$15, $E$9, 100%, $G$9) + CHOOSE(CONTROL!$C$38, 0.0264, 0)</f>
        <v>15.542200000000001</v>
      </c>
      <c r="C41" s="14">
        <f>14.7266 * CHOOSE(CONTROL!$C$15, $E$9, 100%, $G$9) + CHOOSE(CONTROL!$C$38, 0.0354, 0)</f>
        <v>14.761999999999999</v>
      </c>
      <c r="D41" s="14">
        <f>14.7187 * CHOOSE(CONTROL!$C$15, $E$9, 100%, $G$9) + CHOOSE(CONTROL!$C$38, 0.0354, 0)</f>
        <v>14.754099999999999</v>
      </c>
      <c r="E41" s="46">
        <f>15.3595 * CHOOSE(CONTROL!$C$15, $E$9, 100%, $G$9) + CHOOSE(CONTROL!$C$38, 0.0354, 0)</f>
        <v>15.3949</v>
      </c>
      <c r="F41" s="45">
        <f>15.3595 * CHOOSE(CONTROL!$C$15, $E$9, 100%, $G$9) + CHOOSE(CONTROL!$C$38, 0.0264, 0)</f>
        <v>15.385900000000001</v>
      </c>
      <c r="G41" s="14">
        <f>14.725 * CHOOSE(CONTROL!$C$15, $E$9, 100%, $G$9) + CHOOSE(CONTROL!$C$38, 0.0354, 0)</f>
        <v>14.760399999999999</v>
      </c>
      <c r="H41" s="14">
        <f>14.725 * CHOOSE(CONTROL!$C$15, $E$9, 100%, $G$9) + CHOOSE(CONTROL!$C$38, 0.0354, 0)</f>
        <v>14.760399999999999</v>
      </c>
      <c r="I41" s="14">
        <f>14.7266 * CHOOSE(CONTROL!$C$15, $E$9, 100%, $G$9) + CHOOSE(CONTROL!$C$38, 0.0354, 0)</f>
        <v>14.761999999999999</v>
      </c>
      <c r="J41" s="44">
        <f>88.19</f>
        <v>88.19</v>
      </c>
    </row>
    <row r="42" spans="1:10" ht="15" x14ac:dyDescent="0.2">
      <c r="A42" s="13">
        <v>42186</v>
      </c>
      <c r="B42" s="14">
        <f>15.5158 * CHOOSE(CONTROL!$C$15, $E$9, 100%, $G$9) + CHOOSE(CONTROL!$C$38, 0.0264, 0)</f>
        <v>15.542200000000001</v>
      </c>
      <c r="C42" s="14">
        <f>14.7266 * CHOOSE(CONTROL!$C$15, $E$9, 100%, $G$9) + CHOOSE(CONTROL!$C$38, 0.0354, 0)</f>
        <v>14.761999999999999</v>
      </c>
      <c r="D42" s="14">
        <f>14.7187 * CHOOSE(CONTROL!$C$15, $E$9, 100%, $G$9) + CHOOSE(CONTROL!$C$38, 0.0354, 0)</f>
        <v>14.754099999999999</v>
      </c>
      <c r="E42" s="46">
        <f>15.3595 * CHOOSE(CONTROL!$C$15, $E$9, 100%, $G$9) + CHOOSE(CONTROL!$C$38, 0.0354, 0)</f>
        <v>15.3949</v>
      </c>
      <c r="F42" s="45">
        <f>15.3595 * CHOOSE(CONTROL!$C$15, $E$9, 100%, $G$9) + CHOOSE(CONTROL!$C$38, 0.0264, 0)</f>
        <v>15.385900000000001</v>
      </c>
      <c r="G42" s="14">
        <f>14.725 * CHOOSE(CONTROL!$C$15, $E$9, 100%, $G$9) + CHOOSE(CONTROL!$C$38, 0.0354, 0)</f>
        <v>14.760399999999999</v>
      </c>
      <c r="H42" s="14">
        <f>14.725 * CHOOSE(CONTROL!$C$15, $E$9, 100%, $G$9) + CHOOSE(CONTROL!$C$38, 0.0354, 0)</f>
        <v>14.760399999999999</v>
      </c>
      <c r="I42" s="14">
        <f>14.7266 * CHOOSE(CONTROL!$C$15, $E$9, 100%, $G$9) + CHOOSE(CONTROL!$C$38, 0.0354, 0)</f>
        <v>14.761999999999999</v>
      </c>
      <c r="J42" s="44">
        <f>87.92</f>
        <v>87.92</v>
      </c>
    </row>
    <row r="43" spans="1:10" ht="15" x14ac:dyDescent="0.2">
      <c r="A43" s="13">
        <v>42217</v>
      </c>
      <c r="B43" s="14">
        <f>15.5158 * CHOOSE(CONTROL!$C$15, $E$9, 100%, $G$9) + CHOOSE(CONTROL!$C$38, 0.0264, 0)</f>
        <v>15.542200000000001</v>
      </c>
      <c r="C43" s="14">
        <f>14.7266 * CHOOSE(CONTROL!$C$15, $E$9, 100%, $G$9) + CHOOSE(CONTROL!$C$38, 0.0354, 0)</f>
        <v>14.761999999999999</v>
      </c>
      <c r="D43" s="14">
        <f>14.7187 * CHOOSE(CONTROL!$C$15, $E$9, 100%, $G$9) + CHOOSE(CONTROL!$C$38, 0.0354, 0)</f>
        <v>14.754099999999999</v>
      </c>
      <c r="E43" s="46">
        <f>15.3595 * CHOOSE(CONTROL!$C$15, $E$9, 100%, $G$9) + CHOOSE(CONTROL!$C$38, 0.0354, 0)</f>
        <v>15.3949</v>
      </c>
      <c r="F43" s="45">
        <f>15.3595 * CHOOSE(CONTROL!$C$15, $E$9, 100%, $G$9) + CHOOSE(CONTROL!$C$38, 0.0264, 0)</f>
        <v>15.385900000000001</v>
      </c>
      <c r="G43" s="14">
        <f>14.725 * CHOOSE(CONTROL!$C$15, $E$9, 100%, $G$9) + CHOOSE(CONTROL!$C$38, 0.0354, 0)</f>
        <v>14.760399999999999</v>
      </c>
      <c r="H43" s="14">
        <f>14.725 * CHOOSE(CONTROL!$C$15, $E$9, 100%, $G$9) + CHOOSE(CONTROL!$C$38, 0.0354, 0)</f>
        <v>14.760399999999999</v>
      </c>
      <c r="I43" s="14">
        <f>14.7266 * CHOOSE(CONTROL!$C$15, $E$9, 100%, $G$9) + CHOOSE(CONTROL!$C$38, 0.0354, 0)</f>
        <v>14.761999999999999</v>
      </c>
      <c r="J43" s="44">
        <f>87.68</f>
        <v>87.68</v>
      </c>
    </row>
    <row r="44" spans="1:10" ht="15" x14ac:dyDescent="0.2">
      <c r="A44" s="13">
        <v>42248</v>
      </c>
      <c r="B44" s="14">
        <f>15.5158 * CHOOSE(CONTROL!$C$15, $E$9, 100%, $G$9) + CHOOSE(CONTROL!$C$38, 0.0264, 0)</f>
        <v>15.542200000000001</v>
      </c>
      <c r="C44" s="14">
        <f>14.7266 * CHOOSE(CONTROL!$C$15, $E$9, 100%, $G$9) + CHOOSE(CONTROL!$C$38, 0.0354, 0)</f>
        <v>14.761999999999999</v>
      </c>
      <c r="D44" s="14">
        <f>14.7187 * CHOOSE(CONTROL!$C$15, $E$9, 100%, $G$9) + CHOOSE(CONTROL!$C$38, 0.0354, 0)</f>
        <v>14.754099999999999</v>
      </c>
      <c r="E44" s="46">
        <f>15.3595 * CHOOSE(CONTROL!$C$15, $E$9, 100%, $G$9) + CHOOSE(CONTROL!$C$38, 0.0354, 0)</f>
        <v>15.3949</v>
      </c>
      <c r="F44" s="45">
        <f>15.3595 * CHOOSE(CONTROL!$C$15, $E$9, 100%, $G$9) + CHOOSE(CONTROL!$C$38, 0.0264, 0)</f>
        <v>15.385900000000001</v>
      </c>
      <c r="G44" s="14">
        <f>14.725 * CHOOSE(CONTROL!$C$15, $E$9, 100%, $G$9) + CHOOSE(CONTROL!$C$38, 0.0354, 0)</f>
        <v>14.760399999999999</v>
      </c>
      <c r="H44" s="14">
        <f>14.725 * CHOOSE(CONTROL!$C$15, $E$9, 100%, $G$9) + CHOOSE(CONTROL!$C$38, 0.0354, 0)</f>
        <v>14.760399999999999</v>
      </c>
      <c r="I44" s="14">
        <f>14.7266 * CHOOSE(CONTROL!$C$15, $E$9, 100%, $G$9) + CHOOSE(CONTROL!$C$38, 0.0354, 0)</f>
        <v>14.761999999999999</v>
      </c>
      <c r="J44" s="44">
        <f>87.48</f>
        <v>87.48</v>
      </c>
    </row>
    <row r="45" spans="1:10" ht="15" x14ac:dyDescent="0.2">
      <c r="A45" s="13">
        <v>42278</v>
      </c>
      <c r="B45" s="14">
        <f>15.5158 * CHOOSE(CONTROL!$C$15, $E$9, 100%, $G$9) + CHOOSE(CONTROL!$C$38, 0.0251, 0)</f>
        <v>15.540900000000001</v>
      </c>
      <c r="C45" s="14">
        <f>14.7266 * CHOOSE(CONTROL!$C$15, $E$9, 100%, $G$9) + CHOOSE(CONTROL!$C$38, 0.0342, 0)</f>
        <v>14.7608</v>
      </c>
      <c r="D45" s="14">
        <f>14.7187 * CHOOSE(CONTROL!$C$15, $E$9, 100%, $G$9) + CHOOSE(CONTROL!$C$38, 0.0342, 0)</f>
        <v>14.7529</v>
      </c>
      <c r="E45" s="46">
        <f>15.3595 * CHOOSE(CONTROL!$C$15, $E$9, 100%, $G$9) + CHOOSE(CONTROL!$C$38, 0.0342, 0)</f>
        <v>15.393700000000001</v>
      </c>
      <c r="F45" s="45">
        <f>15.3595 * CHOOSE(CONTROL!$C$15, $E$9, 100%, $G$9) + CHOOSE(CONTROL!$C$38, 0.0251, 0)</f>
        <v>15.384600000000001</v>
      </c>
      <c r="G45" s="14">
        <f>14.725 * CHOOSE(CONTROL!$C$15, $E$9, 100%, $G$9) + CHOOSE(CONTROL!$C$38, 0.0342, 0)</f>
        <v>14.7592</v>
      </c>
      <c r="H45" s="14">
        <f>14.725 * CHOOSE(CONTROL!$C$15, $E$9, 100%, $G$9) + CHOOSE(CONTROL!$C$38, 0.0342, 0)</f>
        <v>14.7592</v>
      </c>
      <c r="I45" s="14">
        <f>14.7266 * CHOOSE(CONTROL!$C$15, $E$9, 100%, $G$9) + CHOOSE(CONTROL!$C$38, 0.0342, 0)</f>
        <v>14.7608</v>
      </c>
      <c r="J45" s="44">
        <f>87.31</f>
        <v>87.31</v>
      </c>
    </row>
    <row r="46" spans="1:10" ht="15" x14ac:dyDescent="0.2">
      <c r="A46" s="13">
        <v>42309</v>
      </c>
      <c r="B46" s="14">
        <f>15.5158 * CHOOSE(CONTROL!$C$15, $E$9, 100%, $G$9) + CHOOSE(CONTROL!$C$38, 0.0251, 0)</f>
        <v>15.540900000000001</v>
      </c>
      <c r="C46" s="14">
        <f>14.7266 * CHOOSE(CONTROL!$C$15, $E$9, 100%, $G$9) + CHOOSE(CONTROL!$C$38, 0.0342, 0)</f>
        <v>14.7608</v>
      </c>
      <c r="D46" s="14">
        <f>14.7187 * CHOOSE(CONTROL!$C$15, $E$9, 100%, $G$9) + CHOOSE(CONTROL!$C$38, 0.0342, 0)</f>
        <v>14.7529</v>
      </c>
      <c r="E46" s="46">
        <f>15.3595 * CHOOSE(CONTROL!$C$15, $E$9, 100%, $G$9) + CHOOSE(CONTROL!$C$38, 0.0342, 0)</f>
        <v>15.393700000000001</v>
      </c>
      <c r="F46" s="45">
        <f>15.3595 * CHOOSE(CONTROL!$C$15, $E$9, 100%, $G$9) + CHOOSE(CONTROL!$C$38, 0.0251, 0)</f>
        <v>15.384600000000001</v>
      </c>
      <c r="G46" s="14">
        <f>14.725 * CHOOSE(CONTROL!$C$15, $E$9, 100%, $G$9) + CHOOSE(CONTROL!$C$38, 0.0342, 0)</f>
        <v>14.7592</v>
      </c>
      <c r="H46" s="14">
        <f>14.725 * CHOOSE(CONTROL!$C$15, $E$9, 100%, $G$9) + CHOOSE(CONTROL!$C$38, 0.0342, 0)</f>
        <v>14.7592</v>
      </c>
      <c r="I46" s="14">
        <f>14.7266 * CHOOSE(CONTROL!$C$15, $E$9, 100%, $G$9) + CHOOSE(CONTROL!$C$38, 0.0342, 0)</f>
        <v>14.7608</v>
      </c>
      <c r="J46" s="44">
        <f>87.17</f>
        <v>87.17</v>
      </c>
    </row>
    <row r="47" spans="1:10" ht="15" x14ac:dyDescent="0.2">
      <c r="A47" s="13">
        <v>42339</v>
      </c>
      <c r="B47" s="14">
        <f>15.5158 * CHOOSE(CONTROL!$C$15, $E$9, 100%, $G$9) + CHOOSE(CONTROL!$C$38, 0.0251, 0)</f>
        <v>15.540900000000001</v>
      </c>
      <c r="C47" s="14">
        <f>14.7266 * CHOOSE(CONTROL!$C$15, $E$9, 100%, $G$9) + CHOOSE(CONTROL!$C$38, 0.0342, 0)</f>
        <v>14.7608</v>
      </c>
      <c r="D47" s="14">
        <f>14.7187 * CHOOSE(CONTROL!$C$15, $E$9, 100%, $G$9) + CHOOSE(CONTROL!$C$38, 0.0342, 0)</f>
        <v>14.7529</v>
      </c>
      <c r="E47" s="46">
        <f>15.3595 * CHOOSE(CONTROL!$C$15, $E$9, 100%, $G$9) + CHOOSE(CONTROL!$C$38, 0.0342, 0)</f>
        <v>15.393700000000001</v>
      </c>
      <c r="F47" s="45">
        <f>15.3595 * CHOOSE(CONTROL!$C$15, $E$9, 100%, $G$9) + CHOOSE(CONTROL!$C$38, 0.0251, 0)</f>
        <v>15.384600000000001</v>
      </c>
      <c r="G47" s="14">
        <f>14.725 * CHOOSE(CONTROL!$C$15, $E$9, 100%, $G$9) + CHOOSE(CONTROL!$C$38, 0.0342, 0)</f>
        <v>14.7592</v>
      </c>
      <c r="H47" s="14">
        <f>14.725 * CHOOSE(CONTROL!$C$15, $E$9, 100%, $G$9) + CHOOSE(CONTROL!$C$38, 0.0342, 0)</f>
        <v>14.7592</v>
      </c>
      <c r="I47" s="14">
        <f>14.7266 * CHOOSE(CONTROL!$C$15, $E$9, 100%, $G$9) + CHOOSE(CONTROL!$C$38, 0.0342, 0)</f>
        <v>14.7608</v>
      </c>
      <c r="J47" s="44">
        <f>87.08</f>
        <v>87.08</v>
      </c>
    </row>
    <row r="48" spans="1:10" ht="15" x14ac:dyDescent="0.2">
      <c r="A48" s="13">
        <v>42370</v>
      </c>
      <c r="B48" s="14">
        <f>16.7934 * CHOOSE(CONTROL!$C$15, $E$9, 100%, $G$9) + CHOOSE(CONTROL!$C$38, 0.0251, 0)</f>
        <v>16.818499999999997</v>
      </c>
      <c r="C48" s="14">
        <f>16.1675 * CHOOSE(CONTROL!$C$15, $E$9, 100%, $G$9) + CHOOSE(CONTROL!$C$38, 0.0342, 0)</f>
        <v>16.201699999999999</v>
      </c>
      <c r="D48" s="14">
        <f>16.1597 * CHOOSE(CONTROL!$C$15, $E$9, 100%, $G$9) + CHOOSE(CONTROL!$C$38, 0.0342, 0)</f>
        <v>16.193899999999999</v>
      </c>
      <c r="E48" s="46">
        <f>16.6372 * CHOOSE(CONTROL!$C$15, $E$9, 100%, $G$9) + CHOOSE(CONTROL!$C$38, 0.0342, 0)</f>
        <v>16.671399999999998</v>
      </c>
      <c r="F48" s="45">
        <f>16.6372 * CHOOSE(CONTROL!$C$15, $E$9, 100%, $G$9) + CHOOSE(CONTROL!$C$38, 0.0251, 0)</f>
        <v>16.662299999999998</v>
      </c>
      <c r="G48" s="14">
        <f>16.1659 * CHOOSE(CONTROL!$C$15, $E$9, 100%, $G$9) + CHOOSE(CONTROL!$C$38, 0.0342, 0)</f>
        <v>16.200099999999999</v>
      </c>
      <c r="H48" s="14">
        <f>16.1659 * CHOOSE(CONTROL!$C$15, $E$9, 100%, $G$9) + CHOOSE(CONTROL!$C$38, 0.0342, 0)</f>
        <v>16.200099999999999</v>
      </c>
      <c r="I48" s="14">
        <f>16.1675 * CHOOSE(CONTROL!$C$15, $E$9, 100%, $G$9) + CHOOSE(CONTROL!$C$38, 0.0342, 0)</f>
        <v>16.201699999999999</v>
      </c>
      <c r="J48" s="44">
        <f>87.2971</f>
        <v>87.2971</v>
      </c>
    </row>
    <row r="49" spans="1:10" ht="15" x14ac:dyDescent="0.2">
      <c r="A49" s="13">
        <v>42401</v>
      </c>
      <c r="B49" s="14">
        <f>17.068 * CHOOSE(CONTROL!$C$15, $E$9, 100%, $G$9) + CHOOSE(CONTROL!$C$38, 0.0251, 0)</f>
        <v>17.0931</v>
      </c>
      <c r="C49" s="14">
        <f>16.441 * CHOOSE(CONTROL!$C$15, $E$9, 100%, $G$9) + CHOOSE(CONTROL!$C$38, 0.0342, 0)</f>
        <v>16.475199999999997</v>
      </c>
      <c r="D49" s="14">
        <f>16.4332 * CHOOSE(CONTROL!$C$15, $E$9, 100%, $G$9) + CHOOSE(CONTROL!$C$38, 0.0342, 0)</f>
        <v>16.467399999999998</v>
      </c>
      <c r="E49" s="46">
        <f>16.9117 * CHOOSE(CONTROL!$C$15, $E$9, 100%, $G$9) + CHOOSE(CONTROL!$C$38, 0.0342, 0)</f>
        <v>16.945899999999998</v>
      </c>
      <c r="F49" s="45">
        <f>16.9117 * CHOOSE(CONTROL!$C$15, $E$9, 100%, $G$9) + CHOOSE(CONTROL!$C$38, 0.0251, 0)</f>
        <v>16.936799999999998</v>
      </c>
      <c r="G49" s="14">
        <f>16.4395 * CHOOSE(CONTROL!$C$15, $E$9, 100%, $G$9) + CHOOSE(CONTROL!$C$38, 0.0342, 0)</f>
        <v>16.473699999999997</v>
      </c>
      <c r="H49" s="14">
        <f>16.4395 * CHOOSE(CONTROL!$C$15, $E$9, 100%, $G$9) + CHOOSE(CONTROL!$C$38, 0.0342, 0)</f>
        <v>16.473699999999997</v>
      </c>
      <c r="I49" s="14">
        <f>16.441 * CHOOSE(CONTROL!$C$15, $E$9, 100%, $G$9) + CHOOSE(CONTROL!$C$38, 0.0342, 0)</f>
        <v>16.475199999999997</v>
      </c>
      <c r="J49" s="44">
        <f>87.2338</f>
        <v>87.233800000000002</v>
      </c>
    </row>
    <row r="50" spans="1:10" ht="15" x14ac:dyDescent="0.2">
      <c r="A50" s="13">
        <v>42430</v>
      </c>
      <c r="B50" s="14">
        <f>16.5424 * CHOOSE(CONTROL!$C$15, $E$9, 100%, $G$9) + CHOOSE(CONTROL!$C$38, 0.0251, 0)</f>
        <v>16.567499999999999</v>
      </c>
      <c r="C50" s="14">
        <f>15.9145 * CHOOSE(CONTROL!$C$15, $E$9, 100%, $G$9) + CHOOSE(CONTROL!$C$38, 0.0342, 0)</f>
        <v>15.948700000000001</v>
      </c>
      <c r="D50" s="14">
        <f>15.9067 * CHOOSE(CONTROL!$C$15, $E$9, 100%, $G$9) + CHOOSE(CONTROL!$C$38, 0.0342, 0)</f>
        <v>15.940900000000001</v>
      </c>
      <c r="E50" s="46">
        <f>16.3861 * CHOOSE(CONTROL!$C$15, $E$9, 100%, $G$9) + CHOOSE(CONTROL!$C$38, 0.0342, 0)</f>
        <v>16.420299999999997</v>
      </c>
      <c r="F50" s="45">
        <f>16.3861 * CHOOSE(CONTROL!$C$15, $E$9, 100%, $G$9) + CHOOSE(CONTROL!$C$38, 0.0251, 0)</f>
        <v>16.411199999999997</v>
      </c>
      <c r="G50" s="14">
        <f>15.9129 * CHOOSE(CONTROL!$C$15, $E$9, 100%, $G$9) + CHOOSE(CONTROL!$C$38, 0.0342, 0)</f>
        <v>15.947100000000001</v>
      </c>
      <c r="H50" s="14">
        <f>15.9129 * CHOOSE(CONTROL!$C$15, $E$9, 100%, $G$9) + CHOOSE(CONTROL!$C$38, 0.0342, 0)</f>
        <v>15.947100000000001</v>
      </c>
      <c r="I50" s="14">
        <f>15.9145 * CHOOSE(CONTROL!$C$15, $E$9, 100%, $G$9) + CHOOSE(CONTROL!$C$38, 0.0342, 0)</f>
        <v>15.948700000000001</v>
      </c>
      <c r="J50" s="44">
        <f>92.0207</f>
        <v>92.020700000000005</v>
      </c>
    </row>
    <row r="51" spans="1:10" ht="15" x14ac:dyDescent="0.2">
      <c r="A51" s="13">
        <v>42461</v>
      </c>
      <c r="B51" s="14">
        <f>16.032 * CHOOSE(CONTROL!$C$15, $E$9, 100%, $G$9) + CHOOSE(CONTROL!$C$38, 0.0251, 0)</f>
        <v>16.057099999999998</v>
      </c>
      <c r="C51" s="14">
        <f>15.4031 * CHOOSE(CONTROL!$C$15, $E$9, 100%, $G$9) + CHOOSE(CONTROL!$C$38, 0.0342, 0)</f>
        <v>15.4373</v>
      </c>
      <c r="D51" s="14">
        <f>15.3953 * CHOOSE(CONTROL!$C$15, $E$9, 100%, $G$9) + CHOOSE(CONTROL!$C$38, 0.0342, 0)</f>
        <v>15.429500000000001</v>
      </c>
      <c r="E51" s="46">
        <f>15.8757 * CHOOSE(CONTROL!$C$15, $E$9, 100%, $G$9) + CHOOSE(CONTROL!$C$38, 0.0342, 0)</f>
        <v>15.9099</v>
      </c>
      <c r="F51" s="45">
        <f>15.8757 * CHOOSE(CONTROL!$C$15, $E$9, 100%, $G$9) + CHOOSE(CONTROL!$C$38, 0.0251, 0)</f>
        <v>15.9008</v>
      </c>
      <c r="G51" s="14">
        <f>15.4015 * CHOOSE(CONTROL!$C$15, $E$9, 100%, $G$9) + CHOOSE(CONTROL!$C$38, 0.0342, 0)</f>
        <v>15.435700000000001</v>
      </c>
      <c r="H51" s="14">
        <f>15.4015 * CHOOSE(CONTROL!$C$15, $E$9, 100%, $G$9) + CHOOSE(CONTROL!$C$38, 0.0342, 0)</f>
        <v>15.435700000000001</v>
      </c>
      <c r="I51" s="14">
        <f>15.4031 * CHOOSE(CONTROL!$C$15, $E$9, 100%, $G$9) + CHOOSE(CONTROL!$C$38, 0.0342, 0)</f>
        <v>15.4373</v>
      </c>
      <c r="J51" s="44">
        <f>98.197</f>
        <v>98.197000000000003</v>
      </c>
    </row>
    <row r="52" spans="1:10" ht="15" x14ac:dyDescent="0.2">
      <c r="A52" s="13">
        <v>42491</v>
      </c>
      <c r="B52" s="14">
        <f>15.4964 * CHOOSE(CONTROL!$C$15, $E$9, 100%, $G$9) + CHOOSE(CONTROL!$C$38, 0.0264, 0)</f>
        <v>15.5228</v>
      </c>
      <c r="C52" s="14">
        <f>14.8665 * CHOOSE(CONTROL!$C$15, $E$9, 100%, $G$9) + CHOOSE(CONTROL!$C$38, 0.0354, 0)</f>
        <v>14.901899999999999</v>
      </c>
      <c r="D52" s="14">
        <f>14.8587 * CHOOSE(CONTROL!$C$15, $E$9, 100%, $G$9) + CHOOSE(CONTROL!$C$38, 0.0354, 0)</f>
        <v>14.8941</v>
      </c>
      <c r="E52" s="46">
        <f>15.3401 * CHOOSE(CONTROL!$C$15, $E$9, 100%, $G$9) + CHOOSE(CONTROL!$C$38, 0.0354, 0)</f>
        <v>15.375499999999999</v>
      </c>
      <c r="F52" s="45">
        <f>15.3401 * CHOOSE(CONTROL!$C$15, $E$9, 100%, $G$9) + CHOOSE(CONTROL!$C$38, 0.0264, 0)</f>
        <v>15.3665</v>
      </c>
      <c r="G52" s="14">
        <f>14.865 * CHOOSE(CONTROL!$C$15, $E$9, 100%, $G$9) + CHOOSE(CONTROL!$C$38, 0.0354, 0)</f>
        <v>14.900399999999999</v>
      </c>
      <c r="H52" s="14">
        <f>14.865 * CHOOSE(CONTROL!$C$15, $E$9, 100%, $G$9) + CHOOSE(CONTROL!$C$38, 0.0354, 0)</f>
        <v>14.900399999999999</v>
      </c>
      <c r="I52" s="14">
        <f>14.8665 * CHOOSE(CONTROL!$C$15, $E$9, 100%, $G$9) + CHOOSE(CONTROL!$C$38, 0.0354, 0)</f>
        <v>14.901899999999999</v>
      </c>
      <c r="J52" s="44">
        <f>101.7013</f>
        <v>101.7013</v>
      </c>
    </row>
    <row r="53" spans="1:10" ht="15" x14ac:dyDescent="0.2">
      <c r="A53" s="13">
        <v>42522</v>
      </c>
      <c r="B53" s="14">
        <f>15.1284 * CHOOSE(CONTROL!$C$15, $E$9, 100%, $G$9) + CHOOSE(CONTROL!$C$38, 0.0264, 0)</f>
        <v>15.1548</v>
      </c>
      <c r="C53" s="14">
        <f>14.4976 * CHOOSE(CONTROL!$C$15, $E$9, 100%, $G$9) + CHOOSE(CONTROL!$C$38, 0.0354, 0)</f>
        <v>14.532999999999999</v>
      </c>
      <c r="D53" s="14">
        <f>14.4898 * CHOOSE(CONTROL!$C$15, $E$9, 100%, $G$9) + CHOOSE(CONTROL!$C$38, 0.0354, 0)</f>
        <v>14.5252</v>
      </c>
      <c r="E53" s="46">
        <f>14.9722 * CHOOSE(CONTROL!$C$15, $E$9, 100%, $G$9) + CHOOSE(CONTROL!$C$38, 0.0354, 0)</f>
        <v>15.0076</v>
      </c>
      <c r="F53" s="45">
        <f>14.9722 * CHOOSE(CONTROL!$C$15, $E$9, 100%, $G$9) + CHOOSE(CONTROL!$C$38, 0.0264, 0)</f>
        <v>14.998600000000001</v>
      </c>
      <c r="G53" s="14">
        <f>14.4961 * CHOOSE(CONTROL!$C$15, $E$9, 100%, $G$9) + CHOOSE(CONTROL!$C$38, 0.0354, 0)</f>
        <v>14.531499999999999</v>
      </c>
      <c r="H53" s="14">
        <f>14.4961 * CHOOSE(CONTROL!$C$15, $E$9, 100%, $G$9) + CHOOSE(CONTROL!$C$38, 0.0354, 0)</f>
        <v>14.531499999999999</v>
      </c>
      <c r="I53" s="14">
        <f>14.4976 * CHOOSE(CONTROL!$C$15, $E$9, 100%, $G$9) + CHOOSE(CONTROL!$C$38, 0.0354, 0)</f>
        <v>14.532999999999999</v>
      </c>
      <c r="J53" s="44">
        <f>103.3792</f>
        <v>103.3792</v>
      </c>
    </row>
    <row r="54" spans="1:10" ht="15" x14ac:dyDescent="0.2">
      <c r="A54" s="13">
        <v>42552</v>
      </c>
      <c r="B54" s="14">
        <f>14.9304 * CHOOSE(CONTROL!$C$15, $E$9, 100%, $G$9) + CHOOSE(CONTROL!$C$38, 0.0264, 0)</f>
        <v>14.956800000000001</v>
      </c>
      <c r="C54" s="14">
        <f>14.2986 * CHOOSE(CONTROL!$C$15, $E$9, 100%, $G$9) + CHOOSE(CONTROL!$C$38, 0.0354, 0)</f>
        <v>14.334</v>
      </c>
      <c r="D54" s="14">
        <f>14.2908 * CHOOSE(CONTROL!$C$15, $E$9, 100%, $G$9) + CHOOSE(CONTROL!$C$38, 0.0354, 0)</f>
        <v>14.3262</v>
      </c>
      <c r="E54" s="46">
        <f>14.7741 * CHOOSE(CONTROL!$C$15, $E$9, 100%, $G$9) + CHOOSE(CONTROL!$C$38, 0.0354, 0)</f>
        <v>14.8095</v>
      </c>
      <c r="F54" s="45">
        <f>14.7741 * CHOOSE(CONTROL!$C$15, $E$9, 100%, $G$9) + CHOOSE(CONTROL!$C$38, 0.0264, 0)</f>
        <v>14.800500000000001</v>
      </c>
      <c r="G54" s="14">
        <f>14.297 * CHOOSE(CONTROL!$C$15, $E$9, 100%, $G$9) + CHOOSE(CONTROL!$C$38, 0.0354, 0)</f>
        <v>14.3324</v>
      </c>
      <c r="H54" s="14">
        <f>14.297 * CHOOSE(CONTROL!$C$15, $E$9, 100%, $G$9) + CHOOSE(CONTROL!$C$38, 0.0354, 0)</f>
        <v>14.3324</v>
      </c>
      <c r="I54" s="14">
        <f>14.2986 * CHOOSE(CONTROL!$C$15, $E$9, 100%, $G$9) + CHOOSE(CONTROL!$C$38, 0.0354, 0)</f>
        <v>14.334</v>
      </c>
      <c r="J54" s="44">
        <f>103.1077</f>
        <v>103.10769999999999</v>
      </c>
    </row>
    <row r="55" spans="1:10" ht="15" x14ac:dyDescent="0.2">
      <c r="A55" s="13">
        <v>42583</v>
      </c>
      <c r="B55" s="14">
        <f>15.0726 * CHOOSE(CONTROL!$C$15, $E$9, 100%, $G$9) + CHOOSE(CONTROL!$C$38, 0.0264, 0)</f>
        <v>15.099</v>
      </c>
      <c r="C55" s="14">
        <f>14.4398 * CHOOSE(CONTROL!$C$15, $E$9, 100%, $G$9) + CHOOSE(CONTROL!$C$38, 0.0354, 0)</f>
        <v>14.475199999999999</v>
      </c>
      <c r="D55" s="14">
        <f>14.432 * CHOOSE(CONTROL!$C$15, $E$9, 100%, $G$9) + CHOOSE(CONTROL!$C$38, 0.0354, 0)</f>
        <v>14.4674</v>
      </c>
      <c r="E55" s="46">
        <f>14.9164 * CHOOSE(CONTROL!$C$15, $E$9, 100%, $G$9) + CHOOSE(CONTROL!$C$38, 0.0354, 0)</f>
        <v>14.951799999999999</v>
      </c>
      <c r="F55" s="45">
        <f>14.9164 * CHOOSE(CONTROL!$C$15, $E$9, 100%, $G$9) + CHOOSE(CONTROL!$C$38, 0.0264, 0)</f>
        <v>14.9428</v>
      </c>
      <c r="G55" s="14">
        <f>14.4383 * CHOOSE(CONTROL!$C$15, $E$9, 100%, $G$9) + CHOOSE(CONTROL!$C$38, 0.0354, 0)</f>
        <v>14.473699999999999</v>
      </c>
      <c r="H55" s="14">
        <f>14.4383 * CHOOSE(CONTROL!$C$15, $E$9, 100%, $G$9) + CHOOSE(CONTROL!$C$38, 0.0354, 0)</f>
        <v>14.473699999999999</v>
      </c>
      <c r="I55" s="14">
        <f>14.4398 * CHOOSE(CONTROL!$C$15, $E$9, 100%, $G$9) + CHOOSE(CONTROL!$C$38, 0.0354, 0)</f>
        <v>14.475199999999999</v>
      </c>
      <c r="J55" s="44">
        <f>100.9149</f>
        <v>100.9149</v>
      </c>
    </row>
    <row r="56" spans="1:10" ht="15" x14ac:dyDescent="0.2">
      <c r="A56" s="13">
        <v>42614</v>
      </c>
      <c r="B56" s="14">
        <f>15.4092 * CHOOSE(CONTROL!$C$15, $E$9, 100%, $G$9) + CHOOSE(CONTROL!$C$38, 0.0264, 0)</f>
        <v>15.435600000000001</v>
      </c>
      <c r="C56" s="14">
        <f>14.7754 * CHOOSE(CONTROL!$C$15, $E$9, 100%, $G$9) + CHOOSE(CONTROL!$C$38, 0.0354, 0)</f>
        <v>14.810799999999999</v>
      </c>
      <c r="D56" s="14">
        <f>14.7676 * CHOOSE(CONTROL!$C$15, $E$9, 100%, $G$9) + CHOOSE(CONTROL!$C$38, 0.0354, 0)</f>
        <v>14.802999999999999</v>
      </c>
      <c r="E56" s="46">
        <f>15.2529 * CHOOSE(CONTROL!$C$15, $E$9, 100%, $G$9) + CHOOSE(CONTROL!$C$38, 0.0354, 0)</f>
        <v>15.2883</v>
      </c>
      <c r="F56" s="45">
        <f>15.2529 * CHOOSE(CONTROL!$C$15, $E$9, 100%, $G$9) + CHOOSE(CONTROL!$C$38, 0.0264, 0)</f>
        <v>15.279300000000001</v>
      </c>
      <c r="G56" s="14">
        <f>14.7739 * CHOOSE(CONTROL!$C$15, $E$9, 100%, $G$9) + CHOOSE(CONTROL!$C$38, 0.0354, 0)</f>
        <v>14.809299999999999</v>
      </c>
      <c r="H56" s="14">
        <f>14.7739 * CHOOSE(CONTROL!$C$15, $E$9, 100%, $G$9) + CHOOSE(CONTROL!$C$38, 0.0354, 0)</f>
        <v>14.809299999999999</v>
      </c>
      <c r="I56" s="14">
        <f>14.7754 * CHOOSE(CONTROL!$C$15, $E$9, 100%, $G$9) + CHOOSE(CONTROL!$C$38, 0.0354, 0)</f>
        <v>14.810799999999999</v>
      </c>
      <c r="J56" s="44">
        <f>97.7616</f>
        <v>97.761600000000001</v>
      </c>
    </row>
    <row r="57" spans="1:10" ht="15" x14ac:dyDescent="0.2">
      <c r="A57" s="13">
        <v>42644</v>
      </c>
      <c r="B57" s="14">
        <f>15.6971 * CHOOSE(CONTROL!$C$15, $E$9, 100%, $G$9) + CHOOSE(CONTROL!$C$38, 0.0251, 0)</f>
        <v>15.722200000000001</v>
      </c>
      <c r="C57" s="14">
        <f>15.0624 * CHOOSE(CONTROL!$C$15, $E$9, 100%, $G$9) + CHOOSE(CONTROL!$C$38, 0.0342, 0)</f>
        <v>15.0966</v>
      </c>
      <c r="D57" s="14">
        <f>15.0546 * CHOOSE(CONTROL!$C$15, $E$9, 100%, $G$9) + CHOOSE(CONTROL!$C$38, 0.0342, 0)</f>
        <v>15.088800000000001</v>
      </c>
      <c r="E57" s="46">
        <f>15.5409 * CHOOSE(CONTROL!$C$15, $E$9, 100%, $G$9) + CHOOSE(CONTROL!$C$38, 0.0342, 0)</f>
        <v>15.575100000000001</v>
      </c>
      <c r="F57" s="45">
        <f>15.5409 * CHOOSE(CONTROL!$C$15, $E$9, 100%, $G$9) + CHOOSE(CONTROL!$C$38, 0.0251, 0)</f>
        <v>15.566000000000001</v>
      </c>
      <c r="G57" s="14">
        <f>15.0608 * CHOOSE(CONTROL!$C$15, $E$9, 100%, $G$9) + CHOOSE(CONTROL!$C$38, 0.0342, 0)</f>
        <v>15.095000000000001</v>
      </c>
      <c r="H57" s="14">
        <f>15.0608 * CHOOSE(CONTROL!$C$15, $E$9, 100%, $G$9) + CHOOSE(CONTROL!$C$38, 0.0342, 0)</f>
        <v>15.095000000000001</v>
      </c>
      <c r="I57" s="14">
        <f>15.0624 * CHOOSE(CONTROL!$C$15, $E$9, 100%, $G$9) + CHOOSE(CONTROL!$C$38, 0.0342, 0)</f>
        <v>15.0966</v>
      </c>
      <c r="J57" s="44">
        <f>94.5753</f>
        <v>94.575299999999999</v>
      </c>
    </row>
    <row r="58" spans="1:10" ht="15" x14ac:dyDescent="0.2">
      <c r="A58" s="13">
        <v>42675</v>
      </c>
      <c r="B58" s="14">
        <f>15.9435 * CHOOSE(CONTROL!$C$15, $E$9, 100%, $G$9) + CHOOSE(CONTROL!$C$38, 0.0251, 0)</f>
        <v>15.9686</v>
      </c>
      <c r="C58" s="14">
        <f>15.3077 * CHOOSE(CONTROL!$C$15, $E$9, 100%, $G$9) + CHOOSE(CONTROL!$C$38, 0.0342, 0)</f>
        <v>15.341900000000001</v>
      </c>
      <c r="D58" s="14">
        <f>15.2999 * CHOOSE(CONTROL!$C$15, $E$9, 100%, $G$9) + CHOOSE(CONTROL!$C$38, 0.0342, 0)</f>
        <v>15.334099999999999</v>
      </c>
      <c r="E58" s="46">
        <f>15.7872 * CHOOSE(CONTROL!$C$15, $E$9, 100%, $G$9) + CHOOSE(CONTROL!$C$38, 0.0342, 0)</f>
        <v>15.821400000000001</v>
      </c>
      <c r="F58" s="45">
        <f>15.7872 * CHOOSE(CONTROL!$C$15, $E$9, 100%, $G$9) + CHOOSE(CONTROL!$C$38, 0.0251, 0)</f>
        <v>15.8123</v>
      </c>
      <c r="G58" s="14">
        <f>15.3062 * CHOOSE(CONTROL!$C$15, $E$9, 100%, $G$9) + CHOOSE(CONTROL!$C$38, 0.0342, 0)</f>
        <v>15.340400000000001</v>
      </c>
      <c r="H58" s="14">
        <f>15.3062 * CHOOSE(CONTROL!$C$15, $E$9, 100%, $G$9) + CHOOSE(CONTROL!$C$38, 0.0342, 0)</f>
        <v>15.340400000000001</v>
      </c>
      <c r="I58" s="14">
        <f>15.3077 * CHOOSE(CONTROL!$C$15, $E$9, 100%, $G$9) + CHOOSE(CONTROL!$C$38, 0.0342, 0)</f>
        <v>15.341900000000001</v>
      </c>
      <c r="J58" s="44">
        <f>94.0948</f>
        <v>94.094800000000006</v>
      </c>
    </row>
    <row r="59" spans="1:10" ht="15" x14ac:dyDescent="0.2">
      <c r="A59" s="13">
        <v>42705</v>
      </c>
      <c r="B59" s="14">
        <f>16.6398 * CHOOSE(CONTROL!$C$15, $E$9, 100%, $G$9) + CHOOSE(CONTROL!$C$38, 0.0251, 0)</f>
        <v>16.664899999999999</v>
      </c>
      <c r="C59" s="14">
        <f>16.0031 * CHOOSE(CONTROL!$C$15, $E$9, 100%, $G$9) + CHOOSE(CONTROL!$C$38, 0.0342, 0)</f>
        <v>16.037299999999998</v>
      </c>
      <c r="D59" s="14">
        <f>15.9953 * CHOOSE(CONTROL!$C$15, $E$9, 100%, $G$9) + CHOOSE(CONTROL!$C$38, 0.0342, 0)</f>
        <v>16.029499999999999</v>
      </c>
      <c r="E59" s="46">
        <f>16.4835 * CHOOSE(CONTROL!$C$15, $E$9, 100%, $G$9) + CHOOSE(CONTROL!$C$38, 0.0342, 0)</f>
        <v>16.517699999999998</v>
      </c>
      <c r="F59" s="45">
        <f>16.4835 * CHOOSE(CONTROL!$C$15, $E$9, 100%, $G$9) + CHOOSE(CONTROL!$C$38, 0.0251, 0)</f>
        <v>16.508599999999998</v>
      </c>
      <c r="G59" s="14">
        <f>16.0015 * CHOOSE(CONTROL!$C$15, $E$9, 100%, $G$9) + CHOOSE(CONTROL!$C$38, 0.0342, 0)</f>
        <v>16.035699999999999</v>
      </c>
      <c r="H59" s="14">
        <f>16.0015 * CHOOSE(CONTROL!$C$15, $E$9, 100%, $G$9) + CHOOSE(CONTROL!$C$38, 0.0342, 0)</f>
        <v>16.035699999999999</v>
      </c>
      <c r="I59" s="14">
        <f>16.0031 * CHOOSE(CONTROL!$C$15, $E$9, 100%, $G$9) + CHOOSE(CONTROL!$C$38, 0.0342, 0)</f>
        <v>16.037299999999998</v>
      </c>
      <c r="J59" s="44">
        <f>91.4906</f>
        <v>91.490600000000001</v>
      </c>
    </row>
    <row r="60" spans="1:10" ht="15" x14ac:dyDescent="0.2">
      <c r="A60" s="13">
        <v>42736</v>
      </c>
      <c r="B60" s="14">
        <f>16.8844 * CHOOSE(CONTROL!$C$15, $E$9, 100%, $G$9) + CHOOSE(CONTROL!$C$38, 0.0251, 0)</f>
        <v>16.909499999999998</v>
      </c>
      <c r="C60" s="14">
        <f>16.2581 * CHOOSE(CONTROL!$C$15, $E$9, 100%, $G$9) + CHOOSE(CONTROL!$C$38, 0.0342, 0)</f>
        <v>16.292299999999997</v>
      </c>
      <c r="D60" s="14">
        <f>16.2503 * CHOOSE(CONTROL!$C$15, $E$9, 100%, $G$9) + CHOOSE(CONTROL!$C$38, 0.0342, 0)</f>
        <v>16.284499999999998</v>
      </c>
      <c r="E60" s="46">
        <f>16.7282 * CHOOSE(CONTROL!$C$15, $E$9, 100%, $G$9) + CHOOSE(CONTROL!$C$38, 0.0342, 0)</f>
        <v>16.7624</v>
      </c>
      <c r="F60" s="45">
        <f>16.7282 * CHOOSE(CONTROL!$C$15, $E$9, 100%, $G$9) + CHOOSE(CONTROL!$C$38, 0.0251, 0)</f>
        <v>16.753299999999999</v>
      </c>
      <c r="G60" s="14">
        <f>16.2565 * CHOOSE(CONTROL!$C$15, $E$9, 100%, $G$9) + CHOOSE(CONTROL!$C$38, 0.0342, 0)</f>
        <v>16.290699999999998</v>
      </c>
      <c r="H60" s="14">
        <f>16.2565 * CHOOSE(CONTROL!$C$15, $E$9, 100%, $G$9) + CHOOSE(CONTROL!$C$38, 0.0342, 0)</f>
        <v>16.290699999999998</v>
      </c>
      <c r="I60" s="14">
        <f>16.2581 * CHOOSE(CONTROL!$C$15, $E$9, 100%, $G$9) + CHOOSE(CONTROL!$C$38, 0.0342, 0)</f>
        <v>16.292299999999997</v>
      </c>
      <c r="J60" s="44">
        <f>87.8858</f>
        <v>87.885800000000003</v>
      </c>
    </row>
    <row r="61" spans="1:10" ht="15" x14ac:dyDescent="0.2">
      <c r="A61" s="13">
        <v>42767</v>
      </c>
      <c r="B61" s="14">
        <f>17.1652 * CHOOSE(CONTROL!$C$15, $E$9, 100%, $G$9) + CHOOSE(CONTROL!$C$38, 0.0251, 0)</f>
        <v>17.190299999999997</v>
      </c>
      <c r="C61" s="14">
        <f>16.5378 * CHOOSE(CONTROL!$C$15, $E$9, 100%, $G$9) + CHOOSE(CONTROL!$C$38, 0.0342, 0)</f>
        <v>16.571999999999999</v>
      </c>
      <c r="D61" s="14">
        <f>16.53 * CHOOSE(CONTROL!$C$15, $E$9, 100%, $G$9) + CHOOSE(CONTROL!$C$38, 0.0342, 0)</f>
        <v>16.5642</v>
      </c>
      <c r="E61" s="46">
        <f>17.0089 * CHOOSE(CONTROL!$C$15, $E$9, 100%, $G$9) + CHOOSE(CONTROL!$C$38, 0.0342, 0)</f>
        <v>17.043099999999999</v>
      </c>
      <c r="F61" s="45">
        <f>17.0089 * CHOOSE(CONTROL!$C$15, $E$9, 100%, $G$9) + CHOOSE(CONTROL!$C$38, 0.0251, 0)</f>
        <v>17.033999999999999</v>
      </c>
      <c r="G61" s="14">
        <f>16.5363 * CHOOSE(CONTROL!$C$15, $E$9, 100%, $G$9) + CHOOSE(CONTROL!$C$38, 0.0342, 0)</f>
        <v>16.570499999999999</v>
      </c>
      <c r="H61" s="14">
        <f>16.5363 * CHOOSE(CONTROL!$C$15, $E$9, 100%, $G$9) + CHOOSE(CONTROL!$C$38, 0.0342, 0)</f>
        <v>16.570499999999999</v>
      </c>
      <c r="I61" s="14">
        <f>16.5378 * CHOOSE(CONTROL!$C$15, $E$9, 100%, $G$9) + CHOOSE(CONTROL!$C$38, 0.0342, 0)</f>
        <v>16.571999999999999</v>
      </c>
      <c r="J61" s="44">
        <f>87.822</f>
        <v>87.822000000000003</v>
      </c>
    </row>
    <row r="62" spans="1:10" ht="15" x14ac:dyDescent="0.2">
      <c r="A62" s="13">
        <v>42795</v>
      </c>
      <c r="B62" s="14">
        <f>16.6258 * CHOOSE(CONTROL!$C$15, $E$9, 100%, $G$9) + CHOOSE(CONTROL!$C$38, 0.0251, 0)</f>
        <v>16.6509</v>
      </c>
      <c r="C62" s="14">
        <f>15.9975 * CHOOSE(CONTROL!$C$15, $E$9, 100%, $G$9) + CHOOSE(CONTROL!$C$38, 0.0342, 0)</f>
        <v>16.031700000000001</v>
      </c>
      <c r="D62" s="14">
        <f>15.9897 * CHOOSE(CONTROL!$C$15, $E$9, 100%, $G$9) + CHOOSE(CONTROL!$C$38, 0.0342, 0)</f>
        <v>16.023899999999998</v>
      </c>
      <c r="E62" s="46">
        <f>16.4695 * CHOOSE(CONTROL!$C$15, $E$9, 100%, $G$9) + CHOOSE(CONTROL!$C$38, 0.0342, 0)</f>
        <v>16.503699999999998</v>
      </c>
      <c r="F62" s="45">
        <f>16.4695 * CHOOSE(CONTROL!$C$15, $E$9, 100%, $G$9) + CHOOSE(CONTROL!$C$38, 0.0251, 0)</f>
        <v>16.494599999999998</v>
      </c>
      <c r="G62" s="14">
        <f>15.996 * CHOOSE(CONTROL!$C$15, $E$9, 100%, $G$9) + CHOOSE(CONTROL!$C$38, 0.0342, 0)</f>
        <v>16.030200000000001</v>
      </c>
      <c r="H62" s="14">
        <f>15.996 * CHOOSE(CONTROL!$C$15, $E$9, 100%, $G$9) + CHOOSE(CONTROL!$C$38, 0.0342, 0)</f>
        <v>16.030200000000001</v>
      </c>
      <c r="I62" s="14">
        <f>15.9975 * CHOOSE(CONTROL!$C$15, $E$9, 100%, $G$9) + CHOOSE(CONTROL!$C$38, 0.0342, 0)</f>
        <v>16.031700000000001</v>
      </c>
      <c r="J62" s="44">
        <f>92.6412</f>
        <v>92.641199999999998</v>
      </c>
    </row>
    <row r="63" spans="1:10" ht="15" x14ac:dyDescent="0.2">
      <c r="A63" s="13">
        <v>42826</v>
      </c>
      <c r="B63" s="14">
        <f>16.102 * CHOOSE(CONTROL!$C$15, $E$9, 100%, $G$9) + CHOOSE(CONTROL!$C$38, 0.0251, 0)</f>
        <v>16.127099999999999</v>
      </c>
      <c r="C63" s="14">
        <f>15.4727 * CHOOSE(CONTROL!$C$15, $E$9, 100%, $G$9) + CHOOSE(CONTROL!$C$38, 0.0342, 0)</f>
        <v>15.5069</v>
      </c>
      <c r="D63" s="14">
        <f>15.4649 * CHOOSE(CONTROL!$C$15, $E$9, 100%, $G$9) + CHOOSE(CONTROL!$C$38, 0.0342, 0)</f>
        <v>15.4991</v>
      </c>
      <c r="E63" s="46">
        <f>15.9457 * CHOOSE(CONTROL!$C$15, $E$9, 100%, $G$9) + CHOOSE(CONTROL!$C$38, 0.0342, 0)</f>
        <v>15.979900000000001</v>
      </c>
      <c r="F63" s="45">
        <f>15.9457 * CHOOSE(CONTROL!$C$15, $E$9, 100%, $G$9) + CHOOSE(CONTROL!$C$38, 0.0251, 0)</f>
        <v>15.970800000000001</v>
      </c>
      <c r="G63" s="14">
        <f>15.4712 * CHOOSE(CONTROL!$C$15, $E$9, 100%, $G$9) + CHOOSE(CONTROL!$C$38, 0.0342, 0)</f>
        <v>15.5054</v>
      </c>
      <c r="H63" s="14">
        <f>15.4712 * CHOOSE(CONTROL!$C$15, $E$9, 100%, $G$9) + CHOOSE(CONTROL!$C$38, 0.0342, 0)</f>
        <v>15.5054</v>
      </c>
      <c r="I63" s="14">
        <f>15.4727 * CHOOSE(CONTROL!$C$15, $E$9, 100%, $G$9) + CHOOSE(CONTROL!$C$38, 0.0342, 0)</f>
        <v>15.5069</v>
      </c>
      <c r="J63" s="44">
        <f>98.8591</f>
        <v>98.859099999999998</v>
      </c>
    </row>
    <row r="64" spans="1:10" ht="15" x14ac:dyDescent="0.2">
      <c r="A64" s="13">
        <v>42856</v>
      </c>
      <c r="B64" s="14">
        <f>15.5523 * CHOOSE(CONTROL!$C$15, $E$9, 100%, $G$9) + CHOOSE(CONTROL!$C$38, 0.0264, 0)</f>
        <v>15.578700000000001</v>
      </c>
      <c r="C64" s="14">
        <f>14.9221 * CHOOSE(CONTROL!$C$15, $E$9, 100%, $G$9) + CHOOSE(CONTROL!$C$38, 0.0354, 0)</f>
        <v>14.9575</v>
      </c>
      <c r="D64" s="14">
        <f>14.9143 * CHOOSE(CONTROL!$C$15, $E$9, 100%, $G$9) + CHOOSE(CONTROL!$C$38, 0.0354, 0)</f>
        <v>14.9497</v>
      </c>
      <c r="E64" s="46">
        <f>15.3961 * CHOOSE(CONTROL!$C$15, $E$9, 100%, $G$9) + CHOOSE(CONTROL!$C$38, 0.0354, 0)</f>
        <v>15.4315</v>
      </c>
      <c r="F64" s="45">
        <f>15.3961 * CHOOSE(CONTROL!$C$15, $E$9, 100%, $G$9) + CHOOSE(CONTROL!$C$38, 0.0264, 0)</f>
        <v>15.422500000000001</v>
      </c>
      <c r="G64" s="14">
        <f>14.9205 * CHOOSE(CONTROL!$C$15, $E$9, 100%, $G$9) + CHOOSE(CONTROL!$C$38, 0.0354, 0)</f>
        <v>14.9559</v>
      </c>
      <c r="H64" s="14">
        <f>14.9205 * CHOOSE(CONTROL!$C$15, $E$9, 100%, $G$9) + CHOOSE(CONTROL!$C$38, 0.0354, 0)</f>
        <v>14.9559</v>
      </c>
      <c r="I64" s="14">
        <f>14.9221 * CHOOSE(CONTROL!$C$15, $E$9, 100%, $G$9) + CHOOSE(CONTROL!$C$38, 0.0354, 0)</f>
        <v>14.9575</v>
      </c>
      <c r="J64" s="44">
        <f>102.3871</f>
        <v>102.3871</v>
      </c>
    </row>
    <row r="65" spans="1:10" ht="15" x14ac:dyDescent="0.2">
      <c r="A65" s="13">
        <v>42887</v>
      </c>
      <c r="B65" s="14">
        <f>15.1745 * CHOOSE(CONTROL!$C$15, $E$9, 100%, $G$9) + CHOOSE(CONTROL!$C$38, 0.0264, 0)</f>
        <v>15.200900000000001</v>
      </c>
      <c r="C65" s="14">
        <f>14.5433 * CHOOSE(CONTROL!$C$15, $E$9, 100%, $G$9) + CHOOSE(CONTROL!$C$38, 0.0354, 0)</f>
        <v>14.5787</v>
      </c>
      <c r="D65" s="14">
        <f>14.5355 * CHOOSE(CONTROL!$C$15, $E$9, 100%, $G$9) + CHOOSE(CONTROL!$C$38, 0.0354, 0)</f>
        <v>14.5709</v>
      </c>
      <c r="E65" s="46">
        <f>15.0183 * CHOOSE(CONTROL!$C$15, $E$9, 100%, $G$9) + CHOOSE(CONTROL!$C$38, 0.0354, 0)</f>
        <v>15.053699999999999</v>
      </c>
      <c r="F65" s="45">
        <f>15.0183 * CHOOSE(CONTROL!$C$15, $E$9, 100%, $G$9) + CHOOSE(CONTROL!$C$38, 0.0264, 0)</f>
        <v>15.044700000000001</v>
      </c>
      <c r="G65" s="14">
        <f>14.5418 * CHOOSE(CONTROL!$C$15, $E$9, 100%, $G$9) + CHOOSE(CONTROL!$C$38, 0.0354, 0)</f>
        <v>14.577199999999999</v>
      </c>
      <c r="H65" s="14">
        <f>14.5418 * CHOOSE(CONTROL!$C$15, $E$9, 100%, $G$9) + CHOOSE(CONTROL!$C$38, 0.0354, 0)</f>
        <v>14.577199999999999</v>
      </c>
      <c r="I65" s="14">
        <f>14.5433 * CHOOSE(CONTROL!$C$15, $E$9, 100%, $G$9) + CHOOSE(CONTROL!$C$38, 0.0354, 0)</f>
        <v>14.5787</v>
      </c>
      <c r="J65" s="44">
        <f>104.0763</f>
        <v>104.0763</v>
      </c>
    </row>
    <row r="66" spans="1:10" ht="15" x14ac:dyDescent="0.2">
      <c r="A66" s="13">
        <v>42917</v>
      </c>
      <c r="B66" s="14">
        <f>14.9709 * CHOOSE(CONTROL!$C$15, $E$9, 100%, $G$9) + CHOOSE(CONTROL!$C$38, 0.0264, 0)</f>
        <v>14.997300000000001</v>
      </c>
      <c r="C66" s="14">
        <f>14.3387 * CHOOSE(CONTROL!$C$15, $E$9, 100%, $G$9) + CHOOSE(CONTROL!$C$38, 0.0354, 0)</f>
        <v>14.374099999999999</v>
      </c>
      <c r="D66" s="14">
        <f>14.3309 * CHOOSE(CONTROL!$C$15, $E$9, 100%, $G$9) + CHOOSE(CONTROL!$C$38, 0.0354, 0)</f>
        <v>14.366299999999999</v>
      </c>
      <c r="E66" s="46">
        <f>14.8147 * CHOOSE(CONTROL!$C$15, $E$9, 100%, $G$9) + CHOOSE(CONTROL!$C$38, 0.0354, 0)</f>
        <v>14.850099999999999</v>
      </c>
      <c r="F66" s="45">
        <f>14.8147 * CHOOSE(CONTROL!$C$15, $E$9, 100%, $G$9) + CHOOSE(CONTROL!$C$38, 0.0264, 0)</f>
        <v>14.841100000000001</v>
      </c>
      <c r="G66" s="14">
        <f>14.3372 * CHOOSE(CONTROL!$C$15, $E$9, 100%, $G$9) + CHOOSE(CONTROL!$C$38, 0.0354, 0)</f>
        <v>14.372599999999998</v>
      </c>
      <c r="H66" s="14">
        <f>14.3372 * CHOOSE(CONTROL!$C$15, $E$9, 100%, $G$9) + CHOOSE(CONTROL!$C$38, 0.0354, 0)</f>
        <v>14.372599999999998</v>
      </c>
      <c r="I66" s="14">
        <f>14.3387 * CHOOSE(CONTROL!$C$15, $E$9, 100%, $G$9) + CHOOSE(CONTROL!$C$38, 0.0354, 0)</f>
        <v>14.374099999999999</v>
      </c>
      <c r="J66" s="44">
        <f>103.803</f>
        <v>103.803</v>
      </c>
    </row>
    <row r="67" spans="1:10" ht="15" x14ac:dyDescent="0.2">
      <c r="A67" s="13">
        <v>42948</v>
      </c>
      <c r="B67" s="14">
        <f>15.116 * CHOOSE(CONTROL!$C$15, $E$9, 100%, $G$9) + CHOOSE(CONTROL!$C$38, 0.0264, 0)</f>
        <v>15.1424</v>
      </c>
      <c r="C67" s="14">
        <f>14.4829 * CHOOSE(CONTROL!$C$15, $E$9, 100%, $G$9) + CHOOSE(CONTROL!$C$38, 0.0354, 0)</f>
        <v>14.5183</v>
      </c>
      <c r="D67" s="14">
        <f>14.475 * CHOOSE(CONTROL!$C$15, $E$9, 100%, $G$9) + CHOOSE(CONTROL!$C$38, 0.0354, 0)</f>
        <v>14.510399999999999</v>
      </c>
      <c r="E67" s="46">
        <f>14.9598 * CHOOSE(CONTROL!$C$15, $E$9, 100%, $G$9) + CHOOSE(CONTROL!$C$38, 0.0354, 0)</f>
        <v>14.995199999999999</v>
      </c>
      <c r="F67" s="45">
        <f>14.9598 * CHOOSE(CONTROL!$C$15, $E$9, 100%, $G$9) + CHOOSE(CONTROL!$C$38, 0.0264, 0)</f>
        <v>14.9862</v>
      </c>
      <c r="G67" s="14">
        <f>14.4813 * CHOOSE(CONTROL!$C$15, $E$9, 100%, $G$9) + CHOOSE(CONTROL!$C$38, 0.0354, 0)</f>
        <v>14.516699999999998</v>
      </c>
      <c r="H67" s="14">
        <f>14.4813 * CHOOSE(CONTROL!$C$15, $E$9, 100%, $G$9) + CHOOSE(CONTROL!$C$38, 0.0354, 0)</f>
        <v>14.516699999999998</v>
      </c>
      <c r="I67" s="14">
        <f>14.4829 * CHOOSE(CONTROL!$C$15, $E$9, 100%, $G$9) + CHOOSE(CONTROL!$C$38, 0.0354, 0)</f>
        <v>14.5183</v>
      </c>
      <c r="J67" s="44">
        <f>101.5953</f>
        <v>101.59529999999999</v>
      </c>
    </row>
    <row r="68" spans="1:10" ht="15" x14ac:dyDescent="0.2">
      <c r="A68" s="13">
        <v>42979</v>
      </c>
      <c r="B68" s="14">
        <f>15.4603 * CHOOSE(CONTROL!$C$15, $E$9, 100%, $G$9) + CHOOSE(CONTROL!$C$38, 0.0264, 0)</f>
        <v>15.486700000000001</v>
      </c>
      <c r="C68" s="14">
        <f>14.8262 * CHOOSE(CONTROL!$C$15, $E$9, 100%, $G$9) + CHOOSE(CONTROL!$C$38, 0.0354, 0)</f>
        <v>14.861599999999999</v>
      </c>
      <c r="D68" s="14">
        <f>14.8184 * CHOOSE(CONTROL!$C$15, $E$9, 100%, $G$9) + CHOOSE(CONTROL!$C$38, 0.0354, 0)</f>
        <v>14.8538</v>
      </c>
      <c r="E68" s="46">
        <f>15.3041 * CHOOSE(CONTROL!$C$15, $E$9, 100%, $G$9) + CHOOSE(CONTROL!$C$38, 0.0354, 0)</f>
        <v>15.339499999999999</v>
      </c>
      <c r="F68" s="45">
        <f>15.3041 * CHOOSE(CONTROL!$C$15, $E$9, 100%, $G$9) + CHOOSE(CONTROL!$C$38, 0.0264, 0)</f>
        <v>15.330500000000001</v>
      </c>
      <c r="G68" s="14">
        <f>14.8246 * CHOOSE(CONTROL!$C$15, $E$9, 100%, $G$9) + CHOOSE(CONTROL!$C$38, 0.0354, 0)</f>
        <v>14.86</v>
      </c>
      <c r="H68" s="14">
        <f>14.8246 * CHOOSE(CONTROL!$C$15, $E$9, 100%, $G$9) + CHOOSE(CONTROL!$C$38, 0.0354, 0)</f>
        <v>14.86</v>
      </c>
      <c r="I68" s="14">
        <f>14.8262 * CHOOSE(CONTROL!$C$15, $E$9, 100%, $G$9) + CHOOSE(CONTROL!$C$38, 0.0354, 0)</f>
        <v>14.861599999999999</v>
      </c>
      <c r="J68" s="44">
        <f>98.4208</f>
        <v>98.4208</v>
      </c>
    </row>
    <row r="69" spans="1:10" ht="15" x14ac:dyDescent="0.2">
      <c r="A69" s="13">
        <v>43009</v>
      </c>
      <c r="B69" s="14">
        <f>15.7548 * CHOOSE(CONTROL!$C$15, $E$9, 100%, $G$9) + CHOOSE(CONTROL!$C$38, 0.0251, 0)</f>
        <v>15.7799</v>
      </c>
      <c r="C69" s="14">
        <f>15.1197 * CHOOSE(CONTROL!$C$15, $E$9, 100%, $G$9) + CHOOSE(CONTROL!$C$38, 0.0342, 0)</f>
        <v>15.1539</v>
      </c>
      <c r="D69" s="14">
        <f>15.1119 * CHOOSE(CONTROL!$C$15, $E$9, 100%, $G$9) + CHOOSE(CONTROL!$C$38, 0.0342, 0)</f>
        <v>15.146100000000001</v>
      </c>
      <c r="E69" s="46">
        <f>15.5986 * CHOOSE(CONTROL!$C$15, $E$9, 100%, $G$9) + CHOOSE(CONTROL!$C$38, 0.0342, 0)</f>
        <v>15.6328</v>
      </c>
      <c r="F69" s="45">
        <f>15.5986 * CHOOSE(CONTROL!$C$15, $E$9, 100%, $G$9) + CHOOSE(CONTROL!$C$38, 0.0251, 0)</f>
        <v>15.623699999999999</v>
      </c>
      <c r="G69" s="14">
        <f>15.1181 * CHOOSE(CONTROL!$C$15, $E$9, 100%, $G$9) + CHOOSE(CONTROL!$C$38, 0.0342, 0)</f>
        <v>15.1523</v>
      </c>
      <c r="H69" s="14">
        <f>15.1181 * CHOOSE(CONTROL!$C$15, $E$9, 100%, $G$9) + CHOOSE(CONTROL!$C$38, 0.0342, 0)</f>
        <v>15.1523</v>
      </c>
      <c r="I69" s="14">
        <f>15.1197 * CHOOSE(CONTROL!$C$15, $E$9, 100%, $G$9) + CHOOSE(CONTROL!$C$38, 0.0342, 0)</f>
        <v>15.1539</v>
      </c>
      <c r="J69" s="44">
        <f>95.213</f>
        <v>95.212999999999994</v>
      </c>
    </row>
    <row r="70" spans="1:10" ht="15" x14ac:dyDescent="0.2">
      <c r="A70" s="13">
        <v>43040</v>
      </c>
      <c r="B70" s="14">
        <f>16.0067 * CHOOSE(CONTROL!$C$15, $E$9, 100%, $G$9) + CHOOSE(CONTROL!$C$38, 0.0251, 0)</f>
        <v>16.031799999999997</v>
      </c>
      <c r="C70" s="14">
        <f>15.3706 * CHOOSE(CONTROL!$C$15, $E$9, 100%, $G$9) + CHOOSE(CONTROL!$C$38, 0.0342, 0)</f>
        <v>15.4048</v>
      </c>
      <c r="D70" s="14">
        <f>15.3628 * CHOOSE(CONTROL!$C$15, $E$9, 100%, $G$9) + CHOOSE(CONTROL!$C$38, 0.0342, 0)</f>
        <v>15.397</v>
      </c>
      <c r="E70" s="46">
        <f>15.8504 * CHOOSE(CONTROL!$C$15, $E$9, 100%, $G$9) + CHOOSE(CONTROL!$C$38, 0.0342, 0)</f>
        <v>15.884600000000001</v>
      </c>
      <c r="F70" s="45">
        <f>15.8504 * CHOOSE(CONTROL!$C$15, $E$9, 100%, $G$9) + CHOOSE(CONTROL!$C$38, 0.0251, 0)</f>
        <v>15.875500000000001</v>
      </c>
      <c r="G70" s="14">
        <f>15.369 * CHOOSE(CONTROL!$C$15, $E$9, 100%, $G$9) + CHOOSE(CONTROL!$C$38, 0.0342, 0)</f>
        <v>15.4032</v>
      </c>
      <c r="H70" s="14">
        <f>15.369 * CHOOSE(CONTROL!$C$15, $E$9, 100%, $G$9) + CHOOSE(CONTROL!$C$38, 0.0342, 0)</f>
        <v>15.4032</v>
      </c>
      <c r="I70" s="14">
        <f>15.3706 * CHOOSE(CONTROL!$C$15, $E$9, 100%, $G$9) + CHOOSE(CONTROL!$C$38, 0.0342, 0)</f>
        <v>15.4048</v>
      </c>
      <c r="J70" s="44">
        <f>94.7293</f>
        <v>94.729299999999995</v>
      </c>
    </row>
    <row r="71" spans="1:10" ht="15" x14ac:dyDescent="0.2">
      <c r="A71" s="13">
        <v>43070</v>
      </c>
      <c r="B71" s="14">
        <f>16.7197 * CHOOSE(CONTROL!$C$15, $E$9, 100%, $G$9) + CHOOSE(CONTROL!$C$38, 0.0251, 0)</f>
        <v>16.744799999999998</v>
      </c>
      <c r="C71" s="14">
        <f>16.0826 * CHOOSE(CONTROL!$C$15, $E$9, 100%, $G$9) + CHOOSE(CONTROL!$C$38, 0.0342, 0)</f>
        <v>16.116799999999998</v>
      </c>
      <c r="D71" s="14">
        <f>16.0748 * CHOOSE(CONTROL!$C$15, $E$9, 100%, $G$9) + CHOOSE(CONTROL!$C$38, 0.0342, 0)</f>
        <v>16.108999999999998</v>
      </c>
      <c r="E71" s="46">
        <f>16.5635 * CHOOSE(CONTROL!$C$15, $E$9, 100%, $G$9) + CHOOSE(CONTROL!$C$38, 0.0342, 0)</f>
        <v>16.5977</v>
      </c>
      <c r="F71" s="45">
        <f>16.5635 * CHOOSE(CONTROL!$C$15, $E$9, 100%, $G$9) + CHOOSE(CONTROL!$C$38, 0.0251, 0)</f>
        <v>16.5886</v>
      </c>
      <c r="G71" s="14">
        <f>16.0811 * CHOOSE(CONTROL!$C$15, $E$9, 100%, $G$9) + CHOOSE(CONTROL!$C$38, 0.0342, 0)</f>
        <v>16.115299999999998</v>
      </c>
      <c r="H71" s="14">
        <f>16.0811 * CHOOSE(CONTROL!$C$15, $E$9, 100%, $G$9) + CHOOSE(CONTROL!$C$38, 0.0342, 0)</f>
        <v>16.115299999999998</v>
      </c>
      <c r="I71" s="14">
        <f>16.0826 * CHOOSE(CONTROL!$C$15, $E$9, 100%, $G$9) + CHOOSE(CONTROL!$C$38, 0.0342, 0)</f>
        <v>16.116799999999998</v>
      </c>
      <c r="J71" s="44">
        <f>92.1075</f>
        <v>92.107500000000002</v>
      </c>
    </row>
    <row r="72" spans="1:10" ht="15" x14ac:dyDescent="0.2">
      <c r="A72" s="13">
        <v>43101</v>
      </c>
      <c r="B72" s="14">
        <f>18.2277 * CHOOSE(CONTROL!$C$15, $E$9, 100%, $G$9) + CHOOSE(CONTROL!$C$38, 0.0251, 0)</f>
        <v>18.252799999999997</v>
      </c>
      <c r="C72" s="14">
        <f>17.7557 * CHOOSE(CONTROL!$C$15, $E$9, 100%, $G$9) + CHOOSE(CONTROL!$C$38, 0.0342, 0)</f>
        <v>17.789899999999999</v>
      </c>
      <c r="D72" s="14">
        <f>17.7479 * CHOOSE(CONTROL!$C$15, $E$9, 100%, $G$9) + CHOOSE(CONTROL!$C$38, 0.0342, 0)</f>
        <v>17.7821</v>
      </c>
      <c r="E72" s="46">
        <f>18.0715 * CHOOSE(CONTROL!$C$15, $E$9, 100%, $G$9) + CHOOSE(CONTROL!$C$38, 0.0342, 0)</f>
        <v>18.105699999999999</v>
      </c>
      <c r="F72" s="45">
        <f>18.0715 * CHOOSE(CONTROL!$C$15, $E$9, 100%, $G$9) + CHOOSE(CONTROL!$C$38, 0.0251, 0)</f>
        <v>18.096599999999999</v>
      </c>
      <c r="G72" s="14">
        <f>17.7542 * CHOOSE(CONTROL!$C$15, $E$9, 100%, $G$9) + CHOOSE(CONTROL!$C$38, 0.0342, 0)</f>
        <v>17.788399999999999</v>
      </c>
      <c r="H72" s="14">
        <f>17.7542 * CHOOSE(CONTROL!$C$15, $E$9, 100%, $G$9) + CHOOSE(CONTROL!$C$38, 0.0342, 0)</f>
        <v>17.788399999999999</v>
      </c>
      <c r="I72" s="14">
        <f>17.7557 * CHOOSE(CONTROL!$C$15, $E$9, 100%, $G$9) + CHOOSE(CONTROL!$C$38, 0.0342, 0)</f>
        <v>17.789899999999999</v>
      </c>
      <c r="J72" s="44">
        <f>100.9401</f>
        <v>100.9401</v>
      </c>
    </row>
    <row r="73" spans="1:10" ht="15" x14ac:dyDescent="0.2">
      <c r="A73" s="13">
        <v>43132</v>
      </c>
      <c r="B73" s="14">
        <f>18.5174 * CHOOSE(CONTROL!$C$15, $E$9, 100%, $G$9) + CHOOSE(CONTROL!$C$38, 0.0251, 0)</f>
        <v>18.542499999999997</v>
      </c>
      <c r="C73" s="14">
        <f>18.0447 * CHOOSE(CONTROL!$C$15, $E$9, 100%, $G$9) + CHOOSE(CONTROL!$C$38, 0.0342, 0)</f>
        <v>18.078899999999997</v>
      </c>
      <c r="D73" s="14">
        <f>18.0369 * CHOOSE(CONTROL!$C$15, $E$9, 100%, $G$9) + CHOOSE(CONTROL!$C$38, 0.0342, 0)</f>
        <v>18.071099999999998</v>
      </c>
      <c r="E73" s="46">
        <f>18.3612 * CHOOSE(CONTROL!$C$15, $E$9, 100%, $G$9) + CHOOSE(CONTROL!$C$38, 0.0342, 0)</f>
        <v>18.395399999999999</v>
      </c>
      <c r="F73" s="45">
        <f>18.3612 * CHOOSE(CONTROL!$C$15, $E$9, 100%, $G$9) + CHOOSE(CONTROL!$C$38, 0.0251, 0)</f>
        <v>18.386299999999999</v>
      </c>
      <c r="G73" s="14">
        <f>18.0432 * CHOOSE(CONTROL!$C$15, $E$9, 100%, $G$9) + CHOOSE(CONTROL!$C$38, 0.0342, 0)</f>
        <v>18.077399999999997</v>
      </c>
      <c r="H73" s="14">
        <f>18.0432 * CHOOSE(CONTROL!$C$15, $E$9, 100%, $G$9) + CHOOSE(CONTROL!$C$38, 0.0342, 0)</f>
        <v>18.077399999999997</v>
      </c>
      <c r="I73" s="14">
        <f>18.0447 * CHOOSE(CONTROL!$C$15, $E$9, 100%, $G$9) + CHOOSE(CONTROL!$C$38, 0.0342, 0)</f>
        <v>18.078899999999997</v>
      </c>
      <c r="J73" s="44">
        <f>100.8669</f>
        <v>100.8669</v>
      </c>
    </row>
    <row r="74" spans="1:10" ht="15" x14ac:dyDescent="0.2">
      <c r="A74" s="13">
        <v>43160</v>
      </c>
      <c r="B74" s="14">
        <f>17.9665 * CHOOSE(CONTROL!$C$15, $E$9, 100%, $G$9) + CHOOSE(CONTROL!$C$38, 0.0251, 0)</f>
        <v>17.991599999999998</v>
      </c>
      <c r="C74" s="14">
        <f>17.4932 * CHOOSE(CONTROL!$C$15, $E$9, 100%, $G$9) + CHOOSE(CONTROL!$C$38, 0.0342, 0)</f>
        <v>17.5274</v>
      </c>
      <c r="D74" s="14">
        <f>17.4854 * CHOOSE(CONTROL!$C$15, $E$9, 100%, $G$9) + CHOOSE(CONTROL!$C$38, 0.0342, 0)</f>
        <v>17.519599999999997</v>
      </c>
      <c r="E74" s="46">
        <f>17.8103 * CHOOSE(CONTROL!$C$15, $E$9, 100%, $G$9) + CHOOSE(CONTROL!$C$38, 0.0342, 0)</f>
        <v>17.8445</v>
      </c>
      <c r="F74" s="45">
        <f>17.8103 * CHOOSE(CONTROL!$C$15, $E$9, 100%, $G$9) + CHOOSE(CONTROL!$C$38, 0.0251, 0)</f>
        <v>17.8354</v>
      </c>
      <c r="G74" s="14">
        <f>17.4916 * CHOOSE(CONTROL!$C$15, $E$9, 100%, $G$9) + CHOOSE(CONTROL!$C$38, 0.0342, 0)</f>
        <v>17.525799999999997</v>
      </c>
      <c r="H74" s="14">
        <f>17.4916 * CHOOSE(CONTROL!$C$15, $E$9, 100%, $G$9) + CHOOSE(CONTROL!$C$38, 0.0342, 0)</f>
        <v>17.525799999999997</v>
      </c>
      <c r="I74" s="14">
        <f>17.4932 * CHOOSE(CONTROL!$C$15, $E$9, 100%, $G$9) + CHOOSE(CONTROL!$C$38, 0.0342, 0)</f>
        <v>17.5274</v>
      </c>
      <c r="J74" s="44">
        <f>106.4019</f>
        <v>106.4019</v>
      </c>
    </row>
    <row r="75" spans="1:10" ht="15" x14ac:dyDescent="0.2">
      <c r="A75" s="13">
        <v>43191</v>
      </c>
      <c r="B75" s="14">
        <f>17.4315 * CHOOSE(CONTROL!$C$15, $E$9, 100%, $G$9) + CHOOSE(CONTROL!$C$38, 0.0251, 0)</f>
        <v>17.456599999999998</v>
      </c>
      <c r="C75" s="14">
        <f>16.9575 * CHOOSE(CONTROL!$C$15, $E$9, 100%, $G$9) + CHOOSE(CONTROL!$C$38, 0.0342, 0)</f>
        <v>16.991699999999998</v>
      </c>
      <c r="D75" s="14">
        <f>16.9497 * CHOOSE(CONTROL!$C$15, $E$9, 100%, $G$9) + CHOOSE(CONTROL!$C$38, 0.0342, 0)</f>
        <v>16.983899999999998</v>
      </c>
      <c r="E75" s="46">
        <f>17.2753 * CHOOSE(CONTROL!$C$15, $E$9, 100%, $G$9) + CHOOSE(CONTROL!$C$38, 0.0342, 0)</f>
        <v>17.3095</v>
      </c>
      <c r="F75" s="45">
        <f>17.2753 * CHOOSE(CONTROL!$C$15, $E$9, 100%, $G$9) + CHOOSE(CONTROL!$C$38, 0.0251, 0)</f>
        <v>17.3004</v>
      </c>
      <c r="G75" s="14">
        <f>16.956 * CHOOSE(CONTROL!$C$15, $E$9, 100%, $G$9) + CHOOSE(CONTROL!$C$38, 0.0342, 0)</f>
        <v>16.990199999999998</v>
      </c>
      <c r="H75" s="14">
        <f>16.956 * CHOOSE(CONTROL!$C$15, $E$9, 100%, $G$9) + CHOOSE(CONTROL!$C$38, 0.0342, 0)</f>
        <v>16.990199999999998</v>
      </c>
      <c r="I75" s="14">
        <f>16.9575 * CHOOSE(CONTROL!$C$15, $E$9, 100%, $G$9) + CHOOSE(CONTROL!$C$38, 0.0342, 0)</f>
        <v>16.991699999999998</v>
      </c>
      <c r="J75" s="44">
        <f>113.5434</f>
        <v>113.54340000000001</v>
      </c>
    </row>
    <row r="76" spans="1:10" ht="15" x14ac:dyDescent="0.2">
      <c r="A76" s="13">
        <v>43221</v>
      </c>
      <c r="B76" s="14">
        <f>16.8701 * CHOOSE(CONTROL!$C$15, $E$9, 100%, $G$9) + CHOOSE(CONTROL!$C$38, 0.0264, 0)</f>
        <v>16.8965</v>
      </c>
      <c r="C76" s="14">
        <f>16.3954 * CHOOSE(CONTROL!$C$15, $E$9, 100%, $G$9) + CHOOSE(CONTROL!$C$38, 0.0354, 0)</f>
        <v>16.430799999999998</v>
      </c>
      <c r="D76" s="14">
        <f>16.3876 * CHOOSE(CONTROL!$C$15, $E$9, 100%, $G$9) + CHOOSE(CONTROL!$C$38, 0.0354, 0)</f>
        <v>16.422999999999998</v>
      </c>
      <c r="E76" s="46">
        <f>16.7138 * CHOOSE(CONTROL!$C$15, $E$9, 100%, $G$9) + CHOOSE(CONTROL!$C$38, 0.0354, 0)</f>
        <v>16.749199999999998</v>
      </c>
      <c r="F76" s="45">
        <f>16.7138 * CHOOSE(CONTROL!$C$15, $E$9, 100%, $G$9) + CHOOSE(CONTROL!$C$38, 0.0264, 0)</f>
        <v>16.740199999999998</v>
      </c>
      <c r="G76" s="14">
        <f>16.3939 * CHOOSE(CONTROL!$C$15, $E$9, 100%, $G$9) + CHOOSE(CONTROL!$C$38, 0.0354, 0)</f>
        <v>16.429299999999998</v>
      </c>
      <c r="H76" s="14">
        <f>16.3939 * CHOOSE(CONTROL!$C$15, $E$9, 100%, $G$9) + CHOOSE(CONTROL!$C$38, 0.0354, 0)</f>
        <v>16.429299999999998</v>
      </c>
      <c r="I76" s="14">
        <f>16.3954 * CHOOSE(CONTROL!$C$15, $E$9, 100%, $G$9) + CHOOSE(CONTROL!$C$38, 0.0354, 0)</f>
        <v>16.430799999999998</v>
      </c>
      <c r="J76" s="44">
        <f>117.5955</f>
        <v>117.5955</v>
      </c>
    </row>
    <row r="77" spans="1:10" ht="15" x14ac:dyDescent="0.2">
      <c r="A77" s="13">
        <v>43252</v>
      </c>
      <c r="B77" s="14">
        <f>16.4848 * CHOOSE(CONTROL!$C$15, $E$9, 100%, $G$9) + CHOOSE(CONTROL!$C$38, 0.0264, 0)</f>
        <v>16.511199999999999</v>
      </c>
      <c r="C77" s="14">
        <f>16.0095 * CHOOSE(CONTROL!$C$15, $E$9, 100%, $G$9) + CHOOSE(CONTROL!$C$38, 0.0354, 0)</f>
        <v>16.044899999999998</v>
      </c>
      <c r="D77" s="14">
        <f>16.0017 * CHOOSE(CONTROL!$C$15, $E$9, 100%, $G$9) + CHOOSE(CONTROL!$C$38, 0.0354, 0)</f>
        <v>16.037099999999999</v>
      </c>
      <c r="E77" s="46">
        <f>16.3286 * CHOOSE(CONTROL!$C$15, $E$9, 100%, $G$9) + CHOOSE(CONTROL!$C$38, 0.0354, 0)</f>
        <v>16.364000000000001</v>
      </c>
      <c r="F77" s="45">
        <f>16.3286 * CHOOSE(CONTROL!$C$15, $E$9, 100%, $G$9) + CHOOSE(CONTROL!$C$38, 0.0264, 0)</f>
        <v>16.355</v>
      </c>
      <c r="G77" s="14">
        <f>16.008 * CHOOSE(CONTROL!$C$15, $E$9, 100%, $G$9) + CHOOSE(CONTROL!$C$38, 0.0354, 0)</f>
        <v>16.043399999999998</v>
      </c>
      <c r="H77" s="14">
        <f>16.008 * CHOOSE(CONTROL!$C$15, $E$9, 100%, $G$9) + CHOOSE(CONTROL!$C$38, 0.0354, 0)</f>
        <v>16.043399999999998</v>
      </c>
      <c r="I77" s="14">
        <f>16.0095 * CHOOSE(CONTROL!$C$15, $E$9, 100%, $G$9) + CHOOSE(CONTROL!$C$38, 0.0354, 0)</f>
        <v>16.044899999999998</v>
      </c>
      <c r="J77" s="44">
        <f>119.5356</f>
        <v>119.5356</v>
      </c>
    </row>
    <row r="78" spans="1:10" ht="15" x14ac:dyDescent="0.2">
      <c r="A78" s="13">
        <v>43282</v>
      </c>
      <c r="B78" s="14">
        <f>16.278 * CHOOSE(CONTROL!$C$15, $E$9, 100%, $G$9) + CHOOSE(CONTROL!$C$38, 0.0264, 0)</f>
        <v>16.304399999999998</v>
      </c>
      <c r="C78" s="14">
        <f>15.8021 * CHOOSE(CONTROL!$C$15, $E$9, 100%, $G$9) + CHOOSE(CONTROL!$C$38, 0.0354, 0)</f>
        <v>15.837499999999999</v>
      </c>
      <c r="D78" s="14">
        <f>15.7943 * CHOOSE(CONTROL!$C$15, $E$9, 100%, $G$9) + CHOOSE(CONTROL!$C$38, 0.0354, 0)</f>
        <v>15.829699999999999</v>
      </c>
      <c r="E78" s="46">
        <f>16.1218 * CHOOSE(CONTROL!$C$15, $E$9, 100%, $G$9) + CHOOSE(CONTROL!$C$38, 0.0354, 0)</f>
        <v>16.1572</v>
      </c>
      <c r="F78" s="45">
        <f>16.1218 * CHOOSE(CONTROL!$C$15, $E$9, 100%, $G$9) + CHOOSE(CONTROL!$C$38, 0.0264, 0)</f>
        <v>16.148199999999999</v>
      </c>
      <c r="G78" s="14">
        <f>15.8005 * CHOOSE(CONTROL!$C$15, $E$9, 100%, $G$9) + CHOOSE(CONTROL!$C$38, 0.0354, 0)</f>
        <v>15.835899999999999</v>
      </c>
      <c r="H78" s="14">
        <f>15.8005 * CHOOSE(CONTROL!$C$15, $E$9, 100%, $G$9) + CHOOSE(CONTROL!$C$38, 0.0354, 0)</f>
        <v>15.835899999999999</v>
      </c>
      <c r="I78" s="14">
        <f>15.8021 * CHOOSE(CONTROL!$C$15, $E$9, 100%, $G$9) + CHOOSE(CONTROL!$C$38, 0.0354, 0)</f>
        <v>15.837499999999999</v>
      </c>
      <c r="J78" s="44">
        <f>119.2216</f>
        <v>119.2216</v>
      </c>
    </row>
    <row r="79" spans="1:10" ht="15" x14ac:dyDescent="0.2">
      <c r="A79" s="13">
        <v>43313</v>
      </c>
      <c r="B79" s="14">
        <f>16.4287 * CHOOSE(CONTROL!$C$15, $E$9, 100%, $G$9) + CHOOSE(CONTROL!$C$38, 0.0264, 0)</f>
        <v>16.455099999999998</v>
      </c>
      <c r="C79" s="14">
        <f>15.9521 * CHOOSE(CONTROL!$C$15, $E$9, 100%, $G$9) + CHOOSE(CONTROL!$C$38, 0.0354, 0)</f>
        <v>15.987499999999999</v>
      </c>
      <c r="D79" s="14">
        <f>15.9443 * CHOOSE(CONTROL!$C$15, $E$9, 100%, $G$9) + CHOOSE(CONTROL!$C$38, 0.0354, 0)</f>
        <v>15.979699999999999</v>
      </c>
      <c r="E79" s="46">
        <f>16.2725 * CHOOSE(CONTROL!$C$15, $E$9, 100%, $G$9) + CHOOSE(CONTROL!$C$38, 0.0354, 0)</f>
        <v>16.3079</v>
      </c>
      <c r="F79" s="45">
        <f>16.2725 * CHOOSE(CONTROL!$C$15, $E$9, 100%, $G$9) + CHOOSE(CONTROL!$C$38, 0.0264, 0)</f>
        <v>16.2989</v>
      </c>
      <c r="G79" s="14">
        <f>15.9505 * CHOOSE(CONTROL!$C$15, $E$9, 100%, $G$9) + CHOOSE(CONTROL!$C$38, 0.0354, 0)</f>
        <v>15.985899999999999</v>
      </c>
      <c r="H79" s="14">
        <f>15.9505 * CHOOSE(CONTROL!$C$15, $E$9, 100%, $G$9) + CHOOSE(CONTROL!$C$38, 0.0354, 0)</f>
        <v>15.985899999999999</v>
      </c>
      <c r="I79" s="14">
        <f>15.9521 * CHOOSE(CONTROL!$C$15, $E$9, 100%, $G$9) + CHOOSE(CONTROL!$C$38, 0.0354, 0)</f>
        <v>15.987499999999999</v>
      </c>
      <c r="J79" s="44">
        <f>116.6861</f>
        <v>116.6861</v>
      </c>
    </row>
    <row r="80" spans="1:10" ht="15" x14ac:dyDescent="0.2">
      <c r="A80" s="13">
        <v>43344</v>
      </c>
      <c r="B80" s="14">
        <f>16.7836 * CHOOSE(CONTROL!$C$15, $E$9, 100%, $G$9) + CHOOSE(CONTROL!$C$38, 0.0264, 0)</f>
        <v>16.809999999999999</v>
      </c>
      <c r="C80" s="14">
        <f>16.3063 * CHOOSE(CONTROL!$C$15, $E$9, 100%, $G$9) + CHOOSE(CONTROL!$C$38, 0.0354, 0)</f>
        <v>16.341699999999999</v>
      </c>
      <c r="D80" s="14">
        <f>16.2985 * CHOOSE(CONTROL!$C$15, $E$9, 100%, $G$9) + CHOOSE(CONTROL!$C$38, 0.0354, 0)</f>
        <v>16.3339</v>
      </c>
      <c r="E80" s="46">
        <f>16.6274 * CHOOSE(CONTROL!$C$15, $E$9, 100%, $G$9) + CHOOSE(CONTROL!$C$38, 0.0354, 0)</f>
        <v>16.662800000000001</v>
      </c>
      <c r="F80" s="45">
        <f>16.6274 * CHOOSE(CONTROL!$C$15, $E$9, 100%, $G$9) + CHOOSE(CONTROL!$C$38, 0.0264, 0)</f>
        <v>16.6538</v>
      </c>
      <c r="G80" s="14">
        <f>16.3048 * CHOOSE(CONTROL!$C$15, $E$9, 100%, $G$9) + CHOOSE(CONTROL!$C$38, 0.0354, 0)</f>
        <v>16.340199999999999</v>
      </c>
      <c r="H80" s="14">
        <f>16.3048 * CHOOSE(CONTROL!$C$15, $E$9, 100%, $G$9) + CHOOSE(CONTROL!$C$38, 0.0354, 0)</f>
        <v>16.340199999999999</v>
      </c>
      <c r="I80" s="14">
        <f>16.3063 * CHOOSE(CONTROL!$C$15, $E$9, 100%, $G$9) + CHOOSE(CONTROL!$C$38, 0.0354, 0)</f>
        <v>16.341699999999999</v>
      </c>
      <c r="J80" s="44">
        <f>113.04</f>
        <v>113.04</v>
      </c>
    </row>
    <row r="81" spans="1:10" ht="15" x14ac:dyDescent="0.2">
      <c r="A81" s="13">
        <v>43374</v>
      </c>
      <c r="B81" s="14">
        <f>17.0874 * CHOOSE(CONTROL!$C$15, $E$9, 100%, $G$9) + CHOOSE(CONTROL!$C$38, 0.0251, 0)</f>
        <v>17.112499999999997</v>
      </c>
      <c r="C81" s="14">
        <f>16.6095 * CHOOSE(CONTROL!$C$15, $E$9, 100%, $G$9) + CHOOSE(CONTROL!$C$38, 0.0342, 0)</f>
        <v>16.643699999999999</v>
      </c>
      <c r="D81" s="14">
        <f>16.6017 * CHOOSE(CONTROL!$C$15, $E$9, 100%, $G$9) + CHOOSE(CONTROL!$C$38, 0.0342, 0)</f>
        <v>16.635899999999999</v>
      </c>
      <c r="E81" s="46">
        <f>16.9312 * CHOOSE(CONTROL!$C$15, $E$9, 100%, $G$9) + CHOOSE(CONTROL!$C$38, 0.0342, 0)</f>
        <v>16.965399999999999</v>
      </c>
      <c r="F81" s="45">
        <f>16.9312 * CHOOSE(CONTROL!$C$15, $E$9, 100%, $G$9) + CHOOSE(CONTROL!$C$38, 0.0251, 0)</f>
        <v>16.956299999999999</v>
      </c>
      <c r="G81" s="14">
        <f>16.6079 * CHOOSE(CONTROL!$C$15, $E$9, 100%, $G$9) + CHOOSE(CONTROL!$C$38, 0.0342, 0)</f>
        <v>16.642099999999999</v>
      </c>
      <c r="H81" s="14">
        <f>16.6079 * CHOOSE(CONTROL!$C$15, $E$9, 100%, $G$9) + CHOOSE(CONTROL!$C$38, 0.0342, 0)</f>
        <v>16.642099999999999</v>
      </c>
      <c r="I81" s="14">
        <f>16.6095 * CHOOSE(CONTROL!$C$15, $E$9, 100%, $G$9) + CHOOSE(CONTROL!$C$38, 0.0342, 0)</f>
        <v>16.643699999999999</v>
      </c>
      <c r="J81" s="44">
        <f>109.3557</f>
        <v>109.3557</v>
      </c>
    </row>
    <row r="82" spans="1:10" ht="15" x14ac:dyDescent="0.2">
      <c r="A82" s="13">
        <v>43405</v>
      </c>
      <c r="B82" s="14">
        <f>17.3475 * CHOOSE(CONTROL!$C$15, $E$9, 100%, $G$9) + CHOOSE(CONTROL!$C$38, 0.0251, 0)</f>
        <v>17.372599999999998</v>
      </c>
      <c r="C82" s="14">
        <f>16.8689 * CHOOSE(CONTROL!$C$15, $E$9, 100%, $G$9) + CHOOSE(CONTROL!$C$38, 0.0342, 0)</f>
        <v>16.903099999999998</v>
      </c>
      <c r="D82" s="14">
        <f>16.8611 * CHOOSE(CONTROL!$C$15, $E$9, 100%, $G$9) + CHOOSE(CONTROL!$C$38, 0.0342, 0)</f>
        <v>16.895299999999999</v>
      </c>
      <c r="E82" s="46">
        <f>17.1913 * CHOOSE(CONTROL!$C$15, $E$9, 100%, $G$9) + CHOOSE(CONTROL!$C$38, 0.0342, 0)</f>
        <v>17.225499999999997</v>
      </c>
      <c r="F82" s="45">
        <f>17.1913 * CHOOSE(CONTROL!$C$15, $E$9, 100%, $G$9) + CHOOSE(CONTROL!$C$38, 0.0251, 0)</f>
        <v>17.216399999999997</v>
      </c>
      <c r="G82" s="14">
        <f>16.8674 * CHOOSE(CONTROL!$C$15, $E$9, 100%, $G$9) + CHOOSE(CONTROL!$C$38, 0.0342, 0)</f>
        <v>16.901599999999998</v>
      </c>
      <c r="H82" s="14">
        <f>16.8674 * CHOOSE(CONTROL!$C$15, $E$9, 100%, $G$9) + CHOOSE(CONTROL!$C$38, 0.0342, 0)</f>
        <v>16.901599999999998</v>
      </c>
      <c r="I82" s="14">
        <f>16.8689 * CHOOSE(CONTROL!$C$15, $E$9, 100%, $G$9) + CHOOSE(CONTROL!$C$38, 0.0342, 0)</f>
        <v>16.903099999999998</v>
      </c>
      <c r="J82" s="44">
        <f>108.8002</f>
        <v>108.8002</v>
      </c>
    </row>
    <row r="83" spans="1:10" ht="15" x14ac:dyDescent="0.2">
      <c r="A83" s="13">
        <v>43435</v>
      </c>
      <c r="B83" s="14">
        <f>18.0804 * CHOOSE(CONTROL!$C$15, $E$9, 100%, $G$9) + CHOOSE(CONTROL!$C$38, 0.0251, 0)</f>
        <v>18.105499999999999</v>
      </c>
      <c r="C83" s="14">
        <f>17.6011 * CHOOSE(CONTROL!$C$15, $E$9, 100%, $G$9) + CHOOSE(CONTROL!$C$38, 0.0342, 0)</f>
        <v>17.635299999999997</v>
      </c>
      <c r="D83" s="14">
        <f>17.5933 * CHOOSE(CONTROL!$C$15, $E$9, 100%, $G$9) + CHOOSE(CONTROL!$C$38, 0.0342, 0)</f>
        <v>17.627499999999998</v>
      </c>
      <c r="E83" s="46">
        <f>17.9241 * CHOOSE(CONTROL!$C$15, $E$9, 100%, $G$9) + CHOOSE(CONTROL!$C$38, 0.0342, 0)</f>
        <v>17.958299999999998</v>
      </c>
      <c r="F83" s="45">
        <f>17.9241 * CHOOSE(CONTROL!$C$15, $E$9, 100%, $G$9) + CHOOSE(CONTROL!$C$38, 0.0251, 0)</f>
        <v>17.949199999999998</v>
      </c>
      <c r="G83" s="14">
        <f>17.5996 * CHOOSE(CONTROL!$C$15, $E$9, 100%, $G$9) + CHOOSE(CONTROL!$C$38, 0.0342, 0)</f>
        <v>17.633799999999997</v>
      </c>
      <c r="H83" s="14">
        <f>17.5996 * CHOOSE(CONTROL!$C$15, $E$9, 100%, $G$9) + CHOOSE(CONTROL!$C$38, 0.0342, 0)</f>
        <v>17.633799999999997</v>
      </c>
      <c r="I83" s="14">
        <f>17.6011 * CHOOSE(CONTROL!$C$15, $E$9, 100%, $G$9) + CHOOSE(CONTROL!$C$38, 0.0342, 0)</f>
        <v>17.635299999999997</v>
      </c>
      <c r="J83" s="44">
        <f>105.789</f>
        <v>105.789</v>
      </c>
    </row>
    <row r="84" spans="1:10" ht="15" x14ac:dyDescent="0.2">
      <c r="A84" s="13">
        <v>43466</v>
      </c>
      <c r="B84" s="14">
        <f>18.7068 * CHOOSE(CONTROL!$C$15, $E$9, 100%, $G$9) + CHOOSE(CONTROL!$C$38, 0.0251, 0)</f>
        <v>18.7319</v>
      </c>
      <c r="C84" s="14">
        <f>18.2023 * CHOOSE(CONTROL!$C$15, $E$9, 100%, $G$9) + CHOOSE(CONTROL!$C$38, 0.0342, 0)</f>
        <v>18.236499999999999</v>
      </c>
      <c r="D84" s="14">
        <f>18.1945 * CHOOSE(CONTROL!$C$15, $E$9, 100%, $G$9) + CHOOSE(CONTROL!$C$38, 0.0342, 0)</f>
        <v>18.2287</v>
      </c>
      <c r="E84" s="46">
        <f>18.5505 * CHOOSE(CONTROL!$C$15, $E$9, 100%, $G$9) + CHOOSE(CONTROL!$C$38, 0.0342, 0)</f>
        <v>18.584699999999998</v>
      </c>
      <c r="F84" s="45">
        <f>18.5505 * CHOOSE(CONTROL!$C$15, $E$9, 100%, $G$9) + CHOOSE(CONTROL!$C$38, 0.0251, 0)</f>
        <v>18.575599999999998</v>
      </c>
      <c r="G84" s="14">
        <f>18.2008 * CHOOSE(CONTROL!$C$15, $E$9, 100%, $G$9) + CHOOSE(CONTROL!$C$38, 0.0342, 0)</f>
        <v>18.234999999999999</v>
      </c>
      <c r="H84" s="14">
        <f>18.2008 * CHOOSE(CONTROL!$C$15, $E$9, 100%, $G$9) + CHOOSE(CONTROL!$C$38, 0.0342, 0)</f>
        <v>18.234999999999999</v>
      </c>
      <c r="I84" s="14">
        <f>18.2023 * CHOOSE(CONTROL!$C$15, $E$9, 100%, $G$9) + CHOOSE(CONTROL!$C$38, 0.0342, 0)</f>
        <v>18.236499999999999</v>
      </c>
      <c r="J84" s="44">
        <f>103.269</f>
        <v>103.26900000000001</v>
      </c>
    </row>
    <row r="85" spans="1:10" ht="15" x14ac:dyDescent="0.2">
      <c r="A85" s="13">
        <v>43497</v>
      </c>
      <c r="B85" s="14">
        <f>19.0038 * CHOOSE(CONTROL!$C$15, $E$9, 100%, $G$9) + CHOOSE(CONTROL!$C$38, 0.0251, 0)</f>
        <v>19.028899999999997</v>
      </c>
      <c r="C85" s="14">
        <f>18.4986 * CHOOSE(CONTROL!$C$15, $E$9, 100%, $G$9) + CHOOSE(CONTROL!$C$38, 0.0342, 0)</f>
        <v>18.532799999999998</v>
      </c>
      <c r="D85" s="14">
        <f>18.4908 * CHOOSE(CONTROL!$C$15, $E$9, 100%, $G$9) + CHOOSE(CONTROL!$C$38, 0.0342, 0)</f>
        <v>18.524999999999999</v>
      </c>
      <c r="E85" s="46">
        <f>18.8475 * CHOOSE(CONTROL!$C$15, $E$9, 100%, $G$9) + CHOOSE(CONTROL!$C$38, 0.0342, 0)</f>
        <v>18.881699999999999</v>
      </c>
      <c r="F85" s="45">
        <f>18.8475 * CHOOSE(CONTROL!$C$15, $E$9, 100%, $G$9) + CHOOSE(CONTROL!$C$38, 0.0251, 0)</f>
        <v>18.872599999999998</v>
      </c>
      <c r="G85" s="14">
        <f>18.497 * CHOOSE(CONTROL!$C$15, $E$9, 100%, $G$9) + CHOOSE(CONTROL!$C$38, 0.0342, 0)</f>
        <v>18.531199999999998</v>
      </c>
      <c r="H85" s="14">
        <f>18.497 * CHOOSE(CONTROL!$C$15, $E$9, 100%, $G$9) + CHOOSE(CONTROL!$C$38, 0.0342, 0)</f>
        <v>18.531199999999998</v>
      </c>
      <c r="I85" s="14">
        <f>18.4986 * CHOOSE(CONTROL!$C$15, $E$9, 100%, $G$9) + CHOOSE(CONTROL!$C$38, 0.0342, 0)</f>
        <v>18.532799999999998</v>
      </c>
      <c r="J85" s="44">
        <f>103.194</f>
        <v>103.194</v>
      </c>
    </row>
    <row r="86" spans="1:10" ht="15" x14ac:dyDescent="0.2">
      <c r="A86" s="13">
        <v>43525</v>
      </c>
      <c r="B86" s="14">
        <f>18.4392 * CHOOSE(CONTROL!$C$15, $E$9, 100%, $G$9) + CHOOSE(CONTROL!$C$38, 0.0251, 0)</f>
        <v>18.464299999999998</v>
      </c>
      <c r="C86" s="14">
        <f>17.9333 * CHOOSE(CONTROL!$C$15, $E$9, 100%, $G$9) + CHOOSE(CONTROL!$C$38, 0.0342, 0)</f>
        <v>17.967499999999998</v>
      </c>
      <c r="D86" s="14">
        <f>17.9255 * CHOOSE(CONTROL!$C$15, $E$9, 100%, $G$9) + CHOOSE(CONTROL!$C$38, 0.0342, 0)</f>
        <v>17.959699999999998</v>
      </c>
      <c r="E86" s="46">
        <f>18.2829 * CHOOSE(CONTROL!$C$15, $E$9, 100%, $G$9) + CHOOSE(CONTROL!$C$38, 0.0342, 0)</f>
        <v>18.3171</v>
      </c>
      <c r="F86" s="45">
        <f>18.2829 * CHOOSE(CONTROL!$C$15, $E$9, 100%, $G$9) + CHOOSE(CONTROL!$C$38, 0.0251, 0)</f>
        <v>18.308</v>
      </c>
      <c r="G86" s="14">
        <f>17.9317 * CHOOSE(CONTROL!$C$15, $E$9, 100%, $G$9) + CHOOSE(CONTROL!$C$38, 0.0342, 0)</f>
        <v>17.965899999999998</v>
      </c>
      <c r="H86" s="14">
        <f>17.9317 * CHOOSE(CONTROL!$C$15, $E$9, 100%, $G$9) + CHOOSE(CONTROL!$C$38, 0.0342, 0)</f>
        <v>17.965899999999998</v>
      </c>
      <c r="I86" s="14">
        <f>17.9333 * CHOOSE(CONTROL!$C$15, $E$9, 100%, $G$9) + CHOOSE(CONTROL!$C$38, 0.0342, 0)</f>
        <v>17.967499999999998</v>
      </c>
      <c r="J86" s="44">
        <f>108.8567</f>
        <v>108.8567</v>
      </c>
    </row>
    <row r="87" spans="1:10" ht="15" x14ac:dyDescent="0.2">
      <c r="A87" s="13">
        <v>43556</v>
      </c>
      <c r="B87" s="14">
        <f>17.8909 * CHOOSE(CONTROL!$C$15, $E$9, 100%, $G$9) + CHOOSE(CONTROL!$C$38, 0.0251, 0)</f>
        <v>17.915999999999997</v>
      </c>
      <c r="C87" s="14">
        <f>17.3843 * CHOOSE(CONTROL!$C$15, $E$9, 100%, $G$9) + CHOOSE(CONTROL!$C$38, 0.0342, 0)</f>
        <v>17.418499999999998</v>
      </c>
      <c r="D87" s="14">
        <f>17.3765 * CHOOSE(CONTROL!$C$15, $E$9, 100%, $G$9) + CHOOSE(CONTROL!$C$38, 0.0342, 0)</f>
        <v>17.410699999999999</v>
      </c>
      <c r="E87" s="46">
        <f>17.7346 * CHOOSE(CONTROL!$C$15, $E$9, 100%, $G$9) + CHOOSE(CONTROL!$C$38, 0.0342, 0)</f>
        <v>17.768799999999999</v>
      </c>
      <c r="F87" s="45">
        <f>17.7346 * CHOOSE(CONTROL!$C$15, $E$9, 100%, $G$9) + CHOOSE(CONTROL!$C$38, 0.0251, 0)</f>
        <v>17.759699999999999</v>
      </c>
      <c r="G87" s="14">
        <f>17.3827 * CHOOSE(CONTROL!$C$15, $E$9, 100%, $G$9) + CHOOSE(CONTROL!$C$38, 0.0342, 0)</f>
        <v>17.416899999999998</v>
      </c>
      <c r="H87" s="14">
        <f>17.3827 * CHOOSE(CONTROL!$C$15, $E$9, 100%, $G$9) + CHOOSE(CONTROL!$C$38, 0.0342, 0)</f>
        <v>17.416899999999998</v>
      </c>
      <c r="I87" s="14">
        <f>17.3843 * CHOOSE(CONTROL!$C$15, $E$9, 100%, $G$9) + CHOOSE(CONTROL!$C$38, 0.0342, 0)</f>
        <v>17.418499999999998</v>
      </c>
      <c r="J87" s="44">
        <f>116.163</f>
        <v>116.163</v>
      </c>
    </row>
    <row r="88" spans="1:10" ht="15" x14ac:dyDescent="0.2">
      <c r="A88" s="13">
        <v>43586</v>
      </c>
      <c r="B88" s="14">
        <f>17.3155 * CHOOSE(CONTROL!$C$15, $E$9, 100%, $G$9) + CHOOSE(CONTROL!$C$38, 0.0264, 0)</f>
        <v>17.341899999999999</v>
      </c>
      <c r="C88" s="14">
        <f>16.8082 * CHOOSE(CONTROL!$C$15, $E$9, 100%, $G$9) + CHOOSE(CONTROL!$C$38, 0.0354, 0)</f>
        <v>16.843599999999999</v>
      </c>
      <c r="D88" s="14">
        <f>16.8004 * CHOOSE(CONTROL!$C$15, $E$9, 100%, $G$9) + CHOOSE(CONTROL!$C$38, 0.0354, 0)</f>
        <v>16.835799999999999</v>
      </c>
      <c r="E88" s="46">
        <f>17.1592 * CHOOSE(CONTROL!$C$15, $E$9, 100%, $G$9) + CHOOSE(CONTROL!$C$38, 0.0354, 0)</f>
        <v>17.194599999999998</v>
      </c>
      <c r="F88" s="45">
        <f>17.1592 * CHOOSE(CONTROL!$C$15, $E$9, 100%, $G$9) + CHOOSE(CONTROL!$C$38, 0.0264, 0)</f>
        <v>17.185599999999997</v>
      </c>
      <c r="G88" s="14">
        <f>16.8066 * CHOOSE(CONTROL!$C$15, $E$9, 100%, $G$9) + CHOOSE(CONTROL!$C$38, 0.0354, 0)</f>
        <v>16.841999999999999</v>
      </c>
      <c r="H88" s="14">
        <f>16.8066 * CHOOSE(CONTROL!$C$15, $E$9, 100%, $G$9) + CHOOSE(CONTROL!$C$38, 0.0354, 0)</f>
        <v>16.841999999999999</v>
      </c>
      <c r="I88" s="14">
        <f>16.8082 * CHOOSE(CONTROL!$C$15, $E$9, 100%, $G$9) + CHOOSE(CONTROL!$C$38, 0.0354, 0)</f>
        <v>16.843599999999999</v>
      </c>
      <c r="J88" s="44">
        <f>120.3085</f>
        <v>120.3085</v>
      </c>
    </row>
    <row r="89" spans="1:10" ht="15" x14ac:dyDescent="0.2">
      <c r="A89" s="13">
        <v>43617</v>
      </c>
      <c r="B89" s="14">
        <f>16.9207 * CHOOSE(CONTROL!$C$15, $E$9, 100%, $G$9) + CHOOSE(CONTROL!$C$38, 0.0264, 0)</f>
        <v>16.947099999999999</v>
      </c>
      <c r="C89" s="14">
        <f>16.4126 * CHOOSE(CONTROL!$C$15, $E$9, 100%, $G$9) + CHOOSE(CONTROL!$C$38, 0.0354, 0)</f>
        <v>16.448</v>
      </c>
      <c r="D89" s="14">
        <f>16.4048 * CHOOSE(CONTROL!$C$15, $E$9, 100%, $G$9) + CHOOSE(CONTROL!$C$38, 0.0354, 0)</f>
        <v>16.440200000000001</v>
      </c>
      <c r="E89" s="46">
        <f>16.7644 * CHOOSE(CONTROL!$C$15, $E$9, 100%, $G$9) + CHOOSE(CONTROL!$C$38, 0.0354, 0)</f>
        <v>16.799799999999998</v>
      </c>
      <c r="F89" s="45">
        <f>16.7644 * CHOOSE(CONTROL!$C$15, $E$9, 100%, $G$9) + CHOOSE(CONTROL!$C$38, 0.0264, 0)</f>
        <v>16.790799999999997</v>
      </c>
      <c r="G89" s="14">
        <f>16.4111 * CHOOSE(CONTROL!$C$15, $E$9, 100%, $G$9) + CHOOSE(CONTROL!$C$38, 0.0354, 0)</f>
        <v>16.4465</v>
      </c>
      <c r="H89" s="14">
        <f>16.4111 * CHOOSE(CONTROL!$C$15, $E$9, 100%, $G$9) + CHOOSE(CONTROL!$C$38, 0.0354, 0)</f>
        <v>16.4465</v>
      </c>
      <c r="I89" s="14">
        <f>16.4126 * CHOOSE(CONTROL!$C$15, $E$9, 100%, $G$9) + CHOOSE(CONTROL!$C$38, 0.0354, 0)</f>
        <v>16.448</v>
      </c>
      <c r="J89" s="44">
        <f>122.2934</f>
        <v>122.29340000000001</v>
      </c>
    </row>
    <row r="90" spans="1:10" ht="15" x14ac:dyDescent="0.2">
      <c r="A90" s="13">
        <v>43647</v>
      </c>
      <c r="B90" s="14">
        <f>16.7088 * CHOOSE(CONTROL!$C$15, $E$9, 100%, $G$9) + CHOOSE(CONTROL!$C$38, 0.0264, 0)</f>
        <v>16.735199999999999</v>
      </c>
      <c r="C90" s="14">
        <f>16.2 * CHOOSE(CONTROL!$C$15, $E$9, 100%, $G$9) + CHOOSE(CONTROL!$C$38, 0.0354, 0)</f>
        <v>16.235399999999998</v>
      </c>
      <c r="D90" s="14">
        <f>16.1922 * CHOOSE(CONTROL!$C$15, $E$9, 100%, $G$9) + CHOOSE(CONTROL!$C$38, 0.0354, 0)</f>
        <v>16.227599999999999</v>
      </c>
      <c r="E90" s="46">
        <f>16.5525 * CHOOSE(CONTROL!$C$15, $E$9, 100%, $G$9) + CHOOSE(CONTROL!$C$38, 0.0354, 0)</f>
        <v>16.587899999999998</v>
      </c>
      <c r="F90" s="45">
        <f>16.5525 * CHOOSE(CONTROL!$C$15, $E$9, 100%, $G$9) + CHOOSE(CONTROL!$C$38, 0.0264, 0)</f>
        <v>16.578899999999997</v>
      </c>
      <c r="G90" s="14">
        <f>16.1985 * CHOOSE(CONTROL!$C$15, $E$9, 100%, $G$9) + CHOOSE(CONTROL!$C$38, 0.0354, 0)</f>
        <v>16.233899999999998</v>
      </c>
      <c r="H90" s="14">
        <f>16.1985 * CHOOSE(CONTROL!$C$15, $E$9, 100%, $G$9) + CHOOSE(CONTROL!$C$38, 0.0354, 0)</f>
        <v>16.233899999999998</v>
      </c>
      <c r="I90" s="14">
        <f>16.2 * CHOOSE(CONTROL!$C$15, $E$9, 100%, $G$9) + CHOOSE(CONTROL!$C$38, 0.0354, 0)</f>
        <v>16.235399999999998</v>
      </c>
      <c r="J90" s="44">
        <f>121.9722</f>
        <v>121.9722</v>
      </c>
    </row>
    <row r="91" spans="1:10" ht="15" x14ac:dyDescent="0.2">
      <c r="A91" s="13">
        <v>43678</v>
      </c>
      <c r="B91" s="14">
        <f>16.8633 * CHOOSE(CONTROL!$C$15, $E$9, 100%, $G$9) + CHOOSE(CONTROL!$C$38, 0.0264, 0)</f>
        <v>16.889699999999998</v>
      </c>
      <c r="C91" s="14">
        <f>16.3538 * CHOOSE(CONTROL!$C$15, $E$9, 100%, $G$9) + CHOOSE(CONTROL!$C$38, 0.0354, 0)</f>
        <v>16.389199999999999</v>
      </c>
      <c r="D91" s="14">
        <f>16.346 * CHOOSE(CONTROL!$C$15, $E$9, 100%, $G$9) + CHOOSE(CONTROL!$C$38, 0.0354, 0)</f>
        <v>16.381399999999999</v>
      </c>
      <c r="E91" s="46">
        <f>16.7071 * CHOOSE(CONTROL!$C$15, $E$9, 100%, $G$9) + CHOOSE(CONTROL!$C$38, 0.0354, 0)</f>
        <v>16.7425</v>
      </c>
      <c r="F91" s="45">
        <f>16.7071 * CHOOSE(CONTROL!$C$15, $E$9, 100%, $G$9) + CHOOSE(CONTROL!$C$38, 0.0264, 0)</f>
        <v>16.733499999999999</v>
      </c>
      <c r="G91" s="14">
        <f>16.3523 * CHOOSE(CONTROL!$C$15, $E$9, 100%, $G$9) + CHOOSE(CONTROL!$C$38, 0.0354, 0)</f>
        <v>16.387699999999999</v>
      </c>
      <c r="H91" s="14">
        <f>16.3523 * CHOOSE(CONTROL!$C$15, $E$9, 100%, $G$9) + CHOOSE(CONTROL!$C$38, 0.0354, 0)</f>
        <v>16.387699999999999</v>
      </c>
      <c r="I91" s="14">
        <f>16.3538 * CHOOSE(CONTROL!$C$15, $E$9, 100%, $G$9) + CHOOSE(CONTROL!$C$38, 0.0354, 0)</f>
        <v>16.389199999999999</v>
      </c>
      <c r="J91" s="44">
        <f>119.3781</f>
        <v>119.3781</v>
      </c>
    </row>
    <row r="92" spans="1:10" ht="15" x14ac:dyDescent="0.2">
      <c r="A92" s="13">
        <v>43709</v>
      </c>
      <c r="B92" s="14">
        <f>17.2272 * CHOOSE(CONTROL!$C$15, $E$9, 100%, $G$9) + CHOOSE(CONTROL!$C$38, 0.0264, 0)</f>
        <v>17.253599999999999</v>
      </c>
      <c r="C92" s="14">
        <f>16.7169 * CHOOSE(CONTROL!$C$15, $E$9, 100%, $G$9) + CHOOSE(CONTROL!$C$38, 0.0354, 0)</f>
        <v>16.752299999999998</v>
      </c>
      <c r="D92" s="14">
        <f>16.7091 * CHOOSE(CONTROL!$C$15, $E$9, 100%, $G$9) + CHOOSE(CONTROL!$C$38, 0.0354, 0)</f>
        <v>16.744499999999999</v>
      </c>
      <c r="E92" s="46">
        <f>17.0709 * CHOOSE(CONTROL!$C$15, $E$9, 100%, $G$9) + CHOOSE(CONTROL!$C$38, 0.0354, 0)</f>
        <v>17.106300000000001</v>
      </c>
      <c r="F92" s="45">
        <f>17.0709 * CHOOSE(CONTROL!$C$15, $E$9, 100%, $G$9) + CHOOSE(CONTROL!$C$38, 0.0264, 0)</f>
        <v>17.097300000000001</v>
      </c>
      <c r="G92" s="14">
        <f>16.7154 * CHOOSE(CONTROL!$C$15, $E$9, 100%, $G$9) + CHOOSE(CONTROL!$C$38, 0.0354, 0)</f>
        <v>16.750799999999998</v>
      </c>
      <c r="H92" s="14">
        <f>16.7154 * CHOOSE(CONTROL!$C$15, $E$9, 100%, $G$9) + CHOOSE(CONTROL!$C$38, 0.0354, 0)</f>
        <v>16.750799999999998</v>
      </c>
      <c r="I92" s="14">
        <f>16.7169 * CHOOSE(CONTROL!$C$15, $E$9, 100%, $G$9) + CHOOSE(CONTROL!$C$38, 0.0354, 0)</f>
        <v>16.752299999999998</v>
      </c>
      <c r="J92" s="44">
        <f>115.648</f>
        <v>115.648</v>
      </c>
    </row>
    <row r="93" spans="1:10" ht="15" x14ac:dyDescent="0.2">
      <c r="A93" s="13">
        <v>43739</v>
      </c>
      <c r="B93" s="14">
        <f>17.5387 * CHOOSE(CONTROL!$C$15, $E$9, 100%, $G$9) + CHOOSE(CONTROL!$C$38, 0.0251, 0)</f>
        <v>17.563799999999997</v>
      </c>
      <c r="C93" s="14">
        <f>17.0277 * CHOOSE(CONTROL!$C$15, $E$9, 100%, $G$9) + CHOOSE(CONTROL!$C$38, 0.0342, 0)</f>
        <v>17.061899999999998</v>
      </c>
      <c r="D93" s="14">
        <f>17.0199 * CHOOSE(CONTROL!$C$15, $E$9, 100%, $G$9) + CHOOSE(CONTROL!$C$38, 0.0342, 0)</f>
        <v>17.054099999999998</v>
      </c>
      <c r="E93" s="46">
        <f>17.3824 * CHOOSE(CONTROL!$C$15, $E$9, 100%, $G$9) + CHOOSE(CONTROL!$C$38, 0.0342, 0)</f>
        <v>17.416599999999999</v>
      </c>
      <c r="F93" s="45">
        <f>17.3824 * CHOOSE(CONTROL!$C$15, $E$9, 100%, $G$9) + CHOOSE(CONTROL!$C$38, 0.0251, 0)</f>
        <v>17.407499999999999</v>
      </c>
      <c r="G93" s="14">
        <f>17.0261 * CHOOSE(CONTROL!$C$15, $E$9, 100%, $G$9) + CHOOSE(CONTROL!$C$38, 0.0342, 0)</f>
        <v>17.060299999999998</v>
      </c>
      <c r="H93" s="14">
        <f>17.0261 * CHOOSE(CONTROL!$C$15, $E$9, 100%, $G$9) + CHOOSE(CONTROL!$C$38, 0.0342, 0)</f>
        <v>17.060299999999998</v>
      </c>
      <c r="I93" s="14">
        <f>17.0277 * CHOOSE(CONTROL!$C$15, $E$9, 100%, $G$9) + CHOOSE(CONTROL!$C$38, 0.0342, 0)</f>
        <v>17.061899999999998</v>
      </c>
      <c r="J93" s="44">
        <f>111.8787</f>
        <v>111.87869999999999</v>
      </c>
    </row>
    <row r="94" spans="1:10" ht="15" x14ac:dyDescent="0.2">
      <c r="A94" s="13">
        <v>43770</v>
      </c>
      <c r="B94" s="14">
        <f>17.8054 * CHOOSE(CONTROL!$C$15, $E$9, 100%, $G$9) + CHOOSE(CONTROL!$C$38, 0.0251, 0)</f>
        <v>17.830499999999997</v>
      </c>
      <c r="C94" s="14">
        <f>17.2937 * CHOOSE(CONTROL!$C$15, $E$9, 100%, $G$9) + CHOOSE(CONTROL!$C$38, 0.0342, 0)</f>
        <v>17.3279</v>
      </c>
      <c r="D94" s="14">
        <f>17.2859 * CHOOSE(CONTROL!$C$15, $E$9, 100%, $G$9) + CHOOSE(CONTROL!$C$38, 0.0342, 0)</f>
        <v>17.3201</v>
      </c>
      <c r="E94" s="46">
        <f>17.6491 * CHOOSE(CONTROL!$C$15, $E$9, 100%, $G$9) + CHOOSE(CONTROL!$C$38, 0.0342, 0)</f>
        <v>17.683299999999999</v>
      </c>
      <c r="F94" s="45">
        <f>17.6491 * CHOOSE(CONTROL!$C$15, $E$9, 100%, $G$9) + CHOOSE(CONTROL!$C$38, 0.0251, 0)</f>
        <v>17.674199999999999</v>
      </c>
      <c r="G94" s="14">
        <f>17.2921 * CHOOSE(CONTROL!$C$15, $E$9, 100%, $G$9) + CHOOSE(CONTROL!$C$38, 0.0342, 0)</f>
        <v>17.3263</v>
      </c>
      <c r="H94" s="14">
        <f>17.2921 * CHOOSE(CONTROL!$C$15, $E$9, 100%, $G$9) + CHOOSE(CONTROL!$C$38, 0.0342, 0)</f>
        <v>17.3263</v>
      </c>
      <c r="I94" s="14">
        <f>17.2937 * CHOOSE(CONTROL!$C$15, $E$9, 100%, $G$9) + CHOOSE(CONTROL!$C$38, 0.0342, 0)</f>
        <v>17.3279</v>
      </c>
      <c r="J94" s="44">
        <f>111.3104</f>
        <v>111.3104</v>
      </c>
    </row>
    <row r="95" spans="1:10" ht="15" x14ac:dyDescent="0.2">
      <c r="A95" s="13">
        <v>43800</v>
      </c>
      <c r="B95" s="14">
        <f>18.5566 * CHOOSE(CONTROL!$C$15, $E$9, 100%, $G$9) + CHOOSE(CONTROL!$C$38, 0.0251, 0)</f>
        <v>18.581699999999998</v>
      </c>
      <c r="C95" s="14">
        <f>18.0442 * CHOOSE(CONTROL!$C$15, $E$9, 100%, $G$9) + CHOOSE(CONTROL!$C$38, 0.0342, 0)</f>
        <v>18.078399999999998</v>
      </c>
      <c r="D95" s="14">
        <f>18.0364 * CHOOSE(CONTROL!$C$15, $E$9, 100%, $G$9) + CHOOSE(CONTROL!$C$38, 0.0342, 0)</f>
        <v>18.070599999999999</v>
      </c>
      <c r="E95" s="46">
        <f>18.4004 * CHOOSE(CONTROL!$C$15, $E$9, 100%, $G$9) + CHOOSE(CONTROL!$C$38, 0.0342, 0)</f>
        <v>18.4346</v>
      </c>
      <c r="F95" s="45">
        <f>18.4004 * CHOOSE(CONTROL!$C$15, $E$9, 100%, $G$9) + CHOOSE(CONTROL!$C$38, 0.0251, 0)</f>
        <v>18.4255</v>
      </c>
      <c r="G95" s="14">
        <f>18.0426 * CHOOSE(CONTROL!$C$15, $E$9, 100%, $G$9) + CHOOSE(CONTROL!$C$38, 0.0342, 0)</f>
        <v>18.076799999999999</v>
      </c>
      <c r="H95" s="14">
        <f>18.0426 * CHOOSE(CONTROL!$C$15, $E$9, 100%, $G$9) + CHOOSE(CONTROL!$C$38, 0.0342, 0)</f>
        <v>18.076799999999999</v>
      </c>
      <c r="I95" s="14">
        <f>18.0442 * CHOOSE(CONTROL!$C$15, $E$9, 100%, $G$9) + CHOOSE(CONTROL!$C$38, 0.0342, 0)</f>
        <v>18.078399999999998</v>
      </c>
      <c r="J95" s="44">
        <f>108.2297</f>
        <v>108.22969999999999</v>
      </c>
    </row>
    <row r="96" spans="1:10" ht="15" x14ac:dyDescent="0.2">
      <c r="A96" s="13">
        <v>43831</v>
      </c>
      <c r="B96" s="14">
        <f>19.3044 * CHOOSE(CONTROL!$C$15, $E$9, 100%, $G$9) + CHOOSE(CONTROL!$C$38, 0.0251, 0)</f>
        <v>19.329499999999999</v>
      </c>
      <c r="C96" s="14">
        <f>18.6484 * CHOOSE(CONTROL!$C$15, $E$9, 100%, $G$9) + CHOOSE(CONTROL!$C$38, 0.0342, 0)</f>
        <v>18.682599999999997</v>
      </c>
      <c r="D96" s="14">
        <f>18.6405 * CHOOSE(CONTROL!$C$15, $E$9, 100%, $G$9) + CHOOSE(CONTROL!$C$38, 0.0342, 0)</f>
        <v>18.674699999999998</v>
      </c>
      <c r="E96" s="46">
        <f>19.1481 * CHOOSE(CONTROL!$C$15, $E$9, 100%, $G$9) + CHOOSE(CONTROL!$C$38, 0.0342, 0)</f>
        <v>19.182299999999998</v>
      </c>
      <c r="F96" s="45">
        <f>19.1481 * CHOOSE(CONTROL!$C$15, $E$9, 100%, $G$9) + CHOOSE(CONTROL!$C$38, 0.0251, 0)</f>
        <v>19.173199999999998</v>
      </c>
      <c r="G96" s="14">
        <f>18.6468 * CHOOSE(CONTROL!$C$15, $E$9, 100%, $G$9) + CHOOSE(CONTROL!$C$38, 0.0342, 0)</f>
        <v>18.680999999999997</v>
      </c>
      <c r="H96" s="14">
        <f>18.6468 * CHOOSE(CONTROL!$C$15, $E$9, 100%, $G$9) + CHOOSE(CONTROL!$C$38, 0.0342, 0)</f>
        <v>18.680999999999997</v>
      </c>
      <c r="I96" s="14">
        <f>18.6484 * CHOOSE(CONTROL!$C$15, $E$9, 100%, $G$9) + CHOOSE(CONTROL!$C$38, 0.0342, 0)</f>
        <v>18.682599999999997</v>
      </c>
      <c r="J96" s="44">
        <f>105.5959</f>
        <v>105.5959</v>
      </c>
    </row>
    <row r="97" spans="1:10" ht="15" x14ac:dyDescent="0.2">
      <c r="A97" s="13">
        <v>43862</v>
      </c>
      <c r="B97" s="14">
        <f>19.6091 * CHOOSE(CONTROL!$C$15, $E$9, 100%, $G$9) + CHOOSE(CONTROL!$C$38, 0.0251, 0)</f>
        <v>19.6342</v>
      </c>
      <c r="C97" s="14">
        <f>18.952 * CHOOSE(CONTROL!$C$15, $E$9, 100%, $G$9) + CHOOSE(CONTROL!$C$38, 0.0342, 0)</f>
        <v>18.9862</v>
      </c>
      <c r="D97" s="14">
        <f>18.9442 * CHOOSE(CONTROL!$C$15, $E$9, 100%, $G$9) + CHOOSE(CONTROL!$C$38, 0.0342, 0)</f>
        <v>18.978399999999997</v>
      </c>
      <c r="E97" s="46">
        <f>19.4529 * CHOOSE(CONTROL!$C$15, $E$9, 100%, $G$9) + CHOOSE(CONTROL!$C$38, 0.0342, 0)</f>
        <v>19.487099999999998</v>
      </c>
      <c r="F97" s="45">
        <f>19.4529 * CHOOSE(CONTROL!$C$15, $E$9, 100%, $G$9) + CHOOSE(CONTROL!$C$38, 0.0251, 0)</f>
        <v>19.477999999999998</v>
      </c>
      <c r="G97" s="14">
        <f>18.9505 * CHOOSE(CONTROL!$C$15, $E$9, 100%, $G$9) + CHOOSE(CONTROL!$C$38, 0.0342, 0)</f>
        <v>18.9847</v>
      </c>
      <c r="H97" s="14">
        <f>18.9505 * CHOOSE(CONTROL!$C$15, $E$9, 100%, $G$9) + CHOOSE(CONTROL!$C$38, 0.0342, 0)</f>
        <v>18.9847</v>
      </c>
      <c r="I97" s="14">
        <f>18.952 * CHOOSE(CONTROL!$C$15, $E$9, 100%, $G$9) + CHOOSE(CONTROL!$C$38, 0.0342, 0)</f>
        <v>18.9862</v>
      </c>
      <c r="J97" s="44">
        <f>105.5193</f>
        <v>105.5193</v>
      </c>
    </row>
    <row r="98" spans="1:10" ht="15" x14ac:dyDescent="0.2">
      <c r="A98" s="13">
        <v>43891</v>
      </c>
      <c r="B98" s="14">
        <f>19.0307 * CHOOSE(CONTROL!$C$15, $E$9, 100%, $G$9) + CHOOSE(CONTROL!$C$38, 0.0251, 0)</f>
        <v>19.055799999999998</v>
      </c>
      <c r="C98" s="14">
        <f>18.3726 * CHOOSE(CONTROL!$C$15, $E$9, 100%, $G$9) + CHOOSE(CONTROL!$C$38, 0.0342, 0)</f>
        <v>18.406799999999997</v>
      </c>
      <c r="D98" s="14">
        <f>18.3648 * CHOOSE(CONTROL!$C$15, $E$9, 100%, $G$9) + CHOOSE(CONTROL!$C$38, 0.0342, 0)</f>
        <v>18.398999999999997</v>
      </c>
      <c r="E98" s="46">
        <f>18.8744 * CHOOSE(CONTROL!$C$15, $E$9, 100%, $G$9) + CHOOSE(CONTROL!$C$38, 0.0342, 0)</f>
        <v>18.9086</v>
      </c>
      <c r="F98" s="45">
        <f>18.8744 * CHOOSE(CONTROL!$C$15, $E$9, 100%, $G$9) + CHOOSE(CONTROL!$C$38, 0.0251, 0)</f>
        <v>18.8995</v>
      </c>
      <c r="G98" s="14">
        <f>18.371 * CHOOSE(CONTROL!$C$15, $E$9, 100%, $G$9) + CHOOSE(CONTROL!$C$38, 0.0342, 0)</f>
        <v>18.405199999999997</v>
      </c>
      <c r="H98" s="14">
        <f>18.371 * CHOOSE(CONTROL!$C$15, $E$9, 100%, $G$9) + CHOOSE(CONTROL!$C$38, 0.0342, 0)</f>
        <v>18.405199999999997</v>
      </c>
      <c r="I98" s="14">
        <f>18.3726 * CHOOSE(CONTROL!$C$15, $E$9, 100%, $G$9) + CHOOSE(CONTROL!$C$38, 0.0342, 0)</f>
        <v>18.406799999999997</v>
      </c>
      <c r="J98" s="44">
        <f>111.3096</f>
        <v>111.3096</v>
      </c>
    </row>
    <row r="99" spans="1:10" ht="15" x14ac:dyDescent="0.2">
      <c r="A99" s="13">
        <v>43922</v>
      </c>
      <c r="B99" s="14">
        <f>18.469 * CHOOSE(CONTROL!$C$15, $E$9, 100%, $G$9) + CHOOSE(CONTROL!$C$38, 0.0251, 0)</f>
        <v>18.4941</v>
      </c>
      <c r="C99" s="14">
        <f>17.8099 * CHOOSE(CONTROL!$C$15, $E$9, 100%, $G$9) + CHOOSE(CONTROL!$C$38, 0.0342, 0)</f>
        <v>17.844099999999997</v>
      </c>
      <c r="D99" s="14">
        <f>17.8021 * CHOOSE(CONTROL!$C$15, $E$9, 100%, $G$9) + CHOOSE(CONTROL!$C$38, 0.0342, 0)</f>
        <v>17.836299999999998</v>
      </c>
      <c r="E99" s="46">
        <f>18.3128 * CHOOSE(CONTROL!$C$15, $E$9, 100%, $G$9) + CHOOSE(CONTROL!$C$38, 0.0342, 0)</f>
        <v>18.346999999999998</v>
      </c>
      <c r="F99" s="45">
        <f>18.3128 * CHOOSE(CONTROL!$C$15, $E$9, 100%, $G$9) + CHOOSE(CONTROL!$C$38, 0.0251, 0)</f>
        <v>18.337899999999998</v>
      </c>
      <c r="G99" s="14">
        <f>17.8083 * CHOOSE(CONTROL!$C$15, $E$9, 100%, $G$9) + CHOOSE(CONTROL!$C$38, 0.0342, 0)</f>
        <v>17.842499999999998</v>
      </c>
      <c r="H99" s="14">
        <f>17.8083 * CHOOSE(CONTROL!$C$15, $E$9, 100%, $G$9) + CHOOSE(CONTROL!$C$38, 0.0342, 0)</f>
        <v>17.842499999999998</v>
      </c>
      <c r="I99" s="14">
        <f>17.8099 * CHOOSE(CONTROL!$C$15, $E$9, 100%, $G$9) + CHOOSE(CONTROL!$C$38, 0.0342, 0)</f>
        <v>17.844099999999997</v>
      </c>
      <c r="J99" s="44">
        <f>118.7805</f>
        <v>118.7805</v>
      </c>
    </row>
    <row r="100" spans="1:10" ht="15" x14ac:dyDescent="0.2">
      <c r="A100" s="13">
        <v>43952</v>
      </c>
      <c r="B100" s="14">
        <f>17.8795 * CHOOSE(CONTROL!$C$15, $E$9, 100%, $G$9) + CHOOSE(CONTROL!$C$38, 0.0264, 0)</f>
        <v>17.905899999999999</v>
      </c>
      <c r="C100" s="14">
        <f>17.2194 * CHOOSE(CONTROL!$C$15, $E$9, 100%, $G$9) + CHOOSE(CONTROL!$C$38, 0.0354, 0)</f>
        <v>17.254799999999999</v>
      </c>
      <c r="D100" s="14">
        <f>17.2115 * CHOOSE(CONTROL!$C$15, $E$9, 100%, $G$9) + CHOOSE(CONTROL!$C$38, 0.0354, 0)</f>
        <v>17.2469</v>
      </c>
      <c r="E100" s="46">
        <f>17.7233 * CHOOSE(CONTROL!$C$15, $E$9, 100%, $G$9) + CHOOSE(CONTROL!$C$38, 0.0354, 0)</f>
        <v>17.758699999999997</v>
      </c>
      <c r="F100" s="45">
        <f>17.7233 * CHOOSE(CONTROL!$C$15, $E$9, 100%, $G$9) + CHOOSE(CONTROL!$C$38, 0.0264, 0)</f>
        <v>17.749699999999997</v>
      </c>
      <c r="G100" s="14">
        <f>17.2178 * CHOOSE(CONTROL!$C$15, $E$9, 100%, $G$9) + CHOOSE(CONTROL!$C$38, 0.0354, 0)</f>
        <v>17.2532</v>
      </c>
      <c r="H100" s="14">
        <f>17.2178 * CHOOSE(CONTROL!$C$15, $E$9, 100%, $G$9) + CHOOSE(CONTROL!$C$38, 0.0354, 0)</f>
        <v>17.2532</v>
      </c>
      <c r="I100" s="14">
        <f>17.2194 * CHOOSE(CONTROL!$C$15, $E$9, 100%, $G$9) + CHOOSE(CONTROL!$C$38, 0.0354, 0)</f>
        <v>17.254799999999999</v>
      </c>
      <c r="J100" s="44">
        <f>123.0194</f>
        <v>123.0194</v>
      </c>
    </row>
    <row r="101" spans="1:10" ht="15" x14ac:dyDescent="0.2">
      <c r="A101" s="13">
        <v>43983</v>
      </c>
      <c r="B101" s="14">
        <f>17.4751 * CHOOSE(CONTROL!$C$15, $E$9, 100%, $G$9) + CHOOSE(CONTROL!$C$38, 0.0264, 0)</f>
        <v>17.5015</v>
      </c>
      <c r="C101" s="14">
        <f>16.8139 * CHOOSE(CONTROL!$C$15, $E$9, 100%, $G$9) + CHOOSE(CONTROL!$C$38, 0.0354, 0)</f>
        <v>16.849299999999999</v>
      </c>
      <c r="D101" s="14">
        <f>16.8061 * CHOOSE(CONTROL!$C$15, $E$9, 100%, $G$9) + CHOOSE(CONTROL!$C$38, 0.0354, 0)</f>
        <v>16.8415</v>
      </c>
      <c r="E101" s="46">
        <f>17.3189 * CHOOSE(CONTROL!$C$15, $E$9, 100%, $G$9) + CHOOSE(CONTROL!$C$38, 0.0354, 0)</f>
        <v>17.354299999999999</v>
      </c>
      <c r="F101" s="45">
        <f>17.3189 * CHOOSE(CONTROL!$C$15, $E$9, 100%, $G$9) + CHOOSE(CONTROL!$C$38, 0.0264, 0)</f>
        <v>17.345299999999998</v>
      </c>
      <c r="G101" s="14">
        <f>16.8124 * CHOOSE(CONTROL!$C$15, $E$9, 100%, $G$9) + CHOOSE(CONTROL!$C$38, 0.0354, 0)</f>
        <v>16.847799999999999</v>
      </c>
      <c r="H101" s="14">
        <f>16.8124 * CHOOSE(CONTROL!$C$15, $E$9, 100%, $G$9) + CHOOSE(CONTROL!$C$38, 0.0354, 0)</f>
        <v>16.847799999999999</v>
      </c>
      <c r="I101" s="14">
        <f>16.8139 * CHOOSE(CONTROL!$C$15, $E$9, 100%, $G$9) + CHOOSE(CONTROL!$C$38, 0.0354, 0)</f>
        <v>16.849299999999999</v>
      </c>
      <c r="J101" s="44">
        <f>125.049</f>
        <v>125.04900000000001</v>
      </c>
    </row>
    <row r="102" spans="1:10" ht="15" x14ac:dyDescent="0.2">
      <c r="A102" s="13">
        <v>44013</v>
      </c>
      <c r="B102" s="14">
        <f>17.2583 * CHOOSE(CONTROL!$C$15, $E$9, 100%, $G$9) + CHOOSE(CONTROL!$C$38, 0.0264, 0)</f>
        <v>17.284699999999997</v>
      </c>
      <c r="C102" s="14">
        <f>16.596 * CHOOSE(CONTROL!$C$15, $E$9, 100%, $G$9) + CHOOSE(CONTROL!$C$38, 0.0354, 0)</f>
        <v>16.631399999999999</v>
      </c>
      <c r="D102" s="14">
        <f>16.5882 * CHOOSE(CONTROL!$C$15, $E$9, 100%, $G$9) + CHOOSE(CONTROL!$C$38, 0.0354, 0)</f>
        <v>16.6236</v>
      </c>
      <c r="E102" s="46">
        <f>17.102 * CHOOSE(CONTROL!$C$15, $E$9, 100%, $G$9) + CHOOSE(CONTROL!$C$38, 0.0354, 0)</f>
        <v>17.1374</v>
      </c>
      <c r="F102" s="45">
        <f>17.102 * CHOOSE(CONTROL!$C$15, $E$9, 100%, $G$9) + CHOOSE(CONTROL!$C$38, 0.0264, 0)</f>
        <v>17.128399999999999</v>
      </c>
      <c r="G102" s="14">
        <f>16.5945 * CHOOSE(CONTROL!$C$15, $E$9, 100%, $G$9) + CHOOSE(CONTROL!$C$38, 0.0354, 0)</f>
        <v>16.629899999999999</v>
      </c>
      <c r="H102" s="14">
        <f>16.5945 * CHOOSE(CONTROL!$C$15, $E$9, 100%, $G$9) + CHOOSE(CONTROL!$C$38, 0.0354, 0)</f>
        <v>16.629899999999999</v>
      </c>
      <c r="I102" s="14">
        <f>16.596 * CHOOSE(CONTROL!$C$15, $E$9, 100%, $G$9) + CHOOSE(CONTROL!$C$38, 0.0354, 0)</f>
        <v>16.631399999999999</v>
      </c>
      <c r="J102" s="44">
        <f>124.7206</f>
        <v>124.7206</v>
      </c>
    </row>
    <row r="103" spans="1:10" ht="15" x14ac:dyDescent="0.2">
      <c r="A103" s="13">
        <v>44044</v>
      </c>
      <c r="B103" s="14">
        <f>17.417 * CHOOSE(CONTROL!$C$15, $E$9, 100%, $G$9) + CHOOSE(CONTROL!$C$38, 0.0264, 0)</f>
        <v>17.4434</v>
      </c>
      <c r="C103" s="14">
        <f>16.7537 * CHOOSE(CONTROL!$C$15, $E$9, 100%, $G$9) + CHOOSE(CONTROL!$C$38, 0.0354, 0)</f>
        <v>16.789099999999998</v>
      </c>
      <c r="D103" s="14">
        <f>16.7459 * CHOOSE(CONTROL!$C$15, $E$9, 100%, $G$9) + CHOOSE(CONTROL!$C$38, 0.0354, 0)</f>
        <v>16.781299999999998</v>
      </c>
      <c r="E103" s="46">
        <f>17.2607 * CHOOSE(CONTROL!$C$15, $E$9, 100%, $G$9) + CHOOSE(CONTROL!$C$38, 0.0354, 0)</f>
        <v>17.296099999999999</v>
      </c>
      <c r="F103" s="45">
        <f>17.2607 * CHOOSE(CONTROL!$C$15, $E$9, 100%, $G$9) + CHOOSE(CONTROL!$C$38, 0.0264, 0)</f>
        <v>17.287099999999999</v>
      </c>
      <c r="G103" s="14">
        <f>16.7521 * CHOOSE(CONTROL!$C$15, $E$9, 100%, $G$9) + CHOOSE(CONTROL!$C$38, 0.0354, 0)</f>
        <v>16.787499999999998</v>
      </c>
      <c r="H103" s="14">
        <f>16.7521 * CHOOSE(CONTROL!$C$15, $E$9, 100%, $G$9) + CHOOSE(CONTROL!$C$38, 0.0354, 0)</f>
        <v>16.787499999999998</v>
      </c>
      <c r="I103" s="14">
        <f>16.7537 * CHOOSE(CONTROL!$C$15, $E$9, 100%, $G$9) + CHOOSE(CONTROL!$C$38, 0.0354, 0)</f>
        <v>16.789099999999998</v>
      </c>
      <c r="J103" s="44">
        <f>122.0681</f>
        <v>122.0681</v>
      </c>
    </row>
    <row r="104" spans="1:10" ht="15" x14ac:dyDescent="0.2">
      <c r="A104" s="13">
        <v>44075</v>
      </c>
      <c r="B104" s="14">
        <f>17.7902 * CHOOSE(CONTROL!$C$15, $E$9, 100%, $G$9) + CHOOSE(CONTROL!$C$38, 0.0264, 0)</f>
        <v>17.816599999999998</v>
      </c>
      <c r="C104" s="14">
        <f>17.1259 * CHOOSE(CONTROL!$C$15, $E$9, 100%, $G$9) + CHOOSE(CONTROL!$C$38, 0.0354, 0)</f>
        <v>17.161300000000001</v>
      </c>
      <c r="D104" s="14">
        <f>17.1181 * CHOOSE(CONTROL!$C$15, $E$9, 100%, $G$9) + CHOOSE(CONTROL!$C$38, 0.0354, 0)</f>
        <v>17.153499999999998</v>
      </c>
      <c r="E104" s="46">
        <f>17.634 * CHOOSE(CONTROL!$C$15, $E$9, 100%, $G$9) + CHOOSE(CONTROL!$C$38, 0.0354, 0)</f>
        <v>17.6694</v>
      </c>
      <c r="F104" s="45">
        <f>17.634 * CHOOSE(CONTROL!$C$15, $E$9, 100%, $G$9) + CHOOSE(CONTROL!$C$38, 0.0264, 0)</f>
        <v>17.660399999999999</v>
      </c>
      <c r="G104" s="14">
        <f>17.1243 * CHOOSE(CONTROL!$C$15, $E$9, 100%, $G$9) + CHOOSE(CONTROL!$C$38, 0.0354, 0)</f>
        <v>17.159700000000001</v>
      </c>
      <c r="H104" s="14">
        <f>17.1243 * CHOOSE(CONTROL!$C$15, $E$9, 100%, $G$9) + CHOOSE(CONTROL!$C$38, 0.0354, 0)</f>
        <v>17.159700000000001</v>
      </c>
      <c r="I104" s="14">
        <f>17.1259 * CHOOSE(CONTROL!$C$15, $E$9, 100%, $G$9) + CHOOSE(CONTROL!$C$38, 0.0354, 0)</f>
        <v>17.161300000000001</v>
      </c>
      <c r="J104" s="44">
        <f>118.2538</f>
        <v>118.2538</v>
      </c>
    </row>
    <row r="105" spans="1:10" ht="15" x14ac:dyDescent="0.2">
      <c r="A105" s="13">
        <v>44105</v>
      </c>
      <c r="B105" s="14">
        <f>18.1098 * CHOOSE(CONTROL!$C$15, $E$9, 100%, $G$9) + CHOOSE(CONTROL!$C$38, 0.0251, 0)</f>
        <v>18.134899999999998</v>
      </c>
      <c r="C105" s="14">
        <f>17.4444 * CHOOSE(CONTROL!$C$15, $E$9, 100%, $G$9) + CHOOSE(CONTROL!$C$38, 0.0342, 0)</f>
        <v>17.4786</v>
      </c>
      <c r="D105" s="14">
        <f>17.4366 * CHOOSE(CONTROL!$C$15, $E$9, 100%, $G$9) + CHOOSE(CONTROL!$C$38, 0.0342, 0)</f>
        <v>17.470799999999997</v>
      </c>
      <c r="E105" s="46">
        <f>17.9535 * CHOOSE(CONTROL!$C$15, $E$9, 100%, $G$9) + CHOOSE(CONTROL!$C$38, 0.0342, 0)</f>
        <v>17.987699999999997</v>
      </c>
      <c r="F105" s="45">
        <f>17.9535 * CHOOSE(CONTROL!$C$15, $E$9, 100%, $G$9) + CHOOSE(CONTROL!$C$38, 0.0251, 0)</f>
        <v>17.978599999999997</v>
      </c>
      <c r="G105" s="14">
        <f>17.4429 * CHOOSE(CONTROL!$C$15, $E$9, 100%, $G$9) + CHOOSE(CONTROL!$C$38, 0.0342, 0)</f>
        <v>17.4771</v>
      </c>
      <c r="H105" s="14">
        <f>17.4429 * CHOOSE(CONTROL!$C$15, $E$9, 100%, $G$9) + CHOOSE(CONTROL!$C$38, 0.0342, 0)</f>
        <v>17.4771</v>
      </c>
      <c r="I105" s="14">
        <f>17.4444 * CHOOSE(CONTROL!$C$15, $E$9, 100%, $G$9) + CHOOSE(CONTROL!$C$38, 0.0342, 0)</f>
        <v>17.4786</v>
      </c>
      <c r="J105" s="44">
        <f>114.3996</f>
        <v>114.39960000000001</v>
      </c>
    </row>
    <row r="106" spans="1:10" ht="15" x14ac:dyDescent="0.2">
      <c r="A106" s="13">
        <v>44136</v>
      </c>
      <c r="B106" s="14">
        <f>18.3835 * CHOOSE(CONTROL!$C$15, $E$9, 100%, $G$9) + CHOOSE(CONTROL!$C$38, 0.0251, 0)</f>
        <v>18.4086</v>
      </c>
      <c r="C106" s="14">
        <f>17.717 * CHOOSE(CONTROL!$C$15, $E$9, 100%, $G$9) + CHOOSE(CONTROL!$C$38, 0.0342, 0)</f>
        <v>17.751199999999997</v>
      </c>
      <c r="D106" s="14">
        <f>17.7092 * CHOOSE(CONTROL!$C$15, $E$9, 100%, $G$9) + CHOOSE(CONTROL!$C$38, 0.0342, 0)</f>
        <v>17.743399999999998</v>
      </c>
      <c r="E106" s="46">
        <f>18.2272 * CHOOSE(CONTROL!$C$15, $E$9, 100%, $G$9) + CHOOSE(CONTROL!$C$38, 0.0342, 0)</f>
        <v>18.261399999999998</v>
      </c>
      <c r="F106" s="45">
        <f>18.2272 * CHOOSE(CONTROL!$C$15, $E$9, 100%, $G$9) + CHOOSE(CONTROL!$C$38, 0.0251, 0)</f>
        <v>18.252299999999998</v>
      </c>
      <c r="G106" s="14">
        <f>17.7155 * CHOOSE(CONTROL!$C$15, $E$9, 100%, $G$9) + CHOOSE(CONTROL!$C$38, 0.0342, 0)</f>
        <v>17.749699999999997</v>
      </c>
      <c r="H106" s="14">
        <f>17.7155 * CHOOSE(CONTROL!$C$15, $E$9, 100%, $G$9) + CHOOSE(CONTROL!$C$38, 0.0342, 0)</f>
        <v>17.749699999999997</v>
      </c>
      <c r="I106" s="14">
        <f>17.717 * CHOOSE(CONTROL!$C$15, $E$9, 100%, $G$9) + CHOOSE(CONTROL!$C$38, 0.0342, 0)</f>
        <v>17.751199999999997</v>
      </c>
      <c r="J106" s="44">
        <f>113.8185</f>
        <v>113.8185</v>
      </c>
    </row>
    <row r="107" spans="1:10" ht="15" x14ac:dyDescent="0.2">
      <c r="A107" s="13">
        <v>44166</v>
      </c>
      <c r="B107" s="14">
        <f>19.1538 * CHOOSE(CONTROL!$C$15, $E$9, 100%, $G$9) + CHOOSE(CONTROL!$C$38, 0.0251, 0)</f>
        <v>19.178899999999999</v>
      </c>
      <c r="C107" s="14">
        <f>18.4863 * CHOOSE(CONTROL!$C$15, $E$9, 100%, $G$9) + CHOOSE(CONTROL!$C$38, 0.0342, 0)</f>
        <v>18.520499999999998</v>
      </c>
      <c r="D107" s="14">
        <f>18.4785 * CHOOSE(CONTROL!$C$15, $E$9, 100%, $G$9) + CHOOSE(CONTROL!$C$38, 0.0342, 0)</f>
        <v>18.512699999999999</v>
      </c>
      <c r="E107" s="46">
        <f>18.9976 * CHOOSE(CONTROL!$C$15, $E$9, 100%, $G$9) + CHOOSE(CONTROL!$C$38, 0.0342, 0)</f>
        <v>19.031799999999997</v>
      </c>
      <c r="F107" s="45">
        <f>18.9976 * CHOOSE(CONTROL!$C$15, $E$9, 100%, $G$9) + CHOOSE(CONTROL!$C$38, 0.0251, 0)</f>
        <v>19.022699999999997</v>
      </c>
      <c r="G107" s="14">
        <f>18.4848 * CHOOSE(CONTROL!$C$15, $E$9, 100%, $G$9) + CHOOSE(CONTROL!$C$38, 0.0342, 0)</f>
        <v>18.518999999999998</v>
      </c>
      <c r="H107" s="14">
        <f>18.4848 * CHOOSE(CONTROL!$C$15, $E$9, 100%, $G$9) + CHOOSE(CONTROL!$C$38, 0.0342, 0)</f>
        <v>18.518999999999998</v>
      </c>
      <c r="I107" s="14">
        <f>18.4863 * CHOOSE(CONTROL!$C$15, $E$9, 100%, $G$9) + CHOOSE(CONTROL!$C$38, 0.0342, 0)</f>
        <v>18.520499999999998</v>
      </c>
      <c r="J107" s="44">
        <f>110.6684</f>
        <v>110.66840000000001</v>
      </c>
    </row>
    <row r="108" spans="1:10" ht="15" x14ac:dyDescent="0.2">
      <c r="A108" s="13">
        <v>44197</v>
      </c>
      <c r="B108" s="14">
        <f>20.3954 * CHOOSE(CONTROL!$C$15, $E$9, 100%, $G$9) + CHOOSE(CONTROL!$C$38, 0.0251, 0)</f>
        <v>20.420499999999997</v>
      </c>
      <c r="C108" s="14">
        <f>19.4419 * CHOOSE(CONTROL!$C$15, $E$9, 100%, $G$9) + CHOOSE(CONTROL!$C$38, 0.0342, 0)</f>
        <v>19.476099999999999</v>
      </c>
      <c r="D108" s="14">
        <f>19.4341 * CHOOSE(CONTROL!$C$15, $E$9, 100%, $G$9) + CHOOSE(CONTROL!$C$38, 0.0342, 0)</f>
        <v>19.468299999999999</v>
      </c>
      <c r="E108" s="46">
        <f>20.2391 * CHOOSE(CONTROL!$C$15, $E$9, 100%, $G$9) + CHOOSE(CONTROL!$C$38, 0.0342, 0)</f>
        <v>20.273299999999999</v>
      </c>
      <c r="F108" s="45">
        <f>20.2391 * CHOOSE(CONTROL!$C$15, $E$9, 100%, $G$9) + CHOOSE(CONTROL!$C$38, 0.0251, 0)</f>
        <v>20.264199999999999</v>
      </c>
      <c r="G108" s="14">
        <f>19.4404 * CHOOSE(CONTROL!$C$15, $E$9, 100%, $G$9) + CHOOSE(CONTROL!$C$38, 0.0342, 0)</f>
        <v>19.474599999999999</v>
      </c>
      <c r="H108" s="14">
        <f>19.4404 * CHOOSE(CONTROL!$C$15, $E$9, 100%, $G$9) + CHOOSE(CONTROL!$C$38, 0.0342, 0)</f>
        <v>19.474599999999999</v>
      </c>
      <c r="I108" s="14">
        <f>19.4419 * CHOOSE(CONTROL!$C$15, $E$9, 100%, $G$9) + CHOOSE(CONTROL!$C$38, 0.0342, 0)</f>
        <v>19.476099999999999</v>
      </c>
      <c r="J108" s="44">
        <f>110.9959</f>
        <v>110.99590000000001</v>
      </c>
    </row>
    <row r="109" spans="1:10" ht="15" x14ac:dyDescent="0.2">
      <c r="A109" s="13">
        <v>44228</v>
      </c>
      <c r="B109" s="14">
        <f>20.709 * CHOOSE(CONTROL!$C$15, $E$9, 100%, $G$9) + CHOOSE(CONTROL!$C$38, 0.0251, 0)</f>
        <v>20.734099999999998</v>
      </c>
      <c r="C109" s="14">
        <f>19.7539 * CHOOSE(CONTROL!$C$15, $E$9, 100%, $G$9) + CHOOSE(CONTROL!$C$38, 0.0342, 0)</f>
        <v>19.7881</v>
      </c>
      <c r="D109" s="14">
        <f>19.7461 * CHOOSE(CONTROL!$C$15, $E$9, 100%, $G$9) + CHOOSE(CONTROL!$C$38, 0.0342, 0)</f>
        <v>19.780299999999997</v>
      </c>
      <c r="E109" s="46">
        <f>20.5527 * CHOOSE(CONTROL!$C$15, $E$9, 100%, $G$9) + CHOOSE(CONTROL!$C$38, 0.0342, 0)</f>
        <v>20.5869</v>
      </c>
      <c r="F109" s="45">
        <f>20.5527 * CHOOSE(CONTROL!$C$15, $E$9, 100%, $G$9) + CHOOSE(CONTROL!$C$38, 0.0251, 0)</f>
        <v>20.5778</v>
      </c>
      <c r="G109" s="14">
        <f>19.7523 * CHOOSE(CONTROL!$C$15, $E$9, 100%, $G$9) + CHOOSE(CONTROL!$C$38, 0.0342, 0)</f>
        <v>19.7865</v>
      </c>
      <c r="H109" s="14">
        <f>19.7523 * CHOOSE(CONTROL!$C$15, $E$9, 100%, $G$9) + CHOOSE(CONTROL!$C$38, 0.0342, 0)</f>
        <v>19.7865</v>
      </c>
      <c r="I109" s="14">
        <f>19.7539 * CHOOSE(CONTROL!$C$15, $E$9, 100%, $G$9) + CHOOSE(CONTROL!$C$38, 0.0342, 0)</f>
        <v>19.7881</v>
      </c>
      <c r="J109" s="44">
        <f>110.9153</f>
        <v>110.9153</v>
      </c>
    </row>
    <row r="110" spans="1:10" ht="15" x14ac:dyDescent="0.2">
      <c r="A110" s="13">
        <v>44256</v>
      </c>
      <c r="B110" s="14">
        <f>20.1174 * CHOOSE(CONTROL!$C$15, $E$9, 100%, $G$9) + CHOOSE(CONTROL!$C$38, 0.0251, 0)</f>
        <v>20.142499999999998</v>
      </c>
      <c r="C110" s="14">
        <f>19.1607 * CHOOSE(CONTROL!$C$15, $E$9, 100%, $G$9) + CHOOSE(CONTROL!$C$38, 0.0342, 0)</f>
        <v>19.194899999999997</v>
      </c>
      <c r="D110" s="14">
        <f>19.1528 * CHOOSE(CONTROL!$C$15, $E$9, 100%, $G$9) + CHOOSE(CONTROL!$C$38, 0.0342, 0)</f>
        <v>19.186999999999998</v>
      </c>
      <c r="E110" s="46">
        <f>19.9611 * CHOOSE(CONTROL!$C$15, $E$9, 100%, $G$9) + CHOOSE(CONTROL!$C$38, 0.0342, 0)</f>
        <v>19.995299999999997</v>
      </c>
      <c r="F110" s="45">
        <f>19.9611 * CHOOSE(CONTROL!$C$15, $E$9, 100%, $G$9) + CHOOSE(CONTROL!$C$38, 0.0251, 0)</f>
        <v>19.986199999999997</v>
      </c>
      <c r="G110" s="14">
        <f>19.1591 * CHOOSE(CONTROL!$C$15, $E$9, 100%, $G$9) + CHOOSE(CONTROL!$C$38, 0.0342, 0)</f>
        <v>19.193299999999997</v>
      </c>
      <c r="H110" s="14">
        <f>19.1591 * CHOOSE(CONTROL!$C$15, $E$9, 100%, $G$9) + CHOOSE(CONTROL!$C$38, 0.0342, 0)</f>
        <v>19.193299999999997</v>
      </c>
      <c r="I110" s="14">
        <f>19.1607 * CHOOSE(CONTROL!$C$15, $E$9, 100%, $G$9) + CHOOSE(CONTROL!$C$38, 0.0342, 0)</f>
        <v>19.194899999999997</v>
      </c>
      <c r="J110" s="44">
        <f>117.0017</f>
        <v>117.0017</v>
      </c>
    </row>
    <row r="111" spans="1:10" ht="15" x14ac:dyDescent="0.2">
      <c r="A111" s="13">
        <v>44287</v>
      </c>
      <c r="B111" s="14">
        <f>19.5429 * CHOOSE(CONTROL!$C$15, $E$9, 100%, $G$9) + CHOOSE(CONTROL!$C$38, 0.0251, 0)</f>
        <v>19.567999999999998</v>
      </c>
      <c r="C111" s="14">
        <f>18.5846 * CHOOSE(CONTROL!$C$15, $E$9, 100%, $G$9) + CHOOSE(CONTROL!$C$38, 0.0342, 0)</f>
        <v>18.618799999999997</v>
      </c>
      <c r="D111" s="14">
        <f>18.5768 * CHOOSE(CONTROL!$C$15, $E$9, 100%, $G$9) + CHOOSE(CONTROL!$C$38, 0.0342, 0)</f>
        <v>18.610999999999997</v>
      </c>
      <c r="E111" s="46">
        <f>19.3867 * CHOOSE(CONTROL!$C$15, $E$9, 100%, $G$9) + CHOOSE(CONTROL!$C$38, 0.0342, 0)</f>
        <v>19.4209</v>
      </c>
      <c r="F111" s="45">
        <f>19.3867 * CHOOSE(CONTROL!$C$15, $E$9, 100%, $G$9) + CHOOSE(CONTROL!$C$38, 0.0251, 0)</f>
        <v>19.411799999999999</v>
      </c>
      <c r="G111" s="14">
        <f>18.583 * CHOOSE(CONTROL!$C$15, $E$9, 100%, $G$9) + CHOOSE(CONTROL!$C$38, 0.0342, 0)</f>
        <v>18.617199999999997</v>
      </c>
      <c r="H111" s="14">
        <f>18.583 * CHOOSE(CONTROL!$C$15, $E$9, 100%, $G$9) + CHOOSE(CONTROL!$C$38, 0.0342, 0)</f>
        <v>18.617199999999997</v>
      </c>
      <c r="I111" s="14">
        <f>18.5846 * CHOOSE(CONTROL!$C$15, $E$9, 100%, $G$9) + CHOOSE(CONTROL!$C$38, 0.0342, 0)</f>
        <v>18.618799999999997</v>
      </c>
      <c r="J111" s="44">
        <f>124.8547</f>
        <v>124.85469999999999</v>
      </c>
    </row>
    <row r="112" spans="1:10" ht="15" x14ac:dyDescent="0.2">
      <c r="A112" s="13">
        <v>44317</v>
      </c>
      <c r="B112" s="14">
        <f>18.94 * CHOOSE(CONTROL!$C$15, $E$9, 100%, $G$9) + CHOOSE(CONTROL!$C$38, 0.0264, 0)</f>
        <v>18.9664</v>
      </c>
      <c r="C112" s="14">
        <f>17.98 * CHOOSE(CONTROL!$C$15, $E$9, 100%, $G$9) + CHOOSE(CONTROL!$C$38, 0.0354, 0)</f>
        <v>18.0154</v>
      </c>
      <c r="D112" s="14">
        <f>17.9722 * CHOOSE(CONTROL!$C$15, $E$9, 100%, $G$9) + CHOOSE(CONTROL!$C$38, 0.0354, 0)</f>
        <v>18.0076</v>
      </c>
      <c r="E112" s="46">
        <f>18.7838 * CHOOSE(CONTROL!$C$15, $E$9, 100%, $G$9) + CHOOSE(CONTROL!$C$38, 0.0354, 0)</f>
        <v>18.819199999999999</v>
      </c>
      <c r="F112" s="45">
        <f>18.7838 * CHOOSE(CONTROL!$C$15, $E$9, 100%, $G$9) + CHOOSE(CONTROL!$C$38, 0.0264, 0)</f>
        <v>18.810199999999998</v>
      </c>
      <c r="G112" s="14">
        <f>17.9784 * CHOOSE(CONTROL!$C$15, $E$9, 100%, $G$9) + CHOOSE(CONTROL!$C$38, 0.0354, 0)</f>
        <v>18.0138</v>
      </c>
      <c r="H112" s="14">
        <f>17.9784 * CHOOSE(CONTROL!$C$15, $E$9, 100%, $G$9) + CHOOSE(CONTROL!$C$38, 0.0354, 0)</f>
        <v>18.0138</v>
      </c>
      <c r="I112" s="14">
        <f>17.98 * CHOOSE(CONTROL!$C$15, $E$9, 100%, $G$9) + CHOOSE(CONTROL!$C$38, 0.0354, 0)</f>
        <v>18.0154</v>
      </c>
      <c r="J112" s="44">
        <f>129.3104</f>
        <v>129.31039999999999</v>
      </c>
    </row>
    <row r="113" spans="1:10" ht="15" x14ac:dyDescent="0.2">
      <c r="A113" s="13">
        <v>44348</v>
      </c>
      <c r="B113" s="14">
        <f>18.5268 * CHOOSE(CONTROL!$C$15, $E$9, 100%, $G$9) + CHOOSE(CONTROL!$C$38, 0.0264, 0)</f>
        <v>18.5532</v>
      </c>
      <c r="C113" s="14">
        <f>17.5651 * CHOOSE(CONTROL!$C$15, $E$9, 100%, $G$9) + CHOOSE(CONTROL!$C$38, 0.0354, 0)</f>
        <v>17.6005</v>
      </c>
      <c r="D113" s="14">
        <f>17.5573 * CHOOSE(CONTROL!$C$15, $E$9, 100%, $G$9) + CHOOSE(CONTROL!$C$38, 0.0354, 0)</f>
        <v>17.592700000000001</v>
      </c>
      <c r="E113" s="46">
        <f>18.3706 * CHOOSE(CONTROL!$C$15, $E$9, 100%, $G$9) + CHOOSE(CONTROL!$C$38, 0.0354, 0)</f>
        <v>18.405999999999999</v>
      </c>
      <c r="F113" s="45">
        <f>18.3706 * CHOOSE(CONTROL!$C$15, $E$9, 100%, $G$9) + CHOOSE(CONTROL!$C$38, 0.0264, 0)</f>
        <v>18.396999999999998</v>
      </c>
      <c r="G113" s="14">
        <f>17.5636 * CHOOSE(CONTROL!$C$15, $E$9, 100%, $G$9) + CHOOSE(CONTROL!$C$38, 0.0354, 0)</f>
        <v>17.599</v>
      </c>
      <c r="H113" s="14">
        <f>17.5636 * CHOOSE(CONTROL!$C$15, $E$9, 100%, $G$9) + CHOOSE(CONTROL!$C$38, 0.0354, 0)</f>
        <v>17.599</v>
      </c>
      <c r="I113" s="14">
        <f>17.5651 * CHOOSE(CONTROL!$C$15, $E$9, 100%, $G$9) + CHOOSE(CONTROL!$C$38, 0.0354, 0)</f>
        <v>17.6005</v>
      </c>
      <c r="J113" s="44">
        <f>131.4438</f>
        <v>131.44380000000001</v>
      </c>
    </row>
    <row r="114" spans="1:10" ht="15" x14ac:dyDescent="0.2">
      <c r="A114" s="13">
        <v>44378</v>
      </c>
      <c r="B114" s="14">
        <f>18.3058 * CHOOSE(CONTROL!$C$15, $E$9, 100%, $G$9) + CHOOSE(CONTROL!$C$38, 0.0264, 0)</f>
        <v>18.3322</v>
      </c>
      <c r="C114" s="14">
        <f>17.3425 * CHOOSE(CONTROL!$C$15, $E$9, 100%, $G$9) + CHOOSE(CONTROL!$C$38, 0.0354, 0)</f>
        <v>17.3779</v>
      </c>
      <c r="D114" s="14">
        <f>17.3347 * CHOOSE(CONTROL!$C$15, $E$9, 100%, $G$9) + CHOOSE(CONTROL!$C$38, 0.0354, 0)</f>
        <v>17.370100000000001</v>
      </c>
      <c r="E114" s="46">
        <f>18.1496 * CHOOSE(CONTROL!$C$15, $E$9, 100%, $G$9) + CHOOSE(CONTROL!$C$38, 0.0354, 0)</f>
        <v>18.184999999999999</v>
      </c>
      <c r="F114" s="45">
        <f>18.1496 * CHOOSE(CONTROL!$C$15, $E$9, 100%, $G$9) + CHOOSE(CONTROL!$C$38, 0.0264, 0)</f>
        <v>18.175999999999998</v>
      </c>
      <c r="G114" s="14">
        <f>17.3409 * CHOOSE(CONTROL!$C$15, $E$9, 100%, $G$9) + CHOOSE(CONTROL!$C$38, 0.0354, 0)</f>
        <v>17.376300000000001</v>
      </c>
      <c r="H114" s="14">
        <f>17.3409 * CHOOSE(CONTROL!$C$15, $E$9, 100%, $G$9) + CHOOSE(CONTROL!$C$38, 0.0354, 0)</f>
        <v>17.376300000000001</v>
      </c>
      <c r="I114" s="14">
        <f>17.3425 * CHOOSE(CONTROL!$C$15, $E$9, 100%, $G$9) + CHOOSE(CONTROL!$C$38, 0.0354, 0)</f>
        <v>17.3779</v>
      </c>
      <c r="J114" s="44">
        <f>131.0985</f>
        <v>131.0985</v>
      </c>
    </row>
    <row r="115" spans="1:10" ht="15" x14ac:dyDescent="0.2">
      <c r="A115" s="13">
        <v>44409</v>
      </c>
      <c r="B115" s="14">
        <f>18.4698 * CHOOSE(CONTROL!$C$15, $E$9, 100%, $G$9) + CHOOSE(CONTROL!$C$38, 0.0264, 0)</f>
        <v>18.496199999999998</v>
      </c>
      <c r="C115" s="14">
        <f>17.5048 * CHOOSE(CONTROL!$C$15, $E$9, 100%, $G$9) + CHOOSE(CONTROL!$C$38, 0.0354, 0)</f>
        <v>17.540199999999999</v>
      </c>
      <c r="D115" s="14">
        <f>17.497 * CHOOSE(CONTROL!$C$15, $E$9, 100%, $G$9) + CHOOSE(CONTROL!$C$38, 0.0354, 0)</f>
        <v>17.532399999999999</v>
      </c>
      <c r="E115" s="46">
        <f>18.3135 * CHOOSE(CONTROL!$C$15, $E$9, 100%, $G$9) + CHOOSE(CONTROL!$C$38, 0.0354, 0)</f>
        <v>18.3489</v>
      </c>
      <c r="F115" s="45">
        <f>18.3135 * CHOOSE(CONTROL!$C$15, $E$9, 100%, $G$9) + CHOOSE(CONTROL!$C$38, 0.0264, 0)</f>
        <v>18.3399</v>
      </c>
      <c r="G115" s="14">
        <f>17.5032 * CHOOSE(CONTROL!$C$15, $E$9, 100%, $G$9) + CHOOSE(CONTROL!$C$38, 0.0354, 0)</f>
        <v>17.538599999999999</v>
      </c>
      <c r="H115" s="14">
        <f>17.5032 * CHOOSE(CONTROL!$C$15, $E$9, 100%, $G$9) + CHOOSE(CONTROL!$C$38, 0.0354, 0)</f>
        <v>17.538599999999999</v>
      </c>
      <c r="I115" s="14">
        <f>17.5048 * CHOOSE(CONTROL!$C$15, $E$9, 100%, $G$9) + CHOOSE(CONTROL!$C$38, 0.0354, 0)</f>
        <v>17.540199999999999</v>
      </c>
      <c r="J115" s="44">
        <f>128.3104</f>
        <v>128.31039999999999</v>
      </c>
    </row>
    <row r="116" spans="1:10" ht="15" x14ac:dyDescent="0.2">
      <c r="A116" s="13">
        <v>44440</v>
      </c>
      <c r="B116" s="14">
        <f>18.8537 * CHOOSE(CONTROL!$C$15, $E$9, 100%, $G$9) + CHOOSE(CONTROL!$C$38, 0.0264, 0)</f>
        <v>18.880099999999999</v>
      </c>
      <c r="C116" s="14">
        <f>17.887 * CHOOSE(CONTROL!$C$15, $E$9, 100%, $G$9) + CHOOSE(CONTROL!$C$38, 0.0354, 0)</f>
        <v>17.9224</v>
      </c>
      <c r="D116" s="14">
        <f>17.8792 * CHOOSE(CONTROL!$C$15, $E$9, 100%, $G$9) + CHOOSE(CONTROL!$C$38, 0.0354, 0)</f>
        <v>17.9146</v>
      </c>
      <c r="E116" s="46">
        <f>18.6974 * CHOOSE(CONTROL!$C$15, $E$9, 100%, $G$9) + CHOOSE(CONTROL!$C$38, 0.0354, 0)</f>
        <v>18.732799999999997</v>
      </c>
      <c r="F116" s="45">
        <f>18.6974 * CHOOSE(CONTROL!$C$15, $E$9, 100%, $G$9) + CHOOSE(CONTROL!$C$38, 0.0264, 0)</f>
        <v>18.723799999999997</v>
      </c>
      <c r="G116" s="14">
        <f>17.8854 * CHOOSE(CONTROL!$C$15, $E$9, 100%, $G$9) + CHOOSE(CONTROL!$C$38, 0.0354, 0)</f>
        <v>17.9208</v>
      </c>
      <c r="H116" s="14">
        <f>17.8854 * CHOOSE(CONTROL!$C$15, $E$9, 100%, $G$9) + CHOOSE(CONTROL!$C$38, 0.0354, 0)</f>
        <v>17.9208</v>
      </c>
      <c r="I116" s="14">
        <f>17.887 * CHOOSE(CONTROL!$C$15, $E$9, 100%, $G$9) + CHOOSE(CONTROL!$C$38, 0.0354, 0)</f>
        <v>17.9224</v>
      </c>
      <c r="J116" s="44">
        <f>124.3011</f>
        <v>124.30110000000001</v>
      </c>
    </row>
    <row r="117" spans="1:10" ht="15" x14ac:dyDescent="0.2">
      <c r="A117" s="13">
        <v>44470</v>
      </c>
      <c r="B117" s="14">
        <f>19.1825 * CHOOSE(CONTROL!$C$15, $E$9, 100%, $G$9) + CHOOSE(CONTROL!$C$38, 0.0251, 0)</f>
        <v>19.207599999999999</v>
      </c>
      <c r="C117" s="14">
        <f>18.2142 * CHOOSE(CONTROL!$C$15, $E$9, 100%, $G$9) + CHOOSE(CONTROL!$C$38, 0.0342, 0)</f>
        <v>18.2484</v>
      </c>
      <c r="D117" s="14">
        <f>18.2064 * CHOOSE(CONTROL!$C$15, $E$9, 100%, $G$9) + CHOOSE(CONTROL!$C$38, 0.0342, 0)</f>
        <v>18.240599999999997</v>
      </c>
      <c r="E117" s="46">
        <f>19.0263 * CHOOSE(CONTROL!$C$15, $E$9, 100%, $G$9) + CHOOSE(CONTROL!$C$38, 0.0342, 0)</f>
        <v>19.060499999999998</v>
      </c>
      <c r="F117" s="45">
        <f>19.0263 * CHOOSE(CONTROL!$C$15, $E$9, 100%, $G$9) + CHOOSE(CONTROL!$C$38, 0.0251, 0)</f>
        <v>19.051399999999997</v>
      </c>
      <c r="G117" s="14">
        <f>18.2126 * CHOOSE(CONTROL!$C$15, $E$9, 100%, $G$9) + CHOOSE(CONTROL!$C$38, 0.0342, 0)</f>
        <v>18.246799999999997</v>
      </c>
      <c r="H117" s="14">
        <f>18.2126 * CHOOSE(CONTROL!$C$15, $E$9, 100%, $G$9) + CHOOSE(CONTROL!$C$38, 0.0342, 0)</f>
        <v>18.246799999999997</v>
      </c>
      <c r="I117" s="14">
        <f>18.2142 * CHOOSE(CONTROL!$C$15, $E$9, 100%, $G$9) + CHOOSE(CONTROL!$C$38, 0.0342, 0)</f>
        <v>18.2484</v>
      </c>
      <c r="J117" s="44">
        <f>120.2498</f>
        <v>120.24979999999999</v>
      </c>
    </row>
    <row r="118" spans="1:10" ht="15" x14ac:dyDescent="0.2">
      <c r="A118" s="13">
        <v>44501</v>
      </c>
      <c r="B118" s="14">
        <f>19.4644 * CHOOSE(CONTROL!$C$15, $E$9, 100%, $G$9) + CHOOSE(CONTROL!$C$38, 0.0251, 0)</f>
        <v>19.4895</v>
      </c>
      <c r="C118" s="14">
        <f>18.4944 * CHOOSE(CONTROL!$C$15, $E$9, 100%, $G$9) + CHOOSE(CONTROL!$C$38, 0.0342, 0)</f>
        <v>18.528599999999997</v>
      </c>
      <c r="D118" s="14">
        <f>18.4865 * CHOOSE(CONTROL!$C$15, $E$9, 100%, $G$9) + CHOOSE(CONTROL!$C$38, 0.0342, 0)</f>
        <v>18.520699999999998</v>
      </c>
      <c r="E118" s="46">
        <f>19.3081 * CHOOSE(CONTROL!$C$15, $E$9, 100%, $G$9) + CHOOSE(CONTROL!$C$38, 0.0342, 0)</f>
        <v>19.342299999999998</v>
      </c>
      <c r="F118" s="45">
        <f>19.3081 * CHOOSE(CONTROL!$C$15, $E$9, 100%, $G$9) + CHOOSE(CONTROL!$C$38, 0.0251, 0)</f>
        <v>19.333199999999998</v>
      </c>
      <c r="G118" s="14">
        <f>18.4928 * CHOOSE(CONTROL!$C$15, $E$9, 100%, $G$9) + CHOOSE(CONTROL!$C$38, 0.0342, 0)</f>
        <v>18.526999999999997</v>
      </c>
      <c r="H118" s="14">
        <f>18.4928 * CHOOSE(CONTROL!$C$15, $E$9, 100%, $G$9) + CHOOSE(CONTROL!$C$38, 0.0342, 0)</f>
        <v>18.526999999999997</v>
      </c>
      <c r="I118" s="14">
        <f>18.4944 * CHOOSE(CONTROL!$C$15, $E$9, 100%, $G$9) + CHOOSE(CONTROL!$C$38, 0.0342, 0)</f>
        <v>18.528599999999997</v>
      </c>
      <c r="J118" s="44">
        <f>119.6389</f>
        <v>119.63890000000001</v>
      </c>
    </row>
    <row r="119" spans="1:10" ht="15" x14ac:dyDescent="0.2">
      <c r="A119" s="13">
        <v>44531</v>
      </c>
      <c r="B119" s="14">
        <f>20.2553 * CHOOSE(CONTROL!$C$15, $E$9, 100%, $G$9) + CHOOSE(CONTROL!$C$38, 0.0251, 0)</f>
        <v>20.280399999999997</v>
      </c>
      <c r="C119" s="14">
        <f>19.2836 * CHOOSE(CONTROL!$C$15, $E$9, 100%, $G$9) + CHOOSE(CONTROL!$C$38, 0.0342, 0)</f>
        <v>19.317799999999998</v>
      </c>
      <c r="D119" s="14">
        <f>19.2758 * CHOOSE(CONTROL!$C$15, $E$9, 100%, $G$9) + CHOOSE(CONTROL!$C$38, 0.0342, 0)</f>
        <v>19.309999999999999</v>
      </c>
      <c r="E119" s="46">
        <f>20.099 * CHOOSE(CONTROL!$C$15, $E$9, 100%, $G$9) + CHOOSE(CONTROL!$C$38, 0.0342, 0)</f>
        <v>20.133199999999999</v>
      </c>
      <c r="F119" s="45">
        <f>20.099 * CHOOSE(CONTROL!$C$15, $E$9, 100%, $G$9) + CHOOSE(CONTROL!$C$38, 0.0251, 0)</f>
        <v>20.124099999999999</v>
      </c>
      <c r="G119" s="14">
        <f>19.282 * CHOOSE(CONTROL!$C$15, $E$9, 100%, $G$9) + CHOOSE(CONTROL!$C$38, 0.0342, 0)</f>
        <v>19.316199999999998</v>
      </c>
      <c r="H119" s="14">
        <f>19.282 * CHOOSE(CONTROL!$C$15, $E$9, 100%, $G$9) + CHOOSE(CONTROL!$C$38, 0.0342, 0)</f>
        <v>19.316199999999998</v>
      </c>
      <c r="I119" s="14">
        <f>19.2836 * CHOOSE(CONTROL!$C$15, $E$9, 100%, $G$9) + CHOOSE(CONTROL!$C$38, 0.0342, 0)</f>
        <v>19.317799999999998</v>
      </c>
      <c r="J119" s="44">
        <f>116.3278</f>
        <v>116.3278</v>
      </c>
    </row>
    <row r="120" spans="1:10" ht="15" x14ac:dyDescent="0.2">
      <c r="A120" s="13">
        <v>44562</v>
      </c>
      <c r="B120" s="14">
        <f>21.2567 * CHOOSE(CONTROL!$C$15, $E$9, 100%, $G$9) + CHOOSE(CONTROL!$C$38, 0.0251, 0)</f>
        <v>21.281799999999997</v>
      </c>
      <c r="C120" s="14">
        <f>20.2993 * CHOOSE(CONTROL!$C$15, $E$9, 100%, $G$9) + CHOOSE(CONTROL!$C$38, 0.0342, 0)</f>
        <v>20.333499999999997</v>
      </c>
      <c r="D120" s="14">
        <f>20.2915 * CHOOSE(CONTROL!$C$15, $E$9, 100%, $G$9) + CHOOSE(CONTROL!$C$38, 0.0342, 0)</f>
        <v>20.325699999999998</v>
      </c>
      <c r="E120" s="46">
        <f>21.1004 * CHOOSE(CONTROL!$C$15, $E$9, 100%, $G$9) + CHOOSE(CONTROL!$C$38, 0.0342, 0)</f>
        <v>21.134599999999999</v>
      </c>
      <c r="F120" s="45">
        <f>21.1004 * CHOOSE(CONTROL!$C$15, $E$9, 100%, $G$9) + CHOOSE(CONTROL!$C$38, 0.0251, 0)</f>
        <v>21.125499999999999</v>
      </c>
      <c r="G120" s="14">
        <f>20.2978 * CHOOSE(CONTROL!$C$15, $E$9, 100%, $G$9) + CHOOSE(CONTROL!$C$38, 0.0342, 0)</f>
        <v>20.331999999999997</v>
      </c>
      <c r="H120" s="14">
        <f>20.2978 * CHOOSE(CONTROL!$C$15, $E$9, 100%, $G$9) + CHOOSE(CONTROL!$C$38, 0.0342, 0)</f>
        <v>20.331999999999997</v>
      </c>
      <c r="I120" s="14">
        <f>20.2993 * CHOOSE(CONTROL!$C$15, $E$9, 100%, $G$9) + CHOOSE(CONTROL!$C$38, 0.0342, 0)</f>
        <v>20.333499999999997</v>
      </c>
      <c r="J120" s="44">
        <f>116.6657</f>
        <v>116.6657</v>
      </c>
    </row>
    <row r="121" spans="1:10" ht="15" x14ac:dyDescent="0.2">
      <c r="A121" s="13">
        <v>44593</v>
      </c>
      <c r="B121" s="14">
        <f>21.5789 * CHOOSE(CONTROL!$C$15, $E$9, 100%, $G$9) + CHOOSE(CONTROL!$C$38, 0.0251, 0)</f>
        <v>21.603999999999999</v>
      </c>
      <c r="C121" s="14">
        <f>20.6199 * CHOOSE(CONTROL!$C$15, $E$9, 100%, $G$9) + CHOOSE(CONTROL!$C$38, 0.0342, 0)</f>
        <v>20.6541</v>
      </c>
      <c r="D121" s="14">
        <f>20.6121 * CHOOSE(CONTROL!$C$15, $E$9, 100%, $G$9) + CHOOSE(CONTROL!$C$38, 0.0342, 0)</f>
        <v>20.6463</v>
      </c>
      <c r="E121" s="46">
        <f>21.4226 * CHOOSE(CONTROL!$C$15, $E$9, 100%, $G$9) + CHOOSE(CONTROL!$C$38, 0.0342, 0)</f>
        <v>21.456799999999998</v>
      </c>
      <c r="F121" s="45">
        <f>21.4226 * CHOOSE(CONTROL!$C$15, $E$9, 100%, $G$9) + CHOOSE(CONTROL!$C$38, 0.0251, 0)</f>
        <v>21.447699999999998</v>
      </c>
      <c r="G121" s="14">
        <f>20.6183 * CHOOSE(CONTROL!$C$15, $E$9, 100%, $G$9) + CHOOSE(CONTROL!$C$38, 0.0342, 0)</f>
        <v>20.6525</v>
      </c>
      <c r="H121" s="14">
        <f>20.6183 * CHOOSE(CONTROL!$C$15, $E$9, 100%, $G$9) + CHOOSE(CONTROL!$C$38, 0.0342, 0)</f>
        <v>20.6525</v>
      </c>
      <c r="I121" s="14">
        <f>20.6199 * CHOOSE(CONTROL!$C$15, $E$9, 100%, $G$9) + CHOOSE(CONTROL!$C$38, 0.0342, 0)</f>
        <v>20.6541</v>
      </c>
      <c r="J121" s="44">
        <f>116.5811</f>
        <v>116.58110000000001</v>
      </c>
    </row>
    <row r="122" spans="1:10" ht="15" x14ac:dyDescent="0.2">
      <c r="A122" s="13">
        <v>44621</v>
      </c>
      <c r="B122" s="14">
        <f>20.9733 * CHOOSE(CONTROL!$C$15, $E$9, 100%, $G$9) + CHOOSE(CONTROL!$C$38, 0.0251, 0)</f>
        <v>20.998399999999997</v>
      </c>
      <c r="C122" s="14">
        <f>20.0126 * CHOOSE(CONTROL!$C$15, $E$9, 100%, $G$9) + CHOOSE(CONTROL!$C$38, 0.0342, 0)</f>
        <v>20.046799999999998</v>
      </c>
      <c r="D122" s="14">
        <f>20.0048 * CHOOSE(CONTROL!$C$15, $E$9, 100%, $G$9) + CHOOSE(CONTROL!$C$38, 0.0342, 0)</f>
        <v>20.038999999999998</v>
      </c>
      <c r="E122" s="46">
        <f>20.817 * CHOOSE(CONTROL!$C$15, $E$9, 100%, $G$9) + CHOOSE(CONTROL!$C$38, 0.0342, 0)</f>
        <v>20.851199999999999</v>
      </c>
      <c r="F122" s="45">
        <f>20.817 * CHOOSE(CONTROL!$C$15, $E$9, 100%, $G$9) + CHOOSE(CONTROL!$C$38, 0.0251, 0)</f>
        <v>20.842099999999999</v>
      </c>
      <c r="G122" s="14">
        <f>20.011 * CHOOSE(CONTROL!$C$15, $E$9, 100%, $G$9) + CHOOSE(CONTROL!$C$38, 0.0342, 0)</f>
        <v>20.045199999999998</v>
      </c>
      <c r="H122" s="14">
        <f>20.011 * CHOOSE(CONTROL!$C$15, $E$9, 100%, $G$9) + CHOOSE(CONTROL!$C$38, 0.0342, 0)</f>
        <v>20.045199999999998</v>
      </c>
      <c r="I122" s="14">
        <f>20.0126 * CHOOSE(CONTROL!$C$15, $E$9, 100%, $G$9) + CHOOSE(CONTROL!$C$38, 0.0342, 0)</f>
        <v>20.046799999999998</v>
      </c>
      <c r="J122" s="44">
        <f>122.9784</f>
        <v>122.97839999999999</v>
      </c>
    </row>
    <row r="123" spans="1:10" ht="15" x14ac:dyDescent="0.2">
      <c r="A123" s="13">
        <v>44652</v>
      </c>
      <c r="B123" s="14">
        <f>20.3852 * CHOOSE(CONTROL!$C$15, $E$9, 100%, $G$9) + CHOOSE(CONTROL!$C$38, 0.0251, 0)</f>
        <v>20.410299999999999</v>
      </c>
      <c r="C123" s="14">
        <f>19.4229 * CHOOSE(CONTROL!$C$15, $E$9, 100%, $G$9) + CHOOSE(CONTROL!$C$38, 0.0342, 0)</f>
        <v>19.457099999999997</v>
      </c>
      <c r="D123" s="14">
        <f>19.4151 * CHOOSE(CONTROL!$C$15, $E$9, 100%, $G$9) + CHOOSE(CONTROL!$C$38, 0.0342, 0)</f>
        <v>19.449299999999997</v>
      </c>
      <c r="E123" s="46">
        <f>20.229 * CHOOSE(CONTROL!$C$15, $E$9, 100%, $G$9) + CHOOSE(CONTROL!$C$38, 0.0342, 0)</f>
        <v>20.263199999999998</v>
      </c>
      <c r="F123" s="45">
        <f>20.229 * CHOOSE(CONTROL!$C$15, $E$9, 100%, $G$9) + CHOOSE(CONTROL!$C$38, 0.0251, 0)</f>
        <v>20.254099999999998</v>
      </c>
      <c r="G123" s="14">
        <f>19.4213 * CHOOSE(CONTROL!$C$15, $E$9, 100%, $G$9) + CHOOSE(CONTROL!$C$38, 0.0342, 0)</f>
        <v>19.455499999999997</v>
      </c>
      <c r="H123" s="14">
        <f>19.4213 * CHOOSE(CONTROL!$C$15, $E$9, 100%, $G$9) + CHOOSE(CONTROL!$C$38, 0.0342, 0)</f>
        <v>19.455499999999997</v>
      </c>
      <c r="I123" s="14">
        <f>19.4229 * CHOOSE(CONTROL!$C$15, $E$9, 100%, $G$9) + CHOOSE(CONTROL!$C$38, 0.0342, 0)</f>
        <v>19.457099999999997</v>
      </c>
      <c r="J123" s="44">
        <f>131.2325</f>
        <v>131.23249999999999</v>
      </c>
    </row>
    <row r="124" spans="1:10" ht="15" x14ac:dyDescent="0.2">
      <c r="A124" s="13">
        <v>44682</v>
      </c>
      <c r="B124" s="14">
        <f>19.768 * CHOOSE(CONTROL!$C$15, $E$9, 100%, $G$9) + CHOOSE(CONTROL!$C$38, 0.0264, 0)</f>
        <v>19.7944</v>
      </c>
      <c r="C124" s="14">
        <f>18.804 * CHOOSE(CONTROL!$C$15, $E$9, 100%, $G$9) + CHOOSE(CONTROL!$C$38, 0.0354, 0)</f>
        <v>18.839399999999998</v>
      </c>
      <c r="D124" s="14">
        <f>18.7962 * CHOOSE(CONTROL!$C$15, $E$9, 100%, $G$9) + CHOOSE(CONTROL!$C$38, 0.0354, 0)</f>
        <v>18.831599999999998</v>
      </c>
      <c r="E124" s="46">
        <f>19.6117 * CHOOSE(CONTROL!$C$15, $E$9, 100%, $G$9) + CHOOSE(CONTROL!$C$38, 0.0354, 0)</f>
        <v>19.647099999999998</v>
      </c>
      <c r="F124" s="45">
        <f>19.6117 * CHOOSE(CONTROL!$C$15, $E$9, 100%, $G$9) + CHOOSE(CONTROL!$C$38, 0.0264, 0)</f>
        <v>19.638099999999998</v>
      </c>
      <c r="G124" s="14">
        <f>18.8024 * CHOOSE(CONTROL!$C$15, $E$9, 100%, $G$9) + CHOOSE(CONTROL!$C$38, 0.0354, 0)</f>
        <v>18.837799999999998</v>
      </c>
      <c r="H124" s="14">
        <f>18.8024 * CHOOSE(CONTROL!$C$15, $E$9, 100%, $G$9) + CHOOSE(CONTROL!$C$38, 0.0354, 0)</f>
        <v>18.837799999999998</v>
      </c>
      <c r="I124" s="14">
        <f>18.804 * CHOOSE(CONTROL!$C$15, $E$9, 100%, $G$9) + CHOOSE(CONTROL!$C$38, 0.0354, 0)</f>
        <v>18.839399999999998</v>
      </c>
      <c r="J124" s="44">
        <f>135.9158</f>
        <v>135.91579999999999</v>
      </c>
    </row>
    <row r="125" spans="1:10" ht="15" x14ac:dyDescent="0.2">
      <c r="A125" s="13">
        <v>44713</v>
      </c>
      <c r="B125" s="14">
        <f>19.3452 * CHOOSE(CONTROL!$C$15, $E$9, 100%, $G$9) + CHOOSE(CONTROL!$C$38, 0.0264, 0)</f>
        <v>19.371599999999997</v>
      </c>
      <c r="C125" s="14">
        <f>18.3796 * CHOOSE(CONTROL!$C$15, $E$9, 100%, $G$9) + CHOOSE(CONTROL!$C$38, 0.0354, 0)</f>
        <v>18.414999999999999</v>
      </c>
      <c r="D125" s="14">
        <f>18.3718 * CHOOSE(CONTROL!$C$15, $E$9, 100%, $G$9) + CHOOSE(CONTROL!$C$38, 0.0354, 0)</f>
        <v>18.4072</v>
      </c>
      <c r="E125" s="46">
        <f>19.1889 * CHOOSE(CONTROL!$C$15, $E$9, 100%, $G$9) + CHOOSE(CONTROL!$C$38, 0.0354, 0)</f>
        <v>19.224299999999999</v>
      </c>
      <c r="F125" s="45">
        <f>19.1889 * CHOOSE(CONTROL!$C$15, $E$9, 100%, $G$9) + CHOOSE(CONTROL!$C$38, 0.0264, 0)</f>
        <v>19.215299999999999</v>
      </c>
      <c r="G125" s="14">
        <f>18.378 * CHOOSE(CONTROL!$C$15, $E$9, 100%, $G$9) + CHOOSE(CONTROL!$C$38, 0.0354, 0)</f>
        <v>18.413399999999999</v>
      </c>
      <c r="H125" s="14">
        <f>18.378 * CHOOSE(CONTROL!$C$15, $E$9, 100%, $G$9) + CHOOSE(CONTROL!$C$38, 0.0354, 0)</f>
        <v>18.413399999999999</v>
      </c>
      <c r="I125" s="14">
        <f>18.3796 * CHOOSE(CONTROL!$C$15, $E$9, 100%, $G$9) + CHOOSE(CONTROL!$C$38, 0.0354, 0)</f>
        <v>18.414999999999999</v>
      </c>
      <c r="J125" s="44">
        <f>138.1582</f>
        <v>138.15819999999999</v>
      </c>
    </row>
    <row r="126" spans="1:10" ht="15" x14ac:dyDescent="0.2">
      <c r="A126" s="13">
        <v>44743</v>
      </c>
      <c r="B126" s="14">
        <f>19.1195 * CHOOSE(CONTROL!$C$15, $E$9, 100%, $G$9) + CHOOSE(CONTROL!$C$38, 0.0264, 0)</f>
        <v>19.145899999999997</v>
      </c>
      <c r="C126" s="14">
        <f>18.1522 * CHOOSE(CONTROL!$C$15, $E$9, 100%, $G$9) + CHOOSE(CONTROL!$C$38, 0.0354, 0)</f>
        <v>18.1876</v>
      </c>
      <c r="D126" s="14">
        <f>18.1443 * CHOOSE(CONTROL!$C$15, $E$9, 100%, $G$9) + CHOOSE(CONTROL!$C$38, 0.0354, 0)</f>
        <v>18.1797</v>
      </c>
      <c r="E126" s="46">
        <f>18.9632 * CHOOSE(CONTROL!$C$15, $E$9, 100%, $G$9) + CHOOSE(CONTROL!$C$38, 0.0354, 0)</f>
        <v>18.9986</v>
      </c>
      <c r="F126" s="45">
        <f>18.9632 * CHOOSE(CONTROL!$C$15, $E$9, 100%, $G$9) + CHOOSE(CONTROL!$C$38, 0.0264, 0)</f>
        <v>18.989599999999999</v>
      </c>
      <c r="G126" s="14">
        <f>18.1506 * CHOOSE(CONTROL!$C$15, $E$9, 100%, $G$9) + CHOOSE(CONTROL!$C$38, 0.0354, 0)</f>
        <v>18.186</v>
      </c>
      <c r="H126" s="14">
        <f>18.1506 * CHOOSE(CONTROL!$C$15, $E$9, 100%, $G$9) + CHOOSE(CONTROL!$C$38, 0.0354, 0)</f>
        <v>18.186</v>
      </c>
      <c r="I126" s="14">
        <f>18.1522 * CHOOSE(CONTROL!$C$15, $E$9, 100%, $G$9) + CHOOSE(CONTROL!$C$38, 0.0354, 0)</f>
        <v>18.1876</v>
      </c>
      <c r="J126" s="44">
        <f>137.7953</f>
        <v>137.7953</v>
      </c>
    </row>
    <row r="127" spans="1:10" ht="15" x14ac:dyDescent="0.2">
      <c r="A127" s="13">
        <v>44774</v>
      </c>
      <c r="B127" s="14">
        <f>19.2883 * CHOOSE(CONTROL!$C$15, $E$9, 100%, $G$9) + CHOOSE(CONTROL!$C$38, 0.0264, 0)</f>
        <v>19.314699999999998</v>
      </c>
      <c r="C127" s="14">
        <f>18.3193 * CHOOSE(CONTROL!$C$15, $E$9, 100%, $G$9) + CHOOSE(CONTROL!$C$38, 0.0354, 0)</f>
        <v>18.354699999999998</v>
      </c>
      <c r="D127" s="14">
        <f>18.3115 * CHOOSE(CONTROL!$C$15, $E$9, 100%, $G$9) + CHOOSE(CONTROL!$C$38, 0.0354, 0)</f>
        <v>18.346899999999998</v>
      </c>
      <c r="E127" s="46">
        <f>19.132 * CHOOSE(CONTROL!$C$15, $E$9, 100%, $G$9) + CHOOSE(CONTROL!$C$38, 0.0354, 0)</f>
        <v>19.167400000000001</v>
      </c>
      <c r="F127" s="45">
        <f>19.132 * CHOOSE(CONTROL!$C$15, $E$9, 100%, $G$9) + CHOOSE(CONTROL!$C$38, 0.0264, 0)</f>
        <v>19.1584</v>
      </c>
      <c r="G127" s="14">
        <f>18.3178 * CHOOSE(CONTROL!$C$15, $E$9, 100%, $G$9) + CHOOSE(CONTROL!$C$38, 0.0354, 0)</f>
        <v>18.353199999999998</v>
      </c>
      <c r="H127" s="14">
        <f>18.3178 * CHOOSE(CONTROL!$C$15, $E$9, 100%, $G$9) + CHOOSE(CONTROL!$C$38, 0.0354, 0)</f>
        <v>18.353199999999998</v>
      </c>
      <c r="I127" s="14">
        <f>18.3193 * CHOOSE(CONTROL!$C$15, $E$9, 100%, $G$9) + CHOOSE(CONTROL!$C$38, 0.0354, 0)</f>
        <v>18.354699999999998</v>
      </c>
      <c r="J127" s="44">
        <f>134.8647</f>
        <v>134.8647</v>
      </c>
    </row>
    <row r="128" spans="1:10" ht="15" x14ac:dyDescent="0.2">
      <c r="A128" s="13">
        <v>44805</v>
      </c>
      <c r="B128" s="14">
        <f>19.6825 * CHOOSE(CONTROL!$C$15, $E$9, 100%, $G$9) + CHOOSE(CONTROL!$C$38, 0.0264, 0)</f>
        <v>19.7089</v>
      </c>
      <c r="C128" s="14">
        <f>18.7119 * CHOOSE(CONTROL!$C$15, $E$9, 100%, $G$9) + CHOOSE(CONTROL!$C$38, 0.0354, 0)</f>
        <v>18.747299999999999</v>
      </c>
      <c r="D128" s="14">
        <f>18.7041 * CHOOSE(CONTROL!$C$15, $E$9, 100%, $G$9) + CHOOSE(CONTROL!$C$38, 0.0354, 0)</f>
        <v>18.7395</v>
      </c>
      <c r="E128" s="46">
        <f>19.5263 * CHOOSE(CONTROL!$C$15, $E$9, 100%, $G$9) + CHOOSE(CONTROL!$C$38, 0.0354, 0)</f>
        <v>19.561699999999998</v>
      </c>
      <c r="F128" s="45">
        <f>19.5263 * CHOOSE(CONTROL!$C$15, $E$9, 100%, $G$9) + CHOOSE(CONTROL!$C$38, 0.0264, 0)</f>
        <v>19.552699999999998</v>
      </c>
      <c r="G128" s="14">
        <f>18.7103 * CHOOSE(CONTROL!$C$15, $E$9, 100%, $G$9) + CHOOSE(CONTROL!$C$38, 0.0354, 0)</f>
        <v>18.745699999999999</v>
      </c>
      <c r="H128" s="14">
        <f>18.7103 * CHOOSE(CONTROL!$C$15, $E$9, 100%, $G$9) + CHOOSE(CONTROL!$C$38, 0.0354, 0)</f>
        <v>18.745699999999999</v>
      </c>
      <c r="I128" s="14">
        <f>18.7119 * CHOOSE(CONTROL!$C$15, $E$9, 100%, $G$9) + CHOOSE(CONTROL!$C$38, 0.0354, 0)</f>
        <v>18.747299999999999</v>
      </c>
      <c r="J128" s="44">
        <f>130.6506</f>
        <v>130.6506</v>
      </c>
    </row>
    <row r="129" spans="1:10" ht="15" x14ac:dyDescent="0.2">
      <c r="A129" s="13">
        <v>44835</v>
      </c>
      <c r="B129" s="14">
        <f>20.0204 * CHOOSE(CONTROL!$C$15, $E$9, 100%, $G$9) + CHOOSE(CONTROL!$C$38, 0.0251, 0)</f>
        <v>20.045499999999997</v>
      </c>
      <c r="C129" s="14">
        <f>19.0481 * CHOOSE(CONTROL!$C$15, $E$9, 100%, $G$9) + CHOOSE(CONTROL!$C$38, 0.0342, 0)</f>
        <v>19.0823</v>
      </c>
      <c r="D129" s="14">
        <f>19.0403 * CHOOSE(CONTROL!$C$15, $E$9, 100%, $G$9) + CHOOSE(CONTROL!$C$38, 0.0342, 0)</f>
        <v>19.074499999999997</v>
      </c>
      <c r="E129" s="46">
        <f>19.8641 * CHOOSE(CONTROL!$C$15, $E$9, 100%, $G$9) + CHOOSE(CONTROL!$C$38, 0.0342, 0)</f>
        <v>19.898299999999999</v>
      </c>
      <c r="F129" s="45">
        <f>19.8641 * CHOOSE(CONTROL!$C$15, $E$9, 100%, $G$9) + CHOOSE(CONTROL!$C$38, 0.0251, 0)</f>
        <v>19.889199999999999</v>
      </c>
      <c r="G129" s="14">
        <f>19.0465 * CHOOSE(CONTROL!$C$15, $E$9, 100%, $G$9) + CHOOSE(CONTROL!$C$38, 0.0342, 0)</f>
        <v>19.0807</v>
      </c>
      <c r="H129" s="14">
        <f>19.0465 * CHOOSE(CONTROL!$C$15, $E$9, 100%, $G$9) + CHOOSE(CONTROL!$C$38, 0.0342, 0)</f>
        <v>19.0807</v>
      </c>
      <c r="I129" s="14">
        <f>19.0481 * CHOOSE(CONTROL!$C$15, $E$9, 100%, $G$9) + CHOOSE(CONTROL!$C$38, 0.0342, 0)</f>
        <v>19.0823</v>
      </c>
      <c r="J129" s="44">
        <f>126.3924</f>
        <v>126.39239999999999</v>
      </c>
    </row>
    <row r="130" spans="1:10" ht="15" x14ac:dyDescent="0.2">
      <c r="A130" s="13">
        <v>44866</v>
      </c>
      <c r="B130" s="14">
        <f>20.31 * CHOOSE(CONTROL!$C$15, $E$9, 100%, $G$9) + CHOOSE(CONTROL!$C$38, 0.0251, 0)</f>
        <v>20.335099999999997</v>
      </c>
      <c r="C130" s="14">
        <f>19.336 * CHOOSE(CONTROL!$C$15, $E$9, 100%, $G$9) + CHOOSE(CONTROL!$C$38, 0.0342, 0)</f>
        <v>19.370199999999997</v>
      </c>
      <c r="D130" s="14">
        <f>19.3282 * CHOOSE(CONTROL!$C$15, $E$9, 100%, $G$9) + CHOOSE(CONTROL!$C$38, 0.0342, 0)</f>
        <v>19.362399999999997</v>
      </c>
      <c r="E130" s="46">
        <f>20.1538 * CHOOSE(CONTROL!$C$15, $E$9, 100%, $G$9) + CHOOSE(CONTROL!$C$38, 0.0342, 0)</f>
        <v>20.187999999999999</v>
      </c>
      <c r="F130" s="45">
        <f>20.1538 * CHOOSE(CONTROL!$C$15, $E$9, 100%, $G$9) + CHOOSE(CONTROL!$C$38, 0.0251, 0)</f>
        <v>20.178899999999999</v>
      </c>
      <c r="G130" s="14">
        <f>19.3345 * CHOOSE(CONTROL!$C$15, $E$9, 100%, $G$9) + CHOOSE(CONTROL!$C$38, 0.0342, 0)</f>
        <v>19.368699999999997</v>
      </c>
      <c r="H130" s="14">
        <f>19.3345 * CHOOSE(CONTROL!$C$15, $E$9, 100%, $G$9) + CHOOSE(CONTROL!$C$38, 0.0342, 0)</f>
        <v>19.368699999999997</v>
      </c>
      <c r="I130" s="14">
        <f>19.336 * CHOOSE(CONTROL!$C$15, $E$9, 100%, $G$9) + CHOOSE(CONTROL!$C$38, 0.0342, 0)</f>
        <v>19.370199999999997</v>
      </c>
      <c r="J130" s="44">
        <f>125.7503</f>
        <v>125.7503</v>
      </c>
    </row>
    <row r="131" spans="1:10" ht="15" x14ac:dyDescent="0.2">
      <c r="A131" s="13">
        <v>44896</v>
      </c>
      <c r="B131" s="14">
        <f>21.1215 * CHOOSE(CONTROL!$C$15, $E$9, 100%, $G$9) + CHOOSE(CONTROL!$C$38, 0.0251, 0)</f>
        <v>21.146599999999999</v>
      </c>
      <c r="C131" s="14">
        <f>20.1458 * CHOOSE(CONTROL!$C$15, $E$9, 100%, $G$9) + CHOOSE(CONTROL!$C$38, 0.0342, 0)</f>
        <v>20.18</v>
      </c>
      <c r="D131" s="14">
        <f>20.138 * CHOOSE(CONTROL!$C$15, $E$9, 100%, $G$9) + CHOOSE(CONTROL!$C$38, 0.0342, 0)</f>
        <v>20.1722</v>
      </c>
      <c r="E131" s="46">
        <f>20.9652 * CHOOSE(CONTROL!$C$15, $E$9, 100%, $G$9) + CHOOSE(CONTROL!$C$38, 0.0342, 0)</f>
        <v>20.999399999999998</v>
      </c>
      <c r="F131" s="45">
        <f>20.9652 * CHOOSE(CONTROL!$C$15, $E$9, 100%, $G$9) + CHOOSE(CONTROL!$C$38, 0.0251, 0)</f>
        <v>20.990299999999998</v>
      </c>
      <c r="G131" s="14">
        <f>20.1442 * CHOOSE(CONTROL!$C$15, $E$9, 100%, $G$9) + CHOOSE(CONTROL!$C$38, 0.0342, 0)</f>
        <v>20.1784</v>
      </c>
      <c r="H131" s="14">
        <f>20.1442 * CHOOSE(CONTROL!$C$15, $E$9, 100%, $G$9) + CHOOSE(CONTROL!$C$38, 0.0342, 0)</f>
        <v>20.1784</v>
      </c>
      <c r="I131" s="14">
        <f>20.1458 * CHOOSE(CONTROL!$C$15, $E$9, 100%, $G$9) + CHOOSE(CONTROL!$C$38, 0.0342, 0)</f>
        <v>20.18</v>
      </c>
      <c r="J131" s="44">
        <f>122.27</f>
        <v>122.27</v>
      </c>
    </row>
    <row r="132" spans="1:10" ht="15" x14ac:dyDescent="0.2">
      <c r="A132" s="13">
        <v>44927</v>
      </c>
      <c r="B132" s="14">
        <f>22.3759 * CHOOSE(CONTROL!$C$15, $E$9, 100%, $G$9) + CHOOSE(CONTROL!$C$38, 0.0251, 0)</f>
        <v>22.401</v>
      </c>
      <c r="C132" s="14">
        <f>21.2536 * CHOOSE(CONTROL!$C$15, $E$9, 100%, $G$9) + CHOOSE(CONTROL!$C$38, 0.0342, 0)</f>
        <v>21.287799999999997</v>
      </c>
      <c r="D132" s="14">
        <f>21.2458 * CHOOSE(CONTROL!$C$15, $E$9, 100%, $G$9) + CHOOSE(CONTROL!$C$38, 0.0342, 0)</f>
        <v>21.279999999999998</v>
      </c>
      <c r="E132" s="46">
        <f>22.2197 * CHOOSE(CONTROL!$C$15, $E$9, 100%, $G$9) + CHOOSE(CONTROL!$C$38, 0.0342, 0)</f>
        <v>22.253899999999998</v>
      </c>
      <c r="F132" s="45">
        <f>22.2197 * CHOOSE(CONTROL!$C$15, $E$9, 100%, $G$9) + CHOOSE(CONTROL!$C$38, 0.0251, 0)</f>
        <v>22.244799999999998</v>
      </c>
      <c r="G132" s="14">
        <f>21.2521 * CHOOSE(CONTROL!$C$15, $E$9, 100%, $G$9) + CHOOSE(CONTROL!$C$38, 0.0342, 0)</f>
        <v>21.286299999999997</v>
      </c>
      <c r="H132" s="14">
        <f>21.2521 * CHOOSE(CONTROL!$C$15, $E$9, 100%, $G$9) + CHOOSE(CONTROL!$C$38, 0.0342, 0)</f>
        <v>21.286299999999997</v>
      </c>
      <c r="I132" s="14">
        <f>21.2536 * CHOOSE(CONTROL!$C$15, $E$9, 100%, $G$9) + CHOOSE(CONTROL!$C$38, 0.0342, 0)</f>
        <v>21.287799999999997</v>
      </c>
      <c r="J132" s="44">
        <f>122.6189</f>
        <v>122.6189</v>
      </c>
    </row>
    <row r="133" spans="1:10" ht="15" x14ac:dyDescent="0.2">
      <c r="A133" s="13">
        <v>44958</v>
      </c>
      <c r="B133" s="14">
        <f>22.7074 * CHOOSE(CONTROL!$C$15, $E$9, 100%, $G$9) + CHOOSE(CONTROL!$C$38, 0.0251, 0)</f>
        <v>22.732499999999998</v>
      </c>
      <c r="C133" s="14">
        <f>21.5831 * CHOOSE(CONTROL!$C$15, $E$9, 100%, $G$9) + CHOOSE(CONTROL!$C$38, 0.0342, 0)</f>
        <v>21.6173</v>
      </c>
      <c r="D133" s="14">
        <f>21.5753 * CHOOSE(CONTROL!$C$15, $E$9, 100%, $G$9) + CHOOSE(CONTROL!$C$38, 0.0342, 0)</f>
        <v>21.609499999999997</v>
      </c>
      <c r="E133" s="46">
        <f>22.5512 * CHOOSE(CONTROL!$C$15, $E$9, 100%, $G$9) + CHOOSE(CONTROL!$C$38, 0.0342, 0)</f>
        <v>22.5854</v>
      </c>
      <c r="F133" s="45">
        <f>22.5512 * CHOOSE(CONTROL!$C$15, $E$9, 100%, $G$9) + CHOOSE(CONTROL!$C$38, 0.0251, 0)</f>
        <v>22.5763</v>
      </c>
      <c r="G133" s="14">
        <f>21.5816 * CHOOSE(CONTROL!$C$15, $E$9, 100%, $G$9) + CHOOSE(CONTROL!$C$38, 0.0342, 0)</f>
        <v>21.6158</v>
      </c>
      <c r="H133" s="14">
        <f>21.5816 * CHOOSE(CONTROL!$C$15, $E$9, 100%, $G$9) + CHOOSE(CONTROL!$C$38, 0.0342, 0)</f>
        <v>21.6158</v>
      </c>
      <c r="I133" s="14">
        <f>21.5831 * CHOOSE(CONTROL!$C$15, $E$9, 100%, $G$9) + CHOOSE(CONTROL!$C$38, 0.0342, 0)</f>
        <v>21.6173</v>
      </c>
      <c r="J133" s="44">
        <f>122.53</f>
        <v>122.53</v>
      </c>
    </row>
    <row r="134" spans="1:10" ht="15" x14ac:dyDescent="0.2">
      <c r="A134" s="13">
        <v>44986</v>
      </c>
      <c r="B134" s="14">
        <f>22.0879 * CHOOSE(CONTROL!$C$15, $E$9, 100%, $G$9) + CHOOSE(CONTROL!$C$38, 0.0251, 0)</f>
        <v>22.113</v>
      </c>
      <c r="C134" s="14">
        <f>20.9616 * CHOOSE(CONTROL!$C$15, $E$9, 100%, $G$9) + CHOOSE(CONTROL!$C$38, 0.0342, 0)</f>
        <v>20.995799999999999</v>
      </c>
      <c r="D134" s="14">
        <f>20.9538 * CHOOSE(CONTROL!$C$15, $E$9, 100%, $G$9) + CHOOSE(CONTROL!$C$38, 0.0342, 0)</f>
        <v>20.988</v>
      </c>
      <c r="E134" s="46">
        <f>21.9316 * CHOOSE(CONTROL!$C$15, $E$9, 100%, $G$9) + CHOOSE(CONTROL!$C$38, 0.0342, 0)</f>
        <v>21.965799999999998</v>
      </c>
      <c r="F134" s="45">
        <f>21.9316 * CHOOSE(CONTROL!$C$15, $E$9, 100%, $G$9) + CHOOSE(CONTROL!$C$38, 0.0251, 0)</f>
        <v>21.956699999999998</v>
      </c>
      <c r="G134" s="14">
        <f>20.9601 * CHOOSE(CONTROL!$C$15, $E$9, 100%, $G$9) + CHOOSE(CONTROL!$C$38, 0.0342, 0)</f>
        <v>20.994299999999999</v>
      </c>
      <c r="H134" s="14">
        <f>20.9601 * CHOOSE(CONTROL!$C$15, $E$9, 100%, $G$9) + CHOOSE(CONTROL!$C$38, 0.0342, 0)</f>
        <v>20.994299999999999</v>
      </c>
      <c r="I134" s="14">
        <f>20.9616 * CHOOSE(CONTROL!$C$15, $E$9, 100%, $G$9) + CHOOSE(CONTROL!$C$38, 0.0342, 0)</f>
        <v>20.995799999999999</v>
      </c>
      <c r="J134" s="44">
        <f>129.2537</f>
        <v>129.25370000000001</v>
      </c>
    </row>
    <row r="135" spans="1:10" ht="15" x14ac:dyDescent="0.2">
      <c r="A135" s="13">
        <v>45017</v>
      </c>
      <c r="B135" s="14">
        <f>21.4864 * CHOOSE(CONTROL!$C$15, $E$9, 100%, $G$9) + CHOOSE(CONTROL!$C$38, 0.0251, 0)</f>
        <v>21.511499999999998</v>
      </c>
      <c r="C135" s="14">
        <f>20.3581 * CHOOSE(CONTROL!$C$15, $E$9, 100%, $G$9) + CHOOSE(CONTROL!$C$38, 0.0342, 0)</f>
        <v>20.392299999999999</v>
      </c>
      <c r="D135" s="14">
        <f>20.3503 * CHOOSE(CONTROL!$C$15, $E$9, 100%, $G$9) + CHOOSE(CONTROL!$C$38, 0.0342, 0)</f>
        <v>20.384499999999999</v>
      </c>
      <c r="E135" s="46">
        <f>21.3302 * CHOOSE(CONTROL!$C$15, $E$9, 100%, $G$9) + CHOOSE(CONTROL!$C$38, 0.0342, 0)</f>
        <v>21.3644</v>
      </c>
      <c r="F135" s="45">
        <f>21.3302 * CHOOSE(CONTROL!$C$15, $E$9, 100%, $G$9) + CHOOSE(CONTROL!$C$38, 0.0251, 0)</f>
        <v>21.3553</v>
      </c>
      <c r="G135" s="14">
        <f>20.3566 * CHOOSE(CONTROL!$C$15, $E$9, 100%, $G$9) + CHOOSE(CONTROL!$C$38, 0.0342, 0)</f>
        <v>20.390799999999999</v>
      </c>
      <c r="H135" s="14">
        <f>20.3566 * CHOOSE(CONTROL!$C$15, $E$9, 100%, $G$9) + CHOOSE(CONTROL!$C$38, 0.0342, 0)</f>
        <v>20.390799999999999</v>
      </c>
      <c r="I135" s="14">
        <f>20.3581 * CHOOSE(CONTROL!$C$15, $E$9, 100%, $G$9) + CHOOSE(CONTROL!$C$38, 0.0342, 0)</f>
        <v>20.392299999999999</v>
      </c>
      <c r="J135" s="44">
        <f>137.929</f>
        <v>137.929</v>
      </c>
    </row>
    <row r="136" spans="1:10" ht="15" x14ac:dyDescent="0.2">
      <c r="A136" s="13">
        <v>45047</v>
      </c>
      <c r="B136" s="14">
        <f>20.855 * CHOOSE(CONTROL!$C$15, $E$9, 100%, $G$9) + CHOOSE(CONTROL!$C$38, 0.0264, 0)</f>
        <v>20.881399999999999</v>
      </c>
      <c r="C136" s="14">
        <f>19.7247 * CHOOSE(CONTROL!$C$15, $E$9, 100%, $G$9) + CHOOSE(CONTROL!$C$38, 0.0354, 0)</f>
        <v>19.760099999999998</v>
      </c>
      <c r="D136" s="14">
        <f>19.7169 * CHOOSE(CONTROL!$C$15, $E$9, 100%, $G$9) + CHOOSE(CONTROL!$C$38, 0.0354, 0)</f>
        <v>19.752299999999998</v>
      </c>
      <c r="E136" s="46">
        <f>20.6987 * CHOOSE(CONTROL!$C$15, $E$9, 100%, $G$9) + CHOOSE(CONTROL!$C$38, 0.0354, 0)</f>
        <v>20.734099999999998</v>
      </c>
      <c r="F136" s="45">
        <f>20.6987 * CHOOSE(CONTROL!$C$15, $E$9, 100%, $G$9) + CHOOSE(CONTROL!$C$38, 0.0264, 0)</f>
        <v>20.725099999999998</v>
      </c>
      <c r="G136" s="14">
        <f>19.7232 * CHOOSE(CONTROL!$C$15, $E$9, 100%, $G$9) + CHOOSE(CONTROL!$C$38, 0.0354, 0)</f>
        <v>19.758599999999998</v>
      </c>
      <c r="H136" s="14">
        <f>19.7232 * CHOOSE(CONTROL!$C$15, $E$9, 100%, $G$9) + CHOOSE(CONTROL!$C$38, 0.0354, 0)</f>
        <v>19.758599999999998</v>
      </c>
      <c r="I136" s="14">
        <f>19.7247 * CHOOSE(CONTROL!$C$15, $E$9, 100%, $G$9) + CHOOSE(CONTROL!$C$38, 0.0354, 0)</f>
        <v>19.760099999999998</v>
      </c>
      <c r="J136" s="44">
        <f>142.8513</f>
        <v>142.85130000000001</v>
      </c>
    </row>
    <row r="137" spans="1:10" ht="15" x14ac:dyDescent="0.2">
      <c r="A137" s="13">
        <v>45078</v>
      </c>
      <c r="B137" s="14">
        <f>20.4229 * CHOOSE(CONTROL!$C$15, $E$9, 100%, $G$9) + CHOOSE(CONTROL!$C$38, 0.0264, 0)</f>
        <v>20.449299999999997</v>
      </c>
      <c r="C137" s="14">
        <f>19.2906 * CHOOSE(CONTROL!$C$15, $E$9, 100%, $G$9) + CHOOSE(CONTROL!$C$38, 0.0354, 0)</f>
        <v>19.326000000000001</v>
      </c>
      <c r="D137" s="14">
        <f>19.2828 * CHOOSE(CONTROL!$C$15, $E$9, 100%, $G$9) + CHOOSE(CONTROL!$C$38, 0.0354, 0)</f>
        <v>19.318200000000001</v>
      </c>
      <c r="E137" s="46">
        <f>20.2666 * CHOOSE(CONTROL!$C$15, $E$9, 100%, $G$9) + CHOOSE(CONTROL!$C$38, 0.0354, 0)</f>
        <v>20.302</v>
      </c>
      <c r="F137" s="45">
        <f>20.2666 * CHOOSE(CONTROL!$C$15, $E$9, 100%, $G$9) + CHOOSE(CONTROL!$C$38, 0.0264, 0)</f>
        <v>20.292999999999999</v>
      </c>
      <c r="G137" s="14">
        <f>19.2891 * CHOOSE(CONTROL!$C$15, $E$9, 100%, $G$9) + CHOOSE(CONTROL!$C$38, 0.0354, 0)</f>
        <v>19.3245</v>
      </c>
      <c r="H137" s="14">
        <f>19.2891 * CHOOSE(CONTROL!$C$15, $E$9, 100%, $G$9) + CHOOSE(CONTROL!$C$38, 0.0354, 0)</f>
        <v>19.3245</v>
      </c>
      <c r="I137" s="14">
        <f>19.2906 * CHOOSE(CONTROL!$C$15, $E$9, 100%, $G$9) + CHOOSE(CONTROL!$C$38, 0.0354, 0)</f>
        <v>19.326000000000001</v>
      </c>
      <c r="J137" s="44">
        <f>145.2081</f>
        <v>145.2081</v>
      </c>
    </row>
    <row r="138" spans="1:10" ht="15" x14ac:dyDescent="0.2">
      <c r="A138" s="13">
        <v>45108</v>
      </c>
      <c r="B138" s="14">
        <f>20.1928 * CHOOSE(CONTROL!$C$15, $E$9, 100%, $G$9) + CHOOSE(CONTROL!$C$38, 0.0264, 0)</f>
        <v>20.219199999999997</v>
      </c>
      <c r="C138" s="14">
        <f>19.0585 * CHOOSE(CONTROL!$C$15, $E$9, 100%, $G$9) + CHOOSE(CONTROL!$C$38, 0.0354, 0)</f>
        <v>19.093899999999998</v>
      </c>
      <c r="D138" s="14">
        <f>19.0507 * CHOOSE(CONTROL!$C$15, $E$9, 100%, $G$9) + CHOOSE(CONTROL!$C$38, 0.0354, 0)</f>
        <v>19.086099999999998</v>
      </c>
      <c r="E138" s="46">
        <f>20.0365 * CHOOSE(CONTROL!$C$15, $E$9, 100%, $G$9) + CHOOSE(CONTROL!$C$38, 0.0354, 0)</f>
        <v>20.071899999999999</v>
      </c>
      <c r="F138" s="45">
        <f>20.0365 * CHOOSE(CONTROL!$C$15, $E$9, 100%, $G$9) + CHOOSE(CONTROL!$C$38, 0.0264, 0)</f>
        <v>20.062899999999999</v>
      </c>
      <c r="G138" s="14">
        <f>19.0569 * CHOOSE(CONTROL!$C$15, $E$9, 100%, $G$9) + CHOOSE(CONTROL!$C$38, 0.0354, 0)</f>
        <v>19.092299999999998</v>
      </c>
      <c r="H138" s="14">
        <f>19.0569 * CHOOSE(CONTROL!$C$15, $E$9, 100%, $G$9) + CHOOSE(CONTROL!$C$38, 0.0354, 0)</f>
        <v>19.092299999999998</v>
      </c>
      <c r="I138" s="14">
        <f>19.0585 * CHOOSE(CONTROL!$C$15, $E$9, 100%, $G$9) + CHOOSE(CONTROL!$C$38, 0.0354, 0)</f>
        <v>19.093899999999998</v>
      </c>
      <c r="J138" s="44">
        <f>144.8267</f>
        <v>144.82669999999999</v>
      </c>
    </row>
    <row r="139" spans="1:10" ht="15" x14ac:dyDescent="0.2">
      <c r="A139" s="13">
        <v>45139</v>
      </c>
      <c r="B139" s="14">
        <f>20.3671 * CHOOSE(CONTROL!$C$15, $E$9, 100%, $G$9) + CHOOSE(CONTROL!$C$38, 0.0264, 0)</f>
        <v>20.3935</v>
      </c>
      <c r="C139" s="14">
        <f>19.2308 * CHOOSE(CONTROL!$C$15, $E$9, 100%, $G$9) + CHOOSE(CONTROL!$C$38, 0.0354, 0)</f>
        <v>19.266199999999998</v>
      </c>
      <c r="D139" s="14">
        <f>19.223 * CHOOSE(CONTROL!$C$15, $E$9, 100%, $G$9) + CHOOSE(CONTROL!$C$38, 0.0354, 0)</f>
        <v>19.258399999999998</v>
      </c>
      <c r="E139" s="46">
        <f>20.2108 * CHOOSE(CONTROL!$C$15, $E$9, 100%, $G$9) + CHOOSE(CONTROL!$C$38, 0.0354, 0)</f>
        <v>20.246199999999998</v>
      </c>
      <c r="F139" s="45">
        <f>20.2108 * CHOOSE(CONTROL!$C$15, $E$9, 100%, $G$9) + CHOOSE(CONTROL!$C$38, 0.0264, 0)</f>
        <v>20.237199999999998</v>
      </c>
      <c r="G139" s="14">
        <f>19.2292 * CHOOSE(CONTROL!$C$15, $E$9, 100%, $G$9) + CHOOSE(CONTROL!$C$38, 0.0354, 0)</f>
        <v>19.264599999999998</v>
      </c>
      <c r="H139" s="14">
        <f>19.2292 * CHOOSE(CONTROL!$C$15, $E$9, 100%, $G$9) + CHOOSE(CONTROL!$C$38, 0.0354, 0)</f>
        <v>19.264599999999998</v>
      </c>
      <c r="I139" s="14">
        <f>19.2308 * CHOOSE(CONTROL!$C$15, $E$9, 100%, $G$9) + CHOOSE(CONTROL!$C$38, 0.0354, 0)</f>
        <v>19.266199999999998</v>
      </c>
      <c r="J139" s="44">
        <f>141.7466</f>
        <v>141.7466</v>
      </c>
    </row>
    <row r="140" spans="1:10" ht="15" x14ac:dyDescent="0.2">
      <c r="A140" s="13">
        <v>45170</v>
      </c>
      <c r="B140" s="14">
        <f>20.7724 * CHOOSE(CONTROL!$C$15, $E$9, 100%, $G$9) + CHOOSE(CONTROL!$C$38, 0.0264, 0)</f>
        <v>20.7988</v>
      </c>
      <c r="C140" s="14">
        <f>19.6341 * CHOOSE(CONTROL!$C$15, $E$9, 100%, $G$9) + CHOOSE(CONTROL!$C$38, 0.0354, 0)</f>
        <v>19.669499999999999</v>
      </c>
      <c r="D140" s="14">
        <f>19.6263 * CHOOSE(CONTROL!$C$15, $E$9, 100%, $G$9) + CHOOSE(CONTROL!$C$38, 0.0354, 0)</f>
        <v>19.6617</v>
      </c>
      <c r="E140" s="46">
        <f>20.6162 * CHOOSE(CONTROL!$C$15, $E$9, 100%, $G$9) + CHOOSE(CONTROL!$C$38, 0.0354, 0)</f>
        <v>20.651599999999998</v>
      </c>
      <c r="F140" s="45">
        <f>20.6162 * CHOOSE(CONTROL!$C$15, $E$9, 100%, $G$9) + CHOOSE(CONTROL!$C$38, 0.0264, 0)</f>
        <v>20.642599999999998</v>
      </c>
      <c r="G140" s="14">
        <f>19.6326 * CHOOSE(CONTROL!$C$15, $E$9, 100%, $G$9) + CHOOSE(CONTROL!$C$38, 0.0354, 0)</f>
        <v>19.667999999999999</v>
      </c>
      <c r="H140" s="14">
        <f>19.6326 * CHOOSE(CONTROL!$C$15, $E$9, 100%, $G$9) + CHOOSE(CONTROL!$C$38, 0.0354, 0)</f>
        <v>19.667999999999999</v>
      </c>
      <c r="I140" s="14">
        <f>19.6341 * CHOOSE(CONTROL!$C$15, $E$9, 100%, $G$9) + CHOOSE(CONTROL!$C$38, 0.0354, 0)</f>
        <v>19.669499999999999</v>
      </c>
      <c r="J140" s="44">
        <f>137.3174</f>
        <v>137.31739999999999</v>
      </c>
    </row>
    <row r="141" spans="1:10" ht="15" x14ac:dyDescent="0.2">
      <c r="A141" s="13">
        <v>45200</v>
      </c>
      <c r="B141" s="14">
        <f>21.12 * CHOOSE(CONTROL!$C$15, $E$9, 100%, $G$9) + CHOOSE(CONTROL!$C$38, 0.0251, 0)</f>
        <v>21.145099999999999</v>
      </c>
      <c r="C141" s="14">
        <f>19.9797 * CHOOSE(CONTROL!$C$15, $E$9, 100%, $G$9) + CHOOSE(CONTROL!$C$38, 0.0342, 0)</f>
        <v>20.0139</v>
      </c>
      <c r="D141" s="14">
        <f>19.9719 * CHOOSE(CONTROL!$C$15, $E$9, 100%, $G$9) + CHOOSE(CONTROL!$C$38, 0.0342, 0)</f>
        <v>20.0061</v>
      </c>
      <c r="E141" s="46">
        <f>20.9637 * CHOOSE(CONTROL!$C$15, $E$9, 100%, $G$9) + CHOOSE(CONTROL!$C$38, 0.0342, 0)</f>
        <v>20.997899999999998</v>
      </c>
      <c r="F141" s="45">
        <f>20.9637 * CHOOSE(CONTROL!$C$15, $E$9, 100%, $G$9) + CHOOSE(CONTROL!$C$38, 0.0251, 0)</f>
        <v>20.988799999999998</v>
      </c>
      <c r="G141" s="14">
        <f>19.9781 * CHOOSE(CONTROL!$C$15, $E$9, 100%, $G$9) + CHOOSE(CONTROL!$C$38, 0.0342, 0)</f>
        <v>20.0123</v>
      </c>
      <c r="H141" s="14">
        <f>19.9781 * CHOOSE(CONTROL!$C$15, $E$9, 100%, $G$9) + CHOOSE(CONTROL!$C$38, 0.0342, 0)</f>
        <v>20.0123</v>
      </c>
      <c r="I141" s="14">
        <f>19.9797 * CHOOSE(CONTROL!$C$15, $E$9, 100%, $G$9) + CHOOSE(CONTROL!$C$38, 0.0342, 0)</f>
        <v>20.0139</v>
      </c>
      <c r="J141" s="44">
        <f>132.8419</f>
        <v>132.84190000000001</v>
      </c>
    </row>
    <row r="142" spans="1:10" ht="15" x14ac:dyDescent="0.2">
      <c r="A142" s="13">
        <v>45231</v>
      </c>
      <c r="B142" s="14">
        <f>21.4181 * CHOOSE(CONTROL!$C$15, $E$9, 100%, $G$9) + CHOOSE(CONTROL!$C$38, 0.0251, 0)</f>
        <v>21.443199999999997</v>
      </c>
      <c r="C142" s="14">
        <f>20.2758 * CHOOSE(CONTROL!$C$15, $E$9, 100%, $G$9) + CHOOSE(CONTROL!$C$38, 0.0342, 0)</f>
        <v>20.309999999999999</v>
      </c>
      <c r="D142" s="14">
        <f>20.268 * CHOOSE(CONTROL!$C$15, $E$9, 100%, $G$9) + CHOOSE(CONTROL!$C$38, 0.0342, 0)</f>
        <v>20.302199999999999</v>
      </c>
      <c r="E142" s="46">
        <f>21.2619 * CHOOSE(CONTROL!$C$15, $E$9, 100%, $G$9) + CHOOSE(CONTROL!$C$38, 0.0342, 0)</f>
        <v>21.296099999999999</v>
      </c>
      <c r="F142" s="45">
        <f>21.2619 * CHOOSE(CONTROL!$C$15, $E$9, 100%, $G$9) + CHOOSE(CONTROL!$C$38, 0.0251, 0)</f>
        <v>21.286999999999999</v>
      </c>
      <c r="G142" s="14">
        <f>20.2742 * CHOOSE(CONTROL!$C$15, $E$9, 100%, $G$9) + CHOOSE(CONTROL!$C$38, 0.0342, 0)</f>
        <v>20.308399999999999</v>
      </c>
      <c r="H142" s="14">
        <f>20.2742 * CHOOSE(CONTROL!$C$15, $E$9, 100%, $G$9) + CHOOSE(CONTROL!$C$38, 0.0342, 0)</f>
        <v>20.308399999999999</v>
      </c>
      <c r="I142" s="14">
        <f>20.2758 * CHOOSE(CONTROL!$C$15, $E$9, 100%, $G$9) + CHOOSE(CONTROL!$C$38, 0.0342, 0)</f>
        <v>20.309999999999999</v>
      </c>
      <c r="J142" s="44">
        <f>132.1671</f>
        <v>132.1671</v>
      </c>
    </row>
    <row r="143" spans="1:10" ht="15" x14ac:dyDescent="0.2">
      <c r="A143" s="13">
        <v>45261</v>
      </c>
      <c r="B143" s="14">
        <f>22.2512 * CHOOSE(CONTROL!$C$15, $E$9, 100%, $G$9) + CHOOSE(CONTROL!$C$38, 0.0251, 0)</f>
        <v>22.276299999999999</v>
      </c>
      <c r="C143" s="14">
        <f>21.1068 * CHOOSE(CONTROL!$C$15, $E$9, 100%, $G$9) + CHOOSE(CONTROL!$C$38, 0.0342, 0)</f>
        <v>21.140999999999998</v>
      </c>
      <c r="D143" s="14">
        <f>21.099 * CHOOSE(CONTROL!$C$15, $E$9, 100%, $G$9) + CHOOSE(CONTROL!$C$38, 0.0342, 0)</f>
        <v>21.133199999999999</v>
      </c>
      <c r="E143" s="46">
        <f>22.0949 * CHOOSE(CONTROL!$C$15, $E$9, 100%, $G$9) + CHOOSE(CONTROL!$C$38, 0.0342, 0)</f>
        <v>22.129099999999998</v>
      </c>
      <c r="F143" s="45">
        <f>22.0949 * CHOOSE(CONTROL!$C$15, $E$9, 100%, $G$9) + CHOOSE(CONTROL!$C$38, 0.0251, 0)</f>
        <v>22.119999999999997</v>
      </c>
      <c r="G143" s="14">
        <f>21.1052 * CHOOSE(CONTROL!$C$15, $E$9, 100%, $G$9) + CHOOSE(CONTROL!$C$38, 0.0342, 0)</f>
        <v>21.139399999999998</v>
      </c>
      <c r="H143" s="14">
        <f>21.1052 * CHOOSE(CONTROL!$C$15, $E$9, 100%, $G$9) + CHOOSE(CONTROL!$C$38, 0.0342, 0)</f>
        <v>21.139399999999998</v>
      </c>
      <c r="I143" s="14">
        <f>21.1068 * CHOOSE(CONTROL!$C$15, $E$9, 100%, $G$9) + CHOOSE(CONTROL!$C$38, 0.0342, 0)</f>
        <v>21.140999999999998</v>
      </c>
      <c r="J143" s="44">
        <f>128.5092</f>
        <v>128.50919999999999</v>
      </c>
    </row>
    <row r="144" spans="1:10" ht="15" x14ac:dyDescent="0.2">
      <c r="A144" s="13">
        <v>45292</v>
      </c>
      <c r="B144" s="14">
        <f>23.5321 * CHOOSE(CONTROL!$C$15, $E$9, 100%, $G$9) + CHOOSE(CONTROL!$C$38, 0.0251, 0)</f>
        <v>23.557199999999998</v>
      </c>
      <c r="C144" s="14">
        <f>22.2433 * CHOOSE(CONTROL!$C$15, $E$9, 100%, $G$9) + CHOOSE(CONTROL!$C$38, 0.0342, 0)</f>
        <v>22.2775</v>
      </c>
      <c r="D144" s="14">
        <f>22.2355 * CHOOSE(CONTROL!$C$15, $E$9, 100%, $G$9) + CHOOSE(CONTROL!$C$38, 0.0342, 0)</f>
        <v>22.269699999999997</v>
      </c>
      <c r="E144" s="46">
        <f>23.3759 * CHOOSE(CONTROL!$C$15, $E$9, 100%, $G$9) + CHOOSE(CONTROL!$C$38, 0.0342, 0)</f>
        <v>23.4101</v>
      </c>
      <c r="F144" s="45">
        <f>23.3759 * CHOOSE(CONTROL!$C$15, $E$9, 100%, $G$9) + CHOOSE(CONTROL!$C$38, 0.0251, 0)</f>
        <v>23.401</v>
      </c>
      <c r="G144" s="14">
        <f>22.2417 * CHOOSE(CONTROL!$C$15, $E$9, 100%, $G$9) + CHOOSE(CONTROL!$C$38, 0.0342, 0)</f>
        <v>22.2759</v>
      </c>
      <c r="H144" s="14">
        <f>22.2417 * CHOOSE(CONTROL!$C$15, $E$9, 100%, $G$9) + CHOOSE(CONTROL!$C$38, 0.0342, 0)</f>
        <v>22.2759</v>
      </c>
      <c r="I144" s="14">
        <f>22.2433 * CHOOSE(CONTROL!$C$15, $E$9, 100%, $G$9) + CHOOSE(CONTROL!$C$38, 0.0342, 0)</f>
        <v>22.2775</v>
      </c>
      <c r="J144" s="44">
        <f>128.8694</f>
        <v>128.86940000000001</v>
      </c>
    </row>
    <row r="145" spans="1:10" ht="15" x14ac:dyDescent="0.2">
      <c r="A145" s="13">
        <v>45323</v>
      </c>
      <c r="B145" s="14">
        <f>23.8732 * CHOOSE(CONTROL!$C$15, $E$9, 100%, $G$9) + CHOOSE(CONTROL!$C$38, 0.0251, 0)</f>
        <v>23.898299999999999</v>
      </c>
      <c r="C145" s="14">
        <f>22.582 * CHOOSE(CONTROL!$C$15, $E$9, 100%, $G$9) + CHOOSE(CONTROL!$C$38, 0.0342, 0)</f>
        <v>22.616199999999999</v>
      </c>
      <c r="D145" s="14">
        <f>22.5742 * CHOOSE(CONTROL!$C$15, $E$9, 100%, $G$9) + CHOOSE(CONTROL!$C$38, 0.0342, 0)</f>
        <v>22.6084</v>
      </c>
      <c r="E145" s="46">
        <f>23.7169 * CHOOSE(CONTROL!$C$15, $E$9, 100%, $G$9) + CHOOSE(CONTROL!$C$38, 0.0342, 0)</f>
        <v>23.751099999999997</v>
      </c>
      <c r="F145" s="45">
        <f>23.7169 * CHOOSE(CONTROL!$C$15, $E$9, 100%, $G$9) + CHOOSE(CONTROL!$C$38, 0.0251, 0)</f>
        <v>23.741999999999997</v>
      </c>
      <c r="G145" s="14">
        <f>22.5805 * CHOOSE(CONTROL!$C$15, $E$9, 100%, $G$9) + CHOOSE(CONTROL!$C$38, 0.0342, 0)</f>
        <v>22.614699999999999</v>
      </c>
      <c r="H145" s="14">
        <f>22.5805 * CHOOSE(CONTROL!$C$15, $E$9, 100%, $G$9) + CHOOSE(CONTROL!$C$38, 0.0342, 0)</f>
        <v>22.614699999999999</v>
      </c>
      <c r="I145" s="14">
        <f>22.582 * CHOOSE(CONTROL!$C$15, $E$9, 100%, $G$9) + CHOOSE(CONTROL!$C$38, 0.0342, 0)</f>
        <v>22.616199999999999</v>
      </c>
      <c r="J145" s="44">
        <f>128.7759</f>
        <v>128.77590000000001</v>
      </c>
    </row>
    <row r="146" spans="1:10" ht="15" x14ac:dyDescent="0.2">
      <c r="A146" s="13">
        <v>45352</v>
      </c>
      <c r="B146" s="14">
        <f>23.2394 * CHOOSE(CONTROL!$C$15, $E$9, 100%, $G$9) + CHOOSE(CONTROL!$C$38, 0.0251, 0)</f>
        <v>23.264499999999998</v>
      </c>
      <c r="C146" s="14">
        <f>21.946 * CHOOSE(CONTROL!$C$15, $E$9, 100%, $G$9) + CHOOSE(CONTROL!$C$38, 0.0342, 0)</f>
        <v>21.9802</v>
      </c>
      <c r="D146" s="14">
        <f>21.9381 * CHOOSE(CONTROL!$C$15, $E$9, 100%, $G$9) + CHOOSE(CONTROL!$C$38, 0.0342, 0)</f>
        <v>21.972299999999997</v>
      </c>
      <c r="E146" s="46">
        <f>23.0832 * CHOOSE(CONTROL!$C$15, $E$9, 100%, $G$9) + CHOOSE(CONTROL!$C$38, 0.0342, 0)</f>
        <v>23.1174</v>
      </c>
      <c r="F146" s="45">
        <f>23.0832 * CHOOSE(CONTROL!$C$15, $E$9, 100%, $G$9) + CHOOSE(CONTROL!$C$38, 0.0251, 0)</f>
        <v>23.1083</v>
      </c>
      <c r="G146" s="14">
        <f>21.9444 * CHOOSE(CONTROL!$C$15, $E$9, 100%, $G$9) + CHOOSE(CONTROL!$C$38, 0.0342, 0)</f>
        <v>21.9786</v>
      </c>
      <c r="H146" s="14">
        <f>21.9444 * CHOOSE(CONTROL!$C$15, $E$9, 100%, $G$9) + CHOOSE(CONTROL!$C$38, 0.0342, 0)</f>
        <v>21.9786</v>
      </c>
      <c r="I146" s="14">
        <f>21.946 * CHOOSE(CONTROL!$C$15, $E$9, 100%, $G$9) + CHOOSE(CONTROL!$C$38, 0.0342, 0)</f>
        <v>21.9802</v>
      </c>
      <c r="J146" s="44">
        <f>135.8424</f>
        <v>135.8424</v>
      </c>
    </row>
    <row r="147" spans="1:10" ht="15" x14ac:dyDescent="0.2">
      <c r="A147" s="13">
        <v>45383</v>
      </c>
      <c r="B147" s="14">
        <f>22.6242 * CHOOSE(CONTROL!$C$15, $E$9, 100%, $G$9) + CHOOSE(CONTROL!$C$38, 0.0251, 0)</f>
        <v>22.649299999999997</v>
      </c>
      <c r="C147" s="14">
        <f>21.3283 * CHOOSE(CONTROL!$C$15, $E$9, 100%, $G$9) + CHOOSE(CONTROL!$C$38, 0.0342, 0)</f>
        <v>21.362499999999997</v>
      </c>
      <c r="D147" s="14">
        <f>21.3205 * CHOOSE(CONTROL!$C$15, $E$9, 100%, $G$9) + CHOOSE(CONTROL!$C$38, 0.0342, 0)</f>
        <v>21.354699999999998</v>
      </c>
      <c r="E147" s="46">
        <f>22.4679 * CHOOSE(CONTROL!$C$15, $E$9, 100%, $G$9) + CHOOSE(CONTROL!$C$38, 0.0342, 0)</f>
        <v>22.502099999999999</v>
      </c>
      <c r="F147" s="45">
        <f>22.4679 * CHOOSE(CONTROL!$C$15, $E$9, 100%, $G$9) + CHOOSE(CONTROL!$C$38, 0.0251, 0)</f>
        <v>22.492999999999999</v>
      </c>
      <c r="G147" s="14">
        <f>21.3268 * CHOOSE(CONTROL!$C$15, $E$9, 100%, $G$9) + CHOOSE(CONTROL!$C$38, 0.0342, 0)</f>
        <v>21.360999999999997</v>
      </c>
      <c r="H147" s="14">
        <f>21.3268 * CHOOSE(CONTROL!$C$15, $E$9, 100%, $G$9) + CHOOSE(CONTROL!$C$38, 0.0342, 0)</f>
        <v>21.360999999999997</v>
      </c>
      <c r="I147" s="14">
        <f>21.3283 * CHOOSE(CONTROL!$C$15, $E$9, 100%, $G$9) + CHOOSE(CONTROL!$C$38, 0.0342, 0)</f>
        <v>21.362499999999997</v>
      </c>
      <c r="J147" s="44">
        <f>144.9599</f>
        <v>144.9599</v>
      </c>
    </row>
    <row r="148" spans="1:10" ht="15" x14ac:dyDescent="0.2">
      <c r="A148" s="13">
        <v>45413</v>
      </c>
      <c r="B148" s="14">
        <f>21.9782 * CHOOSE(CONTROL!$C$15, $E$9, 100%, $G$9) + CHOOSE(CONTROL!$C$38, 0.0264, 0)</f>
        <v>22.0046</v>
      </c>
      <c r="C148" s="14">
        <f>20.6801 * CHOOSE(CONTROL!$C$15, $E$9, 100%, $G$9) + CHOOSE(CONTROL!$C$38, 0.0354, 0)</f>
        <v>20.715499999999999</v>
      </c>
      <c r="D148" s="14">
        <f>20.6722 * CHOOSE(CONTROL!$C$15, $E$9, 100%, $G$9) + CHOOSE(CONTROL!$C$38, 0.0354, 0)</f>
        <v>20.707599999999999</v>
      </c>
      <c r="E148" s="46">
        <f>21.822 * CHOOSE(CONTROL!$C$15, $E$9, 100%, $G$9) + CHOOSE(CONTROL!$C$38, 0.0354, 0)</f>
        <v>21.857399999999998</v>
      </c>
      <c r="F148" s="45">
        <f>21.822 * CHOOSE(CONTROL!$C$15, $E$9, 100%, $G$9) + CHOOSE(CONTROL!$C$38, 0.0264, 0)</f>
        <v>21.848399999999998</v>
      </c>
      <c r="G148" s="14">
        <f>20.6785 * CHOOSE(CONTROL!$C$15, $E$9, 100%, $G$9) + CHOOSE(CONTROL!$C$38, 0.0354, 0)</f>
        <v>20.713899999999999</v>
      </c>
      <c r="H148" s="14">
        <f>20.6785 * CHOOSE(CONTROL!$C$15, $E$9, 100%, $G$9) + CHOOSE(CONTROL!$C$38, 0.0354, 0)</f>
        <v>20.713899999999999</v>
      </c>
      <c r="I148" s="14">
        <f>20.6801 * CHOOSE(CONTROL!$C$15, $E$9, 100%, $G$9) + CHOOSE(CONTROL!$C$38, 0.0354, 0)</f>
        <v>20.715499999999999</v>
      </c>
      <c r="J148" s="44">
        <f>150.1331</f>
        <v>150.13310000000001</v>
      </c>
    </row>
    <row r="149" spans="1:10" ht="15" x14ac:dyDescent="0.2">
      <c r="A149" s="13">
        <v>45444</v>
      </c>
      <c r="B149" s="14">
        <f>21.5366 * CHOOSE(CONTROL!$C$15, $E$9, 100%, $G$9) + CHOOSE(CONTROL!$C$38, 0.0264, 0)</f>
        <v>21.562999999999999</v>
      </c>
      <c r="C149" s="14">
        <f>20.2361 * CHOOSE(CONTROL!$C$15, $E$9, 100%, $G$9) + CHOOSE(CONTROL!$C$38, 0.0354, 0)</f>
        <v>20.2715</v>
      </c>
      <c r="D149" s="14">
        <f>20.2283 * CHOOSE(CONTROL!$C$15, $E$9, 100%, $G$9) + CHOOSE(CONTROL!$C$38, 0.0354, 0)</f>
        <v>20.2637</v>
      </c>
      <c r="E149" s="46">
        <f>21.3804 * CHOOSE(CONTROL!$C$15, $E$9, 100%, $G$9) + CHOOSE(CONTROL!$C$38, 0.0354, 0)</f>
        <v>21.415800000000001</v>
      </c>
      <c r="F149" s="45">
        <f>21.3804 * CHOOSE(CONTROL!$C$15, $E$9, 100%, $G$9) + CHOOSE(CONTROL!$C$38, 0.0264, 0)</f>
        <v>21.4068</v>
      </c>
      <c r="G149" s="14">
        <f>20.2345 * CHOOSE(CONTROL!$C$15, $E$9, 100%, $G$9) + CHOOSE(CONTROL!$C$38, 0.0354, 0)</f>
        <v>20.2699</v>
      </c>
      <c r="H149" s="14">
        <f>20.2345 * CHOOSE(CONTROL!$C$15, $E$9, 100%, $G$9) + CHOOSE(CONTROL!$C$38, 0.0354, 0)</f>
        <v>20.2699</v>
      </c>
      <c r="I149" s="14">
        <f>20.2361 * CHOOSE(CONTROL!$C$15, $E$9, 100%, $G$9) + CHOOSE(CONTROL!$C$38, 0.0354, 0)</f>
        <v>20.2715</v>
      </c>
      <c r="J149" s="44">
        <f>152.6101</f>
        <v>152.61009999999999</v>
      </c>
    </row>
    <row r="150" spans="1:10" ht="15" x14ac:dyDescent="0.2">
      <c r="A150" s="13">
        <v>45474</v>
      </c>
      <c r="B150" s="14">
        <f>21.302 * CHOOSE(CONTROL!$C$15, $E$9, 100%, $G$9) + CHOOSE(CONTROL!$C$38, 0.0264, 0)</f>
        <v>21.328399999999998</v>
      </c>
      <c r="C150" s="14">
        <f>19.9991 * CHOOSE(CONTROL!$C$15, $E$9, 100%, $G$9) + CHOOSE(CONTROL!$C$38, 0.0354, 0)</f>
        <v>20.034499999999998</v>
      </c>
      <c r="D150" s="14">
        <f>19.9913 * CHOOSE(CONTROL!$C$15, $E$9, 100%, $G$9) + CHOOSE(CONTROL!$C$38, 0.0354, 0)</f>
        <v>20.026699999999998</v>
      </c>
      <c r="E150" s="46">
        <f>21.1457 * CHOOSE(CONTROL!$C$15, $E$9, 100%, $G$9) + CHOOSE(CONTROL!$C$38, 0.0354, 0)</f>
        <v>21.181100000000001</v>
      </c>
      <c r="F150" s="45">
        <f>21.1457 * CHOOSE(CONTROL!$C$15, $E$9, 100%, $G$9) + CHOOSE(CONTROL!$C$38, 0.0264, 0)</f>
        <v>21.1721</v>
      </c>
      <c r="G150" s="14">
        <f>19.9975 * CHOOSE(CONTROL!$C$15, $E$9, 100%, $G$9) + CHOOSE(CONTROL!$C$38, 0.0354, 0)</f>
        <v>20.032899999999998</v>
      </c>
      <c r="H150" s="14">
        <f>19.9975 * CHOOSE(CONTROL!$C$15, $E$9, 100%, $G$9) + CHOOSE(CONTROL!$C$38, 0.0354, 0)</f>
        <v>20.032899999999998</v>
      </c>
      <c r="I150" s="14">
        <f>19.9991 * CHOOSE(CONTROL!$C$15, $E$9, 100%, $G$9) + CHOOSE(CONTROL!$C$38, 0.0354, 0)</f>
        <v>20.034499999999998</v>
      </c>
      <c r="J150" s="44">
        <f>152.2093</f>
        <v>152.20930000000001</v>
      </c>
    </row>
    <row r="151" spans="1:10" ht="15" x14ac:dyDescent="0.2">
      <c r="A151" s="13">
        <v>45505</v>
      </c>
      <c r="B151" s="14">
        <f>21.4819 * CHOOSE(CONTROL!$C$15, $E$9, 100%, $G$9) + CHOOSE(CONTROL!$C$38, 0.0264, 0)</f>
        <v>21.508299999999998</v>
      </c>
      <c r="C151" s="14">
        <f>20.1767 * CHOOSE(CONTROL!$C$15, $E$9, 100%, $G$9) + CHOOSE(CONTROL!$C$38, 0.0354, 0)</f>
        <v>20.2121</v>
      </c>
      <c r="D151" s="14">
        <f>20.1689 * CHOOSE(CONTROL!$C$15, $E$9, 100%, $G$9) + CHOOSE(CONTROL!$C$38, 0.0354, 0)</f>
        <v>20.2043</v>
      </c>
      <c r="E151" s="46">
        <f>21.3257 * CHOOSE(CONTROL!$C$15, $E$9, 100%, $G$9) + CHOOSE(CONTROL!$C$38, 0.0354, 0)</f>
        <v>21.3611</v>
      </c>
      <c r="F151" s="45">
        <f>21.3257 * CHOOSE(CONTROL!$C$15, $E$9, 100%, $G$9) + CHOOSE(CONTROL!$C$38, 0.0264, 0)</f>
        <v>21.3521</v>
      </c>
      <c r="G151" s="14">
        <f>20.1751 * CHOOSE(CONTROL!$C$15, $E$9, 100%, $G$9) + CHOOSE(CONTROL!$C$38, 0.0354, 0)</f>
        <v>20.2105</v>
      </c>
      <c r="H151" s="14">
        <f>20.1751 * CHOOSE(CONTROL!$C$15, $E$9, 100%, $G$9) + CHOOSE(CONTROL!$C$38, 0.0354, 0)</f>
        <v>20.2105</v>
      </c>
      <c r="I151" s="14">
        <f>20.1767 * CHOOSE(CONTROL!$C$15, $E$9, 100%, $G$9) + CHOOSE(CONTROL!$C$38, 0.0354, 0)</f>
        <v>20.2121</v>
      </c>
      <c r="J151" s="44">
        <f>148.9721</f>
        <v>148.97210000000001</v>
      </c>
    </row>
    <row r="152" spans="1:10" ht="15" x14ac:dyDescent="0.2">
      <c r="A152" s="13">
        <v>45536</v>
      </c>
      <c r="B152" s="14">
        <f>21.8987 * CHOOSE(CONTROL!$C$15, $E$9, 100%, $G$9) + CHOOSE(CONTROL!$C$38, 0.0264, 0)</f>
        <v>21.9251</v>
      </c>
      <c r="C152" s="14">
        <f>20.5911 * CHOOSE(CONTROL!$C$15, $E$9, 100%, $G$9) + CHOOSE(CONTROL!$C$38, 0.0354, 0)</f>
        <v>20.6265</v>
      </c>
      <c r="D152" s="14">
        <f>20.5833 * CHOOSE(CONTROL!$C$15, $E$9, 100%, $G$9) + CHOOSE(CONTROL!$C$38, 0.0354, 0)</f>
        <v>20.6187</v>
      </c>
      <c r="E152" s="46">
        <f>21.7425 * CHOOSE(CONTROL!$C$15, $E$9, 100%, $G$9) + CHOOSE(CONTROL!$C$38, 0.0354, 0)</f>
        <v>21.777899999999999</v>
      </c>
      <c r="F152" s="45">
        <f>21.7425 * CHOOSE(CONTROL!$C$15, $E$9, 100%, $G$9) + CHOOSE(CONTROL!$C$38, 0.0264, 0)</f>
        <v>21.768899999999999</v>
      </c>
      <c r="G152" s="14">
        <f>20.5895 * CHOOSE(CONTROL!$C$15, $E$9, 100%, $G$9) + CHOOSE(CONTROL!$C$38, 0.0354, 0)</f>
        <v>20.6249</v>
      </c>
      <c r="H152" s="14">
        <f>20.5895 * CHOOSE(CONTROL!$C$15, $E$9, 100%, $G$9) + CHOOSE(CONTROL!$C$38, 0.0354, 0)</f>
        <v>20.6249</v>
      </c>
      <c r="I152" s="14">
        <f>20.5911 * CHOOSE(CONTROL!$C$15, $E$9, 100%, $G$9) + CHOOSE(CONTROL!$C$38, 0.0354, 0)</f>
        <v>20.6265</v>
      </c>
      <c r="J152" s="44">
        <f>144.3172</f>
        <v>144.31720000000001</v>
      </c>
    </row>
    <row r="153" spans="1:10" ht="15" x14ac:dyDescent="0.2">
      <c r="A153" s="13">
        <v>45566</v>
      </c>
      <c r="B153" s="14">
        <f>22.2563 * CHOOSE(CONTROL!$C$15, $E$9, 100%, $G$9) + CHOOSE(CONTROL!$C$38, 0.0251, 0)</f>
        <v>22.281399999999998</v>
      </c>
      <c r="C153" s="14">
        <f>20.9463 * CHOOSE(CONTROL!$C$15, $E$9, 100%, $G$9) + CHOOSE(CONTROL!$C$38, 0.0342, 0)</f>
        <v>20.980499999999999</v>
      </c>
      <c r="D153" s="14">
        <f>20.9385 * CHOOSE(CONTROL!$C$15, $E$9, 100%, $G$9) + CHOOSE(CONTROL!$C$38, 0.0342, 0)</f>
        <v>20.9727</v>
      </c>
      <c r="E153" s="46">
        <f>22.1 * CHOOSE(CONTROL!$C$15, $E$9, 100%, $G$9) + CHOOSE(CONTROL!$C$38, 0.0342, 0)</f>
        <v>22.1342</v>
      </c>
      <c r="F153" s="45">
        <f>22.1 * CHOOSE(CONTROL!$C$15, $E$9, 100%, $G$9) + CHOOSE(CONTROL!$C$38, 0.0251, 0)</f>
        <v>22.1251</v>
      </c>
      <c r="G153" s="14">
        <f>20.9447 * CHOOSE(CONTROL!$C$15, $E$9, 100%, $G$9) + CHOOSE(CONTROL!$C$38, 0.0342, 0)</f>
        <v>20.978899999999999</v>
      </c>
      <c r="H153" s="14">
        <f>20.9447 * CHOOSE(CONTROL!$C$15, $E$9, 100%, $G$9) + CHOOSE(CONTROL!$C$38, 0.0342, 0)</f>
        <v>20.978899999999999</v>
      </c>
      <c r="I153" s="14">
        <f>20.9463 * CHOOSE(CONTROL!$C$15, $E$9, 100%, $G$9) + CHOOSE(CONTROL!$C$38, 0.0342, 0)</f>
        <v>20.980499999999999</v>
      </c>
      <c r="J153" s="44">
        <f>139.6136</f>
        <v>139.61359999999999</v>
      </c>
    </row>
    <row r="154" spans="1:10" ht="15" x14ac:dyDescent="0.2">
      <c r="A154" s="13">
        <v>45597</v>
      </c>
      <c r="B154" s="14">
        <f>22.5631 * CHOOSE(CONTROL!$C$15, $E$9, 100%, $G$9) + CHOOSE(CONTROL!$C$38, 0.0251, 0)</f>
        <v>22.588199999999997</v>
      </c>
      <c r="C154" s="14">
        <f>21.2508 * CHOOSE(CONTROL!$C$15, $E$9, 100%, $G$9) + CHOOSE(CONTROL!$C$38, 0.0342, 0)</f>
        <v>21.285</v>
      </c>
      <c r="D154" s="14">
        <f>21.243 * CHOOSE(CONTROL!$C$15, $E$9, 100%, $G$9) + CHOOSE(CONTROL!$C$38, 0.0342, 0)</f>
        <v>21.277199999999997</v>
      </c>
      <c r="E154" s="46">
        <f>22.4069 * CHOOSE(CONTROL!$C$15, $E$9, 100%, $G$9) + CHOOSE(CONTROL!$C$38, 0.0342, 0)</f>
        <v>22.441099999999999</v>
      </c>
      <c r="F154" s="45">
        <f>22.4069 * CHOOSE(CONTROL!$C$15, $E$9, 100%, $G$9) + CHOOSE(CONTROL!$C$38, 0.0251, 0)</f>
        <v>22.431999999999999</v>
      </c>
      <c r="G154" s="14">
        <f>21.2492 * CHOOSE(CONTROL!$C$15, $E$9, 100%, $G$9) + CHOOSE(CONTROL!$C$38, 0.0342, 0)</f>
        <v>21.283399999999997</v>
      </c>
      <c r="H154" s="14">
        <f>21.2492 * CHOOSE(CONTROL!$C$15, $E$9, 100%, $G$9) + CHOOSE(CONTROL!$C$38, 0.0342, 0)</f>
        <v>21.283399999999997</v>
      </c>
      <c r="I154" s="14">
        <f>21.2508 * CHOOSE(CONTROL!$C$15, $E$9, 100%, $G$9) + CHOOSE(CONTROL!$C$38, 0.0342, 0)</f>
        <v>21.285</v>
      </c>
      <c r="J154" s="44">
        <f>138.9043</f>
        <v>138.90430000000001</v>
      </c>
    </row>
    <row r="155" spans="1:10" ht="15" x14ac:dyDescent="0.2">
      <c r="A155" s="13">
        <v>45627</v>
      </c>
      <c r="B155" s="14">
        <f>23.4183 * CHOOSE(CONTROL!$C$15, $E$9, 100%, $G$9) + CHOOSE(CONTROL!$C$38, 0.0251, 0)</f>
        <v>23.443399999999997</v>
      </c>
      <c r="C155" s="14">
        <f>22.1035 * CHOOSE(CONTROL!$C$15, $E$9, 100%, $G$9) + CHOOSE(CONTROL!$C$38, 0.0342, 0)</f>
        <v>22.137699999999999</v>
      </c>
      <c r="D155" s="14">
        <f>22.0957 * CHOOSE(CONTROL!$C$15, $E$9, 100%, $G$9) + CHOOSE(CONTROL!$C$38, 0.0342, 0)</f>
        <v>22.129899999999999</v>
      </c>
      <c r="E155" s="46">
        <f>23.262 * CHOOSE(CONTROL!$C$15, $E$9, 100%, $G$9) + CHOOSE(CONTROL!$C$38, 0.0342, 0)</f>
        <v>23.296199999999999</v>
      </c>
      <c r="F155" s="45">
        <f>23.262 * CHOOSE(CONTROL!$C$15, $E$9, 100%, $G$9) + CHOOSE(CONTROL!$C$38, 0.0251, 0)</f>
        <v>23.287099999999999</v>
      </c>
      <c r="G155" s="14">
        <f>22.102 * CHOOSE(CONTROL!$C$15, $E$9, 100%, $G$9) + CHOOSE(CONTROL!$C$38, 0.0342, 0)</f>
        <v>22.136199999999999</v>
      </c>
      <c r="H155" s="14">
        <f>22.102 * CHOOSE(CONTROL!$C$15, $E$9, 100%, $G$9) + CHOOSE(CONTROL!$C$38, 0.0342, 0)</f>
        <v>22.136199999999999</v>
      </c>
      <c r="I155" s="14">
        <f>22.1035 * CHOOSE(CONTROL!$C$15, $E$9, 100%, $G$9) + CHOOSE(CONTROL!$C$38, 0.0342, 0)</f>
        <v>22.137699999999999</v>
      </c>
      <c r="J155" s="44">
        <f>135.0599</f>
        <v>135.0599</v>
      </c>
    </row>
    <row r="156" spans="1:10" ht="15" x14ac:dyDescent="0.2">
      <c r="A156" s="13">
        <v>45658</v>
      </c>
      <c r="B156" s="14">
        <f>24.6951 * CHOOSE(CONTROL!$C$15, $E$9, 100%, $G$9) + CHOOSE(CONTROL!$C$38, 0.0251, 0)</f>
        <v>24.720199999999998</v>
      </c>
      <c r="C156" s="14">
        <f>23.2382 * CHOOSE(CONTROL!$C$15, $E$9, 100%, $G$9) + CHOOSE(CONTROL!$C$38, 0.0342, 0)</f>
        <v>23.272399999999998</v>
      </c>
      <c r="D156" s="14">
        <f>23.2304 * CHOOSE(CONTROL!$C$15, $E$9, 100%, $G$9) + CHOOSE(CONTROL!$C$38, 0.0342, 0)</f>
        <v>23.264599999999998</v>
      </c>
      <c r="E156" s="46">
        <f>24.5389 * CHOOSE(CONTROL!$C$15, $E$9, 100%, $G$9) + CHOOSE(CONTROL!$C$38, 0.0342, 0)</f>
        <v>24.5731</v>
      </c>
      <c r="F156" s="45">
        <f>24.5389 * CHOOSE(CONTROL!$C$15, $E$9, 100%, $G$9) + CHOOSE(CONTROL!$C$38, 0.0251, 0)</f>
        <v>24.564</v>
      </c>
      <c r="G156" s="14">
        <f>23.2366 * CHOOSE(CONTROL!$C$15, $E$9, 100%, $G$9) + CHOOSE(CONTROL!$C$38, 0.0342, 0)</f>
        <v>23.270799999999998</v>
      </c>
      <c r="H156" s="14">
        <f>23.2366 * CHOOSE(CONTROL!$C$15, $E$9, 100%, $G$9) + CHOOSE(CONTROL!$C$38, 0.0342, 0)</f>
        <v>23.270799999999998</v>
      </c>
      <c r="I156" s="14">
        <f>23.2382 * CHOOSE(CONTROL!$C$15, $E$9, 100%, $G$9) + CHOOSE(CONTROL!$C$38, 0.0342, 0)</f>
        <v>23.272399999999998</v>
      </c>
      <c r="J156" s="44">
        <f>135.432</f>
        <v>135.43199999999999</v>
      </c>
    </row>
    <row r="157" spans="1:10" ht="15" x14ac:dyDescent="0.2">
      <c r="A157" s="13">
        <v>45689</v>
      </c>
      <c r="B157" s="14">
        <f>25.0459 * CHOOSE(CONTROL!$C$15, $E$9, 100%, $G$9) + CHOOSE(CONTROL!$C$38, 0.0251, 0)</f>
        <v>25.070999999999998</v>
      </c>
      <c r="C157" s="14">
        <f>23.5863 * CHOOSE(CONTROL!$C$15, $E$9, 100%, $G$9) + CHOOSE(CONTROL!$C$38, 0.0342, 0)</f>
        <v>23.6205</v>
      </c>
      <c r="D157" s="14">
        <f>23.5785 * CHOOSE(CONTROL!$C$15, $E$9, 100%, $G$9) + CHOOSE(CONTROL!$C$38, 0.0342, 0)</f>
        <v>23.612699999999997</v>
      </c>
      <c r="E157" s="46">
        <f>24.8897 * CHOOSE(CONTROL!$C$15, $E$9, 100%, $G$9) + CHOOSE(CONTROL!$C$38, 0.0342, 0)</f>
        <v>24.9239</v>
      </c>
      <c r="F157" s="45">
        <f>24.8897 * CHOOSE(CONTROL!$C$15, $E$9, 100%, $G$9) + CHOOSE(CONTROL!$C$38, 0.0251, 0)</f>
        <v>24.9148</v>
      </c>
      <c r="G157" s="14">
        <f>23.5848 * CHOOSE(CONTROL!$C$15, $E$9, 100%, $G$9) + CHOOSE(CONTROL!$C$38, 0.0342, 0)</f>
        <v>23.619</v>
      </c>
      <c r="H157" s="14">
        <f>23.5848 * CHOOSE(CONTROL!$C$15, $E$9, 100%, $G$9) + CHOOSE(CONTROL!$C$38, 0.0342, 0)</f>
        <v>23.619</v>
      </c>
      <c r="I157" s="14">
        <f>23.5863 * CHOOSE(CONTROL!$C$15, $E$9, 100%, $G$9) + CHOOSE(CONTROL!$C$38, 0.0342, 0)</f>
        <v>23.6205</v>
      </c>
      <c r="J157" s="44">
        <f>135.3337</f>
        <v>135.33369999999999</v>
      </c>
    </row>
    <row r="158" spans="1:10" ht="15" x14ac:dyDescent="0.2">
      <c r="A158" s="13">
        <v>45717</v>
      </c>
      <c r="B158" s="14">
        <f>24.3976 * CHOOSE(CONTROL!$C$15, $E$9, 100%, $G$9) + CHOOSE(CONTROL!$C$38, 0.0251, 0)</f>
        <v>24.422699999999999</v>
      </c>
      <c r="C158" s="14">
        <f>22.9353 * CHOOSE(CONTROL!$C$15, $E$9, 100%, $G$9) + CHOOSE(CONTROL!$C$38, 0.0342, 0)</f>
        <v>22.9695</v>
      </c>
      <c r="D158" s="14">
        <f>22.9274 * CHOOSE(CONTROL!$C$15, $E$9, 100%, $G$9) + CHOOSE(CONTROL!$C$38, 0.0342, 0)</f>
        <v>22.961599999999997</v>
      </c>
      <c r="E158" s="46">
        <f>24.2413 * CHOOSE(CONTROL!$C$15, $E$9, 100%, $G$9) + CHOOSE(CONTROL!$C$38, 0.0342, 0)</f>
        <v>24.275499999999997</v>
      </c>
      <c r="F158" s="45">
        <f>24.2413 * CHOOSE(CONTROL!$C$15, $E$9, 100%, $G$9) + CHOOSE(CONTROL!$C$38, 0.0251, 0)</f>
        <v>24.266399999999997</v>
      </c>
      <c r="G158" s="14">
        <f>22.9337 * CHOOSE(CONTROL!$C$15, $E$9, 100%, $G$9) + CHOOSE(CONTROL!$C$38, 0.0342, 0)</f>
        <v>22.9679</v>
      </c>
      <c r="H158" s="14">
        <f>22.9337 * CHOOSE(CONTROL!$C$15, $E$9, 100%, $G$9) + CHOOSE(CONTROL!$C$38, 0.0342, 0)</f>
        <v>22.9679</v>
      </c>
      <c r="I158" s="14">
        <f>22.9353 * CHOOSE(CONTROL!$C$15, $E$9, 100%, $G$9) + CHOOSE(CONTROL!$C$38, 0.0342, 0)</f>
        <v>22.9695</v>
      </c>
      <c r="J158" s="44">
        <f>142.7601</f>
        <v>142.76009999999999</v>
      </c>
    </row>
    <row r="159" spans="1:10" ht="15" x14ac:dyDescent="0.2">
      <c r="A159" s="13">
        <v>45748</v>
      </c>
      <c r="B159" s="14">
        <f>23.7681 * CHOOSE(CONTROL!$C$15, $E$9, 100%, $G$9) + CHOOSE(CONTROL!$C$38, 0.0251, 0)</f>
        <v>23.793199999999999</v>
      </c>
      <c r="C159" s="14">
        <f>22.3031 * CHOOSE(CONTROL!$C$15, $E$9, 100%, $G$9) + CHOOSE(CONTROL!$C$38, 0.0342, 0)</f>
        <v>22.337299999999999</v>
      </c>
      <c r="D159" s="14">
        <f>22.2953 * CHOOSE(CONTROL!$C$15, $E$9, 100%, $G$9) + CHOOSE(CONTROL!$C$38, 0.0342, 0)</f>
        <v>22.329499999999999</v>
      </c>
      <c r="E159" s="46">
        <f>23.6119 * CHOOSE(CONTROL!$C$15, $E$9, 100%, $G$9) + CHOOSE(CONTROL!$C$38, 0.0342, 0)</f>
        <v>23.646099999999997</v>
      </c>
      <c r="F159" s="45">
        <f>23.6119 * CHOOSE(CONTROL!$C$15, $E$9, 100%, $G$9) + CHOOSE(CONTROL!$C$38, 0.0251, 0)</f>
        <v>23.636999999999997</v>
      </c>
      <c r="G159" s="14">
        <f>22.3016 * CHOOSE(CONTROL!$C$15, $E$9, 100%, $G$9) + CHOOSE(CONTROL!$C$38, 0.0342, 0)</f>
        <v>22.335799999999999</v>
      </c>
      <c r="H159" s="14">
        <f>22.3016 * CHOOSE(CONTROL!$C$15, $E$9, 100%, $G$9) + CHOOSE(CONTROL!$C$38, 0.0342, 0)</f>
        <v>22.335799999999999</v>
      </c>
      <c r="I159" s="14">
        <f>22.3031 * CHOOSE(CONTROL!$C$15, $E$9, 100%, $G$9) + CHOOSE(CONTROL!$C$38, 0.0342, 0)</f>
        <v>22.337299999999999</v>
      </c>
      <c r="J159" s="44">
        <f>152.3419</f>
        <v>152.34190000000001</v>
      </c>
    </row>
    <row r="160" spans="1:10" ht="15" x14ac:dyDescent="0.2">
      <c r="A160" s="13">
        <v>45778</v>
      </c>
      <c r="B160" s="14">
        <f>23.1073 * CHOOSE(CONTROL!$C$15, $E$9, 100%, $G$9) + CHOOSE(CONTROL!$C$38, 0.0264, 0)</f>
        <v>23.133699999999997</v>
      </c>
      <c r="C160" s="14">
        <f>21.6396 * CHOOSE(CONTROL!$C$15, $E$9, 100%, $G$9) + CHOOSE(CONTROL!$C$38, 0.0354, 0)</f>
        <v>21.675000000000001</v>
      </c>
      <c r="D160" s="14">
        <f>21.6318 * CHOOSE(CONTROL!$C$15, $E$9, 100%, $G$9) + CHOOSE(CONTROL!$C$38, 0.0354, 0)</f>
        <v>21.667199999999998</v>
      </c>
      <c r="E160" s="46">
        <f>22.951 * CHOOSE(CONTROL!$C$15, $E$9, 100%, $G$9) + CHOOSE(CONTROL!$C$38, 0.0354, 0)</f>
        <v>22.9864</v>
      </c>
      <c r="F160" s="45">
        <f>22.951 * CHOOSE(CONTROL!$C$15, $E$9, 100%, $G$9) + CHOOSE(CONTROL!$C$38, 0.0264, 0)</f>
        <v>22.977399999999999</v>
      </c>
      <c r="G160" s="14">
        <f>21.638 * CHOOSE(CONTROL!$C$15, $E$9, 100%, $G$9) + CHOOSE(CONTROL!$C$38, 0.0354, 0)</f>
        <v>21.673400000000001</v>
      </c>
      <c r="H160" s="14">
        <f>21.638 * CHOOSE(CONTROL!$C$15, $E$9, 100%, $G$9) + CHOOSE(CONTROL!$C$38, 0.0354, 0)</f>
        <v>21.673400000000001</v>
      </c>
      <c r="I160" s="14">
        <f>21.6396 * CHOOSE(CONTROL!$C$15, $E$9, 100%, $G$9) + CHOOSE(CONTROL!$C$38, 0.0354, 0)</f>
        <v>21.675000000000001</v>
      </c>
      <c r="J160" s="44">
        <f>157.7785</f>
        <v>157.77850000000001</v>
      </c>
    </row>
    <row r="161" spans="1:10" ht="15" x14ac:dyDescent="0.2">
      <c r="A161" s="13">
        <v>45809</v>
      </c>
      <c r="B161" s="14">
        <f>22.6558 * CHOOSE(CONTROL!$C$15, $E$9, 100%, $G$9) + CHOOSE(CONTROL!$C$38, 0.0264, 0)</f>
        <v>22.682199999999998</v>
      </c>
      <c r="C161" s="14">
        <f>21.1854 * CHOOSE(CONTROL!$C$15, $E$9, 100%, $G$9) + CHOOSE(CONTROL!$C$38, 0.0354, 0)</f>
        <v>21.220800000000001</v>
      </c>
      <c r="D161" s="14">
        <f>21.1776 * CHOOSE(CONTROL!$C$15, $E$9, 100%, $G$9) + CHOOSE(CONTROL!$C$38, 0.0354, 0)</f>
        <v>21.213000000000001</v>
      </c>
      <c r="E161" s="46">
        <f>22.4996 * CHOOSE(CONTROL!$C$15, $E$9, 100%, $G$9) + CHOOSE(CONTROL!$C$38, 0.0354, 0)</f>
        <v>22.535</v>
      </c>
      <c r="F161" s="45">
        <f>22.4996 * CHOOSE(CONTROL!$C$15, $E$9, 100%, $G$9) + CHOOSE(CONTROL!$C$38, 0.0264, 0)</f>
        <v>22.526</v>
      </c>
      <c r="G161" s="14">
        <f>21.1839 * CHOOSE(CONTROL!$C$15, $E$9, 100%, $G$9) + CHOOSE(CONTROL!$C$38, 0.0354, 0)</f>
        <v>21.2193</v>
      </c>
      <c r="H161" s="14">
        <f>21.1839 * CHOOSE(CONTROL!$C$15, $E$9, 100%, $G$9) + CHOOSE(CONTROL!$C$38, 0.0354, 0)</f>
        <v>21.2193</v>
      </c>
      <c r="I161" s="14">
        <f>21.1854 * CHOOSE(CONTROL!$C$15, $E$9, 100%, $G$9) + CHOOSE(CONTROL!$C$38, 0.0354, 0)</f>
        <v>21.220800000000001</v>
      </c>
      <c r="J161" s="44">
        <f>160.3816</f>
        <v>160.38159999999999</v>
      </c>
    </row>
    <row r="162" spans="1:10" ht="15" x14ac:dyDescent="0.2">
      <c r="A162" s="13">
        <v>45839</v>
      </c>
      <c r="B162" s="14">
        <f>22.4166 * CHOOSE(CONTROL!$C$15, $E$9, 100%, $G$9) + CHOOSE(CONTROL!$C$38, 0.0264, 0)</f>
        <v>22.442999999999998</v>
      </c>
      <c r="C162" s="14">
        <f>20.9435 * CHOOSE(CONTROL!$C$15, $E$9, 100%, $G$9) + CHOOSE(CONTROL!$C$38, 0.0354, 0)</f>
        <v>20.978899999999999</v>
      </c>
      <c r="D162" s="14">
        <f>20.9357 * CHOOSE(CONTROL!$C$15, $E$9, 100%, $G$9) + CHOOSE(CONTROL!$C$38, 0.0354, 0)</f>
        <v>20.9711</v>
      </c>
      <c r="E162" s="46">
        <f>22.2603 * CHOOSE(CONTROL!$C$15, $E$9, 100%, $G$9) + CHOOSE(CONTROL!$C$38, 0.0354, 0)</f>
        <v>22.2957</v>
      </c>
      <c r="F162" s="45">
        <f>22.2603 * CHOOSE(CONTROL!$C$15, $E$9, 100%, $G$9) + CHOOSE(CONTROL!$C$38, 0.0264, 0)</f>
        <v>22.2867</v>
      </c>
      <c r="G162" s="14">
        <f>20.9419 * CHOOSE(CONTROL!$C$15, $E$9, 100%, $G$9) + CHOOSE(CONTROL!$C$38, 0.0354, 0)</f>
        <v>20.9773</v>
      </c>
      <c r="H162" s="14">
        <f>20.9419 * CHOOSE(CONTROL!$C$15, $E$9, 100%, $G$9) + CHOOSE(CONTROL!$C$38, 0.0354, 0)</f>
        <v>20.9773</v>
      </c>
      <c r="I162" s="14">
        <f>20.9435 * CHOOSE(CONTROL!$C$15, $E$9, 100%, $G$9) + CHOOSE(CONTROL!$C$38, 0.0354, 0)</f>
        <v>20.978899999999999</v>
      </c>
      <c r="J162" s="44">
        <f>159.9604</f>
        <v>159.96039999999999</v>
      </c>
    </row>
    <row r="163" spans="1:10" ht="15" x14ac:dyDescent="0.2">
      <c r="A163" s="13">
        <v>45870</v>
      </c>
      <c r="B163" s="14">
        <f>22.6023 * CHOOSE(CONTROL!$C$15, $E$9, 100%, $G$9) + CHOOSE(CONTROL!$C$38, 0.0264, 0)</f>
        <v>22.628699999999998</v>
      </c>
      <c r="C163" s="14">
        <f>21.1265 * CHOOSE(CONTROL!$C$15, $E$9, 100%, $G$9) + CHOOSE(CONTROL!$C$38, 0.0354, 0)</f>
        <v>21.161899999999999</v>
      </c>
      <c r="D163" s="14">
        <f>21.1186 * CHOOSE(CONTROL!$C$15, $E$9, 100%, $G$9) + CHOOSE(CONTROL!$C$38, 0.0354, 0)</f>
        <v>21.154</v>
      </c>
      <c r="E163" s="46">
        <f>22.446 * CHOOSE(CONTROL!$C$15, $E$9, 100%, $G$9) + CHOOSE(CONTROL!$C$38, 0.0354, 0)</f>
        <v>22.481400000000001</v>
      </c>
      <c r="F163" s="45">
        <f>22.446 * CHOOSE(CONTROL!$C$15, $E$9, 100%, $G$9) + CHOOSE(CONTROL!$C$38, 0.0264, 0)</f>
        <v>22.4724</v>
      </c>
      <c r="G163" s="14">
        <f>21.1249 * CHOOSE(CONTROL!$C$15, $E$9, 100%, $G$9) + CHOOSE(CONTROL!$C$38, 0.0354, 0)</f>
        <v>21.160299999999999</v>
      </c>
      <c r="H163" s="14">
        <f>21.1249 * CHOOSE(CONTROL!$C$15, $E$9, 100%, $G$9) + CHOOSE(CONTROL!$C$38, 0.0354, 0)</f>
        <v>21.160299999999999</v>
      </c>
      <c r="I163" s="14">
        <f>21.1265 * CHOOSE(CONTROL!$C$15, $E$9, 100%, $G$9) + CHOOSE(CONTROL!$C$38, 0.0354, 0)</f>
        <v>21.161899999999999</v>
      </c>
      <c r="J163" s="44">
        <f>156.5584</f>
        <v>156.55840000000001</v>
      </c>
    </row>
    <row r="164" spans="1:10" ht="15" x14ac:dyDescent="0.2">
      <c r="A164" s="13">
        <v>45901</v>
      </c>
      <c r="B164" s="14">
        <f>23.0307 * CHOOSE(CONTROL!$C$15, $E$9, 100%, $G$9) + CHOOSE(CONTROL!$C$38, 0.0264, 0)</f>
        <v>23.057099999999998</v>
      </c>
      <c r="C164" s="14">
        <f>21.5522 * CHOOSE(CONTROL!$C$15, $E$9, 100%, $G$9) + CHOOSE(CONTROL!$C$38, 0.0354, 0)</f>
        <v>21.587599999999998</v>
      </c>
      <c r="D164" s="14">
        <f>21.5443 * CHOOSE(CONTROL!$C$15, $E$9, 100%, $G$9) + CHOOSE(CONTROL!$C$38, 0.0354, 0)</f>
        <v>21.579699999999999</v>
      </c>
      <c r="E164" s="46">
        <f>22.8744 * CHOOSE(CONTROL!$C$15, $E$9, 100%, $G$9) + CHOOSE(CONTROL!$C$38, 0.0354, 0)</f>
        <v>22.909800000000001</v>
      </c>
      <c r="F164" s="45">
        <f>22.8744 * CHOOSE(CONTROL!$C$15, $E$9, 100%, $G$9) + CHOOSE(CONTROL!$C$38, 0.0264, 0)</f>
        <v>22.9008</v>
      </c>
      <c r="G164" s="14">
        <f>21.5506 * CHOOSE(CONTROL!$C$15, $E$9, 100%, $G$9) + CHOOSE(CONTROL!$C$38, 0.0354, 0)</f>
        <v>21.585999999999999</v>
      </c>
      <c r="H164" s="14">
        <f>21.5506 * CHOOSE(CONTROL!$C$15, $E$9, 100%, $G$9) + CHOOSE(CONTROL!$C$38, 0.0354, 0)</f>
        <v>21.585999999999999</v>
      </c>
      <c r="I164" s="14">
        <f>21.5522 * CHOOSE(CONTROL!$C$15, $E$9, 100%, $G$9) + CHOOSE(CONTROL!$C$38, 0.0354, 0)</f>
        <v>21.587599999999998</v>
      </c>
      <c r="J164" s="44">
        <f>151.6664</f>
        <v>151.66640000000001</v>
      </c>
    </row>
    <row r="165" spans="1:10" ht="15" x14ac:dyDescent="0.2">
      <c r="A165" s="13">
        <v>45931</v>
      </c>
      <c r="B165" s="14">
        <f>23.3984 * CHOOSE(CONTROL!$C$15, $E$9, 100%, $G$9) + CHOOSE(CONTROL!$C$38, 0.0251, 0)</f>
        <v>23.423499999999997</v>
      </c>
      <c r="C165" s="14">
        <f>21.9172 * CHOOSE(CONTROL!$C$15, $E$9, 100%, $G$9) + CHOOSE(CONTROL!$C$38, 0.0342, 0)</f>
        <v>21.9514</v>
      </c>
      <c r="D165" s="14">
        <f>21.9093 * CHOOSE(CONTROL!$C$15, $E$9, 100%, $G$9) + CHOOSE(CONTROL!$C$38, 0.0342, 0)</f>
        <v>21.9435</v>
      </c>
      <c r="E165" s="46">
        <f>23.2422 * CHOOSE(CONTROL!$C$15, $E$9, 100%, $G$9) + CHOOSE(CONTROL!$C$38, 0.0342, 0)</f>
        <v>23.276399999999999</v>
      </c>
      <c r="F165" s="45">
        <f>23.2422 * CHOOSE(CONTROL!$C$15, $E$9, 100%, $G$9) + CHOOSE(CONTROL!$C$38, 0.0251, 0)</f>
        <v>23.267299999999999</v>
      </c>
      <c r="G165" s="14">
        <f>21.9156 * CHOOSE(CONTROL!$C$15, $E$9, 100%, $G$9) + CHOOSE(CONTROL!$C$38, 0.0342, 0)</f>
        <v>21.9498</v>
      </c>
      <c r="H165" s="14">
        <f>21.9156 * CHOOSE(CONTROL!$C$15, $E$9, 100%, $G$9) + CHOOSE(CONTROL!$C$38, 0.0342, 0)</f>
        <v>21.9498</v>
      </c>
      <c r="I165" s="14">
        <f>21.9172 * CHOOSE(CONTROL!$C$15, $E$9, 100%, $G$9) + CHOOSE(CONTROL!$C$38, 0.0342, 0)</f>
        <v>21.9514</v>
      </c>
      <c r="J165" s="44">
        <f>146.7233</f>
        <v>146.72329999999999</v>
      </c>
    </row>
    <row r="166" spans="1:10" ht="15" x14ac:dyDescent="0.2">
      <c r="A166" s="13">
        <v>45962</v>
      </c>
      <c r="B166" s="14">
        <f>23.7142 * CHOOSE(CONTROL!$C$15, $E$9, 100%, $G$9) + CHOOSE(CONTROL!$C$38, 0.0251, 0)</f>
        <v>23.7393</v>
      </c>
      <c r="C166" s="14">
        <f>22.2302 * CHOOSE(CONTROL!$C$15, $E$9, 100%, $G$9) + CHOOSE(CONTROL!$C$38, 0.0342, 0)</f>
        <v>22.264399999999998</v>
      </c>
      <c r="D166" s="14">
        <f>22.2224 * CHOOSE(CONTROL!$C$15, $E$9, 100%, $G$9) + CHOOSE(CONTROL!$C$38, 0.0342, 0)</f>
        <v>22.256599999999999</v>
      </c>
      <c r="E166" s="46">
        <f>23.558 * CHOOSE(CONTROL!$C$15, $E$9, 100%, $G$9) + CHOOSE(CONTROL!$C$38, 0.0342, 0)</f>
        <v>23.592199999999998</v>
      </c>
      <c r="F166" s="45">
        <f>23.558 * CHOOSE(CONTROL!$C$15, $E$9, 100%, $G$9) + CHOOSE(CONTROL!$C$38, 0.0251, 0)</f>
        <v>23.583099999999998</v>
      </c>
      <c r="G166" s="14">
        <f>22.2287 * CHOOSE(CONTROL!$C$15, $E$9, 100%, $G$9) + CHOOSE(CONTROL!$C$38, 0.0342, 0)</f>
        <v>22.262899999999998</v>
      </c>
      <c r="H166" s="14">
        <f>22.2287 * CHOOSE(CONTROL!$C$15, $E$9, 100%, $G$9) + CHOOSE(CONTROL!$C$38, 0.0342, 0)</f>
        <v>22.262899999999998</v>
      </c>
      <c r="I166" s="14">
        <f>22.2302 * CHOOSE(CONTROL!$C$15, $E$9, 100%, $G$9) + CHOOSE(CONTROL!$C$38, 0.0342, 0)</f>
        <v>22.264399999999998</v>
      </c>
      <c r="J166" s="44">
        <f>145.9779</f>
        <v>145.97790000000001</v>
      </c>
    </row>
    <row r="167" spans="1:10" ht="15" x14ac:dyDescent="0.2">
      <c r="A167" s="13">
        <v>45992</v>
      </c>
      <c r="B167" s="14">
        <f>24.592 * CHOOSE(CONTROL!$C$15, $E$9, 100%, $G$9) + CHOOSE(CONTROL!$C$38, 0.0251, 0)</f>
        <v>24.617099999999997</v>
      </c>
      <c r="C167" s="14">
        <f>23.1052 * CHOOSE(CONTROL!$C$15, $E$9, 100%, $G$9) + CHOOSE(CONTROL!$C$38, 0.0342, 0)</f>
        <v>23.139399999999998</v>
      </c>
      <c r="D167" s="14">
        <f>23.0974 * CHOOSE(CONTROL!$C$15, $E$9, 100%, $G$9) + CHOOSE(CONTROL!$C$38, 0.0342, 0)</f>
        <v>23.131599999999999</v>
      </c>
      <c r="E167" s="46">
        <f>24.4357 * CHOOSE(CONTROL!$C$15, $E$9, 100%, $G$9) + CHOOSE(CONTROL!$C$38, 0.0342, 0)</f>
        <v>24.469899999999999</v>
      </c>
      <c r="F167" s="45">
        <f>24.4357 * CHOOSE(CONTROL!$C$15, $E$9, 100%, $G$9) + CHOOSE(CONTROL!$C$38, 0.0251, 0)</f>
        <v>24.460799999999999</v>
      </c>
      <c r="G167" s="14">
        <f>23.1037 * CHOOSE(CONTROL!$C$15, $E$9, 100%, $G$9) + CHOOSE(CONTROL!$C$38, 0.0342, 0)</f>
        <v>23.137899999999998</v>
      </c>
      <c r="H167" s="14">
        <f>23.1037 * CHOOSE(CONTROL!$C$15, $E$9, 100%, $G$9) + CHOOSE(CONTROL!$C$38, 0.0342, 0)</f>
        <v>23.137899999999998</v>
      </c>
      <c r="I167" s="14">
        <f>23.1052 * CHOOSE(CONTROL!$C$15, $E$9, 100%, $G$9) + CHOOSE(CONTROL!$C$38, 0.0342, 0)</f>
        <v>23.139399999999998</v>
      </c>
      <c r="J167" s="44">
        <f>141.9377</f>
        <v>141.93770000000001</v>
      </c>
    </row>
    <row r="168" spans="1:10" ht="15" x14ac:dyDescent="0.2">
      <c r="A168" s="13">
        <v>46023</v>
      </c>
      <c r="B168" s="14">
        <f>25.2649 * CHOOSE(CONTROL!$C$15, $E$9, 100%, $G$9) + CHOOSE(CONTROL!$C$38, 0.0251, 0)</f>
        <v>25.29</v>
      </c>
      <c r="C168" s="14">
        <f>23.8016 * CHOOSE(CONTROL!$C$15, $E$9, 100%, $G$9) + CHOOSE(CONTROL!$C$38, 0.0342, 0)</f>
        <v>23.835799999999999</v>
      </c>
      <c r="D168" s="14">
        <f>23.7938 * CHOOSE(CONTROL!$C$15, $E$9, 100%, $G$9) + CHOOSE(CONTROL!$C$38, 0.0342, 0)</f>
        <v>23.827999999999999</v>
      </c>
      <c r="E168" s="46">
        <f>25.1087 * CHOOSE(CONTROL!$C$15, $E$9, 100%, $G$9) + CHOOSE(CONTROL!$C$38, 0.0342, 0)</f>
        <v>25.142899999999997</v>
      </c>
      <c r="F168" s="45">
        <f>25.1087 * CHOOSE(CONTROL!$C$15, $E$9, 100%, $G$9) + CHOOSE(CONTROL!$C$38, 0.0251, 0)</f>
        <v>25.133799999999997</v>
      </c>
      <c r="G168" s="14">
        <f>23.8001 * CHOOSE(CONTROL!$C$15, $E$9, 100%, $G$9) + CHOOSE(CONTROL!$C$38, 0.0342, 0)</f>
        <v>23.834299999999999</v>
      </c>
      <c r="H168" s="14">
        <f>23.8001 * CHOOSE(CONTROL!$C$15, $E$9, 100%, $G$9) + CHOOSE(CONTROL!$C$38, 0.0342, 0)</f>
        <v>23.834299999999999</v>
      </c>
      <c r="I168" s="14">
        <f>23.8016 * CHOOSE(CONTROL!$C$15, $E$9, 100%, $G$9) + CHOOSE(CONTROL!$C$38, 0.0342, 0)</f>
        <v>23.835799999999999</v>
      </c>
      <c r="J168" s="44">
        <f>138.8436</f>
        <v>138.84360000000001</v>
      </c>
    </row>
    <row r="169" spans="1:10" ht="15" x14ac:dyDescent="0.2">
      <c r="A169" s="13">
        <v>46054</v>
      </c>
      <c r="B169" s="14">
        <f>25.6245 * CHOOSE(CONTROL!$C$15, $E$9, 100%, $G$9) + CHOOSE(CONTROL!$C$38, 0.0251, 0)</f>
        <v>25.6496</v>
      </c>
      <c r="C169" s="14">
        <f>24.1584 * CHOOSE(CONTROL!$C$15, $E$9, 100%, $G$9) + CHOOSE(CONTROL!$C$38, 0.0342, 0)</f>
        <v>24.192599999999999</v>
      </c>
      <c r="D169" s="14">
        <f>24.1506 * CHOOSE(CONTROL!$C$15, $E$9, 100%, $G$9) + CHOOSE(CONTROL!$C$38, 0.0342, 0)</f>
        <v>24.184799999999999</v>
      </c>
      <c r="E169" s="46">
        <f>25.4682 * CHOOSE(CONTROL!$C$15, $E$9, 100%, $G$9) + CHOOSE(CONTROL!$C$38, 0.0342, 0)</f>
        <v>25.502399999999998</v>
      </c>
      <c r="F169" s="45">
        <f>25.4682 * CHOOSE(CONTROL!$C$15, $E$9, 100%, $G$9) + CHOOSE(CONTROL!$C$38, 0.0251, 0)</f>
        <v>25.493299999999998</v>
      </c>
      <c r="G169" s="14">
        <f>24.1569 * CHOOSE(CONTROL!$C$15, $E$9, 100%, $G$9) + CHOOSE(CONTROL!$C$38, 0.0342, 0)</f>
        <v>24.191099999999999</v>
      </c>
      <c r="H169" s="14">
        <f>24.1569 * CHOOSE(CONTROL!$C$15, $E$9, 100%, $G$9) + CHOOSE(CONTROL!$C$38, 0.0342, 0)</f>
        <v>24.191099999999999</v>
      </c>
      <c r="I169" s="14">
        <f>24.1584 * CHOOSE(CONTROL!$C$15, $E$9, 100%, $G$9) + CHOOSE(CONTROL!$C$38, 0.0342, 0)</f>
        <v>24.192599999999999</v>
      </c>
      <c r="J169" s="44">
        <f>138.7429</f>
        <v>138.74289999999999</v>
      </c>
    </row>
    <row r="170" spans="1:10" ht="15" x14ac:dyDescent="0.2">
      <c r="A170" s="13">
        <v>46082</v>
      </c>
      <c r="B170" s="14">
        <f>24.9598 * CHOOSE(CONTROL!$C$15, $E$9, 100%, $G$9) + CHOOSE(CONTROL!$C$38, 0.0251, 0)</f>
        <v>24.9849</v>
      </c>
      <c r="C170" s="14">
        <f>23.4911 * CHOOSE(CONTROL!$C$15, $E$9, 100%, $G$9) + CHOOSE(CONTROL!$C$38, 0.0342, 0)</f>
        <v>23.525299999999998</v>
      </c>
      <c r="D170" s="14">
        <f>23.4833 * CHOOSE(CONTROL!$C$15, $E$9, 100%, $G$9) + CHOOSE(CONTROL!$C$38, 0.0342, 0)</f>
        <v>23.517499999999998</v>
      </c>
      <c r="E170" s="46">
        <f>24.8036 * CHOOSE(CONTROL!$C$15, $E$9, 100%, $G$9) + CHOOSE(CONTROL!$C$38, 0.0342, 0)</f>
        <v>24.837799999999998</v>
      </c>
      <c r="F170" s="45">
        <f>24.8036 * CHOOSE(CONTROL!$C$15, $E$9, 100%, $G$9) + CHOOSE(CONTROL!$C$38, 0.0251, 0)</f>
        <v>24.828699999999998</v>
      </c>
      <c r="G170" s="14">
        <f>23.4895 * CHOOSE(CONTROL!$C$15, $E$9, 100%, $G$9) + CHOOSE(CONTROL!$C$38, 0.0342, 0)</f>
        <v>23.523699999999998</v>
      </c>
      <c r="H170" s="14">
        <f>23.4895 * CHOOSE(CONTROL!$C$15, $E$9, 100%, $G$9) + CHOOSE(CONTROL!$C$38, 0.0342, 0)</f>
        <v>23.523699999999998</v>
      </c>
      <c r="I170" s="14">
        <f>23.4911 * CHOOSE(CONTROL!$C$15, $E$9, 100%, $G$9) + CHOOSE(CONTROL!$C$38, 0.0342, 0)</f>
        <v>23.525299999999998</v>
      </c>
      <c r="J170" s="44">
        <f>146.3563</f>
        <v>146.3563</v>
      </c>
    </row>
    <row r="171" spans="1:10" ht="15" x14ac:dyDescent="0.2">
      <c r="A171" s="13">
        <v>46113</v>
      </c>
      <c r="B171" s="14">
        <f>24.3146 * CHOOSE(CONTROL!$C$15, $E$9, 100%, $G$9) + CHOOSE(CONTROL!$C$38, 0.0251, 0)</f>
        <v>24.339699999999997</v>
      </c>
      <c r="C171" s="14">
        <f>22.8432 * CHOOSE(CONTROL!$C$15, $E$9, 100%, $G$9) + CHOOSE(CONTROL!$C$38, 0.0342, 0)</f>
        <v>22.877399999999998</v>
      </c>
      <c r="D171" s="14">
        <f>22.8354 * CHOOSE(CONTROL!$C$15, $E$9, 100%, $G$9) + CHOOSE(CONTROL!$C$38, 0.0342, 0)</f>
        <v>22.869599999999998</v>
      </c>
      <c r="E171" s="46">
        <f>24.1583 * CHOOSE(CONTROL!$C$15, $E$9, 100%, $G$9) + CHOOSE(CONTROL!$C$38, 0.0342, 0)</f>
        <v>24.192499999999999</v>
      </c>
      <c r="F171" s="45">
        <f>24.1583 * CHOOSE(CONTROL!$C$15, $E$9, 100%, $G$9) + CHOOSE(CONTROL!$C$38, 0.0251, 0)</f>
        <v>24.183399999999999</v>
      </c>
      <c r="G171" s="14">
        <f>22.8416 * CHOOSE(CONTROL!$C$15, $E$9, 100%, $G$9) + CHOOSE(CONTROL!$C$38, 0.0342, 0)</f>
        <v>22.875799999999998</v>
      </c>
      <c r="H171" s="14">
        <f>22.8416 * CHOOSE(CONTROL!$C$15, $E$9, 100%, $G$9) + CHOOSE(CONTROL!$C$38, 0.0342, 0)</f>
        <v>22.875799999999998</v>
      </c>
      <c r="I171" s="14">
        <f>22.8432 * CHOOSE(CONTROL!$C$15, $E$9, 100%, $G$9) + CHOOSE(CONTROL!$C$38, 0.0342, 0)</f>
        <v>22.877399999999998</v>
      </c>
      <c r="J171" s="44">
        <f>156.1795</f>
        <v>156.17949999999999</v>
      </c>
    </row>
    <row r="172" spans="1:10" ht="15" x14ac:dyDescent="0.2">
      <c r="A172" s="13">
        <v>46143</v>
      </c>
      <c r="B172" s="14">
        <f>23.6371 * CHOOSE(CONTROL!$C$15, $E$9, 100%, $G$9) + CHOOSE(CONTROL!$C$38, 0.0264, 0)</f>
        <v>23.663499999999999</v>
      </c>
      <c r="C172" s="14">
        <f>22.163 * CHOOSE(CONTROL!$C$15, $E$9, 100%, $G$9) + CHOOSE(CONTROL!$C$38, 0.0354, 0)</f>
        <v>22.198399999999999</v>
      </c>
      <c r="D172" s="14">
        <f>22.1552 * CHOOSE(CONTROL!$C$15, $E$9, 100%, $G$9) + CHOOSE(CONTROL!$C$38, 0.0354, 0)</f>
        <v>22.1906</v>
      </c>
      <c r="E172" s="46">
        <f>23.4809 * CHOOSE(CONTROL!$C$15, $E$9, 100%, $G$9) + CHOOSE(CONTROL!$C$38, 0.0354, 0)</f>
        <v>23.516299999999998</v>
      </c>
      <c r="F172" s="45">
        <f>23.4809 * CHOOSE(CONTROL!$C$15, $E$9, 100%, $G$9) + CHOOSE(CONTROL!$C$38, 0.0264, 0)</f>
        <v>23.507299999999997</v>
      </c>
      <c r="G172" s="14">
        <f>22.1614 * CHOOSE(CONTROL!$C$15, $E$9, 100%, $G$9) + CHOOSE(CONTROL!$C$38, 0.0354, 0)</f>
        <v>22.1968</v>
      </c>
      <c r="H172" s="14">
        <f>22.1614 * CHOOSE(CONTROL!$C$15, $E$9, 100%, $G$9) + CHOOSE(CONTROL!$C$38, 0.0354, 0)</f>
        <v>22.1968</v>
      </c>
      <c r="I172" s="14">
        <f>22.163 * CHOOSE(CONTROL!$C$15, $E$9, 100%, $G$9) + CHOOSE(CONTROL!$C$38, 0.0354, 0)</f>
        <v>22.198399999999999</v>
      </c>
      <c r="J172" s="44">
        <f>161.7531</f>
        <v>161.75309999999999</v>
      </c>
    </row>
    <row r="173" spans="1:10" ht="15" x14ac:dyDescent="0.2">
      <c r="A173" s="13">
        <v>46174</v>
      </c>
      <c r="B173" s="14">
        <f>23.1743 * CHOOSE(CONTROL!$C$15, $E$9, 100%, $G$9) + CHOOSE(CONTROL!$C$38, 0.0264, 0)</f>
        <v>23.200699999999998</v>
      </c>
      <c r="C173" s="14">
        <f>21.6975 * CHOOSE(CONTROL!$C$15, $E$9, 100%, $G$9) + CHOOSE(CONTROL!$C$38, 0.0354, 0)</f>
        <v>21.732900000000001</v>
      </c>
      <c r="D173" s="14">
        <f>21.6897 * CHOOSE(CONTROL!$C$15, $E$9, 100%, $G$9) + CHOOSE(CONTROL!$C$38, 0.0354, 0)</f>
        <v>21.725099999999998</v>
      </c>
      <c r="E173" s="46">
        <f>23.0181 * CHOOSE(CONTROL!$C$15, $E$9, 100%, $G$9) + CHOOSE(CONTROL!$C$38, 0.0354, 0)</f>
        <v>23.0535</v>
      </c>
      <c r="F173" s="45">
        <f>23.0181 * CHOOSE(CONTROL!$C$15, $E$9, 100%, $G$9) + CHOOSE(CONTROL!$C$38, 0.0264, 0)</f>
        <v>23.044499999999999</v>
      </c>
      <c r="G173" s="14">
        <f>21.6959 * CHOOSE(CONTROL!$C$15, $E$9, 100%, $G$9) + CHOOSE(CONTROL!$C$38, 0.0354, 0)</f>
        <v>21.731300000000001</v>
      </c>
      <c r="H173" s="14">
        <f>21.6959 * CHOOSE(CONTROL!$C$15, $E$9, 100%, $G$9) + CHOOSE(CONTROL!$C$38, 0.0354, 0)</f>
        <v>21.731300000000001</v>
      </c>
      <c r="I173" s="14">
        <f>21.6975 * CHOOSE(CONTROL!$C$15, $E$9, 100%, $G$9) + CHOOSE(CONTROL!$C$38, 0.0354, 0)</f>
        <v>21.732900000000001</v>
      </c>
      <c r="J173" s="44">
        <f>164.4217</f>
        <v>164.42169999999999</v>
      </c>
    </row>
    <row r="174" spans="1:10" ht="15" x14ac:dyDescent="0.2">
      <c r="A174" s="13">
        <v>46204</v>
      </c>
      <c r="B174" s="14">
        <f>22.929 * CHOOSE(CONTROL!$C$15, $E$9, 100%, $G$9) + CHOOSE(CONTROL!$C$38, 0.0264, 0)</f>
        <v>22.955399999999997</v>
      </c>
      <c r="C174" s="14">
        <f>21.4495 * CHOOSE(CONTROL!$C$15, $E$9, 100%, $G$9) + CHOOSE(CONTROL!$C$38, 0.0354, 0)</f>
        <v>21.4849</v>
      </c>
      <c r="D174" s="14">
        <f>21.4417 * CHOOSE(CONTROL!$C$15, $E$9, 100%, $G$9) + CHOOSE(CONTROL!$C$38, 0.0354, 0)</f>
        <v>21.4771</v>
      </c>
      <c r="E174" s="46">
        <f>22.7728 * CHOOSE(CONTROL!$C$15, $E$9, 100%, $G$9) + CHOOSE(CONTROL!$C$38, 0.0354, 0)</f>
        <v>22.808199999999999</v>
      </c>
      <c r="F174" s="45">
        <f>22.7728 * CHOOSE(CONTROL!$C$15, $E$9, 100%, $G$9) + CHOOSE(CONTROL!$C$38, 0.0264, 0)</f>
        <v>22.799199999999999</v>
      </c>
      <c r="G174" s="14">
        <f>21.4479 * CHOOSE(CONTROL!$C$15, $E$9, 100%, $G$9) + CHOOSE(CONTROL!$C$38, 0.0354, 0)</f>
        <v>21.4833</v>
      </c>
      <c r="H174" s="14">
        <f>21.4479 * CHOOSE(CONTROL!$C$15, $E$9, 100%, $G$9) + CHOOSE(CONTROL!$C$38, 0.0354, 0)</f>
        <v>21.4833</v>
      </c>
      <c r="I174" s="14">
        <f>21.4495 * CHOOSE(CONTROL!$C$15, $E$9, 100%, $G$9) + CHOOSE(CONTROL!$C$38, 0.0354, 0)</f>
        <v>21.4849</v>
      </c>
      <c r="J174" s="44">
        <f>163.9899</f>
        <v>163.98990000000001</v>
      </c>
    </row>
    <row r="175" spans="1:10" ht="15" x14ac:dyDescent="0.2">
      <c r="A175" s="13">
        <v>46235</v>
      </c>
      <c r="B175" s="14">
        <f>23.1193 * CHOOSE(CONTROL!$C$15, $E$9, 100%, $G$9) + CHOOSE(CONTROL!$C$38, 0.0264, 0)</f>
        <v>23.145699999999998</v>
      </c>
      <c r="C175" s="14">
        <f>21.637 * CHOOSE(CONTROL!$C$15, $E$9, 100%, $G$9) + CHOOSE(CONTROL!$C$38, 0.0354, 0)</f>
        <v>21.6724</v>
      </c>
      <c r="D175" s="14">
        <f>21.6292 * CHOOSE(CONTROL!$C$15, $E$9, 100%, $G$9) + CHOOSE(CONTROL!$C$38, 0.0354, 0)</f>
        <v>21.6646</v>
      </c>
      <c r="E175" s="46">
        <f>22.963 * CHOOSE(CONTROL!$C$15, $E$9, 100%, $G$9) + CHOOSE(CONTROL!$C$38, 0.0354, 0)</f>
        <v>22.9984</v>
      </c>
      <c r="F175" s="45">
        <f>22.963 * CHOOSE(CONTROL!$C$15, $E$9, 100%, $G$9) + CHOOSE(CONTROL!$C$38, 0.0264, 0)</f>
        <v>22.9894</v>
      </c>
      <c r="G175" s="14">
        <f>21.6354 * CHOOSE(CONTROL!$C$15, $E$9, 100%, $G$9) + CHOOSE(CONTROL!$C$38, 0.0354, 0)</f>
        <v>21.6708</v>
      </c>
      <c r="H175" s="14">
        <f>21.6354 * CHOOSE(CONTROL!$C$15, $E$9, 100%, $G$9) + CHOOSE(CONTROL!$C$38, 0.0354, 0)</f>
        <v>21.6708</v>
      </c>
      <c r="I175" s="14">
        <f>21.637 * CHOOSE(CONTROL!$C$15, $E$9, 100%, $G$9) + CHOOSE(CONTROL!$C$38, 0.0354, 0)</f>
        <v>21.6724</v>
      </c>
      <c r="J175" s="44">
        <f>160.5022</f>
        <v>160.50219999999999</v>
      </c>
    </row>
    <row r="176" spans="1:10" ht="15" x14ac:dyDescent="0.2">
      <c r="A176" s="13">
        <v>46266</v>
      </c>
      <c r="B176" s="14">
        <f>23.5584 * CHOOSE(CONTROL!$C$15, $E$9, 100%, $G$9) + CHOOSE(CONTROL!$C$38, 0.0264, 0)</f>
        <v>23.584799999999998</v>
      </c>
      <c r="C176" s="14">
        <f>22.0733 * CHOOSE(CONTROL!$C$15, $E$9, 100%, $G$9) + CHOOSE(CONTROL!$C$38, 0.0354, 0)</f>
        <v>22.108699999999999</v>
      </c>
      <c r="D176" s="14">
        <f>22.0655 * CHOOSE(CONTROL!$C$15, $E$9, 100%, $G$9) + CHOOSE(CONTROL!$C$38, 0.0354, 0)</f>
        <v>22.100899999999999</v>
      </c>
      <c r="E176" s="46">
        <f>23.4021 * CHOOSE(CONTROL!$C$15, $E$9, 100%, $G$9) + CHOOSE(CONTROL!$C$38, 0.0354, 0)</f>
        <v>23.4375</v>
      </c>
      <c r="F176" s="45">
        <f>23.4021 * CHOOSE(CONTROL!$C$15, $E$9, 100%, $G$9) + CHOOSE(CONTROL!$C$38, 0.0264, 0)</f>
        <v>23.4285</v>
      </c>
      <c r="G176" s="14">
        <f>22.0718 * CHOOSE(CONTROL!$C$15, $E$9, 100%, $G$9) + CHOOSE(CONTROL!$C$38, 0.0354, 0)</f>
        <v>22.107199999999999</v>
      </c>
      <c r="H176" s="14">
        <f>22.0718 * CHOOSE(CONTROL!$C$15, $E$9, 100%, $G$9) + CHOOSE(CONTROL!$C$38, 0.0354, 0)</f>
        <v>22.107199999999999</v>
      </c>
      <c r="I176" s="14">
        <f>22.0733 * CHOOSE(CONTROL!$C$15, $E$9, 100%, $G$9) + CHOOSE(CONTROL!$C$38, 0.0354, 0)</f>
        <v>22.108699999999999</v>
      </c>
      <c r="J176" s="44">
        <f>155.487</f>
        <v>155.48699999999999</v>
      </c>
    </row>
    <row r="177" spans="1:10" ht="15" x14ac:dyDescent="0.2">
      <c r="A177" s="13">
        <v>46296</v>
      </c>
      <c r="B177" s="14">
        <f>23.9352 * CHOOSE(CONTROL!$C$15, $E$9, 100%, $G$9) + CHOOSE(CONTROL!$C$38, 0.0251, 0)</f>
        <v>23.960299999999997</v>
      </c>
      <c r="C177" s="14">
        <f>22.4474 * CHOOSE(CONTROL!$C$15, $E$9, 100%, $G$9) + CHOOSE(CONTROL!$C$38, 0.0342, 0)</f>
        <v>22.481599999999997</v>
      </c>
      <c r="D177" s="14">
        <f>22.4396 * CHOOSE(CONTROL!$C$15, $E$9, 100%, $G$9) + CHOOSE(CONTROL!$C$38, 0.0342, 0)</f>
        <v>22.473799999999997</v>
      </c>
      <c r="E177" s="46">
        <f>23.779 * CHOOSE(CONTROL!$C$15, $E$9, 100%, $G$9) + CHOOSE(CONTROL!$C$38, 0.0342, 0)</f>
        <v>23.813199999999998</v>
      </c>
      <c r="F177" s="45">
        <f>23.779 * CHOOSE(CONTROL!$C$15, $E$9, 100%, $G$9) + CHOOSE(CONTROL!$C$38, 0.0251, 0)</f>
        <v>23.804099999999998</v>
      </c>
      <c r="G177" s="14">
        <f>22.4459 * CHOOSE(CONTROL!$C$15, $E$9, 100%, $G$9) + CHOOSE(CONTROL!$C$38, 0.0342, 0)</f>
        <v>22.4801</v>
      </c>
      <c r="H177" s="14">
        <f>22.4459 * CHOOSE(CONTROL!$C$15, $E$9, 100%, $G$9) + CHOOSE(CONTROL!$C$38, 0.0342, 0)</f>
        <v>22.4801</v>
      </c>
      <c r="I177" s="14">
        <f>22.4474 * CHOOSE(CONTROL!$C$15, $E$9, 100%, $G$9) + CHOOSE(CONTROL!$C$38, 0.0342, 0)</f>
        <v>22.481599999999997</v>
      </c>
      <c r="J177" s="44">
        <f>150.4193</f>
        <v>150.41929999999999</v>
      </c>
    </row>
    <row r="178" spans="1:10" ht="15" x14ac:dyDescent="0.2">
      <c r="A178" s="13">
        <v>46327</v>
      </c>
      <c r="B178" s="14">
        <f>24.2588 * CHOOSE(CONTROL!$C$15, $E$9, 100%, $G$9) + CHOOSE(CONTROL!$C$38, 0.0251, 0)</f>
        <v>24.283899999999999</v>
      </c>
      <c r="C178" s="14">
        <f>22.7683 * CHOOSE(CONTROL!$C$15, $E$9, 100%, $G$9) + CHOOSE(CONTROL!$C$38, 0.0342, 0)</f>
        <v>22.802499999999998</v>
      </c>
      <c r="D178" s="14">
        <f>22.7605 * CHOOSE(CONTROL!$C$15, $E$9, 100%, $G$9) + CHOOSE(CONTROL!$C$38, 0.0342, 0)</f>
        <v>22.794699999999999</v>
      </c>
      <c r="E178" s="46">
        <f>24.1026 * CHOOSE(CONTROL!$C$15, $E$9, 100%, $G$9) + CHOOSE(CONTROL!$C$38, 0.0342, 0)</f>
        <v>24.136799999999997</v>
      </c>
      <c r="F178" s="45">
        <f>24.1026 * CHOOSE(CONTROL!$C$15, $E$9, 100%, $G$9) + CHOOSE(CONTROL!$C$38, 0.0251, 0)</f>
        <v>24.127699999999997</v>
      </c>
      <c r="G178" s="14">
        <f>22.7668 * CHOOSE(CONTROL!$C$15, $E$9, 100%, $G$9) + CHOOSE(CONTROL!$C$38, 0.0342, 0)</f>
        <v>22.800999999999998</v>
      </c>
      <c r="H178" s="14">
        <f>22.7668 * CHOOSE(CONTROL!$C$15, $E$9, 100%, $G$9) + CHOOSE(CONTROL!$C$38, 0.0342, 0)</f>
        <v>22.800999999999998</v>
      </c>
      <c r="I178" s="14">
        <f>22.7683 * CHOOSE(CONTROL!$C$15, $E$9, 100%, $G$9) + CHOOSE(CONTROL!$C$38, 0.0342, 0)</f>
        <v>22.802499999999998</v>
      </c>
      <c r="J178" s="44">
        <f>149.6551</f>
        <v>149.6551</v>
      </c>
    </row>
    <row r="179" spans="1:10" ht="15" x14ac:dyDescent="0.2">
      <c r="A179" s="13">
        <v>46357</v>
      </c>
      <c r="B179" s="14">
        <f>25.1585 * CHOOSE(CONTROL!$C$15, $E$9, 100%, $G$9) + CHOOSE(CONTROL!$C$38, 0.0251, 0)</f>
        <v>25.183599999999998</v>
      </c>
      <c r="C179" s="14">
        <f>23.6652 * CHOOSE(CONTROL!$C$15, $E$9, 100%, $G$9) + CHOOSE(CONTROL!$C$38, 0.0342, 0)</f>
        <v>23.699399999999997</v>
      </c>
      <c r="D179" s="14">
        <f>23.6574 * CHOOSE(CONTROL!$C$15, $E$9, 100%, $G$9) + CHOOSE(CONTROL!$C$38, 0.0342, 0)</f>
        <v>23.691599999999998</v>
      </c>
      <c r="E179" s="46">
        <f>25.0022 * CHOOSE(CONTROL!$C$15, $E$9, 100%, $G$9) + CHOOSE(CONTROL!$C$38, 0.0342, 0)</f>
        <v>25.036399999999997</v>
      </c>
      <c r="F179" s="45">
        <f>25.0022 * CHOOSE(CONTROL!$C$15, $E$9, 100%, $G$9) + CHOOSE(CONTROL!$C$38, 0.0251, 0)</f>
        <v>25.027299999999997</v>
      </c>
      <c r="G179" s="14">
        <f>23.6637 * CHOOSE(CONTROL!$C$15, $E$9, 100%, $G$9) + CHOOSE(CONTROL!$C$38, 0.0342, 0)</f>
        <v>23.697899999999997</v>
      </c>
      <c r="H179" s="14">
        <f>23.6637 * CHOOSE(CONTROL!$C$15, $E$9, 100%, $G$9) + CHOOSE(CONTROL!$C$38, 0.0342, 0)</f>
        <v>23.697899999999997</v>
      </c>
      <c r="I179" s="14">
        <f>23.6652 * CHOOSE(CONTROL!$C$15, $E$9, 100%, $G$9) + CHOOSE(CONTROL!$C$38, 0.0342, 0)</f>
        <v>23.699399999999997</v>
      </c>
      <c r="J179" s="44">
        <f>145.5132</f>
        <v>145.51320000000001</v>
      </c>
    </row>
    <row r="180" spans="1:10" ht="15" x14ac:dyDescent="0.2">
      <c r="A180" s="13">
        <v>46388</v>
      </c>
      <c r="B180" s="14">
        <f>25.8917 * CHOOSE(CONTROL!$C$15, $E$9, 100%, $G$9) + CHOOSE(CONTROL!$C$38, 0.0251, 0)</f>
        <v>25.916799999999999</v>
      </c>
      <c r="C180" s="14">
        <f>24.422 * CHOOSE(CONTROL!$C$15, $E$9, 100%, $G$9) + CHOOSE(CONTROL!$C$38, 0.0342, 0)</f>
        <v>24.456199999999999</v>
      </c>
      <c r="D180" s="14">
        <f>24.4142 * CHOOSE(CONTROL!$C$15, $E$9, 100%, $G$9) + CHOOSE(CONTROL!$C$38, 0.0342, 0)</f>
        <v>24.448399999999999</v>
      </c>
      <c r="E180" s="46">
        <f>25.7354 * CHOOSE(CONTROL!$C$15, $E$9, 100%, $G$9) + CHOOSE(CONTROL!$C$38, 0.0342, 0)</f>
        <v>25.769599999999997</v>
      </c>
      <c r="F180" s="45">
        <f>25.7354 * CHOOSE(CONTROL!$C$15, $E$9, 100%, $G$9) + CHOOSE(CONTROL!$C$38, 0.0251, 0)</f>
        <v>25.760499999999997</v>
      </c>
      <c r="G180" s="14">
        <f>24.4204 * CHOOSE(CONTROL!$C$15, $E$9, 100%, $G$9) + CHOOSE(CONTROL!$C$38, 0.0342, 0)</f>
        <v>24.454599999999999</v>
      </c>
      <c r="H180" s="14">
        <f>24.4204 * CHOOSE(CONTROL!$C$15, $E$9, 100%, $G$9) + CHOOSE(CONTROL!$C$38, 0.0342, 0)</f>
        <v>24.454599999999999</v>
      </c>
      <c r="I180" s="14">
        <f>24.422 * CHOOSE(CONTROL!$C$15, $E$9, 100%, $G$9) + CHOOSE(CONTROL!$C$38, 0.0342, 0)</f>
        <v>24.456199999999999</v>
      </c>
      <c r="J180" s="44">
        <f>142.3411</f>
        <v>142.34110000000001</v>
      </c>
    </row>
    <row r="181" spans="1:10" ht="15" x14ac:dyDescent="0.2">
      <c r="A181" s="13">
        <v>46419</v>
      </c>
      <c r="B181" s="14">
        <f>26.2602 * CHOOSE(CONTROL!$C$15, $E$9, 100%, $G$9) + CHOOSE(CONTROL!$C$38, 0.0251, 0)</f>
        <v>26.285299999999999</v>
      </c>
      <c r="C181" s="14">
        <f>24.7878 * CHOOSE(CONTROL!$C$15, $E$9, 100%, $G$9) + CHOOSE(CONTROL!$C$38, 0.0342, 0)</f>
        <v>24.821999999999999</v>
      </c>
      <c r="D181" s="14">
        <f>24.78 * CHOOSE(CONTROL!$C$15, $E$9, 100%, $G$9) + CHOOSE(CONTROL!$C$38, 0.0342, 0)</f>
        <v>24.8142</v>
      </c>
      <c r="E181" s="46">
        <f>26.104 * CHOOSE(CONTROL!$C$15, $E$9, 100%, $G$9) + CHOOSE(CONTROL!$C$38, 0.0342, 0)</f>
        <v>26.138199999999998</v>
      </c>
      <c r="F181" s="45">
        <f>26.104 * CHOOSE(CONTROL!$C$15, $E$9, 100%, $G$9) + CHOOSE(CONTROL!$C$38, 0.0251, 0)</f>
        <v>26.129099999999998</v>
      </c>
      <c r="G181" s="14">
        <f>24.7862 * CHOOSE(CONTROL!$C$15, $E$9, 100%, $G$9) + CHOOSE(CONTROL!$C$38, 0.0342, 0)</f>
        <v>24.820399999999999</v>
      </c>
      <c r="H181" s="14">
        <f>24.7862 * CHOOSE(CONTROL!$C$15, $E$9, 100%, $G$9) + CHOOSE(CONTROL!$C$38, 0.0342, 0)</f>
        <v>24.820399999999999</v>
      </c>
      <c r="I181" s="14">
        <f>24.7878 * CHOOSE(CONTROL!$C$15, $E$9, 100%, $G$9) + CHOOSE(CONTROL!$C$38, 0.0342, 0)</f>
        <v>24.821999999999999</v>
      </c>
      <c r="J181" s="44">
        <f>142.2378</f>
        <v>142.23779999999999</v>
      </c>
    </row>
    <row r="182" spans="1:10" ht="15" x14ac:dyDescent="0.2">
      <c r="A182" s="13">
        <v>46447</v>
      </c>
      <c r="B182" s="14">
        <f>25.579 * CHOOSE(CONTROL!$C$15, $E$9, 100%, $G$9) + CHOOSE(CONTROL!$C$38, 0.0251, 0)</f>
        <v>25.604099999999999</v>
      </c>
      <c r="C182" s="14">
        <f>24.1038 * CHOOSE(CONTROL!$C$15, $E$9, 100%, $G$9) + CHOOSE(CONTROL!$C$38, 0.0342, 0)</f>
        <v>24.137999999999998</v>
      </c>
      <c r="D182" s="14">
        <f>24.096 * CHOOSE(CONTROL!$C$15, $E$9, 100%, $G$9) + CHOOSE(CONTROL!$C$38, 0.0342, 0)</f>
        <v>24.130199999999999</v>
      </c>
      <c r="E182" s="46">
        <f>25.4227 * CHOOSE(CONTROL!$C$15, $E$9, 100%, $G$9) + CHOOSE(CONTROL!$C$38, 0.0342, 0)</f>
        <v>25.456899999999997</v>
      </c>
      <c r="F182" s="45">
        <f>25.4227 * CHOOSE(CONTROL!$C$15, $E$9, 100%, $G$9) + CHOOSE(CONTROL!$C$38, 0.0251, 0)</f>
        <v>25.447799999999997</v>
      </c>
      <c r="G182" s="14">
        <f>24.1023 * CHOOSE(CONTROL!$C$15, $E$9, 100%, $G$9) + CHOOSE(CONTROL!$C$38, 0.0342, 0)</f>
        <v>24.136499999999998</v>
      </c>
      <c r="H182" s="14">
        <f>24.1023 * CHOOSE(CONTROL!$C$15, $E$9, 100%, $G$9) + CHOOSE(CONTROL!$C$38, 0.0342, 0)</f>
        <v>24.136499999999998</v>
      </c>
      <c r="I182" s="14">
        <f>24.1038 * CHOOSE(CONTROL!$C$15, $E$9, 100%, $G$9) + CHOOSE(CONTROL!$C$38, 0.0342, 0)</f>
        <v>24.137999999999998</v>
      </c>
      <c r="J182" s="44">
        <f>150.043</f>
        <v>150.04300000000001</v>
      </c>
    </row>
    <row r="183" spans="1:10" ht="15" x14ac:dyDescent="0.2">
      <c r="A183" s="13">
        <v>46478</v>
      </c>
      <c r="B183" s="14">
        <f>24.9176 * CHOOSE(CONTROL!$C$15, $E$9, 100%, $G$9) + CHOOSE(CONTROL!$C$38, 0.0251, 0)</f>
        <v>24.942699999999999</v>
      </c>
      <c r="C183" s="14">
        <f>23.4398 * CHOOSE(CONTROL!$C$15, $E$9, 100%, $G$9) + CHOOSE(CONTROL!$C$38, 0.0342, 0)</f>
        <v>23.474</v>
      </c>
      <c r="D183" s="14">
        <f>23.432 * CHOOSE(CONTROL!$C$15, $E$9, 100%, $G$9) + CHOOSE(CONTROL!$C$38, 0.0342, 0)</f>
        <v>23.466199999999997</v>
      </c>
      <c r="E183" s="46">
        <f>24.7614 * CHOOSE(CONTROL!$C$15, $E$9, 100%, $G$9) + CHOOSE(CONTROL!$C$38, 0.0342, 0)</f>
        <v>24.795599999999997</v>
      </c>
      <c r="F183" s="45">
        <f>24.7614 * CHOOSE(CONTROL!$C$15, $E$9, 100%, $G$9) + CHOOSE(CONTROL!$C$38, 0.0251, 0)</f>
        <v>24.786499999999997</v>
      </c>
      <c r="G183" s="14">
        <f>23.4382 * CHOOSE(CONTROL!$C$15, $E$9, 100%, $G$9) + CHOOSE(CONTROL!$C$38, 0.0342, 0)</f>
        <v>23.472399999999997</v>
      </c>
      <c r="H183" s="14">
        <f>23.4382 * CHOOSE(CONTROL!$C$15, $E$9, 100%, $G$9) + CHOOSE(CONTROL!$C$38, 0.0342, 0)</f>
        <v>23.472399999999997</v>
      </c>
      <c r="I183" s="14">
        <f>23.4398 * CHOOSE(CONTROL!$C$15, $E$9, 100%, $G$9) + CHOOSE(CONTROL!$C$38, 0.0342, 0)</f>
        <v>23.474</v>
      </c>
      <c r="J183" s="44">
        <f>160.1136</f>
        <v>160.11359999999999</v>
      </c>
    </row>
    <row r="184" spans="1:10" ht="15" x14ac:dyDescent="0.2">
      <c r="A184" s="13">
        <v>46508</v>
      </c>
      <c r="B184" s="14">
        <f>24.2233 * CHOOSE(CONTROL!$C$15, $E$9, 100%, $G$9) + CHOOSE(CONTROL!$C$38, 0.0264, 0)</f>
        <v>24.249699999999997</v>
      </c>
      <c r="C184" s="14">
        <f>22.7427 * CHOOSE(CONTROL!$C$15, $E$9, 100%, $G$9) + CHOOSE(CONTROL!$C$38, 0.0354, 0)</f>
        <v>22.778099999999998</v>
      </c>
      <c r="D184" s="14">
        <f>22.7349 * CHOOSE(CONTROL!$C$15, $E$9, 100%, $G$9) + CHOOSE(CONTROL!$C$38, 0.0354, 0)</f>
        <v>22.770299999999999</v>
      </c>
      <c r="E184" s="46">
        <f>24.067 * CHOOSE(CONTROL!$C$15, $E$9, 100%, $G$9) + CHOOSE(CONTROL!$C$38, 0.0354, 0)</f>
        <v>24.102399999999999</v>
      </c>
      <c r="F184" s="45">
        <f>24.067 * CHOOSE(CONTROL!$C$15, $E$9, 100%, $G$9) + CHOOSE(CONTROL!$C$38, 0.0264, 0)</f>
        <v>24.093399999999999</v>
      </c>
      <c r="G184" s="14">
        <f>22.7411 * CHOOSE(CONTROL!$C$15, $E$9, 100%, $G$9) + CHOOSE(CONTROL!$C$38, 0.0354, 0)</f>
        <v>22.776499999999999</v>
      </c>
      <c r="H184" s="14">
        <f>22.7411 * CHOOSE(CONTROL!$C$15, $E$9, 100%, $G$9) + CHOOSE(CONTROL!$C$38, 0.0354, 0)</f>
        <v>22.776499999999999</v>
      </c>
      <c r="I184" s="14">
        <f>22.7427 * CHOOSE(CONTROL!$C$15, $E$9, 100%, $G$9) + CHOOSE(CONTROL!$C$38, 0.0354, 0)</f>
        <v>22.778099999999998</v>
      </c>
      <c r="J184" s="44">
        <f>165.8276</f>
        <v>165.82759999999999</v>
      </c>
    </row>
    <row r="185" spans="1:10" ht="15" x14ac:dyDescent="0.2">
      <c r="A185" s="13">
        <v>46539</v>
      </c>
      <c r="B185" s="14">
        <f>23.7489 * CHOOSE(CONTROL!$C$15, $E$9, 100%, $G$9) + CHOOSE(CONTROL!$C$38, 0.0264, 0)</f>
        <v>23.775299999999998</v>
      </c>
      <c r="C185" s="14">
        <f>22.2656 * CHOOSE(CONTROL!$C$15, $E$9, 100%, $G$9) + CHOOSE(CONTROL!$C$38, 0.0354, 0)</f>
        <v>22.300999999999998</v>
      </c>
      <c r="D185" s="14">
        <f>22.2578 * CHOOSE(CONTROL!$C$15, $E$9, 100%, $G$9) + CHOOSE(CONTROL!$C$38, 0.0354, 0)</f>
        <v>22.293199999999999</v>
      </c>
      <c r="E185" s="46">
        <f>23.5927 * CHOOSE(CONTROL!$C$15, $E$9, 100%, $G$9) + CHOOSE(CONTROL!$C$38, 0.0354, 0)</f>
        <v>23.6281</v>
      </c>
      <c r="F185" s="45">
        <f>23.5927 * CHOOSE(CONTROL!$C$15, $E$9, 100%, $G$9) + CHOOSE(CONTROL!$C$38, 0.0264, 0)</f>
        <v>23.6191</v>
      </c>
      <c r="G185" s="14">
        <f>22.2641 * CHOOSE(CONTROL!$C$15, $E$9, 100%, $G$9) + CHOOSE(CONTROL!$C$38, 0.0354, 0)</f>
        <v>22.299499999999998</v>
      </c>
      <c r="H185" s="14">
        <f>22.2641 * CHOOSE(CONTROL!$C$15, $E$9, 100%, $G$9) + CHOOSE(CONTROL!$C$38, 0.0354, 0)</f>
        <v>22.299499999999998</v>
      </c>
      <c r="I185" s="14">
        <f>22.2656 * CHOOSE(CONTROL!$C$15, $E$9, 100%, $G$9) + CHOOSE(CONTROL!$C$38, 0.0354, 0)</f>
        <v>22.300999999999998</v>
      </c>
      <c r="J185" s="44">
        <f>168.5635</f>
        <v>168.5635</v>
      </c>
    </row>
    <row r="186" spans="1:10" ht="15" x14ac:dyDescent="0.2">
      <c r="A186" s="13">
        <v>46569</v>
      </c>
      <c r="B186" s="14">
        <f>23.4975 * CHOOSE(CONTROL!$C$15, $E$9, 100%, $G$9) + CHOOSE(CONTROL!$C$38, 0.0264, 0)</f>
        <v>23.523899999999998</v>
      </c>
      <c r="C186" s="14">
        <f>22.0115 * CHOOSE(CONTROL!$C$15, $E$9, 100%, $G$9) + CHOOSE(CONTROL!$C$38, 0.0354, 0)</f>
        <v>22.046900000000001</v>
      </c>
      <c r="D186" s="14">
        <f>22.0037 * CHOOSE(CONTROL!$C$15, $E$9, 100%, $G$9) + CHOOSE(CONTROL!$C$38, 0.0354, 0)</f>
        <v>22.039099999999998</v>
      </c>
      <c r="E186" s="46">
        <f>23.3413 * CHOOSE(CONTROL!$C$15, $E$9, 100%, $G$9) + CHOOSE(CONTROL!$C$38, 0.0354, 0)</f>
        <v>23.3767</v>
      </c>
      <c r="F186" s="45">
        <f>23.3413 * CHOOSE(CONTROL!$C$15, $E$9, 100%, $G$9) + CHOOSE(CONTROL!$C$38, 0.0264, 0)</f>
        <v>23.367699999999999</v>
      </c>
      <c r="G186" s="14">
        <f>22.0099 * CHOOSE(CONTROL!$C$15, $E$9, 100%, $G$9) + CHOOSE(CONTROL!$C$38, 0.0354, 0)</f>
        <v>22.045299999999997</v>
      </c>
      <c r="H186" s="14">
        <f>22.0099 * CHOOSE(CONTROL!$C$15, $E$9, 100%, $G$9) + CHOOSE(CONTROL!$C$38, 0.0354, 0)</f>
        <v>22.045299999999997</v>
      </c>
      <c r="I186" s="14">
        <f>22.0115 * CHOOSE(CONTROL!$C$15, $E$9, 100%, $G$9) + CHOOSE(CONTROL!$C$38, 0.0354, 0)</f>
        <v>22.046900000000001</v>
      </c>
      <c r="J186" s="44">
        <f>168.1208</f>
        <v>168.1208</v>
      </c>
    </row>
    <row r="187" spans="1:10" ht="15" x14ac:dyDescent="0.2">
      <c r="A187" s="13">
        <v>46600</v>
      </c>
      <c r="B187" s="14">
        <f>23.6926 * CHOOSE(CONTROL!$C$15, $E$9, 100%, $G$9) + CHOOSE(CONTROL!$C$38, 0.0264, 0)</f>
        <v>23.718999999999998</v>
      </c>
      <c r="C187" s="14">
        <f>22.2038 * CHOOSE(CONTROL!$C$15, $E$9, 100%, $G$9) + CHOOSE(CONTROL!$C$38, 0.0354, 0)</f>
        <v>22.2392</v>
      </c>
      <c r="D187" s="14">
        <f>22.196 * CHOOSE(CONTROL!$C$15, $E$9, 100%, $G$9) + CHOOSE(CONTROL!$C$38, 0.0354, 0)</f>
        <v>22.231400000000001</v>
      </c>
      <c r="E187" s="46">
        <f>23.5363 * CHOOSE(CONTROL!$C$15, $E$9, 100%, $G$9) + CHOOSE(CONTROL!$C$38, 0.0354, 0)</f>
        <v>23.5717</v>
      </c>
      <c r="F187" s="45">
        <f>23.5363 * CHOOSE(CONTROL!$C$15, $E$9, 100%, $G$9) + CHOOSE(CONTROL!$C$38, 0.0264, 0)</f>
        <v>23.5627</v>
      </c>
      <c r="G187" s="14">
        <f>22.2022 * CHOOSE(CONTROL!$C$15, $E$9, 100%, $G$9) + CHOOSE(CONTROL!$C$38, 0.0354, 0)</f>
        <v>22.2376</v>
      </c>
      <c r="H187" s="14">
        <f>22.2022 * CHOOSE(CONTROL!$C$15, $E$9, 100%, $G$9) + CHOOSE(CONTROL!$C$38, 0.0354, 0)</f>
        <v>22.2376</v>
      </c>
      <c r="I187" s="14">
        <f>22.2038 * CHOOSE(CONTROL!$C$15, $E$9, 100%, $G$9) + CHOOSE(CONTROL!$C$38, 0.0354, 0)</f>
        <v>22.2392</v>
      </c>
      <c r="J187" s="44">
        <f>164.5452</f>
        <v>164.54519999999999</v>
      </c>
    </row>
    <row r="188" spans="1:10" ht="15" x14ac:dyDescent="0.2">
      <c r="A188" s="13">
        <v>46631</v>
      </c>
      <c r="B188" s="14">
        <f>24.1426 * CHOOSE(CONTROL!$C$15, $E$9, 100%, $G$9) + CHOOSE(CONTROL!$C$38, 0.0264, 0)</f>
        <v>24.169</v>
      </c>
      <c r="C188" s="14">
        <f>22.6511 * CHOOSE(CONTROL!$C$15, $E$9, 100%, $G$9) + CHOOSE(CONTROL!$C$38, 0.0354, 0)</f>
        <v>22.686499999999999</v>
      </c>
      <c r="D188" s="14">
        <f>22.6433 * CHOOSE(CONTROL!$C$15, $E$9, 100%, $G$9) + CHOOSE(CONTROL!$C$38, 0.0354, 0)</f>
        <v>22.678699999999999</v>
      </c>
      <c r="E188" s="46">
        <f>23.9864 * CHOOSE(CONTROL!$C$15, $E$9, 100%, $G$9) + CHOOSE(CONTROL!$C$38, 0.0354, 0)</f>
        <v>24.021799999999999</v>
      </c>
      <c r="F188" s="45">
        <f>23.9864 * CHOOSE(CONTROL!$C$15, $E$9, 100%, $G$9) + CHOOSE(CONTROL!$C$38, 0.0264, 0)</f>
        <v>24.012799999999999</v>
      </c>
      <c r="G188" s="14">
        <f>22.6495 * CHOOSE(CONTROL!$C$15, $E$9, 100%, $G$9) + CHOOSE(CONTROL!$C$38, 0.0354, 0)</f>
        <v>22.684899999999999</v>
      </c>
      <c r="H188" s="14">
        <f>22.6495 * CHOOSE(CONTROL!$C$15, $E$9, 100%, $G$9) + CHOOSE(CONTROL!$C$38, 0.0354, 0)</f>
        <v>22.684899999999999</v>
      </c>
      <c r="I188" s="14">
        <f>22.6511 * CHOOSE(CONTROL!$C$15, $E$9, 100%, $G$9) + CHOOSE(CONTROL!$C$38, 0.0354, 0)</f>
        <v>22.686499999999999</v>
      </c>
      <c r="J188" s="44">
        <f>159.4037</f>
        <v>159.40369999999999</v>
      </c>
    </row>
    <row r="189" spans="1:10" ht="15" x14ac:dyDescent="0.2">
      <c r="A189" s="13">
        <v>46661</v>
      </c>
      <c r="B189" s="14">
        <f>24.5289 * CHOOSE(CONTROL!$C$15, $E$9, 100%, $G$9) + CHOOSE(CONTROL!$C$38, 0.0251, 0)</f>
        <v>24.553999999999998</v>
      </c>
      <c r="C189" s="14">
        <f>23.0346 * CHOOSE(CONTROL!$C$15, $E$9, 100%, $G$9) + CHOOSE(CONTROL!$C$38, 0.0342, 0)</f>
        <v>23.0688</v>
      </c>
      <c r="D189" s="14">
        <f>23.0268 * CHOOSE(CONTROL!$C$15, $E$9, 100%, $G$9) + CHOOSE(CONTROL!$C$38, 0.0342, 0)</f>
        <v>23.061</v>
      </c>
      <c r="E189" s="46">
        <f>24.3727 * CHOOSE(CONTROL!$C$15, $E$9, 100%, $G$9) + CHOOSE(CONTROL!$C$38, 0.0342, 0)</f>
        <v>24.406899999999997</v>
      </c>
      <c r="F189" s="45">
        <f>24.3727 * CHOOSE(CONTROL!$C$15, $E$9, 100%, $G$9) + CHOOSE(CONTROL!$C$38, 0.0251, 0)</f>
        <v>24.397799999999997</v>
      </c>
      <c r="G189" s="14">
        <f>23.0331 * CHOOSE(CONTROL!$C$15, $E$9, 100%, $G$9) + CHOOSE(CONTROL!$C$38, 0.0342, 0)</f>
        <v>23.067299999999999</v>
      </c>
      <c r="H189" s="14">
        <f>23.0331 * CHOOSE(CONTROL!$C$15, $E$9, 100%, $G$9) + CHOOSE(CONTROL!$C$38, 0.0342, 0)</f>
        <v>23.067299999999999</v>
      </c>
      <c r="I189" s="14">
        <f>23.0346 * CHOOSE(CONTROL!$C$15, $E$9, 100%, $G$9) + CHOOSE(CONTROL!$C$38, 0.0342, 0)</f>
        <v>23.0688</v>
      </c>
      <c r="J189" s="44">
        <f>154.2083</f>
        <v>154.20830000000001</v>
      </c>
    </row>
    <row r="190" spans="1:10" ht="15" x14ac:dyDescent="0.2">
      <c r="A190" s="13">
        <v>46692</v>
      </c>
      <c r="B190" s="14">
        <f>24.8606 * CHOOSE(CONTROL!$C$15, $E$9, 100%, $G$9) + CHOOSE(CONTROL!$C$38, 0.0251, 0)</f>
        <v>24.8857</v>
      </c>
      <c r="C190" s="14">
        <f>23.3636 * CHOOSE(CONTROL!$C$15, $E$9, 100%, $G$9) + CHOOSE(CONTROL!$C$38, 0.0342, 0)</f>
        <v>23.3978</v>
      </c>
      <c r="D190" s="14">
        <f>23.3558 * CHOOSE(CONTROL!$C$15, $E$9, 100%, $G$9) + CHOOSE(CONTROL!$C$38, 0.0342, 0)</f>
        <v>23.389999999999997</v>
      </c>
      <c r="E190" s="46">
        <f>24.7044 * CHOOSE(CONTROL!$C$15, $E$9, 100%, $G$9) + CHOOSE(CONTROL!$C$38, 0.0342, 0)</f>
        <v>24.738599999999998</v>
      </c>
      <c r="F190" s="45">
        <f>24.7044 * CHOOSE(CONTROL!$C$15, $E$9, 100%, $G$9) + CHOOSE(CONTROL!$C$38, 0.0251, 0)</f>
        <v>24.729499999999998</v>
      </c>
      <c r="G190" s="14">
        <f>23.362 * CHOOSE(CONTROL!$C$15, $E$9, 100%, $G$9) + CHOOSE(CONTROL!$C$38, 0.0342, 0)</f>
        <v>23.396199999999997</v>
      </c>
      <c r="H190" s="14">
        <f>23.362 * CHOOSE(CONTROL!$C$15, $E$9, 100%, $G$9) + CHOOSE(CONTROL!$C$38, 0.0342, 0)</f>
        <v>23.396199999999997</v>
      </c>
      <c r="I190" s="14">
        <f>23.3636 * CHOOSE(CONTROL!$C$15, $E$9, 100%, $G$9) + CHOOSE(CONTROL!$C$38, 0.0342, 0)</f>
        <v>23.3978</v>
      </c>
      <c r="J190" s="44">
        <f>153.4249</f>
        <v>153.42490000000001</v>
      </c>
    </row>
    <row r="191" spans="1:10" ht="15" x14ac:dyDescent="0.2">
      <c r="A191" s="13">
        <v>46722</v>
      </c>
      <c r="B191" s="14">
        <f>25.7828 * CHOOSE(CONTROL!$C$15, $E$9, 100%, $G$9) + CHOOSE(CONTROL!$C$38, 0.0251, 0)</f>
        <v>25.8079</v>
      </c>
      <c r="C191" s="14">
        <f>24.283 * CHOOSE(CONTROL!$C$15, $E$9, 100%, $G$9) + CHOOSE(CONTROL!$C$38, 0.0342, 0)</f>
        <v>24.3172</v>
      </c>
      <c r="D191" s="14">
        <f>24.2752 * CHOOSE(CONTROL!$C$15, $E$9, 100%, $G$9) + CHOOSE(CONTROL!$C$38, 0.0342, 0)</f>
        <v>24.3094</v>
      </c>
      <c r="E191" s="46">
        <f>25.6265 * CHOOSE(CONTROL!$C$15, $E$9, 100%, $G$9) + CHOOSE(CONTROL!$C$38, 0.0342, 0)</f>
        <v>25.660699999999999</v>
      </c>
      <c r="F191" s="45">
        <f>25.6265 * CHOOSE(CONTROL!$C$15, $E$9, 100%, $G$9) + CHOOSE(CONTROL!$C$38, 0.0251, 0)</f>
        <v>25.651599999999998</v>
      </c>
      <c r="G191" s="14">
        <f>24.2814 * CHOOSE(CONTROL!$C$15, $E$9, 100%, $G$9) + CHOOSE(CONTROL!$C$38, 0.0342, 0)</f>
        <v>24.3156</v>
      </c>
      <c r="H191" s="14">
        <f>24.2814 * CHOOSE(CONTROL!$C$15, $E$9, 100%, $G$9) + CHOOSE(CONTROL!$C$38, 0.0342, 0)</f>
        <v>24.3156</v>
      </c>
      <c r="I191" s="14">
        <f>24.283 * CHOOSE(CONTROL!$C$15, $E$9, 100%, $G$9) + CHOOSE(CONTROL!$C$38, 0.0342, 0)</f>
        <v>24.3172</v>
      </c>
      <c r="J191" s="44">
        <f>149.1787</f>
        <v>149.17869999999999</v>
      </c>
    </row>
    <row r="192" spans="1:10" ht="15" x14ac:dyDescent="0.2">
      <c r="A192" s="13">
        <v>46753</v>
      </c>
      <c r="B192" s="14">
        <f>26.4692 * CHOOSE(CONTROL!$C$15, $E$9, 100%, $G$9) + CHOOSE(CONTROL!$C$38, 0.0251, 0)</f>
        <v>26.494299999999999</v>
      </c>
      <c r="C192" s="14">
        <f>24.993 * CHOOSE(CONTROL!$C$15, $E$9, 100%, $G$9) + CHOOSE(CONTROL!$C$38, 0.0342, 0)</f>
        <v>25.027199999999997</v>
      </c>
      <c r="D192" s="14">
        <f>24.9852 * CHOOSE(CONTROL!$C$15, $E$9, 100%, $G$9) + CHOOSE(CONTROL!$C$38, 0.0342, 0)</f>
        <v>25.019399999999997</v>
      </c>
      <c r="E192" s="46">
        <f>26.3129 * CHOOSE(CONTROL!$C$15, $E$9, 100%, $G$9) + CHOOSE(CONTROL!$C$38, 0.0342, 0)</f>
        <v>26.347099999999998</v>
      </c>
      <c r="F192" s="45">
        <f>26.3129 * CHOOSE(CONTROL!$C$15, $E$9, 100%, $G$9) + CHOOSE(CONTROL!$C$38, 0.0251, 0)</f>
        <v>26.337999999999997</v>
      </c>
      <c r="G192" s="14">
        <f>24.9914 * CHOOSE(CONTROL!$C$15, $E$9, 100%, $G$9) + CHOOSE(CONTROL!$C$38, 0.0342, 0)</f>
        <v>25.025599999999997</v>
      </c>
      <c r="H192" s="14">
        <f>24.9914 * CHOOSE(CONTROL!$C$15, $E$9, 100%, $G$9) + CHOOSE(CONTROL!$C$38, 0.0342, 0)</f>
        <v>25.025599999999997</v>
      </c>
      <c r="I192" s="14">
        <f>24.993 * CHOOSE(CONTROL!$C$15, $E$9, 100%, $G$9) + CHOOSE(CONTROL!$C$38, 0.0342, 0)</f>
        <v>25.027199999999997</v>
      </c>
      <c r="J192" s="44">
        <f>145.9265</f>
        <v>145.9265</v>
      </c>
    </row>
    <row r="193" spans="1:10" ht="15" x14ac:dyDescent="0.2">
      <c r="A193" s="13">
        <v>46784</v>
      </c>
      <c r="B193" s="14">
        <f>26.8468 * CHOOSE(CONTROL!$C$15, $E$9, 100%, $G$9) + CHOOSE(CONTROL!$C$38, 0.0251, 0)</f>
        <v>26.8719</v>
      </c>
      <c r="C193" s="14">
        <f>25.3679 * CHOOSE(CONTROL!$C$15, $E$9, 100%, $G$9) + CHOOSE(CONTROL!$C$38, 0.0342, 0)</f>
        <v>25.402099999999997</v>
      </c>
      <c r="D193" s="14">
        <f>25.3601 * CHOOSE(CONTROL!$C$15, $E$9, 100%, $G$9) + CHOOSE(CONTROL!$C$38, 0.0342, 0)</f>
        <v>25.394299999999998</v>
      </c>
      <c r="E193" s="46">
        <f>26.6905 * CHOOSE(CONTROL!$C$15, $E$9, 100%, $G$9) + CHOOSE(CONTROL!$C$38, 0.0342, 0)</f>
        <v>26.724699999999999</v>
      </c>
      <c r="F193" s="45">
        <f>26.6905 * CHOOSE(CONTROL!$C$15, $E$9, 100%, $G$9) + CHOOSE(CONTROL!$C$38, 0.0251, 0)</f>
        <v>26.715599999999998</v>
      </c>
      <c r="G193" s="14">
        <f>25.3663 * CHOOSE(CONTROL!$C$15, $E$9, 100%, $G$9) + CHOOSE(CONTROL!$C$38, 0.0342, 0)</f>
        <v>25.400499999999997</v>
      </c>
      <c r="H193" s="14">
        <f>25.3663 * CHOOSE(CONTROL!$C$15, $E$9, 100%, $G$9) + CHOOSE(CONTROL!$C$38, 0.0342, 0)</f>
        <v>25.400499999999997</v>
      </c>
      <c r="I193" s="14">
        <f>25.3679 * CHOOSE(CONTROL!$C$15, $E$9, 100%, $G$9) + CHOOSE(CONTROL!$C$38, 0.0342, 0)</f>
        <v>25.402099999999997</v>
      </c>
      <c r="J193" s="44">
        <f>145.8207</f>
        <v>145.82069999999999</v>
      </c>
    </row>
    <row r="194" spans="1:10" ht="15" x14ac:dyDescent="0.2">
      <c r="A194" s="13">
        <v>46813</v>
      </c>
      <c r="B194" s="14">
        <f>26.1484 * CHOOSE(CONTROL!$C$15, $E$9, 100%, $G$9) + CHOOSE(CONTROL!$C$38, 0.0251, 0)</f>
        <v>26.173499999999997</v>
      </c>
      <c r="C194" s="14">
        <f>24.6668 * CHOOSE(CONTROL!$C$15, $E$9, 100%, $G$9) + CHOOSE(CONTROL!$C$38, 0.0342, 0)</f>
        <v>24.700999999999997</v>
      </c>
      <c r="D194" s="14">
        <f>24.659 * CHOOSE(CONTROL!$C$15, $E$9, 100%, $G$9) + CHOOSE(CONTROL!$C$38, 0.0342, 0)</f>
        <v>24.693199999999997</v>
      </c>
      <c r="E194" s="46">
        <f>25.9922 * CHOOSE(CONTROL!$C$15, $E$9, 100%, $G$9) + CHOOSE(CONTROL!$C$38, 0.0342, 0)</f>
        <v>26.026399999999999</v>
      </c>
      <c r="F194" s="45">
        <f>25.9922 * CHOOSE(CONTROL!$C$15, $E$9, 100%, $G$9) + CHOOSE(CONTROL!$C$38, 0.0251, 0)</f>
        <v>26.017299999999999</v>
      </c>
      <c r="G194" s="14">
        <f>24.6652 * CHOOSE(CONTROL!$C$15, $E$9, 100%, $G$9) + CHOOSE(CONTROL!$C$38, 0.0342, 0)</f>
        <v>24.699399999999997</v>
      </c>
      <c r="H194" s="14">
        <f>24.6652 * CHOOSE(CONTROL!$C$15, $E$9, 100%, $G$9) + CHOOSE(CONTROL!$C$38, 0.0342, 0)</f>
        <v>24.699399999999997</v>
      </c>
      <c r="I194" s="14">
        <f>24.6668 * CHOOSE(CONTROL!$C$15, $E$9, 100%, $G$9) + CHOOSE(CONTROL!$C$38, 0.0342, 0)</f>
        <v>24.700999999999997</v>
      </c>
      <c r="J194" s="44">
        <f>153.8224</f>
        <v>153.82239999999999</v>
      </c>
    </row>
    <row r="195" spans="1:10" ht="15" x14ac:dyDescent="0.2">
      <c r="A195" s="13">
        <v>46844</v>
      </c>
      <c r="B195" s="14">
        <f>25.4704 * CHOOSE(CONTROL!$C$15, $E$9, 100%, $G$9) + CHOOSE(CONTROL!$C$38, 0.0251, 0)</f>
        <v>25.4955</v>
      </c>
      <c r="C195" s="14">
        <f>23.9861 * CHOOSE(CONTROL!$C$15, $E$9, 100%, $G$9) + CHOOSE(CONTROL!$C$38, 0.0342, 0)</f>
        <v>24.020299999999999</v>
      </c>
      <c r="D195" s="14">
        <f>23.9783 * CHOOSE(CONTROL!$C$15, $E$9, 100%, $G$9) + CHOOSE(CONTROL!$C$38, 0.0342, 0)</f>
        <v>24.012499999999999</v>
      </c>
      <c r="E195" s="46">
        <f>25.3142 * CHOOSE(CONTROL!$C$15, $E$9, 100%, $G$9) + CHOOSE(CONTROL!$C$38, 0.0342, 0)</f>
        <v>25.348399999999998</v>
      </c>
      <c r="F195" s="45">
        <f>25.3142 * CHOOSE(CONTROL!$C$15, $E$9, 100%, $G$9) + CHOOSE(CONTROL!$C$38, 0.0251, 0)</f>
        <v>25.339299999999998</v>
      </c>
      <c r="G195" s="14">
        <f>23.9845 * CHOOSE(CONTROL!$C$15, $E$9, 100%, $G$9) + CHOOSE(CONTROL!$C$38, 0.0342, 0)</f>
        <v>24.018699999999999</v>
      </c>
      <c r="H195" s="14">
        <f>23.9845 * CHOOSE(CONTROL!$C$15, $E$9, 100%, $G$9) + CHOOSE(CONTROL!$C$38, 0.0342, 0)</f>
        <v>24.018699999999999</v>
      </c>
      <c r="I195" s="14">
        <f>23.9861 * CHOOSE(CONTROL!$C$15, $E$9, 100%, $G$9) + CHOOSE(CONTROL!$C$38, 0.0342, 0)</f>
        <v>24.020299999999999</v>
      </c>
      <c r="J195" s="44">
        <f>164.1468</f>
        <v>164.14680000000001</v>
      </c>
    </row>
    <row r="196" spans="1:10" ht="15" x14ac:dyDescent="0.2">
      <c r="A196" s="13">
        <v>46874</v>
      </c>
      <c r="B196" s="14">
        <f>24.7586 * CHOOSE(CONTROL!$C$15, $E$9, 100%, $G$9) + CHOOSE(CONTROL!$C$38, 0.0264, 0)</f>
        <v>24.785</v>
      </c>
      <c r="C196" s="14">
        <f>23.2715 * CHOOSE(CONTROL!$C$15, $E$9, 100%, $G$9) + CHOOSE(CONTROL!$C$38, 0.0354, 0)</f>
        <v>23.306899999999999</v>
      </c>
      <c r="D196" s="14">
        <f>23.2637 * CHOOSE(CONTROL!$C$15, $E$9, 100%, $G$9) + CHOOSE(CONTROL!$C$38, 0.0354, 0)</f>
        <v>23.299099999999999</v>
      </c>
      <c r="E196" s="46">
        <f>24.6023 * CHOOSE(CONTROL!$C$15, $E$9, 100%, $G$9) + CHOOSE(CONTROL!$C$38, 0.0354, 0)</f>
        <v>24.637699999999999</v>
      </c>
      <c r="F196" s="45">
        <f>24.6023 * CHOOSE(CONTROL!$C$15, $E$9, 100%, $G$9) + CHOOSE(CONTROL!$C$38, 0.0264, 0)</f>
        <v>24.628699999999998</v>
      </c>
      <c r="G196" s="14">
        <f>23.27 * CHOOSE(CONTROL!$C$15, $E$9, 100%, $G$9) + CHOOSE(CONTROL!$C$38, 0.0354, 0)</f>
        <v>23.305399999999999</v>
      </c>
      <c r="H196" s="14">
        <f>23.27 * CHOOSE(CONTROL!$C$15, $E$9, 100%, $G$9) + CHOOSE(CONTROL!$C$38, 0.0354, 0)</f>
        <v>23.305399999999999</v>
      </c>
      <c r="I196" s="14">
        <f>23.2715 * CHOOSE(CONTROL!$C$15, $E$9, 100%, $G$9) + CHOOSE(CONTROL!$C$38, 0.0354, 0)</f>
        <v>23.306899999999999</v>
      </c>
      <c r="J196" s="44">
        <f>170.0047</f>
        <v>170.00470000000001</v>
      </c>
    </row>
    <row r="197" spans="1:10" ht="15" x14ac:dyDescent="0.2">
      <c r="A197" s="13">
        <v>46905</v>
      </c>
      <c r="B197" s="14">
        <f>24.2723 * CHOOSE(CONTROL!$C$15, $E$9, 100%, $G$9) + CHOOSE(CONTROL!$C$38, 0.0264, 0)</f>
        <v>24.2987</v>
      </c>
      <c r="C197" s="14">
        <f>22.7825 * CHOOSE(CONTROL!$C$15, $E$9, 100%, $G$9) + CHOOSE(CONTROL!$C$38, 0.0354, 0)</f>
        <v>22.817899999999998</v>
      </c>
      <c r="D197" s="14">
        <f>22.7747 * CHOOSE(CONTROL!$C$15, $E$9, 100%, $G$9) + CHOOSE(CONTROL!$C$38, 0.0354, 0)</f>
        <v>22.810099999999998</v>
      </c>
      <c r="E197" s="46">
        <f>24.116 * CHOOSE(CONTROL!$C$15, $E$9, 100%, $G$9) + CHOOSE(CONTROL!$C$38, 0.0354, 0)</f>
        <v>24.151399999999999</v>
      </c>
      <c r="F197" s="45">
        <f>24.116 * CHOOSE(CONTROL!$C$15, $E$9, 100%, $G$9) + CHOOSE(CONTROL!$C$38, 0.0264, 0)</f>
        <v>24.142399999999999</v>
      </c>
      <c r="G197" s="14">
        <f>22.7809 * CHOOSE(CONTROL!$C$15, $E$9, 100%, $G$9) + CHOOSE(CONTROL!$C$38, 0.0354, 0)</f>
        <v>22.816299999999998</v>
      </c>
      <c r="H197" s="14">
        <f>22.7809 * CHOOSE(CONTROL!$C$15, $E$9, 100%, $G$9) + CHOOSE(CONTROL!$C$38, 0.0354, 0)</f>
        <v>22.816299999999998</v>
      </c>
      <c r="I197" s="14">
        <f>22.7825 * CHOOSE(CONTROL!$C$15, $E$9, 100%, $G$9) + CHOOSE(CONTROL!$C$38, 0.0354, 0)</f>
        <v>22.817899999999998</v>
      </c>
      <c r="J197" s="44">
        <f>172.8095</f>
        <v>172.80950000000001</v>
      </c>
    </row>
    <row r="198" spans="1:10" ht="15" x14ac:dyDescent="0.2">
      <c r="A198" s="13">
        <v>46935</v>
      </c>
      <c r="B198" s="14">
        <f>24.0145 * CHOOSE(CONTROL!$C$15, $E$9, 100%, $G$9) + CHOOSE(CONTROL!$C$38, 0.0264, 0)</f>
        <v>24.040900000000001</v>
      </c>
      <c r="C198" s="14">
        <f>22.5219 * CHOOSE(CONTROL!$C$15, $E$9, 100%, $G$9) + CHOOSE(CONTROL!$C$38, 0.0354, 0)</f>
        <v>22.557299999999998</v>
      </c>
      <c r="D198" s="14">
        <f>22.5141 * CHOOSE(CONTROL!$C$15, $E$9, 100%, $G$9) + CHOOSE(CONTROL!$C$38, 0.0354, 0)</f>
        <v>22.549499999999998</v>
      </c>
      <c r="E198" s="46">
        <f>23.8582 * CHOOSE(CONTROL!$C$15, $E$9, 100%, $G$9) + CHOOSE(CONTROL!$C$38, 0.0354, 0)</f>
        <v>23.893599999999999</v>
      </c>
      <c r="F198" s="45">
        <f>23.8582 * CHOOSE(CONTROL!$C$15, $E$9, 100%, $G$9) + CHOOSE(CONTROL!$C$38, 0.0264, 0)</f>
        <v>23.884599999999999</v>
      </c>
      <c r="G198" s="14">
        <f>22.5203 * CHOOSE(CONTROL!$C$15, $E$9, 100%, $G$9) + CHOOSE(CONTROL!$C$38, 0.0354, 0)</f>
        <v>22.555699999999998</v>
      </c>
      <c r="H198" s="14">
        <f>22.5203 * CHOOSE(CONTROL!$C$15, $E$9, 100%, $G$9) + CHOOSE(CONTROL!$C$38, 0.0354, 0)</f>
        <v>22.555699999999998</v>
      </c>
      <c r="I198" s="14">
        <f>22.5219 * CHOOSE(CONTROL!$C$15, $E$9, 100%, $G$9) + CHOOSE(CONTROL!$C$38, 0.0354, 0)</f>
        <v>22.557299999999998</v>
      </c>
      <c r="J198" s="44">
        <f>172.3556</f>
        <v>172.35560000000001</v>
      </c>
    </row>
    <row r="199" spans="1:10" ht="15" x14ac:dyDescent="0.2">
      <c r="A199" s="13">
        <v>46966</v>
      </c>
      <c r="B199" s="14">
        <f>24.2143 * CHOOSE(CONTROL!$C$15, $E$9, 100%, $G$9) + CHOOSE(CONTROL!$C$38, 0.0264, 0)</f>
        <v>24.2407</v>
      </c>
      <c r="C199" s="14">
        <f>22.7189 * CHOOSE(CONTROL!$C$15, $E$9, 100%, $G$9) + CHOOSE(CONTROL!$C$38, 0.0354, 0)</f>
        <v>22.754300000000001</v>
      </c>
      <c r="D199" s="14">
        <f>22.7111 * CHOOSE(CONTROL!$C$15, $E$9, 100%, $G$9) + CHOOSE(CONTROL!$C$38, 0.0354, 0)</f>
        <v>22.746499999999997</v>
      </c>
      <c r="E199" s="46">
        <f>24.058 * CHOOSE(CONTROL!$C$15, $E$9, 100%, $G$9) + CHOOSE(CONTROL!$C$38, 0.0354, 0)</f>
        <v>24.093399999999999</v>
      </c>
      <c r="F199" s="45">
        <f>24.058 * CHOOSE(CONTROL!$C$15, $E$9, 100%, $G$9) + CHOOSE(CONTROL!$C$38, 0.0264, 0)</f>
        <v>24.084399999999999</v>
      </c>
      <c r="G199" s="14">
        <f>22.7174 * CHOOSE(CONTROL!$C$15, $E$9, 100%, $G$9) + CHOOSE(CONTROL!$C$38, 0.0354, 0)</f>
        <v>22.752800000000001</v>
      </c>
      <c r="H199" s="14">
        <f>22.7174 * CHOOSE(CONTROL!$C$15, $E$9, 100%, $G$9) + CHOOSE(CONTROL!$C$38, 0.0354, 0)</f>
        <v>22.752800000000001</v>
      </c>
      <c r="I199" s="14">
        <f>22.7189 * CHOOSE(CONTROL!$C$15, $E$9, 100%, $G$9) + CHOOSE(CONTROL!$C$38, 0.0354, 0)</f>
        <v>22.754300000000001</v>
      </c>
      <c r="J199" s="44">
        <f>168.69</f>
        <v>168.69</v>
      </c>
    </row>
    <row r="200" spans="1:10" ht="15" x14ac:dyDescent="0.2">
      <c r="A200" s="13">
        <v>46997</v>
      </c>
      <c r="B200" s="14">
        <f>24.6755 * CHOOSE(CONTROL!$C$15, $E$9, 100%, $G$9) + CHOOSE(CONTROL!$C$38, 0.0264, 0)</f>
        <v>24.701899999999998</v>
      </c>
      <c r="C200" s="14">
        <f>23.1774 * CHOOSE(CONTROL!$C$15, $E$9, 100%, $G$9) + CHOOSE(CONTROL!$C$38, 0.0354, 0)</f>
        <v>23.212799999999998</v>
      </c>
      <c r="D200" s="14">
        <f>23.1696 * CHOOSE(CONTROL!$C$15, $E$9, 100%, $G$9) + CHOOSE(CONTROL!$C$38, 0.0354, 0)</f>
        <v>23.204999999999998</v>
      </c>
      <c r="E200" s="46">
        <f>24.5192 * CHOOSE(CONTROL!$C$15, $E$9, 100%, $G$9) + CHOOSE(CONTROL!$C$38, 0.0354, 0)</f>
        <v>24.554600000000001</v>
      </c>
      <c r="F200" s="45">
        <f>24.5192 * CHOOSE(CONTROL!$C$15, $E$9, 100%, $G$9) + CHOOSE(CONTROL!$C$38, 0.0264, 0)</f>
        <v>24.5456</v>
      </c>
      <c r="G200" s="14">
        <f>23.1758 * CHOOSE(CONTROL!$C$15, $E$9, 100%, $G$9) + CHOOSE(CONTROL!$C$38, 0.0354, 0)</f>
        <v>23.211199999999998</v>
      </c>
      <c r="H200" s="14">
        <f>23.1758 * CHOOSE(CONTROL!$C$15, $E$9, 100%, $G$9) + CHOOSE(CONTROL!$C$38, 0.0354, 0)</f>
        <v>23.211199999999998</v>
      </c>
      <c r="I200" s="14">
        <f>23.1774 * CHOOSE(CONTROL!$C$15, $E$9, 100%, $G$9) + CHOOSE(CONTROL!$C$38, 0.0354, 0)</f>
        <v>23.212799999999998</v>
      </c>
      <c r="J200" s="44">
        <f>163.419</f>
        <v>163.41900000000001</v>
      </c>
    </row>
    <row r="201" spans="1:10" ht="15" x14ac:dyDescent="0.2">
      <c r="A201" s="13">
        <v>47027</v>
      </c>
      <c r="B201" s="14">
        <f>25.0713 * CHOOSE(CONTROL!$C$15, $E$9, 100%, $G$9) + CHOOSE(CONTROL!$C$38, 0.0251, 0)</f>
        <v>25.096399999999999</v>
      </c>
      <c r="C201" s="14">
        <f>23.5705 * CHOOSE(CONTROL!$C$15, $E$9, 100%, $G$9) + CHOOSE(CONTROL!$C$38, 0.0342, 0)</f>
        <v>23.604699999999998</v>
      </c>
      <c r="D201" s="14">
        <f>23.5627 * CHOOSE(CONTROL!$C$15, $E$9, 100%, $G$9) + CHOOSE(CONTROL!$C$38, 0.0342, 0)</f>
        <v>23.596899999999998</v>
      </c>
      <c r="E201" s="46">
        <f>24.9151 * CHOOSE(CONTROL!$C$15, $E$9, 100%, $G$9) + CHOOSE(CONTROL!$C$38, 0.0342, 0)</f>
        <v>24.949299999999997</v>
      </c>
      <c r="F201" s="45">
        <f>24.9151 * CHOOSE(CONTROL!$C$15, $E$9, 100%, $G$9) + CHOOSE(CONTROL!$C$38, 0.0251, 0)</f>
        <v>24.940199999999997</v>
      </c>
      <c r="G201" s="14">
        <f>23.5689 * CHOOSE(CONTROL!$C$15, $E$9, 100%, $G$9) + CHOOSE(CONTROL!$C$38, 0.0342, 0)</f>
        <v>23.603099999999998</v>
      </c>
      <c r="H201" s="14">
        <f>23.5689 * CHOOSE(CONTROL!$C$15, $E$9, 100%, $G$9) + CHOOSE(CONTROL!$C$38, 0.0342, 0)</f>
        <v>23.603099999999998</v>
      </c>
      <c r="I201" s="14">
        <f>23.5705 * CHOOSE(CONTROL!$C$15, $E$9, 100%, $G$9) + CHOOSE(CONTROL!$C$38, 0.0342, 0)</f>
        <v>23.604699999999998</v>
      </c>
      <c r="J201" s="44">
        <f>158.0927</f>
        <v>158.09270000000001</v>
      </c>
    </row>
    <row r="202" spans="1:10" ht="15" x14ac:dyDescent="0.2">
      <c r="A202" s="13">
        <v>47058</v>
      </c>
      <c r="B202" s="14">
        <f>25.4112 * CHOOSE(CONTROL!$C$15, $E$9, 100%, $G$9) + CHOOSE(CONTROL!$C$38, 0.0251, 0)</f>
        <v>25.436299999999999</v>
      </c>
      <c r="C202" s="14">
        <f>23.9076 * CHOOSE(CONTROL!$C$15, $E$9, 100%, $G$9) + CHOOSE(CONTROL!$C$38, 0.0342, 0)</f>
        <v>23.941799999999997</v>
      </c>
      <c r="D202" s="14">
        <f>23.8998 * CHOOSE(CONTROL!$C$15, $E$9, 100%, $G$9) + CHOOSE(CONTROL!$C$38, 0.0342, 0)</f>
        <v>23.933999999999997</v>
      </c>
      <c r="E202" s="46">
        <f>25.255 * CHOOSE(CONTROL!$C$15, $E$9, 100%, $G$9) + CHOOSE(CONTROL!$C$38, 0.0342, 0)</f>
        <v>25.289199999999997</v>
      </c>
      <c r="F202" s="45">
        <f>25.255 * CHOOSE(CONTROL!$C$15, $E$9, 100%, $G$9) + CHOOSE(CONTROL!$C$38, 0.0251, 0)</f>
        <v>25.280099999999997</v>
      </c>
      <c r="G202" s="14">
        <f>23.906 * CHOOSE(CONTROL!$C$15, $E$9, 100%, $G$9) + CHOOSE(CONTROL!$C$38, 0.0342, 0)</f>
        <v>23.940199999999997</v>
      </c>
      <c r="H202" s="14">
        <f>23.906 * CHOOSE(CONTROL!$C$15, $E$9, 100%, $G$9) + CHOOSE(CONTROL!$C$38, 0.0342, 0)</f>
        <v>23.940199999999997</v>
      </c>
      <c r="I202" s="14">
        <f>23.9076 * CHOOSE(CONTROL!$C$15, $E$9, 100%, $G$9) + CHOOSE(CONTROL!$C$38, 0.0342, 0)</f>
        <v>23.941799999999997</v>
      </c>
      <c r="J202" s="44">
        <f>157.2896</f>
        <v>157.28960000000001</v>
      </c>
    </row>
    <row r="203" spans="1:10" ht="15" x14ac:dyDescent="0.2">
      <c r="A203" s="13">
        <v>47088</v>
      </c>
      <c r="B203" s="14">
        <f>26.3563 * CHOOSE(CONTROL!$C$15, $E$9, 100%, $G$9) + CHOOSE(CONTROL!$C$38, 0.0251, 0)</f>
        <v>26.381399999999999</v>
      </c>
      <c r="C203" s="14">
        <f>24.8499 * CHOOSE(CONTROL!$C$15, $E$9, 100%, $G$9) + CHOOSE(CONTROL!$C$38, 0.0342, 0)</f>
        <v>24.8841</v>
      </c>
      <c r="D203" s="14">
        <f>24.8421 * CHOOSE(CONTROL!$C$15, $E$9, 100%, $G$9) + CHOOSE(CONTROL!$C$38, 0.0342, 0)</f>
        <v>24.876299999999997</v>
      </c>
      <c r="E203" s="46">
        <f>26.2001 * CHOOSE(CONTROL!$C$15, $E$9, 100%, $G$9) + CHOOSE(CONTROL!$C$38, 0.0342, 0)</f>
        <v>26.234299999999998</v>
      </c>
      <c r="F203" s="45">
        <f>26.2001 * CHOOSE(CONTROL!$C$15, $E$9, 100%, $G$9) + CHOOSE(CONTROL!$C$38, 0.0251, 0)</f>
        <v>26.225199999999997</v>
      </c>
      <c r="G203" s="14">
        <f>24.8484 * CHOOSE(CONTROL!$C$15, $E$9, 100%, $G$9) + CHOOSE(CONTROL!$C$38, 0.0342, 0)</f>
        <v>24.8826</v>
      </c>
      <c r="H203" s="14">
        <f>24.8484 * CHOOSE(CONTROL!$C$15, $E$9, 100%, $G$9) + CHOOSE(CONTROL!$C$38, 0.0342, 0)</f>
        <v>24.8826</v>
      </c>
      <c r="I203" s="14">
        <f>24.8499 * CHOOSE(CONTROL!$C$15, $E$9, 100%, $G$9) + CHOOSE(CONTROL!$C$38, 0.0342, 0)</f>
        <v>24.8841</v>
      </c>
      <c r="J203" s="44">
        <f>152.9364</f>
        <v>152.93639999999999</v>
      </c>
    </row>
    <row r="204" spans="1:10" ht="15" x14ac:dyDescent="0.2">
      <c r="A204" s="13">
        <v>47119</v>
      </c>
      <c r="B204" s="14">
        <f>27.1295 * CHOOSE(CONTROL!$C$15, $E$9, 100%, $G$9) + CHOOSE(CONTROL!$C$38, 0.0251, 0)</f>
        <v>27.154599999999999</v>
      </c>
      <c r="C204" s="14">
        <f>25.6469 * CHOOSE(CONTROL!$C$15, $E$9, 100%, $G$9) + CHOOSE(CONTROL!$C$38, 0.0342, 0)</f>
        <v>25.681099999999997</v>
      </c>
      <c r="D204" s="14">
        <f>25.6391 * CHOOSE(CONTROL!$C$15, $E$9, 100%, $G$9) + CHOOSE(CONTROL!$C$38, 0.0342, 0)</f>
        <v>25.673299999999998</v>
      </c>
      <c r="E204" s="46">
        <f>26.9733 * CHOOSE(CONTROL!$C$15, $E$9, 100%, $G$9) + CHOOSE(CONTROL!$C$38, 0.0342, 0)</f>
        <v>27.007499999999997</v>
      </c>
      <c r="F204" s="45">
        <f>26.9733 * CHOOSE(CONTROL!$C$15, $E$9, 100%, $G$9) + CHOOSE(CONTROL!$C$38, 0.0251, 0)</f>
        <v>26.998399999999997</v>
      </c>
      <c r="G204" s="14">
        <f>25.6453 * CHOOSE(CONTROL!$C$15, $E$9, 100%, $G$9) + CHOOSE(CONTROL!$C$38, 0.0342, 0)</f>
        <v>25.679499999999997</v>
      </c>
      <c r="H204" s="14">
        <f>25.6453 * CHOOSE(CONTROL!$C$15, $E$9, 100%, $G$9) + CHOOSE(CONTROL!$C$38, 0.0342, 0)</f>
        <v>25.679499999999997</v>
      </c>
      <c r="I204" s="14">
        <f>25.6469 * CHOOSE(CONTROL!$C$15, $E$9, 100%, $G$9) + CHOOSE(CONTROL!$C$38, 0.0342, 0)</f>
        <v>25.681099999999997</v>
      </c>
      <c r="J204" s="44">
        <f>149.6023</f>
        <v>149.60230000000001</v>
      </c>
    </row>
    <row r="205" spans="1:10" ht="15" x14ac:dyDescent="0.2">
      <c r="A205" s="13">
        <v>47150</v>
      </c>
      <c r="B205" s="14">
        <f>27.5166 * CHOOSE(CONTROL!$C$15, $E$9, 100%, $G$9) + CHOOSE(CONTROL!$C$38, 0.0251, 0)</f>
        <v>27.541699999999999</v>
      </c>
      <c r="C205" s="14">
        <f>26.0312 * CHOOSE(CONTROL!$C$15, $E$9, 100%, $G$9) + CHOOSE(CONTROL!$C$38, 0.0342, 0)</f>
        <v>26.065399999999997</v>
      </c>
      <c r="D205" s="14">
        <f>26.0234 * CHOOSE(CONTROL!$C$15, $E$9, 100%, $G$9) + CHOOSE(CONTROL!$C$38, 0.0342, 0)</f>
        <v>26.057599999999997</v>
      </c>
      <c r="E205" s="46">
        <f>27.3604 * CHOOSE(CONTROL!$C$15, $E$9, 100%, $G$9) + CHOOSE(CONTROL!$C$38, 0.0342, 0)</f>
        <v>27.394599999999997</v>
      </c>
      <c r="F205" s="45">
        <f>27.3604 * CHOOSE(CONTROL!$C$15, $E$9, 100%, $G$9) + CHOOSE(CONTROL!$C$38, 0.0251, 0)</f>
        <v>27.385499999999997</v>
      </c>
      <c r="G205" s="14">
        <f>26.0297 * CHOOSE(CONTROL!$C$15, $E$9, 100%, $G$9) + CHOOSE(CONTROL!$C$38, 0.0342, 0)</f>
        <v>26.063899999999997</v>
      </c>
      <c r="H205" s="14">
        <f>26.0297 * CHOOSE(CONTROL!$C$15, $E$9, 100%, $G$9) + CHOOSE(CONTROL!$C$38, 0.0342, 0)</f>
        <v>26.063899999999997</v>
      </c>
      <c r="I205" s="14">
        <f>26.0312 * CHOOSE(CONTROL!$C$15, $E$9, 100%, $G$9) + CHOOSE(CONTROL!$C$38, 0.0342, 0)</f>
        <v>26.065399999999997</v>
      </c>
      <c r="J205" s="44">
        <f>149.4937</f>
        <v>149.49369999999999</v>
      </c>
    </row>
    <row r="206" spans="1:10" ht="15" x14ac:dyDescent="0.2">
      <c r="A206" s="13">
        <v>47178</v>
      </c>
      <c r="B206" s="14">
        <f>26.8008 * CHOOSE(CONTROL!$C$15, $E$9, 100%, $G$9) + CHOOSE(CONTROL!$C$38, 0.0251, 0)</f>
        <v>26.825899999999997</v>
      </c>
      <c r="C206" s="14">
        <f>25.3127 * CHOOSE(CONTROL!$C$15, $E$9, 100%, $G$9) + CHOOSE(CONTROL!$C$38, 0.0342, 0)</f>
        <v>25.346899999999998</v>
      </c>
      <c r="D206" s="14">
        <f>25.3049 * CHOOSE(CONTROL!$C$15, $E$9, 100%, $G$9) + CHOOSE(CONTROL!$C$38, 0.0342, 0)</f>
        <v>25.339099999999998</v>
      </c>
      <c r="E206" s="46">
        <f>26.6445 * CHOOSE(CONTROL!$C$15, $E$9, 100%, $G$9) + CHOOSE(CONTROL!$C$38, 0.0342, 0)</f>
        <v>26.678699999999999</v>
      </c>
      <c r="F206" s="45">
        <f>26.6445 * CHOOSE(CONTROL!$C$15, $E$9, 100%, $G$9) + CHOOSE(CONTROL!$C$38, 0.0251, 0)</f>
        <v>26.669599999999999</v>
      </c>
      <c r="G206" s="14">
        <f>25.3111 * CHOOSE(CONTROL!$C$15, $E$9, 100%, $G$9) + CHOOSE(CONTROL!$C$38, 0.0342, 0)</f>
        <v>25.345299999999998</v>
      </c>
      <c r="H206" s="14">
        <f>25.3111 * CHOOSE(CONTROL!$C$15, $E$9, 100%, $G$9) + CHOOSE(CONTROL!$C$38, 0.0342, 0)</f>
        <v>25.345299999999998</v>
      </c>
      <c r="I206" s="14">
        <f>25.3127 * CHOOSE(CONTROL!$C$15, $E$9, 100%, $G$9) + CHOOSE(CONTROL!$C$38, 0.0342, 0)</f>
        <v>25.346899999999998</v>
      </c>
      <c r="J206" s="44">
        <f>157.6971</f>
        <v>157.69710000000001</v>
      </c>
    </row>
    <row r="207" spans="1:10" ht="15" x14ac:dyDescent="0.2">
      <c r="A207" s="13">
        <v>47209</v>
      </c>
      <c r="B207" s="14">
        <f>26.1059 * CHOOSE(CONTROL!$C$15, $E$9, 100%, $G$9) + CHOOSE(CONTROL!$C$38, 0.0251, 0)</f>
        <v>26.130999999999997</v>
      </c>
      <c r="C207" s="14">
        <f>24.615 * CHOOSE(CONTROL!$C$15, $E$9, 100%, $G$9) + CHOOSE(CONTROL!$C$38, 0.0342, 0)</f>
        <v>24.649199999999997</v>
      </c>
      <c r="D207" s="14">
        <f>24.6072 * CHOOSE(CONTROL!$C$15, $E$9, 100%, $G$9) + CHOOSE(CONTROL!$C$38, 0.0342, 0)</f>
        <v>24.641399999999997</v>
      </c>
      <c r="E207" s="46">
        <f>25.9496 * CHOOSE(CONTROL!$C$15, $E$9, 100%, $G$9) + CHOOSE(CONTROL!$C$38, 0.0342, 0)</f>
        <v>25.983799999999999</v>
      </c>
      <c r="F207" s="45">
        <f>25.9496 * CHOOSE(CONTROL!$C$15, $E$9, 100%, $G$9) + CHOOSE(CONTROL!$C$38, 0.0251, 0)</f>
        <v>25.974699999999999</v>
      </c>
      <c r="G207" s="14">
        <f>24.6135 * CHOOSE(CONTROL!$C$15, $E$9, 100%, $G$9) + CHOOSE(CONTROL!$C$38, 0.0342, 0)</f>
        <v>24.647699999999997</v>
      </c>
      <c r="H207" s="14">
        <f>24.6135 * CHOOSE(CONTROL!$C$15, $E$9, 100%, $G$9) + CHOOSE(CONTROL!$C$38, 0.0342, 0)</f>
        <v>24.647699999999997</v>
      </c>
      <c r="I207" s="14">
        <f>24.615 * CHOOSE(CONTROL!$C$15, $E$9, 100%, $G$9) + CHOOSE(CONTROL!$C$38, 0.0342, 0)</f>
        <v>24.649199999999997</v>
      </c>
      <c r="J207" s="44">
        <f>168.2814</f>
        <v>168.28139999999999</v>
      </c>
    </row>
    <row r="208" spans="1:10" ht="15" x14ac:dyDescent="0.2">
      <c r="A208" s="13">
        <v>47239</v>
      </c>
      <c r="B208" s="14">
        <f>25.3763 * CHOOSE(CONTROL!$C$15, $E$9, 100%, $G$9) + CHOOSE(CONTROL!$C$38, 0.0264, 0)</f>
        <v>25.402699999999999</v>
      </c>
      <c r="C208" s="14">
        <f>23.8827 * CHOOSE(CONTROL!$C$15, $E$9, 100%, $G$9) + CHOOSE(CONTROL!$C$38, 0.0354, 0)</f>
        <v>23.918099999999999</v>
      </c>
      <c r="D208" s="14">
        <f>23.8749 * CHOOSE(CONTROL!$C$15, $E$9, 100%, $G$9) + CHOOSE(CONTROL!$C$38, 0.0354, 0)</f>
        <v>23.910299999999999</v>
      </c>
      <c r="E208" s="46">
        <f>25.22 * CHOOSE(CONTROL!$C$15, $E$9, 100%, $G$9) + CHOOSE(CONTROL!$C$38, 0.0354, 0)</f>
        <v>25.255399999999998</v>
      </c>
      <c r="F208" s="45">
        <f>25.22 * CHOOSE(CONTROL!$C$15, $E$9, 100%, $G$9) + CHOOSE(CONTROL!$C$38, 0.0264, 0)</f>
        <v>25.246399999999998</v>
      </c>
      <c r="G208" s="14">
        <f>23.8811 * CHOOSE(CONTROL!$C$15, $E$9, 100%, $G$9) + CHOOSE(CONTROL!$C$38, 0.0354, 0)</f>
        <v>23.916499999999999</v>
      </c>
      <c r="H208" s="14">
        <f>23.8811 * CHOOSE(CONTROL!$C$15, $E$9, 100%, $G$9) + CHOOSE(CONTROL!$C$38, 0.0354, 0)</f>
        <v>23.916499999999999</v>
      </c>
      <c r="I208" s="14">
        <f>23.8827 * CHOOSE(CONTROL!$C$15, $E$9, 100%, $G$9) + CHOOSE(CONTROL!$C$38, 0.0354, 0)</f>
        <v>23.918099999999999</v>
      </c>
      <c r="J208" s="44">
        <f>174.2869</f>
        <v>174.2869</v>
      </c>
    </row>
    <row r="209" spans="1:10" ht="15" x14ac:dyDescent="0.2">
      <c r="A209" s="13">
        <v>47270</v>
      </c>
      <c r="B209" s="14">
        <f>24.8778 * CHOOSE(CONTROL!$C$15, $E$9, 100%, $G$9) + CHOOSE(CONTROL!$C$38, 0.0264, 0)</f>
        <v>24.904199999999999</v>
      </c>
      <c r="C209" s="14">
        <f>23.3815 * CHOOSE(CONTROL!$C$15, $E$9, 100%, $G$9) + CHOOSE(CONTROL!$C$38, 0.0354, 0)</f>
        <v>23.416899999999998</v>
      </c>
      <c r="D209" s="14">
        <f>23.3737 * CHOOSE(CONTROL!$C$15, $E$9, 100%, $G$9) + CHOOSE(CONTROL!$C$38, 0.0354, 0)</f>
        <v>23.409099999999999</v>
      </c>
      <c r="E209" s="46">
        <f>24.7216 * CHOOSE(CONTROL!$C$15, $E$9, 100%, $G$9) + CHOOSE(CONTROL!$C$38, 0.0354, 0)</f>
        <v>24.756999999999998</v>
      </c>
      <c r="F209" s="45">
        <f>24.7216 * CHOOSE(CONTROL!$C$15, $E$9, 100%, $G$9) + CHOOSE(CONTROL!$C$38, 0.0264, 0)</f>
        <v>24.747999999999998</v>
      </c>
      <c r="G209" s="14">
        <f>23.3799 * CHOOSE(CONTROL!$C$15, $E$9, 100%, $G$9) + CHOOSE(CONTROL!$C$38, 0.0354, 0)</f>
        <v>23.415299999999998</v>
      </c>
      <c r="H209" s="14">
        <f>23.3799 * CHOOSE(CONTROL!$C$15, $E$9, 100%, $G$9) + CHOOSE(CONTROL!$C$38, 0.0354, 0)</f>
        <v>23.415299999999998</v>
      </c>
      <c r="I209" s="14">
        <f>23.3815 * CHOOSE(CONTROL!$C$15, $E$9, 100%, $G$9) + CHOOSE(CONTROL!$C$38, 0.0354, 0)</f>
        <v>23.416899999999998</v>
      </c>
      <c r="J209" s="44">
        <f>177.1624</f>
        <v>177.16239999999999</v>
      </c>
    </row>
    <row r="210" spans="1:10" ht="15" x14ac:dyDescent="0.2">
      <c r="A210" s="13">
        <v>47300</v>
      </c>
      <c r="B210" s="14">
        <f>24.6136 * CHOOSE(CONTROL!$C$15, $E$9, 100%, $G$9) + CHOOSE(CONTROL!$C$38, 0.0264, 0)</f>
        <v>24.64</v>
      </c>
      <c r="C210" s="14">
        <f>23.1145 * CHOOSE(CONTROL!$C$15, $E$9, 100%, $G$9) + CHOOSE(CONTROL!$C$38, 0.0354, 0)</f>
        <v>23.149899999999999</v>
      </c>
      <c r="D210" s="14">
        <f>23.1067 * CHOOSE(CONTROL!$C$15, $E$9, 100%, $G$9) + CHOOSE(CONTROL!$C$38, 0.0354, 0)</f>
        <v>23.142099999999999</v>
      </c>
      <c r="E210" s="46">
        <f>24.4574 * CHOOSE(CONTROL!$C$15, $E$9, 100%, $G$9) + CHOOSE(CONTROL!$C$38, 0.0354, 0)</f>
        <v>24.492799999999999</v>
      </c>
      <c r="F210" s="45">
        <f>24.4574 * CHOOSE(CONTROL!$C$15, $E$9, 100%, $G$9) + CHOOSE(CONTROL!$C$38, 0.0264, 0)</f>
        <v>24.483799999999999</v>
      </c>
      <c r="G210" s="14">
        <f>23.1129 * CHOOSE(CONTROL!$C$15, $E$9, 100%, $G$9) + CHOOSE(CONTROL!$C$38, 0.0354, 0)</f>
        <v>23.148299999999999</v>
      </c>
      <c r="H210" s="14">
        <f>23.1129 * CHOOSE(CONTROL!$C$15, $E$9, 100%, $G$9) + CHOOSE(CONTROL!$C$38, 0.0354, 0)</f>
        <v>23.148299999999999</v>
      </c>
      <c r="I210" s="14">
        <f>23.1145 * CHOOSE(CONTROL!$C$15, $E$9, 100%, $G$9) + CHOOSE(CONTROL!$C$38, 0.0354, 0)</f>
        <v>23.149899999999999</v>
      </c>
      <c r="J210" s="44">
        <f>176.697</f>
        <v>176.697</v>
      </c>
    </row>
    <row r="211" spans="1:10" ht="15" x14ac:dyDescent="0.2">
      <c r="A211" s="13">
        <v>47331</v>
      </c>
      <c r="B211" s="14">
        <f>24.8184 * CHOOSE(CONTROL!$C$15, $E$9, 100%, $G$9) + CHOOSE(CONTROL!$C$38, 0.0264, 0)</f>
        <v>24.844799999999999</v>
      </c>
      <c r="C211" s="14">
        <f>23.3166 * CHOOSE(CONTROL!$C$15, $E$9, 100%, $G$9) + CHOOSE(CONTROL!$C$38, 0.0354, 0)</f>
        <v>23.352</v>
      </c>
      <c r="D211" s="14">
        <f>23.3087 * CHOOSE(CONTROL!$C$15, $E$9, 100%, $G$9) + CHOOSE(CONTROL!$C$38, 0.0354, 0)</f>
        <v>23.344100000000001</v>
      </c>
      <c r="E211" s="46">
        <f>24.6622 * CHOOSE(CONTROL!$C$15, $E$9, 100%, $G$9) + CHOOSE(CONTROL!$C$38, 0.0354, 0)</f>
        <v>24.697599999999998</v>
      </c>
      <c r="F211" s="45">
        <f>24.6622 * CHOOSE(CONTROL!$C$15, $E$9, 100%, $G$9) + CHOOSE(CONTROL!$C$38, 0.0264, 0)</f>
        <v>24.688599999999997</v>
      </c>
      <c r="G211" s="14">
        <f>23.315 * CHOOSE(CONTROL!$C$15, $E$9, 100%, $G$9) + CHOOSE(CONTROL!$C$38, 0.0354, 0)</f>
        <v>23.3504</v>
      </c>
      <c r="H211" s="14">
        <f>23.315 * CHOOSE(CONTROL!$C$15, $E$9, 100%, $G$9) + CHOOSE(CONTROL!$C$38, 0.0354, 0)</f>
        <v>23.3504</v>
      </c>
      <c r="I211" s="14">
        <f>23.3166 * CHOOSE(CONTROL!$C$15, $E$9, 100%, $G$9) + CHOOSE(CONTROL!$C$38, 0.0354, 0)</f>
        <v>23.352</v>
      </c>
      <c r="J211" s="44">
        <f>172.9391</f>
        <v>172.9391</v>
      </c>
    </row>
    <row r="212" spans="1:10" ht="15" x14ac:dyDescent="0.2">
      <c r="A212" s="13">
        <v>47362</v>
      </c>
      <c r="B212" s="14">
        <f>25.2912 * CHOOSE(CONTROL!$C$15, $E$9, 100%, $G$9) + CHOOSE(CONTROL!$C$38, 0.0264, 0)</f>
        <v>25.317599999999999</v>
      </c>
      <c r="C212" s="14">
        <f>23.7865 * CHOOSE(CONTROL!$C$15, $E$9, 100%, $G$9) + CHOOSE(CONTROL!$C$38, 0.0354, 0)</f>
        <v>23.821899999999999</v>
      </c>
      <c r="D212" s="14">
        <f>23.7787 * CHOOSE(CONTROL!$C$15, $E$9, 100%, $G$9) + CHOOSE(CONTROL!$C$38, 0.0354, 0)</f>
        <v>23.8141</v>
      </c>
      <c r="E212" s="46">
        <f>25.135 * CHOOSE(CONTROL!$C$15, $E$9, 100%, $G$9) + CHOOSE(CONTROL!$C$38, 0.0354, 0)</f>
        <v>25.170400000000001</v>
      </c>
      <c r="F212" s="45">
        <f>25.135 * CHOOSE(CONTROL!$C$15, $E$9, 100%, $G$9) + CHOOSE(CONTROL!$C$38, 0.0264, 0)</f>
        <v>25.1614</v>
      </c>
      <c r="G212" s="14">
        <f>23.785 * CHOOSE(CONTROL!$C$15, $E$9, 100%, $G$9) + CHOOSE(CONTROL!$C$38, 0.0354, 0)</f>
        <v>23.820399999999999</v>
      </c>
      <c r="H212" s="14">
        <f>23.785 * CHOOSE(CONTROL!$C$15, $E$9, 100%, $G$9) + CHOOSE(CONTROL!$C$38, 0.0354, 0)</f>
        <v>23.820399999999999</v>
      </c>
      <c r="I212" s="14">
        <f>23.7865 * CHOOSE(CONTROL!$C$15, $E$9, 100%, $G$9) + CHOOSE(CONTROL!$C$38, 0.0354, 0)</f>
        <v>23.821899999999999</v>
      </c>
      <c r="J212" s="44">
        <f>167.5353</f>
        <v>167.53530000000001</v>
      </c>
    </row>
    <row r="213" spans="1:10" ht="15" x14ac:dyDescent="0.2">
      <c r="A213" s="13">
        <v>47392</v>
      </c>
      <c r="B213" s="14">
        <f>25.697 * CHOOSE(CONTROL!$C$15, $E$9, 100%, $G$9) + CHOOSE(CONTROL!$C$38, 0.0251, 0)</f>
        <v>25.722099999999998</v>
      </c>
      <c r="C213" s="14">
        <f>24.1895 * CHOOSE(CONTROL!$C$15, $E$9, 100%, $G$9) + CHOOSE(CONTROL!$C$38, 0.0342, 0)</f>
        <v>24.223699999999997</v>
      </c>
      <c r="D213" s="14">
        <f>24.1817 * CHOOSE(CONTROL!$C$15, $E$9, 100%, $G$9) + CHOOSE(CONTROL!$C$38, 0.0342, 0)</f>
        <v>24.215899999999998</v>
      </c>
      <c r="E213" s="46">
        <f>25.5407 * CHOOSE(CONTROL!$C$15, $E$9, 100%, $G$9) + CHOOSE(CONTROL!$C$38, 0.0342, 0)</f>
        <v>25.5749</v>
      </c>
      <c r="F213" s="45">
        <f>25.5407 * CHOOSE(CONTROL!$C$15, $E$9, 100%, $G$9) + CHOOSE(CONTROL!$C$38, 0.0251, 0)</f>
        <v>25.565799999999999</v>
      </c>
      <c r="G213" s="14">
        <f>24.188 * CHOOSE(CONTROL!$C$15, $E$9, 100%, $G$9) + CHOOSE(CONTROL!$C$38, 0.0342, 0)</f>
        <v>24.222199999999997</v>
      </c>
      <c r="H213" s="14">
        <f>24.188 * CHOOSE(CONTROL!$C$15, $E$9, 100%, $G$9) + CHOOSE(CONTROL!$C$38, 0.0342, 0)</f>
        <v>24.222199999999997</v>
      </c>
      <c r="I213" s="14">
        <f>24.1895 * CHOOSE(CONTROL!$C$15, $E$9, 100%, $G$9) + CHOOSE(CONTROL!$C$38, 0.0342, 0)</f>
        <v>24.223699999999997</v>
      </c>
      <c r="J213" s="44">
        <f>162.0749</f>
        <v>162.07490000000001</v>
      </c>
    </row>
    <row r="214" spans="1:10" ht="15" x14ac:dyDescent="0.2">
      <c r="A214" s="13">
        <v>47423</v>
      </c>
      <c r="B214" s="14">
        <f>26.0454 * CHOOSE(CONTROL!$C$15, $E$9, 100%, $G$9) + CHOOSE(CONTROL!$C$38, 0.0251, 0)</f>
        <v>26.070499999999999</v>
      </c>
      <c r="C214" s="14">
        <f>24.5352 * CHOOSE(CONTROL!$C$15, $E$9, 100%, $G$9) + CHOOSE(CONTROL!$C$38, 0.0342, 0)</f>
        <v>24.569399999999998</v>
      </c>
      <c r="D214" s="14">
        <f>24.5274 * CHOOSE(CONTROL!$C$15, $E$9, 100%, $G$9) + CHOOSE(CONTROL!$C$38, 0.0342, 0)</f>
        <v>24.561599999999999</v>
      </c>
      <c r="E214" s="46">
        <f>25.8891 * CHOOSE(CONTROL!$C$15, $E$9, 100%, $G$9) + CHOOSE(CONTROL!$C$38, 0.0342, 0)</f>
        <v>25.923299999999998</v>
      </c>
      <c r="F214" s="45">
        <f>25.8891 * CHOOSE(CONTROL!$C$15, $E$9, 100%, $G$9) + CHOOSE(CONTROL!$C$38, 0.0251, 0)</f>
        <v>25.914199999999997</v>
      </c>
      <c r="G214" s="14">
        <f>24.5336 * CHOOSE(CONTROL!$C$15, $E$9, 100%, $G$9) + CHOOSE(CONTROL!$C$38, 0.0342, 0)</f>
        <v>24.567799999999998</v>
      </c>
      <c r="H214" s="14">
        <f>24.5336 * CHOOSE(CONTROL!$C$15, $E$9, 100%, $G$9) + CHOOSE(CONTROL!$C$38, 0.0342, 0)</f>
        <v>24.567799999999998</v>
      </c>
      <c r="I214" s="14">
        <f>24.5352 * CHOOSE(CONTROL!$C$15, $E$9, 100%, $G$9) + CHOOSE(CONTROL!$C$38, 0.0342, 0)</f>
        <v>24.569399999999998</v>
      </c>
      <c r="J214" s="44">
        <f>161.2516</f>
        <v>161.2516</v>
      </c>
    </row>
    <row r="215" spans="1:10" ht="15" x14ac:dyDescent="0.2">
      <c r="A215" s="13">
        <v>47453</v>
      </c>
      <c r="B215" s="14">
        <f>27.0141 * CHOOSE(CONTROL!$C$15, $E$9, 100%, $G$9) + CHOOSE(CONTROL!$C$38, 0.0251, 0)</f>
        <v>27.039199999999997</v>
      </c>
      <c r="C215" s="14">
        <f>25.5011 * CHOOSE(CONTROL!$C$15, $E$9, 100%, $G$9) + CHOOSE(CONTROL!$C$38, 0.0342, 0)</f>
        <v>25.535299999999999</v>
      </c>
      <c r="D215" s="14">
        <f>25.4933 * CHOOSE(CONTROL!$C$15, $E$9, 100%, $G$9) + CHOOSE(CONTROL!$C$38, 0.0342, 0)</f>
        <v>25.5275</v>
      </c>
      <c r="E215" s="46">
        <f>26.8579 * CHOOSE(CONTROL!$C$15, $E$9, 100%, $G$9) + CHOOSE(CONTROL!$C$38, 0.0342, 0)</f>
        <v>26.892099999999999</v>
      </c>
      <c r="F215" s="45">
        <f>26.8579 * CHOOSE(CONTROL!$C$15, $E$9, 100%, $G$9) + CHOOSE(CONTROL!$C$38, 0.0251, 0)</f>
        <v>26.882999999999999</v>
      </c>
      <c r="G215" s="14">
        <f>25.4996 * CHOOSE(CONTROL!$C$15, $E$9, 100%, $G$9) + CHOOSE(CONTROL!$C$38, 0.0342, 0)</f>
        <v>25.533799999999999</v>
      </c>
      <c r="H215" s="14">
        <f>25.4996 * CHOOSE(CONTROL!$C$15, $E$9, 100%, $G$9) + CHOOSE(CONTROL!$C$38, 0.0342, 0)</f>
        <v>25.533799999999999</v>
      </c>
      <c r="I215" s="14">
        <f>25.5011 * CHOOSE(CONTROL!$C$15, $E$9, 100%, $G$9) + CHOOSE(CONTROL!$C$38, 0.0342, 0)</f>
        <v>25.535299999999999</v>
      </c>
      <c r="J215" s="44">
        <f>156.7887</f>
        <v>156.78870000000001</v>
      </c>
    </row>
    <row r="216" spans="1:10" ht="15" x14ac:dyDescent="0.2">
      <c r="A216" s="13">
        <v>47484</v>
      </c>
      <c r="B216" s="14">
        <f>27.7509 * CHOOSE(CONTROL!$C$15, $E$9, 100%, $G$9) + CHOOSE(CONTROL!$C$38, 0.0251, 0)</f>
        <v>27.776</v>
      </c>
      <c r="C216" s="14">
        <f>26.2618 * CHOOSE(CONTROL!$C$15, $E$9, 100%, $G$9) + CHOOSE(CONTROL!$C$38, 0.0342, 0)</f>
        <v>26.295999999999999</v>
      </c>
      <c r="D216" s="14">
        <f>26.254 * CHOOSE(CONTROL!$C$15, $E$9, 100%, $G$9) + CHOOSE(CONTROL!$C$38, 0.0342, 0)</f>
        <v>26.2882</v>
      </c>
      <c r="E216" s="46">
        <f>27.5947 * CHOOSE(CONTROL!$C$15, $E$9, 100%, $G$9) + CHOOSE(CONTROL!$C$38, 0.0342, 0)</f>
        <v>27.628899999999998</v>
      </c>
      <c r="F216" s="45">
        <f>27.5947 * CHOOSE(CONTROL!$C$15, $E$9, 100%, $G$9) + CHOOSE(CONTROL!$C$38, 0.0251, 0)</f>
        <v>27.619799999999998</v>
      </c>
      <c r="G216" s="14">
        <f>26.2602 * CHOOSE(CONTROL!$C$15, $E$9, 100%, $G$9) + CHOOSE(CONTROL!$C$38, 0.0342, 0)</f>
        <v>26.2944</v>
      </c>
      <c r="H216" s="14">
        <f>26.2602 * CHOOSE(CONTROL!$C$15, $E$9, 100%, $G$9) + CHOOSE(CONTROL!$C$38, 0.0342, 0)</f>
        <v>26.2944</v>
      </c>
      <c r="I216" s="14">
        <f>26.2618 * CHOOSE(CONTROL!$C$15, $E$9, 100%, $G$9) + CHOOSE(CONTROL!$C$38, 0.0342, 0)</f>
        <v>26.295999999999999</v>
      </c>
      <c r="J216" s="44">
        <f>153.3705</f>
        <v>153.37049999999999</v>
      </c>
    </row>
    <row r="217" spans="1:10" ht="15" x14ac:dyDescent="0.2">
      <c r="A217" s="13">
        <v>47515</v>
      </c>
      <c r="B217" s="14">
        <f>28.1476 * CHOOSE(CONTROL!$C$15, $E$9, 100%, $G$9) + CHOOSE(CONTROL!$C$38, 0.0251, 0)</f>
        <v>28.172699999999999</v>
      </c>
      <c r="C217" s="14">
        <f>26.6557 * CHOOSE(CONTROL!$C$15, $E$9, 100%, $G$9) + CHOOSE(CONTROL!$C$38, 0.0342, 0)</f>
        <v>26.689899999999998</v>
      </c>
      <c r="D217" s="14">
        <f>26.6479 * CHOOSE(CONTROL!$C$15, $E$9, 100%, $G$9) + CHOOSE(CONTROL!$C$38, 0.0342, 0)</f>
        <v>26.682099999999998</v>
      </c>
      <c r="E217" s="46">
        <f>27.9914 * CHOOSE(CONTROL!$C$15, $E$9, 100%, $G$9) + CHOOSE(CONTROL!$C$38, 0.0342, 0)</f>
        <v>28.025599999999997</v>
      </c>
      <c r="F217" s="45">
        <f>27.9914 * CHOOSE(CONTROL!$C$15, $E$9, 100%, $G$9) + CHOOSE(CONTROL!$C$38, 0.0251, 0)</f>
        <v>28.016499999999997</v>
      </c>
      <c r="G217" s="14">
        <f>26.6542 * CHOOSE(CONTROL!$C$15, $E$9, 100%, $G$9) + CHOOSE(CONTROL!$C$38, 0.0342, 0)</f>
        <v>26.688399999999998</v>
      </c>
      <c r="H217" s="14">
        <f>26.6542 * CHOOSE(CONTROL!$C$15, $E$9, 100%, $G$9) + CHOOSE(CONTROL!$C$38, 0.0342, 0)</f>
        <v>26.688399999999998</v>
      </c>
      <c r="I217" s="14">
        <f>26.6557 * CHOOSE(CONTROL!$C$15, $E$9, 100%, $G$9) + CHOOSE(CONTROL!$C$38, 0.0342, 0)</f>
        <v>26.689899999999998</v>
      </c>
      <c r="J217" s="44">
        <f>153.2592</f>
        <v>153.25919999999999</v>
      </c>
    </row>
    <row r="218" spans="1:10" ht="15" x14ac:dyDescent="0.2">
      <c r="A218" s="13">
        <v>47543</v>
      </c>
      <c r="B218" s="14">
        <f>27.4138 * CHOOSE(CONTROL!$C$15, $E$9, 100%, $G$9) + CHOOSE(CONTROL!$C$38, 0.0251, 0)</f>
        <v>27.438899999999997</v>
      </c>
      <c r="C218" s="14">
        <f>25.9192 * CHOOSE(CONTROL!$C$15, $E$9, 100%, $G$9) + CHOOSE(CONTROL!$C$38, 0.0342, 0)</f>
        <v>25.953399999999998</v>
      </c>
      <c r="D218" s="14">
        <f>25.9114 * CHOOSE(CONTROL!$C$15, $E$9, 100%, $G$9) + CHOOSE(CONTROL!$C$38, 0.0342, 0)</f>
        <v>25.945599999999999</v>
      </c>
      <c r="E218" s="46">
        <f>27.2576 * CHOOSE(CONTROL!$C$15, $E$9, 100%, $G$9) + CHOOSE(CONTROL!$C$38, 0.0342, 0)</f>
        <v>27.291799999999999</v>
      </c>
      <c r="F218" s="45">
        <f>27.2576 * CHOOSE(CONTROL!$C$15, $E$9, 100%, $G$9) + CHOOSE(CONTROL!$C$38, 0.0251, 0)</f>
        <v>27.282699999999998</v>
      </c>
      <c r="G218" s="14">
        <f>25.9176 * CHOOSE(CONTROL!$C$15, $E$9, 100%, $G$9) + CHOOSE(CONTROL!$C$38, 0.0342, 0)</f>
        <v>25.951799999999999</v>
      </c>
      <c r="H218" s="14">
        <f>25.9176 * CHOOSE(CONTROL!$C$15, $E$9, 100%, $G$9) + CHOOSE(CONTROL!$C$38, 0.0342, 0)</f>
        <v>25.951799999999999</v>
      </c>
      <c r="I218" s="14">
        <f>25.9192 * CHOOSE(CONTROL!$C$15, $E$9, 100%, $G$9) + CHOOSE(CONTROL!$C$38, 0.0342, 0)</f>
        <v>25.953399999999998</v>
      </c>
      <c r="J218" s="44">
        <f>161.6692</f>
        <v>161.66919999999999</v>
      </c>
    </row>
    <row r="219" spans="1:10" ht="15" x14ac:dyDescent="0.2">
      <c r="A219" s="13">
        <v>47574</v>
      </c>
      <c r="B219" s="14">
        <f>26.7015 * CHOOSE(CONTROL!$C$15, $E$9, 100%, $G$9) + CHOOSE(CONTROL!$C$38, 0.0251, 0)</f>
        <v>26.726599999999998</v>
      </c>
      <c r="C219" s="14">
        <f>25.2041 * CHOOSE(CONTROL!$C$15, $E$9, 100%, $G$9) + CHOOSE(CONTROL!$C$38, 0.0342, 0)</f>
        <v>25.238299999999999</v>
      </c>
      <c r="D219" s="14">
        <f>25.1963 * CHOOSE(CONTROL!$C$15, $E$9, 100%, $G$9) + CHOOSE(CONTROL!$C$38, 0.0342, 0)</f>
        <v>25.230499999999999</v>
      </c>
      <c r="E219" s="46">
        <f>26.5452 * CHOOSE(CONTROL!$C$15, $E$9, 100%, $G$9) + CHOOSE(CONTROL!$C$38, 0.0342, 0)</f>
        <v>26.5794</v>
      </c>
      <c r="F219" s="45">
        <f>26.5452 * CHOOSE(CONTROL!$C$15, $E$9, 100%, $G$9) + CHOOSE(CONTROL!$C$38, 0.0251, 0)</f>
        <v>26.5703</v>
      </c>
      <c r="G219" s="14">
        <f>25.2025 * CHOOSE(CONTROL!$C$15, $E$9, 100%, $G$9) + CHOOSE(CONTROL!$C$38, 0.0342, 0)</f>
        <v>25.236699999999999</v>
      </c>
      <c r="H219" s="14">
        <f>25.2025 * CHOOSE(CONTROL!$C$15, $E$9, 100%, $G$9) + CHOOSE(CONTROL!$C$38, 0.0342, 0)</f>
        <v>25.236699999999999</v>
      </c>
      <c r="I219" s="14">
        <f>25.2041 * CHOOSE(CONTROL!$C$15, $E$9, 100%, $G$9) + CHOOSE(CONTROL!$C$38, 0.0342, 0)</f>
        <v>25.238299999999999</v>
      </c>
      <c r="J219" s="44">
        <f>172.5201</f>
        <v>172.52010000000001</v>
      </c>
    </row>
    <row r="220" spans="1:10" ht="15" x14ac:dyDescent="0.2">
      <c r="A220" s="13">
        <v>47604</v>
      </c>
      <c r="B220" s="14">
        <f>25.9535 * CHOOSE(CONTROL!$C$15, $E$9, 100%, $G$9) + CHOOSE(CONTROL!$C$38, 0.0264, 0)</f>
        <v>25.979899999999997</v>
      </c>
      <c r="C220" s="14">
        <f>24.4534 * CHOOSE(CONTROL!$C$15, $E$9, 100%, $G$9) + CHOOSE(CONTROL!$C$38, 0.0354, 0)</f>
        <v>24.488799999999998</v>
      </c>
      <c r="D220" s="14">
        <f>24.4456 * CHOOSE(CONTROL!$C$15, $E$9, 100%, $G$9) + CHOOSE(CONTROL!$C$38, 0.0354, 0)</f>
        <v>24.480999999999998</v>
      </c>
      <c r="E220" s="46">
        <f>25.7973 * CHOOSE(CONTROL!$C$15, $E$9, 100%, $G$9) + CHOOSE(CONTROL!$C$38, 0.0354, 0)</f>
        <v>25.832699999999999</v>
      </c>
      <c r="F220" s="45">
        <f>25.7973 * CHOOSE(CONTROL!$C$15, $E$9, 100%, $G$9) + CHOOSE(CONTROL!$C$38, 0.0264, 0)</f>
        <v>25.823699999999999</v>
      </c>
      <c r="G220" s="14">
        <f>24.4518 * CHOOSE(CONTROL!$C$15, $E$9, 100%, $G$9) + CHOOSE(CONTROL!$C$38, 0.0354, 0)</f>
        <v>24.487199999999998</v>
      </c>
      <c r="H220" s="14">
        <f>24.4518 * CHOOSE(CONTROL!$C$15, $E$9, 100%, $G$9) + CHOOSE(CONTROL!$C$38, 0.0354, 0)</f>
        <v>24.487199999999998</v>
      </c>
      <c r="I220" s="14">
        <f>24.4534 * CHOOSE(CONTROL!$C$15, $E$9, 100%, $G$9) + CHOOSE(CONTROL!$C$38, 0.0354, 0)</f>
        <v>24.488799999999998</v>
      </c>
      <c r="J220" s="44">
        <f>178.6769</f>
        <v>178.67689999999999</v>
      </c>
    </row>
    <row r="221" spans="1:10" ht="15" x14ac:dyDescent="0.2">
      <c r="A221" s="13">
        <v>47635</v>
      </c>
      <c r="B221" s="14">
        <f>25.4425 * CHOOSE(CONTROL!$C$15, $E$9, 100%, $G$9) + CHOOSE(CONTROL!$C$38, 0.0264, 0)</f>
        <v>25.468899999999998</v>
      </c>
      <c r="C221" s="14">
        <f>23.9396 * CHOOSE(CONTROL!$C$15, $E$9, 100%, $G$9) + CHOOSE(CONTROL!$C$38, 0.0354, 0)</f>
        <v>23.974999999999998</v>
      </c>
      <c r="D221" s="14">
        <f>23.9318 * CHOOSE(CONTROL!$C$15, $E$9, 100%, $G$9) + CHOOSE(CONTROL!$C$38, 0.0354, 0)</f>
        <v>23.967199999999998</v>
      </c>
      <c r="E221" s="46">
        <f>25.2863 * CHOOSE(CONTROL!$C$15, $E$9, 100%, $G$9) + CHOOSE(CONTROL!$C$38, 0.0354, 0)</f>
        <v>25.3217</v>
      </c>
      <c r="F221" s="45">
        <f>25.2863 * CHOOSE(CONTROL!$C$15, $E$9, 100%, $G$9) + CHOOSE(CONTROL!$C$38, 0.0264, 0)</f>
        <v>25.3127</v>
      </c>
      <c r="G221" s="14">
        <f>23.9381 * CHOOSE(CONTROL!$C$15, $E$9, 100%, $G$9) + CHOOSE(CONTROL!$C$38, 0.0354, 0)</f>
        <v>23.973499999999998</v>
      </c>
      <c r="H221" s="14">
        <f>23.9381 * CHOOSE(CONTROL!$C$15, $E$9, 100%, $G$9) + CHOOSE(CONTROL!$C$38, 0.0354, 0)</f>
        <v>23.973499999999998</v>
      </c>
      <c r="I221" s="14">
        <f>23.9396 * CHOOSE(CONTROL!$C$15, $E$9, 100%, $G$9) + CHOOSE(CONTROL!$C$38, 0.0354, 0)</f>
        <v>23.974999999999998</v>
      </c>
      <c r="J221" s="44">
        <f>181.6248</f>
        <v>181.62479999999999</v>
      </c>
    </row>
    <row r="222" spans="1:10" ht="15" x14ac:dyDescent="0.2">
      <c r="A222" s="13">
        <v>47665</v>
      </c>
      <c r="B222" s="14">
        <f>25.1716 * CHOOSE(CONTROL!$C$15, $E$9, 100%, $G$9) + CHOOSE(CONTROL!$C$38, 0.0264, 0)</f>
        <v>25.198</v>
      </c>
      <c r="C222" s="14">
        <f>23.6659 * CHOOSE(CONTROL!$C$15, $E$9, 100%, $G$9) + CHOOSE(CONTROL!$C$38, 0.0354, 0)</f>
        <v>23.7013</v>
      </c>
      <c r="D222" s="14">
        <f>23.6581 * CHOOSE(CONTROL!$C$15, $E$9, 100%, $G$9) + CHOOSE(CONTROL!$C$38, 0.0354, 0)</f>
        <v>23.6935</v>
      </c>
      <c r="E222" s="46">
        <f>25.0154 * CHOOSE(CONTROL!$C$15, $E$9, 100%, $G$9) + CHOOSE(CONTROL!$C$38, 0.0354, 0)</f>
        <v>25.050799999999999</v>
      </c>
      <c r="F222" s="45">
        <f>25.0154 * CHOOSE(CONTROL!$C$15, $E$9, 100%, $G$9) + CHOOSE(CONTROL!$C$38, 0.0264, 0)</f>
        <v>25.041799999999999</v>
      </c>
      <c r="G222" s="14">
        <f>23.6644 * CHOOSE(CONTROL!$C$15, $E$9, 100%, $G$9) + CHOOSE(CONTROL!$C$38, 0.0354, 0)</f>
        <v>23.6998</v>
      </c>
      <c r="H222" s="14">
        <f>23.6644 * CHOOSE(CONTROL!$C$15, $E$9, 100%, $G$9) + CHOOSE(CONTROL!$C$38, 0.0354, 0)</f>
        <v>23.6998</v>
      </c>
      <c r="I222" s="14">
        <f>23.6659 * CHOOSE(CONTROL!$C$15, $E$9, 100%, $G$9) + CHOOSE(CONTROL!$C$38, 0.0354, 0)</f>
        <v>23.7013</v>
      </c>
      <c r="J222" s="44">
        <f>181.1477</f>
        <v>181.14769999999999</v>
      </c>
    </row>
    <row r="223" spans="1:10" ht="15" x14ac:dyDescent="0.2">
      <c r="A223" s="13">
        <v>47696</v>
      </c>
      <c r="B223" s="14">
        <f>25.3306 * CHOOSE(CONTROL!$C$15, $E$9, 100%, $G$9) + CHOOSE(CONTROL!$C$38, 0.0264, 0)</f>
        <v>25.356999999999999</v>
      </c>
      <c r="C223" s="14">
        <f>23.8249 * CHOOSE(CONTROL!$C$15, $E$9, 100%, $G$9) + CHOOSE(CONTROL!$C$38, 0.0354, 0)</f>
        <v>23.860299999999999</v>
      </c>
      <c r="D223" s="14">
        <f>23.8171 * CHOOSE(CONTROL!$C$15, $E$9, 100%, $G$9) + CHOOSE(CONTROL!$C$38, 0.0354, 0)</f>
        <v>23.852499999999999</v>
      </c>
      <c r="E223" s="46">
        <f>25.1743 * CHOOSE(CONTROL!$C$15, $E$9, 100%, $G$9) + CHOOSE(CONTROL!$C$38, 0.0354, 0)</f>
        <v>25.209699999999998</v>
      </c>
      <c r="F223" s="45">
        <f>25.1743 * CHOOSE(CONTROL!$C$15, $E$9, 100%, $G$9) + CHOOSE(CONTROL!$C$38, 0.0264, 0)</f>
        <v>25.200699999999998</v>
      </c>
      <c r="G223" s="14">
        <f>23.8233 * CHOOSE(CONTROL!$C$15, $E$9, 100%, $G$9) + CHOOSE(CONTROL!$C$38, 0.0354, 0)</f>
        <v>23.858699999999999</v>
      </c>
      <c r="H223" s="14">
        <f>23.8233 * CHOOSE(CONTROL!$C$15, $E$9, 100%, $G$9) + CHOOSE(CONTROL!$C$38, 0.0354, 0)</f>
        <v>23.858699999999999</v>
      </c>
      <c r="I223" s="14">
        <f>23.8249 * CHOOSE(CONTROL!$C$15, $E$9, 100%, $G$9) + CHOOSE(CONTROL!$C$38, 0.0354, 0)</f>
        <v>23.860299999999999</v>
      </c>
      <c r="J223" s="44">
        <f>176.9307</f>
        <v>176.9307</v>
      </c>
    </row>
    <row r="224" spans="1:10" ht="15" x14ac:dyDescent="0.2">
      <c r="A224" s="13">
        <v>47727</v>
      </c>
      <c r="B224" s="14">
        <f>25.7623 * CHOOSE(CONTROL!$C$15, $E$9, 100%, $G$9) + CHOOSE(CONTROL!$C$38, 0.0264, 0)</f>
        <v>25.788699999999999</v>
      </c>
      <c r="C224" s="14">
        <f>24.2566 * CHOOSE(CONTROL!$C$15, $E$9, 100%, $G$9) + CHOOSE(CONTROL!$C$38, 0.0354, 0)</f>
        <v>24.291999999999998</v>
      </c>
      <c r="D224" s="14">
        <f>24.2488 * CHOOSE(CONTROL!$C$15, $E$9, 100%, $G$9) + CHOOSE(CONTROL!$C$38, 0.0354, 0)</f>
        <v>24.284199999999998</v>
      </c>
      <c r="E224" s="46">
        <f>25.606 * CHOOSE(CONTROL!$C$15, $E$9, 100%, $G$9) + CHOOSE(CONTROL!$C$38, 0.0354, 0)</f>
        <v>25.641400000000001</v>
      </c>
      <c r="F224" s="45">
        <f>25.606 * CHOOSE(CONTROL!$C$15, $E$9, 100%, $G$9) + CHOOSE(CONTROL!$C$38, 0.0264, 0)</f>
        <v>25.632400000000001</v>
      </c>
      <c r="G224" s="14">
        <f>24.255 * CHOOSE(CONTROL!$C$15, $E$9, 100%, $G$9) + CHOOSE(CONTROL!$C$38, 0.0354, 0)</f>
        <v>24.290399999999998</v>
      </c>
      <c r="H224" s="14">
        <f>24.255 * CHOOSE(CONTROL!$C$15, $E$9, 100%, $G$9) + CHOOSE(CONTROL!$C$38, 0.0354, 0)</f>
        <v>24.290399999999998</v>
      </c>
      <c r="I224" s="14">
        <f>24.2566 * CHOOSE(CONTROL!$C$15, $E$9, 100%, $G$9) + CHOOSE(CONTROL!$C$38, 0.0354, 0)</f>
        <v>24.291999999999998</v>
      </c>
      <c r="J224" s="44">
        <f>171.0498</f>
        <v>171.0498</v>
      </c>
    </row>
    <row r="225" spans="1:10" ht="15" x14ac:dyDescent="0.2">
      <c r="A225" s="13">
        <v>47757</v>
      </c>
      <c r="B225" s="14">
        <f>26.1238 * CHOOSE(CONTROL!$C$15, $E$9, 100%, $G$9) + CHOOSE(CONTROL!$C$38, 0.0251, 0)</f>
        <v>26.148899999999998</v>
      </c>
      <c r="C225" s="14">
        <f>24.6181 * CHOOSE(CONTROL!$C$15, $E$9, 100%, $G$9) + CHOOSE(CONTROL!$C$38, 0.0342, 0)</f>
        <v>24.652299999999997</v>
      </c>
      <c r="D225" s="14">
        <f>24.6103 * CHOOSE(CONTROL!$C$15, $E$9, 100%, $G$9) + CHOOSE(CONTROL!$C$38, 0.0342, 0)</f>
        <v>24.644499999999997</v>
      </c>
      <c r="E225" s="46">
        <f>25.9676 * CHOOSE(CONTROL!$C$15, $E$9, 100%, $G$9) + CHOOSE(CONTROL!$C$38, 0.0342, 0)</f>
        <v>26.001799999999999</v>
      </c>
      <c r="F225" s="45">
        <f>25.9676 * CHOOSE(CONTROL!$C$15, $E$9, 100%, $G$9) + CHOOSE(CONTROL!$C$38, 0.0251, 0)</f>
        <v>25.992699999999999</v>
      </c>
      <c r="G225" s="14">
        <f>24.6166 * CHOOSE(CONTROL!$C$15, $E$9, 100%, $G$9) + CHOOSE(CONTROL!$C$38, 0.0342, 0)</f>
        <v>24.650799999999997</v>
      </c>
      <c r="H225" s="14">
        <f>24.6166 * CHOOSE(CONTROL!$C$15, $E$9, 100%, $G$9) + CHOOSE(CONTROL!$C$38, 0.0342, 0)</f>
        <v>24.650799999999997</v>
      </c>
      <c r="I225" s="14">
        <f>24.6181 * CHOOSE(CONTROL!$C$15, $E$9, 100%, $G$9) + CHOOSE(CONTROL!$C$38, 0.0342, 0)</f>
        <v>24.652299999999997</v>
      </c>
      <c r="J225" s="44">
        <f>165.1347</f>
        <v>165.13470000000001</v>
      </c>
    </row>
    <row r="226" spans="1:10" ht="15" x14ac:dyDescent="0.2">
      <c r="A226" s="13">
        <v>47788</v>
      </c>
      <c r="B226" s="14">
        <f>26.4256 * CHOOSE(CONTROL!$C$15, $E$9, 100%, $G$9) + CHOOSE(CONTROL!$C$38, 0.0251, 0)</f>
        <v>26.450699999999998</v>
      </c>
      <c r="C226" s="14">
        <f>24.9199 * CHOOSE(CONTROL!$C$15, $E$9, 100%, $G$9) + CHOOSE(CONTROL!$C$38, 0.0342, 0)</f>
        <v>24.954099999999997</v>
      </c>
      <c r="D226" s="14">
        <f>24.912 * CHOOSE(CONTROL!$C$15, $E$9, 100%, $G$9) + CHOOSE(CONTROL!$C$38, 0.0342, 0)</f>
        <v>24.946199999999997</v>
      </c>
      <c r="E226" s="46">
        <f>26.2693 * CHOOSE(CONTROL!$C$15, $E$9, 100%, $G$9) + CHOOSE(CONTROL!$C$38, 0.0342, 0)</f>
        <v>26.3035</v>
      </c>
      <c r="F226" s="45">
        <f>26.2693 * CHOOSE(CONTROL!$C$15, $E$9, 100%, $G$9) + CHOOSE(CONTROL!$C$38, 0.0251, 0)</f>
        <v>26.2944</v>
      </c>
      <c r="G226" s="14">
        <f>24.9183 * CHOOSE(CONTROL!$C$15, $E$9, 100%, $G$9) + CHOOSE(CONTROL!$C$38, 0.0342, 0)</f>
        <v>24.952499999999997</v>
      </c>
      <c r="H226" s="14">
        <f>24.9183 * CHOOSE(CONTROL!$C$15, $E$9, 100%, $G$9) + CHOOSE(CONTROL!$C$38, 0.0342, 0)</f>
        <v>24.952499999999997</v>
      </c>
      <c r="I226" s="14">
        <f>24.9199 * CHOOSE(CONTROL!$C$15, $E$9, 100%, $G$9) + CHOOSE(CONTROL!$C$38, 0.0342, 0)</f>
        <v>24.954099999999997</v>
      </c>
      <c r="J226" s="44">
        <f>163.9581</f>
        <v>163.9581</v>
      </c>
    </row>
    <row r="227" spans="1:10" ht="15" x14ac:dyDescent="0.2">
      <c r="A227" s="13">
        <v>47818</v>
      </c>
      <c r="B227" s="14">
        <f>27.3552 * CHOOSE(CONTROL!$C$15, $E$9, 100%, $G$9) + CHOOSE(CONTROL!$C$38, 0.0251, 0)</f>
        <v>27.380299999999998</v>
      </c>
      <c r="C227" s="14">
        <f>25.8495 * CHOOSE(CONTROL!$C$15, $E$9, 100%, $G$9) + CHOOSE(CONTROL!$C$38, 0.0342, 0)</f>
        <v>25.883699999999997</v>
      </c>
      <c r="D227" s="14">
        <f>25.8417 * CHOOSE(CONTROL!$C$15, $E$9, 100%, $G$9) + CHOOSE(CONTROL!$C$38, 0.0342, 0)</f>
        <v>25.875899999999998</v>
      </c>
      <c r="E227" s="46">
        <f>27.199 * CHOOSE(CONTROL!$C$15, $E$9, 100%, $G$9) + CHOOSE(CONTROL!$C$38, 0.0342, 0)</f>
        <v>27.2332</v>
      </c>
      <c r="F227" s="45">
        <f>27.199 * CHOOSE(CONTROL!$C$15, $E$9, 100%, $G$9) + CHOOSE(CONTROL!$C$38, 0.0251, 0)</f>
        <v>27.2241</v>
      </c>
      <c r="G227" s="14">
        <f>25.848 * CHOOSE(CONTROL!$C$15, $E$9, 100%, $G$9) + CHOOSE(CONTROL!$C$38, 0.0342, 0)</f>
        <v>25.882199999999997</v>
      </c>
      <c r="H227" s="14">
        <f>25.848 * CHOOSE(CONTROL!$C$15, $E$9, 100%, $G$9) + CHOOSE(CONTROL!$C$38, 0.0342, 0)</f>
        <v>25.882199999999997</v>
      </c>
      <c r="I227" s="14">
        <f>25.8495 * CHOOSE(CONTROL!$C$15, $E$9, 100%, $G$9) + CHOOSE(CONTROL!$C$38, 0.0342, 0)</f>
        <v>25.883699999999997</v>
      </c>
      <c r="J227" s="44">
        <f>159.0926</f>
        <v>159.0926</v>
      </c>
    </row>
    <row r="228" spans="1:10" ht="15" x14ac:dyDescent="0.2">
      <c r="A228" s="13">
        <v>47849</v>
      </c>
      <c r="B228" s="14">
        <f>28.5239 * CHOOSE(CONTROL!$C$15, $E$9, 100%, $G$9) + CHOOSE(CONTROL!$C$38, 0.0251, 0)</f>
        <v>28.548999999999999</v>
      </c>
      <c r="C228" s="14">
        <f>26.9955 * CHOOSE(CONTROL!$C$15, $E$9, 100%, $G$9) + CHOOSE(CONTROL!$C$38, 0.0342, 0)</f>
        <v>27.029699999999998</v>
      </c>
      <c r="D228" s="14">
        <f>26.9877 * CHOOSE(CONTROL!$C$15, $E$9, 100%, $G$9) + CHOOSE(CONTROL!$C$38, 0.0342, 0)</f>
        <v>27.021899999999999</v>
      </c>
      <c r="E228" s="46">
        <f>28.3676 * CHOOSE(CONTROL!$C$15, $E$9, 100%, $G$9) + CHOOSE(CONTROL!$C$38, 0.0342, 0)</f>
        <v>28.401799999999998</v>
      </c>
      <c r="F228" s="45">
        <f>28.3676 * CHOOSE(CONTROL!$C$15, $E$9, 100%, $G$9) + CHOOSE(CONTROL!$C$38, 0.0251, 0)</f>
        <v>28.392699999999998</v>
      </c>
      <c r="G228" s="14">
        <f>26.9939 * CHOOSE(CONTROL!$C$15, $E$9, 100%, $G$9) + CHOOSE(CONTROL!$C$38, 0.0342, 0)</f>
        <v>27.028099999999998</v>
      </c>
      <c r="H228" s="14">
        <f>26.9939 * CHOOSE(CONTROL!$C$15, $E$9, 100%, $G$9) + CHOOSE(CONTROL!$C$38, 0.0342, 0)</f>
        <v>27.028099999999998</v>
      </c>
      <c r="I228" s="14">
        <f>26.9955 * CHOOSE(CONTROL!$C$15, $E$9, 100%, $G$9) + CHOOSE(CONTROL!$C$38, 0.0342, 0)</f>
        <v>27.029699999999998</v>
      </c>
      <c r="J228" s="44">
        <f>158.9778</f>
        <v>158.9778</v>
      </c>
    </row>
    <row r="229" spans="1:10" ht="15" x14ac:dyDescent="0.2">
      <c r="A229" s="13">
        <v>47880</v>
      </c>
      <c r="B229" s="14">
        <f>28.8682 * CHOOSE(CONTROL!$C$15, $E$9, 100%, $G$9) + CHOOSE(CONTROL!$C$38, 0.0251, 0)</f>
        <v>28.8933</v>
      </c>
      <c r="C229" s="14">
        <f>27.3398 * CHOOSE(CONTROL!$C$15, $E$9, 100%, $G$9) + CHOOSE(CONTROL!$C$38, 0.0342, 0)</f>
        <v>27.373999999999999</v>
      </c>
      <c r="D229" s="14">
        <f>27.332 * CHOOSE(CONTROL!$C$15, $E$9, 100%, $G$9) + CHOOSE(CONTROL!$C$38, 0.0342, 0)</f>
        <v>27.366199999999999</v>
      </c>
      <c r="E229" s="46">
        <f>28.7119 * CHOOSE(CONTROL!$C$15, $E$9, 100%, $G$9) + CHOOSE(CONTROL!$C$38, 0.0342, 0)</f>
        <v>28.746099999999998</v>
      </c>
      <c r="F229" s="45">
        <f>28.7119 * CHOOSE(CONTROL!$C$15, $E$9, 100%, $G$9) + CHOOSE(CONTROL!$C$38, 0.0251, 0)</f>
        <v>28.736999999999998</v>
      </c>
      <c r="G229" s="14">
        <f>27.3383 * CHOOSE(CONTROL!$C$15, $E$9, 100%, $G$9) + CHOOSE(CONTROL!$C$38, 0.0342, 0)</f>
        <v>27.372499999999999</v>
      </c>
      <c r="H229" s="14">
        <f>27.3383 * CHOOSE(CONTROL!$C$15, $E$9, 100%, $G$9) + CHOOSE(CONTROL!$C$38, 0.0342, 0)</f>
        <v>27.372499999999999</v>
      </c>
      <c r="I229" s="14">
        <f>27.3398 * CHOOSE(CONTROL!$C$15, $E$9, 100%, $G$9) + CHOOSE(CONTROL!$C$38, 0.0342, 0)</f>
        <v>27.373999999999999</v>
      </c>
      <c r="J229" s="44">
        <f>158.5359</f>
        <v>158.5359</v>
      </c>
    </row>
    <row r="230" spans="1:10" ht="15" x14ac:dyDescent="0.2">
      <c r="A230" s="13">
        <v>47908</v>
      </c>
      <c r="B230" s="14">
        <f>28.0712 * CHOOSE(CONTROL!$C$15, $E$9, 100%, $G$9) + CHOOSE(CONTROL!$C$38, 0.0251, 0)</f>
        <v>28.096299999999999</v>
      </c>
      <c r="C230" s="14">
        <f>26.5428 * CHOOSE(CONTROL!$C$15, $E$9, 100%, $G$9) + CHOOSE(CONTROL!$C$38, 0.0342, 0)</f>
        <v>26.576999999999998</v>
      </c>
      <c r="D230" s="14">
        <f>26.535 * CHOOSE(CONTROL!$C$15, $E$9, 100%, $G$9) + CHOOSE(CONTROL!$C$38, 0.0342, 0)</f>
        <v>26.569199999999999</v>
      </c>
      <c r="E230" s="46">
        <f>27.9149 * CHOOSE(CONTROL!$C$15, $E$9, 100%, $G$9) + CHOOSE(CONTROL!$C$38, 0.0342, 0)</f>
        <v>27.949099999999998</v>
      </c>
      <c r="F230" s="45">
        <f>27.9149 * CHOOSE(CONTROL!$C$15, $E$9, 100%, $G$9) + CHOOSE(CONTROL!$C$38, 0.0251, 0)</f>
        <v>27.939999999999998</v>
      </c>
      <c r="G230" s="14">
        <f>26.5412 * CHOOSE(CONTROL!$C$15, $E$9, 100%, $G$9) + CHOOSE(CONTROL!$C$38, 0.0342, 0)</f>
        <v>26.575399999999998</v>
      </c>
      <c r="H230" s="14">
        <f>26.5412 * CHOOSE(CONTROL!$C$15, $E$9, 100%, $G$9) + CHOOSE(CONTROL!$C$38, 0.0342, 0)</f>
        <v>26.575399999999998</v>
      </c>
      <c r="I230" s="14">
        <f>26.5428 * CHOOSE(CONTROL!$C$15, $E$9, 100%, $G$9) + CHOOSE(CONTROL!$C$38, 0.0342, 0)</f>
        <v>26.576999999999998</v>
      </c>
      <c r="J230" s="44">
        <f>166.8916</f>
        <v>166.89160000000001</v>
      </c>
    </row>
    <row r="231" spans="1:10" ht="15" x14ac:dyDescent="0.2">
      <c r="A231" s="13">
        <v>47939</v>
      </c>
      <c r="B231" s="14">
        <f>27.2988 * CHOOSE(CONTROL!$C$15, $E$9, 100%, $G$9) + CHOOSE(CONTROL!$C$38, 0.0251, 0)</f>
        <v>27.323899999999998</v>
      </c>
      <c r="C231" s="14">
        <f>25.7705 * CHOOSE(CONTROL!$C$15, $E$9, 100%, $G$9) + CHOOSE(CONTROL!$C$38, 0.0342, 0)</f>
        <v>25.804699999999997</v>
      </c>
      <c r="D231" s="14">
        <f>25.7627 * CHOOSE(CONTROL!$C$15, $E$9, 100%, $G$9) + CHOOSE(CONTROL!$C$38, 0.0342, 0)</f>
        <v>25.796899999999997</v>
      </c>
      <c r="E231" s="46">
        <f>27.1426 * CHOOSE(CONTROL!$C$15, $E$9, 100%, $G$9) + CHOOSE(CONTROL!$C$38, 0.0342, 0)</f>
        <v>27.1768</v>
      </c>
      <c r="F231" s="45">
        <f>27.1426 * CHOOSE(CONTROL!$C$15, $E$9, 100%, $G$9) + CHOOSE(CONTROL!$C$38, 0.0251, 0)</f>
        <v>27.1677</v>
      </c>
      <c r="G231" s="14">
        <f>25.7689 * CHOOSE(CONTROL!$C$15, $E$9, 100%, $G$9) + CHOOSE(CONTROL!$C$38, 0.0342, 0)</f>
        <v>25.803099999999997</v>
      </c>
      <c r="H231" s="14">
        <f>25.7689 * CHOOSE(CONTROL!$C$15, $E$9, 100%, $G$9) + CHOOSE(CONTROL!$C$38, 0.0342, 0)</f>
        <v>25.803099999999997</v>
      </c>
      <c r="I231" s="14">
        <f>25.7705 * CHOOSE(CONTROL!$C$15, $E$9, 100%, $G$9) + CHOOSE(CONTROL!$C$38, 0.0342, 0)</f>
        <v>25.804699999999997</v>
      </c>
      <c r="J231" s="44">
        <f>177.727</f>
        <v>177.727</v>
      </c>
    </row>
    <row r="232" spans="1:10" ht="15" x14ac:dyDescent="0.2">
      <c r="A232" s="13">
        <v>47969</v>
      </c>
      <c r="B232" s="14">
        <f>26.4939 * CHOOSE(CONTROL!$C$15, $E$9, 100%, $G$9) + CHOOSE(CONTROL!$C$38, 0.0264, 0)</f>
        <v>26.520299999999999</v>
      </c>
      <c r="C232" s="14">
        <f>24.9655 * CHOOSE(CONTROL!$C$15, $E$9, 100%, $G$9) + CHOOSE(CONTROL!$C$38, 0.0354, 0)</f>
        <v>25.000899999999998</v>
      </c>
      <c r="D232" s="14">
        <f>24.9577 * CHOOSE(CONTROL!$C$15, $E$9, 100%, $G$9) + CHOOSE(CONTROL!$C$38, 0.0354, 0)</f>
        <v>24.993099999999998</v>
      </c>
      <c r="E232" s="46">
        <f>26.3376 * CHOOSE(CONTROL!$C$15, $E$9, 100%, $G$9) + CHOOSE(CONTROL!$C$38, 0.0354, 0)</f>
        <v>26.372999999999998</v>
      </c>
      <c r="F232" s="45">
        <f>26.3376 * CHOOSE(CONTROL!$C$15, $E$9, 100%, $G$9) + CHOOSE(CONTROL!$C$38, 0.0264, 0)</f>
        <v>26.363999999999997</v>
      </c>
      <c r="G232" s="14">
        <f>24.9639 * CHOOSE(CONTROL!$C$15, $E$9, 100%, $G$9) + CHOOSE(CONTROL!$C$38, 0.0354, 0)</f>
        <v>24.999299999999998</v>
      </c>
      <c r="H232" s="14">
        <f>24.9639 * CHOOSE(CONTROL!$C$15, $E$9, 100%, $G$9) + CHOOSE(CONTROL!$C$38, 0.0354, 0)</f>
        <v>24.999299999999998</v>
      </c>
      <c r="I232" s="14">
        <f>24.9655 * CHOOSE(CONTROL!$C$15, $E$9, 100%, $G$9) + CHOOSE(CONTROL!$C$38, 0.0354, 0)</f>
        <v>25.000899999999998</v>
      </c>
      <c r="J232" s="44">
        <f>183.6912</f>
        <v>183.69120000000001</v>
      </c>
    </row>
    <row r="233" spans="1:10" ht="15" x14ac:dyDescent="0.2">
      <c r="A233" s="13">
        <v>48000</v>
      </c>
      <c r="B233" s="14">
        <f>25.9295 * CHOOSE(CONTROL!$C$15, $E$9, 100%, $G$9) + CHOOSE(CONTROL!$C$38, 0.0264, 0)</f>
        <v>25.9559</v>
      </c>
      <c r="C233" s="14">
        <f>24.4012 * CHOOSE(CONTROL!$C$15, $E$9, 100%, $G$9) + CHOOSE(CONTROL!$C$38, 0.0354, 0)</f>
        <v>24.436599999999999</v>
      </c>
      <c r="D233" s="14">
        <f>24.3934 * CHOOSE(CONTROL!$C$15, $E$9, 100%, $G$9) + CHOOSE(CONTROL!$C$38, 0.0354, 0)</f>
        <v>24.428799999999999</v>
      </c>
      <c r="E233" s="46">
        <f>25.7733 * CHOOSE(CONTROL!$C$15, $E$9, 100%, $G$9) + CHOOSE(CONTROL!$C$38, 0.0354, 0)</f>
        <v>25.808699999999998</v>
      </c>
      <c r="F233" s="45">
        <f>25.7733 * CHOOSE(CONTROL!$C$15, $E$9, 100%, $G$9) + CHOOSE(CONTROL!$C$38, 0.0264, 0)</f>
        <v>25.799699999999998</v>
      </c>
      <c r="G233" s="14">
        <f>24.3996 * CHOOSE(CONTROL!$C$15, $E$9, 100%, $G$9) + CHOOSE(CONTROL!$C$38, 0.0354, 0)</f>
        <v>24.434999999999999</v>
      </c>
      <c r="H233" s="14">
        <f>24.3996 * CHOOSE(CONTROL!$C$15, $E$9, 100%, $G$9) + CHOOSE(CONTROL!$C$38, 0.0354, 0)</f>
        <v>24.434999999999999</v>
      </c>
      <c r="I233" s="14">
        <f>24.4012 * CHOOSE(CONTROL!$C$15, $E$9, 100%, $G$9) + CHOOSE(CONTROL!$C$38, 0.0354, 0)</f>
        <v>24.436599999999999</v>
      </c>
      <c r="J233" s="44">
        <f>186.338</f>
        <v>186.33799999999999</v>
      </c>
    </row>
    <row r="234" spans="1:10" ht="15" x14ac:dyDescent="0.2">
      <c r="A234" s="13">
        <v>48030</v>
      </c>
      <c r="B234" s="14">
        <f>25.6075 * CHOOSE(CONTROL!$C$15, $E$9, 100%, $G$9) + CHOOSE(CONTROL!$C$38, 0.0264, 0)</f>
        <v>25.633900000000001</v>
      </c>
      <c r="C234" s="14">
        <f>24.0791 * CHOOSE(CONTROL!$C$15, $E$9, 100%, $G$9) + CHOOSE(CONTROL!$C$38, 0.0354, 0)</f>
        <v>24.1145</v>
      </c>
      <c r="D234" s="14">
        <f>24.0713 * CHOOSE(CONTROL!$C$15, $E$9, 100%, $G$9) + CHOOSE(CONTROL!$C$38, 0.0354, 0)</f>
        <v>24.1067</v>
      </c>
      <c r="E234" s="46">
        <f>25.4512 * CHOOSE(CONTROL!$C$15, $E$9, 100%, $G$9) + CHOOSE(CONTROL!$C$38, 0.0354, 0)</f>
        <v>25.486599999999999</v>
      </c>
      <c r="F234" s="45">
        <f>25.4512 * CHOOSE(CONTROL!$C$15, $E$9, 100%, $G$9) + CHOOSE(CONTROL!$C$38, 0.0264, 0)</f>
        <v>25.477599999999999</v>
      </c>
      <c r="G234" s="14">
        <f>24.0776 * CHOOSE(CONTROL!$C$15, $E$9, 100%, $G$9) + CHOOSE(CONTROL!$C$38, 0.0354, 0)</f>
        <v>24.113</v>
      </c>
      <c r="H234" s="14">
        <f>24.0776 * CHOOSE(CONTROL!$C$15, $E$9, 100%, $G$9) + CHOOSE(CONTROL!$C$38, 0.0354, 0)</f>
        <v>24.113</v>
      </c>
      <c r="I234" s="14">
        <f>24.0791 * CHOOSE(CONTROL!$C$15, $E$9, 100%, $G$9) + CHOOSE(CONTROL!$C$38, 0.0354, 0)</f>
        <v>24.1145</v>
      </c>
      <c r="J234" s="44">
        <f>185.4666</f>
        <v>185.4666</v>
      </c>
    </row>
    <row r="235" spans="1:10" ht="15" x14ac:dyDescent="0.2">
      <c r="A235" s="13">
        <v>48061</v>
      </c>
      <c r="B235" s="14">
        <f>25.7664 * CHOOSE(CONTROL!$C$15, $E$9, 100%, $G$9) + CHOOSE(CONTROL!$C$38, 0.0264, 0)</f>
        <v>25.7928</v>
      </c>
      <c r="C235" s="14">
        <f>24.2381 * CHOOSE(CONTROL!$C$15, $E$9, 100%, $G$9) + CHOOSE(CONTROL!$C$38, 0.0354, 0)</f>
        <v>24.273499999999999</v>
      </c>
      <c r="D235" s="14">
        <f>24.2303 * CHOOSE(CONTROL!$C$15, $E$9, 100%, $G$9) + CHOOSE(CONTROL!$C$38, 0.0354, 0)</f>
        <v>24.265699999999999</v>
      </c>
      <c r="E235" s="46">
        <f>25.6102 * CHOOSE(CONTROL!$C$15, $E$9, 100%, $G$9) + CHOOSE(CONTROL!$C$38, 0.0354, 0)</f>
        <v>25.645599999999998</v>
      </c>
      <c r="F235" s="45">
        <f>25.6102 * CHOOSE(CONTROL!$C$15, $E$9, 100%, $G$9) + CHOOSE(CONTROL!$C$38, 0.0264, 0)</f>
        <v>25.636599999999998</v>
      </c>
      <c r="G235" s="14">
        <f>24.2365 * CHOOSE(CONTROL!$C$15, $E$9, 100%, $G$9) + CHOOSE(CONTROL!$C$38, 0.0354, 0)</f>
        <v>24.271899999999999</v>
      </c>
      <c r="H235" s="14">
        <f>24.2365 * CHOOSE(CONTROL!$C$15, $E$9, 100%, $G$9) + CHOOSE(CONTROL!$C$38, 0.0354, 0)</f>
        <v>24.271899999999999</v>
      </c>
      <c r="I235" s="14">
        <f>24.2381 * CHOOSE(CONTROL!$C$15, $E$9, 100%, $G$9) + CHOOSE(CONTROL!$C$38, 0.0354, 0)</f>
        <v>24.273499999999999</v>
      </c>
      <c r="J235" s="44">
        <f>181.149</f>
        <v>181.149</v>
      </c>
    </row>
    <row r="236" spans="1:10" ht="15" x14ac:dyDescent="0.2">
      <c r="A236" s="13">
        <v>48092</v>
      </c>
      <c r="B236" s="14">
        <f>26.1981 * CHOOSE(CONTROL!$C$15, $E$9, 100%, $G$9) + CHOOSE(CONTROL!$C$38, 0.0264, 0)</f>
        <v>26.224499999999999</v>
      </c>
      <c r="C236" s="14">
        <f>24.6698 * CHOOSE(CONTROL!$C$15, $E$9, 100%, $G$9) + CHOOSE(CONTROL!$C$38, 0.0354, 0)</f>
        <v>24.705199999999998</v>
      </c>
      <c r="D236" s="14">
        <f>24.662 * CHOOSE(CONTROL!$C$15, $E$9, 100%, $G$9) + CHOOSE(CONTROL!$C$38, 0.0354, 0)</f>
        <v>24.697399999999998</v>
      </c>
      <c r="E236" s="46">
        <f>26.0419 * CHOOSE(CONTROL!$C$15, $E$9, 100%, $G$9) + CHOOSE(CONTROL!$C$38, 0.0354, 0)</f>
        <v>26.077299999999997</v>
      </c>
      <c r="F236" s="45">
        <f>26.0419 * CHOOSE(CONTROL!$C$15, $E$9, 100%, $G$9) + CHOOSE(CONTROL!$C$38, 0.0264, 0)</f>
        <v>26.068299999999997</v>
      </c>
      <c r="G236" s="14">
        <f>24.6682 * CHOOSE(CONTROL!$C$15, $E$9, 100%, $G$9) + CHOOSE(CONTROL!$C$38, 0.0354, 0)</f>
        <v>24.703599999999998</v>
      </c>
      <c r="H236" s="14">
        <f>24.6682 * CHOOSE(CONTROL!$C$15, $E$9, 100%, $G$9) + CHOOSE(CONTROL!$C$38, 0.0354, 0)</f>
        <v>24.703599999999998</v>
      </c>
      <c r="I236" s="14">
        <f>24.6698 * CHOOSE(CONTROL!$C$15, $E$9, 100%, $G$9) + CHOOSE(CONTROL!$C$38, 0.0354, 0)</f>
        <v>24.705199999999998</v>
      </c>
      <c r="J236" s="44">
        <f>175.1279</f>
        <v>175.12790000000001</v>
      </c>
    </row>
    <row r="237" spans="1:10" ht="15" x14ac:dyDescent="0.2">
      <c r="A237" s="13">
        <v>48122</v>
      </c>
      <c r="B237" s="14">
        <f>26.5597 * CHOOSE(CONTROL!$C$15, $E$9, 100%, $G$9) + CHOOSE(CONTROL!$C$38, 0.0251, 0)</f>
        <v>26.584799999999998</v>
      </c>
      <c r="C237" s="14">
        <f>25.0313 * CHOOSE(CONTROL!$C$15, $E$9, 100%, $G$9) + CHOOSE(CONTROL!$C$38, 0.0342, 0)</f>
        <v>25.0655</v>
      </c>
      <c r="D237" s="14">
        <f>25.0235 * CHOOSE(CONTROL!$C$15, $E$9, 100%, $G$9) + CHOOSE(CONTROL!$C$38, 0.0342, 0)</f>
        <v>25.057699999999997</v>
      </c>
      <c r="E237" s="46">
        <f>26.4035 * CHOOSE(CONTROL!$C$15, $E$9, 100%, $G$9) + CHOOSE(CONTROL!$C$38, 0.0342, 0)</f>
        <v>26.4377</v>
      </c>
      <c r="F237" s="45">
        <f>26.4035 * CHOOSE(CONTROL!$C$15, $E$9, 100%, $G$9) + CHOOSE(CONTROL!$C$38, 0.0251, 0)</f>
        <v>26.428599999999999</v>
      </c>
      <c r="G237" s="14">
        <f>25.0298 * CHOOSE(CONTROL!$C$15, $E$9, 100%, $G$9) + CHOOSE(CONTROL!$C$38, 0.0342, 0)</f>
        <v>25.064</v>
      </c>
      <c r="H237" s="14">
        <f>25.0298 * CHOOSE(CONTROL!$C$15, $E$9, 100%, $G$9) + CHOOSE(CONTROL!$C$38, 0.0342, 0)</f>
        <v>25.064</v>
      </c>
      <c r="I237" s="14">
        <f>25.0313 * CHOOSE(CONTROL!$C$15, $E$9, 100%, $G$9) + CHOOSE(CONTROL!$C$38, 0.0342, 0)</f>
        <v>25.0655</v>
      </c>
      <c r="J237" s="44">
        <f>169.0718</f>
        <v>169.0718</v>
      </c>
    </row>
    <row r="238" spans="1:10" ht="15" x14ac:dyDescent="0.2">
      <c r="A238" s="13">
        <v>48153</v>
      </c>
      <c r="B238" s="14">
        <f>26.8614 * CHOOSE(CONTROL!$C$15, $E$9, 100%, $G$9) + CHOOSE(CONTROL!$C$38, 0.0251, 0)</f>
        <v>26.886499999999998</v>
      </c>
      <c r="C238" s="14">
        <f>25.333 * CHOOSE(CONTROL!$C$15, $E$9, 100%, $G$9) + CHOOSE(CONTROL!$C$38, 0.0342, 0)</f>
        <v>25.367199999999997</v>
      </c>
      <c r="D238" s="14">
        <f>25.3252 * CHOOSE(CONTROL!$C$15, $E$9, 100%, $G$9) + CHOOSE(CONTROL!$C$38, 0.0342, 0)</f>
        <v>25.359399999999997</v>
      </c>
      <c r="E238" s="46">
        <f>26.7052 * CHOOSE(CONTROL!$C$15, $E$9, 100%, $G$9) + CHOOSE(CONTROL!$C$38, 0.0342, 0)</f>
        <v>26.7394</v>
      </c>
      <c r="F238" s="45">
        <f>26.7052 * CHOOSE(CONTROL!$C$15, $E$9, 100%, $G$9) + CHOOSE(CONTROL!$C$38, 0.0251, 0)</f>
        <v>26.7303</v>
      </c>
      <c r="G238" s="14">
        <f>25.3315 * CHOOSE(CONTROL!$C$15, $E$9, 100%, $G$9) + CHOOSE(CONTROL!$C$38, 0.0342, 0)</f>
        <v>25.365699999999997</v>
      </c>
      <c r="H238" s="14">
        <f>25.3315 * CHOOSE(CONTROL!$C$15, $E$9, 100%, $G$9) + CHOOSE(CONTROL!$C$38, 0.0342, 0)</f>
        <v>25.365699999999997</v>
      </c>
      <c r="I238" s="14">
        <f>25.333 * CHOOSE(CONTROL!$C$15, $E$9, 100%, $G$9) + CHOOSE(CONTROL!$C$38, 0.0342, 0)</f>
        <v>25.367199999999997</v>
      </c>
      <c r="J238" s="44">
        <f>167.8671</f>
        <v>167.86709999999999</v>
      </c>
    </row>
    <row r="239" spans="1:10" ht="15" x14ac:dyDescent="0.2">
      <c r="A239" s="13">
        <v>48183</v>
      </c>
      <c r="B239" s="14">
        <f>27.7911 * CHOOSE(CONTROL!$C$15, $E$9, 100%, $G$9) + CHOOSE(CONTROL!$C$38, 0.0251, 0)</f>
        <v>27.816199999999998</v>
      </c>
      <c r="C239" s="14">
        <f>26.2627 * CHOOSE(CONTROL!$C$15, $E$9, 100%, $G$9) + CHOOSE(CONTROL!$C$38, 0.0342, 0)</f>
        <v>26.296899999999997</v>
      </c>
      <c r="D239" s="14">
        <f>26.2549 * CHOOSE(CONTROL!$C$15, $E$9, 100%, $G$9) + CHOOSE(CONTROL!$C$38, 0.0342, 0)</f>
        <v>26.289099999999998</v>
      </c>
      <c r="E239" s="46">
        <f>27.6348 * CHOOSE(CONTROL!$C$15, $E$9, 100%, $G$9) + CHOOSE(CONTROL!$C$38, 0.0342, 0)</f>
        <v>27.668999999999997</v>
      </c>
      <c r="F239" s="45">
        <f>27.6348 * CHOOSE(CONTROL!$C$15, $E$9, 100%, $G$9) + CHOOSE(CONTROL!$C$38, 0.0251, 0)</f>
        <v>27.659899999999997</v>
      </c>
      <c r="G239" s="14">
        <f>26.2611 * CHOOSE(CONTROL!$C$15, $E$9, 100%, $G$9) + CHOOSE(CONTROL!$C$38, 0.0342, 0)</f>
        <v>26.295299999999997</v>
      </c>
      <c r="H239" s="14">
        <f>26.2611 * CHOOSE(CONTROL!$C$15, $E$9, 100%, $G$9) + CHOOSE(CONTROL!$C$38, 0.0342, 0)</f>
        <v>26.295299999999997</v>
      </c>
      <c r="I239" s="14">
        <f>26.2627 * CHOOSE(CONTROL!$C$15, $E$9, 100%, $G$9) + CHOOSE(CONTROL!$C$38, 0.0342, 0)</f>
        <v>26.296899999999997</v>
      </c>
      <c r="J239" s="44">
        <f>162.8856</f>
        <v>162.88560000000001</v>
      </c>
    </row>
    <row r="240" spans="1:10" ht="15" x14ac:dyDescent="0.2">
      <c r="A240" s="13">
        <v>48214</v>
      </c>
      <c r="B240" s="14">
        <f>28.9671 * CHOOSE(CONTROL!$C$15, $E$9, 100%, $G$9) + CHOOSE(CONTROL!$C$38, 0.0251, 0)</f>
        <v>28.992199999999997</v>
      </c>
      <c r="C240" s="14">
        <f>27.4156 * CHOOSE(CONTROL!$C$15, $E$9, 100%, $G$9) + CHOOSE(CONTROL!$C$38, 0.0342, 0)</f>
        <v>27.4498</v>
      </c>
      <c r="D240" s="14">
        <f>27.4078 * CHOOSE(CONTROL!$C$15, $E$9, 100%, $G$9) + CHOOSE(CONTROL!$C$38, 0.0342, 0)</f>
        <v>27.442</v>
      </c>
      <c r="E240" s="46">
        <f>28.8108 * CHOOSE(CONTROL!$C$15, $E$9, 100%, $G$9) + CHOOSE(CONTROL!$C$38, 0.0342, 0)</f>
        <v>28.844999999999999</v>
      </c>
      <c r="F240" s="45">
        <f>28.8108 * CHOOSE(CONTROL!$C$15, $E$9, 100%, $G$9) + CHOOSE(CONTROL!$C$38, 0.0251, 0)</f>
        <v>28.835899999999999</v>
      </c>
      <c r="G240" s="14">
        <f>27.4141 * CHOOSE(CONTROL!$C$15, $E$9, 100%, $G$9) + CHOOSE(CONTROL!$C$38, 0.0342, 0)</f>
        <v>27.4483</v>
      </c>
      <c r="H240" s="14">
        <f>27.4141 * CHOOSE(CONTROL!$C$15, $E$9, 100%, $G$9) + CHOOSE(CONTROL!$C$38, 0.0342, 0)</f>
        <v>27.4483</v>
      </c>
      <c r="I240" s="14">
        <f>27.4156 * CHOOSE(CONTROL!$C$15, $E$9, 100%, $G$9) + CHOOSE(CONTROL!$C$38, 0.0342, 0)</f>
        <v>27.4498</v>
      </c>
      <c r="J240" s="44">
        <f>162.768</f>
        <v>162.768</v>
      </c>
    </row>
    <row r="241" spans="1:10" ht="15" x14ac:dyDescent="0.2">
      <c r="A241" s="13">
        <v>48245</v>
      </c>
      <c r="B241" s="14">
        <f>29.3114 * CHOOSE(CONTROL!$C$15, $E$9, 100%, $G$9) + CHOOSE(CONTROL!$C$38, 0.0251, 0)</f>
        <v>29.336499999999997</v>
      </c>
      <c r="C241" s="14">
        <f>27.76 * CHOOSE(CONTROL!$C$15, $E$9, 100%, $G$9) + CHOOSE(CONTROL!$C$38, 0.0342, 0)</f>
        <v>27.7942</v>
      </c>
      <c r="D241" s="14">
        <f>27.7521 * CHOOSE(CONTROL!$C$15, $E$9, 100%, $G$9) + CHOOSE(CONTROL!$C$38, 0.0342, 0)</f>
        <v>27.786299999999997</v>
      </c>
      <c r="E241" s="46">
        <f>29.1551 * CHOOSE(CONTROL!$C$15, $E$9, 100%, $G$9) + CHOOSE(CONTROL!$C$38, 0.0342, 0)</f>
        <v>29.189299999999999</v>
      </c>
      <c r="F241" s="45">
        <f>29.1551 * CHOOSE(CONTROL!$C$15, $E$9, 100%, $G$9) + CHOOSE(CONTROL!$C$38, 0.0251, 0)</f>
        <v>29.180199999999999</v>
      </c>
      <c r="G241" s="14">
        <f>27.7584 * CHOOSE(CONTROL!$C$15, $E$9, 100%, $G$9) + CHOOSE(CONTROL!$C$38, 0.0342, 0)</f>
        <v>27.7926</v>
      </c>
      <c r="H241" s="14">
        <f>27.7584 * CHOOSE(CONTROL!$C$15, $E$9, 100%, $G$9) + CHOOSE(CONTROL!$C$38, 0.0342, 0)</f>
        <v>27.7926</v>
      </c>
      <c r="I241" s="14">
        <f>27.76 * CHOOSE(CONTROL!$C$15, $E$9, 100%, $G$9) + CHOOSE(CONTROL!$C$38, 0.0342, 0)</f>
        <v>27.7942</v>
      </c>
      <c r="J241" s="44">
        <f>162.3156</f>
        <v>162.31559999999999</v>
      </c>
    </row>
    <row r="242" spans="1:10" ht="15" x14ac:dyDescent="0.2">
      <c r="A242" s="13">
        <v>48274</v>
      </c>
      <c r="B242" s="14">
        <f>28.5143 * CHOOSE(CONTROL!$C$15, $E$9, 100%, $G$9) + CHOOSE(CONTROL!$C$38, 0.0251, 0)</f>
        <v>28.539399999999997</v>
      </c>
      <c r="C242" s="14">
        <f>26.9629 * CHOOSE(CONTROL!$C$15, $E$9, 100%, $G$9) + CHOOSE(CONTROL!$C$38, 0.0342, 0)</f>
        <v>26.9971</v>
      </c>
      <c r="D242" s="14">
        <f>26.9551 * CHOOSE(CONTROL!$C$15, $E$9, 100%, $G$9) + CHOOSE(CONTROL!$C$38, 0.0342, 0)</f>
        <v>26.9893</v>
      </c>
      <c r="E242" s="46">
        <f>28.3581 * CHOOSE(CONTROL!$C$15, $E$9, 100%, $G$9) + CHOOSE(CONTROL!$C$38, 0.0342, 0)</f>
        <v>28.392299999999999</v>
      </c>
      <c r="F242" s="45">
        <f>28.3581 * CHOOSE(CONTROL!$C$15, $E$9, 100%, $G$9) + CHOOSE(CONTROL!$C$38, 0.0251, 0)</f>
        <v>28.383199999999999</v>
      </c>
      <c r="G242" s="14">
        <f>26.9614 * CHOOSE(CONTROL!$C$15, $E$9, 100%, $G$9) + CHOOSE(CONTROL!$C$38, 0.0342, 0)</f>
        <v>26.9956</v>
      </c>
      <c r="H242" s="14">
        <f>26.9614 * CHOOSE(CONTROL!$C$15, $E$9, 100%, $G$9) + CHOOSE(CONTROL!$C$38, 0.0342, 0)</f>
        <v>26.9956</v>
      </c>
      <c r="I242" s="14">
        <f>26.9629 * CHOOSE(CONTROL!$C$15, $E$9, 100%, $G$9) + CHOOSE(CONTROL!$C$38, 0.0342, 0)</f>
        <v>26.9971</v>
      </c>
      <c r="J242" s="44">
        <f>170.8706</f>
        <v>170.8706</v>
      </c>
    </row>
    <row r="243" spans="1:10" ht="15" x14ac:dyDescent="0.2">
      <c r="A243" s="13">
        <v>48305</v>
      </c>
      <c r="B243" s="14">
        <f>27.742 * CHOOSE(CONTROL!$C$15, $E$9, 100%, $G$9) + CHOOSE(CONTROL!$C$38, 0.0251, 0)</f>
        <v>27.767099999999999</v>
      </c>
      <c r="C243" s="14">
        <f>26.1906 * CHOOSE(CONTROL!$C$15, $E$9, 100%, $G$9) + CHOOSE(CONTROL!$C$38, 0.0342, 0)</f>
        <v>26.224799999999998</v>
      </c>
      <c r="D243" s="14">
        <f>26.1828 * CHOOSE(CONTROL!$C$15, $E$9, 100%, $G$9) + CHOOSE(CONTROL!$C$38, 0.0342, 0)</f>
        <v>26.216999999999999</v>
      </c>
      <c r="E243" s="46">
        <f>27.5858 * CHOOSE(CONTROL!$C$15, $E$9, 100%, $G$9) + CHOOSE(CONTROL!$C$38, 0.0342, 0)</f>
        <v>27.619999999999997</v>
      </c>
      <c r="F243" s="45">
        <f>27.5858 * CHOOSE(CONTROL!$C$15, $E$9, 100%, $G$9) + CHOOSE(CONTROL!$C$38, 0.0251, 0)</f>
        <v>27.610899999999997</v>
      </c>
      <c r="G243" s="14">
        <f>26.189 * CHOOSE(CONTROL!$C$15, $E$9, 100%, $G$9) + CHOOSE(CONTROL!$C$38, 0.0342, 0)</f>
        <v>26.223199999999999</v>
      </c>
      <c r="H243" s="14">
        <f>26.189 * CHOOSE(CONTROL!$C$15, $E$9, 100%, $G$9) + CHOOSE(CONTROL!$C$38, 0.0342, 0)</f>
        <v>26.223199999999999</v>
      </c>
      <c r="I243" s="14">
        <f>26.1906 * CHOOSE(CONTROL!$C$15, $E$9, 100%, $G$9) + CHOOSE(CONTROL!$C$38, 0.0342, 0)</f>
        <v>26.224799999999998</v>
      </c>
      <c r="J243" s="44">
        <f>181.9643</f>
        <v>181.96430000000001</v>
      </c>
    </row>
    <row r="244" spans="1:10" ht="15" x14ac:dyDescent="0.2">
      <c r="A244" s="13">
        <v>48335</v>
      </c>
      <c r="B244" s="14">
        <f>26.9371 * CHOOSE(CONTROL!$C$15, $E$9, 100%, $G$9) + CHOOSE(CONTROL!$C$38, 0.0264, 0)</f>
        <v>26.9635</v>
      </c>
      <c r="C244" s="14">
        <f>25.3856 * CHOOSE(CONTROL!$C$15, $E$9, 100%, $G$9) + CHOOSE(CONTROL!$C$38, 0.0354, 0)</f>
        <v>25.420999999999999</v>
      </c>
      <c r="D244" s="14">
        <f>25.3778 * CHOOSE(CONTROL!$C$15, $E$9, 100%, $G$9) + CHOOSE(CONTROL!$C$38, 0.0354, 0)</f>
        <v>25.4132</v>
      </c>
      <c r="E244" s="46">
        <f>26.7808 * CHOOSE(CONTROL!$C$15, $E$9, 100%, $G$9) + CHOOSE(CONTROL!$C$38, 0.0354, 0)</f>
        <v>26.816199999999998</v>
      </c>
      <c r="F244" s="45">
        <f>26.7808 * CHOOSE(CONTROL!$C$15, $E$9, 100%, $G$9) + CHOOSE(CONTROL!$C$38, 0.0264, 0)</f>
        <v>26.807199999999998</v>
      </c>
      <c r="G244" s="14">
        <f>25.3841 * CHOOSE(CONTROL!$C$15, $E$9, 100%, $G$9) + CHOOSE(CONTROL!$C$38, 0.0354, 0)</f>
        <v>25.419499999999999</v>
      </c>
      <c r="H244" s="14">
        <f>25.3841 * CHOOSE(CONTROL!$C$15, $E$9, 100%, $G$9) + CHOOSE(CONTROL!$C$38, 0.0354, 0)</f>
        <v>25.419499999999999</v>
      </c>
      <c r="I244" s="14">
        <f>25.3856 * CHOOSE(CONTROL!$C$15, $E$9, 100%, $G$9) + CHOOSE(CONTROL!$C$38, 0.0354, 0)</f>
        <v>25.420999999999999</v>
      </c>
      <c r="J244" s="44">
        <f>188.0707</f>
        <v>188.07069999999999</v>
      </c>
    </row>
    <row r="245" spans="1:10" ht="15" x14ac:dyDescent="0.2">
      <c r="A245" s="13">
        <v>48366</v>
      </c>
      <c r="B245" s="14">
        <f>26.3727 * CHOOSE(CONTROL!$C$15, $E$9, 100%, $G$9) + CHOOSE(CONTROL!$C$38, 0.0264, 0)</f>
        <v>26.399099999999997</v>
      </c>
      <c r="C245" s="14">
        <f>24.8213 * CHOOSE(CONTROL!$C$15, $E$9, 100%, $G$9) + CHOOSE(CONTROL!$C$38, 0.0354, 0)</f>
        <v>24.8567</v>
      </c>
      <c r="D245" s="14">
        <f>24.8135 * CHOOSE(CONTROL!$C$15, $E$9, 100%, $G$9) + CHOOSE(CONTROL!$C$38, 0.0354, 0)</f>
        <v>24.8489</v>
      </c>
      <c r="E245" s="46">
        <f>26.2165 * CHOOSE(CONTROL!$C$15, $E$9, 100%, $G$9) + CHOOSE(CONTROL!$C$38, 0.0354, 0)</f>
        <v>26.251899999999999</v>
      </c>
      <c r="F245" s="45">
        <f>26.2165 * CHOOSE(CONTROL!$C$15, $E$9, 100%, $G$9) + CHOOSE(CONTROL!$C$38, 0.0264, 0)</f>
        <v>26.242899999999999</v>
      </c>
      <c r="G245" s="14">
        <f>24.8197 * CHOOSE(CONTROL!$C$15, $E$9, 100%, $G$9) + CHOOSE(CONTROL!$C$38, 0.0354, 0)</f>
        <v>24.8551</v>
      </c>
      <c r="H245" s="14">
        <f>24.8197 * CHOOSE(CONTROL!$C$15, $E$9, 100%, $G$9) + CHOOSE(CONTROL!$C$38, 0.0354, 0)</f>
        <v>24.8551</v>
      </c>
      <c r="I245" s="14">
        <f>24.8213 * CHOOSE(CONTROL!$C$15, $E$9, 100%, $G$9) + CHOOSE(CONTROL!$C$38, 0.0354, 0)</f>
        <v>24.8567</v>
      </c>
      <c r="J245" s="44">
        <f>190.7806</f>
        <v>190.78059999999999</v>
      </c>
    </row>
    <row r="246" spans="1:10" ht="15" x14ac:dyDescent="0.2">
      <c r="A246" s="13">
        <v>48396</v>
      </c>
      <c r="B246" s="14">
        <f>26.0507 * CHOOSE(CONTROL!$C$15, $E$9, 100%, $G$9) + CHOOSE(CONTROL!$C$38, 0.0264, 0)</f>
        <v>26.077099999999998</v>
      </c>
      <c r="C246" s="14">
        <f>24.4993 * CHOOSE(CONTROL!$C$15, $E$9, 100%, $G$9) + CHOOSE(CONTROL!$C$38, 0.0354, 0)</f>
        <v>24.534700000000001</v>
      </c>
      <c r="D246" s="14">
        <f>24.4914 * CHOOSE(CONTROL!$C$15, $E$9, 100%, $G$9) + CHOOSE(CONTROL!$C$38, 0.0354, 0)</f>
        <v>24.526799999999998</v>
      </c>
      <c r="E246" s="46">
        <f>25.8944 * CHOOSE(CONTROL!$C$15, $E$9, 100%, $G$9) + CHOOSE(CONTROL!$C$38, 0.0354, 0)</f>
        <v>25.9298</v>
      </c>
      <c r="F246" s="45">
        <f>25.8944 * CHOOSE(CONTROL!$C$15, $E$9, 100%, $G$9) + CHOOSE(CONTROL!$C$38, 0.0264, 0)</f>
        <v>25.9208</v>
      </c>
      <c r="G246" s="14">
        <f>24.4977 * CHOOSE(CONTROL!$C$15, $E$9, 100%, $G$9) + CHOOSE(CONTROL!$C$38, 0.0354, 0)</f>
        <v>24.533099999999997</v>
      </c>
      <c r="H246" s="14">
        <f>24.4977 * CHOOSE(CONTROL!$C$15, $E$9, 100%, $G$9) + CHOOSE(CONTROL!$C$38, 0.0354, 0)</f>
        <v>24.533099999999997</v>
      </c>
      <c r="I246" s="14">
        <f>24.4993 * CHOOSE(CONTROL!$C$15, $E$9, 100%, $G$9) + CHOOSE(CONTROL!$C$38, 0.0354, 0)</f>
        <v>24.534700000000001</v>
      </c>
      <c r="J246" s="44">
        <f>189.8884</f>
        <v>189.88839999999999</v>
      </c>
    </row>
    <row r="247" spans="1:10" ht="15" x14ac:dyDescent="0.2">
      <c r="A247" s="13">
        <v>48427</v>
      </c>
      <c r="B247" s="14">
        <f>26.2096 * CHOOSE(CONTROL!$C$15, $E$9, 100%, $G$9) + CHOOSE(CONTROL!$C$38, 0.0264, 0)</f>
        <v>26.235999999999997</v>
      </c>
      <c r="C247" s="14">
        <f>24.6582 * CHOOSE(CONTROL!$C$15, $E$9, 100%, $G$9) + CHOOSE(CONTROL!$C$38, 0.0354, 0)</f>
        <v>24.6936</v>
      </c>
      <c r="D247" s="14">
        <f>24.6504 * CHOOSE(CONTROL!$C$15, $E$9, 100%, $G$9) + CHOOSE(CONTROL!$C$38, 0.0354, 0)</f>
        <v>24.6858</v>
      </c>
      <c r="E247" s="46">
        <f>26.0534 * CHOOSE(CONTROL!$C$15, $E$9, 100%, $G$9) + CHOOSE(CONTROL!$C$38, 0.0354, 0)</f>
        <v>26.088799999999999</v>
      </c>
      <c r="F247" s="45">
        <f>26.0534 * CHOOSE(CONTROL!$C$15, $E$9, 100%, $G$9) + CHOOSE(CONTROL!$C$38, 0.0264, 0)</f>
        <v>26.079799999999999</v>
      </c>
      <c r="G247" s="14">
        <f>24.6566 * CHOOSE(CONTROL!$C$15, $E$9, 100%, $G$9) + CHOOSE(CONTROL!$C$38, 0.0354, 0)</f>
        <v>24.692</v>
      </c>
      <c r="H247" s="14">
        <f>24.6566 * CHOOSE(CONTROL!$C$15, $E$9, 100%, $G$9) + CHOOSE(CONTROL!$C$38, 0.0354, 0)</f>
        <v>24.692</v>
      </c>
      <c r="I247" s="14">
        <f>24.6582 * CHOOSE(CONTROL!$C$15, $E$9, 100%, $G$9) + CHOOSE(CONTROL!$C$38, 0.0354, 0)</f>
        <v>24.6936</v>
      </c>
      <c r="J247" s="44">
        <f>185.4678</f>
        <v>185.46780000000001</v>
      </c>
    </row>
    <row r="248" spans="1:10" ht="15" x14ac:dyDescent="0.2">
      <c r="A248" s="13">
        <v>48458</v>
      </c>
      <c r="B248" s="14">
        <f>26.6413 * CHOOSE(CONTROL!$C$15, $E$9, 100%, $G$9) + CHOOSE(CONTROL!$C$38, 0.0264, 0)</f>
        <v>26.6677</v>
      </c>
      <c r="C248" s="14">
        <f>25.0899 * CHOOSE(CONTROL!$C$15, $E$9, 100%, $G$9) + CHOOSE(CONTROL!$C$38, 0.0354, 0)</f>
        <v>25.125299999999999</v>
      </c>
      <c r="D248" s="14">
        <f>25.0821 * CHOOSE(CONTROL!$C$15, $E$9, 100%, $G$9) + CHOOSE(CONTROL!$C$38, 0.0354, 0)</f>
        <v>25.1175</v>
      </c>
      <c r="E248" s="46">
        <f>26.4851 * CHOOSE(CONTROL!$C$15, $E$9, 100%, $G$9) + CHOOSE(CONTROL!$C$38, 0.0354, 0)</f>
        <v>26.520499999999998</v>
      </c>
      <c r="F248" s="45">
        <f>26.4851 * CHOOSE(CONTROL!$C$15, $E$9, 100%, $G$9) + CHOOSE(CONTROL!$C$38, 0.0264, 0)</f>
        <v>26.511499999999998</v>
      </c>
      <c r="G248" s="14">
        <f>25.0883 * CHOOSE(CONTROL!$C$15, $E$9, 100%, $G$9) + CHOOSE(CONTROL!$C$38, 0.0354, 0)</f>
        <v>25.123699999999999</v>
      </c>
      <c r="H248" s="14">
        <f>25.0883 * CHOOSE(CONTROL!$C$15, $E$9, 100%, $G$9) + CHOOSE(CONTROL!$C$38, 0.0354, 0)</f>
        <v>25.123699999999999</v>
      </c>
      <c r="I248" s="14">
        <f>25.0899 * CHOOSE(CONTROL!$C$15, $E$9, 100%, $G$9) + CHOOSE(CONTROL!$C$38, 0.0354, 0)</f>
        <v>25.125299999999999</v>
      </c>
      <c r="J248" s="44">
        <f>179.3032</f>
        <v>179.3032</v>
      </c>
    </row>
    <row r="249" spans="1:10" ht="15" x14ac:dyDescent="0.2">
      <c r="A249" s="13">
        <v>48488</v>
      </c>
      <c r="B249" s="14">
        <f>27.0029 * CHOOSE(CONTROL!$C$15, $E$9, 100%, $G$9) + CHOOSE(CONTROL!$C$38, 0.0251, 0)</f>
        <v>27.027999999999999</v>
      </c>
      <c r="C249" s="14">
        <f>25.4515 * CHOOSE(CONTROL!$C$15, $E$9, 100%, $G$9) + CHOOSE(CONTROL!$C$38, 0.0342, 0)</f>
        <v>25.485699999999998</v>
      </c>
      <c r="D249" s="14">
        <f>25.4437 * CHOOSE(CONTROL!$C$15, $E$9, 100%, $G$9) + CHOOSE(CONTROL!$C$38, 0.0342, 0)</f>
        <v>25.477899999999998</v>
      </c>
      <c r="E249" s="46">
        <f>26.8466 * CHOOSE(CONTROL!$C$15, $E$9, 100%, $G$9) + CHOOSE(CONTROL!$C$38, 0.0342, 0)</f>
        <v>26.880799999999997</v>
      </c>
      <c r="F249" s="45">
        <f>26.8466 * CHOOSE(CONTROL!$C$15, $E$9, 100%, $G$9) + CHOOSE(CONTROL!$C$38, 0.0251, 0)</f>
        <v>26.871699999999997</v>
      </c>
      <c r="G249" s="14">
        <f>25.4499 * CHOOSE(CONTROL!$C$15, $E$9, 100%, $G$9) + CHOOSE(CONTROL!$C$38, 0.0342, 0)</f>
        <v>25.484099999999998</v>
      </c>
      <c r="H249" s="14">
        <f>25.4499 * CHOOSE(CONTROL!$C$15, $E$9, 100%, $G$9) + CHOOSE(CONTROL!$C$38, 0.0342, 0)</f>
        <v>25.484099999999998</v>
      </c>
      <c r="I249" s="14">
        <f>25.4515 * CHOOSE(CONTROL!$C$15, $E$9, 100%, $G$9) + CHOOSE(CONTROL!$C$38, 0.0342, 0)</f>
        <v>25.485699999999998</v>
      </c>
      <c r="J249" s="44">
        <f>173.1027</f>
        <v>173.1027</v>
      </c>
    </row>
    <row r="250" spans="1:10" ht="15" x14ac:dyDescent="0.2">
      <c r="A250" s="13">
        <v>48519</v>
      </c>
      <c r="B250" s="14">
        <f>27.3046 * CHOOSE(CONTROL!$C$15, $E$9, 100%, $G$9) + CHOOSE(CONTROL!$C$38, 0.0251, 0)</f>
        <v>27.329699999999999</v>
      </c>
      <c r="C250" s="14">
        <f>25.7532 * CHOOSE(CONTROL!$C$15, $E$9, 100%, $G$9) + CHOOSE(CONTROL!$C$38, 0.0342, 0)</f>
        <v>25.787399999999998</v>
      </c>
      <c r="D250" s="14">
        <f>25.7454 * CHOOSE(CONTROL!$C$15, $E$9, 100%, $G$9) + CHOOSE(CONTROL!$C$38, 0.0342, 0)</f>
        <v>25.779599999999999</v>
      </c>
      <c r="E250" s="46">
        <f>27.1483 * CHOOSE(CONTROL!$C$15, $E$9, 100%, $G$9) + CHOOSE(CONTROL!$C$38, 0.0342, 0)</f>
        <v>27.182499999999997</v>
      </c>
      <c r="F250" s="45">
        <f>27.1483 * CHOOSE(CONTROL!$C$15, $E$9, 100%, $G$9) + CHOOSE(CONTROL!$C$38, 0.0251, 0)</f>
        <v>27.173399999999997</v>
      </c>
      <c r="G250" s="14">
        <f>25.7516 * CHOOSE(CONTROL!$C$15, $E$9, 100%, $G$9) + CHOOSE(CONTROL!$C$38, 0.0342, 0)</f>
        <v>25.785799999999998</v>
      </c>
      <c r="H250" s="14">
        <f>25.7516 * CHOOSE(CONTROL!$C$15, $E$9, 100%, $G$9) + CHOOSE(CONTROL!$C$38, 0.0342, 0)</f>
        <v>25.785799999999998</v>
      </c>
      <c r="I250" s="14">
        <f>25.7532 * CHOOSE(CONTROL!$C$15, $E$9, 100%, $G$9) + CHOOSE(CONTROL!$C$38, 0.0342, 0)</f>
        <v>25.787399999999998</v>
      </c>
      <c r="J250" s="44">
        <f>171.8693</f>
        <v>171.86930000000001</v>
      </c>
    </row>
    <row r="251" spans="1:10" ht="15" x14ac:dyDescent="0.2">
      <c r="A251" s="13">
        <v>48549</v>
      </c>
      <c r="B251" s="14">
        <f>28.2343 * CHOOSE(CONTROL!$C$15, $E$9, 100%, $G$9) + CHOOSE(CONTROL!$C$38, 0.0251, 0)</f>
        <v>28.259399999999999</v>
      </c>
      <c r="C251" s="14">
        <f>26.6828 * CHOOSE(CONTROL!$C$15, $E$9, 100%, $G$9) + CHOOSE(CONTROL!$C$38, 0.0342, 0)</f>
        <v>26.716999999999999</v>
      </c>
      <c r="D251" s="14">
        <f>26.675 * CHOOSE(CONTROL!$C$15, $E$9, 100%, $G$9) + CHOOSE(CONTROL!$C$38, 0.0342, 0)</f>
        <v>26.709199999999999</v>
      </c>
      <c r="E251" s="46">
        <f>28.078 * CHOOSE(CONTROL!$C$15, $E$9, 100%, $G$9) + CHOOSE(CONTROL!$C$38, 0.0342, 0)</f>
        <v>28.112199999999998</v>
      </c>
      <c r="F251" s="45">
        <f>28.078 * CHOOSE(CONTROL!$C$15, $E$9, 100%, $G$9) + CHOOSE(CONTROL!$C$38, 0.0251, 0)</f>
        <v>28.103099999999998</v>
      </c>
      <c r="G251" s="14">
        <f>26.6813 * CHOOSE(CONTROL!$C$15, $E$9, 100%, $G$9) + CHOOSE(CONTROL!$C$38, 0.0342, 0)</f>
        <v>26.715499999999999</v>
      </c>
      <c r="H251" s="14">
        <f>26.6813 * CHOOSE(CONTROL!$C$15, $E$9, 100%, $G$9) + CHOOSE(CONTROL!$C$38, 0.0342, 0)</f>
        <v>26.715499999999999</v>
      </c>
      <c r="I251" s="14">
        <f>26.6828 * CHOOSE(CONTROL!$C$15, $E$9, 100%, $G$9) + CHOOSE(CONTROL!$C$38, 0.0342, 0)</f>
        <v>26.716999999999999</v>
      </c>
      <c r="J251" s="44">
        <f>166.7691</f>
        <v>166.76910000000001</v>
      </c>
    </row>
    <row r="252" spans="1:10" ht="15" x14ac:dyDescent="0.2">
      <c r="A252" s="13">
        <v>48580</v>
      </c>
      <c r="B252" s="14">
        <f>29.4177 * CHOOSE(CONTROL!$C$15, $E$9, 100%, $G$9) + CHOOSE(CONTROL!$C$38, 0.0251, 0)</f>
        <v>29.442799999999998</v>
      </c>
      <c r="C252" s="14">
        <f>27.8428 * CHOOSE(CONTROL!$C$15, $E$9, 100%, $G$9) + CHOOSE(CONTROL!$C$38, 0.0342, 0)</f>
        <v>27.876999999999999</v>
      </c>
      <c r="D252" s="14">
        <f>27.835 * CHOOSE(CONTROL!$C$15, $E$9, 100%, $G$9) + CHOOSE(CONTROL!$C$38, 0.0342, 0)</f>
        <v>27.869199999999999</v>
      </c>
      <c r="E252" s="46">
        <f>29.2614 * CHOOSE(CONTROL!$C$15, $E$9, 100%, $G$9) + CHOOSE(CONTROL!$C$38, 0.0342, 0)</f>
        <v>29.295599999999997</v>
      </c>
      <c r="F252" s="45">
        <f>29.2614 * CHOOSE(CONTROL!$C$15, $E$9, 100%, $G$9) + CHOOSE(CONTROL!$C$38, 0.0251, 0)</f>
        <v>29.286499999999997</v>
      </c>
      <c r="G252" s="14">
        <f>27.8413 * CHOOSE(CONTROL!$C$15, $E$9, 100%, $G$9) + CHOOSE(CONTROL!$C$38, 0.0342, 0)</f>
        <v>27.875499999999999</v>
      </c>
      <c r="H252" s="14">
        <f>27.8413 * CHOOSE(CONTROL!$C$15, $E$9, 100%, $G$9) + CHOOSE(CONTROL!$C$38, 0.0342, 0)</f>
        <v>27.875499999999999</v>
      </c>
      <c r="I252" s="14">
        <f>27.8428 * CHOOSE(CONTROL!$C$15, $E$9, 100%, $G$9) + CHOOSE(CONTROL!$C$38, 0.0342, 0)</f>
        <v>27.876999999999999</v>
      </c>
      <c r="J252" s="44">
        <f>166.6487</f>
        <v>166.64869999999999</v>
      </c>
    </row>
    <row r="253" spans="1:10" ht="15" x14ac:dyDescent="0.2">
      <c r="A253" s="13">
        <v>48611</v>
      </c>
      <c r="B253" s="14">
        <f>29.762 * CHOOSE(CONTROL!$C$15, $E$9, 100%, $G$9) + CHOOSE(CONTROL!$C$38, 0.0251, 0)</f>
        <v>29.787099999999999</v>
      </c>
      <c r="C253" s="14">
        <f>28.1871 * CHOOSE(CONTROL!$C$15, $E$9, 100%, $G$9) + CHOOSE(CONTROL!$C$38, 0.0342, 0)</f>
        <v>28.221299999999999</v>
      </c>
      <c r="D253" s="14">
        <f>28.1793 * CHOOSE(CONTROL!$C$15, $E$9, 100%, $G$9) + CHOOSE(CONTROL!$C$38, 0.0342, 0)</f>
        <v>28.2135</v>
      </c>
      <c r="E253" s="46">
        <f>29.6058 * CHOOSE(CONTROL!$C$15, $E$9, 100%, $G$9) + CHOOSE(CONTROL!$C$38, 0.0342, 0)</f>
        <v>29.639999999999997</v>
      </c>
      <c r="F253" s="45">
        <f>29.6058 * CHOOSE(CONTROL!$C$15, $E$9, 100%, $G$9) + CHOOSE(CONTROL!$C$38, 0.0251, 0)</f>
        <v>29.630899999999997</v>
      </c>
      <c r="G253" s="14">
        <f>28.1856 * CHOOSE(CONTROL!$C$15, $E$9, 100%, $G$9) + CHOOSE(CONTROL!$C$38, 0.0342, 0)</f>
        <v>28.219799999999999</v>
      </c>
      <c r="H253" s="14">
        <f>28.1856 * CHOOSE(CONTROL!$C$15, $E$9, 100%, $G$9) + CHOOSE(CONTROL!$C$38, 0.0342, 0)</f>
        <v>28.219799999999999</v>
      </c>
      <c r="I253" s="14">
        <f>28.1871 * CHOOSE(CONTROL!$C$15, $E$9, 100%, $G$9) + CHOOSE(CONTROL!$C$38, 0.0342, 0)</f>
        <v>28.221299999999999</v>
      </c>
      <c r="J253" s="44">
        <f>166.1854</f>
        <v>166.18539999999999</v>
      </c>
    </row>
    <row r="254" spans="1:10" ht="15" x14ac:dyDescent="0.2">
      <c r="A254" s="13">
        <v>48639</v>
      </c>
      <c r="B254" s="14">
        <f>28.965 * CHOOSE(CONTROL!$C$15, $E$9, 100%, $G$9) + CHOOSE(CONTROL!$C$38, 0.0251, 0)</f>
        <v>28.990099999999998</v>
      </c>
      <c r="C254" s="14">
        <f>27.3901 * CHOOSE(CONTROL!$C$15, $E$9, 100%, $G$9) + CHOOSE(CONTROL!$C$38, 0.0342, 0)</f>
        <v>27.424299999999999</v>
      </c>
      <c r="D254" s="14">
        <f>27.3823 * CHOOSE(CONTROL!$C$15, $E$9, 100%, $G$9) + CHOOSE(CONTROL!$C$38, 0.0342, 0)</f>
        <v>27.416499999999999</v>
      </c>
      <c r="E254" s="46">
        <f>28.8087 * CHOOSE(CONTROL!$C$15, $E$9, 100%, $G$9) + CHOOSE(CONTROL!$C$38, 0.0342, 0)</f>
        <v>28.8429</v>
      </c>
      <c r="F254" s="45">
        <f>28.8087 * CHOOSE(CONTROL!$C$15, $E$9, 100%, $G$9) + CHOOSE(CONTROL!$C$38, 0.0251, 0)</f>
        <v>28.8338</v>
      </c>
      <c r="G254" s="14">
        <f>27.3885 * CHOOSE(CONTROL!$C$15, $E$9, 100%, $G$9) + CHOOSE(CONTROL!$C$38, 0.0342, 0)</f>
        <v>27.422699999999999</v>
      </c>
      <c r="H254" s="14">
        <f>27.3885 * CHOOSE(CONTROL!$C$15, $E$9, 100%, $G$9) + CHOOSE(CONTROL!$C$38, 0.0342, 0)</f>
        <v>27.422699999999999</v>
      </c>
      <c r="I254" s="14">
        <f>27.3901 * CHOOSE(CONTROL!$C$15, $E$9, 100%, $G$9) + CHOOSE(CONTROL!$C$38, 0.0342, 0)</f>
        <v>27.424299999999999</v>
      </c>
      <c r="J254" s="44">
        <f>174.9444</f>
        <v>174.9444</v>
      </c>
    </row>
    <row r="255" spans="1:10" ht="15" x14ac:dyDescent="0.2">
      <c r="A255" s="13">
        <v>48670</v>
      </c>
      <c r="B255" s="14">
        <f>28.1927 * CHOOSE(CONTROL!$C$15, $E$9, 100%, $G$9) + CHOOSE(CONTROL!$C$38, 0.0251, 0)</f>
        <v>28.217799999999997</v>
      </c>
      <c r="C255" s="14">
        <f>26.6178 * CHOOSE(CONTROL!$C$15, $E$9, 100%, $G$9) + CHOOSE(CONTROL!$C$38, 0.0342, 0)</f>
        <v>26.651999999999997</v>
      </c>
      <c r="D255" s="14">
        <f>26.61 * CHOOSE(CONTROL!$C$15, $E$9, 100%, $G$9) + CHOOSE(CONTROL!$C$38, 0.0342, 0)</f>
        <v>26.644199999999998</v>
      </c>
      <c r="E255" s="46">
        <f>28.0364 * CHOOSE(CONTROL!$C$15, $E$9, 100%, $G$9) + CHOOSE(CONTROL!$C$38, 0.0342, 0)</f>
        <v>28.070599999999999</v>
      </c>
      <c r="F255" s="45">
        <f>28.0364 * CHOOSE(CONTROL!$C$15, $E$9, 100%, $G$9) + CHOOSE(CONTROL!$C$38, 0.0251, 0)</f>
        <v>28.061499999999999</v>
      </c>
      <c r="G255" s="14">
        <f>26.6162 * CHOOSE(CONTROL!$C$15, $E$9, 100%, $G$9) + CHOOSE(CONTROL!$C$38, 0.0342, 0)</f>
        <v>26.650399999999998</v>
      </c>
      <c r="H255" s="14">
        <f>26.6162 * CHOOSE(CONTROL!$C$15, $E$9, 100%, $G$9) + CHOOSE(CONTROL!$C$38, 0.0342, 0)</f>
        <v>26.650399999999998</v>
      </c>
      <c r="I255" s="14">
        <f>26.6178 * CHOOSE(CONTROL!$C$15, $E$9, 100%, $G$9) + CHOOSE(CONTROL!$C$38, 0.0342, 0)</f>
        <v>26.651999999999997</v>
      </c>
      <c r="J255" s="44">
        <f>186.3026</f>
        <v>186.30260000000001</v>
      </c>
    </row>
    <row r="256" spans="1:10" ht="15" x14ac:dyDescent="0.2">
      <c r="A256" s="13">
        <v>48700</v>
      </c>
      <c r="B256" s="14">
        <f>27.3877 * CHOOSE(CONTROL!$C$15, $E$9, 100%, $G$9) + CHOOSE(CONTROL!$C$38, 0.0264, 0)</f>
        <v>27.414099999999998</v>
      </c>
      <c r="C256" s="14">
        <f>25.8128 * CHOOSE(CONTROL!$C$15, $E$9, 100%, $G$9) + CHOOSE(CONTROL!$C$38, 0.0354, 0)</f>
        <v>25.848199999999999</v>
      </c>
      <c r="D256" s="14">
        <f>25.805 * CHOOSE(CONTROL!$C$15, $E$9, 100%, $G$9) + CHOOSE(CONTROL!$C$38, 0.0354, 0)</f>
        <v>25.840399999999999</v>
      </c>
      <c r="E256" s="46">
        <f>27.2314 * CHOOSE(CONTROL!$C$15, $E$9, 100%, $G$9) + CHOOSE(CONTROL!$C$38, 0.0354, 0)</f>
        <v>27.2668</v>
      </c>
      <c r="F256" s="45">
        <f>27.2314 * CHOOSE(CONTROL!$C$15, $E$9, 100%, $G$9) + CHOOSE(CONTROL!$C$38, 0.0264, 0)</f>
        <v>27.2578</v>
      </c>
      <c r="G256" s="14">
        <f>25.8113 * CHOOSE(CONTROL!$C$15, $E$9, 100%, $G$9) + CHOOSE(CONTROL!$C$38, 0.0354, 0)</f>
        <v>25.846699999999998</v>
      </c>
      <c r="H256" s="14">
        <f>25.8113 * CHOOSE(CONTROL!$C$15, $E$9, 100%, $G$9) + CHOOSE(CONTROL!$C$38, 0.0354, 0)</f>
        <v>25.846699999999998</v>
      </c>
      <c r="I256" s="14">
        <f>25.8128 * CHOOSE(CONTROL!$C$15, $E$9, 100%, $G$9) + CHOOSE(CONTROL!$C$38, 0.0354, 0)</f>
        <v>25.848199999999999</v>
      </c>
      <c r="J256" s="44">
        <f>192.5546</f>
        <v>192.55459999999999</v>
      </c>
    </row>
    <row r="257" spans="1:10" ht="15" x14ac:dyDescent="0.2">
      <c r="A257" s="13">
        <v>48731</v>
      </c>
      <c r="B257" s="14">
        <f>26.8234 * CHOOSE(CONTROL!$C$15, $E$9, 100%, $G$9) + CHOOSE(CONTROL!$C$38, 0.0264, 0)</f>
        <v>26.849799999999998</v>
      </c>
      <c r="C257" s="14">
        <f>25.2485 * CHOOSE(CONTROL!$C$15, $E$9, 100%, $G$9) + CHOOSE(CONTROL!$C$38, 0.0354, 0)</f>
        <v>25.283899999999999</v>
      </c>
      <c r="D257" s="14">
        <f>25.2407 * CHOOSE(CONTROL!$C$15, $E$9, 100%, $G$9) + CHOOSE(CONTROL!$C$38, 0.0354, 0)</f>
        <v>25.2761</v>
      </c>
      <c r="E257" s="46">
        <f>26.6671 * CHOOSE(CONTROL!$C$15, $E$9, 100%, $G$9) + CHOOSE(CONTROL!$C$38, 0.0354, 0)</f>
        <v>26.702500000000001</v>
      </c>
      <c r="F257" s="45">
        <f>26.6671 * CHOOSE(CONTROL!$C$15, $E$9, 100%, $G$9) + CHOOSE(CONTROL!$C$38, 0.0264, 0)</f>
        <v>26.6935</v>
      </c>
      <c r="G257" s="14">
        <f>25.2469 * CHOOSE(CONTROL!$C$15, $E$9, 100%, $G$9) + CHOOSE(CONTROL!$C$38, 0.0354, 0)</f>
        <v>25.282299999999999</v>
      </c>
      <c r="H257" s="14">
        <f>25.2469 * CHOOSE(CONTROL!$C$15, $E$9, 100%, $G$9) + CHOOSE(CONTROL!$C$38, 0.0354, 0)</f>
        <v>25.282299999999999</v>
      </c>
      <c r="I257" s="14">
        <f>25.2485 * CHOOSE(CONTROL!$C$15, $E$9, 100%, $G$9) + CHOOSE(CONTROL!$C$38, 0.0354, 0)</f>
        <v>25.283899999999999</v>
      </c>
      <c r="J257" s="44">
        <f>195.3291</f>
        <v>195.32910000000001</v>
      </c>
    </row>
    <row r="258" spans="1:10" ht="15" x14ac:dyDescent="0.2">
      <c r="A258" s="13">
        <v>48761</v>
      </c>
      <c r="B258" s="14">
        <f>26.5013 * CHOOSE(CONTROL!$C$15, $E$9, 100%, $G$9) + CHOOSE(CONTROL!$C$38, 0.0264, 0)</f>
        <v>26.527699999999999</v>
      </c>
      <c r="C258" s="14">
        <f>24.9264 * CHOOSE(CONTROL!$C$15, $E$9, 100%, $G$9) + CHOOSE(CONTROL!$C$38, 0.0354, 0)</f>
        <v>24.9618</v>
      </c>
      <c r="D258" s="14">
        <f>24.9186 * CHOOSE(CONTROL!$C$15, $E$9, 100%, $G$9) + CHOOSE(CONTROL!$C$38, 0.0354, 0)</f>
        <v>24.954000000000001</v>
      </c>
      <c r="E258" s="46">
        <f>26.3451 * CHOOSE(CONTROL!$C$15, $E$9, 100%, $G$9) + CHOOSE(CONTROL!$C$38, 0.0354, 0)</f>
        <v>26.380499999999998</v>
      </c>
      <c r="F258" s="45">
        <f>26.3451 * CHOOSE(CONTROL!$C$15, $E$9, 100%, $G$9) + CHOOSE(CONTROL!$C$38, 0.0264, 0)</f>
        <v>26.371499999999997</v>
      </c>
      <c r="G258" s="14">
        <f>24.9249 * CHOOSE(CONTROL!$C$15, $E$9, 100%, $G$9) + CHOOSE(CONTROL!$C$38, 0.0354, 0)</f>
        <v>24.9603</v>
      </c>
      <c r="H258" s="14">
        <f>24.9249 * CHOOSE(CONTROL!$C$15, $E$9, 100%, $G$9) + CHOOSE(CONTROL!$C$38, 0.0354, 0)</f>
        <v>24.9603</v>
      </c>
      <c r="I258" s="14">
        <f>24.9264 * CHOOSE(CONTROL!$C$15, $E$9, 100%, $G$9) + CHOOSE(CONTROL!$C$38, 0.0354, 0)</f>
        <v>24.9618</v>
      </c>
      <c r="J258" s="44">
        <f>194.4156</f>
        <v>194.41560000000001</v>
      </c>
    </row>
    <row r="259" spans="1:10" ht="15" x14ac:dyDescent="0.2">
      <c r="A259" s="13">
        <v>48792</v>
      </c>
      <c r="B259" s="14">
        <f>26.6602 * CHOOSE(CONTROL!$C$15, $E$9, 100%, $G$9) + CHOOSE(CONTROL!$C$38, 0.0264, 0)</f>
        <v>26.686599999999999</v>
      </c>
      <c r="C259" s="14">
        <f>25.0854 * CHOOSE(CONTROL!$C$15, $E$9, 100%, $G$9) + CHOOSE(CONTROL!$C$38, 0.0354, 0)</f>
        <v>25.120799999999999</v>
      </c>
      <c r="D259" s="14">
        <f>25.0776 * CHOOSE(CONTROL!$C$15, $E$9, 100%, $G$9) + CHOOSE(CONTROL!$C$38, 0.0354, 0)</f>
        <v>25.113</v>
      </c>
      <c r="E259" s="46">
        <f>26.504 * CHOOSE(CONTROL!$C$15, $E$9, 100%, $G$9) + CHOOSE(CONTROL!$C$38, 0.0354, 0)</f>
        <v>26.539400000000001</v>
      </c>
      <c r="F259" s="45">
        <f>26.504 * CHOOSE(CONTROL!$C$15, $E$9, 100%, $G$9) + CHOOSE(CONTROL!$C$38, 0.0264, 0)</f>
        <v>26.5304</v>
      </c>
      <c r="G259" s="14">
        <f>25.0838 * CHOOSE(CONTROL!$C$15, $E$9, 100%, $G$9) + CHOOSE(CONTROL!$C$38, 0.0354, 0)</f>
        <v>25.119199999999999</v>
      </c>
      <c r="H259" s="14">
        <f>25.0838 * CHOOSE(CONTROL!$C$15, $E$9, 100%, $G$9) + CHOOSE(CONTROL!$C$38, 0.0354, 0)</f>
        <v>25.119199999999999</v>
      </c>
      <c r="I259" s="14">
        <f>25.0854 * CHOOSE(CONTROL!$C$15, $E$9, 100%, $G$9) + CHOOSE(CONTROL!$C$38, 0.0354, 0)</f>
        <v>25.120799999999999</v>
      </c>
      <c r="J259" s="44">
        <f>189.8897</f>
        <v>189.8897</v>
      </c>
    </row>
    <row r="260" spans="1:10" ht="15" x14ac:dyDescent="0.2">
      <c r="A260" s="13">
        <v>48823</v>
      </c>
      <c r="B260" s="14">
        <f>27.092 * CHOOSE(CONTROL!$C$15, $E$9, 100%, $G$9) + CHOOSE(CONTROL!$C$38, 0.0264, 0)</f>
        <v>27.118399999999998</v>
      </c>
      <c r="C260" s="14">
        <f>25.5171 * CHOOSE(CONTROL!$C$15, $E$9, 100%, $G$9) + CHOOSE(CONTROL!$C$38, 0.0354, 0)</f>
        <v>25.552499999999998</v>
      </c>
      <c r="D260" s="14">
        <f>25.5093 * CHOOSE(CONTROL!$C$15, $E$9, 100%, $G$9) + CHOOSE(CONTROL!$C$38, 0.0354, 0)</f>
        <v>25.544699999999999</v>
      </c>
      <c r="E260" s="46">
        <f>26.9357 * CHOOSE(CONTROL!$C$15, $E$9, 100%, $G$9) + CHOOSE(CONTROL!$C$38, 0.0354, 0)</f>
        <v>26.9711</v>
      </c>
      <c r="F260" s="45">
        <f>26.9357 * CHOOSE(CONTROL!$C$15, $E$9, 100%, $G$9) + CHOOSE(CONTROL!$C$38, 0.0264, 0)</f>
        <v>26.9621</v>
      </c>
      <c r="G260" s="14">
        <f>25.5155 * CHOOSE(CONTROL!$C$15, $E$9, 100%, $G$9) + CHOOSE(CONTROL!$C$38, 0.0354, 0)</f>
        <v>25.550899999999999</v>
      </c>
      <c r="H260" s="14">
        <f>25.5155 * CHOOSE(CONTROL!$C$15, $E$9, 100%, $G$9) + CHOOSE(CONTROL!$C$38, 0.0354, 0)</f>
        <v>25.550899999999999</v>
      </c>
      <c r="I260" s="14">
        <f>25.5171 * CHOOSE(CONTROL!$C$15, $E$9, 100%, $G$9) + CHOOSE(CONTROL!$C$38, 0.0354, 0)</f>
        <v>25.552499999999998</v>
      </c>
      <c r="J260" s="44">
        <f>183.5781</f>
        <v>183.57810000000001</v>
      </c>
    </row>
    <row r="261" spans="1:10" ht="15" x14ac:dyDescent="0.2">
      <c r="A261" s="13">
        <v>48853</v>
      </c>
      <c r="B261" s="14">
        <f>27.4535 * CHOOSE(CONTROL!$C$15, $E$9, 100%, $G$9) + CHOOSE(CONTROL!$C$38, 0.0251, 0)</f>
        <v>27.478599999999997</v>
      </c>
      <c r="C261" s="14">
        <f>25.8787 * CHOOSE(CONTROL!$C$15, $E$9, 100%, $G$9) + CHOOSE(CONTROL!$C$38, 0.0342, 0)</f>
        <v>25.912899999999997</v>
      </c>
      <c r="D261" s="14">
        <f>25.8708 * CHOOSE(CONTROL!$C$15, $E$9, 100%, $G$9) + CHOOSE(CONTROL!$C$38, 0.0342, 0)</f>
        <v>25.904999999999998</v>
      </c>
      <c r="E261" s="46">
        <f>27.2973 * CHOOSE(CONTROL!$C$15, $E$9, 100%, $G$9) + CHOOSE(CONTROL!$C$38, 0.0342, 0)</f>
        <v>27.331499999999998</v>
      </c>
      <c r="F261" s="45">
        <f>27.2973 * CHOOSE(CONTROL!$C$15, $E$9, 100%, $G$9) + CHOOSE(CONTROL!$C$38, 0.0251, 0)</f>
        <v>27.322399999999998</v>
      </c>
      <c r="G261" s="14">
        <f>25.8771 * CHOOSE(CONTROL!$C$15, $E$9, 100%, $G$9) + CHOOSE(CONTROL!$C$38, 0.0342, 0)</f>
        <v>25.911299999999997</v>
      </c>
      <c r="H261" s="14">
        <f>25.8771 * CHOOSE(CONTROL!$C$15, $E$9, 100%, $G$9) + CHOOSE(CONTROL!$C$38, 0.0342, 0)</f>
        <v>25.911299999999997</v>
      </c>
      <c r="I261" s="14">
        <f>25.8787 * CHOOSE(CONTROL!$C$15, $E$9, 100%, $G$9) + CHOOSE(CONTROL!$C$38, 0.0342, 0)</f>
        <v>25.912899999999997</v>
      </c>
      <c r="J261" s="44">
        <f>177.2297</f>
        <v>177.22970000000001</v>
      </c>
    </row>
    <row r="262" spans="1:10" ht="15" x14ac:dyDescent="0.2">
      <c r="A262" s="13">
        <v>48884</v>
      </c>
      <c r="B262" s="14">
        <f>27.7552 * CHOOSE(CONTROL!$C$15, $E$9, 100%, $G$9) + CHOOSE(CONTROL!$C$38, 0.0251, 0)</f>
        <v>27.780299999999997</v>
      </c>
      <c r="C262" s="14">
        <f>26.1804 * CHOOSE(CONTROL!$C$15, $E$9, 100%, $G$9) + CHOOSE(CONTROL!$C$38, 0.0342, 0)</f>
        <v>26.214599999999997</v>
      </c>
      <c r="D262" s="14">
        <f>26.1725 * CHOOSE(CONTROL!$C$15, $E$9, 100%, $G$9) + CHOOSE(CONTROL!$C$38, 0.0342, 0)</f>
        <v>26.206699999999998</v>
      </c>
      <c r="E262" s="46">
        <f>27.599 * CHOOSE(CONTROL!$C$15, $E$9, 100%, $G$9) + CHOOSE(CONTROL!$C$38, 0.0342, 0)</f>
        <v>27.633199999999999</v>
      </c>
      <c r="F262" s="45">
        <f>27.599 * CHOOSE(CONTROL!$C$15, $E$9, 100%, $G$9) + CHOOSE(CONTROL!$C$38, 0.0251, 0)</f>
        <v>27.624099999999999</v>
      </c>
      <c r="G262" s="14">
        <f>26.1788 * CHOOSE(CONTROL!$C$15, $E$9, 100%, $G$9) + CHOOSE(CONTROL!$C$38, 0.0342, 0)</f>
        <v>26.212999999999997</v>
      </c>
      <c r="H262" s="14">
        <f>26.1788 * CHOOSE(CONTROL!$C$15, $E$9, 100%, $G$9) + CHOOSE(CONTROL!$C$38, 0.0342, 0)</f>
        <v>26.212999999999997</v>
      </c>
      <c r="I262" s="14">
        <f>26.1804 * CHOOSE(CONTROL!$C$15, $E$9, 100%, $G$9) + CHOOSE(CONTROL!$C$38, 0.0342, 0)</f>
        <v>26.214599999999997</v>
      </c>
      <c r="J262" s="44">
        <f>175.9669</f>
        <v>175.96690000000001</v>
      </c>
    </row>
    <row r="263" spans="1:10" ht="15" x14ac:dyDescent="0.2">
      <c r="A263" s="13">
        <v>48914</v>
      </c>
      <c r="B263" s="14">
        <f>28.6849 * CHOOSE(CONTROL!$C$15, $E$9, 100%, $G$9) + CHOOSE(CONTROL!$C$38, 0.0251, 0)</f>
        <v>28.709999999999997</v>
      </c>
      <c r="C263" s="14">
        <f>27.11 * CHOOSE(CONTROL!$C$15, $E$9, 100%, $G$9) + CHOOSE(CONTROL!$C$38, 0.0342, 0)</f>
        <v>27.144199999999998</v>
      </c>
      <c r="D263" s="14">
        <f>27.1022 * CHOOSE(CONTROL!$C$15, $E$9, 100%, $G$9) + CHOOSE(CONTROL!$C$38, 0.0342, 0)</f>
        <v>27.136399999999998</v>
      </c>
      <c r="E263" s="46">
        <f>28.5286 * CHOOSE(CONTROL!$C$15, $E$9, 100%, $G$9) + CHOOSE(CONTROL!$C$38, 0.0342, 0)</f>
        <v>28.562799999999999</v>
      </c>
      <c r="F263" s="45">
        <f>28.5286 * CHOOSE(CONTROL!$C$15, $E$9, 100%, $G$9) + CHOOSE(CONTROL!$C$38, 0.0251, 0)</f>
        <v>28.553699999999999</v>
      </c>
      <c r="G263" s="14">
        <f>27.1085 * CHOOSE(CONTROL!$C$15, $E$9, 100%, $G$9) + CHOOSE(CONTROL!$C$38, 0.0342, 0)</f>
        <v>27.142699999999998</v>
      </c>
      <c r="H263" s="14">
        <f>27.1085 * CHOOSE(CONTROL!$C$15, $E$9, 100%, $G$9) + CHOOSE(CONTROL!$C$38, 0.0342, 0)</f>
        <v>27.142699999999998</v>
      </c>
      <c r="I263" s="14">
        <f>27.11 * CHOOSE(CONTROL!$C$15, $E$9, 100%, $G$9) + CHOOSE(CONTROL!$C$38, 0.0342, 0)</f>
        <v>27.144199999999998</v>
      </c>
      <c r="J263" s="44">
        <f>170.7451</f>
        <v>170.74510000000001</v>
      </c>
    </row>
    <row r="264" spans="1:10" ht="15" x14ac:dyDescent="0.2">
      <c r="A264" s="13">
        <v>48945</v>
      </c>
      <c r="B264" s="14">
        <f>29.8759 * CHOOSE(CONTROL!$C$15, $E$9, 100%, $G$9) + CHOOSE(CONTROL!$C$38, 0.0251, 0)</f>
        <v>29.901</v>
      </c>
      <c r="C264" s="14">
        <f>28.2772 * CHOOSE(CONTROL!$C$15, $E$9, 100%, $G$9) + CHOOSE(CONTROL!$C$38, 0.0342, 0)</f>
        <v>28.311399999999999</v>
      </c>
      <c r="D264" s="14">
        <f>28.2694 * CHOOSE(CONTROL!$C$15, $E$9, 100%, $G$9) + CHOOSE(CONTROL!$C$38, 0.0342, 0)</f>
        <v>28.303599999999999</v>
      </c>
      <c r="E264" s="46">
        <f>29.7196 * CHOOSE(CONTROL!$C$15, $E$9, 100%, $G$9) + CHOOSE(CONTROL!$C$38, 0.0342, 0)</f>
        <v>29.753799999999998</v>
      </c>
      <c r="F264" s="45">
        <f>29.7196 * CHOOSE(CONTROL!$C$15, $E$9, 100%, $G$9) + CHOOSE(CONTROL!$C$38, 0.0251, 0)</f>
        <v>29.744699999999998</v>
      </c>
      <c r="G264" s="14">
        <f>28.2756 * CHOOSE(CONTROL!$C$15, $E$9, 100%, $G$9) + CHOOSE(CONTROL!$C$38, 0.0342, 0)</f>
        <v>28.309799999999999</v>
      </c>
      <c r="H264" s="14">
        <f>28.2756 * CHOOSE(CONTROL!$C$15, $E$9, 100%, $G$9) + CHOOSE(CONTROL!$C$38, 0.0342, 0)</f>
        <v>28.309799999999999</v>
      </c>
      <c r="I264" s="14">
        <f>28.2772 * CHOOSE(CONTROL!$C$15, $E$9, 100%, $G$9) + CHOOSE(CONTROL!$C$38, 0.0342, 0)</f>
        <v>28.311399999999999</v>
      </c>
      <c r="J264" s="44">
        <f>170.6218</f>
        <v>170.62180000000001</v>
      </c>
    </row>
    <row r="265" spans="1:10" ht="15" x14ac:dyDescent="0.2">
      <c r="A265" s="13">
        <v>48976</v>
      </c>
      <c r="B265" s="14">
        <f>30.2202 * CHOOSE(CONTROL!$C$15, $E$9, 100%, $G$9) + CHOOSE(CONTROL!$C$38, 0.0251, 0)</f>
        <v>30.245299999999997</v>
      </c>
      <c r="C265" s="14">
        <f>28.6215 * CHOOSE(CONTROL!$C$15, $E$9, 100%, $G$9) + CHOOSE(CONTROL!$C$38, 0.0342, 0)</f>
        <v>28.6557</v>
      </c>
      <c r="D265" s="14">
        <f>28.6137 * CHOOSE(CONTROL!$C$15, $E$9, 100%, $G$9) + CHOOSE(CONTROL!$C$38, 0.0342, 0)</f>
        <v>28.6479</v>
      </c>
      <c r="E265" s="46">
        <f>30.0639 * CHOOSE(CONTROL!$C$15, $E$9, 100%, $G$9) + CHOOSE(CONTROL!$C$38, 0.0342, 0)</f>
        <v>30.098099999999999</v>
      </c>
      <c r="F265" s="45">
        <f>30.0639 * CHOOSE(CONTROL!$C$15, $E$9, 100%, $G$9) + CHOOSE(CONTROL!$C$38, 0.0251, 0)</f>
        <v>30.088999999999999</v>
      </c>
      <c r="G265" s="14">
        <f>28.6199 * CHOOSE(CONTROL!$C$15, $E$9, 100%, $G$9) + CHOOSE(CONTROL!$C$38, 0.0342, 0)</f>
        <v>28.6541</v>
      </c>
      <c r="H265" s="14">
        <f>28.6199 * CHOOSE(CONTROL!$C$15, $E$9, 100%, $G$9) + CHOOSE(CONTROL!$C$38, 0.0342, 0)</f>
        <v>28.6541</v>
      </c>
      <c r="I265" s="14">
        <f>28.6215 * CHOOSE(CONTROL!$C$15, $E$9, 100%, $G$9) + CHOOSE(CONTROL!$C$38, 0.0342, 0)</f>
        <v>28.6557</v>
      </c>
      <c r="J265" s="44">
        <f>170.1476</f>
        <v>170.14760000000001</v>
      </c>
    </row>
    <row r="266" spans="1:10" ht="15" x14ac:dyDescent="0.2">
      <c r="A266" s="13">
        <v>49004</v>
      </c>
      <c r="B266" s="14">
        <f>29.4232 * CHOOSE(CONTROL!$C$15, $E$9, 100%, $G$9) + CHOOSE(CONTROL!$C$38, 0.0251, 0)</f>
        <v>29.4483</v>
      </c>
      <c r="C266" s="14">
        <f>27.8245 * CHOOSE(CONTROL!$C$15, $E$9, 100%, $G$9) + CHOOSE(CONTROL!$C$38, 0.0342, 0)</f>
        <v>27.858699999999999</v>
      </c>
      <c r="D266" s="14">
        <f>27.8167 * CHOOSE(CONTROL!$C$15, $E$9, 100%, $G$9) + CHOOSE(CONTROL!$C$38, 0.0342, 0)</f>
        <v>27.850899999999999</v>
      </c>
      <c r="E266" s="46">
        <f>29.2669 * CHOOSE(CONTROL!$C$15, $E$9, 100%, $G$9) + CHOOSE(CONTROL!$C$38, 0.0342, 0)</f>
        <v>29.301099999999998</v>
      </c>
      <c r="F266" s="45">
        <f>29.2669 * CHOOSE(CONTROL!$C$15, $E$9, 100%, $G$9) + CHOOSE(CONTROL!$C$38, 0.0251, 0)</f>
        <v>29.291999999999998</v>
      </c>
      <c r="G266" s="14">
        <f>27.8229 * CHOOSE(CONTROL!$C$15, $E$9, 100%, $G$9) + CHOOSE(CONTROL!$C$38, 0.0342, 0)</f>
        <v>27.857099999999999</v>
      </c>
      <c r="H266" s="14">
        <f>27.8229 * CHOOSE(CONTROL!$C$15, $E$9, 100%, $G$9) + CHOOSE(CONTROL!$C$38, 0.0342, 0)</f>
        <v>27.857099999999999</v>
      </c>
      <c r="I266" s="14">
        <f>27.8245 * CHOOSE(CONTROL!$C$15, $E$9, 100%, $G$9) + CHOOSE(CONTROL!$C$38, 0.0342, 0)</f>
        <v>27.858699999999999</v>
      </c>
      <c r="J266" s="44">
        <f>179.1153</f>
        <v>179.11529999999999</v>
      </c>
    </row>
    <row r="267" spans="1:10" ht="15" x14ac:dyDescent="0.2">
      <c r="A267" s="13">
        <v>49035</v>
      </c>
      <c r="B267" s="14">
        <f>28.6509 * CHOOSE(CONTROL!$C$15, $E$9, 100%, $G$9) + CHOOSE(CONTROL!$C$38, 0.0251, 0)</f>
        <v>28.675999999999998</v>
      </c>
      <c r="C267" s="14">
        <f>27.0522 * CHOOSE(CONTROL!$C$15, $E$9, 100%, $G$9) + CHOOSE(CONTROL!$C$38, 0.0342, 0)</f>
        <v>27.086399999999998</v>
      </c>
      <c r="D267" s="14">
        <f>27.0443 * CHOOSE(CONTROL!$C$15, $E$9, 100%, $G$9) + CHOOSE(CONTROL!$C$38, 0.0342, 0)</f>
        <v>27.078499999999998</v>
      </c>
      <c r="E267" s="46">
        <f>28.4946 * CHOOSE(CONTROL!$C$15, $E$9, 100%, $G$9) + CHOOSE(CONTROL!$C$38, 0.0342, 0)</f>
        <v>28.528799999999997</v>
      </c>
      <c r="F267" s="45">
        <f>28.4946 * CHOOSE(CONTROL!$C$15, $E$9, 100%, $G$9) + CHOOSE(CONTROL!$C$38, 0.0251, 0)</f>
        <v>28.519699999999997</v>
      </c>
      <c r="G267" s="14">
        <f>27.0506 * CHOOSE(CONTROL!$C$15, $E$9, 100%, $G$9) + CHOOSE(CONTROL!$C$38, 0.0342, 0)</f>
        <v>27.084799999999998</v>
      </c>
      <c r="H267" s="14">
        <f>27.0506 * CHOOSE(CONTROL!$C$15, $E$9, 100%, $G$9) + CHOOSE(CONTROL!$C$38, 0.0342, 0)</f>
        <v>27.084799999999998</v>
      </c>
      <c r="I267" s="14">
        <f>27.0522 * CHOOSE(CONTROL!$C$15, $E$9, 100%, $G$9) + CHOOSE(CONTROL!$C$38, 0.0342, 0)</f>
        <v>27.086399999999998</v>
      </c>
      <c r="J267" s="44">
        <f>190.7444</f>
        <v>190.74440000000001</v>
      </c>
    </row>
    <row r="268" spans="1:10" ht="15" x14ac:dyDescent="0.2">
      <c r="A268" s="13">
        <v>49065</v>
      </c>
      <c r="B268" s="14">
        <f>27.8459 * CHOOSE(CONTROL!$C$15, $E$9, 100%, $G$9) + CHOOSE(CONTROL!$C$38, 0.0264, 0)</f>
        <v>27.872299999999999</v>
      </c>
      <c r="C268" s="14">
        <f>26.2472 * CHOOSE(CONTROL!$C$15, $E$9, 100%, $G$9) + CHOOSE(CONTROL!$C$38, 0.0354, 0)</f>
        <v>26.282599999999999</v>
      </c>
      <c r="D268" s="14">
        <f>26.2394 * CHOOSE(CONTROL!$C$15, $E$9, 100%, $G$9) + CHOOSE(CONTROL!$C$38, 0.0354, 0)</f>
        <v>26.274799999999999</v>
      </c>
      <c r="E268" s="46">
        <f>27.6896 * CHOOSE(CONTROL!$C$15, $E$9, 100%, $G$9) + CHOOSE(CONTROL!$C$38, 0.0354, 0)</f>
        <v>27.724999999999998</v>
      </c>
      <c r="F268" s="45">
        <f>27.6896 * CHOOSE(CONTROL!$C$15, $E$9, 100%, $G$9) + CHOOSE(CONTROL!$C$38, 0.0264, 0)</f>
        <v>27.715999999999998</v>
      </c>
      <c r="G268" s="14">
        <f>26.2456 * CHOOSE(CONTROL!$C$15, $E$9, 100%, $G$9) + CHOOSE(CONTROL!$C$38, 0.0354, 0)</f>
        <v>26.280999999999999</v>
      </c>
      <c r="H268" s="14">
        <f>26.2456 * CHOOSE(CONTROL!$C$15, $E$9, 100%, $G$9) + CHOOSE(CONTROL!$C$38, 0.0354, 0)</f>
        <v>26.280999999999999</v>
      </c>
      <c r="I268" s="14">
        <f>26.2472 * CHOOSE(CONTROL!$C$15, $E$9, 100%, $G$9) + CHOOSE(CONTROL!$C$38, 0.0354, 0)</f>
        <v>26.282599999999999</v>
      </c>
      <c r="J268" s="44">
        <f>197.1454</f>
        <v>197.1454</v>
      </c>
    </row>
    <row r="269" spans="1:10" ht="15" x14ac:dyDescent="0.2">
      <c r="A269" s="13">
        <v>49096</v>
      </c>
      <c r="B269" s="14">
        <f>27.2816 * CHOOSE(CONTROL!$C$15, $E$9, 100%, $G$9) + CHOOSE(CONTROL!$C$38, 0.0264, 0)</f>
        <v>27.308</v>
      </c>
      <c r="C269" s="14">
        <f>25.6829 * CHOOSE(CONTROL!$C$15, $E$9, 100%, $G$9) + CHOOSE(CONTROL!$C$38, 0.0354, 0)</f>
        <v>25.718299999999999</v>
      </c>
      <c r="D269" s="14">
        <f>25.675 * CHOOSE(CONTROL!$C$15, $E$9, 100%, $G$9) + CHOOSE(CONTROL!$C$38, 0.0354, 0)</f>
        <v>25.7104</v>
      </c>
      <c r="E269" s="46">
        <f>27.1253 * CHOOSE(CONTROL!$C$15, $E$9, 100%, $G$9) + CHOOSE(CONTROL!$C$38, 0.0354, 0)</f>
        <v>27.160699999999999</v>
      </c>
      <c r="F269" s="45">
        <f>27.1253 * CHOOSE(CONTROL!$C$15, $E$9, 100%, $G$9) + CHOOSE(CONTROL!$C$38, 0.0264, 0)</f>
        <v>27.151699999999998</v>
      </c>
      <c r="G269" s="14">
        <f>25.6813 * CHOOSE(CONTROL!$C$15, $E$9, 100%, $G$9) + CHOOSE(CONTROL!$C$38, 0.0354, 0)</f>
        <v>25.716699999999999</v>
      </c>
      <c r="H269" s="14">
        <f>25.6813 * CHOOSE(CONTROL!$C$15, $E$9, 100%, $G$9) + CHOOSE(CONTROL!$C$38, 0.0354, 0)</f>
        <v>25.716699999999999</v>
      </c>
      <c r="I269" s="14">
        <f>25.6829 * CHOOSE(CONTROL!$C$15, $E$9, 100%, $G$9) + CHOOSE(CONTROL!$C$38, 0.0354, 0)</f>
        <v>25.718299999999999</v>
      </c>
      <c r="J269" s="44">
        <f>199.986</f>
        <v>199.98599999999999</v>
      </c>
    </row>
    <row r="270" spans="1:10" ht="15" x14ac:dyDescent="0.2">
      <c r="A270" s="13">
        <v>49126</v>
      </c>
      <c r="B270" s="14">
        <f>26.9595 * CHOOSE(CONTROL!$C$15, $E$9, 100%, $G$9) + CHOOSE(CONTROL!$C$38, 0.0264, 0)</f>
        <v>26.985899999999997</v>
      </c>
      <c r="C270" s="14">
        <f>25.3608 * CHOOSE(CONTROL!$C$15, $E$9, 100%, $G$9) + CHOOSE(CONTROL!$C$38, 0.0354, 0)</f>
        <v>25.3962</v>
      </c>
      <c r="D270" s="14">
        <f>25.353 * CHOOSE(CONTROL!$C$15, $E$9, 100%, $G$9) + CHOOSE(CONTROL!$C$38, 0.0354, 0)</f>
        <v>25.388400000000001</v>
      </c>
      <c r="E270" s="46">
        <f>26.8033 * CHOOSE(CONTROL!$C$15, $E$9, 100%, $G$9) + CHOOSE(CONTROL!$C$38, 0.0354, 0)</f>
        <v>26.838699999999999</v>
      </c>
      <c r="F270" s="45">
        <f>26.8033 * CHOOSE(CONTROL!$C$15, $E$9, 100%, $G$9) + CHOOSE(CONTROL!$C$38, 0.0264, 0)</f>
        <v>26.829699999999999</v>
      </c>
      <c r="G270" s="14">
        <f>25.3592 * CHOOSE(CONTROL!$C$15, $E$9, 100%, $G$9) + CHOOSE(CONTROL!$C$38, 0.0354, 0)</f>
        <v>25.394600000000001</v>
      </c>
      <c r="H270" s="14">
        <f>25.3592 * CHOOSE(CONTROL!$C$15, $E$9, 100%, $G$9) + CHOOSE(CONTROL!$C$38, 0.0354, 0)</f>
        <v>25.394600000000001</v>
      </c>
      <c r="I270" s="14">
        <f>25.3608 * CHOOSE(CONTROL!$C$15, $E$9, 100%, $G$9) + CHOOSE(CONTROL!$C$38, 0.0354, 0)</f>
        <v>25.3962</v>
      </c>
      <c r="J270" s="44">
        <f>199.0507</f>
        <v>199.05070000000001</v>
      </c>
    </row>
    <row r="271" spans="1:10" ht="15" x14ac:dyDescent="0.2">
      <c r="A271" s="13">
        <v>49157</v>
      </c>
      <c r="B271" s="14">
        <f>27.1184 * CHOOSE(CONTROL!$C$15, $E$9, 100%, $G$9) + CHOOSE(CONTROL!$C$38, 0.0264, 0)</f>
        <v>27.1448</v>
      </c>
      <c r="C271" s="14">
        <f>25.5198 * CHOOSE(CONTROL!$C$15, $E$9, 100%, $G$9) + CHOOSE(CONTROL!$C$38, 0.0354, 0)</f>
        <v>25.555199999999999</v>
      </c>
      <c r="D271" s="14">
        <f>25.5119 * CHOOSE(CONTROL!$C$15, $E$9, 100%, $G$9) + CHOOSE(CONTROL!$C$38, 0.0354, 0)</f>
        <v>25.5473</v>
      </c>
      <c r="E271" s="46">
        <f>26.9622 * CHOOSE(CONTROL!$C$15, $E$9, 100%, $G$9) + CHOOSE(CONTROL!$C$38, 0.0354, 0)</f>
        <v>26.997599999999998</v>
      </c>
      <c r="F271" s="45">
        <f>26.9622 * CHOOSE(CONTROL!$C$15, $E$9, 100%, $G$9) + CHOOSE(CONTROL!$C$38, 0.0264, 0)</f>
        <v>26.988599999999998</v>
      </c>
      <c r="G271" s="14">
        <f>25.5182 * CHOOSE(CONTROL!$C$15, $E$9, 100%, $G$9) + CHOOSE(CONTROL!$C$38, 0.0354, 0)</f>
        <v>25.553599999999999</v>
      </c>
      <c r="H271" s="14">
        <f>25.5182 * CHOOSE(CONTROL!$C$15, $E$9, 100%, $G$9) + CHOOSE(CONTROL!$C$38, 0.0354, 0)</f>
        <v>25.553599999999999</v>
      </c>
      <c r="I271" s="14">
        <f>25.5198 * CHOOSE(CONTROL!$C$15, $E$9, 100%, $G$9) + CHOOSE(CONTROL!$C$38, 0.0354, 0)</f>
        <v>25.555199999999999</v>
      </c>
      <c r="J271" s="44">
        <f>194.4169</f>
        <v>194.4169</v>
      </c>
    </row>
    <row r="272" spans="1:10" ht="15" x14ac:dyDescent="0.2">
      <c r="A272" s="13">
        <v>49188</v>
      </c>
      <c r="B272" s="14">
        <f>27.5502 * CHOOSE(CONTROL!$C$15, $E$9, 100%, $G$9) + CHOOSE(CONTROL!$C$38, 0.0264, 0)</f>
        <v>27.576599999999999</v>
      </c>
      <c r="C272" s="14">
        <f>25.9515 * CHOOSE(CONTROL!$C$15, $E$9, 100%, $G$9) + CHOOSE(CONTROL!$C$38, 0.0354, 0)</f>
        <v>25.986899999999999</v>
      </c>
      <c r="D272" s="14">
        <f>25.9436 * CHOOSE(CONTROL!$C$15, $E$9, 100%, $G$9) + CHOOSE(CONTROL!$C$38, 0.0354, 0)</f>
        <v>25.978999999999999</v>
      </c>
      <c r="E272" s="46">
        <f>27.3939 * CHOOSE(CONTROL!$C$15, $E$9, 100%, $G$9) + CHOOSE(CONTROL!$C$38, 0.0354, 0)</f>
        <v>27.429299999999998</v>
      </c>
      <c r="F272" s="45">
        <f>27.3939 * CHOOSE(CONTROL!$C$15, $E$9, 100%, $G$9) + CHOOSE(CONTROL!$C$38, 0.0264, 0)</f>
        <v>27.420299999999997</v>
      </c>
      <c r="G272" s="14">
        <f>25.9499 * CHOOSE(CONTROL!$C$15, $E$9, 100%, $G$9) + CHOOSE(CONTROL!$C$38, 0.0354, 0)</f>
        <v>25.985299999999999</v>
      </c>
      <c r="H272" s="14">
        <f>25.9499 * CHOOSE(CONTROL!$C$15, $E$9, 100%, $G$9) + CHOOSE(CONTROL!$C$38, 0.0354, 0)</f>
        <v>25.985299999999999</v>
      </c>
      <c r="I272" s="14">
        <f>25.9515 * CHOOSE(CONTROL!$C$15, $E$9, 100%, $G$9) + CHOOSE(CONTROL!$C$38, 0.0354, 0)</f>
        <v>25.986899999999999</v>
      </c>
      <c r="J272" s="44">
        <f>187.9548</f>
        <v>187.95480000000001</v>
      </c>
    </row>
    <row r="273" spans="1:10" ht="15" x14ac:dyDescent="0.2">
      <c r="A273" s="13">
        <v>49218</v>
      </c>
      <c r="B273" s="14">
        <f>27.9117 * CHOOSE(CONTROL!$C$15, $E$9, 100%, $G$9) + CHOOSE(CONTROL!$C$38, 0.0251, 0)</f>
        <v>27.936799999999998</v>
      </c>
      <c r="C273" s="14">
        <f>26.313 * CHOOSE(CONTROL!$C$15, $E$9, 100%, $G$9) + CHOOSE(CONTROL!$C$38, 0.0342, 0)</f>
        <v>26.347199999999997</v>
      </c>
      <c r="D273" s="14">
        <f>26.3052 * CHOOSE(CONTROL!$C$15, $E$9, 100%, $G$9) + CHOOSE(CONTROL!$C$38, 0.0342, 0)</f>
        <v>26.339399999999998</v>
      </c>
      <c r="E273" s="46">
        <f>27.7555 * CHOOSE(CONTROL!$C$15, $E$9, 100%, $G$9) + CHOOSE(CONTROL!$C$38, 0.0342, 0)</f>
        <v>27.7897</v>
      </c>
      <c r="F273" s="45">
        <f>27.7555 * CHOOSE(CONTROL!$C$15, $E$9, 100%, $G$9) + CHOOSE(CONTROL!$C$38, 0.0251, 0)</f>
        <v>27.7806</v>
      </c>
      <c r="G273" s="14">
        <f>26.3115 * CHOOSE(CONTROL!$C$15, $E$9, 100%, $G$9) + CHOOSE(CONTROL!$C$38, 0.0342, 0)</f>
        <v>26.345699999999997</v>
      </c>
      <c r="H273" s="14">
        <f>26.3115 * CHOOSE(CONTROL!$C$15, $E$9, 100%, $G$9) + CHOOSE(CONTROL!$C$38, 0.0342, 0)</f>
        <v>26.345699999999997</v>
      </c>
      <c r="I273" s="14">
        <f>26.313 * CHOOSE(CONTROL!$C$15, $E$9, 100%, $G$9) + CHOOSE(CONTROL!$C$38, 0.0342, 0)</f>
        <v>26.347199999999997</v>
      </c>
      <c r="J273" s="44">
        <f>181.4552</f>
        <v>181.45519999999999</v>
      </c>
    </row>
    <row r="274" spans="1:10" ht="15" x14ac:dyDescent="0.2">
      <c r="A274" s="13">
        <v>49249</v>
      </c>
      <c r="B274" s="14">
        <f>28.2134 * CHOOSE(CONTROL!$C$15, $E$9, 100%, $G$9) + CHOOSE(CONTROL!$C$38, 0.0251, 0)</f>
        <v>28.238499999999998</v>
      </c>
      <c r="C274" s="14">
        <f>26.6147 * CHOOSE(CONTROL!$C$15, $E$9, 100%, $G$9) + CHOOSE(CONTROL!$C$38, 0.0342, 0)</f>
        <v>26.648899999999998</v>
      </c>
      <c r="D274" s="14">
        <f>26.6069 * CHOOSE(CONTROL!$C$15, $E$9, 100%, $G$9) + CHOOSE(CONTROL!$C$38, 0.0342, 0)</f>
        <v>26.641099999999998</v>
      </c>
      <c r="E274" s="46">
        <f>28.0572 * CHOOSE(CONTROL!$C$15, $E$9, 100%, $G$9) + CHOOSE(CONTROL!$C$38, 0.0342, 0)</f>
        <v>28.0914</v>
      </c>
      <c r="F274" s="45">
        <f>28.0572 * CHOOSE(CONTROL!$C$15, $E$9, 100%, $G$9) + CHOOSE(CONTROL!$C$38, 0.0251, 0)</f>
        <v>28.0823</v>
      </c>
      <c r="G274" s="14">
        <f>26.6132 * CHOOSE(CONTROL!$C$15, $E$9, 100%, $G$9) + CHOOSE(CONTROL!$C$38, 0.0342, 0)</f>
        <v>26.647399999999998</v>
      </c>
      <c r="H274" s="14">
        <f>26.6132 * CHOOSE(CONTROL!$C$15, $E$9, 100%, $G$9) + CHOOSE(CONTROL!$C$38, 0.0342, 0)</f>
        <v>26.647399999999998</v>
      </c>
      <c r="I274" s="14">
        <f>26.6147 * CHOOSE(CONTROL!$C$15, $E$9, 100%, $G$9) + CHOOSE(CONTROL!$C$38, 0.0342, 0)</f>
        <v>26.648899999999998</v>
      </c>
      <c r="J274" s="44">
        <f>180.1622</f>
        <v>180.16220000000001</v>
      </c>
    </row>
    <row r="275" spans="1:10" ht="15" x14ac:dyDescent="0.2">
      <c r="A275" s="13">
        <v>49279</v>
      </c>
      <c r="B275" s="14">
        <f>29.1431 * CHOOSE(CONTROL!$C$15, $E$9, 100%, $G$9) + CHOOSE(CONTROL!$C$38, 0.0251, 0)</f>
        <v>29.168199999999999</v>
      </c>
      <c r="C275" s="14">
        <f>27.5444 * CHOOSE(CONTROL!$C$15, $E$9, 100%, $G$9) + CHOOSE(CONTROL!$C$38, 0.0342, 0)</f>
        <v>27.578599999999998</v>
      </c>
      <c r="D275" s="14">
        <f>27.5366 * CHOOSE(CONTROL!$C$15, $E$9, 100%, $G$9) + CHOOSE(CONTROL!$C$38, 0.0342, 0)</f>
        <v>27.570799999999998</v>
      </c>
      <c r="E275" s="46">
        <f>28.9868 * CHOOSE(CONTROL!$C$15, $E$9, 100%, $G$9) + CHOOSE(CONTROL!$C$38, 0.0342, 0)</f>
        <v>29.020999999999997</v>
      </c>
      <c r="F275" s="45">
        <f>28.9868 * CHOOSE(CONTROL!$C$15, $E$9, 100%, $G$9) + CHOOSE(CONTROL!$C$38, 0.0251, 0)</f>
        <v>29.011899999999997</v>
      </c>
      <c r="G275" s="14">
        <f>27.5428 * CHOOSE(CONTROL!$C$15, $E$9, 100%, $G$9) + CHOOSE(CONTROL!$C$38, 0.0342, 0)</f>
        <v>27.576999999999998</v>
      </c>
      <c r="H275" s="14">
        <f>27.5428 * CHOOSE(CONTROL!$C$15, $E$9, 100%, $G$9) + CHOOSE(CONTROL!$C$38, 0.0342, 0)</f>
        <v>27.576999999999998</v>
      </c>
      <c r="I275" s="14">
        <f>27.5444 * CHOOSE(CONTROL!$C$15, $E$9, 100%, $G$9) + CHOOSE(CONTROL!$C$38, 0.0342, 0)</f>
        <v>27.578599999999998</v>
      </c>
      <c r="J275" s="44">
        <f>174.8159</f>
        <v>174.8159</v>
      </c>
    </row>
    <row r="276" spans="1:10" ht="15" x14ac:dyDescent="0.2">
      <c r="A276" s="13">
        <v>49310</v>
      </c>
      <c r="B276" s="14">
        <f>30.3418 * CHOOSE(CONTROL!$C$15, $E$9, 100%, $G$9) + CHOOSE(CONTROL!$C$38, 0.0251, 0)</f>
        <v>30.366899999999998</v>
      </c>
      <c r="C276" s="14">
        <f>28.7189 * CHOOSE(CONTROL!$C$15, $E$9, 100%, $G$9) + CHOOSE(CONTROL!$C$38, 0.0342, 0)</f>
        <v>28.7531</v>
      </c>
      <c r="D276" s="14">
        <f>28.711 * CHOOSE(CONTROL!$C$15, $E$9, 100%, $G$9) + CHOOSE(CONTROL!$C$38, 0.0342, 0)</f>
        <v>28.745199999999997</v>
      </c>
      <c r="E276" s="46">
        <f>30.1855 * CHOOSE(CONTROL!$C$15, $E$9, 100%, $G$9) + CHOOSE(CONTROL!$C$38, 0.0342, 0)</f>
        <v>30.2197</v>
      </c>
      <c r="F276" s="45">
        <f>30.1855 * CHOOSE(CONTROL!$C$15, $E$9, 100%, $G$9) + CHOOSE(CONTROL!$C$38, 0.0251, 0)</f>
        <v>30.210599999999999</v>
      </c>
      <c r="G276" s="14">
        <f>28.7173 * CHOOSE(CONTROL!$C$15, $E$9, 100%, $G$9) + CHOOSE(CONTROL!$C$38, 0.0342, 0)</f>
        <v>28.7515</v>
      </c>
      <c r="H276" s="14">
        <f>28.7173 * CHOOSE(CONTROL!$C$15, $E$9, 100%, $G$9) + CHOOSE(CONTROL!$C$38, 0.0342, 0)</f>
        <v>28.7515</v>
      </c>
      <c r="I276" s="14">
        <f>28.7189 * CHOOSE(CONTROL!$C$15, $E$9, 100%, $G$9) + CHOOSE(CONTROL!$C$38, 0.0342, 0)</f>
        <v>28.7531</v>
      </c>
      <c r="J276" s="44">
        <f>174.6897</f>
        <v>174.68969999999999</v>
      </c>
    </row>
    <row r="277" spans="1:10" ht="15" x14ac:dyDescent="0.2">
      <c r="A277" s="13">
        <v>49341</v>
      </c>
      <c r="B277" s="14">
        <f>30.6861 * CHOOSE(CONTROL!$C$15, $E$9, 100%, $G$9) + CHOOSE(CONTROL!$C$38, 0.0251, 0)</f>
        <v>30.711199999999998</v>
      </c>
      <c r="C277" s="14">
        <f>29.0632 * CHOOSE(CONTROL!$C$15, $E$9, 100%, $G$9) + CHOOSE(CONTROL!$C$38, 0.0342, 0)</f>
        <v>29.097399999999997</v>
      </c>
      <c r="D277" s="14">
        <f>29.0554 * CHOOSE(CONTROL!$C$15, $E$9, 100%, $G$9) + CHOOSE(CONTROL!$C$38, 0.0342, 0)</f>
        <v>29.089599999999997</v>
      </c>
      <c r="E277" s="46">
        <f>30.5298 * CHOOSE(CONTROL!$C$15, $E$9, 100%, $G$9) + CHOOSE(CONTROL!$C$38, 0.0342, 0)</f>
        <v>30.564</v>
      </c>
      <c r="F277" s="45">
        <f>30.5298 * CHOOSE(CONTROL!$C$15, $E$9, 100%, $G$9) + CHOOSE(CONTROL!$C$38, 0.0251, 0)</f>
        <v>30.5549</v>
      </c>
      <c r="G277" s="14">
        <f>29.0616 * CHOOSE(CONTROL!$C$15, $E$9, 100%, $G$9) + CHOOSE(CONTROL!$C$38, 0.0342, 0)</f>
        <v>29.095799999999997</v>
      </c>
      <c r="H277" s="14">
        <f>29.0616 * CHOOSE(CONTROL!$C$15, $E$9, 100%, $G$9) + CHOOSE(CONTROL!$C$38, 0.0342, 0)</f>
        <v>29.095799999999997</v>
      </c>
      <c r="I277" s="14">
        <f>29.0632 * CHOOSE(CONTROL!$C$15, $E$9, 100%, $G$9) + CHOOSE(CONTROL!$C$38, 0.0342, 0)</f>
        <v>29.097399999999997</v>
      </c>
      <c r="J277" s="44">
        <f>174.2041</f>
        <v>174.20410000000001</v>
      </c>
    </row>
    <row r="278" spans="1:10" ht="15" x14ac:dyDescent="0.2">
      <c r="A278" s="13">
        <v>49369</v>
      </c>
      <c r="B278" s="14">
        <f>29.8891 * CHOOSE(CONTROL!$C$15, $E$9, 100%, $G$9) + CHOOSE(CONTROL!$C$38, 0.0251, 0)</f>
        <v>29.914199999999997</v>
      </c>
      <c r="C278" s="14">
        <f>28.2661 * CHOOSE(CONTROL!$C$15, $E$9, 100%, $G$9) + CHOOSE(CONTROL!$C$38, 0.0342, 0)</f>
        <v>28.3003</v>
      </c>
      <c r="D278" s="14">
        <f>28.2583 * CHOOSE(CONTROL!$C$15, $E$9, 100%, $G$9) + CHOOSE(CONTROL!$C$38, 0.0342, 0)</f>
        <v>28.292499999999997</v>
      </c>
      <c r="E278" s="46">
        <f>29.7328 * CHOOSE(CONTROL!$C$15, $E$9, 100%, $G$9) + CHOOSE(CONTROL!$C$38, 0.0342, 0)</f>
        <v>29.766999999999999</v>
      </c>
      <c r="F278" s="45">
        <f>29.7328 * CHOOSE(CONTROL!$C$15, $E$9, 100%, $G$9) + CHOOSE(CONTROL!$C$38, 0.0251, 0)</f>
        <v>29.757899999999999</v>
      </c>
      <c r="G278" s="14">
        <f>28.2646 * CHOOSE(CONTROL!$C$15, $E$9, 100%, $G$9) + CHOOSE(CONTROL!$C$38, 0.0342, 0)</f>
        <v>28.2988</v>
      </c>
      <c r="H278" s="14">
        <f>28.2646 * CHOOSE(CONTROL!$C$15, $E$9, 100%, $G$9) + CHOOSE(CONTROL!$C$38, 0.0342, 0)</f>
        <v>28.2988</v>
      </c>
      <c r="I278" s="14">
        <f>28.2661 * CHOOSE(CONTROL!$C$15, $E$9, 100%, $G$9) + CHOOSE(CONTROL!$C$38, 0.0342, 0)</f>
        <v>28.3003</v>
      </c>
      <c r="J278" s="44">
        <f>183.3857</f>
        <v>183.38570000000001</v>
      </c>
    </row>
    <row r="279" spans="1:10" ht="15" x14ac:dyDescent="0.2">
      <c r="A279" s="13">
        <v>49400</v>
      </c>
      <c r="B279" s="14">
        <f>29.1167 * CHOOSE(CONTROL!$C$15, $E$9, 100%, $G$9) + CHOOSE(CONTROL!$C$38, 0.0251, 0)</f>
        <v>29.1418</v>
      </c>
      <c r="C279" s="14">
        <f>27.4938 * CHOOSE(CONTROL!$C$15, $E$9, 100%, $G$9) + CHOOSE(CONTROL!$C$38, 0.0342, 0)</f>
        <v>27.527999999999999</v>
      </c>
      <c r="D279" s="14">
        <f>27.486 * CHOOSE(CONTROL!$C$15, $E$9, 100%, $G$9) + CHOOSE(CONTROL!$C$38, 0.0342, 0)</f>
        <v>27.520199999999999</v>
      </c>
      <c r="E279" s="46">
        <f>28.9605 * CHOOSE(CONTROL!$C$15, $E$9, 100%, $G$9) + CHOOSE(CONTROL!$C$38, 0.0342, 0)</f>
        <v>28.994699999999998</v>
      </c>
      <c r="F279" s="45">
        <f>28.9605 * CHOOSE(CONTROL!$C$15, $E$9, 100%, $G$9) + CHOOSE(CONTROL!$C$38, 0.0251, 0)</f>
        <v>28.985599999999998</v>
      </c>
      <c r="G279" s="14">
        <f>27.4923 * CHOOSE(CONTROL!$C$15, $E$9, 100%, $G$9) + CHOOSE(CONTROL!$C$38, 0.0342, 0)</f>
        <v>27.526499999999999</v>
      </c>
      <c r="H279" s="14">
        <f>27.4923 * CHOOSE(CONTROL!$C$15, $E$9, 100%, $G$9) + CHOOSE(CONTROL!$C$38, 0.0342, 0)</f>
        <v>27.526499999999999</v>
      </c>
      <c r="I279" s="14">
        <f>27.4938 * CHOOSE(CONTROL!$C$15, $E$9, 100%, $G$9) + CHOOSE(CONTROL!$C$38, 0.0342, 0)</f>
        <v>27.527999999999999</v>
      </c>
      <c r="J279" s="44">
        <f>195.292</f>
        <v>195.292</v>
      </c>
    </row>
    <row r="280" spans="1:10" ht="15" x14ac:dyDescent="0.2">
      <c r="A280" s="13">
        <v>49430</v>
      </c>
      <c r="B280" s="14">
        <f>28.3118 * CHOOSE(CONTROL!$C$15, $E$9, 100%, $G$9) + CHOOSE(CONTROL!$C$38, 0.0264, 0)</f>
        <v>28.338200000000001</v>
      </c>
      <c r="C280" s="14">
        <f>26.6889 * CHOOSE(CONTROL!$C$15, $E$9, 100%, $G$9) + CHOOSE(CONTROL!$C$38, 0.0354, 0)</f>
        <v>26.724299999999999</v>
      </c>
      <c r="D280" s="14">
        <f>26.681 * CHOOSE(CONTROL!$C$15, $E$9, 100%, $G$9) + CHOOSE(CONTROL!$C$38, 0.0354, 0)</f>
        <v>26.7164</v>
      </c>
      <c r="E280" s="46">
        <f>28.1555 * CHOOSE(CONTROL!$C$15, $E$9, 100%, $G$9) + CHOOSE(CONTROL!$C$38, 0.0354, 0)</f>
        <v>28.190899999999999</v>
      </c>
      <c r="F280" s="45">
        <f>28.1555 * CHOOSE(CONTROL!$C$15, $E$9, 100%, $G$9) + CHOOSE(CONTROL!$C$38, 0.0264, 0)</f>
        <v>28.181899999999999</v>
      </c>
      <c r="G280" s="14">
        <f>26.6873 * CHOOSE(CONTROL!$C$15, $E$9, 100%, $G$9) + CHOOSE(CONTROL!$C$38, 0.0354, 0)</f>
        <v>26.7227</v>
      </c>
      <c r="H280" s="14">
        <f>26.6873 * CHOOSE(CONTROL!$C$15, $E$9, 100%, $G$9) + CHOOSE(CONTROL!$C$38, 0.0354, 0)</f>
        <v>26.7227</v>
      </c>
      <c r="I280" s="14">
        <f>26.6889 * CHOOSE(CONTROL!$C$15, $E$9, 100%, $G$9) + CHOOSE(CONTROL!$C$38, 0.0354, 0)</f>
        <v>26.724299999999999</v>
      </c>
      <c r="J280" s="44">
        <f>201.8456</f>
        <v>201.84559999999999</v>
      </c>
    </row>
    <row r="281" spans="1:10" ht="15" x14ac:dyDescent="0.2">
      <c r="A281" s="34">
        <v>49461</v>
      </c>
      <c r="B281" s="14">
        <f>27.7474 * CHOOSE(CONTROL!$C$15, $E$9, 100%, $G$9) + CHOOSE(CONTROL!$C$38, 0.0264, 0)</f>
        <v>27.773799999999998</v>
      </c>
      <c r="C281" s="14">
        <f>26.1245 * CHOOSE(CONTROL!$C$15, $E$9, 100%, $G$9) + CHOOSE(CONTROL!$C$38, 0.0354, 0)</f>
        <v>26.1599</v>
      </c>
      <c r="D281" s="14">
        <f>26.1167 * CHOOSE(CONTROL!$C$15, $E$9, 100%, $G$9) + CHOOSE(CONTROL!$C$38, 0.0354, 0)</f>
        <v>26.152100000000001</v>
      </c>
      <c r="E281" s="46">
        <f>27.5912 * CHOOSE(CONTROL!$C$15, $E$9, 100%, $G$9) + CHOOSE(CONTROL!$C$38, 0.0354, 0)</f>
        <v>27.6266</v>
      </c>
      <c r="F281" s="45">
        <f>27.5912 * CHOOSE(CONTROL!$C$15, $E$9, 100%, $G$9) + CHOOSE(CONTROL!$C$38, 0.0264, 0)</f>
        <v>27.617599999999999</v>
      </c>
      <c r="G281" s="14">
        <f>26.123 * CHOOSE(CONTROL!$C$15, $E$9, 100%, $G$9) + CHOOSE(CONTROL!$C$38, 0.0354, 0)</f>
        <v>26.1584</v>
      </c>
      <c r="H281" s="14">
        <f>26.123 * CHOOSE(CONTROL!$C$15, $E$9, 100%, $G$9) + CHOOSE(CONTROL!$C$38, 0.0354, 0)</f>
        <v>26.1584</v>
      </c>
      <c r="I281" s="14">
        <f>26.1245 * CHOOSE(CONTROL!$C$15, $E$9, 100%, $G$9) + CHOOSE(CONTROL!$C$38, 0.0354, 0)</f>
        <v>26.1599</v>
      </c>
      <c r="J281" s="44">
        <f>204.754</f>
        <v>204.75399999999999</v>
      </c>
    </row>
    <row r="282" spans="1:10" ht="15" x14ac:dyDescent="0.2">
      <c r="A282" s="34">
        <v>49491</v>
      </c>
      <c r="B282" s="14">
        <f>27.4254 * CHOOSE(CONTROL!$C$15, $E$9, 100%, $G$9) + CHOOSE(CONTROL!$C$38, 0.0264, 0)</f>
        <v>27.451799999999999</v>
      </c>
      <c r="C282" s="14">
        <f>25.8025 * CHOOSE(CONTROL!$C$15, $E$9, 100%, $G$9) + CHOOSE(CONTROL!$C$38, 0.0354, 0)</f>
        <v>25.837899999999998</v>
      </c>
      <c r="D282" s="14">
        <f>25.7947 * CHOOSE(CONTROL!$C$15, $E$9, 100%, $G$9) + CHOOSE(CONTROL!$C$38, 0.0354, 0)</f>
        <v>25.830099999999998</v>
      </c>
      <c r="E282" s="46">
        <f>27.2691 * CHOOSE(CONTROL!$C$15, $E$9, 100%, $G$9) + CHOOSE(CONTROL!$C$38, 0.0354, 0)</f>
        <v>27.304500000000001</v>
      </c>
      <c r="F282" s="45">
        <f>27.2691 * CHOOSE(CONTROL!$C$15, $E$9, 100%, $G$9) + CHOOSE(CONTROL!$C$38, 0.0264, 0)</f>
        <v>27.295500000000001</v>
      </c>
      <c r="G282" s="14">
        <f>25.8009 * CHOOSE(CONTROL!$C$15, $E$9, 100%, $G$9) + CHOOSE(CONTROL!$C$38, 0.0354, 0)</f>
        <v>25.836299999999998</v>
      </c>
      <c r="H282" s="14">
        <f>25.8009 * CHOOSE(CONTROL!$C$15, $E$9, 100%, $G$9) + CHOOSE(CONTROL!$C$38, 0.0354, 0)</f>
        <v>25.836299999999998</v>
      </c>
      <c r="I282" s="14">
        <f>25.8025 * CHOOSE(CONTROL!$C$15, $E$9, 100%, $G$9) + CHOOSE(CONTROL!$C$38, 0.0354, 0)</f>
        <v>25.837899999999998</v>
      </c>
      <c r="J282" s="44">
        <f>203.7964</f>
        <v>203.79640000000001</v>
      </c>
    </row>
    <row r="283" spans="1:10" ht="15" x14ac:dyDescent="0.2">
      <c r="A283" s="34">
        <v>49522</v>
      </c>
      <c r="B283" s="14">
        <f>27.5843 * CHOOSE(CONTROL!$C$15, $E$9, 100%, $G$9) + CHOOSE(CONTROL!$C$38, 0.0264, 0)</f>
        <v>27.610699999999998</v>
      </c>
      <c r="C283" s="14">
        <f>25.9614 * CHOOSE(CONTROL!$C$15, $E$9, 100%, $G$9) + CHOOSE(CONTROL!$C$38, 0.0354, 0)</f>
        <v>25.9968</v>
      </c>
      <c r="D283" s="14">
        <f>25.9536 * CHOOSE(CONTROL!$C$15, $E$9, 100%, $G$9) + CHOOSE(CONTROL!$C$38, 0.0354, 0)</f>
        <v>25.989000000000001</v>
      </c>
      <c r="E283" s="46">
        <f>27.4281 * CHOOSE(CONTROL!$C$15, $E$9, 100%, $G$9) + CHOOSE(CONTROL!$C$38, 0.0354, 0)</f>
        <v>27.4635</v>
      </c>
      <c r="F283" s="45">
        <f>27.4281 * CHOOSE(CONTROL!$C$15, $E$9, 100%, $G$9) + CHOOSE(CONTROL!$C$38, 0.0264, 0)</f>
        <v>27.454499999999999</v>
      </c>
      <c r="G283" s="14">
        <f>25.9599 * CHOOSE(CONTROL!$C$15, $E$9, 100%, $G$9) + CHOOSE(CONTROL!$C$38, 0.0354, 0)</f>
        <v>25.9953</v>
      </c>
      <c r="H283" s="14">
        <f>25.9599 * CHOOSE(CONTROL!$C$15, $E$9, 100%, $G$9) + CHOOSE(CONTROL!$C$38, 0.0354, 0)</f>
        <v>25.9953</v>
      </c>
      <c r="I283" s="14">
        <f>25.9614 * CHOOSE(CONTROL!$C$15, $E$9, 100%, $G$9) + CHOOSE(CONTROL!$C$38, 0.0354, 0)</f>
        <v>25.9968</v>
      </c>
      <c r="J283" s="44">
        <f>199.0521</f>
        <v>199.0521</v>
      </c>
    </row>
    <row r="284" spans="1:10" ht="15" x14ac:dyDescent="0.2">
      <c r="A284" s="34">
        <v>49553</v>
      </c>
      <c r="B284" s="14">
        <f>28.016 * CHOOSE(CONTROL!$C$15, $E$9, 100%, $G$9) + CHOOSE(CONTROL!$C$38, 0.0264, 0)</f>
        <v>28.042399999999997</v>
      </c>
      <c r="C284" s="14">
        <f>26.3931 * CHOOSE(CONTROL!$C$15, $E$9, 100%, $G$9) + CHOOSE(CONTROL!$C$38, 0.0354, 0)</f>
        <v>26.4285</v>
      </c>
      <c r="D284" s="14">
        <f>26.3853 * CHOOSE(CONTROL!$C$15, $E$9, 100%, $G$9) + CHOOSE(CONTROL!$C$38, 0.0354, 0)</f>
        <v>26.4207</v>
      </c>
      <c r="E284" s="46">
        <f>27.8598 * CHOOSE(CONTROL!$C$15, $E$9, 100%, $G$9) + CHOOSE(CONTROL!$C$38, 0.0354, 0)</f>
        <v>27.895199999999999</v>
      </c>
      <c r="F284" s="45">
        <f>27.8598 * CHOOSE(CONTROL!$C$15, $E$9, 100%, $G$9) + CHOOSE(CONTROL!$C$38, 0.0264, 0)</f>
        <v>27.886199999999999</v>
      </c>
      <c r="G284" s="14">
        <f>26.3916 * CHOOSE(CONTROL!$C$15, $E$9, 100%, $G$9) + CHOOSE(CONTROL!$C$38, 0.0354, 0)</f>
        <v>26.427</v>
      </c>
      <c r="H284" s="14">
        <f>26.3916 * CHOOSE(CONTROL!$C$15, $E$9, 100%, $G$9) + CHOOSE(CONTROL!$C$38, 0.0354, 0)</f>
        <v>26.427</v>
      </c>
      <c r="I284" s="14">
        <f>26.3931 * CHOOSE(CONTROL!$C$15, $E$9, 100%, $G$9) + CHOOSE(CONTROL!$C$38, 0.0354, 0)</f>
        <v>26.4285</v>
      </c>
      <c r="J284" s="44">
        <f>192.436</f>
        <v>192.43600000000001</v>
      </c>
    </row>
    <row r="285" spans="1:10" ht="15" x14ac:dyDescent="0.2">
      <c r="A285" s="34">
        <v>49583</v>
      </c>
      <c r="B285" s="14">
        <f>28.3776 * CHOOSE(CONTROL!$C$15, $E$9, 100%, $G$9) + CHOOSE(CONTROL!$C$38, 0.0251, 0)</f>
        <v>28.402699999999999</v>
      </c>
      <c r="C285" s="14">
        <f>26.7547 * CHOOSE(CONTROL!$C$15, $E$9, 100%, $G$9) + CHOOSE(CONTROL!$C$38, 0.0342, 0)</f>
        <v>26.788899999999998</v>
      </c>
      <c r="D285" s="14">
        <f>26.7469 * CHOOSE(CONTROL!$C$15, $E$9, 100%, $G$9) + CHOOSE(CONTROL!$C$38, 0.0342, 0)</f>
        <v>26.781099999999999</v>
      </c>
      <c r="E285" s="46">
        <f>28.2214 * CHOOSE(CONTROL!$C$15, $E$9, 100%, $G$9) + CHOOSE(CONTROL!$C$38, 0.0342, 0)</f>
        <v>28.255599999999998</v>
      </c>
      <c r="F285" s="45">
        <f>28.2214 * CHOOSE(CONTROL!$C$15, $E$9, 100%, $G$9) + CHOOSE(CONTROL!$C$38, 0.0251, 0)</f>
        <v>28.246499999999997</v>
      </c>
      <c r="G285" s="14">
        <f>26.7531 * CHOOSE(CONTROL!$C$15, $E$9, 100%, $G$9) + CHOOSE(CONTROL!$C$38, 0.0342, 0)</f>
        <v>26.787299999999998</v>
      </c>
      <c r="H285" s="14">
        <f>26.7531 * CHOOSE(CONTROL!$C$15, $E$9, 100%, $G$9) + CHOOSE(CONTROL!$C$38, 0.0342, 0)</f>
        <v>26.787299999999998</v>
      </c>
      <c r="I285" s="14">
        <f>26.7547 * CHOOSE(CONTROL!$C$15, $E$9, 100%, $G$9) + CHOOSE(CONTROL!$C$38, 0.0342, 0)</f>
        <v>26.788899999999998</v>
      </c>
      <c r="J285" s="44">
        <f>185.7813</f>
        <v>185.78129999999999</v>
      </c>
    </row>
    <row r="286" spans="1:10" ht="15" x14ac:dyDescent="0.2">
      <c r="A286" s="34">
        <v>49614</v>
      </c>
      <c r="B286" s="14">
        <f>28.6793 * CHOOSE(CONTROL!$C$15, $E$9, 100%, $G$9) + CHOOSE(CONTROL!$C$38, 0.0251, 0)</f>
        <v>28.7044</v>
      </c>
      <c r="C286" s="14">
        <f>27.0564 * CHOOSE(CONTROL!$C$15, $E$9, 100%, $G$9) + CHOOSE(CONTROL!$C$38, 0.0342, 0)</f>
        <v>27.090599999999998</v>
      </c>
      <c r="D286" s="14">
        <f>27.0486 * CHOOSE(CONTROL!$C$15, $E$9, 100%, $G$9) + CHOOSE(CONTROL!$C$38, 0.0342, 0)</f>
        <v>27.082799999999999</v>
      </c>
      <c r="E286" s="46">
        <f>28.5231 * CHOOSE(CONTROL!$C$15, $E$9, 100%, $G$9) + CHOOSE(CONTROL!$C$38, 0.0342, 0)</f>
        <v>28.557299999999998</v>
      </c>
      <c r="F286" s="45">
        <f>28.5231 * CHOOSE(CONTROL!$C$15, $E$9, 100%, $G$9) + CHOOSE(CONTROL!$C$38, 0.0251, 0)</f>
        <v>28.548199999999998</v>
      </c>
      <c r="G286" s="14">
        <f>27.0548 * CHOOSE(CONTROL!$C$15, $E$9, 100%, $G$9) + CHOOSE(CONTROL!$C$38, 0.0342, 0)</f>
        <v>27.088999999999999</v>
      </c>
      <c r="H286" s="14">
        <f>27.0548 * CHOOSE(CONTROL!$C$15, $E$9, 100%, $G$9) + CHOOSE(CONTROL!$C$38, 0.0342, 0)</f>
        <v>27.088999999999999</v>
      </c>
      <c r="I286" s="14">
        <f>27.0564 * CHOOSE(CONTROL!$C$15, $E$9, 100%, $G$9) + CHOOSE(CONTROL!$C$38, 0.0342, 0)</f>
        <v>27.090599999999998</v>
      </c>
      <c r="J286" s="44">
        <f>184.4576</f>
        <v>184.45760000000001</v>
      </c>
    </row>
    <row r="287" spans="1:10" ht="15" x14ac:dyDescent="0.2">
      <c r="A287" s="34">
        <v>49644</v>
      </c>
      <c r="B287" s="14">
        <f>29.609 * CHOOSE(CONTROL!$C$15, $E$9, 100%, $G$9) + CHOOSE(CONTROL!$C$38, 0.0251, 0)</f>
        <v>29.6341</v>
      </c>
      <c r="C287" s="14">
        <f>27.9861 * CHOOSE(CONTROL!$C$15, $E$9, 100%, $G$9) + CHOOSE(CONTROL!$C$38, 0.0342, 0)</f>
        <v>28.020299999999999</v>
      </c>
      <c r="D287" s="14">
        <f>27.9782 * CHOOSE(CONTROL!$C$15, $E$9, 100%, $G$9) + CHOOSE(CONTROL!$C$38, 0.0342, 0)</f>
        <v>28.0124</v>
      </c>
      <c r="E287" s="46">
        <f>29.4527 * CHOOSE(CONTROL!$C$15, $E$9, 100%, $G$9) + CHOOSE(CONTROL!$C$38, 0.0342, 0)</f>
        <v>29.486899999999999</v>
      </c>
      <c r="F287" s="45">
        <f>29.4527 * CHOOSE(CONTROL!$C$15, $E$9, 100%, $G$9) + CHOOSE(CONTROL!$C$38, 0.0251, 0)</f>
        <v>29.477799999999998</v>
      </c>
      <c r="G287" s="14">
        <f>27.9845 * CHOOSE(CONTROL!$C$15, $E$9, 100%, $G$9) + CHOOSE(CONTROL!$C$38, 0.0342, 0)</f>
        <v>28.018699999999999</v>
      </c>
      <c r="H287" s="14">
        <f>27.9845 * CHOOSE(CONTROL!$C$15, $E$9, 100%, $G$9) + CHOOSE(CONTROL!$C$38, 0.0342, 0)</f>
        <v>28.018699999999999</v>
      </c>
      <c r="I287" s="14">
        <f>27.9861 * CHOOSE(CONTROL!$C$15, $E$9, 100%, $G$9) + CHOOSE(CONTROL!$C$38, 0.0342, 0)</f>
        <v>28.020299999999999</v>
      </c>
      <c r="J287" s="44">
        <f>178.9838</f>
        <v>178.9838</v>
      </c>
    </row>
    <row r="288" spans="1:10" ht="15" x14ac:dyDescent="0.2">
      <c r="A288" s="34">
        <v>49675</v>
      </c>
      <c r="B288" s="14">
        <f>30.8155 * CHOOSE(CONTROL!$C$15, $E$9, 100%, $G$9) + CHOOSE(CONTROL!$C$38, 0.0251, 0)</f>
        <v>30.840599999999998</v>
      </c>
      <c r="C288" s="14">
        <f>29.1679 * CHOOSE(CONTROL!$C$15, $E$9, 100%, $G$9) + CHOOSE(CONTROL!$C$38, 0.0342, 0)</f>
        <v>29.202099999999998</v>
      </c>
      <c r="D288" s="14">
        <f>29.1601 * CHOOSE(CONTROL!$C$15, $E$9, 100%, $G$9) + CHOOSE(CONTROL!$C$38, 0.0342, 0)</f>
        <v>29.194299999999998</v>
      </c>
      <c r="E288" s="46">
        <f>30.6593 * CHOOSE(CONTROL!$C$15, $E$9, 100%, $G$9) + CHOOSE(CONTROL!$C$38, 0.0342, 0)</f>
        <v>30.6935</v>
      </c>
      <c r="F288" s="45">
        <f>30.6593 * CHOOSE(CONTROL!$C$15, $E$9, 100%, $G$9) + CHOOSE(CONTROL!$C$38, 0.0251, 0)</f>
        <v>30.6844</v>
      </c>
      <c r="G288" s="14">
        <f>29.1664 * CHOOSE(CONTROL!$C$15, $E$9, 100%, $G$9) + CHOOSE(CONTROL!$C$38, 0.0342, 0)</f>
        <v>29.200599999999998</v>
      </c>
      <c r="H288" s="14">
        <f>29.1664 * CHOOSE(CONTROL!$C$15, $E$9, 100%, $G$9) + CHOOSE(CONTROL!$C$38, 0.0342, 0)</f>
        <v>29.200599999999998</v>
      </c>
      <c r="I288" s="14">
        <f>29.1679 * CHOOSE(CONTROL!$C$15, $E$9, 100%, $G$9) + CHOOSE(CONTROL!$C$38, 0.0342, 0)</f>
        <v>29.202099999999998</v>
      </c>
      <c r="J288" s="44">
        <f>178.8546</f>
        <v>178.8546</v>
      </c>
    </row>
    <row r="289" spans="1:10" ht="15" x14ac:dyDescent="0.2">
      <c r="A289" s="34">
        <v>49706</v>
      </c>
      <c r="B289" s="14">
        <f>31.1598 * CHOOSE(CONTROL!$C$15, $E$9, 100%, $G$9) + CHOOSE(CONTROL!$C$38, 0.0251, 0)</f>
        <v>31.184899999999999</v>
      </c>
      <c r="C289" s="14">
        <f>29.5123 * CHOOSE(CONTROL!$C$15, $E$9, 100%, $G$9) + CHOOSE(CONTROL!$C$38, 0.0342, 0)</f>
        <v>29.546499999999998</v>
      </c>
      <c r="D289" s="14">
        <f>29.5044 * CHOOSE(CONTROL!$C$15, $E$9, 100%, $G$9) + CHOOSE(CONTROL!$C$38, 0.0342, 0)</f>
        <v>29.538599999999999</v>
      </c>
      <c r="E289" s="46">
        <f>31.0036 * CHOOSE(CONTROL!$C$15, $E$9, 100%, $G$9) + CHOOSE(CONTROL!$C$38, 0.0342, 0)</f>
        <v>31.037799999999997</v>
      </c>
      <c r="F289" s="45">
        <f>31.0036 * CHOOSE(CONTROL!$C$15, $E$9, 100%, $G$9) + CHOOSE(CONTROL!$C$38, 0.0251, 0)</f>
        <v>31.028699999999997</v>
      </c>
      <c r="G289" s="14">
        <f>29.5107 * CHOOSE(CONTROL!$C$15, $E$9, 100%, $G$9) + CHOOSE(CONTROL!$C$38, 0.0342, 0)</f>
        <v>29.544899999999998</v>
      </c>
      <c r="H289" s="14">
        <f>29.5107 * CHOOSE(CONTROL!$C$15, $E$9, 100%, $G$9) + CHOOSE(CONTROL!$C$38, 0.0342, 0)</f>
        <v>29.544899999999998</v>
      </c>
      <c r="I289" s="14">
        <f>29.5123 * CHOOSE(CONTROL!$C$15, $E$9, 100%, $G$9) + CHOOSE(CONTROL!$C$38, 0.0342, 0)</f>
        <v>29.546499999999998</v>
      </c>
      <c r="J289" s="44">
        <f>178.3574</f>
        <v>178.35740000000001</v>
      </c>
    </row>
    <row r="290" spans="1:10" ht="15" x14ac:dyDescent="0.2">
      <c r="A290" s="34">
        <v>49735</v>
      </c>
      <c r="B290" s="14">
        <f>30.3628 * CHOOSE(CONTROL!$C$15, $E$9, 100%, $G$9) + CHOOSE(CONTROL!$C$38, 0.0251, 0)</f>
        <v>30.387899999999998</v>
      </c>
      <c r="C290" s="14">
        <f>28.7152 * CHOOSE(CONTROL!$C$15, $E$9, 100%, $G$9) + CHOOSE(CONTROL!$C$38, 0.0342, 0)</f>
        <v>28.749399999999998</v>
      </c>
      <c r="D290" s="14">
        <f>28.7074 * CHOOSE(CONTROL!$C$15, $E$9, 100%, $G$9) + CHOOSE(CONTROL!$C$38, 0.0342, 0)</f>
        <v>28.741599999999998</v>
      </c>
      <c r="E290" s="46">
        <f>30.2065 * CHOOSE(CONTROL!$C$15, $E$9, 100%, $G$9) + CHOOSE(CONTROL!$C$38, 0.0342, 0)</f>
        <v>30.240699999999997</v>
      </c>
      <c r="F290" s="45">
        <f>30.2065 * CHOOSE(CONTROL!$C$15, $E$9, 100%, $G$9) + CHOOSE(CONTROL!$C$38, 0.0251, 0)</f>
        <v>30.231599999999997</v>
      </c>
      <c r="G290" s="14">
        <f>28.7137 * CHOOSE(CONTROL!$C$15, $E$9, 100%, $G$9) + CHOOSE(CONTROL!$C$38, 0.0342, 0)</f>
        <v>28.747899999999998</v>
      </c>
      <c r="H290" s="14">
        <f>28.7137 * CHOOSE(CONTROL!$C$15, $E$9, 100%, $G$9) + CHOOSE(CONTROL!$C$38, 0.0342, 0)</f>
        <v>28.747899999999998</v>
      </c>
      <c r="I290" s="14">
        <f>28.7152 * CHOOSE(CONTROL!$C$15, $E$9, 100%, $G$9) + CHOOSE(CONTROL!$C$38, 0.0342, 0)</f>
        <v>28.749399999999998</v>
      </c>
      <c r="J290" s="44">
        <f>187.7579</f>
        <v>187.75790000000001</v>
      </c>
    </row>
    <row r="291" spans="1:10" ht="15" x14ac:dyDescent="0.2">
      <c r="A291" s="34">
        <v>49766</v>
      </c>
      <c r="B291" s="14">
        <f>29.5905 * CHOOSE(CONTROL!$C$15, $E$9, 100%, $G$9) + CHOOSE(CONTROL!$C$38, 0.0251, 0)</f>
        <v>29.615599999999997</v>
      </c>
      <c r="C291" s="14">
        <f>27.9429 * CHOOSE(CONTROL!$C$15, $E$9, 100%, $G$9) + CHOOSE(CONTROL!$C$38, 0.0342, 0)</f>
        <v>27.9771</v>
      </c>
      <c r="D291" s="14">
        <f>27.9351 * CHOOSE(CONTROL!$C$15, $E$9, 100%, $G$9) + CHOOSE(CONTROL!$C$38, 0.0342, 0)</f>
        <v>27.969299999999997</v>
      </c>
      <c r="E291" s="46">
        <f>29.4342 * CHOOSE(CONTROL!$C$15, $E$9, 100%, $G$9) + CHOOSE(CONTROL!$C$38, 0.0342, 0)</f>
        <v>29.468399999999999</v>
      </c>
      <c r="F291" s="45">
        <f>29.4342 * CHOOSE(CONTROL!$C$15, $E$9, 100%, $G$9) + CHOOSE(CONTROL!$C$38, 0.0251, 0)</f>
        <v>29.459299999999999</v>
      </c>
      <c r="G291" s="14">
        <f>27.9413 * CHOOSE(CONTROL!$C$15, $E$9, 100%, $G$9) + CHOOSE(CONTROL!$C$38, 0.0342, 0)</f>
        <v>27.975499999999997</v>
      </c>
      <c r="H291" s="14">
        <f>27.9413 * CHOOSE(CONTROL!$C$15, $E$9, 100%, $G$9) + CHOOSE(CONTROL!$C$38, 0.0342, 0)</f>
        <v>27.975499999999997</v>
      </c>
      <c r="I291" s="14">
        <f>27.9429 * CHOOSE(CONTROL!$C$15, $E$9, 100%, $G$9) + CHOOSE(CONTROL!$C$38, 0.0342, 0)</f>
        <v>27.9771</v>
      </c>
      <c r="J291" s="44">
        <f>199.948</f>
        <v>199.94800000000001</v>
      </c>
    </row>
    <row r="292" spans="1:10" ht="15" x14ac:dyDescent="0.2">
      <c r="A292" s="34">
        <v>49796</v>
      </c>
      <c r="B292" s="14">
        <f>28.7855 * CHOOSE(CONTROL!$C$15, $E$9, 100%, $G$9) + CHOOSE(CONTROL!$C$38, 0.0264, 0)</f>
        <v>28.811899999999998</v>
      </c>
      <c r="C292" s="14">
        <f>27.1379 * CHOOSE(CONTROL!$C$15, $E$9, 100%, $G$9) + CHOOSE(CONTROL!$C$38, 0.0354, 0)</f>
        <v>27.173299999999998</v>
      </c>
      <c r="D292" s="14">
        <f>27.1301 * CHOOSE(CONTROL!$C$15, $E$9, 100%, $G$9) + CHOOSE(CONTROL!$C$38, 0.0354, 0)</f>
        <v>27.165499999999998</v>
      </c>
      <c r="E292" s="46">
        <f>28.6293 * CHOOSE(CONTROL!$C$15, $E$9, 100%, $G$9) + CHOOSE(CONTROL!$C$38, 0.0354, 0)</f>
        <v>28.6647</v>
      </c>
      <c r="F292" s="45">
        <f>28.6293 * CHOOSE(CONTROL!$C$15, $E$9, 100%, $G$9) + CHOOSE(CONTROL!$C$38, 0.0264, 0)</f>
        <v>28.6557</v>
      </c>
      <c r="G292" s="14">
        <f>27.1364 * CHOOSE(CONTROL!$C$15, $E$9, 100%, $G$9) + CHOOSE(CONTROL!$C$38, 0.0354, 0)</f>
        <v>27.171799999999998</v>
      </c>
      <c r="H292" s="14">
        <f>27.1364 * CHOOSE(CONTROL!$C$15, $E$9, 100%, $G$9) + CHOOSE(CONTROL!$C$38, 0.0354, 0)</f>
        <v>27.171799999999998</v>
      </c>
      <c r="I292" s="14">
        <f>27.1379 * CHOOSE(CONTROL!$C$15, $E$9, 100%, $G$9) + CHOOSE(CONTROL!$C$38, 0.0354, 0)</f>
        <v>27.173299999999998</v>
      </c>
      <c r="J292" s="44">
        <f>206.6579</f>
        <v>206.65790000000001</v>
      </c>
    </row>
    <row r="293" spans="1:10" ht="15" x14ac:dyDescent="0.2">
      <c r="A293" s="34">
        <v>49827</v>
      </c>
      <c r="B293" s="14">
        <f>28.2212 * CHOOSE(CONTROL!$C$15, $E$9, 100%, $G$9) + CHOOSE(CONTROL!$C$38, 0.0264, 0)</f>
        <v>28.247599999999998</v>
      </c>
      <c r="C293" s="14">
        <f>26.5736 * CHOOSE(CONTROL!$C$15, $E$9, 100%, $G$9) + CHOOSE(CONTROL!$C$38, 0.0354, 0)</f>
        <v>26.608999999999998</v>
      </c>
      <c r="D293" s="14">
        <f>26.5658 * CHOOSE(CONTROL!$C$15, $E$9, 100%, $G$9) + CHOOSE(CONTROL!$C$38, 0.0354, 0)</f>
        <v>26.601199999999999</v>
      </c>
      <c r="E293" s="46">
        <f>28.0649 * CHOOSE(CONTROL!$C$15, $E$9, 100%, $G$9) + CHOOSE(CONTROL!$C$38, 0.0354, 0)</f>
        <v>28.100300000000001</v>
      </c>
      <c r="F293" s="45">
        <f>28.0649 * CHOOSE(CONTROL!$C$15, $E$9, 100%, $G$9) + CHOOSE(CONTROL!$C$38, 0.0264, 0)</f>
        <v>28.0913</v>
      </c>
      <c r="G293" s="14">
        <f>26.572 * CHOOSE(CONTROL!$C$15, $E$9, 100%, $G$9) + CHOOSE(CONTROL!$C$38, 0.0354, 0)</f>
        <v>26.607399999999998</v>
      </c>
      <c r="H293" s="14">
        <f>26.572 * CHOOSE(CONTROL!$C$15, $E$9, 100%, $G$9) + CHOOSE(CONTROL!$C$38, 0.0354, 0)</f>
        <v>26.607399999999998</v>
      </c>
      <c r="I293" s="14">
        <f>26.5736 * CHOOSE(CONTROL!$C$15, $E$9, 100%, $G$9) + CHOOSE(CONTROL!$C$38, 0.0354, 0)</f>
        <v>26.608999999999998</v>
      </c>
      <c r="J293" s="44">
        <f>209.6356</f>
        <v>209.63560000000001</v>
      </c>
    </row>
    <row r="294" spans="1:10" ht="15" x14ac:dyDescent="0.2">
      <c r="A294" s="34">
        <v>49857</v>
      </c>
      <c r="B294" s="14">
        <f>27.8991 * CHOOSE(CONTROL!$C$15, $E$9, 100%, $G$9) + CHOOSE(CONTROL!$C$38, 0.0264, 0)</f>
        <v>27.9255</v>
      </c>
      <c r="C294" s="14">
        <f>26.2516 * CHOOSE(CONTROL!$C$15, $E$9, 100%, $G$9) + CHOOSE(CONTROL!$C$38, 0.0354, 0)</f>
        <v>26.286999999999999</v>
      </c>
      <c r="D294" s="14">
        <f>26.2437 * CHOOSE(CONTROL!$C$15, $E$9, 100%, $G$9) + CHOOSE(CONTROL!$C$38, 0.0354, 0)</f>
        <v>26.2791</v>
      </c>
      <c r="E294" s="46">
        <f>27.7429 * CHOOSE(CONTROL!$C$15, $E$9, 100%, $G$9) + CHOOSE(CONTROL!$C$38, 0.0354, 0)</f>
        <v>27.778299999999998</v>
      </c>
      <c r="F294" s="45">
        <f>27.7429 * CHOOSE(CONTROL!$C$15, $E$9, 100%, $G$9) + CHOOSE(CONTROL!$C$38, 0.0264, 0)</f>
        <v>27.769299999999998</v>
      </c>
      <c r="G294" s="14">
        <f>26.25 * CHOOSE(CONTROL!$C$15, $E$9, 100%, $G$9) + CHOOSE(CONTROL!$C$38, 0.0354, 0)</f>
        <v>26.285399999999999</v>
      </c>
      <c r="H294" s="14">
        <f>26.25 * CHOOSE(CONTROL!$C$15, $E$9, 100%, $G$9) + CHOOSE(CONTROL!$C$38, 0.0354, 0)</f>
        <v>26.285399999999999</v>
      </c>
      <c r="I294" s="14">
        <f>26.2516 * CHOOSE(CONTROL!$C$15, $E$9, 100%, $G$9) + CHOOSE(CONTROL!$C$38, 0.0354, 0)</f>
        <v>26.286999999999999</v>
      </c>
      <c r="J294" s="44">
        <f>208.6552</f>
        <v>208.65520000000001</v>
      </c>
    </row>
    <row r="295" spans="1:10" ht="15" x14ac:dyDescent="0.2">
      <c r="A295" s="34">
        <v>49888</v>
      </c>
      <c r="B295" s="14">
        <f>28.0581 * CHOOSE(CONTROL!$C$15, $E$9, 100%, $G$9) + CHOOSE(CONTROL!$C$38, 0.0264, 0)</f>
        <v>28.084499999999998</v>
      </c>
      <c r="C295" s="14">
        <f>26.4105 * CHOOSE(CONTROL!$C$15, $E$9, 100%, $G$9) + CHOOSE(CONTROL!$C$38, 0.0354, 0)</f>
        <v>26.445899999999998</v>
      </c>
      <c r="D295" s="14">
        <f>26.4027 * CHOOSE(CONTROL!$C$15, $E$9, 100%, $G$9) + CHOOSE(CONTROL!$C$38, 0.0354, 0)</f>
        <v>26.438099999999999</v>
      </c>
      <c r="E295" s="46">
        <f>27.9018 * CHOOSE(CONTROL!$C$15, $E$9, 100%, $G$9) + CHOOSE(CONTROL!$C$38, 0.0354, 0)</f>
        <v>27.937200000000001</v>
      </c>
      <c r="F295" s="45">
        <f>27.9018 * CHOOSE(CONTROL!$C$15, $E$9, 100%, $G$9) + CHOOSE(CONTROL!$C$38, 0.0264, 0)</f>
        <v>27.9282</v>
      </c>
      <c r="G295" s="14">
        <f>26.4089 * CHOOSE(CONTROL!$C$15, $E$9, 100%, $G$9) + CHOOSE(CONTROL!$C$38, 0.0354, 0)</f>
        <v>26.444299999999998</v>
      </c>
      <c r="H295" s="14">
        <f>26.4089 * CHOOSE(CONTROL!$C$15, $E$9, 100%, $G$9) + CHOOSE(CONTROL!$C$38, 0.0354, 0)</f>
        <v>26.444299999999998</v>
      </c>
      <c r="I295" s="14">
        <f>26.4105 * CHOOSE(CONTROL!$C$15, $E$9, 100%, $G$9) + CHOOSE(CONTROL!$C$38, 0.0354, 0)</f>
        <v>26.445899999999998</v>
      </c>
      <c r="J295" s="44">
        <f>203.7978</f>
        <v>203.7978</v>
      </c>
    </row>
    <row r="296" spans="1:10" ht="15" x14ac:dyDescent="0.2">
      <c r="A296" s="34">
        <v>49919</v>
      </c>
      <c r="B296" s="14">
        <f>28.4898 * CHOOSE(CONTROL!$C$15, $E$9, 100%, $G$9) + CHOOSE(CONTROL!$C$38, 0.0264, 0)</f>
        <v>28.516199999999998</v>
      </c>
      <c r="C296" s="14">
        <f>26.8422 * CHOOSE(CONTROL!$C$15, $E$9, 100%, $G$9) + CHOOSE(CONTROL!$C$38, 0.0354, 0)</f>
        <v>26.877599999999997</v>
      </c>
      <c r="D296" s="14">
        <f>26.8344 * CHOOSE(CONTROL!$C$15, $E$9, 100%, $G$9) + CHOOSE(CONTROL!$C$38, 0.0354, 0)</f>
        <v>26.869799999999998</v>
      </c>
      <c r="E296" s="46">
        <f>28.3335 * CHOOSE(CONTROL!$C$15, $E$9, 100%, $G$9) + CHOOSE(CONTROL!$C$38, 0.0354, 0)</f>
        <v>28.3689</v>
      </c>
      <c r="F296" s="45">
        <f>28.3335 * CHOOSE(CONTROL!$C$15, $E$9, 100%, $G$9) + CHOOSE(CONTROL!$C$38, 0.0264, 0)</f>
        <v>28.3599</v>
      </c>
      <c r="G296" s="14">
        <f>26.8406 * CHOOSE(CONTROL!$C$15, $E$9, 100%, $G$9) + CHOOSE(CONTROL!$C$38, 0.0354, 0)</f>
        <v>26.875999999999998</v>
      </c>
      <c r="H296" s="14">
        <f>26.8406 * CHOOSE(CONTROL!$C$15, $E$9, 100%, $G$9) + CHOOSE(CONTROL!$C$38, 0.0354, 0)</f>
        <v>26.875999999999998</v>
      </c>
      <c r="I296" s="14">
        <f>26.8422 * CHOOSE(CONTROL!$C$15, $E$9, 100%, $G$9) + CHOOSE(CONTROL!$C$38, 0.0354, 0)</f>
        <v>26.877599999999997</v>
      </c>
      <c r="J296" s="44">
        <f>197.0239</f>
        <v>197.0239</v>
      </c>
    </row>
    <row r="297" spans="1:10" ht="15" x14ac:dyDescent="0.2">
      <c r="A297" s="34">
        <v>49949</v>
      </c>
      <c r="B297" s="14">
        <f>28.8513 * CHOOSE(CONTROL!$C$15, $E$9, 100%, $G$9) + CHOOSE(CONTROL!$C$38, 0.0251, 0)</f>
        <v>28.876399999999997</v>
      </c>
      <c r="C297" s="14">
        <f>27.2038 * CHOOSE(CONTROL!$C$15, $E$9, 100%, $G$9) + CHOOSE(CONTROL!$C$38, 0.0342, 0)</f>
        <v>27.238</v>
      </c>
      <c r="D297" s="14">
        <f>27.196 * CHOOSE(CONTROL!$C$15, $E$9, 100%, $G$9) + CHOOSE(CONTROL!$C$38, 0.0342, 0)</f>
        <v>27.2302</v>
      </c>
      <c r="E297" s="46">
        <f>28.6951 * CHOOSE(CONTROL!$C$15, $E$9, 100%, $G$9) + CHOOSE(CONTROL!$C$38, 0.0342, 0)</f>
        <v>28.729299999999999</v>
      </c>
      <c r="F297" s="45">
        <f>28.6951 * CHOOSE(CONTROL!$C$15, $E$9, 100%, $G$9) + CHOOSE(CONTROL!$C$38, 0.0251, 0)</f>
        <v>28.720199999999998</v>
      </c>
      <c r="G297" s="14">
        <f>27.2022 * CHOOSE(CONTROL!$C$15, $E$9, 100%, $G$9) + CHOOSE(CONTROL!$C$38, 0.0342, 0)</f>
        <v>27.2364</v>
      </c>
      <c r="H297" s="14">
        <f>27.2022 * CHOOSE(CONTROL!$C$15, $E$9, 100%, $G$9) + CHOOSE(CONTROL!$C$38, 0.0342, 0)</f>
        <v>27.2364</v>
      </c>
      <c r="I297" s="14">
        <f>27.2038 * CHOOSE(CONTROL!$C$15, $E$9, 100%, $G$9) + CHOOSE(CONTROL!$C$38, 0.0342, 0)</f>
        <v>27.238</v>
      </c>
      <c r="J297" s="44">
        <f>190.2106</f>
        <v>190.2106</v>
      </c>
    </row>
    <row r="298" spans="1:10" ht="15" x14ac:dyDescent="0.2">
      <c r="A298" s="34">
        <v>49980</v>
      </c>
      <c r="B298" s="14">
        <f>29.153 * CHOOSE(CONTROL!$C$15, $E$9, 100%, $G$9) + CHOOSE(CONTROL!$C$38, 0.0251, 0)</f>
        <v>29.178099999999997</v>
      </c>
      <c r="C298" s="14">
        <f>27.5055 * CHOOSE(CONTROL!$C$15, $E$9, 100%, $G$9) + CHOOSE(CONTROL!$C$38, 0.0342, 0)</f>
        <v>27.5397</v>
      </c>
      <c r="D298" s="14">
        <f>27.4977 * CHOOSE(CONTROL!$C$15, $E$9, 100%, $G$9) + CHOOSE(CONTROL!$C$38, 0.0342, 0)</f>
        <v>27.531899999999997</v>
      </c>
      <c r="E298" s="46">
        <f>28.9968 * CHOOSE(CONTROL!$C$15, $E$9, 100%, $G$9) + CHOOSE(CONTROL!$C$38, 0.0342, 0)</f>
        <v>29.030999999999999</v>
      </c>
      <c r="F298" s="45">
        <f>28.9968 * CHOOSE(CONTROL!$C$15, $E$9, 100%, $G$9) + CHOOSE(CONTROL!$C$38, 0.0251, 0)</f>
        <v>29.021899999999999</v>
      </c>
      <c r="G298" s="14">
        <f>27.5039 * CHOOSE(CONTROL!$C$15, $E$9, 100%, $G$9) + CHOOSE(CONTROL!$C$38, 0.0342, 0)</f>
        <v>27.5381</v>
      </c>
      <c r="H298" s="14">
        <f>27.5039 * CHOOSE(CONTROL!$C$15, $E$9, 100%, $G$9) + CHOOSE(CONTROL!$C$38, 0.0342, 0)</f>
        <v>27.5381</v>
      </c>
      <c r="I298" s="14">
        <f>27.5055 * CHOOSE(CONTROL!$C$15, $E$9, 100%, $G$9) + CHOOSE(CONTROL!$C$38, 0.0342, 0)</f>
        <v>27.5397</v>
      </c>
      <c r="J298" s="44">
        <f>188.8553</f>
        <v>188.8553</v>
      </c>
    </row>
    <row r="299" spans="1:10" ht="15" x14ac:dyDescent="0.2">
      <c r="A299" s="34">
        <v>50010</v>
      </c>
      <c r="B299" s="14">
        <f>30.0827 * CHOOSE(CONTROL!$C$15, $E$9, 100%, $G$9) + CHOOSE(CONTROL!$C$38, 0.0251, 0)</f>
        <v>30.107799999999997</v>
      </c>
      <c r="C299" s="14">
        <f>28.4351 * CHOOSE(CONTROL!$C$15, $E$9, 100%, $G$9) + CHOOSE(CONTROL!$C$38, 0.0342, 0)</f>
        <v>28.469299999999997</v>
      </c>
      <c r="D299" s="14">
        <f>28.4273 * CHOOSE(CONTROL!$C$15, $E$9, 100%, $G$9) + CHOOSE(CONTROL!$C$38, 0.0342, 0)</f>
        <v>28.461499999999997</v>
      </c>
      <c r="E299" s="46">
        <f>29.9265 * CHOOSE(CONTROL!$C$15, $E$9, 100%, $G$9) + CHOOSE(CONTROL!$C$38, 0.0342, 0)</f>
        <v>29.960699999999999</v>
      </c>
      <c r="F299" s="45">
        <f>29.9265 * CHOOSE(CONTROL!$C$15, $E$9, 100%, $G$9) + CHOOSE(CONTROL!$C$38, 0.0251, 0)</f>
        <v>29.951599999999999</v>
      </c>
      <c r="G299" s="14">
        <f>28.4336 * CHOOSE(CONTROL!$C$15, $E$9, 100%, $G$9) + CHOOSE(CONTROL!$C$38, 0.0342, 0)</f>
        <v>28.467799999999997</v>
      </c>
      <c r="H299" s="14">
        <f>28.4336 * CHOOSE(CONTROL!$C$15, $E$9, 100%, $G$9) + CHOOSE(CONTROL!$C$38, 0.0342, 0)</f>
        <v>28.467799999999997</v>
      </c>
      <c r="I299" s="14">
        <f>28.4351 * CHOOSE(CONTROL!$C$15, $E$9, 100%, $G$9) + CHOOSE(CONTROL!$C$38, 0.0342, 0)</f>
        <v>28.469299999999997</v>
      </c>
      <c r="J299" s="44">
        <f>183.251</f>
        <v>183.251</v>
      </c>
    </row>
    <row r="300" spans="1:10" ht="15" x14ac:dyDescent="0.2">
      <c r="A300" s="34">
        <v>50041</v>
      </c>
      <c r="B300" s="14">
        <f>31.2972 * CHOOSE(CONTROL!$C$15, $E$9, 100%, $G$9) + CHOOSE(CONTROL!$C$38, 0.0251, 0)</f>
        <v>31.322299999999998</v>
      </c>
      <c r="C300" s="14">
        <f>29.6246 * CHOOSE(CONTROL!$C$15, $E$9, 100%, $G$9) + CHOOSE(CONTROL!$C$38, 0.0342, 0)</f>
        <v>29.658799999999999</v>
      </c>
      <c r="D300" s="14">
        <f>29.6168 * CHOOSE(CONTROL!$C$15, $E$9, 100%, $G$9) + CHOOSE(CONTROL!$C$38, 0.0342, 0)</f>
        <v>29.651</v>
      </c>
      <c r="E300" s="46">
        <f>31.1409 * CHOOSE(CONTROL!$C$15, $E$9, 100%, $G$9) + CHOOSE(CONTROL!$C$38, 0.0342, 0)</f>
        <v>31.175099999999997</v>
      </c>
      <c r="F300" s="45">
        <f>31.1409 * CHOOSE(CONTROL!$C$15, $E$9, 100%, $G$9) + CHOOSE(CONTROL!$C$38, 0.0251, 0)</f>
        <v>31.165999999999997</v>
      </c>
      <c r="G300" s="14">
        <f>29.623 * CHOOSE(CONTROL!$C$15, $E$9, 100%, $G$9) + CHOOSE(CONTROL!$C$38, 0.0342, 0)</f>
        <v>29.6572</v>
      </c>
      <c r="H300" s="14">
        <f>29.623 * CHOOSE(CONTROL!$C$15, $E$9, 100%, $G$9) + CHOOSE(CONTROL!$C$38, 0.0342, 0)</f>
        <v>29.6572</v>
      </c>
      <c r="I300" s="14">
        <f>29.6246 * CHOOSE(CONTROL!$C$15, $E$9, 100%, $G$9) + CHOOSE(CONTROL!$C$38, 0.0342, 0)</f>
        <v>29.658799999999999</v>
      </c>
      <c r="J300" s="44">
        <f>183.1187</f>
        <v>183.11869999999999</v>
      </c>
    </row>
    <row r="301" spans="1:10" ht="15" x14ac:dyDescent="0.2">
      <c r="A301" s="34">
        <v>50072</v>
      </c>
      <c r="B301" s="14">
        <f>31.6415 * CHOOSE(CONTROL!$C$15, $E$9, 100%, $G$9) + CHOOSE(CONTROL!$C$38, 0.0251, 0)</f>
        <v>31.666599999999999</v>
      </c>
      <c r="C301" s="14">
        <f>29.9689 * CHOOSE(CONTROL!$C$15, $E$9, 100%, $G$9) + CHOOSE(CONTROL!$C$38, 0.0342, 0)</f>
        <v>30.0031</v>
      </c>
      <c r="D301" s="14">
        <f>29.9611 * CHOOSE(CONTROL!$C$15, $E$9, 100%, $G$9) + CHOOSE(CONTROL!$C$38, 0.0342, 0)</f>
        <v>29.995299999999997</v>
      </c>
      <c r="E301" s="46">
        <f>31.4852 * CHOOSE(CONTROL!$C$15, $E$9, 100%, $G$9) + CHOOSE(CONTROL!$C$38, 0.0342, 0)</f>
        <v>31.519399999999997</v>
      </c>
      <c r="F301" s="45">
        <f>31.4852 * CHOOSE(CONTROL!$C$15, $E$9, 100%, $G$9) + CHOOSE(CONTROL!$C$38, 0.0251, 0)</f>
        <v>31.510299999999997</v>
      </c>
      <c r="G301" s="14">
        <f>29.9673 * CHOOSE(CONTROL!$C$15, $E$9, 100%, $G$9) + CHOOSE(CONTROL!$C$38, 0.0342, 0)</f>
        <v>30.0015</v>
      </c>
      <c r="H301" s="14">
        <f>29.9673 * CHOOSE(CONTROL!$C$15, $E$9, 100%, $G$9) + CHOOSE(CONTROL!$C$38, 0.0342, 0)</f>
        <v>30.0015</v>
      </c>
      <c r="I301" s="14">
        <f>29.9689 * CHOOSE(CONTROL!$C$15, $E$9, 100%, $G$9) + CHOOSE(CONTROL!$C$38, 0.0342, 0)</f>
        <v>30.0031</v>
      </c>
      <c r="J301" s="44">
        <f>182.6097</f>
        <v>182.6097</v>
      </c>
    </row>
    <row r="302" spans="1:10" ht="15" x14ac:dyDescent="0.2">
      <c r="A302" s="34">
        <v>50100</v>
      </c>
      <c r="B302" s="14">
        <f>30.8445 * CHOOSE(CONTROL!$C$15, $E$9, 100%, $G$9) + CHOOSE(CONTROL!$C$38, 0.0251, 0)</f>
        <v>30.869599999999998</v>
      </c>
      <c r="C302" s="14">
        <f>29.1718 * CHOOSE(CONTROL!$C$15, $E$9, 100%, $G$9) + CHOOSE(CONTROL!$C$38, 0.0342, 0)</f>
        <v>29.206</v>
      </c>
      <c r="D302" s="14">
        <f>29.164 * CHOOSE(CONTROL!$C$15, $E$9, 100%, $G$9) + CHOOSE(CONTROL!$C$38, 0.0342, 0)</f>
        <v>29.1982</v>
      </c>
      <c r="E302" s="46">
        <f>30.6882 * CHOOSE(CONTROL!$C$15, $E$9, 100%, $G$9) + CHOOSE(CONTROL!$C$38, 0.0342, 0)</f>
        <v>30.722399999999997</v>
      </c>
      <c r="F302" s="45">
        <f>30.6882 * CHOOSE(CONTROL!$C$15, $E$9, 100%, $G$9) + CHOOSE(CONTROL!$C$38, 0.0251, 0)</f>
        <v>30.713299999999997</v>
      </c>
      <c r="G302" s="14">
        <f>29.1703 * CHOOSE(CONTROL!$C$15, $E$9, 100%, $G$9) + CHOOSE(CONTROL!$C$38, 0.0342, 0)</f>
        <v>29.204499999999999</v>
      </c>
      <c r="H302" s="14">
        <f>29.1703 * CHOOSE(CONTROL!$C$15, $E$9, 100%, $G$9) + CHOOSE(CONTROL!$C$38, 0.0342, 0)</f>
        <v>29.204499999999999</v>
      </c>
      <c r="I302" s="14">
        <f>29.1718 * CHOOSE(CONTROL!$C$15, $E$9, 100%, $G$9) + CHOOSE(CONTROL!$C$38, 0.0342, 0)</f>
        <v>29.206</v>
      </c>
      <c r="J302" s="44">
        <f>192.2343</f>
        <v>192.23429999999999</v>
      </c>
    </row>
    <row r="303" spans="1:10" ht="15" x14ac:dyDescent="0.2">
      <c r="A303" s="34">
        <v>50131</v>
      </c>
      <c r="B303" s="14">
        <f>30.0722 * CHOOSE(CONTROL!$C$15, $E$9, 100%, $G$9) + CHOOSE(CONTROL!$C$38, 0.0251, 0)</f>
        <v>30.097299999999997</v>
      </c>
      <c r="C303" s="14">
        <f>28.3995 * CHOOSE(CONTROL!$C$15, $E$9, 100%, $G$9) + CHOOSE(CONTROL!$C$38, 0.0342, 0)</f>
        <v>28.433699999999998</v>
      </c>
      <c r="D303" s="14">
        <f>28.3917 * CHOOSE(CONTROL!$C$15, $E$9, 100%, $G$9) + CHOOSE(CONTROL!$C$38, 0.0342, 0)</f>
        <v>28.425899999999999</v>
      </c>
      <c r="E303" s="46">
        <f>29.9159 * CHOOSE(CONTROL!$C$15, $E$9, 100%, $G$9) + CHOOSE(CONTROL!$C$38, 0.0342, 0)</f>
        <v>29.950099999999999</v>
      </c>
      <c r="F303" s="45">
        <f>29.9159 * CHOOSE(CONTROL!$C$15, $E$9, 100%, $G$9) + CHOOSE(CONTROL!$C$38, 0.0251, 0)</f>
        <v>29.940999999999999</v>
      </c>
      <c r="G303" s="14">
        <f>28.398 * CHOOSE(CONTROL!$C$15, $E$9, 100%, $G$9) + CHOOSE(CONTROL!$C$38, 0.0342, 0)</f>
        <v>28.432199999999998</v>
      </c>
      <c r="H303" s="14">
        <f>28.398 * CHOOSE(CONTROL!$C$15, $E$9, 100%, $G$9) + CHOOSE(CONTROL!$C$38, 0.0342, 0)</f>
        <v>28.432199999999998</v>
      </c>
      <c r="I303" s="14">
        <f>28.3995 * CHOOSE(CONTROL!$C$15, $E$9, 100%, $G$9) + CHOOSE(CONTROL!$C$38, 0.0342, 0)</f>
        <v>28.433699999999998</v>
      </c>
      <c r="J303" s="44">
        <f>204.7151</f>
        <v>204.71510000000001</v>
      </c>
    </row>
    <row r="304" spans="1:10" ht="15" x14ac:dyDescent="0.2">
      <c r="A304" s="34">
        <v>50161</v>
      </c>
      <c r="B304" s="14">
        <f>29.2672 * CHOOSE(CONTROL!$C$15, $E$9, 100%, $G$9) + CHOOSE(CONTROL!$C$38, 0.0264, 0)</f>
        <v>29.293599999999998</v>
      </c>
      <c r="C304" s="14">
        <f>27.5946 * CHOOSE(CONTROL!$C$15, $E$9, 100%, $G$9) + CHOOSE(CONTROL!$C$38, 0.0354, 0)</f>
        <v>27.63</v>
      </c>
      <c r="D304" s="14">
        <f>27.5868 * CHOOSE(CONTROL!$C$15, $E$9, 100%, $G$9) + CHOOSE(CONTROL!$C$38, 0.0354, 0)</f>
        <v>27.622199999999999</v>
      </c>
      <c r="E304" s="46">
        <f>29.1109 * CHOOSE(CONTROL!$C$15, $E$9, 100%, $G$9) + CHOOSE(CONTROL!$C$38, 0.0354, 0)</f>
        <v>29.1463</v>
      </c>
      <c r="F304" s="45">
        <f>29.1109 * CHOOSE(CONTROL!$C$15, $E$9, 100%, $G$9) + CHOOSE(CONTROL!$C$38, 0.0264, 0)</f>
        <v>29.1373</v>
      </c>
      <c r="G304" s="14">
        <f>27.593 * CHOOSE(CONTROL!$C$15, $E$9, 100%, $G$9) + CHOOSE(CONTROL!$C$38, 0.0354, 0)</f>
        <v>27.628399999999999</v>
      </c>
      <c r="H304" s="14">
        <f>27.593 * CHOOSE(CONTROL!$C$15, $E$9, 100%, $G$9) + CHOOSE(CONTROL!$C$38, 0.0354, 0)</f>
        <v>27.628399999999999</v>
      </c>
      <c r="I304" s="14">
        <f>27.5946 * CHOOSE(CONTROL!$C$15, $E$9, 100%, $G$9) + CHOOSE(CONTROL!$C$38, 0.0354, 0)</f>
        <v>27.63</v>
      </c>
      <c r="J304" s="44">
        <f>211.5849</f>
        <v>211.5849</v>
      </c>
    </row>
    <row r="305" spans="1:10" ht="15" x14ac:dyDescent="0.2">
      <c r="A305" s="34">
        <v>50192</v>
      </c>
      <c r="B305" s="14">
        <f>28.7029 * CHOOSE(CONTROL!$C$15, $E$9, 100%, $G$9) + CHOOSE(CONTROL!$C$38, 0.0264, 0)</f>
        <v>28.729299999999999</v>
      </c>
      <c r="C305" s="14">
        <f>27.0302 * CHOOSE(CONTROL!$C$15, $E$9, 100%, $G$9) + CHOOSE(CONTROL!$C$38, 0.0354, 0)</f>
        <v>27.0656</v>
      </c>
      <c r="D305" s="14">
        <f>27.0224 * CHOOSE(CONTROL!$C$15, $E$9, 100%, $G$9) + CHOOSE(CONTROL!$C$38, 0.0354, 0)</f>
        <v>27.0578</v>
      </c>
      <c r="E305" s="46">
        <f>28.5466 * CHOOSE(CONTROL!$C$15, $E$9, 100%, $G$9) + CHOOSE(CONTROL!$C$38, 0.0354, 0)</f>
        <v>28.582000000000001</v>
      </c>
      <c r="F305" s="45">
        <f>28.5466 * CHOOSE(CONTROL!$C$15, $E$9, 100%, $G$9) + CHOOSE(CONTROL!$C$38, 0.0264, 0)</f>
        <v>28.573</v>
      </c>
      <c r="G305" s="14">
        <f>27.0287 * CHOOSE(CONTROL!$C$15, $E$9, 100%, $G$9) + CHOOSE(CONTROL!$C$38, 0.0354, 0)</f>
        <v>27.0641</v>
      </c>
      <c r="H305" s="14">
        <f>27.0287 * CHOOSE(CONTROL!$C$15, $E$9, 100%, $G$9) + CHOOSE(CONTROL!$C$38, 0.0354, 0)</f>
        <v>27.0641</v>
      </c>
      <c r="I305" s="14">
        <f>27.0302 * CHOOSE(CONTROL!$C$15, $E$9, 100%, $G$9) + CHOOSE(CONTROL!$C$38, 0.0354, 0)</f>
        <v>27.0656</v>
      </c>
      <c r="J305" s="44">
        <f>214.6336</f>
        <v>214.6336</v>
      </c>
    </row>
    <row r="306" spans="1:10" ht="15" x14ac:dyDescent="0.2">
      <c r="A306" s="34">
        <v>50222</v>
      </c>
      <c r="B306" s="14">
        <f>28.3808 * CHOOSE(CONTROL!$C$15, $E$9, 100%, $G$9) + CHOOSE(CONTROL!$C$38, 0.0264, 0)</f>
        <v>28.4072</v>
      </c>
      <c r="C306" s="14">
        <f>26.7082 * CHOOSE(CONTROL!$C$15, $E$9, 100%, $G$9) + CHOOSE(CONTROL!$C$38, 0.0354, 0)</f>
        <v>26.743600000000001</v>
      </c>
      <c r="D306" s="14">
        <f>26.7004 * CHOOSE(CONTROL!$C$15, $E$9, 100%, $G$9) + CHOOSE(CONTROL!$C$38, 0.0354, 0)</f>
        <v>26.735799999999998</v>
      </c>
      <c r="E306" s="46">
        <f>28.2245 * CHOOSE(CONTROL!$C$15, $E$9, 100%, $G$9) + CHOOSE(CONTROL!$C$38, 0.0354, 0)</f>
        <v>28.259899999999998</v>
      </c>
      <c r="F306" s="45">
        <f>28.2245 * CHOOSE(CONTROL!$C$15, $E$9, 100%, $G$9) + CHOOSE(CONTROL!$C$38, 0.0264, 0)</f>
        <v>28.250899999999998</v>
      </c>
      <c r="G306" s="14">
        <f>26.7066 * CHOOSE(CONTROL!$C$15, $E$9, 100%, $G$9) + CHOOSE(CONTROL!$C$38, 0.0354, 0)</f>
        <v>26.742000000000001</v>
      </c>
      <c r="H306" s="14">
        <f>26.7066 * CHOOSE(CONTROL!$C$15, $E$9, 100%, $G$9) + CHOOSE(CONTROL!$C$38, 0.0354, 0)</f>
        <v>26.742000000000001</v>
      </c>
      <c r="I306" s="14">
        <f>26.7082 * CHOOSE(CONTROL!$C$15, $E$9, 100%, $G$9) + CHOOSE(CONTROL!$C$38, 0.0354, 0)</f>
        <v>26.743600000000001</v>
      </c>
      <c r="J306" s="44">
        <f>213.6299</f>
        <v>213.62989999999999</v>
      </c>
    </row>
    <row r="307" spans="1:10" ht="15" x14ac:dyDescent="0.2">
      <c r="A307" s="34">
        <v>50253</v>
      </c>
      <c r="B307" s="14">
        <f>28.5397 * CHOOSE(CONTROL!$C$15, $E$9, 100%, $G$9) + CHOOSE(CONTROL!$C$38, 0.0264, 0)</f>
        <v>28.566099999999999</v>
      </c>
      <c r="C307" s="14">
        <f>26.8671 * CHOOSE(CONTROL!$C$15, $E$9, 100%, $G$9) + CHOOSE(CONTROL!$C$38, 0.0354, 0)</f>
        <v>26.9025</v>
      </c>
      <c r="D307" s="14">
        <f>26.8593 * CHOOSE(CONTROL!$C$15, $E$9, 100%, $G$9) + CHOOSE(CONTROL!$C$38, 0.0354, 0)</f>
        <v>26.8947</v>
      </c>
      <c r="E307" s="46">
        <f>28.3835 * CHOOSE(CONTROL!$C$15, $E$9, 100%, $G$9) + CHOOSE(CONTROL!$C$38, 0.0354, 0)</f>
        <v>28.418900000000001</v>
      </c>
      <c r="F307" s="45">
        <f>28.3835 * CHOOSE(CONTROL!$C$15, $E$9, 100%, $G$9) + CHOOSE(CONTROL!$C$38, 0.0264, 0)</f>
        <v>28.4099</v>
      </c>
      <c r="G307" s="14">
        <f>26.8656 * CHOOSE(CONTROL!$C$15, $E$9, 100%, $G$9) + CHOOSE(CONTROL!$C$38, 0.0354, 0)</f>
        <v>26.901</v>
      </c>
      <c r="H307" s="14">
        <f>26.8656 * CHOOSE(CONTROL!$C$15, $E$9, 100%, $G$9) + CHOOSE(CONTROL!$C$38, 0.0354, 0)</f>
        <v>26.901</v>
      </c>
      <c r="I307" s="14">
        <f>26.8671 * CHOOSE(CONTROL!$C$15, $E$9, 100%, $G$9) + CHOOSE(CONTROL!$C$38, 0.0354, 0)</f>
        <v>26.9025</v>
      </c>
      <c r="J307" s="44">
        <f>208.6567</f>
        <v>208.6567</v>
      </c>
    </row>
    <row r="308" spans="1:10" ht="15" x14ac:dyDescent="0.2">
      <c r="A308" s="34">
        <v>50284</v>
      </c>
      <c r="B308" s="14">
        <f>28.9715 * CHOOSE(CONTROL!$C$15, $E$9, 100%, $G$9) + CHOOSE(CONTROL!$C$38, 0.0264, 0)</f>
        <v>28.997899999999998</v>
      </c>
      <c r="C308" s="14">
        <f>27.2988 * CHOOSE(CONTROL!$C$15, $E$9, 100%, $G$9) + CHOOSE(CONTROL!$C$38, 0.0354, 0)</f>
        <v>27.334199999999999</v>
      </c>
      <c r="D308" s="14">
        <f>27.291 * CHOOSE(CONTROL!$C$15, $E$9, 100%, $G$9) + CHOOSE(CONTROL!$C$38, 0.0354, 0)</f>
        <v>27.3264</v>
      </c>
      <c r="E308" s="46">
        <f>28.8152 * CHOOSE(CONTROL!$C$15, $E$9, 100%, $G$9) + CHOOSE(CONTROL!$C$38, 0.0354, 0)</f>
        <v>28.8506</v>
      </c>
      <c r="F308" s="45">
        <f>28.8152 * CHOOSE(CONTROL!$C$15, $E$9, 100%, $G$9) + CHOOSE(CONTROL!$C$38, 0.0264, 0)</f>
        <v>28.8416</v>
      </c>
      <c r="G308" s="14">
        <f>27.2973 * CHOOSE(CONTROL!$C$15, $E$9, 100%, $G$9) + CHOOSE(CONTROL!$C$38, 0.0354, 0)</f>
        <v>27.332699999999999</v>
      </c>
      <c r="H308" s="14">
        <f>27.2973 * CHOOSE(CONTROL!$C$15, $E$9, 100%, $G$9) + CHOOSE(CONTROL!$C$38, 0.0354, 0)</f>
        <v>27.332699999999999</v>
      </c>
      <c r="I308" s="14">
        <f>27.2988 * CHOOSE(CONTROL!$C$15, $E$9, 100%, $G$9) + CHOOSE(CONTROL!$C$38, 0.0354, 0)</f>
        <v>27.334199999999999</v>
      </c>
      <c r="J308" s="44">
        <f>201.7213</f>
        <v>201.72130000000001</v>
      </c>
    </row>
    <row r="309" spans="1:10" ht="15" x14ac:dyDescent="0.2">
      <c r="A309" s="34">
        <v>50314</v>
      </c>
      <c r="B309" s="14">
        <f>29.333 * CHOOSE(CONTROL!$C$15, $E$9, 100%, $G$9) + CHOOSE(CONTROL!$C$38, 0.0251, 0)</f>
        <v>29.358099999999997</v>
      </c>
      <c r="C309" s="14">
        <f>27.6604 * CHOOSE(CONTROL!$C$15, $E$9, 100%, $G$9) + CHOOSE(CONTROL!$C$38, 0.0342, 0)</f>
        <v>27.694599999999998</v>
      </c>
      <c r="D309" s="14">
        <f>27.6526 * CHOOSE(CONTROL!$C$15, $E$9, 100%, $G$9) + CHOOSE(CONTROL!$C$38, 0.0342, 0)</f>
        <v>27.686799999999998</v>
      </c>
      <c r="E309" s="46">
        <f>29.1768 * CHOOSE(CONTROL!$C$15, $E$9, 100%, $G$9) + CHOOSE(CONTROL!$C$38, 0.0342, 0)</f>
        <v>29.210999999999999</v>
      </c>
      <c r="F309" s="45">
        <f>29.1768 * CHOOSE(CONTROL!$C$15, $E$9, 100%, $G$9) + CHOOSE(CONTROL!$C$38, 0.0251, 0)</f>
        <v>29.201899999999998</v>
      </c>
      <c r="G309" s="14">
        <f>27.6588 * CHOOSE(CONTROL!$C$15, $E$9, 100%, $G$9) + CHOOSE(CONTROL!$C$38, 0.0342, 0)</f>
        <v>27.692999999999998</v>
      </c>
      <c r="H309" s="14">
        <f>27.6588 * CHOOSE(CONTROL!$C$15, $E$9, 100%, $G$9) + CHOOSE(CONTROL!$C$38, 0.0342, 0)</f>
        <v>27.692999999999998</v>
      </c>
      <c r="I309" s="14">
        <f>27.6604 * CHOOSE(CONTROL!$C$15, $E$9, 100%, $G$9) + CHOOSE(CONTROL!$C$38, 0.0342, 0)</f>
        <v>27.694599999999998</v>
      </c>
      <c r="J309" s="44">
        <f>194.7455</f>
        <v>194.74549999999999</v>
      </c>
    </row>
    <row r="310" spans="1:10" ht="15" x14ac:dyDescent="0.2">
      <c r="A310" s="34">
        <v>50345</v>
      </c>
      <c r="B310" s="14">
        <f>29.6347 * CHOOSE(CONTROL!$C$15, $E$9, 100%, $G$9) + CHOOSE(CONTROL!$C$38, 0.0251, 0)</f>
        <v>29.659799999999997</v>
      </c>
      <c r="C310" s="14">
        <f>27.9621 * CHOOSE(CONTROL!$C$15, $E$9, 100%, $G$9) + CHOOSE(CONTROL!$C$38, 0.0342, 0)</f>
        <v>27.996299999999998</v>
      </c>
      <c r="D310" s="14">
        <f>27.9543 * CHOOSE(CONTROL!$C$15, $E$9, 100%, $G$9) + CHOOSE(CONTROL!$C$38, 0.0342, 0)</f>
        <v>27.988499999999998</v>
      </c>
      <c r="E310" s="46">
        <f>29.4785 * CHOOSE(CONTROL!$C$15, $E$9, 100%, $G$9) + CHOOSE(CONTROL!$C$38, 0.0342, 0)</f>
        <v>29.512699999999999</v>
      </c>
      <c r="F310" s="45">
        <f>29.4785 * CHOOSE(CONTROL!$C$15, $E$9, 100%, $G$9) + CHOOSE(CONTROL!$C$38, 0.0251, 0)</f>
        <v>29.503599999999999</v>
      </c>
      <c r="G310" s="14">
        <f>27.9605 * CHOOSE(CONTROL!$C$15, $E$9, 100%, $G$9) + CHOOSE(CONTROL!$C$38, 0.0342, 0)</f>
        <v>27.994699999999998</v>
      </c>
      <c r="H310" s="14">
        <f>27.9605 * CHOOSE(CONTROL!$C$15, $E$9, 100%, $G$9) + CHOOSE(CONTROL!$C$38, 0.0342, 0)</f>
        <v>27.994699999999998</v>
      </c>
      <c r="I310" s="14">
        <f>27.9621 * CHOOSE(CONTROL!$C$15, $E$9, 100%, $G$9) + CHOOSE(CONTROL!$C$38, 0.0342, 0)</f>
        <v>27.996299999999998</v>
      </c>
      <c r="J310" s="44">
        <f>193.3579</f>
        <v>193.3579</v>
      </c>
    </row>
    <row r="311" spans="1:10" ht="15" x14ac:dyDescent="0.2">
      <c r="A311" s="34">
        <v>50375</v>
      </c>
      <c r="B311" s="14">
        <f>30.5644 * CHOOSE(CONTROL!$C$15, $E$9, 100%, $G$9) + CHOOSE(CONTROL!$C$38, 0.0251, 0)</f>
        <v>30.589499999999997</v>
      </c>
      <c r="C311" s="14">
        <f>28.8918 * CHOOSE(CONTROL!$C$15, $E$9, 100%, $G$9) + CHOOSE(CONTROL!$C$38, 0.0342, 0)</f>
        <v>28.925999999999998</v>
      </c>
      <c r="D311" s="14">
        <f>28.884 * CHOOSE(CONTROL!$C$15, $E$9, 100%, $G$9) + CHOOSE(CONTROL!$C$38, 0.0342, 0)</f>
        <v>28.918199999999999</v>
      </c>
      <c r="E311" s="46">
        <f>30.4081 * CHOOSE(CONTROL!$C$15, $E$9, 100%, $G$9) + CHOOSE(CONTROL!$C$38, 0.0342, 0)</f>
        <v>30.442299999999999</v>
      </c>
      <c r="F311" s="45">
        <f>30.4081 * CHOOSE(CONTROL!$C$15, $E$9, 100%, $G$9) + CHOOSE(CONTROL!$C$38, 0.0251, 0)</f>
        <v>30.433199999999999</v>
      </c>
      <c r="G311" s="14">
        <f>28.8902 * CHOOSE(CONTROL!$C$15, $E$9, 100%, $G$9) + CHOOSE(CONTROL!$C$38, 0.0342, 0)</f>
        <v>28.924399999999999</v>
      </c>
      <c r="H311" s="14">
        <f>28.8902 * CHOOSE(CONTROL!$C$15, $E$9, 100%, $G$9) + CHOOSE(CONTROL!$C$38, 0.0342, 0)</f>
        <v>28.924399999999999</v>
      </c>
      <c r="I311" s="14">
        <f>28.8918 * CHOOSE(CONTROL!$C$15, $E$9, 100%, $G$9) + CHOOSE(CONTROL!$C$38, 0.0342, 0)</f>
        <v>28.925999999999998</v>
      </c>
      <c r="J311" s="44">
        <f>187.62</f>
        <v>187.62</v>
      </c>
    </row>
    <row r="312" spans="1:10" ht="15.75" x14ac:dyDescent="0.25">
      <c r="A312" s="33">
        <v>50436</v>
      </c>
      <c r="B312" s="14">
        <f>31.787 * CHOOSE(CONTROL!$C$15, $E$9, 100%, $G$9) + CHOOSE(CONTROL!$C$38, 0.0251, 0)</f>
        <v>31.812099999999997</v>
      </c>
      <c r="C312" s="14">
        <f>30.0889 * CHOOSE(CONTROL!$C$15, $E$9, 100%, $G$9) + CHOOSE(CONTROL!$C$38, 0.0342, 0)</f>
        <v>30.123099999999997</v>
      </c>
      <c r="D312" s="14">
        <f>30.0811 * CHOOSE(CONTROL!$C$15, $E$9, 100%, $G$9) + CHOOSE(CONTROL!$C$38, 0.0342, 0)</f>
        <v>30.115299999999998</v>
      </c>
      <c r="E312" s="46">
        <f>31.6307 * CHOOSE(CONTROL!$C$15, $E$9, 100%, $G$9) + CHOOSE(CONTROL!$C$38, 0.0342, 0)</f>
        <v>31.664899999999999</v>
      </c>
      <c r="F312" s="45">
        <f>31.6307 * CHOOSE(CONTROL!$C$15, $E$9, 100%, $G$9) + CHOOSE(CONTROL!$C$38, 0.0251, 0)</f>
        <v>31.655799999999999</v>
      </c>
      <c r="G312" s="14">
        <f>30.0873 * CHOOSE(CONTROL!$C$15, $E$9, 100%, $G$9) + CHOOSE(CONTROL!$C$38, 0.0342, 0)</f>
        <v>30.121499999999997</v>
      </c>
      <c r="H312" s="14">
        <f>30.0873 * CHOOSE(CONTROL!$C$15, $E$9, 100%, $G$9) + CHOOSE(CONTROL!$C$38, 0.0342, 0)</f>
        <v>30.121499999999997</v>
      </c>
      <c r="I312" s="14">
        <f>30.0889 * CHOOSE(CONTROL!$C$15, $E$9, 100%, $G$9) + CHOOSE(CONTROL!$C$38, 0.0342, 0)</f>
        <v>30.123099999999997</v>
      </c>
      <c r="J312" s="44">
        <f>187.4846</f>
        <v>187.4846</v>
      </c>
    </row>
    <row r="313" spans="1:10" ht="15.75" x14ac:dyDescent="0.25">
      <c r="A313" s="33">
        <v>50464</v>
      </c>
      <c r="B313" s="14">
        <f>32.1313 * CHOOSE(CONTROL!$C$15, $E$9, 100%, $G$9) + CHOOSE(CONTROL!$C$38, 0.0251, 0)</f>
        <v>32.156400000000005</v>
      </c>
      <c r="C313" s="14">
        <f>30.4332 * CHOOSE(CONTROL!$C$15, $E$9, 100%, $G$9) + CHOOSE(CONTROL!$C$38, 0.0342, 0)</f>
        <v>30.467399999999998</v>
      </c>
      <c r="D313" s="14">
        <f>30.4254 * CHOOSE(CONTROL!$C$15, $E$9, 100%, $G$9) + CHOOSE(CONTROL!$C$38, 0.0342, 0)</f>
        <v>30.459599999999998</v>
      </c>
      <c r="E313" s="46">
        <f>31.975 * CHOOSE(CONTROL!$C$15, $E$9, 100%, $G$9) + CHOOSE(CONTROL!$C$38, 0.0342, 0)</f>
        <v>32.0092</v>
      </c>
      <c r="F313" s="45">
        <f>31.975 * CHOOSE(CONTROL!$C$15, $E$9, 100%, $G$9) + CHOOSE(CONTROL!$C$38, 0.0251, 0)</f>
        <v>32.000100000000003</v>
      </c>
      <c r="G313" s="14">
        <f>30.4316 * CHOOSE(CONTROL!$C$15, $E$9, 100%, $G$9) + CHOOSE(CONTROL!$C$38, 0.0342, 0)</f>
        <v>30.465799999999998</v>
      </c>
      <c r="H313" s="14">
        <f>30.4316 * CHOOSE(CONTROL!$C$15, $E$9, 100%, $G$9) + CHOOSE(CONTROL!$C$38, 0.0342, 0)</f>
        <v>30.465799999999998</v>
      </c>
      <c r="I313" s="14">
        <f>30.4332 * CHOOSE(CONTROL!$C$15, $E$9, 100%, $G$9) + CHOOSE(CONTROL!$C$38, 0.0342, 0)</f>
        <v>30.467399999999998</v>
      </c>
      <c r="J313" s="44">
        <f>186.9634</f>
        <v>186.96340000000001</v>
      </c>
    </row>
    <row r="314" spans="1:10" ht="15.75" x14ac:dyDescent="0.25">
      <c r="A314" s="33">
        <v>50495</v>
      </c>
      <c r="B314" s="14">
        <f>31.3342 * CHOOSE(CONTROL!$C$15, $E$9, 100%, $G$9) + CHOOSE(CONTROL!$C$38, 0.0251, 0)</f>
        <v>31.359299999999998</v>
      </c>
      <c r="C314" s="14">
        <f>29.6361 * CHOOSE(CONTROL!$C$15, $E$9, 100%, $G$9) + CHOOSE(CONTROL!$C$38, 0.0342, 0)</f>
        <v>29.670299999999997</v>
      </c>
      <c r="D314" s="14">
        <f>29.6283 * CHOOSE(CONTROL!$C$15, $E$9, 100%, $G$9) + CHOOSE(CONTROL!$C$38, 0.0342, 0)</f>
        <v>29.662499999999998</v>
      </c>
      <c r="E314" s="46">
        <f>31.178 * CHOOSE(CONTROL!$C$15, $E$9, 100%, $G$9) + CHOOSE(CONTROL!$C$38, 0.0342, 0)</f>
        <v>31.212199999999999</v>
      </c>
      <c r="F314" s="45">
        <f>31.178 * CHOOSE(CONTROL!$C$15, $E$9, 100%, $G$9) + CHOOSE(CONTROL!$C$38, 0.0251, 0)</f>
        <v>31.203099999999999</v>
      </c>
      <c r="G314" s="14">
        <f>29.6346 * CHOOSE(CONTROL!$C$15, $E$9, 100%, $G$9) + CHOOSE(CONTROL!$C$38, 0.0342, 0)</f>
        <v>29.668799999999997</v>
      </c>
      <c r="H314" s="14">
        <f>29.6346 * CHOOSE(CONTROL!$C$15, $E$9, 100%, $G$9) + CHOOSE(CONTROL!$C$38, 0.0342, 0)</f>
        <v>29.668799999999997</v>
      </c>
      <c r="I314" s="14">
        <f>29.6361 * CHOOSE(CONTROL!$C$15, $E$9, 100%, $G$9) + CHOOSE(CONTROL!$C$38, 0.0342, 0)</f>
        <v>29.670299999999997</v>
      </c>
      <c r="J314" s="44">
        <f>196.8175</f>
        <v>196.8175</v>
      </c>
    </row>
    <row r="315" spans="1:10" ht="15.75" x14ac:dyDescent="0.25">
      <c r="A315" s="33">
        <v>50525</v>
      </c>
      <c r="B315" s="14">
        <f>30.5619 * CHOOSE(CONTROL!$C$15, $E$9, 100%, $G$9) + CHOOSE(CONTROL!$C$38, 0.0251, 0)</f>
        <v>30.587</v>
      </c>
      <c r="C315" s="14">
        <f>28.8638 * CHOOSE(CONTROL!$C$15, $E$9, 100%, $G$9) + CHOOSE(CONTROL!$C$38, 0.0342, 0)</f>
        <v>28.898</v>
      </c>
      <c r="D315" s="14">
        <f>28.856 * CHOOSE(CONTROL!$C$15, $E$9, 100%, $G$9) + CHOOSE(CONTROL!$C$38, 0.0342, 0)</f>
        <v>28.8902</v>
      </c>
      <c r="E315" s="46">
        <f>30.4057 * CHOOSE(CONTROL!$C$15, $E$9, 100%, $G$9) + CHOOSE(CONTROL!$C$38, 0.0342, 0)</f>
        <v>30.439899999999998</v>
      </c>
      <c r="F315" s="45">
        <f>30.4057 * CHOOSE(CONTROL!$C$15, $E$9, 100%, $G$9) + CHOOSE(CONTROL!$C$38, 0.0251, 0)</f>
        <v>30.430799999999998</v>
      </c>
      <c r="G315" s="14">
        <f>28.8623 * CHOOSE(CONTROL!$C$15, $E$9, 100%, $G$9) + CHOOSE(CONTROL!$C$38, 0.0342, 0)</f>
        <v>28.8965</v>
      </c>
      <c r="H315" s="14">
        <f>28.8623 * CHOOSE(CONTROL!$C$15, $E$9, 100%, $G$9) + CHOOSE(CONTROL!$C$38, 0.0342, 0)</f>
        <v>28.8965</v>
      </c>
      <c r="I315" s="14">
        <f>28.8638 * CHOOSE(CONTROL!$C$15, $E$9, 100%, $G$9) + CHOOSE(CONTROL!$C$38, 0.0342, 0)</f>
        <v>28.898</v>
      </c>
      <c r="J315" s="44">
        <f>209.5958</f>
        <v>209.5958</v>
      </c>
    </row>
    <row r="316" spans="1:10" ht="15.75" x14ac:dyDescent="0.25">
      <c r="A316" s="33">
        <v>50556</v>
      </c>
      <c r="B316" s="14">
        <f>29.757 * CHOOSE(CONTROL!$C$15, $E$9, 100%, $G$9) + CHOOSE(CONTROL!$C$38, 0.0264, 0)</f>
        <v>29.7834</v>
      </c>
      <c r="C316" s="14">
        <f>28.0589 * CHOOSE(CONTROL!$C$15, $E$9, 100%, $G$9) + CHOOSE(CONTROL!$C$38, 0.0354, 0)</f>
        <v>28.0943</v>
      </c>
      <c r="D316" s="14">
        <f>28.0511 * CHOOSE(CONTROL!$C$15, $E$9, 100%, $G$9) + CHOOSE(CONTROL!$C$38, 0.0354, 0)</f>
        <v>28.086500000000001</v>
      </c>
      <c r="E316" s="46">
        <f>29.6007 * CHOOSE(CONTROL!$C$15, $E$9, 100%, $G$9) + CHOOSE(CONTROL!$C$38, 0.0354, 0)</f>
        <v>29.636099999999999</v>
      </c>
      <c r="F316" s="45">
        <f>29.6007 * CHOOSE(CONTROL!$C$15, $E$9, 100%, $G$9) + CHOOSE(CONTROL!$C$38, 0.0264, 0)</f>
        <v>29.627099999999999</v>
      </c>
      <c r="G316" s="14">
        <f>28.0573 * CHOOSE(CONTROL!$C$15, $E$9, 100%, $G$9) + CHOOSE(CONTROL!$C$38, 0.0354, 0)</f>
        <v>28.092700000000001</v>
      </c>
      <c r="H316" s="14">
        <f>28.0573 * CHOOSE(CONTROL!$C$15, $E$9, 100%, $G$9) + CHOOSE(CONTROL!$C$38, 0.0354, 0)</f>
        <v>28.092700000000001</v>
      </c>
      <c r="I316" s="14">
        <f>28.0589 * CHOOSE(CONTROL!$C$15, $E$9, 100%, $G$9) + CHOOSE(CONTROL!$C$38, 0.0354, 0)</f>
        <v>28.0943</v>
      </c>
      <c r="J316" s="44">
        <f>216.6294</f>
        <v>216.6294</v>
      </c>
    </row>
    <row r="317" spans="1:10" ht="15.75" x14ac:dyDescent="0.25">
      <c r="A317" s="33">
        <v>50586</v>
      </c>
      <c r="B317" s="14">
        <f>29.1926 * CHOOSE(CONTROL!$C$15, $E$9, 100%, $G$9) + CHOOSE(CONTROL!$C$38, 0.0264, 0)</f>
        <v>29.218999999999998</v>
      </c>
      <c r="C317" s="14">
        <f>27.4945 * CHOOSE(CONTROL!$C$15, $E$9, 100%, $G$9) + CHOOSE(CONTROL!$C$38, 0.0354, 0)</f>
        <v>27.529899999999998</v>
      </c>
      <c r="D317" s="14">
        <f>27.4867 * CHOOSE(CONTROL!$C$15, $E$9, 100%, $G$9) + CHOOSE(CONTROL!$C$38, 0.0354, 0)</f>
        <v>27.522099999999998</v>
      </c>
      <c r="E317" s="46">
        <f>29.0364 * CHOOSE(CONTROL!$C$15, $E$9, 100%, $G$9) + CHOOSE(CONTROL!$C$38, 0.0354, 0)</f>
        <v>29.0718</v>
      </c>
      <c r="F317" s="45">
        <f>29.0364 * CHOOSE(CONTROL!$C$15, $E$9, 100%, $G$9) + CHOOSE(CONTROL!$C$38, 0.0264, 0)</f>
        <v>29.062799999999999</v>
      </c>
      <c r="G317" s="14">
        <f>27.493 * CHOOSE(CONTROL!$C$15, $E$9, 100%, $G$9) + CHOOSE(CONTROL!$C$38, 0.0354, 0)</f>
        <v>27.528399999999998</v>
      </c>
      <c r="H317" s="14">
        <f>27.493 * CHOOSE(CONTROL!$C$15, $E$9, 100%, $G$9) + CHOOSE(CONTROL!$C$38, 0.0354, 0)</f>
        <v>27.528399999999998</v>
      </c>
      <c r="I317" s="14">
        <f>27.4945 * CHOOSE(CONTROL!$C$15, $E$9, 100%, $G$9) + CHOOSE(CONTROL!$C$38, 0.0354, 0)</f>
        <v>27.529899999999998</v>
      </c>
      <c r="J317" s="44">
        <f>219.7508</f>
        <v>219.7508</v>
      </c>
    </row>
    <row r="318" spans="1:10" ht="15.75" x14ac:dyDescent="0.25">
      <c r="A318" s="33">
        <v>50617</v>
      </c>
      <c r="B318" s="14">
        <f>28.8706 * CHOOSE(CONTROL!$C$15, $E$9, 100%, $G$9) + CHOOSE(CONTROL!$C$38, 0.0264, 0)</f>
        <v>28.896999999999998</v>
      </c>
      <c r="C318" s="14">
        <f>27.1725 * CHOOSE(CONTROL!$C$15, $E$9, 100%, $G$9) + CHOOSE(CONTROL!$C$38, 0.0354, 0)</f>
        <v>27.207899999999999</v>
      </c>
      <c r="D318" s="14">
        <f>27.1647 * CHOOSE(CONTROL!$C$15, $E$9, 100%, $G$9) + CHOOSE(CONTROL!$C$38, 0.0354, 0)</f>
        <v>27.200099999999999</v>
      </c>
      <c r="E318" s="46">
        <f>28.7143 * CHOOSE(CONTROL!$C$15, $E$9, 100%, $G$9) + CHOOSE(CONTROL!$C$38, 0.0354, 0)</f>
        <v>28.749700000000001</v>
      </c>
      <c r="F318" s="45">
        <f>28.7143 * CHOOSE(CONTROL!$C$15, $E$9, 100%, $G$9) + CHOOSE(CONTROL!$C$38, 0.0264, 0)</f>
        <v>28.7407</v>
      </c>
      <c r="G318" s="14">
        <f>27.1709 * CHOOSE(CONTROL!$C$15, $E$9, 100%, $G$9) + CHOOSE(CONTROL!$C$38, 0.0354, 0)</f>
        <v>27.206299999999999</v>
      </c>
      <c r="H318" s="14">
        <f>27.1709 * CHOOSE(CONTROL!$C$15, $E$9, 100%, $G$9) + CHOOSE(CONTROL!$C$38, 0.0354, 0)</f>
        <v>27.206299999999999</v>
      </c>
      <c r="I318" s="14">
        <f>27.1725 * CHOOSE(CONTROL!$C$15, $E$9, 100%, $G$9) + CHOOSE(CONTROL!$C$38, 0.0354, 0)</f>
        <v>27.207899999999999</v>
      </c>
      <c r="J318" s="44">
        <f>218.7231</f>
        <v>218.72309999999999</v>
      </c>
    </row>
    <row r="319" spans="1:10" ht="15.75" x14ac:dyDescent="0.25">
      <c r="A319" s="33">
        <v>50648</v>
      </c>
      <c r="B319" s="14">
        <f>29.0295 * CHOOSE(CONTROL!$C$15, $E$9, 100%, $G$9) + CHOOSE(CONTROL!$C$38, 0.0264, 0)</f>
        <v>29.055899999999998</v>
      </c>
      <c r="C319" s="14">
        <f>27.3314 * CHOOSE(CONTROL!$C$15, $E$9, 100%, $G$9) + CHOOSE(CONTROL!$C$38, 0.0354, 0)</f>
        <v>27.366799999999998</v>
      </c>
      <c r="D319" s="14">
        <f>27.3236 * CHOOSE(CONTROL!$C$15, $E$9, 100%, $G$9) + CHOOSE(CONTROL!$C$38, 0.0354, 0)</f>
        <v>27.358999999999998</v>
      </c>
      <c r="E319" s="46">
        <f>28.8733 * CHOOSE(CONTROL!$C$15, $E$9, 100%, $G$9) + CHOOSE(CONTROL!$C$38, 0.0354, 0)</f>
        <v>28.9087</v>
      </c>
      <c r="F319" s="45">
        <f>28.8733 * CHOOSE(CONTROL!$C$15, $E$9, 100%, $G$9) + CHOOSE(CONTROL!$C$38, 0.0264, 0)</f>
        <v>28.899699999999999</v>
      </c>
      <c r="G319" s="14">
        <f>27.3299 * CHOOSE(CONTROL!$C$15, $E$9, 100%, $G$9) + CHOOSE(CONTROL!$C$38, 0.0354, 0)</f>
        <v>27.365299999999998</v>
      </c>
      <c r="H319" s="14">
        <f>27.3299 * CHOOSE(CONTROL!$C$15, $E$9, 100%, $G$9) + CHOOSE(CONTROL!$C$38, 0.0354, 0)</f>
        <v>27.365299999999998</v>
      </c>
      <c r="I319" s="14">
        <f>27.3314 * CHOOSE(CONTROL!$C$15, $E$9, 100%, $G$9) + CHOOSE(CONTROL!$C$38, 0.0354, 0)</f>
        <v>27.366799999999998</v>
      </c>
      <c r="J319" s="44">
        <f>213.6313</f>
        <v>213.63130000000001</v>
      </c>
    </row>
    <row r="320" spans="1:10" ht="15.75" x14ac:dyDescent="0.25">
      <c r="A320" s="33">
        <v>50678</v>
      </c>
      <c r="B320" s="14">
        <f>29.4612 * CHOOSE(CONTROL!$C$15, $E$9, 100%, $G$9) + CHOOSE(CONTROL!$C$38, 0.0264, 0)</f>
        <v>29.4876</v>
      </c>
      <c r="C320" s="14">
        <f>27.7631 * CHOOSE(CONTROL!$C$15, $E$9, 100%, $G$9) + CHOOSE(CONTROL!$C$38, 0.0354, 0)</f>
        <v>27.798500000000001</v>
      </c>
      <c r="D320" s="14">
        <f>27.7553 * CHOOSE(CONTROL!$C$15, $E$9, 100%, $G$9) + CHOOSE(CONTROL!$C$38, 0.0354, 0)</f>
        <v>27.790699999999998</v>
      </c>
      <c r="E320" s="46">
        <f>29.305 * CHOOSE(CONTROL!$C$15, $E$9, 100%, $G$9) + CHOOSE(CONTROL!$C$38, 0.0354, 0)</f>
        <v>29.340399999999999</v>
      </c>
      <c r="F320" s="45">
        <f>29.305 * CHOOSE(CONTROL!$C$15, $E$9, 100%, $G$9) + CHOOSE(CONTROL!$C$38, 0.0264, 0)</f>
        <v>29.331399999999999</v>
      </c>
      <c r="G320" s="14">
        <f>27.7616 * CHOOSE(CONTROL!$C$15, $E$9, 100%, $G$9) + CHOOSE(CONTROL!$C$38, 0.0354, 0)</f>
        <v>27.797000000000001</v>
      </c>
      <c r="H320" s="14">
        <f>27.7616 * CHOOSE(CONTROL!$C$15, $E$9, 100%, $G$9) + CHOOSE(CONTROL!$C$38, 0.0354, 0)</f>
        <v>27.797000000000001</v>
      </c>
      <c r="I320" s="14">
        <f>27.7631 * CHOOSE(CONTROL!$C$15, $E$9, 100%, $G$9) + CHOOSE(CONTROL!$C$38, 0.0354, 0)</f>
        <v>27.798500000000001</v>
      </c>
      <c r="J320" s="44">
        <f>206.5306</f>
        <v>206.53059999999999</v>
      </c>
    </row>
    <row r="321" spans="1:10" ht="15.75" x14ac:dyDescent="0.25">
      <c r="A321" s="33">
        <v>50709</v>
      </c>
      <c r="B321" s="14">
        <f>29.8228 * CHOOSE(CONTROL!$C$15, $E$9, 100%, $G$9) + CHOOSE(CONTROL!$C$38, 0.0251, 0)</f>
        <v>29.847899999999999</v>
      </c>
      <c r="C321" s="14">
        <f>28.1247 * CHOOSE(CONTROL!$C$15, $E$9, 100%, $G$9) + CHOOSE(CONTROL!$C$38, 0.0342, 0)</f>
        <v>28.158899999999999</v>
      </c>
      <c r="D321" s="14">
        <f>28.1169 * CHOOSE(CONTROL!$C$15, $E$9, 100%, $G$9) + CHOOSE(CONTROL!$C$38, 0.0342, 0)</f>
        <v>28.1511</v>
      </c>
      <c r="E321" s="46">
        <f>29.6665 * CHOOSE(CONTROL!$C$15, $E$9, 100%, $G$9) + CHOOSE(CONTROL!$C$38, 0.0342, 0)</f>
        <v>29.700699999999998</v>
      </c>
      <c r="F321" s="45">
        <f>29.6665 * CHOOSE(CONTROL!$C$15, $E$9, 100%, $G$9) + CHOOSE(CONTROL!$C$38, 0.0251, 0)</f>
        <v>29.691599999999998</v>
      </c>
      <c r="G321" s="14">
        <f>28.1231 * CHOOSE(CONTROL!$C$15, $E$9, 100%, $G$9) + CHOOSE(CONTROL!$C$38, 0.0342, 0)</f>
        <v>28.157299999999999</v>
      </c>
      <c r="H321" s="14">
        <f>28.1231 * CHOOSE(CONTROL!$C$15, $E$9, 100%, $G$9) + CHOOSE(CONTROL!$C$38, 0.0342, 0)</f>
        <v>28.157299999999999</v>
      </c>
      <c r="I321" s="14">
        <f>28.1247 * CHOOSE(CONTROL!$C$15, $E$9, 100%, $G$9) + CHOOSE(CONTROL!$C$38, 0.0342, 0)</f>
        <v>28.158899999999999</v>
      </c>
      <c r="J321" s="44">
        <f>199.3886</f>
        <v>199.3886</v>
      </c>
    </row>
    <row r="322" spans="1:10" ht="15.75" x14ac:dyDescent="0.25">
      <c r="A322" s="33">
        <v>50739</v>
      </c>
      <c r="B322" s="14">
        <f>30.1245 * CHOOSE(CONTROL!$C$15, $E$9, 100%, $G$9) + CHOOSE(CONTROL!$C$38, 0.0251, 0)</f>
        <v>30.1496</v>
      </c>
      <c r="C322" s="14">
        <f>28.4264 * CHOOSE(CONTROL!$C$15, $E$9, 100%, $G$9) + CHOOSE(CONTROL!$C$38, 0.0342, 0)</f>
        <v>28.460599999999999</v>
      </c>
      <c r="D322" s="14">
        <f>28.4186 * CHOOSE(CONTROL!$C$15, $E$9, 100%, $G$9) + CHOOSE(CONTROL!$C$38, 0.0342, 0)</f>
        <v>28.4528</v>
      </c>
      <c r="E322" s="46">
        <f>29.9682 * CHOOSE(CONTROL!$C$15, $E$9, 100%, $G$9) + CHOOSE(CONTROL!$C$38, 0.0342, 0)</f>
        <v>30.002399999999998</v>
      </c>
      <c r="F322" s="45">
        <f>29.9682 * CHOOSE(CONTROL!$C$15, $E$9, 100%, $G$9) + CHOOSE(CONTROL!$C$38, 0.0251, 0)</f>
        <v>29.993299999999998</v>
      </c>
      <c r="G322" s="14">
        <f>28.4248 * CHOOSE(CONTROL!$C$15, $E$9, 100%, $G$9) + CHOOSE(CONTROL!$C$38, 0.0342, 0)</f>
        <v>28.459</v>
      </c>
      <c r="H322" s="14">
        <f>28.4248 * CHOOSE(CONTROL!$C$15, $E$9, 100%, $G$9) + CHOOSE(CONTROL!$C$38, 0.0342, 0)</f>
        <v>28.459</v>
      </c>
      <c r="I322" s="14">
        <f>28.4264 * CHOOSE(CONTROL!$C$15, $E$9, 100%, $G$9) + CHOOSE(CONTROL!$C$38, 0.0342, 0)</f>
        <v>28.460599999999999</v>
      </c>
      <c r="J322" s="44">
        <f>197.9679</f>
        <v>197.96789999999999</v>
      </c>
    </row>
    <row r="323" spans="1:10" ht="15.75" x14ac:dyDescent="0.25">
      <c r="A323" s="33">
        <v>50770</v>
      </c>
      <c r="B323" s="14">
        <f>31.0542 * CHOOSE(CONTROL!$C$15, $E$9, 100%, $G$9) + CHOOSE(CONTROL!$C$38, 0.0251, 0)</f>
        <v>31.0793</v>
      </c>
      <c r="C323" s="14">
        <f>29.3561 * CHOOSE(CONTROL!$C$15, $E$9, 100%, $G$9) + CHOOSE(CONTROL!$C$38, 0.0342, 0)</f>
        <v>29.3903</v>
      </c>
      <c r="D323" s="14">
        <f>29.3483 * CHOOSE(CONTROL!$C$15, $E$9, 100%, $G$9) + CHOOSE(CONTROL!$C$38, 0.0342, 0)</f>
        <v>29.382499999999997</v>
      </c>
      <c r="E323" s="46">
        <f>30.8979 * CHOOSE(CONTROL!$C$15, $E$9, 100%, $G$9) + CHOOSE(CONTROL!$C$38, 0.0342, 0)</f>
        <v>30.932099999999998</v>
      </c>
      <c r="F323" s="45">
        <f>30.8979 * CHOOSE(CONTROL!$C$15, $E$9, 100%, $G$9) + CHOOSE(CONTROL!$C$38, 0.0251, 0)</f>
        <v>30.922999999999998</v>
      </c>
      <c r="G323" s="14">
        <f>29.3545 * CHOOSE(CONTROL!$C$15, $E$9, 100%, $G$9) + CHOOSE(CONTROL!$C$38, 0.0342, 0)</f>
        <v>29.3887</v>
      </c>
      <c r="H323" s="14">
        <f>29.3545 * CHOOSE(CONTROL!$C$15, $E$9, 100%, $G$9) + CHOOSE(CONTROL!$C$38, 0.0342, 0)</f>
        <v>29.3887</v>
      </c>
      <c r="I323" s="14">
        <f>29.3561 * CHOOSE(CONTROL!$C$15, $E$9, 100%, $G$9) + CHOOSE(CONTROL!$C$38, 0.0342, 0)</f>
        <v>29.3903</v>
      </c>
      <c r="J323" s="44">
        <f>192.0932</f>
        <v>192.0932</v>
      </c>
    </row>
    <row r="324" spans="1:10" ht="15.75" x14ac:dyDescent="0.25">
      <c r="A324" s="33">
        <v>50801</v>
      </c>
      <c r="B324" s="14">
        <f>32.285 * CHOOSE(CONTROL!$C$15, $E$9, 100%, $G$9) + CHOOSE(CONTROL!$C$38, 0.0251, 0)</f>
        <v>32.310099999999998</v>
      </c>
      <c r="C324" s="14">
        <f>30.561 * CHOOSE(CONTROL!$C$15, $E$9, 100%, $G$9) + CHOOSE(CONTROL!$C$38, 0.0342, 0)</f>
        <v>30.595199999999998</v>
      </c>
      <c r="D324" s="14">
        <f>30.5532 * CHOOSE(CONTROL!$C$15, $E$9, 100%, $G$9) + CHOOSE(CONTROL!$C$38, 0.0342, 0)</f>
        <v>30.587399999999999</v>
      </c>
      <c r="E324" s="46">
        <f>32.1287 * CHOOSE(CONTROL!$C$15, $E$9, 100%, $G$9) + CHOOSE(CONTROL!$C$38, 0.0342, 0)</f>
        <v>32.1629</v>
      </c>
      <c r="F324" s="45">
        <f>32.1287 * CHOOSE(CONTROL!$C$15, $E$9, 100%, $G$9) + CHOOSE(CONTROL!$C$38, 0.0251, 0)</f>
        <v>32.153800000000004</v>
      </c>
      <c r="G324" s="14">
        <f>30.5594 * CHOOSE(CONTROL!$C$15, $E$9, 100%, $G$9) + CHOOSE(CONTROL!$C$38, 0.0342, 0)</f>
        <v>30.593599999999999</v>
      </c>
      <c r="H324" s="14">
        <f>30.5594 * CHOOSE(CONTROL!$C$15, $E$9, 100%, $G$9) + CHOOSE(CONTROL!$C$38, 0.0342, 0)</f>
        <v>30.593599999999999</v>
      </c>
      <c r="I324" s="14">
        <f>30.561 * CHOOSE(CONTROL!$C$15, $E$9, 100%, $G$9) + CHOOSE(CONTROL!$C$38, 0.0342, 0)</f>
        <v>30.595199999999998</v>
      </c>
      <c r="J324" s="44">
        <f>191.9545</f>
        <v>191.9545</v>
      </c>
    </row>
    <row r="325" spans="1:10" ht="15.75" x14ac:dyDescent="0.25">
      <c r="A325" s="33">
        <v>50829</v>
      </c>
      <c r="B325" s="14">
        <f>32.6293 * CHOOSE(CONTROL!$C$15, $E$9, 100%, $G$9) + CHOOSE(CONTROL!$C$38, 0.0251, 0)</f>
        <v>32.654400000000003</v>
      </c>
      <c r="C325" s="14">
        <f>30.9053 * CHOOSE(CONTROL!$C$15, $E$9, 100%, $G$9) + CHOOSE(CONTROL!$C$38, 0.0342, 0)</f>
        <v>30.939499999999999</v>
      </c>
      <c r="D325" s="14">
        <f>30.8975 * CHOOSE(CONTROL!$C$15, $E$9, 100%, $G$9) + CHOOSE(CONTROL!$C$38, 0.0342, 0)</f>
        <v>30.931699999999999</v>
      </c>
      <c r="E325" s="46">
        <f>32.473 * CHOOSE(CONTROL!$C$15, $E$9, 100%, $G$9) + CHOOSE(CONTROL!$C$38, 0.0342, 0)</f>
        <v>32.507199999999997</v>
      </c>
      <c r="F325" s="45">
        <f>32.473 * CHOOSE(CONTROL!$C$15, $E$9, 100%, $G$9) + CHOOSE(CONTROL!$C$38, 0.0251, 0)</f>
        <v>32.498100000000001</v>
      </c>
      <c r="G325" s="14">
        <f>30.9037 * CHOOSE(CONTROL!$C$15, $E$9, 100%, $G$9) + CHOOSE(CONTROL!$C$38, 0.0342, 0)</f>
        <v>30.937899999999999</v>
      </c>
      <c r="H325" s="14">
        <f>30.9037 * CHOOSE(CONTROL!$C$15, $E$9, 100%, $G$9) + CHOOSE(CONTROL!$C$38, 0.0342, 0)</f>
        <v>30.937899999999999</v>
      </c>
      <c r="I325" s="14">
        <f>30.9053 * CHOOSE(CONTROL!$C$15, $E$9, 100%, $G$9) + CHOOSE(CONTROL!$C$38, 0.0342, 0)</f>
        <v>30.939499999999999</v>
      </c>
      <c r="J325" s="44">
        <f>191.4209</f>
        <v>191.42089999999999</v>
      </c>
    </row>
    <row r="326" spans="1:10" ht="15.75" x14ac:dyDescent="0.25">
      <c r="A326" s="33">
        <v>50860</v>
      </c>
      <c r="B326" s="14">
        <f>31.8322 * CHOOSE(CONTROL!$C$15, $E$9, 100%, $G$9) + CHOOSE(CONTROL!$C$38, 0.0251, 0)</f>
        <v>31.857299999999999</v>
      </c>
      <c r="C326" s="14">
        <f>30.1082 * CHOOSE(CONTROL!$C$15, $E$9, 100%, $G$9) + CHOOSE(CONTROL!$C$38, 0.0342, 0)</f>
        <v>30.142399999999999</v>
      </c>
      <c r="D326" s="14">
        <f>30.1004 * CHOOSE(CONTROL!$C$15, $E$9, 100%, $G$9) + CHOOSE(CONTROL!$C$38, 0.0342, 0)</f>
        <v>30.134599999999999</v>
      </c>
      <c r="E326" s="46">
        <f>31.676 * CHOOSE(CONTROL!$C$15, $E$9, 100%, $G$9) + CHOOSE(CONTROL!$C$38, 0.0342, 0)</f>
        <v>31.710199999999997</v>
      </c>
      <c r="F326" s="45">
        <f>31.676 * CHOOSE(CONTROL!$C$15, $E$9, 100%, $G$9) + CHOOSE(CONTROL!$C$38, 0.0251, 0)</f>
        <v>31.701099999999997</v>
      </c>
      <c r="G326" s="14">
        <f>30.1067 * CHOOSE(CONTROL!$C$15, $E$9, 100%, $G$9) + CHOOSE(CONTROL!$C$38, 0.0342, 0)</f>
        <v>30.140899999999998</v>
      </c>
      <c r="H326" s="14">
        <f>30.1067 * CHOOSE(CONTROL!$C$15, $E$9, 100%, $G$9) + CHOOSE(CONTROL!$C$38, 0.0342, 0)</f>
        <v>30.140899999999998</v>
      </c>
      <c r="I326" s="14">
        <f>30.1082 * CHOOSE(CONTROL!$C$15, $E$9, 100%, $G$9) + CHOOSE(CONTROL!$C$38, 0.0342, 0)</f>
        <v>30.142399999999999</v>
      </c>
      <c r="J326" s="44">
        <f>201.5099</f>
        <v>201.50989999999999</v>
      </c>
    </row>
    <row r="327" spans="1:10" ht="15.75" x14ac:dyDescent="0.25">
      <c r="A327" s="33">
        <v>50890</v>
      </c>
      <c r="B327" s="14">
        <f>31.0599 * CHOOSE(CONTROL!$C$15, $E$9, 100%, $G$9) + CHOOSE(CONTROL!$C$38, 0.0251, 0)</f>
        <v>31.084999999999997</v>
      </c>
      <c r="C327" s="14">
        <f>29.3359 * CHOOSE(CONTROL!$C$15, $E$9, 100%, $G$9) + CHOOSE(CONTROL!$C$38, 0.0342, 0)</f>
        <v>29.370099999999997</v>
      </c>
      <c r="D327" s="14">
        <f>29.3281 * CHOOSE(CONTROL!$C$15, $E$9, 100%, $G$9) + CHOOSE(CONTROL!$C$38, 0.0342, 0)</f>
        <v>29.362299999999998</v>
      </c>
      <c r="E327" s="46">
        <f>30.9037 * CHOOSE(CONTROL!$C$15, $E$9, 100%, $G$9) + CHOOSE(CONTROL!$C$38, 0.0342, 0)</f>
        <v>30.937899999999999</v>
      </c>
      <c r="F327" s="45">
        <f>30.9037 * CHOOSE(CONTROL!$C$15, $E$9, 100%, $G$9) + CHOOSE(CONTROL!$C$38, 0.0251, 0)</f>
        <v>30.928799999999999</v>
      </c>
      <c r="G327" s="14">
        <f>29.3344 * CHOOSE(CONTROL!$C$15, $E$9, 100%, $G$9) + CHOOSE(CONTROL!$C$38, 0.0342, 0)</f>
        <v>29.368599999999997</v>
      </c>
      <c r="H327" s="14">
        <f>29.3344 * CHOOSE(CONTROL!$C$15, $E$9, 100%, $G$9) + CHOOSE(CONTROL!$C$38, 0.0342, 0)</f>
        <v>29.368599999999997</v>
      </c>
      <c r="I327" s="14">
        <f>29.3359 * CHOOSE(CONTROL!$C$15, $E$9, 100%, $G$9) + CHOOSE(CONTROL!$C$38, 0.0342, 0)</f>
        <v>29.370099999999997</v>
      </c>
      <c r="J327" s="44">
        <f>214.5929</f>
        <v>214.59289999999999</v>
      </c>
    </row>
    <row r="328" spans="1:10" ht="15.75" x14ac:dyDescent="0.25">
      <c r="A328" s="33">
        <v>50921</v>
      </c>
      <c r="B328" s="14">
        <f>30.255 * CHOOSE(CONTROL!$C$15, $E$9, 100%, $G$9) + CHOOSE(CONTROL!$C$38, 0.0264, 0)</f>
        <v>30.281399999999998</v>
      </c>
      <c r="C328" s="14">
        <f>28.531 * CHOOSE(CONTROL!$C$15, $E$9, 100%, $G$9) + CHOOSE(CONTROL!$C$38, 0.0354, 0)</f>
        <v>28.566399999999998</v>
      </c>
      <c r="D328" s="14">
        <f>28.5232 * CHOOSE(CONTROL!$C$15, $E$9, 100%, $G$9) + CHOOSE(CONTROL!$C$38, 0.0354, 0)</f>
        <v>28.558599999999998</v>
      </c>
      <c r="E328" s="46">
        <f>30.0987 * CHOOSE(CONTROL!$C$15, $E$9, 100%, $G$9) + CHOOSE(CONTROL!$C$38, 0.0354, 0)</f>
        <v>30.1341</v>
      </c>
      <c r="F328" s="45">
        <f>30.0987 * CHOOSE(CONTROL!$C$15, $E$9, 100%, $G$9) + CHOOSE(CONTROL!$C$38, 0.0264, 0)</f>
        <v>30.1251</v>
      </c>
      <c r="G328" s="14">
        <f>28.5294 * CHOOSE(CONTROL!$C$15, $E$9, 100%, $G$9) + CHOOSE(CONTROL!$C$38, 0.0354, 0)</f>
        <v>28.564799999999998</v>
      </c>
      <c r="H328" s="14">
        <f>28.5294 * CHOOSE(CONTROL!$C$15, $E$9, 100%, $G$9) + CHOOSE(CONTROL!$C$38, 0.0354, 0)</f>
        <v>28.564799999999998</v>
      </c>
      <c r="I328" s="14">
        <f>28.531 * CHOOSE(CONTROL!$C$15, $E$9, 100%, $G$9) + CHOOSE(CONTROL!$C$38, 0.0354, 0)</f>
        <v>28.566399999999998</v>
      </c>
      <c r="J328" s="44">
        <f>221.7942</f>
        <v>221.79419999999999</v>
      </c>
    </row>
    <row r="329" spans="1:10" ht="15.75" x14ac:dyDescent="0.25">
      <c r="A329" s="33">
        <v>50951</v>
      </c>
      <c r="B329" s="14">
        <f>29.6906 * CHOOSE(CONTROL!$C$15, $E$9, 100%, $G$9) + CHOOSE(CONTROL!$C$38, 0.0264, 0)</f>
        <v>29.716999999999999</v>
      </c>
      <c r="C329" s="14">
        <f>27.9666 * CHOOSE(CONTROL!$C$15, $E$9, 100%, $G$9) + CHOOSE(CONTROL!$C$38, 0.0354, 0)</f>
        <v>28.001999999999999</v>
      </c>
      <c r="D329" s="14">
        <f>27.9588 * CHOOSE(CONTROL!$C$15, $E$9, 100%, $G$9) + CHOOSE(CONTROL!$C$38, 0.0354, 0)</f>
        <v>27.994199999999999</v>
      </c>
      <c r="E329" s="46">
        <f>29.5344 * CHOOSE(CONTROL!$C$15, $E$9, 100%, $G$9) + CHOOSE(CONTROL!$C$38, 0.0354, 0)</f>
        <v>29.569800000000001</v>
      </c>
      <c r="F329" s="45">
        <f>29.5344 * CHOOSE(CONTROL!$C$15, $E$9, 100%, $G$9) + CHOOSE(CONTROL!$C$38, 0.0264, 0)</f>
        <v>29.5608</v>
      </c>
      <c r="G329" s="14">
        <f>27.9651 * CHOOSE(CONTROL!$C$15, $E$9, 100%, $G$9) + CHOOSE(CONTROL!$C$38, 0.0354, 0)</f>
        <v>28.000499999999999</v>
      </c>
      <c r="H329" s="14">
        <f>27.9651 * CHOOSE(CONTROL!$C$15, $E$9, 100%, $G$9) + CHOOSE(CONTROL!$C$38, 0.0354, 0)</f>
        <v>28.000499999999999</v>
      </c>
      <c r="I329" s="14">
        <f>27.9666 * CHOOSE(CONTROL!$C$15, $E$9, 100%, $G$9) + CHOOSE(CONTROL!$C$38, 0.0354, 0)</f>
        <v>28.001999999999999</v>
      </c>
      <c r="J329" s="44">
        <f>224.99</f>
        <v>224.99</v>
      </c>
    </row>
    <row r="330" spans="1:10" ht="15.75" x14ac:dyDescent="0.25">
      <c r="A330" s="33">
        <v>50982</v>
      </c>
      <c r="B330" s="14">
        <f>29.3686 * CHOOSE(CONTROL!$C$15, $E$9, 100%, $G$9) + CHOOSE(CONTROL!$C$38, 0.0264, 0)</f>
        <v>29.395</v>
      </c>
      <c r="C330" s="14">
        <f>27.6446 * CHOOSE(CONTROL!$C$15, $E$9, 100%, $G$9) + CHOOSE(CONTROL!$C$38, 0.0354, 0)</f>
        <v>27.68</v>
      </c>
      <c r="D330" s="14">
        <f>27.6368 * CHOOSE(CONTROL!$C$15, $E$9, 100%, $G$9) + CHOOSE(CONTROL!$C$38, 0.0354, 0)</f>
        <v>27.6722</v>
      </c>
      <c r="E330" s="46">
        <f>29.2123 * CHOOSE(CONTROL!$C$15, $E$9, 100%, $G$9) + CHOOSE(CONTROL!$C$38, 0.0354, 0)</f>
        <v>29.247699999999998</v>
      </c>
      <c r="F330" s="45">
        <f>29.2123 * CHOOSE(CONTROL!$C$15, $E$9, 100%, $G$9) + CHOOSE(CONTROL!$C$38, 0.0264, 0)</f>
        <v>29.238699999999998</v>
      </c>
      <c r="G330" s="14">
        <f>27.643 * CHOOSE(CONTROL!$C$15, $E$9, 100%, $G$9) + CHOOSE(CONTROL!$C$38, 0.0354, 0)</f>
        <v>27.6784</v>
      </c>
      <c r="H330" s="14">
        <f>27.643 * CHOOSE(CONTROL!$C$15, $E$9, 100%, $G$9) + CHOOSE(CONTROL!$C$38, 0.0354, 0)</f>
        <v>27.6784</v>
      </c>
      <c r="I330" s="14">
        <f>27.6446 * CHOOSE(CONTROL!$C$15, $E$9, 100%, $G$9) + CHOOSE(CONTROL!$C$38, 0.0354, 0)</f>
        <v>27.68</v>
      </c>
      <c r="J330" s="44">
        <f>223.9378</f>
        <v>223.93780000000001</v>
      </c>
    </row>
    <row r="331" spans="1:10" ht="15.75" x14ac:dyDescent="0.25">
      <c r="A331" s="33">
        <v>51013</v>
      </c>
      <c r="B331" s="14">
        <f>29.5275 * CHOOSE(CONTROL!$C$15, $E$9, 100%, $G$9) + CHOOSE(CONTROL!$C$38, 0.0264, 0)</f>
        <v>29.553899999999999</v>
      </c>
      <c r="C331" s="14">
        <f>27.8035 * CHOOSE(CONTROL!$C$15, $E$9, 100%, $G$9) + CHOOSE(CONTROL!$C$38, 0.0354, 0)</f>
        <v>27.838899999999999</v>
      </c>
      <c r="D331" s="14">
        <f>27.7957 * CHOOSE(CONTROL!$C$15, $E$9, 100%, $G$9) + CHOOSE(CONTROL!$C$38, 0.0354, 0)</f>
        <v>27.831099999999999</v>
      </c>
      <c r="E331" s="46">
        <f>29.3713 * CHOOSE(CONTROL!$C$15, $E$9, 100%, $G$9) + CHOOSE(CONTROL!$C$38, 0.0354, 0)</f>
        <v>29.406700000000001</v>
      </c>
      <c r="F331" s="45">
        <f>29.3713 * CHOOSE(CONTROL!$C$15, $E$9, 100%, $G$9) + CHOOSE(CONTROL!$C$38, 0.0264, 0)</f>
        <v>29.3977</v>
      </c>
      <c r="G331" s="14">
        <f>27.802 * CHOOSE(CONTROL!$C$15, $E$9, 100%, $G$9) + CHOOSE(CONTROL!$C$38, 0.0354, 0)</f>
        <v>27.837399999999999</v>
      </c>
      <c r="H331" s="14">
        <f>27.802 * CHOOSE(CONTROL!$C$15, $E$9, 100%, $G$9) + CHOOSE(CONTROL!$C$38, 0.0354, 0)</f>
        <v>27.837399999999999</v>
      </c>
      <c r="I331" s="14">
        <f>27.8035 * CHOOSE(CONTROL!$C$15, $E$9, 100%, $G$9) + CHOOSE(CONTROL!$C$38, 0.0354, 0)</f>
        <v>27.838899999999999</v>
      </c>
      <c r="J331" s="44">
        <f>218.7246</f>
        <v>218.72460000000001</v>
      </c>
    </row>
    <row r="332" spans="1:10" ht="15.75" x14ac:dyDescent="0.25">
      <c r="A332" s="33">
        <v>51043</v>
      </c>
      <c r="B332" s="14">
        <f>29.9592 * CHOOSE(CONTROL!$C$15, $E$9, 100%, $G$9) + CHOOSE(CONTROL!$C$38, 0.0264, 0)</f>
        <v>29.985599999999998</v>
      </c>
      <c r="C332" s="14">
        <f>28.2352 * CHOOSE(CONTROL!$C$15, $E$9, 100%, $G$9) + CHOOSE(CONTROL!$C$38, 0.0354, 0)</f>
        <v>28.270599999999998</v>
      </c>
      <c r="D332" s="14">
        <f>28.2274 * CHOOSE(CONTROL!$C$15, $E$9, 100%, $G$9) + CHOOSE(CONTROL!$C$38, 0.0354, 0)</f>
        <v>28.262799999999999</v>
      </c>
      <c r="E332" s="46">
        <f>29.803 * CHOOSE(CONTROL!$C$15, $E$9, 100%, $G$9) + CHOOSE(CONTROL!$C$38, 0.0354, 0)</f>
        <v>29.8384</v>
      </c>
      <c r="F332" s="45">
        <f>29.803 * CHOOSE(CONTROL!$C$15, $E$9, 100%, $G$9) + CHOOSE(CONTROL!$C$38, 0.0264, 0)</f>
        <v>29.8294</v>
      </c>
      <c r="G332" s="14">
        <f>28.2337 * CHOOSE(CONTROL!$C$15, $E$9, 100%, $G$9) + CHOOSE(CONTROL!$C$38, 0.0354, 0)</f>
        <v>28.269099999999998</v>
      </c>
      <c r="H332" s="14">
        <f>28.2337 * CHOOSE(CONTROL!$C$15, $E$9, 100%, $G$9) + CHOOSE(CONTROL!$C$38, 0.0354, 0)</f>
        <v>28.269099999999998</v>
      </c>
      <c r="I332" s="14">
        <f>28.2352 * CHOOSE(CONTROL!$C$15, $E$9, 100%, $G$9) + CHOOSE(CONTROL!$C$38, 0.0354, 0)</f>
        <v>28.270599999999998</v>
      </c>
      <c r="J332" s="44">
        <f>211.4546</f>
        <v>211.4546</v>
      </c>
    </row>
    <row r="333" spans="1:10" ht="15.75" x14ac:dyDescent="0.25">
      <c r="A333" s="33">
        <v>51074</v>
      </c>
      <c r="B333" s="14">
        <f>30.3208 * CHOOSE(CONTROL!$C$15, $E$9, 100%, $G$9) + CHOOSE(CONTROL!$C$38, 0.0251, 0)</f>
        <v>30.345899999999997</v>
      </c>
      <c r="C333" s="14">
        <f>28.5968 * CHOOSE(CONTROL!$C$15, $E$9, 100%, $G$9) + CHOOSE(CONTROL!$C$38, 0.0342, 0)</f>
        <v>28.631</v>
      </c>
      <c r="D333" s="14">
        <f>28.589 * CHOOSE(CONTROL!$C$15, $E$9, 100%, $G$9) + CHOOSE(CONTROL!$C$38, 0.0342, 0)</f>
        <v>28.623199999999997</v>
      </c>
      <c r="E333" s="46">
        <f>30.1645 * CHOOSE(CONTROL!$C$15, $E$9, 100%, $G$9) + CHOOSE(CONTROL!$C$38, 0.0342, 0)</f>
        <v>30.198699999999999</v>
      </c>
      <c r="F333" s="45">
        <f>30.1645 * CHOOSE(CONTROL!$C$15, $E$9, 100%, $G$9) + CHOOSE(CONTROL!$C$38, 0.0251, 0)</f>
        <v>30.189599999999999</v>
      </c>
      <c r="G333" s="14">
        <f>28.5952 * CHOOSE(CONTROL!$C$15, $E$9, 100%, $G$9) + CHOOSE(CONTROL!$C$38, 0.0342, 0)</f>
        <v>28.629399999999997</v>
      </c>
      <c r="H333" s="14">
        <f>28.5952 * CHOOSE(CONTROL!$C$15, $E$9, 100%, $G$9) + CHOOSE(CONTROL!$C$38, 0.0342, 0)</f>
        <v>28.629399999999997</v>
      </c>
      <c r="I333" s="14">
        <f>28.5968 * CHOOSE(CONTROL!$C$15, $E$9, 100%, $G$9) + CHOOSE(CONTROL!$C$38, 0.0342, 0)</f>
        <v>28.631</v>
      </c>
      <c r="J333" s="44">
        <f>204.1423</f>
        <v>204.14230000000001</v>
      </c>
    </row>
    <row r="334" spans="1:10" ht="15.75" x14ac:dyDescent="0.25">
      <c r="A334" s="33">
        <v>51104</v>
      </c>
      <c r="B334" s="14">
        <f>30.6225 * CHOOSE(CONTROL!$C$15, $E$9, 100%, $G$9) + CHOOSE(CONTROL!$C$38, 0.0251, 0)</f>
        <v>30.647599999999997</v>
      </c>
      <c r="C334" s="14">
        <f>28.8985 * CHOOSE(CONTROL!$C$15, $E$9, 100%, $G$9) + CHOOSE(CONTROL!$C$38, 0.0342, 0)</f>
        <v>28.932699999999997</v>
      </c>
      <c r="D334" s="14">
        <f>28.8907 * CHOOSE(CONTROL!$C$15, $E$9, 100%, $G$9) + CHOOSE(CONTROL!$C$38, 0.0342, 0)</f>
        <v>28.924899999999997</v>
      </c>
      <c r="E334" s="46">
        <f>30.4662 * CHOOSE(CONTROL!$C$15, $E$9, 100%, $G$9) + CHOOSE(CONTROL!$C$38, 0.0342, 0)</f>
        <v>30.500399999999999</v>
      </c>
      <c r="F334" s="45">
        <f>30.4662 * CHOOSE(CONTROL!$C$15, $E$9, 100%, $G$9) + CHOOSE(CONTROL!$C$38, 0.0251, 0)</f>
        <v>30.491299999999999</v>
      </c>
      <c r="G334" s="14">
        <f>28.8969 * CHOOSE(CONTROL!$C$15, $E$9, 100%, $G$9) + CHOOSE(CONTROL!$C$38, 0.0342, 0)</f>
        <v>28.931099999999997</v>
      </c>
      <c r="H334" s="14">
        <f>28.8969 * CHOOSE(CONTROL!$C$15, $E$9, 100%, $G$9) + CHOOSE(CONTROL!$C$38, 0.0342, 0)</f>
        <v>28.931099999999997</v>
      </c>
      <c r="I334" s="14">
        <f>28.8985 * CHOOSE(CONTROL!$C$15, $E$9, 100%, $G$9) + CHOOSE(CONTROL!$C$38, 0.0342, 0)</f>
        <v>28.932699999999997</v>
      </c>
      <c r="J334" s="44">
        <f>202.6877</f>
        <v>202.68770000000001</v>
      </c>
    </row>
    <row r="335" spans="1:10" ht="15.75" x14ac:dyDescent="0.25">
      <c r="A335" s="33">
        <v>51135</v>
      </c>
      <c r="B335" s="14">
        <f>31.5522 * CHOOSE(CONTROL!$C$15, $E$9, 100%, $G$9) + CHOOSE(CONTROL!$C$38, 0.0251, 0)</f>
        <v>31.577299999999997</v>
      </c>
      <c r="C335" s="14">
        <f>29.8282 * CHOOSE(CONTROL!$C$15, $E$9, 100%, $G$9) + CHOOSE(CONTROL!$C$38, 0.0342, 0)</f>
        <v>29.862399999999997</v>
      </c>
      <c r="D335" s="14">
        <f>29.8203 * CHOOSE(CONTROL!$C$15, $E$9, 100%, $G$9) + CHOOSE(CONTROL!$C$38, 0.0342, 0)</f>
        <v>29.854499999999998</v>
      </c>
      <c r="E335" s="46">
        <f>31.3959 * CHOOSE(CONTROL!$C$15, $E$9, 100%, $G$9) + CHOOSE(CONTROL!$C$38, 0.0342, 0)</f>
        <v>31.430099999999999</v>
      </c>
      <c r="F335" s="45">
        <f>31.3959 * CHOOSE(CONTROL!$C$15, $E$9, 100%, $G$9) + CHOOSE(CONTROL!$C$38, 0.0251, 0)</f>
        <v>31.420999999999999</v>
      </c>
      <c r="G335" s="14">
        <f>29.8266 * CHOOSE(CONTROL!$C$15, $E$9, 100%, $G$9) + CHOOSE(CONTROL!$C$38, 0.0342, 0)</f>
        <v>29.860799999999998</v>
      </c>
      <c r="H335" s="14">
        <f>29.8266 * CHOOSE(CONTROL!$C$15, $E$9, 100%, $G$9) + CHOOSE(CONTROL!$C$38, 0.0342, 0)</f>
        <v>29.860799999999998</v>
      </c>
      <c r="I335" s="14">
        <f>29.8282 * CHOOSE(CONTROL!$C$15, $E$9, 100%, $G$9) + CHOOSE(CONTROL!$C$38, 0.0342, 0)</f>
        <v>29.862399999999997</v>
      </c>
      <c r="J335" s="44">
        <f>196.6729</f>
        <v>196.6729</v>
      </c>
    </row>
    <row r="336" spans="1:10" ht="15.75" x14ac:dyDescent="0.25">
      <c r="A336" s="33">
        <v>51166</v>
      </c>
      <c r="B336" s="14">
        <f>32.7913 * CHOOSE(CONTROL!$C$15, $E$9, 100%, $G$9) + CHOOSE(CONTROL!$C$38, 0.0251, 0)</f>
        <v>32.816400000000002</v>
      </c>
      <c r="C336" s="14">
        <f>31.041 * CHOOSE(CONTROL!$C$15, $E$9, 100%, $G$9) + CHOOSE(CONTROL!$C$38, 0.0342, 0)</f>
        <v>31.075199999999999</v>
      </c>
      <c r="D336" s="14">
        <f>31.0332 * CHOOSE(CONTROL!$C$15, $E$9, 100%, $G$9) + CHOOSE(CONTROL!$C$38, 0.0342, 0)</f>
        <v>31.067399999999999</v>
      </c>
      <c r="E336" s="46">
        <f>32.6351 * CHOOSE(CONTROL!$C$15, $E$9, 100%, $G$9) + CHOOSE(CONTROL!$C$38, 0.0342, 0)</f>
        <v>32.6693</v>
      </c>
      <c r="F336" s="45">
        <f>32.6351 * CHOOSE(CONTROL!$C$15, $E$9, 100%, $G$9) + CHOOSE(CONTROL!$C$38, 0.0251, 0)</f>
        <v>32.660200000000003</v>
      </c>
      <c r="G336" s="14">
        <f>31.0394 * CHOOSE(CONTROL!$C$15, $E$9, 100%, $G$9) + CHOOSE(CONTROL!$C$38, 0.0342, 0)</f>
        <v>31.073599999999999</v>
      </c>
      <c r="H336" s="14">
        <f>31.0394 * CHOOSE(CONTROL!$C$15, $E$9, 100%, $G$9) + CHOOSE(CONTROL!$C$38, 0.0342, 0)</f>
        <v>31.073599999999999</v>
      </c>
      <c r="I336" s="14">
        <f>31.041 * CHOOSE(CONTROL!$C$15, $E$9, 100%, $G$9) + CHOOSE(CONTROL!$C$38, 0.0342, 0)</f>
        <v>31.075199999999999</v>
      </c>
      <c r="J336" s="44">
        <f>196.531</f>
        <v>196.53100000000001</v>
      </c>
    </row>
    <row r="337" spans="1:10" ht="15.75" x14ac:dyDescent="0.25">
      <c r="A337" s="33">
        <v>51194</v>
      </c>
      <c r="B337" s="14">
        <f>33.1356 * CHOOSE(CONTROL!$C$15, $E$9, 100%, $G$9) + CHOOSE(CONTROL!$C$38, 0.0251, 0)</f>
        <v>33.160699999999999</v>
      </c>
      <c r="C337" s="14">
        <f>31.3853 * CHOOSE(CONTROL!$C$15, $E$9, 100%, $G$9) + CHOOSE(CONTROL!$C$38, 0.0342, 0)</f>
        <v>31.419499999999999</v>
      </c>
      <c r="D337" s="14">
        <f>31.3775 * CHOOSE(CONTROL!$C$15, $E$9, 100%, $G$9) + CHOOSE(CONTROL!$C$38, 0.0342, 0)</f>
        <v>31.4117</v>
      </c>
      <c r="E337" s="46">
        <f>32.9794 * CHOOSE(CONTROL!$C$15, $E$9, 100%, $G$9) + CHOOSE(CONTROL!$C$38, 0.0342, 0)</f>
        <v>33.013599999999997</v>
      </c>
      <c r="F337" s="45">
        <f>32.9794 * CHOOSE(CONTROL!$C$15, $E$9, 100%, $G$9) + CHOOSE(CONTROL!$C$38, 0.0251, 0)</f>
        <v>33.0045</v>
      </c>
      <c r="G337" s="14">
        <f>31.3837 * CHOOSE(CONTROL!$C$15, $E$9, 100%, $G$9) + CHOOSE(CONTROL!$C$38, 0.0342, 0)</f>
        <v>31.417899999999999</v>
      </c>
      <c r="H337" s="14">
        <f>31.3837 * CHOOSE(CONTROL!$C$15, $E$9, 100%, $G$9) + CHOOSE(CONTROL!$C$38, 0.0342, 0)</f>
        <v>31.417899999999999</v>
      </c>
      <c r="I337" s="14">
        <f>31.3853 * CHOOSE(CONTROL!$C$15, $E$9, 100%, $G$9) + CHOOSE(CONTROL!$C$38, 0.0342, 0)</f>
        <v>31.419499999999999</v>
      </c>
      <c r="J337" s="44">
        <f>195.9847</f>
        <v>195.9847</v>
      </c>
    </row>
    <row r="338" spans="1:10" ht="15.75" x14ac:dyDescent="0.25">
      <c r="A338" s="33">
        <v>51226</v>
      </c>
      <c r="B338" s="14">
        <f>32.3386 * CHOOSE(CONTROL!$C$15, $E$9, 100%, $G$9) + CHOOSE(CONTROL!$C$38, 0.0251, 0)</f>
        <v>32.363700000000001</v>
      </c>
      <c r="C338" s="14">
        <f>30.5883 * CHOOSE(CONTROL!$C$15, $E$9, 100%, $G$9) + CHOOSE(CONTROL!$C$38, 0.0342, 0)</f>
        <v>30.622499999999999</v>
      </c>
      <c r="D338" s="14">
        <f>30.5805 * CHOOSE(CONTROL!$C$15, $E$9, 100%, $G$9) + CHOOSE(CONTROL!$C$38, 0.0342, 0)</f>
        <v>30.614699999999999</v>
      </c>
      <c r="E338" s="46">
        <f>32.1824 * CHOOSE(CONTROL!$C$15, $E$9, 100%, $G$9) + CHOOSE(CONTROL!$C$38, 0.0342, 0)</f>
        <v>32.2166</v>
      </c>
      <c r="F338" s="45">
        <f>32.1824 * CHOOSE(CONTROL!$C$15, $E$9, 100%, $G$9) + CHOOSE(CONTROL!$C$38, 0.0251, 0)</f>
        <v>32.207500000000003</v>
      </c>
      <c r="G338" s="14">
        <f>30.5867 * CHOOSE(CONTROL!$C$15, $E$9, 100%, $G$9) + CHOOSE(CONTROL!$C$38, 0.0342, 0)</f>
        <v>30.620899999999999</v>
      </c>
      <c r="H338" s="14">
        <f>30.5867 * CHOOSE(CONTROL!$C$15, $E$9, 100%, $G$9) + CHOOSE(CONTROL!$C$38, 0.0342, 0)</f>
        <v>30.620899999999999</v>
      </c>
      <c r="I338" s="14">
        <f>30.5883 * CHOOSE(CONTROL!$C$15, $E$9, 100%, $G$9) + CHOOSE(CONTROL!$C$38, 0.0342, 0)</f>
        <v>30.622499999999999</v>
      </c>
      <c r="J338" s="44">
        <f>206.3142</f>
        <v>206.3142</v>
      </c>
    </row>
    <row r="339" spans="1:10" ht="15.75" x14ac:dyDescent="0.25">
      <c r="A339" s="33">
        <v>51256</v>
      </c>
      <c r="B339" s="14">
        <f>31.5663 * CHOOSE(CONTROL!$C$15, $E$9, 100%, $G$9) + CHOOSE(CONTROL!$C$38, 0.0251, 0)</f>
        <v>31.591399999999997</v>
      </c>
      <c r="C339" s="14">
        <f>29.816 * CHOOSE(CONTROL!$C$15, $E$9, 100%, $G$9) + CHOOSE(CONTROL!$C$38, 0.0342, 0)</f>
        <v>29.850199999999997</v>
      </c>
      <c r="D339" s="14">
        <f>29.8081 * CHOOSE(CONTROL!$C$15, $E$9, 100%, $G$9) + CHOOSE(CONTROL!$C$38, 0.0342, 0)</f>
        <v>29.842299999999998</v>
      </c>
      <c r="E339" s="46">
        <f>31.41 * CHOOSE(CONTROL!$C$15, $E$9, 100%, $G$9) + CHOOSE(CONTROL!$C$38, 0.0342, 0)</f>
        <v>31.444199999999999</v>
      </c>
      <c r="F339" s="45">
        <f>31.41 * CHOOSE(CONTROL!$C$15, $E$9, 100%, $G$9) + CHOOSE(CONTROL!$C$38, 0.0251, 0)</f>
        <v>31.435099999999998</v>
      </c>
      <c r="G339" s="14">
        <f>29.8144 * CHOOSE(CONTROL!$C$15, $E$9, 100%, $G$9) + CHOOSE(CONTROL!$C$38, 0.0342, 0)</f>
        <v>29.848599999999998</v>
      </c>
      <c r="H339" s="14">
        <f>29.8144 * CHOOSE(CONTROL!$C$15, $E$9, 100%, $G$9) + CHOOSE(CONTROL!$C$38, 0.0342, 0)</f>
        <v>29.848599999999998</v>
      </c>
      <c r="I339" s="14">
        <f>29.816 * CHOOSE(CONTROL!$C$15, $E$9, 100%, $G$9) + CHOOSE(CONTROL!$C$38, 0.0342, 0)</f>
        <v>29.850199999999997</v>
      </c>
      <c r="J339" s="44">
        <f>219.7091</f>
        <v>219.70910000000001</v>
      </c>
    </row>
    <row r="340" spans="1:10" ht="15.75" x14ac:dyDescent="0.25">
      <c r="A340" s="33">
        <v>51287</v>
      </c>
      <c r="B340" s="14">
        <f>30.7613 * CHOOSE(CONTROL!$C$15, $E$9, 100%, $G$9) + CHOOSE(CONTROL!$C$38, 0.0264, 0)</f>
        <v>30.787699999999997</v>
      </c>
      <c r="C340" s="14">
        <f>29.011 * CHOOSE(CONTROL!$C$15, $E$9, 100%, $G$9) + CHOOSE(CONTROL!$C$38, 0.0354, 0)</f>
        <v>29.046399999999998</v>
      </c>
      <c r="D340" s="14">
        <f>29.0032 * CHOOSE(CONTROL!$C$15, $E$9, 100%, $G$9) + CHOOSE(CONTROL!$C$38, 0.0354, 0)</f>
        <v>29.038599999999999</v>
      </c>
      <c r="E340" s="46">
        <f>30.6051 * CHOOSE(CONTROL!$C$15, $E$9, 100%, $G$9) + CHOOSE(CONTROL!$C$38, 0.0354, 0)</f>
        <v>30.640499999999999</v>
      </c>
      <c r="F340" s="45">
        <f>30.6051 * CHOOSE(CONTROL!$C$15, $E$9, 100%, $G$9) + CHOOSE(CONTROL!$C$38, 0.0264, 0)</f>
        <v>30.631499999999999</v>
      </c>
      <c r="G340" s="14">
        <f>29.0094 * CHOOSE(CONTROL!$C$15, $E$9, 100%, $G$9) + CHOOSE(CONTROL!$C$38, 0.0354, 0)</f>
        <v>29.044799999999999</v>
      </c>
      <c r="H340" s="14">
        <f>29.0094 * CHOOSE(CONTROL!$C$15, $E$9, 100%, $G$9) + CHOOSE(CONTROL!$C$38, 0.0354, 0)</f>
        <v>29.044799999999999</v>
      </c>
      <c r="I340" s="14">
        <f>29.011 * CHOOSE(CONTROL!$C$15, $E$9, 100%, $G$9) + CHOOSE(CONTROL!$C$38, 0.0354, 0)</f>
        <v>29.046399999999998</v>
      </c>
      <c r="J340" s="44">
        <f>227.0821</f>
        <v>227.0821</v>
      </c>
    </row>
    <row r="341" spans="1:10" ht="15.75" x14ac:dyDescent="0.25">
      <c r="A341" s="33">
        <v>51317</v>
      </c>
      <c r="B341" s="14">
        <f>30.197 * CHOOSE(CONTROL!$C$15, $E$9, 100%, $G$9) + CHOOSE(CONTROL!$C$38, 0.0264, 0)</f>
        <v>30.223399999999998</v>
      </c>
      <c r="C341" s="14">
        <f>28.4467 * CHOOSE(CONTROL!$C$15, $E$9, 100%, $G$9) + CHOOSE(CONTROL!$C$38, 0.0354, 0)</f>
        <v>28.482099999999999</v>
      </c>
      <c r="D341" s="14">
        <f>28.4388 * CHOOSE(CONTROL!$C$15, $E$9, 100%, $G$9) + CHOOSE(CONTROL!$C$38, 0.0354, 0)</f>
        <v>28.4742</v>
      </c>
      <c r="E341" s="46">
        <f>30.0407 * CHOOSE(CONTROL!$C$15, $E$9, 100%, $G$9) + CHOOSE(CONTROL!$C$38, 0.0354, 0)</f>
        <v>30.0761</v>
      </c>
      <c r="F341" s="45">
        <f>30.0407 * CHOOSE(CONTROL!$C$15, $E$9, 100%, $G$9) + CHOOSE(CONTROL!$C$38, 0.0264, 0)</f>
        <v>30.0671</v>
      </c>
      <c r="G341" s="14">
        <f>28.4451 * CHOOSE(CONTROL!$C$15, $E$9, 100%, $G$9) + CHOOSE(CONTROL!$C$38, 0.0354, 0)</f>
        <v>28.480499999999999</v>
      </c>
      <c r="H341" s="14">
        <f>28.4451 * CHOOSE(CONTROL!$C$15, $E$9, 100%, $G$9) + CHOOSE(CONTROL!$C$38, 0.0354, 0)</f>
        <v>28.480499999999999</v>
      </c>
      <c r="I341" s="14">
        <f>28.4467 * CHOOSE(CONTROL!$C$15, $E$9, 100%, $G$9) + CHOOSE(CONTROL!$C$38, 0.0354, 0)</f>
        <v>28.482099999999999</v>
      </c>
      <c r="J341" s="44">
        <f>230.3541</f>
        <v>230.35409999999999</v>
      </c>
    </row>
    <row r="342" spans="1:10" ht="15.75" x14ac:dyDescent="0.25">
      <c r="A342" s="33">
        <v>51348</v>
      </c>
      <c r="B342" s="14">
        <f>29.8749 * CHOOSE(CONTROL!$C$15, $E$9, 100%, $G$9) + CHOOSE(CONTROL!$C$38, 0.0264, 0)</f>
        <v>29.901299999999999</v>
      </c>
      <c r="C342" s="14">
        <f>28.1246 * CHOOSE(CONTROL!$C$15, $E$9, 100%, $G$9) + CHOOSE(CONTROL!$C$38, 0.0354, 0)</f>
        <v>28.16</v>
      </c>
      <c r="D342" s="14">
        <f>28.1168 * CHOOSE(CONTROL!$C$15, $E$9, 100%, $G$9) + CHOOSE(CONTROL!$C$38, 0.0354, 0)</f>
        <v>28.152200000000001</v>
      </c>
      <c r="E342" s="46">
        <f>29.7187 * CHOOSE(CONTROL!$C$15, $E$9, 100%, $G$9) + CHOOSE(CONTROL!$C$38, 0.0354, 0)</f>
        <v>29.754099999999998</v>
      </c>
      <c r="F342" s="45">
        <f>29.7187 * CHOOSE(CONTROL!$C$15, $E$9, 100%, $G$9) + CHOOSE(CONTROL!$C$38, 0.0264, 0)</f>
        <v>29.745099999999997</v>
      </c>
      <c r="G342" s="14">
        <f>28.123 * CHOOSE(CONTROL!$C$15, $E$9, 100%, $G$9) + CHOOSE(CONTROL!$C$38, 0.0354, 0)</f>
        <v>28.1584</v>
      </c>
      <c r="H342" s="14">
        <f>28.123 * CHOOSE(CONTROL!$C$15, $E$9, 100%, $G$9) + CHOOSE(CONTROL!$C$38, 0.0354, 0)</f>
        <v>28.1584</v>
      </c>
      <c r="I342" s="14">
        <f>28.1246 * CHOOSE(CONTROL!$C$15, $E$9, 100%, $G$9) + CHOOSE(CONTROL!$C$38, 0.0354, 0)</f>
        <v>28.16</v>
      </c>
      <c r="J342" s="44">
        <f>229.2768</f>
        <v>229.27680000000001</v>
      </c>
    </row>
    <row r="343" spans="1:10" ht="15.75" x14ac:dyDescent="0.25">
      <c r="A343" s="33">
        <v>51379</v>
      </c>
      <c r="B343" s="14">
        <f>30.0339 * CHOOSE(CONTROL!$C$15, $E$9, 100%, $G$9) + CHOOSE(CONTROL!$C$38, 0.0264, 0)</f>
        <v>30.060299999999998</v>
      </c>
      <c r="C343" s="14">
        <f>28.2836 * CHOOSE(CONTROL!$C$15, $E$9, 100%, $G$9) + CHOOSE(CONTROL!$C$38, 0.0354, 0)</f>
        <v>28.318999999999999</v>
      </c>
      <c r="D343" s="14">
        <f>28.2757 * CHOOSE(CONTROL!$C$15, $E$9, 100%, $G$9) + CHOOSE(CONTROL!$C$38, 0.0354, 0)</f>
        <v>28.3111</v>
      </c>
      <c r="E343" s="46">
        <f>29.8776 * CHOOSE(CONTROL!$C$15, $E$9, 100%, $G$9) + CHOOSE(CONTROL!$C$38, 0.0354, 0)</f>
        <v>29.913</v>
      </c>
      <c r="F343" s="45">
        <f>29.8776 * CHOOSE(CONTROL!$C$15, $E$9, 100%, $G$9) + CHOOSE(CONTROL!$C$38, 0.0264, 0)</f>
        <v>29.904</v>
      </c>
      <c r="G343" s="14">
        <f>28.282 * CHOOSE(CONTROL!$C$15, $E$9, 100%, $G$9) + CHOOSE(CONTROL!$C$38, 0.0354, 0)</f>
        <v>28.317399999999999</v>
      </c>
      <c r="H343" s="14">
        <f>28.282 * CHOOSE(CONTROL!$C$15, $E$9, 100%, $G$9) + CHOOSE(CONTROL!$C$38, 0.0354, 0)</f>
        <v>28.317399999999999</v>
      </c>
      <c r="I343" s="14">
        <f>28.2836 * CHOOSE(CONTROL!$C$15, $E$9, 100%, $G$9) + CHOOSE(CONTROL!$C$38, 0.0354, 0)</f>
        <v>28.318999999999999</v>
      </c>
      <c r="J343" s="44">
        <f>223.9394</f>
        <v>223.93940000000001</v>
      </c>
    </row>
    <row r="344" spans="1:10" ht="15.75" x14ac:dyDescent="0.25">
      <c r="A344" s="33">
        <v>51409</v>
      </c>
      <c r="B344" s="14">
        <f>30.4656 * CHOOSE(CONTROL!$C$15, $E$9, 100%, $G$9) + CHOOSE(CONTROL!$C$38, 0.0264, 0)</f>
        <v>30.491999999999997</v>
      </c>
      <c r="C344" s="14">
        <f>28.7153 * CHOOSE(CONTROL!$C$15, $E$9, 100%, $G$9) + CHOOSE(CONTROL!$C$38, 0.0354, 0)</f>
        <v>28.750699999999998</v>
      </c>
      <c r="D344" s="14">
        <f>28.7074 * CHOOSE(CONTROL!$C$15, $E$9, 100%, $G$9) + CHOOSE(CONTROL!$C$38, 0.0354, 0)</f>
        <v>28.742799999999999</v>
      </c>
      <c r="E344" s="46">
        <f>30.3093 * CHOOSE(CONTROL!$C$15, $E$9, 100%, $G$9) + CHOOSE(CONTROL!$C$38, 0.0354, 0)</f>
        <v>30.3447</v>
      </c>
      <c r="F344" s="45">
        <f>30.3093 * CHOOSE(CONTROL!$C$15, $E$9, 100%, $G$9) + CHOOSE(CONTROL!$C$38, 0.0264, 0)</f>
        <v>30.335699999999999</v>
      </c>
      <c r="G344" s="14">
        <f>28.7137 * CHOOSE(CONTROL!$C$15, $E$9, 100%, $G$9) + CHOOSE(CONTROL!$C$38, 0.0354, 0)</f>
        <v>28.749099999999999</v>
      </c>
      <c r="H344" s="14">
        <f>28.7137 * CHOOSE(CONTROL!$C$15, $E$9, 100%, $G$9) + CHOOSE(CONTROL!$C$38, 0.0354, 0)</f>
        <v>28.749099999999999</v>
      </c>
      <c r="I344" s="14">
        <f>28.7153 * CHOOSE(CONTROL!$C$15, $E$9, 100%, $G$9) + CHOOSE(CONTROL!$C$38, 0.0354, 0)</f>
        <v>28.750699999999998</v>
      </c>
      <c r="J344" s="44">
        <f>216.496</f>
        <v>216.49600000000001</v>
      </c>
    </row>
    <row r="345" spans="1:10" ht="15.75" x14ac:dyDescent="0.25">
      <c r="A345" s="33">
        <v>51440</v>
      </c>
      <c r="B345" s="14">
        <f>30.8272 * CHOOSE(CONTROL!$C$15, $E$9, 100%, $G$9) + CHOOSE(CONTROL!$C$38, 0.0251, 0)</f>
        <v>30.8523</v>
      </c>
      <c r="C345" s="14">
        <f>29.0768 * CHOOSE(CONTROL!$C$15, $E$9, 100%, $G$9) + CHOOSE(CONTROL!$C$38, 0.0342, 0)</f>
        <v>29.110999999999997</v>
      </c>
      <c r="D345" s="14">
        <f>29.069 * CHOOSE(CONTROL!$C$15, $E$9, 100%, $G$9) + CHOOSE(CONTROL!$C$38, 0.0342, 0)</f>
        <v>29.103199999999998</v>
      </c>
      <c r="E345" s="46">
        <f>30.6709 * CHOOSE(CONTROL!$C$15, $E$9, 100%, $G$9) + CHOOSE(CONTROL!$C$38, 0.0342, 0)</f>
        <v>30.705099999999998</v>
      </c>
      <c r="F345" s="45">
        <f>30.6709 * CHOOSE(CONTROL!$C$15, $E$9, 100%, $G$9) + CHOOSE(CONTROL!$C$38, 0.0251, 0)</f>
        <v>30.695999999999998</v>
      </c>
      <c r="G345" s="14">
        <f>29.0753 * CHOOSE(CONTROL!$C$15, $E$9, 100%, $G$9) + CHOOSE(CONTROL!$C$38, 0.0342, 0)</f>
        <v>29.109499999999997</v>
      </c>
      <c r="H345" s="14">
        <f>29.0753 * CHOOSE(CONTROL!$C$15, $E$9, 100%, $G$9) + CHOOSE(CONTROL!$C$38, 0.0342, 0)</f>
        <v>29.109499999999997</v>
      </c>
      <c r="I345" s="14">
        <f>29.0768 * CHOOSE(CONTROL!$C$15, $E$9, 100%, $G$9) + CHOOSE(CONTROL!$C$38, 0.0342, 0)</f>
        <v>29.110999999999997</v>
      </c>
      <c r="J345" s="44">
        <f>209.0093</f>
        <v>209.0093</v>
      </c>
    </row>
    <row r="346" spans="1:10" ht="15.75" x14ac:dyDescent="0.25">
      <c r="A346" s="33">
        <v>51470</v>
      </c>
      <c r="B346" s="14">
        <f>31.1289 * CHOOSE(CONTROL!$C$15, $E$9, 100%, $G$9) + CHOOSE(CONTROL!$C$38, 0.0251, 0)</f>
        <v>31.154</v>
      </c>
      <c r="C346" s="14">
        <f>29.3785 * CHOOSE(CONTROL!$C$15, $E$9, 100%, $G$9) + CHOOSE(CONTROL!$C$38, 0.0342, 0)</f>
        <v>29.412699999999997</v>
      </c>
      <c r="D346" s="14">
        <f>29.3707 * CHOOSE(CONTROL!$C$15, $E$9, 100%, $G$9) + CHOOSE(CONTROL!$C$38, 0.0342, 0)</f>
        <v>29.404899999999998</v>
      </c>
      <c r="E346" s="46">
        <f>30.9726 * CHOOSE(CONTROL!$C$15, $E$9, 100%, $G$9) + CHOOSE(CONTROL!$C$38, 0.0342, 0)</f>
        <v>31.006799999999998</v>
      </c>
      <c r="F346" s="45">
        <f>30.9726 * CHOOSE(CONTROL!$C$15, $E$9, 100%, $G$9) + CHOOSE(CONTROL!$C$38, 0.0251, 0)</f>
        <v>30.997699999999998</v>
      </c>
      <c r="G346" s="14">
        <f>29.377 * CHOOSE(CONTROL!$C$15, $E$9, 100%, $G$9) + CHOOSE(CONTROL!$C$38, 0.0342, 0)</f>
        <v>29.411199999999997</v>
      </c>
      <c r="H346" s="14">
        <f>29.377 * CHOOSE(CONTROL!$C$15, $E$9, 100%, $G$9) + CHOOSE(CONTROL!$C$38, 0.0342, 0)</f>
        <v>29.411199999999997</v>
      </c>
      <c r="I346" s="14">
        <f>29.3785 * CHOOSE(CONTROL!$C$15, $E$9, 100%, $G$9) + CHOOSE(CONTROL!$C$38, 0.0342, 0)</f>
        <v>29.412699999999997</v>
      </c>
      <c r="J346" s="44">
        <f>207.5201</f>
        <v>207.52010000000001</v>
      </c>
    </row>
    <row r="347" spans="1:10" ht="15.75" x14ac:dyDescent="0.25">
      <c r="A347" s="33">
        <v>51501</v>
      </c>
      <c r="B347" s="14">
        <f>32.0585 * CHOOSE(CONTROL!$C$15, $E$9, 100%, $G$9) + CHOOSE(CONTROL!$C$38, 0.0251, 0)</f>
        <v>32.083600000000004</v>
      </c>
      <c r="C347" s="14">
        <f>30.3082 * CHOOSE(CONTROL!$C$15, $E$9, 100%, $G$9) + CHOOSE(CONTROL!$C$38, 0.0342, 0)</f>
        <v>30.342399999999998</v>
      </c>
      <c r="D347" s="14">
        <f>30.3004 * CHOOSE(CONTROL!$C$15, $E$9, 100%, $G$9) + CHOOSE(CONTROL!$C$38, 0.0342, 0)</f>
        <v>30.334599999999998</v>
      </c>
      <c r="E347" s="46">
        <f>31.9023 * CHOOSE(CONTROL!$C$15, $E$9, 100%, $G$9) + CHOOSE(CONTROL!$C$38, 0.0342, 0)</f>
        <v>31.936499999999999</v>
      </c>
      <c r="F347" s="45">
        <f>31.9023 * CHOOSE(CONTROL!$C$15, $E$9, 100%, $G$9) + CHOOSE(CONTROL!$C$38, 0.0251, 0)</f>
        <v>31.927399999999999</v>
      </c>
      <c r="G347" s="14">
        <f>30.3066 * CHOOSE(CONTROL!$C$15, $E$9, 100%, $G$9) + CHOOSE(CONTROL!$C$38, 0.0342, 0)</f>
        <v>30.340799999999998</v>
      </c>
      <c r="H347" s="14">
        <f>30.3066 * CHOOSE(CONTROL!$C$15, $E$9, 100%, $G$9) + CHOOSE(CONTROL!$C$38, 0.0342, 0)</f>
        <v>30.340799999999998</v>
      </c>
      <c r="I347" s="14">
        <f>30.3082 * CHOOSE(CONTROL!$C$15, $E$9, 100%, $G$9) + CHOOSE(CONTROL!$C$38, 0.0342, 0)</f>
        <v>30.342399999999998</v>
      </c>
      <c r="J347" s="44">
        <f>201.3619</f>
        <v>201.36189999999999</v>
      </c>
    </row>
    <row r="348" spans="1:10" ht="15.75" x14ac:dyDescent="0.25">
      <c r="A348" s="33">
        <v>51532</v>
      </c>
      <c r="B348" s="14">
        <f>33.3062 * CHOOSE(CONTROL!$C$15, $E$9, 100%, $G$9) + CHOOSE(CONTROL!$C$38, 0.0251, 0)</f>
        <v>33.331299999999999</v>
      </c>
      <c r="C348" s="14">
        <f>31.5291 * CHOOSE(CONTROL!$C$15, $E$9, 100%, $G$9) + CHOOSE(CONTROL!$C$38, 0.0342, 0)</f>
        <v>31.563299999999998</v>
      </c>
      <c r="D348" s="14">
        <f>31.5213 * CHOOSE(CONTROL!$C$15, $E$9, 100%, $G$9) + CHOOSE(CONTROL!$C$38, 0.0342, 0)</f>
        <v>31.555499999999999</v>
      </c>
      <c r="E348" s="46">
        <f>33.15 * CHOOSE(CONTROL!$C$15, $E$9, 100%, $G$9) + CHOOSE(CONTROL!$C$38, 0.0342, 0)</f>
        <v>33.184199999999997</v>
      </c>
      <c r="F348" s="45">
        <f>33.15 * CHOOSE(CONTROL!$C$15, $E$9, 100%, $G$9) + CHOOSE(CONTROL!$C$38, 0.0251, 0)</f>
        <v>33.1751</v>
      </c>
      <c r="G348" s="14">
        <f>31.5275 * CHOOSE(CONTROL!$C$15, $E$9, 100%, $G$9) + CHOOSE(CONTROL!$C$38, 0.0342, 0)</f>
        <v>31.561699999999998</v>
      </c>
      <c r="H348" s="14">
        <f>31.5275 * CHOOSE(CONTROL!$C$15, $E$9, 100%, $G$9) + CHOOSE(CONTROL!$C$38, 0.0342, 0)</f>
        <v>31.561699999999998</v>
      </c>
      <c r="I348" s="14">
        <f>31.5291 * CHOOSE(CONTROL!$C$15, $E$9, 100%, $G$9) + CHOOSE(CONTROL!$C$38, 0.0342, 0)</f>
        <v>31.563299999999998</v>
      </c>
      <c r="J348" s="44">
        <f>201.2165</f>
        <v>201.2165</v>
      </c>
    </row>
    <row r="349" spans="1:10" ht="15.75" x14ac:dyDescent="0.25">
      <c r="A349" s="33">
        <v>51560</v>
      </c>
      <c r="B349" s="14">
        <f>33.6505 * CHOOSE(CONTROL!$C$15, $E$9, 100%, $G$9) + CHOOSE(CONTROL!$C$38, 0.0251, 0)</f>
        <v>33.675600000000003</v>
      </c>
      <c r="C349" s="14">
        <f>31.8734 * CHOOSE(CONTROL!$C$15, $E$9, 100%, $G$9) + CHOOSE(CONTROL!$C$38, 0.0342, 0)</f>
        <v>31.907599999999999</v>
      </c>
      <c r="D349" s="14">
        <f>31.8656 * CHOOSE(CONTROL!$C$15, $E$9, 100%, $G$9) + CHOOSE(CONTROL!$C$38, 0.0342, 0)</f>
        <v>31.899799999999999</v>
      </c>
      <c r="E349" s="46">
        <f>33.4943 * CHOOSE(CONTROL!$C$15, $E$9, 100%, $G$9) + CHOOSE(CONTROL!$C$38, 0.0342, 0)</f>
        <v>33.528500000000001</v>
      </c>
      <c r="F349" s="45">
        <f>33.4943 * CHOOSE(CONTROL!$C$15, $E$9, 100%, $G$9) + CHOOSE(CONTROL!$C$38, 0.0251, 0)</f>
        <v>33.519400000000005</v>
      </c>
      <c r="G349" s="14">
        <f>31.8718 * CHOOSE(CONTROL!$C$15, $E$9, 100%, $G$9) + CHOOSE(CONTROL!$C$38, 0.0342, 0)</f>
        <v>31.905999999999999</v>
      </c>
      <c r="H349" s="14">
        <f>31.8718 * CHOOSE(CONTROL!$C$15, $E$9, 100%, $G$9) + CHOOSE(CONTROL!$C$38, 0.0342, 0)</f>
        <v>31.905999999999999</v>
      </c>
      <c r="I349" s="14">
        <f>31.8734 * CHOOSE(CONTROL!$C$15, $E$9, 100%, $G$9) + CHOOSE(CONTROL!$C$38, 0.0342, 0)</f>
        <v>31.907599999999999</v>
      </c>
      <c r="J349" s="44">
        <f>200.6572</f>
        <v>200.65719999999999</v>
      </c>
    </row>
    <row r="350" spans="1:10" ht="15.75" x14ac:dyDescent="0.25">
      <c r="A350" s="33">
        <v>51591</v>
      </c>
      <c r="B350" s="14">
        <f>32.8535 * CHOOSE(CONTROL!$C$15, $E$9, 100%, $G$9) + CHOOSE(CONTROL!$C$38, 0.0251, 0)</f>
        <v>32.878599999999999</v>
      </c>
      <c r="C350" s="14">
        <f>31.0764 * CHOOSE(CONTROL!$C$15, $E$9, 100%, $G$9) + CHOOSE(CONTROL!$C$38, 0.0342, 0)</f>
        <v>31.110599999999998</v>
      </c>
      <c r="D350" s="14">
        <f>31.0686 * CHOOSE(CONTROL!$C$15, $E$9, 100%, $G$9) + CHOOSE(CONTROL!$C$38, 0.0342, 0)</f>
        <v>31.102799999999998</v>
      </c>
      <c r="E350" s="46">
        <f>32.6972 * CHOOSE(CONTROL!$C$15, $E$9, 100%, $G$9) + CHOOSE(CONTROL!$C$38, 0.0342, 0)</f>
        <v>32.731400000000001</v>
      </c>
      <c r="F350" s="45">
        <f>32.6972 * CHOOSE(CONTROL!$C$15, $E$9, 100%, $G$9) + CHOOSE(CONTROL!$C$38, 0.0251, 0)</f>
        <v>32.722300000000004</v>
      </c>
      <c r="G350" s="14">
        <f>31.0748 * CHOOSE(CONTROL!$C$15, $E$9, 100%, $G$9) + CHOOSE(CONTROL!$C$38, 0.0342, 0)</f>
        <v>31.108999999999998</v>
      </c>
      <c r="H350" s="14">
        <f>31.0748 * CHOOSE(CONTROL!$C$15, $E$9, 100%, $G$9) + CHOOSE(CONTROL!$C$38, 0.0342, 0)</f>
        <v>31.108999999999998</v>
      </c>
      <c r="I350" s="14">
        <f>31.0764 * CHOOSE(CONTROL!$C$15, $E$9, 100%, $G$9) + CHOOSE(CONTROL!$C$38, 0.0342, 0)</f>
        <v>31.110599999999998</v>
      </c>
      <c r="J350" s="44">
        <f>211.233</f>
        <v>211.233</v>
      </c>
    </row>
    <row r="351" spans="1:10" ht="15.75" x14ac:dyDescent="0.25">
      <c r="A351" s="33">
        <v>51621</v>
      </c>
      <c r="B351" s="14">
        <f>32.0812 * CHOOSE(CONTROL!$C$15, $E$9, 100%, $G$9) + CHOOSE(CONTROL!$C$38, 0.0251, 0)</f>
        <v>32.106300000000005</v>
      </c>
      <c r="C351" s="14">
        <f>30.3041 * CHOOSE(CONTROL!$C$15, $E$9, 100%, $G$9) + CHOOSE(CONTROL!$C$38, 0.0342, 0)</f>
        <v>30.338299999999997</v>
      </c>
      <c r="D351" s="14">
        <f>30.2962 * CHOOSE(CONTROL!$C$15, $E$9, 100%, $G$9) + CHOOSE(CONTROL!$C$38, 0.0342, 0)</f>
        <v>30.330399999999997</v>
      </c>
      <c r="E351" s="46">
        <f>31.9249 * CHOOSE(CONTROL!$C$15, $E$9, 100%, $G$9) + CHOOSE(CONTROL!$C$38, 0.0342, 0)</f>
        <v>31.959099999999999</v>
      </c>
      <c r="F351" s="45">
        <f>31.9249 * CHOOSE(CONTROL!$C$15, $E$9, 100%, $G$9) + CHOOSE(CONTROL!$C$38, 0.0251, 0)</f>
        <v>31.95</v>
      </c>
      <c r="G351" s="14">
        <f>30.3025 * CHOOSE(CONTROL!$C$15, $E$9, 100%, $G$9) + CHOOSE(CONTROL!$C$38, 0.0342, 0)</f>
        <v>30.336699999999997</v>
      </c>
      <c r="H351" s="14">
        <f>30.3025 * CHOOSE(CONTROL!$C$15, $E$9, 100%, $G$9) + CHOOSE(CONTROL!$C$38, 0.0342, 0)</f>
        <v>30.336699999999997</v>
      </c>
      <c r="I351" s="14">
        <f>30.3041 * CHOOSE(CONTROL!$C$15, $E$9, 100%, $G$9) + CHOOSE(CONTROL!$C$38, 0.0342, 0)</f>
        <v>30.338299999999997</v>
      </c>
      <c r="J351" s="44">
        <f>224.9473</f>
        <v>224.94730000000001</v>
      </c>
    </row>
    <row r="352" spans="1:10" ht="15.75" x14ac:dyDescent="0.25">
      <c r="A352" s="33">
        <v>51652</v>
      </c>
      <c r="B352" s="14">
        <f>31.2762 * CHOOSE(CONTROL!$C$15, $E$9, 100%, $G$9) + CHOOSE(CONTROL!$C$38, 0.0264, 0)</f>
        <v>31.302599999999998</v>
      </c>
      <c r="C352" s="14">
        <f>29.4991 * CHOOSE(CONTROL!$C$15, $E$9, 100%, $G$9) + CHOOSE(CONTROL!$C$38, 0.0354, 0)</f>
        <v>29.534499999999998</v>
      </c>
      <c r="D352" s="14">
        <f>29.4913 * CHOOSE(CONTROL!$C$15, $E$9, 100%, $G$9) + CHOOSE(CONTROL!$C$38, 0.0354, 0)</f>
        <v>29.526699999999998</v>
      </c>
      <c r="E352" s="46">
        <f>31.12 * CHOOSE(CONTROL!$C$15, $E$9, 100%, $G$9) + CHOOSE(CONTROL!$C$38, 0.0354, 0)</f>
        <v>31.1554</v>
      </c>
      <c r="F352" s="45">
        <f>31.12 * CHOOSE(CONTROL!$C$15, $E$9, 100%, $G$9) + CHOOSE(CONTROL!$C$38, 0.0264, 0)</f>
        <v>31.1464</v>
      </c>
      <c r="G352" s="14">
        <f>29.4975 * CHOOSE(CONTROL!$C$15, $E$9, 100%, $G$9) + CHOOSE(CONTROL!$C$38, 0.0354, 0)</f>
        <v>29.532899999999998</v>
      </c>
      <c r="H352" s="14">
        <f>29.4975 * CHOOSE(CONTROL!$C$15, $E$9, 100%, $G$9) + CHOOSE(CONTROL!$C$38, 0.0354, 0)</f>
        <v>29.532899999999998</v>
      </c>
      <c r="I352" s="14">
        <f>29.4991 * CHOOSE(CONTROL!$C$15, $E$9, 100%, $G$9) + CHOOSE(CONTROL!$C$38, 0.0354, 0)</f>
        <v>29.534499999999998</v>
      </c>
      <c r="J352" s="44">
        <f>232.4961</f>
        <v>232.49610000000001</v>
      </c>
    </row>
    <row r="353" spans="1:10" ht="15.75" x14ac:dyDescent="0.25">
      <c r="A353" s="33">
        <v>51682</v>
      </c>
      <c r="B353" s="14">
        <f>30.7119 * CHOOSE(CONTROL!$C$15, $E$9, 100%, $G$9) + CHOOSE(CONTROL!$C$38, 0.0264, 0)</f>
        <v>30.738299999999999</v>
      </c>
      <c r="C353" s="14">
        <f>28.9348 * CHOOSE(CONTROL!$C$15, $E$9, 100%, $G$9) + CHOOSE(CONTROL!$C$38, 0.0354, 0)</f>
        <v>28.970199999999998</v>
      </c>
      <c r="D353" s="14">
        <f>28.9269 * CHOOSE(CONTROL!$C$15, $E$9, 100%, $G$9) + CHOOSE(CONTROL!$C$38, 0.0354, 0)</f>
        <v>28.962299999999999</v>
      </c>
      <c r="E353" s="46">
        <f>30.5556 * CHOOSE(CONTROL!$C$15, $E$9, 100%, $G$9) + CHOOSE(CONTROL!$C$38, 0.0354, 0)</f>
        <v>30.590999999999998</v>
      </c>
      <c r="F353" s="45">
        <f>30.5556 * CHOOSE(CONTROL!$C$15, $E$9, 100%, $G$9) + CHOOSE(CONTROL!$C$38, 0.0264, 0)</f>
        <v>30.581999999999997</v>
      </c>
      <c r="G353" s="14">
        <f>28.9332 * CHOOSE(CONTROL!$C$15, $E$9, 100%, $G$9) + CHOOSE(CONTROL!$C$38, 0.0354, 0)</f>
        <v>28.968599999999999</v>
      </c>
      <c r="H353" s="14">
        <f>28.9332 * CHOOSE(CONTROL!$C$15, $E$9, 100%, $G$9) + CHOOSE(CONTROL!$C$38, 0.0354, 0)</f>
        <v>28.968599999999999</v>
      </c>
      <c r="I353" s="14">
        <f>28.9348 * CHOOSE(CONTROL!$C$15, $E$9, 100%, $G$9) + CHOOSE(CONTROL!$C$38, 0.0354, 0)</f>
        <v>28.970199999999998</v>
      </c>
      <c r="J353" s="44">
        <f>235.8461</f>
        <v>235.84610000000001</v>
      </c>
    </row>
    <row r="354" spans="1:10" ht="15.75" x14ac:dyDescent="0.25">
      <c r="A354" s="33">
        <v>51713</v>
      </c>
      <c r="B354" s="14">
        <f>30.3898 * CHOOSE(CONTROL!$C$15, $E$9, 100%, $G$9) + CHOOSE(CONTROL!$C$38, 0.0264, 0)</f>
        <v>30.4162</v>
      </c>
      <c r="C354" s="14">
        <f>28.6127 * CHOOSE(CONTROL!$C$15, $E$9, 100%, $G$9) + CHOOSE(CONTROL!$C$38, 0.0354, 0)</f>
        <v>28.648099999999999</v>
      </c>
      <c r="D354" s="14">
        <f>28.6049 * CHOOSE(CONTROL!$C$15, $E$9, 100%, $G$9) + CHOOSE(CONTROL!$C$38, 0.0354, 0)</f>
        <v>28.6403</v>
      </c>
      <c r="E354" s="46">
        <f>30.2336 * CHOOSE(CONTROL!$C$15, $E$9, 100%, $G$9) + CHOOSE(CONTROL!$C$38, 0.0354, 0)</f>
        <v>30.268999999999998</v>
      </c>
      <c r="F354" s="45">
        <f>30.2336 * CHOOSE(CONTROL!$C$15, $E$9, 100%, $G$9) + CHOOSE(CONTROL!$C$38, 0.0264, 0)</f>
        <v>30.259999999999998</v>
      </c>
      <c r="G354" s="14">
        <f>28.6111 * CHOOSE(CONTROL!$C$15, $E$9, 100%, $G$9) + CHOOSE(CONTROL!$C$38, 0.0354, 0)</f>
        <v>28.6465</v>
      </c>
      <c r="H354" s="14">
        <f>28.6111 * CHOOSE(CONTROL!$C$15, $E$9, 100%, $G$9) + CHOOSE(CONTROL!$C$38, 0.0354, 0)</f>
        <v>28.6465</v>
      </c>
      <c r="I354" s="14">
        <f>28.6127 * CHOOSE(CONTROL!$C$15, $E$9, 100%, $G$9) + CHOOSE(CONTROL!$C$38, 0.0354, 0)</f>
        <v>28.648099999999999</v>
      </c>
      <c r="J354" s="44">
        <f>234.7431</f>
        <v>234.7431</v>
      </c>
    </row>
    <row r="355" spans="1:10" ht="15.75" x14ac:dyDescent="0.25">
      <c r="A355" s="33">
        <v>51744</v>
      </c>
      <c r="B355" s="14">
        <f>30.5488 * CHOOSE(CONTROL!$C$15, $E$9, 100%, $G$9) + CHOOSE(CONTROL!$C$38, 0.0264, 0)</f>
        <v>30.575199999999999</v>
      </c>
      <c r="C355" s="14">
        <f>28.7716 * CHOOSE(CONTROL!$C$15, $E$9, 100%, $G$9) + CHOOSE(CONTROL!$C$38, 0.0354, 0)</f>
        <v>28.806999999999999</v>
      </c>
      <c r="D355" s="14">
        <f>28.7638 * CHOOSE(CONTROL!$C$15, $E$9, 100%, $G$9) + CHOOSE(CONTROL!$C$38, 0.0354, 0)</f>
        <v>28.799199999999999</v>
      </c>
      <c r="E355" s="46">
        <f>30.3925 * CHOOSE(CONTROL!$C$15, $E$9, 100%, $G$9) + CHOOSE(CONTROL!$C$38, 0.0354, 0)</f>
        <v>30.427899999999998</v>
      </c>
      <c r="F355" s="45">
        <f>30.3925 * CHOOSE(CONTROL!$C$15, $E$9, 100%, $G$9) + CHOOSE(CONTROL!$C$38, 0.0264, 0)</f>
        <v>30.418899999999997</v>
      </c>
      <c r="G355" s="14">
        <f>28.7701 * CHOOSE(CONTROL!$C$15, $E$9, 100%, $G$9) + CHOOSE(CONTROL!$C$38, 0.0354, 0)</f>
        <v>28.805499999999999</v>
      </c>
      <c r="H355" s="14">
        <f>28.7701 * CHOOSE(CONTROL!$C$15, $E$9, 100%, $G$9) + CHOOSE(CONTROL!$C$38, 0.0354, 0)</f>
        <v>28.805499999999999</v>
      </c>
      <c r="I355" s="14">
        <f>28.7716 * CHOOSE(CONTROL!$C$15, $E$9, 100%, $G$9) + CHOOSE(CONTROL!$C$38, 0.0354, 0)</f>
        <v>28.806999999999999</v>
      </c>
      <c r="J355" s="44">
        <f>229.2784</f>
        <v>229.2784</v>
      </c>
    </row>
    <row r="356" spans="1:10" ht="15.75" x14ac:dyDescent="0.25">
      <c r="A356" s="33">
        <v>51774</v>
      </c>
      <c r="B356" s="14">
        <f>30.9805 * CHOOSE(CONTROL!$C$15, $E$9, 100%, $G$9) + CHOOSE(CONTROL!$C$38, 0.0264, 0)</f>
        <v>31.006899999999998</v>
      </c>
      <c r="C356" s="14">
        <f>29.2034 * CHOOSE(CONTROL!$C$15, $E$9, 100%, $G$9) + CHOOSE(CONTROL!$C$38, 0.0354, 0)</f>
        <v>29.238799999999998</v>
      </c>
      <c r="D356" s="14">
        <f>29.1955 * CHOOSE(CONTROL!$C$15, $E$9, 100%, $G$9) + CHOOSE(CONTROL!$C$38, 0.0354, 0)</f>
        <v>29.230899999999998</v>
      </c>
      <c r="E356" s="46">
        <f>30.8242 * CHOOSE(CONTROL!$C$15, $E$9, 100%, $G$9) + CHOOSE(CONTROL!$C$38, 0.0354, 0)</f>
        <v>30.8596</v>
      </c>
      <c r="F356" s="45">
        <f>30.8242 * CHOOSE(CONTROL!$C$15, $E$9, 100%, $G$9) + CHOOSE(CONTROL!$C$38, 0.0264, 0)</f>
        <v>30.8506</v>
      </c>
      <c r="G356" s="14">
        <f>29.2018 * CHOOSE(CONTROL!$C$15, $E$9, 100%, $G$9) + CHOOSE(CONTROL!$C$38, 0.0354, 0)</f>
        <v>29.237199999999998</v>
      </c>
      <c r="H356" s="14">
        <f>29.2018 * CHOOSE(CONTROL!$C$15, $E$9, 100%, $G$9) + CHOOSE(CONTROL!$C$38, 0.0354, 0)</f>
        <v>29.237199999999998</v>
      </c>
      <c r="I356" s="14">
        <f>29.2034 * CHOOSE(CONTROL!$C$15, $E$9, 100%, $G$9) + CHOOSE(CONTROL!$C$38, 0.0354, 0)</f>
        <v>29.238799999999998</v>
      </c>
      <c r="J356" s="44">
        <f>221.6576</f>
        <v>221.6576</v>
      </c>
    </row>
    <row r="357" spans="1:10" ht="15.75" x14ac:dyDescent="0.25">
      <c r="A357" s="33">
        <v>51805</v>
      </c>
      <c r="B357" s="14">
        <f>31.342 * CHOOSE(CONTROL!$C$15, $E$9, 100%, $G$9) + CHOOSE(CONTROL!$C$38, 0.0251, 0)</f>
        <v>31.367099999999997</v>
      </c>
      <c r="C357" s="14">
        <f>29.5649 * CHOOSE(CONTROL!$C$15, $E$9, 100%, $G$9) + CHOOSE(CONTROL!$C$38, 0.0342, 0)</f>
        <v>29.5991</v>
      </c>
      <c r="D357" s="14">
        <f>29.5571 * CHOOSE(CONTROL!$C$15, $E$9, 100%, $G$9) + CHOOSE(CONTROL!$C$38, 0.0342, 0)</f>
        <v>29.591299999999997</v>
      </c>
      <c r="E357" s="46">
        <f>31.1858 * CHOOSE(CONTROL!$C$15, $E$9, 100%, $G$9) + CHOOSE(CONTROL!$C$38, 0.0342, 0)</f>
        <v>31.22</v>
      </c>
      <c r="F357" s="45">
        <f>31.1858 * CHOOSE(CONTROL!$C$15, $E$9, 100%, $G$9) + CHOOSE(CONTROL!$C$38, 0.0251, 0)</f>
        <v>31.210899999999999</v>
      </c>
      <c r="G357" s="14">
        <f>29.5634 * CHOOSE(CONTROL!$C$15, $E$9, 100%, $G$9) + CHOOSE(CONTROL!$C$38, 0.0342, 0)</f>
        <v>29.5976</v>
      </c>
      <c r="H357" s="14">
        <f>29.5634 * CHOOSE(CONTROL!$C$15, $E$9, 100%, $G$9) + CHOOSE(CONTROL!$C$38, 0.0342, 0)</f>
        <v>29.5976</v>
      </c>
      <c r="I357" s="14">
        <f>29.5649 * CHOOSE(CONTROL!$C$15, $E$9, 100%, $G$9) + CHOOSE(CONTROL!$C$38, 0.0342, 0)</f>
        <v>29.5991</v>
      </c>
      <c r="J357" s="44">
        <f>213.9924</f>
        <v>213.9924</v>
      </c>
    </row>
    <row r="358" spans="1:10" ht="15.75" x14ac:dyDescent="0.25">
      <c r="A358" s="33">
        <v>51835</v>
      </c>
      <c r="B358" s="14">
        <f>31.6437 * CHOOSE(CONTROL!$C$15, $E$9, 100%, $G$9) + CHOOSE(CONTROL!$C$38, 0.0251, 0)</f>
        <v>31.668799999999997</v>
      </c>
      <c r="C358" s="14">
        <f>29.8666 * CHOOSE(CONTROL!$C$15, $E$9, 100%, $G$9) + CHOOSE(CONTROL!$C$38, 0.0342, 0)</f>
        <v>29.900799999999997</v>
      </c>
      <c r="D358" s="14">
        <f>29.8588 * CHOOSE(CONTROL!$C$15, $E$9, 100%, $G$9) + CHOOSE(CONTROL!$C$38, 0.0342, 0)</f>
        <v>29.892999999999997</v>
      </c>
      <c r="E358" s="46">
        <f>31.4875 * CHOOSE(CONTROL!$C$15, $E$9, 100%, $G$9) + CHOOSE(CONTROL!$C$38, 0.0342, 0)</f>
        <v>31.521699999999999</v>
      </c>
      <c r="F358" s="45">
        <f>31.4875 * CHOOSE(CONTROL!$C$15, $E$9, 100%, $G$9) + CHOOSE(CONTROL!$C$38, 0.0251, 0)</f>
        <v>31.512599999999999</v>
      </c>
      <c r="G358" s="14">
        <f>29.8651 * CHOOSE(CONTROL!$C$15, $E$9, 100%, $G$9) + CHOOSE(CONTROL!$C$38, 0.0342, 0)</f>
        <v>29.8993</v>
      </c>
      <c r="H358" s="14">
        <f>29.8651 * CHOOSE(CONTROL!$C$15, $E$9, 100%, $G$9) + CHOOSE(CONTROL!$C$38, 0.0342, 0)</f>
        <v>29.8993</v>
      </c>
      <c r="I358" s="14">
        <f>29.8666 * CHOOSE(CONTROL!$C$15, $E$9, 100%, $G$9) + CHOOSE(CONTROL!$C$38, 0.0342, 0)</f>
        <v>29.900799999999997</v>
      </c>
      <c r="J358" s="44">
        <f>212.4677</f>
        <v>212.46770000000001</v>
      </c>
    </row>
    <row r="359" spans="1:10" ht="15.75" x14ac:dyDescent="0.25">
      <c r="A359" s="33">
        <v>51866</v>
      </c>
      <c r="B359" s="14">
        <f>32.5734 * CHOOSE(CONTROL!$C$15, $E$9, 100%, $G$9) + CHOOSE(CONTROL!$C$38, 0.0251, 0)</f>
        <v>32.598500000000001</v>
      </c>
      <c r="C359" s="14">
        <f>30.7963 * CHOOSE(CONTROL!$C$15, $E$9, 100%, $G$9) + CHOOSE(CONTROL!$C$38, 0.0342, 0)</f>
        <v>30.830499999999997</v>
      </c>
      <c r="D359" s="14">
        <f>30.7885 * CHOOSE(CONTROL!$C$15, $E$9, 100%, $G$9) + CHOOSE(CONTROL!$C$38, 0.0342, 0)</f>
        <v>30.822699999999998</v>
      </c>
      <c r="E359" s="46">
        <f>32.4172 * CHOOSE(CONTROL!$C$15, $E$9, 100%, $G$9) + CHOOSE(CONTROL!$C$38, 0.0342, 0)</f>
        <v>32.4514</v>
      </c>
      <c r="F359" s="45">
        <f>32.4172 * CHOOSE(CONTROL!$C$15, $E$9, 100%, $G$9) + CHOOSE(CONTROL!$C$38, 0.0251, 0)</f>
        <v>32.442300000000003</v>
      </c>
      <c r="G359" s="14">
        <f>30.7947 * CHOOSE(CONTROL!$C$15, $E$9, 100%, $G$9) + CHOOSE(CONTROL!$C$38, 0.0342, 0)</f>
        <v>30.828899999999997</v>
      </c>
      <c r="H359" s="14">
        <f>30.7947 * CHOOSE(CONTROL!$C$15, $E$9, 100%, $G$9) + CHOOSE(CONTROL!$C$38, 0.0342, 0)</f>
        <v>30.828899999999997</v>
      </c>
      <c r="I359" s="14">
        <f>30.7963 * CHOOSE(CONTROL!$C$15, $E$9, 100%, $G$9) + CHOOSE(CONTROL!$C$38, 0.0342, 0)</f>
        <v>30.830499999999997</v>
      </c>
      <c r="J359" s="44">
        <f>206.1627</f>
        <v>206.1627</v>
      </c>
    </row>
    <row r="360" spans="1:10" ht="15.75" x14ac:dyDescent="0.25">
      <c r="A360" s="33">
        <v>51897</v>
      </c>
      <c r="B360" s="14">
        <f>33.8297 * CHOOSE(CONTROL!$C$15, $E$9, 100%, $G$9) + CHOOSE(CONTROL!$C$38, 0.0251, 0)</f>
        <v>33.854800000000004</v>
      </c>
      <c r="C360" s="14">
        <f>32.0254 * CHOOSE(CONTROL!$C$15, $E$9, 100%, $G$9) + CHOOSE(CONTROL!$C$38, 0.0342, 0)</f>
        <v>32.059599999999996</v>
      </c>
      <c r="D360" s="14">
        <f>32.0176 * CHOOSE(CONTROL!$C$15, $E$9, 100%, $G$9) + CHOOSE(CONTROL!$C$38, 0.0342, 0)</f>
        <v>32.0518</v>
      </c>
      <c r="E360" s="46">
        <f>33.6735 * CHOOSE(CONTROL!$C$15, $E$9, 100%, $G$9) + CHOOSE(CONTROL!$C$38, 0.0342, 0)</f>
        <v>33.707699999999996</v>
      </c>
      <c r="F360" s="45">
        <f>33.6735 * CHOOSE(CONTROL!$C$15, $E$9, 100%, $G$9) + CHOOSE(CONTROL!$C$38, 0.0251, 0)</f>
        <v>33.698599999999999</v>
      </c>
      <c r="G360" s="14">
        <f>32.0238 * CHOOSE(CONTROL!$C$15, $E$9, 100%, $G$9) + CHOOSE(CONTROL!$C$38, 0.0342, 0)</f>
        <v>32.058</v>
      </c>
      <c r="H360" s="14">
        <f>32.0238 * CHOOSE(CONTROL!$C$15, $E$9, 100%, $G$9) + CHOOSE(CONTROL!$C$38, 0.0342, 0)</f>
        <v>32.058</v>
      </c>
      <c r="I360" s="14">
        <f>32.0254 * CHOOSE(CONTROL!$C$15, $E$9, 100%, $G$9) + CHOOSE(CONTROL!$C$38, 0.0342, 0)</f>
        <v>32.059599999999996</v>
      </c>
      <c r="J360" s="44">
        <f>206.0138</f>
        <v>206.0138</v>
      </c>
    </row>
    <row r="361" spans="1:10" ht="15.75" x14ac:dyDescent="0.25">
      <c r="A361" s="33">
        <v>51925</v>
      </c>
      <c r="B361" s="14">
        <f>34.174 * CHOOSE(CONTROL!$C$15, $E$9, 100%, $G$9) + CHOOSE(CONTROL!$C$38, 0.0251, 0)</f>
        <v>34.199100000000001</v>
      </c>
      <c r="C361" s="14">
        <f>32.3697 * CHOOSE(CONTROL!$C$15, $E$9, 100%, $G$9) + CHOOSE(CONTROL!$C$38, 0.0342, 0)</f>
        <v>32.4039</v>
      </c>
      <c r="D361" s="14">
        <f>32.3619 * CHOOSE(CONTROL!$C$15, $E$9, 100%, $G$9) + CHOOSE(CONTROL!$C$38, 0.0342, 0)</f>
        <v>32.396099999999997</v>
      </c>
      <c r="E361" s="46">
        <f>34.0178 * CHOOSE(CONTROL!$C$15, $E$9, 100%, $G$9) + CHOOSE(CONTROL!$C$38, 0.0342, 0)</f>
        <v>34.052</v>
      </c>
      <c r="F361" s="45">
        <f>34.0178 * CHOOSE(CONTROL!$C$15, $E$9, 100%, $G$9) + CHOOSE(CONTROL!$C$38, 0.0251, 0)</f>
        <v>34.042900000000003</v>
      </c>
      <c r="G361" s="14">
        <f>32.3681 * CHOOSE(CONTROL!$C$15, $E$9, 100%, $G$9) + CHOOSE(CONTROL!$C$38, 0.0342, 0)</f>
        <v>32.402299999999997</v>
      </c>
      <c r="H361" s="14">
        <f>32.3681 * CHOOSE(CONTROL!$C$15, $E$9, 100%, $G$9) + CHOOSE(CONTROL!$C$38, 0.0342, 0)</f>
        <v>32.402299999999997</v>
      </c>
      <c r="I361" s="14">
        <f>32.3697 * CHOOSE(CONTROL!$C$15, $E$9, 100%, $G$9) + CHOOSE(CONTROL!$C$38, 0.0342, 0)</f>
        <v>32.4039</v>
      </c>
      <c r="J361" s="44">
        <f>205.4412</f>
        <v>205.44120000000001</v>
      </c>
    </row>
    <row r="362" spans="1:10" ht="15.75" x14ac:dyDescent="0.25">
      <c r="A362" s="33">
        <v>51956</v>
      </c>
      <c r="B362" s="14">
        <f>33.377 * CHOOSE(CONTROL!$C$15, $E$9, 100%, $G$9) + CHOOSE(CONTROL!$C$38, 0.0251, 0)</f>
        <v>33.402100000000004</v>
      </c>
      <c r="C362" s="14">
        <f>31.5727 * CHOOSE(CONTROL!$C$15, $E$9, 100%, $G$9) + CHOOSE(CONTROL!$C$38, 0.0342, 0)</f>
        <v>31.6069</v>
      </c>
      <c r="D362" s="14">
        <f>31.5648 * CHOOSE(CONTROL!$C$15, $E$9, 100%, $G$9) + CHOOSE(CONTROL!$C$38, 0.0342, 0)</f>
        <v>31.599</v>
      </c>
      <c r="E362" s="46">
        <f>33.2208 * CHOOSE(CONTROL!$C$15, $E$9, 100%, $G$9) + CHOOSE(CONTROL!$C$38, 0.0342, 0)</f>
        <v>33.254999999999995</v>
      </c>
      <c r="F362" s="45">
        <f>33.2208 * CHOOSE(CONTROL!$C$15, $E$9, 100%, $G$9) + CHOOSE(CONTROL!$C$38, 0.0251, 0)</f>
        <v>33.245899999999999</v>
      </c>
      <c r="G362" s="14">
        <f>31.5711 * CHOOSE(CONTROL!$C$15, $E$9, 100%, $G$9) + CHOOSE(CONTROL!$C$38, 0.0342, 0)</f>
        <v>31.6053</v>
      </c>
      <c r="H362" s="14">
        <f>31.5711 * CHOOSE(CONTROL!$C$15, $E$9, 100%, $G$9) + CHOOSE(CONTROL!$C$38, 0.0342, 0)</f>
        <v>31.6053</v>
      </c>
      <c r="I362" s="14">
        <f>31.5727 * CHOOSE(CONTROL!$C$15, $E$9, 100%, $G$9) + CHOOSE(CONTROL!$C$38, 0.0342, 0)</f>
        <v>31.6069</v>
      </c>
      <c r="J362" s="44">
        <f>216.2691</f>
        <v>216.26910000000001</v>
      </c>
    </row>
    <row r="363" spans="1:10" ht="15.75" x14ac:dyDescent="0.25">
      <c r="A363" s="33">
        <v>51986</v>
      </c>
      <c r="B363" s="14">
        <f>32.6047 * CHOOSE(CONTROL!$C$15, $E$9, 100%, $G$9) + CHOOSE(CONTROL!$C$38, 0.0251, 0)</f>
        <v>32.629800000000003</v>
      </c>
      <c r="C363" s="14">
        <f>30.8003 * CHOOSE(CONTROL!$C$15, $E$9, 100%, $G$9) + CHOOSE(CONTROL!$C$38, 0.0342, 0)</f>
        <v>30.834499999999998</v>
      </c>
      <c r="D363" s="14">
        <f>30.7925 * CHOOSE(CONTROL!$C$15, $E$9, 100%, $G$9) + CHOOSE(CONTROL!$C$38, 0.0342, 0)</f>
        <v>30.826699999999999</v>
      </c>
      <c r="E363" s="46">
        <f>32.4484 * CHOOSE(CONTROL!$C$15, $E$9, 100%, $G$9) + CHOOSE(CONTROL!$C$38, 0.0342, 0)</f>
        <v>32.482599999999998</v>
      </c>
      <c r="F363" s="45">
        <f>32.4484 * CHOOSE(CONTROL!$C$15, $E$9, 100%, $G$9) + CHOOSE(CONTROL!$C$38, 0.0251, 0)</f>
        <v>32.473500000000001</v>
      </c>
      <c r="G363" s="14">
        <f>30.7988 * CHOOSE(CONTROL!$C$15, $E$9, 100%, $G$9) + CHOOSE(CONTROL!$C$38, 0.0342, 0)</f>
        <v>30.832999999999998</v>
      </c>
      <c r="H363" s="14">
        <f>30.7988 * CHOOSE(CONTROL!$C$15, $E$9, 100%, $G$9) + CHOOSE(CONTROL!$C$38, 0.0342, 0)</f>
        <v>30.832999999999998</v>
      </c>
      <c r="I363" s="14">
        <f>30.8003 * CHOOSE(CONTROL!$C$15, $E$9, 100%, $G$9) + CHOOSE(CONTROL!$C$38, 0.0342, 0)</f>
        <v>30.834499999999998</v>
      </c>
      <c r="J363" s="44">
        <f>230.3104</f>
        <v>230.31039999999999</v>
      </c>
    </row>
    <row r="364" spans="1:10" ht="15.75" x14ac:dyDescent="0.25">
      <c r="A364" s="33">
        <v>52017</v>
      </c>
      <c r="B364" s="14">
        <f>31.7997 * CHOOSE(CONTROL!$C$15, $E$9, 100%, $G$9) + CHOOSE(CONTROL!$C$38, 0.0264, 0)</f>
        <v>31.8261</v>
      </c>
      <c r="C364" s="14">
        <f>29.9954 * CHOOSE(CONTROL!$C$15, $E$9, 100%, $G$9) + CHOOSE(CONTROL!$C$38, 0.0354, 0)</f>
        <v>30.030799999999999</v>
      </c>
      <c r="D364" s="14">
        <f>29.9876 * CHOOSE(CONTROL!$C$15, $E$9, 100%, $G$9) + CHOOSE(CONTROL!$C$38, 0.0354, 0)</f>
        <v>30.023</v>
      </c>
      <c r="E364" s="46">
        <f>31.6435 * CHOOSE(CONTROL!$C$15, $E$9, 100%, $G$9) + CHOOSE(CONTROL!$C$38, 0.0354, 0)</f>
        <v>31.678899999999999</v>
      </c>
      <c r="F364" s="45">
        <f>31.6435 * CHOOSE(CONTROL!$C$15, $E$9, 100%, $G$9) + CHOOSE(CONTROL!$C$38, 0.0264, 0)</f>
        <v>31.669899999999998</v>
      </c>
      <c r="G364" s="14">
        <f>29.9938 * CHOOSE(CONTROL!$C$15, $E$9, 100%, $G$9) + CHOOSE(CONTROL!$C$38, 0.0354, 0)</f>
        <v>30.029199999999999</v>
      </c>
      <c r="H364" s="14">
        <f>29.9938 * CHOOSE(CONTROL!$C$15, $E$9, 100%, $G$9) + CHOOSE(CONTROL!$C$38, 0.0354, 0)</f>
        <v>30.029199999999999</v>
      </c>
      <c r="I364" s="14">
        <f>29.9954 * CHOOSE(CONTROL!$C$15, $E$9, 100%, $G$9) + CHOOSE(CONTROL!$C$38, 0.0354, 0)</f>
        <v>30.030799999999999</v>
      </c>
      <c r="J364" s="44">
        <f>238.0392</f>
        <v>238.03919999999999</v>
      </c>
    </row>
    <row r="365" spans="1:10" ht="15.75" x14ac:dyDescent="0.25">
      <c r="A365" s="33">
        <v>52047</v>
      </c>
      <c r="B365" s="14">
        <f>31.2354 * CHOOSE(CONTROL!$C$15, $E$9, 100%, $G$9) + CHOOSE(CONTROL!$C$38, 0.0264, 0)</f>
        <v>31.261799999999997</v>
      </c>
      <c r="C365" s="14">
        <f>29.431 * CHOOSE(CONTROL!$C$15, $E$9, 100%, $G$9) + CHOOSE(CONTROL!$C$38, 0.0354, 0)</f>
        <v>29.4664</v>
      </c>
      <c r="D365" s="14">
        <f>29.4232 * CHOOSE(CONTROL!$C$15, $E$9, 100%, $G$9) + CHOOSE(CONTROL!$C$38, 0.0354, 0)</f>
        <v>29.458600000000001</v>
      </c>
      <c r="E365" s="46">
        <f>31.0791 * CHOOSE(CONTROL!$C$15, $E$9, 100%, $G$9) + CHOOSE(CONTROL!$C$38, 0.0354, 0)</f>
        <v>31.1145</v>
      </c>
      <c r="F365" s="45">
        <f>31.0791 * CHOOSE(CONTROL!$C$15, $E$9, 100%, $G$9) + CHOOSE(CONTROL!$C$38, 0.0264, 0)</f>
        <v>31.105499999999999</v>
      </c>
      <c r="G365" s="14">
        <f>29.4295 * CHOOSE(CONTROL!$C$15, $E$9, 100%, $G$9) + CHOOSE(CONTROL!$C$38, 0.0354, 0)</f>
        <v>29.4649</v>
      </c>
      <c r="H365" s="14">
        <f>29.4295 * CHOOSE(CONTROL!$C$15, $E$9, 100%, $G$9) + CHOOSE(CONTROL!$C$38, 0.0354, 0)</f>
        <v>29.4649</v>
      </c>
      <c r="I365" s="14">
        <f>29.431 * CHOOSE(CONTROL!$C$15, $E$9, 100%, $G$9) + CHOOSE(CONTROL!$C$38, 0.0354, 0)</f>
        <v>29.4664</v>
      </c>
      <c r="J365" s="44">
        <f>241.469</f>
        <v>241.46899999999999</v>
      </c>
    </row>
    <row r="366" spans="1:10" ht="15.75" x14ac:dyDescent="0.25">
      <c r="A366" s="33">
        <v>52078</v>
      </c>
      <c r="B366" s="14">
        <f>30.9133 * CHOOSE(CONTROL!$C$15, $E$9, 100%, $G$9) + CHOOSE(CONTROL!$C$38, 0.0264, 0)</f>
        <v>30.939699999999998</v>
      </c>
      <c r="C366" s="14">
        <f>29.109 * CHOOSE(CONTROL!$C$15, $E$9, 100%, $G$9) + CHOOSE(CONTROL!$C$38, 0.0354, 0)</f>
        <v>29.144400000000001</v>
      </c>
      <c r="D366" s="14">
        <f>29.1012 * CHOOSE(CONTROL!$C$15, $E$9, 100%, $G$9) + CHOOSE(CONTROL!$C$38, 0.0354, 0)</f>
        <v>29.136599999999998</v>
      </c>
      <c r="E366" s="46">
        <f>30.7571 * CHOOSE(CONTROL!$C$15, $E$9, 100%, $G$9) + CHOOSE(CONTROL!$C$38, 0.0354, 0)</f>
        <v>30.7925</v>
      </c>
      <c r="F366" s="45">
        <f>30.7571 * CHOOSE(CONTROL!$C$15, $E$9, 100%, $G$9) + CHOOSE(CONTROL!$C$38, 0.0264, 0)</f>
        <v>30.7835</v>
      </c>
      <c r="G366" s="14">
        <f>29.1074 * CHOOSE(CONTROL!$C$15, $E$9, 100%, $G$9) + CHOOSE(CONTROL!$C$38, 0.0354, 0)</f>
        <v>29.142799999999998</v>
      </c>
      <c r="H366" s="14">
        <f>29.1074 * CHOOSE(CONTROL!$C$15, $E$9, 100%, $G$9) + CHOOSE(CONTROL!$C$38, 0.0354, 0)</f>
        <v>29.142799999999998</v>
      </c>
      <c r="I366" s="14">
        <f>29.109 * CHOOSE(CONTROL!$C$15, $E$9, 100%, $G$9) + CHOOSE(CONTROL!$C$38, 0.0354, 0)</f>
        <v>29.144400000000001</v>
      </c>
      <c r="J366" s="44">
        <f>240.3398</f>
        <v>240.3398</v>
      </c>
    </row>
    <row r="367" spans="1:10" ht="15.75" x14ac:dyDescent="0.25">
      <c r="A367" s="33">
        <v>52109</v>
      </c>
      <c r="B367" s="14">
        <f>31.0723 * CHOOSE(CONTROL!$C$15, $E$9, 100%, $G$9) + CHOOSE(CONTROL!$C$38, 0.0264, 0)</f>
        <v>31.098699999999997</v>
      </c>
      <c r="C367" s="14">
        <f>29.2679 * CHOOSE(CONTROL!$C$15, $E$9, 100%, $G$9) + CHOOSE(CONTROL!$C$38, 0.0354, 0)</f>
        <v>29.3033</v>
      </c>
      <c r="D367" s="14">
        <f>29.2601 * CHOOSE(CONTROL!$C$15, $E$9, 100%, $G$9) + CHOOSE(CONTROL!$C$38, 0.0354, 0)</f>
        <v>29.295500000000001</v>
      </c>
      <c r="E367" s="46">
        <f>30.916 * CHOOSE(CONTROL!$C$15, $E$9, 100%, $G$9) + CHOOSE(CONTROL!$C$38, 0.0354, 0)</f>
        <v>30.9514</v>
      </c>
      <c r="F367" s="45">
        <f>30.916 * CHOOSE(CONTROL!$C$15, $E$9, 100%, $G$9) + CHOOSE(CONTROL!$C$38, 0.0264, 0)</f>
        <v>30.942399999999999</v>
      </c>
      <c r="G367" s="14">
        <f>29.2664 * CHOOSE(CONTROL!$C$15, $E$9, 100%, $G$9) + CHOOSE(CONTROL!$C$38, 0.0354, 0)</f>
        <v>29.3018</v>
      </c>
      <c r="H367" s="14">
        <f>29.2664 * CHOOSE(CONTROL!$C$15, $E$9, 100%, $G$9) + CHOOSE(CONTROL!$C$38, 0.0354, 0)</f>
        <v>29.3018</v>
      </c>
      <c r="I367" s="14">
        <f>29.2679 * CHOOSE(CONTROL!$C$15, $E$9, 100%, $G$9) + CHOOSE(CONTROL!$C$38, 0.0354, 0)</f>
        <v>29.3033</v>
      </c>
      <c r="J367" s="44">
        <f>234.7447</f>
        <v>234.74469999999999</v>
      </c>
    </row>
    <row r="368" spans="1:10" ht="15.75" x14ac:dyDescent="0.25">
      <c r="A368" s="33">
        <v>52139</v>
      </c>
      <c r="B368" s="14">
        <f>31.504 * CHOOSE(CONTROL!$C$15, $E$9, 100%, $G$9) + CHOOSE(CONTROL!$C$38, 0.0264, 0)</f>
        <v>31.5304</v>
      </c>
      <c r="C368" s="14">
        <f>29.6996 * CHOOSE(CONTROL!$C$15, $E$9, 100%, $G$9) + CHOOSE(CONTROL!$C$38, 0.0354, 0)</f>
        <v>29.734999999999999</v>
      </c>
      <c r="D368" s="14">
        <f>29.6918 * CHOOSE(CONTROL!$C$15, $E$9, 100%, $G$9) + CHOOSE(CONTROL!$C$38, 0.0354, 0)</f>
        <v>29.7272</v>
      </c>
      <c r="E368" s="46">
        <f>31.3477 * CHOOSE(CONTROL!$C$15, $E$9, 100%, $G$9) + CHOOSE(CONTROL!$C$38, 0.0354, 0)</f>
        <v>31.383099999999999</v>
      </c>
      <c r="F368" s="45">
        <f>31.3477 * CHOOSE(CONTROL!$C$15, $E$9, 100%, $G$9) + CHOOSE(CONTROL!$C$38, 0.0264, 0)</f>
        <v>31.374099999999999</v>
      </c>
      <c r="G368" s="14">
        <f>29.6981 * CHOOSE(CONTROL!$C$15, $E$9, 100%, $G$9) + CHOOSE(CONTROL!$C$38, 0.0354, 0)</f>
        <v>29.733499999999999</v>
      </c>
      <c r="H368" s="14">
        <f>29.6981 * CHOOSE(CONTROL!$C$15, $E$9, 100%, $G$9) + CHOOSE(CONTROL!$C$38, 0.0354, 0)</f>
        <v>29.733499999999999</v>
      </c>
      <c r="I368" s="14">
        <f>29.6996 * CHOOSE(CONTROL!$C$15, $E$9, 100%, $G$9) + CHOOSE(CONTROL!$C$38, 0.0354, 0)</f>
        <v>29.734999999999999</v>
      </c>
      <c r="J368" s="44">
        <f>226.9422</f>
        <v>226.94220000000001</v>
      </c>
    </row>
    <row r="369" spans="1:10" ht="15.75" x14ac:dyDescent="0.25">
      <c r="A369" s="33">
        <v>52170</v>
      </c>
      <c r="B369" s="14">
        <f>31.8656 * CHOOSE(CONTROL!$C$15, $E$9, 100%, $G$9) + CHOOSE(CONTROL!$C$38, 0.0251, 0)</f>
        <v>31.890699999999999</v>
      </c>
      <c r="C369" s="14">
        <f>30.0612 * CHOOSE(CONTROL!$C$15, $E$9, 100%, $G$9) + CHOOSE(CONTROL!$C$38, 0.0342, 0)</f>
        <v>30.095399999999998</v>
      </c>
      <c r="D369" s="14">
        <f>30.0534 * CHOOSE(CONTROL!$C$15, $E$9, 100%, $G$9) + CHOOSE(CONTROL!$C$38, 0.0342, 0)</f>
        <v>30.087599999999998</v>
      </c>
      <c r="E369" s="46">
        <f>31.7093 * CHOOSE(CONTROL!$C$15, $E$9, 100%, $G$9) + CHOOSE(CONTROL!$C$38, 0.0342, 0)</f>
        <v>31.743499999999997</v>
      </c>
      <c r="F369" s="45">
        <f>31.7093 * CHOOSE(CONTROL!$C$15, $E$9, 100%, $G$9) + CHOOSE(CONTROL!$C$38, 0.0251, 0)</f>
        <v>31.734399999999997</v>
      </c>
      <c r="G369" s="14">
        <f>30.0597 * CHOOSE(CONTROL!$C$15, $E$9, 100%, $G$9) + CHOOSE(CONTROL!$C$38, 0.0342, 0)</f>
        <v>30.093899999999998</v>
      </c>
      <c r="H369" s="14">
        <f>30.0597 * CHOOSE(CONTROL!$C$15, $E$9, 100%, $G$9) + CHOOSE(CONTROL!$C$38, 0.0342, 0)</f>
        <v>30.093899999999998</v>
      </c>
      <c r="I369" s="14">
        <f>30.0612 * CHOOSE(CONTROL!$C$15, $E$9, 100%, $G$9) + CHOOSE(CONTROL!$C$38, 0.0342, 0)</f>
        <v>30.095399999999998</v>
      </c>
      <c r="J369" s="44">
        <f>219.0943</f>
        <v>219.0943</v>
      </c>
    </row>
    <row r="370" spans="1:10" ht="15.75" x14ac:dyDescent="0.25">
      <c r="A370" s="33">
        <v>52200</v>
      </c>
      <c r="B370" s="14">
        <f>32.1673 * CHOOSE(CONTROL!$C$15, $E$9, 100%, $G$9) + CHOOSE(CONTROL!$C$38, 0.0251, 0)</f>
        <v>32.192399999999999</v>
      </c>
      <c r="C370" s="14">
        <f>30.3629 * CHOOSE(CONTROL!$C$15, $E$9, 100%, $G$9) + CHOOSE(CONTROL!$C$38, 0.0342, 0)</f>
        <v>30.397099999999998</v>
      </c>
      <c r="D370" s="14">
        <f>30.3551 * CHOOSE(CONTROL!$C$15, $E$9, 100%, $G$9) + CHOOSE(CONTROL!$C$38, 0.0342, 0)</f>
        <v>30.389299999999999</v>
      </c>
      <c r="E370" s="46">
        <f>32.011 * CHOOSE(CONTROL!$C$15, $E$9, 100%, $G$9) + CHOOSE(CONTROL!$C$38, 0.0342, 0)</f>
        <v>32.045200000000001</v>
      </c>
      <c r="F370" s="45">
        <f>32.011 * CHOOSE(CONTROL!$C$15, $E$9, 100%, $G$9) + CHOOSE(CONTROL!$C$38, 0.0251, 0)</f>
        <v>32.036100000000005</v>
      </c>
      <c r="G370" s="14">
        <f>30.3614 * CHOOSE(CONTROL!$C$15, $E$9, 100%, $G$9) + CHOOSE(CONTROL!$C$38, 0.0342, 0)</f>
        <v>30.395599999999998</v>
      </c>
      <c r="H370" s="14">
        <f>30.3614 * CHOOSE(CONTROL!$C$15, $E$9, 100%, $G$9) + CHOOSE(CONTROL!$C$38, 0.0342, 0)</f>
        <v>30.395599999999998</v>
      </c>
      <c r="I370" s="14">
        <f>30.3629 * CHOOSE(CONTROL!$C$15, $E$9, 100%, $G$9) + CHOOSE(CONTROL!$C$38, 0.0342, 0)</f>
        <v>30.397099999999998</v>
      </c>
      <c r="J370" s="44">
        <f>217.5332</f>
        <v>217.53319999999999</v>
      </c>
    </row>
    <row r="371" spans="1:10" ht="15.75" x14ac:dyDescent="0.25">
      <c r="A371" s="33">
        <v>52231</v>
      </c>
      <c r="B371" s="14">
        <f>33.0969 * CHOOSE(CONTROL!$C$15, $E$9, 100%, $G$9) + CHOOSE(CONTROL!$C$38, 0.0251, 0)</f>
        <v>33.122</v>
      </c>
      <c r="C371" s="14">
        <f>31.2926 * CHOOSE(CONTROL!$C$15, $E$9, 100%, $G$9) + CHOOSE(CONTROL!$C$38, 0.0342, 0)</f>
        <v>31.326799999999999</v>
      </c>
      <c r="D371" s="14">
        <f>31.2848 * CHOOSE(CONTROL!$C$15, $E$9, 100%, $G$9) + CHOOSE(CONTROL!$C$38, 0.0342, 0)</f>
        <v>31.318999999999999</v>
      </c>
      <c r="E371" s="46">
        <f>32.9407 * CHOOSE(CONTROL!$C$15, $E$9, 100%, $G$9) + CHOOSE(CONTROL!$C$38, 0.0342, 0)</f>
        <v>32.974899999999998</v>
      </c>
      <c r="F371" s="45">
        <f>32.9407 * CHOOSE(CONTROL!$C$15, $E$9, 100%, $G$9) + CHOOSE(CONTROL!$C$38, 0.0251, 0)</f>
        <v>32.965800000000002</v>
      </c>
      <c r="G371" s="14">
        <f>31.291 * CHOOSE(CONTROL!$C$15, $E$9, 100%, $G$9) + CHOOSE(CONTROL!$C$38, 0.0342, 0)</f>
        <v>31.325199999999999</v>
      </c>
      <c r="H371" s="14">
        <f>31.291 * CHOOSE(CONTROL!$C$15, $E$9, 100%, $G$9) + CHOOSE(CONTROL!$C$38, 0.0342, 0)</f>
        <v>31.325199999999999</v>
      </c>
      <c r="I371" s="14">
        <f>31.2926 * CHOOSE(CONTROL!$C$15, $E$9, 100%, $G$9) + CHOOSE(CONTROL!$C$38, 0.0342, 0)</f>
        <v>31.326799999999999</v>
      </c>
      <c r="J371" s="44">
        <f>211.0779</f>
        <v>211.0779</v>
      </c>
    </row>
    <row r="372" spans="1:10" ht="15.75" x14ac:dyDescent="0.25">
      <c r="A372" s="33">
        <v>52262</v>
      </c>
      <c r="B372" s="14">
        <f>34.362 * CHOOSE(CONTROL!$C$15, $E$9, 100%, $G$9) + CHOOSE(CONTROL!$C$38, 0.0251, 0)</f>
        <v>34.387100000000004</v>
      </c>
      <c r="C372" s="14">
        <f>32.53 * CHOOSE(CONTROL!$C$15, $E$9, 100%, $G$9) + CHOOSE(CONTROL!$C$38, 0.0342, 0)</f>
        <v>32.5642</v>
      </c>
      <c r="D372" s="14">
        <f>32.5222 * CHOOSE(CONTROL!$C$15, $E$9, 100%, $G$9) + CHOOSE(CONTROL!$C$38, 0.0342, 0)</f>
        <v>32.556399999999996</v>
      </c>
      <c r="E372" s="46">
        <f>34.2058 * CHOOSE(CONTROL!$C$15, $E$9, 100%, $G$9) + CHOOSE(CONTROL!$C$38, 0.0342, 0)</f>
        <v>34.24</v>
      </c>
      <c r="F372" s="45">
        <f>34.2058 * CHOOSE(CONTROL!$C$15, $E$9, 100%, $G$9) + CHOOSE(CONTROL!$C$38, 0.0251, 0)</f>
        <v>34.230900000000005</v>
      </c>
      <c r="G372" s="14">
        <f>32.5285 * CHOOSE(CONTROL!$C$15, $E$9, 100%, $G$9) + CHOOSE(CONTROL!$C$38, 0.0342, 0)</f>
        <v>32.5627</v>
      </c>
      <c r="H372" s="14">
        <f>32.5285 * CHOOSE(CONTROL!$C$15, $E$9, 100%, $G$9) + CHOOSE(CONTROL!$C$38, 0.0342, 0)</f>
        <v>32.5627</v>
      </c>
      <c r="I372" s="14">
        <f>32.53 * CHOOSE(CONTROL!$C$15, $E$9, 100%, $G$9) + CHOOSE(CONTROL!$C$38, 0.0342, 0)</f>
        <v>32.5642</v>
      </c>
      <c r="J372" s="44">
        <f>210.9255</f>
        <v>210.9255</v>
      </c>
    </row>
    <row r="373" spans="1:10" ht="15.75" x14ac:dyDescent="0.25">
      <c r="A373" s="33">
        <v>52290</v>
      </c>
      <c r="B373" s="14">
        <f>34.7064 * CHOOSE(CONTROL!$C$15, $E$9, 100%, $G$9) + CHOOSE(CONTROL!$C$38, 0.0251, 0)</f>
        <v>34.731500000000004</v>
      </c>
      <c r="C373" s="14">
        <f>32.8743 * CHOOSE(CONTROL!$C$15, $E$9, 100%, $G$9) + CHOOSE(CONTROL!$C$38, 0.0342, 0)</f>
        <v>32.908499999999997</v>
      </c>
      <c r="D373" s="14">
        <f>32.8665 * CHOOSE(CONTROL!$C$15, $E$9, 100%, $G$9) + CHOOSE(CONTROL!$C$38, 0.0342, 0)</f>
        <v>32.900700000000001</v>
      </c>
      <c r="E373" s="46">
        <f>34.5501 * CHOOSE(CONTROL!$C$15, $E$9, 100%, $G$9) + CHOOSE(CONTROL!$C$38, 0.0342, 0)</f>
        <v>34.584299999999999</v>
      </c>
      <c r="F373" s="45">
        <f>34.5501 * CHOOSE(CONTROL!$C$15, $E$9, 100%, $G$9) + CHOOSE(CONTROL!$C$38, 0.0251, 0)</f>
        <v>34.575200000000002</v>
      </c>
      <c r="G373" s="14">
        <f>32.8728 * CHOOSE(CONTROL!$C$15, $E$9, 100%, $G$9) + CHOOSE(CONTROL!$C$38, 0.0342, 0)</f>
        <v>32.906999999999996</v>
      </c>
      <c r="H373" s="14">
        <f>32.8728 * CHOOSE(CONTROL!$C$15, $E$9, 100%, $G$9) + CHOOSE(CONTROL!$C$38, 0.0342, 0)</f>
        <v>32.906999999999996</v>
      </c>
      <c r="I373" s="14">
        <f>32.8743 * CHOOSE(CONTROL!$C$15, $E$9, 100%, $G$9) + CHOOSE(CONTROL!$C$38, 0.0342, 0)</f>
        <v>32.908499999999997</v>
      </c>
      <c r="J373" s="44">
        <f>210.3392</f>
        <v>210.33920000000001</v>
      </c>
    </row>
    <row r="374" spans="1:10" ht="15.75" x14ac:dyDescent="0.25">
      <c r="A374" s="33">
        <v>52321</v>
      </c>
      <c r="B374" s="14">
        <f>33.9093 * CHOOSE(CONTROL!$C$15, $E$9, 100%, $G$9) + CHOOSE(CONTROL!$C$38, 0.0251, 0)</f>
        <v>33.934400000000004</v>
      </c>
      <c r="C374" s="14">
        <f>32.0773 * CHOOSE(CONTROL!$C$15, $E$9, 100%, $G$9) + CHOOSE(CONTROL!$C$38, 0.0342, 0)</f>
        <v>32.111499999999999</v>
      </c>
      <c r="D374" s="14">
        <f>32.0695 * CHOOSE(CONTROL!$C$15, $E$9, 100%, $G$9) + CHOOSE(CONTROL!$C$38, 0.0342, 0)</f>
        <v>32.103699999999996</v>
      </c>
      <c r="E374" s="46">
        <f>33.7531 * CHOOSE(CONTROL!$C$15, $E$9, 100%, $G$9) + CHOOSE(CONTROL!$C$38, 0.0342, 0)</f>
        <v>33.787300000000002</v>
      </c>
      <c r="F374" s="45">
        <f>33.7531 * CHOOSE(CONTROL!$C$15, $E$9, 100%, $G$9) + CHOOSE(CONTROL!$C$38, 0.0251, 0)</f>
        <v>33.778200000000005</v>
      </c>
      <c r="G374" s="14">
        <f>32.0757 * CHOOSE(CONTROL!$C$15, $E$9, 100%, $G$9) + CHOOSE(CONTROL!$C$38, 0.0342, 0)</f>
        <v>32.109899999999996</v>
      </c>
      <c r="H374" s="14">
        <f>32.0757 * CHOOSE(CONTROL!$C$15, $E$9, 100%, $G$9) + CHOOSE(CONTROL!$C$38, 0.0342, 0)</f>
        <v>32.109899999999996</v>
      </c>
      <c r="I374" s="14">
        <f>32.0773 * CHOOSE(CONTROL!$C$15, $E$9, 100%, $G$9) + CHOOSE(CONTROL!$C$38, 0.0342, 0)</f>
        <v>32.111499999999999</v>
      </c>
      <c r="J374" s="44">
        <f>221.4253</f>
        <v>221.42529999999999</v>
      </c>
    </row>
    <row r="375" spans="1:10" ht="15.75" x14ac:dyDescent="0.25">
      <c r="A375" s="33">
        <v>52351</v>
      </c>
      <c r="B375" s="14">
        <f>33.137 * CHOOSE(CONTROL!$C$15, $E$9, 100%, $G$9) + CHOOSE(CONTROL!$C$38, 0.0251, 0)</f>
        <v>33.162100000000002</v>
      </c>
      <c r="C375" s="14">
        <f>31.305 * CHOOSE(CONTROL!$C$15, $E$9, 100%, $G$9) + CHOOSE(CONTROL!$C$38, 0.0342, 0)</f>
        <v>31.339199999999998</v>
      </c>
      <c r="D375" s="14">
        <f>31.2972 * CHOOSE(CONTROL!$C$15, $E$9, 100%, $G$9) + CHOOSE(CONTROL!$C$38, 0.0342, 0)</f>
        <v>31.331399999999999</v>
      </c>
      <c r="E375" s="46">
        <f>32.9808 * CHOOSE(CONTROL!$C$15, $E$9, 100%, $G$9) + CHOOSE(CONTROL!$C$38, 0.0342, 0)</f>
        <v>33.015000000000001</v>
      </c>
      <c r="F375" s="45">
        <f>32.9808 * CHOOSE(CONTROL!$C$15, $E$9, 100%, $G$9) + CHOOSE(CONTROL!$C$38, 0.0251, 0)</f>
        <v>33.005900000000004</v>
      </c>
      <c r="G375" s="14">
        <f>31.3034 * CHOOSE(CONTROL!$C$15, $E$9, 100%, $G$9) + CHOOSE(CONTROL!$C$38, 0.0342, 0)</f>
        <v>31.337599999999998</v>
      </c>
      <c r="H375" s="14">
        <f>31.3034 * CHOOSE(CONTROL!$C$15, $E$9, 100%, $G$9) + CHOOSE(CONTROL!$C$38, 0.0342, 0)</f>
        <v>31.337599999999998</v>
      </c>
      <c r="I375" s="14">
        <f>31.305 * CHOOSE(CONTROL!$C$15, $E$9, 100%, $G$9) + CHOOSE(CONTROL!$C$38, 0.0342, 0)</f>
        <v>31.339199999999998</v>
      </c>
      <c r="J375" s="44">
        <f>235.8013</f>
        <v>235.8013</v>
      </c>
    </row>
    <row r="376" spans="1:10" ht="15.75" x14ac:dyDescent="0.25">
      <c r="A376" s="33">
        <v>52382</v>
      </c>
      <c r="B376" s="14">
        <f>32.3321 * CHOOSE(CONTROL!$C$15, $E$9, 100%, $G$9) + CHOOSE(CONTROL!$C$38, 0.0264, 0)</f>
        <v>32.358499999999999</v>
      </c>
      <c r="C376" s="14">
        <f>30.5 * CHOOSE(CONTROL!$C$15, $E$9, 100%, $G$9) + CHOOSE(CONTROL!$C$38, 0.0354, 0)</f>
        <v>30.535399999999999</v>
      </c>
      <c r="D376" s="14">
        <f>30.4922 * CHOOSE(CONTROL!$C$15, $E$9, 100%, $G$9) + CHOOSE(CONTROL!$C$38, 0.0354, 0)</f>
        <v>30.5276</v>
      </c>
      <c r="E376" s="46">
        <f>32.1758 * CHOOSE(CONTROL!$C$15, $E$9, 100%, $G$9) + CHOOSE(CONTROL!$C$38, 0.0354, 0)</f>
        <v>32.211200000000005</v>
      </c>
      <c r="F376" s="45">
        <f>32.1758 * CHOOSE(CONTROL!$C$15, $E$9, 100%, $G$9) + CHOOSE(CONTROL!$C$38, 0.0264, 0)</f>
        <v>32.202200000000005</v>
      </c>
      <c r="G376" s="14">
        <f>30.4985 * CHOOSE(CONTROL!$C$15, $E$9, 100%, $G$9) + CHOOSE(CONTROL!$C$38, 0.0354, 0)</f>
        <v>30.533899999999999</v>
      </c>
      <c r="H376" s="14">
        <f>30.4985 * CHOOSE(CONTROL!$C$15, $E$9, 100%, $G$9) + CHOOSE(CONTROL!$C$38, 0.0354, 0)</f>
        <v>30.533899999999999</v>
      </c>
      <c r="I376" s="14">
        <f>30.5 * CHOOSE(CONTROL!$C$15, $E$9, 100%, $G$9) + CHOOSE(CONTROL!$C$38, 0.0354, 0)</f>
        <v>30.535399999999999</v>
      </c>
      <c r="J376" s="44">
        <f>243.7144</f>
        <v>243.71440000000001</v>
      </c>
    </row>
    <row r="377" spans="1:10" ht="15.75" x14ac:dyDescent="0.25">
      <c r="A377" s="33">
        <v>52412</v>
      </c>
      <c r="B377" s="14">
        <f>31.7677 * CHOOSE(CONTROL!$C$15, $E$9, 100%, $G$9) + CHOOSE(CONTROL!$C$38, 0.0264, 0)</f>
        <v>31.7941</v>
      </c>
      <c r="C377" s="14">
        <f>29.9357 * CHOOSE(CONTROL!$C$15, $E$9, 100%, $G$9) + CHOOSE(CONTROL!$C$38, 0.0354, 0)</f>
        <v>29.9711</v>
      </c>
      <c r="D377" s="14">
        <f>29.9279 * CHOOSE(CONTROL!$C$15, $E$9, 100%, $G$9) + CHOOSE(CONTROL!$C$38, 0.0354, 0)</f>
        <v>29.9633</v>
      </c>
      <c r="E377" s="46">
        <f>31.6115 * CHOOSE(CONTROL!$C$15, $E$9, 100%, $G$9) + CHOOSE(CONTROL!$C$38, 0.0354, 0)</f>
        <v>31.646899999999999</v>
      </c>
      <c r="F377" s="45">
        <f>31.6115 * CHOOSE(CONTROL!$C$15, $E$9, 100%, $G$9) + CHOOSE(CONTROL!$C$38, 0.0264, 0)</f>
        <v>31.637899999999998</v>
      </c>
      <c r="G377" s="14">
        <f>29.9341 * CHOOSE(CONTROL!$C$15, $E$9, 100%, $G$9) + CHOOSE(CONTROL!$C$38, 0.0354, 0)</f>
        <v>29.9695</v>
      </c>
      <c r="H377" s="14">
        <f>29.9341 * CHOOSE(CONTROL!$C$15, $E$9, 100%, $G$9) + CHOOSE(CONTROL!$C$38, 0.0354, 0)</f>
        <v>29.9695</v>
      </c>
      <c r="I377" s="14">
        <f>29.9357 * CHOOSE(CONTROL!$C$15, $E$9, 100%, $G$9) + CHOOSE(CONTROL!$C$38, 0.0354, 0)</f>
        <v>29.9711</v>
      </c>
      <c r="J377" s="44">
        <f>247.226</f>
        <v>247.226</v>
      </c>
    </row>
    <row r="378" spans="1:10" ht="15.75" x14ac:dyDescent="0.25">
      <c r="A378" s="33">
        <v>52443</v>
      </c>
      <c r="B378" s="14">
        <f>31.4457 * CHOOSE(CONTROL!$C$15, $E$9, 100%, $G$9) + CHOOSE(CONTROL!$C$38, 0.0264, 0)</f>
        <v>31.472099999999998</v>
      </c>
      <c r="C378" s="14">
        <f>29.6136 * CHOOSE(CONTROL!$C$15, $E$9, 100%, $G$9) + CHOOSE(CONTROL!$C$38, 0.0354, 0)</f>
        <v>29.649000000000001</v>
      </c>
      <c r="D378" s="14">
        <f>29.6058 * CHOOSE(CONTROL!$C$15, $E$9, 100%, $G$9) + CHOOSE(CONTROL!$C$38, 0.0354, 0)</f>
        <v>29.641199999999998</v>
      </c>
      <c r="E378" s="46">
        <f>31.2894 * CHOOSE(CONTROL!$C$15, $E$9, 100%, $G$9) + CHOOSE(CONTROL!$C$38, 0.0354, 0)</f>
        <v>31.3248</v>
      </c>
      <c r="F378" s="45">
        <f>31.2894 * CHOOSE(CONTROL!$C$15, $E$9, 100%, $G$9) + CHOOSE(CONTROL!$C$38, 0.0264, 0)</f>
        <v>31.315799999999999</v>
      </c>
      <c r="G378" s="14">
        <f>29.6121 * CHOOSE(CONTROL!$C$15, $E$9, 100%, $G$9) + CHOOSE(CONTROL!$C$38, 0.0354, 0)</f>
        <v>29.647500000000001</v>
      </c>
      <c r="H378" s="14">
        <f>29.6121 * CHOOSE(CONTROL!$C$15, $E$9, 100%, $G$9) + CHOOSE(CONTROL!$C$38, 0.0354, 0)</f>
        <v>29.647500000000001</v>
      </c>
      <c r="I378" s="14">
        <f>29.6136 * CHOOSE(CONTROL!$C$15, $E$9, 100%, $G$9) + CHOOSE(CONTROL!$C$38, 0.0354, 0)</f>
        <v>29.649000000000001</v>
      </c>
      <c r="J378" s="44">
        <f>246.0698</f>
        <v>246.06979999999999</v>
      </c>
    </row>
    <row r="379" spans="1:10" ht="15.75" x14ac:dyDescent="0.25">
      <c r="A379" s="33">
        <v>52474</v>
      </c>
      <c r="B379" s="14">
        <f>31.6046 * CHOOSE(CONTROL!$C$15, $E$9, 100%, $G$9) + CHOOSE(CONTROL!$C$38, 0.0264, 0)</f>
        <v>31.631</v>
      </c>
      <c r="C379" s="14">
        <f>29.7726 * CHOOSE(CONTROL!$C$15, $E$9, 100%, $G$9) + CHOOSE(CONTROL!$C$38, 0.0354, 0)</f>
        <v>29.808</v>
      </c>
      <c r="D379" s="14">
        <f>29.7648 * CHOOSE(CONTROL!$C$15, $E$9, 100%, $G$9) + CHOOSE(CONTROL!$C$38, 0.0354, 0)</f>
        <v>29.8002</v>
      </c>
      <c r="E379" s="46">
        <f>31.4484 * CHOOSE(CONTROL!$C$15, $E$9, 100%, $G$9) + CHOOSE(CONTROL!$C$38, 0.0354, 0)</f>
        <v>31.483799999999999</v>
      </c>
      <c r="F379" s="45">
        <f>31.4484 * CHOOSE(CONTROL!$C$15, $E$9, 100%, $G$9) + CHOOSE(CONTROL!$C$38, 0.0264, 0)</f>
        <v>31.474799999999998</v>
      </c>
      <c r="G379" s="14">
        <f>29.771 * CHOOSE(CONTROL!$C$15, $E$9, 100%, $G$9) + CHOOSE(CONTROL!$C$38, 0.0354, 0)</f>
        <v>29.8064</v>
      </c>
      <c r="H379" s="14">
        <f>29.771 * CHOOSE(CONTROL!$C$15, $E$9, 100%, $G$9) + CHOOSE(CONTROL!$C$38, 0.0354, 0)</f>
        <v>29.8064</v>
      </c>
      <c r="I379" s="14">
        <f>29.7726 * CHOOSE(CONTROL!$C$15, $E$9, 100%, $G$9) + CHOOSE(CONTROL!$C$38, 0.0354, 0)</f>
        <v>29.808</v>
      </c>
      <c r="J379" s="44">
        <f>240.3414</f>
        <v>240.34139999999999</v>
      </c>
    </row>
    <row r="380" spans="1:10" ht="15.75" x14ac:dyDescent="0.25">
      <c r="A380" s="33">
        <v>52504</v>
      </c>
      <c r="B380" s="14">
        <f>32.0363 * CHOOSE(CONTROL!$C$15, $E$9, 100%, $G$9) + CHOOSE(CONTROL!$C$38, 0.0264, 0)</f>
        <v>32.0627</v>
      </c>
      <c r="C380" s="14">
        <f>30.2043 * CHOOSE(CONTROL!$C$15, $E$9, 100%, $G$9) + CHOOSE(CONTROL!$C$38, 0.0354, 0)</f>
        <v>30.239699999999999</v>
      </c>
      <c r="D380" s="14">
        <f>30.1965 * CHOOSE(CONTROL!$C$15, $E$9, 100%, $G$9) + CHOOSE(CONTROL!$C$38, 0.0354, 0)</f>
        <v>30.2319</v>
      </c>
      <c r="E380" s="46">
        <f>31.8801 * CHOOSE(CONTROL!$C$15, $E$9, 100%, $G$9) + CHOOSE(CONTROL!$C$38, 0.0354, 0)</f>
        <v>31.915499999999998</v>
      </c>
      <c r="F380" s="45">
        <f>31.8801 * CHOOSE(CONTROL!$C$15, $E$9, 100%, $G$9) + CHOOSE(CONTROL!$C$38, 0.0264, 0)</f>
        <v>31.906499999999998</v>
      </c>
      <c r="G380" s="14">
        <f>30.2027 * CHOOSE(CONTROL!$C$15, $E$9, 100%, $G$9) + CHOOSE(CONTROL!$C$38, 0.0354, 0)</f>
        <v>30.238099999999999</v>
      </c>
      <c r="H380" s="14">
        <f>30.2027 * CHOOSE(CONTROL!$C$15, $E$9, 100%, $G$9) + CHOOSE(CONTROL!$C$38, 0.0354, 0)</f>
        <v>30.238099999999999</v>
      </c>
      <c r="I380" s="14">
        <f>30.2043 * CHOOSE(CONTROL!$C$15, $E$9, 100%, $G$9) + CHOOSE(CONTROL!$C$38, 0.0354, 0)</f>
        <v>30.239699999999999</v>
      </c>
      <c r="J380" s="44">
        <f>232.3529</f>
        <v>232.35290000000001</v>
      </c>
    </row>
    <row r="381" spans="1:10" ht="15.75" x14ac:dyDescent="0.25">
      <c r="A381" s="33">
        <v>52535</v>
      </c>
      <c r="B381" s="14">
        <f>32.3979 * CHOOSE(CONTROL!$C$15, $E$9, 100%, $G$9) + CHOOSE(CONTROL!$C$38, 0.0251, 0)</f>
        <v>32.423000000000002</v>
      </c>
      <c r="C381" s="14">
        <f>30.5658 * CHOOSE(CONTROL!$C$15, $E$9, 100%, $G$9) + CHOOSE(CONTROL!$C$38, 0.0342, 0)</f>
        <v>30.599999999999998</v>
      </c>
      <c r="D381" s="14">
        <f>30.558 * CHOOSE(CONTROL!$C$15, $E$9, 100%, $G$9) + CHOOSE(CONTROL!$C$38, 0.0342, 0)</f>
        <v>30.592199999999998</v>
      </c>
      <c r="E381" s="46">
        <f>32.2416 * CHOOSE(CONTROL!$C$15, $E$9, 100%, $G$9) + CHOOSE(CONTROL!$C$38, 0.0342, 0)</f>
        <v>32.275799999999997</v>
      </c>
      <c r="F381" s="45">
        <f>32.2416 * CHOOSE(CONTROL!$C$15, $E$9, 100%, $G$9) + CHOOSE(CONTROL!$C$38, 0.0251, 0)</f>
        <v>32.2667</v>
      </c>
      <c r="G381" s="14">
        <f>30.5643 * CHOOSE(CONTROL!$C$15, $E$9, 100%, $G$9) + CHOOSE(CONTROL!$C$38, 0.0342, 0)</f>
        <v>30.598499999999998</v>
      </c>
      <c r="H381" s="14">
        <f>30.5643 * CHOOSE(CONTROL!$C$15, $E$9, 100%, $G$9) + CHOOSE(CONTROL!$C$38, 0.0342, 0)</f>
        <v>30.598499999999998</v>
      </c>
      <c r="I381" s="14">
        <f>30.5658 * CHOOSE(CONTROL!$C$15, $E$9, 100%, $G$9) + CHOOSE(CONTROL!$C$38, 0.0342, 0)</f>
        <v>30.599999999999998</v>
      </c>
      <c r="J381" s="44">
        <f>224.3179</f>
        <v>224.31790000000001</v>
      </c>
    </row>
    <row r="382" spans="1:10" ht="15.75" x14ac:dyDescent="0.25">
      <c r="A382" s="33">
        <v>52565</v>
      </c>
      <c r="B382" s="14">
        <f>32.6996 * CHOOSE(CONTROL!$C$15, $E$9, 100%, $G$9) + CHOOSE(CONTROL!$C$38, 0.0251, 0)</f>
        <v>32.724699999999999</v>
      </c>
      <c r="C382" s="14">
        <f>30.8675 * CHOOSE(CONTROL!$C$15, $E$9, 100%, $G$9) + CHOOSE(CONTROL!$C$38, 0.0342, 0)</f>
        <v>30.901699999999998</v>
      </c>
      <c r="D382" s="14">
        <f>30.8597 * CHOOSE(CONTROL!$C$15, $E$9, 100%, $G$9) + CHOOSE(CONTROL!$C$38, 0.0342, 0)</f>
        <v>30.893899999999999</v>
      </c>
      <c r="E382" s="46">
        <f>32.5433 * CHOOSE(CONTROL!$C$15, $E$9, 100%, $G$9) + CHOOSE(CONTROL!$C$38, 0.0342, 0)</f>
        <v>32.577500000000001</v>
      </c>
      <c r="F382" s="45">
        <f>32.5433 * CHOOSE(CONTROL!$C$15, $E$9, 100%, $G$9) + CHOOSE(CONTROL!$C$38, 0.0251, 0)</f>
        <v>32.568400000000004</v>
      </c>
      <c r="G382" s="14">
        <f>30.866 * CHOOSE(CONTROL!$C$15, $E$9, 100%, $G$9) + CHOOSE(CONTROL!$C$38, 0.0342, 0)</f>
        <v>30.900199999999998</v>
      </c>
      <c r="H382" s="14">
        <f>30.866 * CHOOSE(CONTROL!$C$15, $E$9, 100%, $G$9) + CHOOSE(CONTROL!$C$38, 0.0342, 0)</f>
        <v>30.900199999999998</v>
      </c>
      <c r="I382" s="14">
        <f>30.8675 * CHOOSE(CONTROL!$C$15, $E$9, 100%, $G$9) + CHOOSE(CONTROL!$C$38, 0.0342, 0)</f>
        <v>30.901699999999998</v>
      </c>
      <c r="J382" s="44">
        <f>222.7196</f>
        <v>222.71960000000001</v>
      </c>
    </row>
    <row r="383" spans="1:10" ht="15.75" x14ac:dyDescent="0.25">
      <c r="A383" s="33">
        <v>52596</v>
      </c>
      <c r="B383" s="14">
        <f>33.6292 * CHOOSE(CONTROL!$C$15, $E$9, 100%, $G$9) + CHOOSE(CONTROL!$C$38, 0.0251, 0)</f>
        <v>33.654299999999999</v>
      </c>
      <c r="C383" s="14">
        <f>31.7972 * CHOOSE(CONTROL!$C$15, $E$9, 100%, $G$9) + CHOOSE(CONTROL!$C$38, 0.0342, 0)</f>
        <v>31.831399999999999</v>
      </c>
      <c r="D383" s="14">
        <f>31.7894 * CHOOSE(CONTROL!$C$15, $E$9, 100%, $G$9) + CHOOSE(CONTROL!$C$38, 0.0342, 0)</f>
        <v>31.823599999999999</v>
      </c>
      <c r="E383" s="46">
        <f>33.473 * CHOOSE(CONTROL!$C$15, $E$9, 100%, $G$9) + CHOOSE(CONTROL!$C$38, 0.0342, 0)</f>
        <v>33.507199999999997</v>
      </c>
      <c r="F383" s="45">
        <f>33.473 * CHOOSE(CONTROL!$C$15, $E$9, 100%, $G$9) + CHOOSE(CONTROL!$C$38, 0.0251, 0)</f>
        <v>33.498100000000001</v>
      </c>
      <c r="G383" s="14">
        <f>31.7956 * CHOOSE(CONTROL!$C$15, $E$9, 100%, $G$9) + CHOOSE(CONTROL!$C$38, 0.0342, 0)</f>
        <v>31.829799999999999</v>
      </c>
      <c r="H383" s="14">
        <f>31.7956 * CHOOSE(CONTROL!$C$15, $E$9, 100%, $G$9) + CHOOSE(CONTROL!$C$38, 0.0342, 0)</f>
        <v>31.829799999999999</v>
      </c>
      <c r="I383" s="14">
        <f>31.7972 * CHOOSE(CONTROL!$C$15, $E$9, 100%, $G$9) + CHOOSE(CONTROL!$C$38, 0.0342, 0)</f>
        <v>31.831399999999999</v>
      </c>
      <c r="J383" s="44">
        <f>216.1103</f>
        <v>216.1103</v>
      </c>
    </row>
    <row r="384" spans="1:10" ht="15.75" x14ac:dyDescent="0.25">
      <c r="A384" s="33">
        <v>52627</v>
      </c>
      <c r="B384" s="14">
        <f>34.9033 * CHOOSE(CONTROL!$C$15, $E$9, 100%, $G$9) + CHOOSE(CONTROL!$C$38, 0.0251, 0)</f>
        <v>34.928400000000003</v>
      </c>
      <c r="C384" s="14">
        <f>33.0431 * CHOOSE(CONTROL!$C$15, $E$9, 100%, $G$9) + CHOOSE(CONTROL!$C$38, 0.0342, 0)</f>
        <v>33.077300000000001</v>
      </c>
      <c r="D384" s="14">
        <f>33.0353 * CHOOSE(CONTROL!$C$15, $E$9, 100%, $G$9) + CHOOSE(CONTROL!$C$38, 0.0342, 0)</f>
        <v>33.069499999999998</v>
      </c>
      <c r="E384" s="46">
        <f>34.7471 * CHOOSE(CONTROL!$C$15, $E$9, 100%, $G$9) + CHOOSE(CONTROL!$C$38, 0.0342, 0)</f>
        <v>34.781300000000002</v>
      </c>
      <c r="F384" s="45">
        <f>34.7471 * CHOOSE(CONTROL!$C$15, $E$9, 100%, $G$9) + CHOOSE(CONTROL!$C$38, 0.0251, 0)</f>
        <v>34.772200000000005</v>
      </c>
      <c r="G384" s="14">
        <f>33.0416 * CHOOSE(CONTROL!$C$15, $E$9, 100%, $G$9) + CHOOSE(CONTROL!$C$38, 0.0342, 0)</f>
        <v>33.075800000000001</v>
      </c>
      <c r="H384" s="14">
        <f>33.0416 * CHOOSE(CONTROL!$C$15, $E$9, 100%, $G$9) + CHOOSE(CONTROL!$C$38, 0.0342, 0)</f>
        <v>33.075800000000001</v>
      </c>
      <c r="I384" s="14">
        <f>33.0431 * CHOOSE(CONTROL!$C$15, $E$9, 100%, $G$9) + CHOOSE(CONTROL!$C$38, 0.0342, 0)</f>
        <v>33.077300000000001</v>
      </c>
      <c r="J384" s="44">
        <f>215.9543</f>
        <v>215.95429999999999</v>
      </c>
    </row>
    <row r="385" spans="1:10" ht="15.75" x14ac:dyDescent="0.25">
      <c r="A385" s="33">
        <v>52655</v>
      </c>
      <c r="B385" s="14">
        <f>35.2476 * CHOOSE(CONTROL!$C$15, $E$9, 100%, $G$9) + CHOOSE(CONTROL!$C$38, 0.0251, 0)</f>
        <v>35.2727</v>
      </c>
      <c r="C385" s="14">
        <f>33.3874 * CHOOSE(CONTROL!$C$15, $E$9, 100%, $G$9) + CHOOSE(CONTROL!$C$38, 0.0342, 0)</f>
        <v>33.421599999999998</v>
      </c>
      <c r="D385" s="14">
        <f>33.3796 * CHOOSE(CONTROL!$C$15, $E$9, 100%, $G$9) + CHOOSE(CONTROL!$C$38, 0.0342, 0)</f>
        <v>33.413800000000002</v>
      </c>
      <c r="E385" s="46">
        <f>35.0914 * CHOOSE(CONTROL!$C$15, $E$9, 100%, $G$9) + CHOOSE(CONTROL!$C$38, 0.0342, 0)</f>
        <v>35.125599999999999</v>
      </c>
      <c r="F385" s="45">
        <f>35.0914 * CHOOSE(CONTROL!$C$15, $E$9, 100%, $G$9) + CHOOSE(CONTROL!$C$38, 0.0251, 0)</f>
        <v>35.116500000000002</v>
      </c>
      <c r="G385" s="14">
        <f>33.3859 * CHOOSE(CONTROL!$C$15, $E$9, 100%, $G$9) + CHOOSE(CONTROL!$C$38, 0.0342, 0)</f>
        <v>33.420099999999998</v>
      </c>
      <c r="H385" s="14">
        <f>33.3859 * CHOOSE(CONTROL!$C$15, $E$9, 100%, $G$9) + CHOOSE(CONTROL!$C$38, 0.0342, 0)</f>
        <v>33.420099999999998</v>
      </c>
      <c r="I385" s="14">
        <f>33.3874 * CHOOSE(CONTROL!$C$15, $E$9, 100%, $G$9) + CHOOSE(CONTROL!$C$38, 0.0342, 0)</f>
        <v>33.421599999999998</v>
      </c>
      <c r="J385" s="44">
        <f>215.354</f>
        <v>215.35400000000001</v>
      </c>
    </row>
    <row r="386" spans="1:10" ht="15.75" x14ac:dyDescent="0.25">
      <c r="A386" s="33">
        <v>52687</v>
      </c>
      <c r="B386" s="14">
        <f>34.4506 * CHOOSE(CONTROL!$C$15, $E$9, 100%, $G$9) + CHOOSE(CONTROL!$C$38, 0.0251, 0)</f>
        <v>34.475700000000003</v>
      </c>
      <c r="C386" s="14">
        <f>32.5904 * CHOOSE(CONTROL!$C$15, $E$9, 100%, $G$9) + CHOOSE(CONTROL!$C$38, 0.0342, 0)</f>
        <v>32.624600000000001</v>
      </c>
      <c r="D386" s="14">
        <f>32.5826 * CHOOSE(CONTROL!$C$15, $E$9, 100%, $G$9) + CHOOSE(CONTROL!$C$38, 0.0342, 0)</f>
        <v>32.616799999999998</v>
      </c>
      <c r="E386" s="46">
        <f>34.2943 * CHOOSE(CONTROL!$C$15, $E$9, 100%, $G$9) + CHOOSE(CONTROL!$C$38, 0.0342, 0)</f>
        <v>34.328499999999998</v>
      </c>
      <c r="F386" s="45">
        <f>34.2943 * CHOOSE(CONTROL!$C$15, $E$9, 100%, $G$9) + CHOOSE(CONTROL!$C$38, 0.0251, 0)</f>
        <v>34.319400000000002</v>
      </c>
      <c r="G386" s="14">
        <f>32.5888 * CHOOSE(CONTROL!$C$15, $E$9, 100%, $G$9) + CHOOSE(CONTROL!$C$38, 0.0342, 0)</f>
        <v>32.622999999999998</v>
      </c>
      <c r="H386" s="14">
        <f>32.5888 * CHOOSE(CONTROL!$C$15, $E$9, 100%, $G$9) + CHOOSE(CONTROL!$C$38, 0.0342, 0)</f>
        <v>32.622999999999998</v>
      </c>
      <c r="I386" s="14">
        <f>32.5904 * CHOOSE(CONTROL!$C$15, $E$9, 100%, $G$9) + CHOOSE(CONTROL!$C$38, 0.0342, 0)</f>
        <v>32.624600000000001</v>
      </c>
      <c r="J386" s="44">
        <f>226.7044</f>
        <v>226.70439999999999</v>
      </c>
    </row>
    <row r="387" spans="1:10" ht="15.75" x14ac:dyDescent="0.25">
      <c r="A387" s="33">
        <v>52717</v>
      </c>
      <c r="B387" s="14">
        <f>33.6783 * CHOOSE(CONTROL!$C$15, $E$9, 100%, $G$9) + CHOOSE(CONTROL!$C$38, 0.0251, 0)</f>
        <v>33.703400000000002</v>
      </c>
      <c r="C387" s="14">
        <f>31.8181 * CHOOSE(CONTROL!$C$15, $E$9, 100%, $G$9) + CHOOSE(CONTROL!$C$38, 0.0342, 0)</f>
        <v>31.8523</v>
      </c>
      <c r="D387" s="14">
        <f>31.8103 * CHOOSE(CONTROL!$C$15, $E$9, 100%, $G$9) + CHOOSE(CONTROL!$C$38, 0.0342, 0)</f>
        <v>31.8445</v>
      </c>
      <c r="E387" s="46">
        <f>33.522 * CHOOSE(CONTROL!$C$15, $E$9, 100%, $G$9) + CHOOSE(CONTROL!$C$38, 0.0342, 0)</f>
        <v>33.556199999999997</v>
      </c>
      <c r="F387" s="45">
        <f>33.522 * CHOOSE(CONTROL!$C$15, $E$9, 100%, $G$9) + CHOOSE(CONTROL!$C$38, 0.0251, 0)</f>
        <v>33.5471</v>
      </c>
      <c r="G387" s="14">
        <f>31.8165 * CHOOSE(CONTROL!$C$15, $E$9, 100%, $G$9) + CHOOSE(CONTROL!$C$38, 0.0342, 0)</f>
        <v>31.8507</v>
      </c>
      <c r="H387" s="14">
        <f>31.8165 * CHOOSE(CONTROL!$C$15, $E$9, 100%, $G$9) + CHOOSE(CONTROL!$C$38, 0.0342, 0)</f>
        <v>31.8507</v>
      </c>
      <c r="I387" s="14">
        <f>31.8181 * CHOOSE(CONTROL!$C$15, $E$9, 100%, $G$9) + CHOOSE(CONTROL!$C$38, 0.0342, 0)</f>
        <v>31.8523</v>
      </c>
      <c r="J387" s="44">
        <f>241.4232</f>
        <v>241.42320000000001</v>
      </c>
    </row>
    <row r="388" spans="1:10" ht="15.75" x14ac:dyDescent="0.25">
      <c r="A388" s="33">
        <v>52748</v>
      </c>
      <c r="B388" s="14">
        <f>32.8733 * CHOOSE(CONTROL!$C$15, $E$9, 100%, $G$9) + CHOOSE(CONTROL!$C$38, 0.0264, 0)</f>
        <v>32.899700000000003</v>
      </c>
      <c r="C388" s="14">
        <f>31.0131 * CHOOSE(CONTROL!$C$15, $E$9, 100%, $G$9) + CHOOSE(CONTROL!$C$38, 0.0354, 0)</f>
        <v>31.048500000000001</v>
      </c>
      <c r="D388" s="14">
        <f>31.0053 * CHOOSE(CONTROL!$C$15, $E$9, 100%, $G$9) + CHOOSE(CONTROL!$C$38, 0.0354, 0)</f>
        <v>31.040699999999998</v>
      </c>
      <c r="E388" s="46">
        <f>32.7171 * CHOOSE(CONTROL!$C$15, $E$9, 100%, $G$9) + CHOOSE(CONTROL!$C$38, 0.0354, 0)</f>
        <v>32.752500000000005</v>
      </c>
      <c r="F388" s="45">
        <f>32.7171 * CHOOSE(CONTROL!$C$15, $E$9, 100%, $G$9) + CHOOSE(CONTROL!$C$38, 0.0264, 0)</f>
        <v>32.743500000000004</v>
      </c>
      <c r="G388" s="14">
        <f>31.0116 * CHOOSE(CONTROL!$C$15, $E$9, 100%, $G$9) + CHOOSE(CONTROL!$C$38, 0.0354, 0)</f>
        <v>31.047000000000001</v>
      </c>
      <c r="H388" s="14">
        <f>31.0116 * CHOOSE(CONTROL!$C$15, $E$9, 100%, $G$9) + CHOOSE(CONTROL!$C$38, 0.0354, 0)</f>
        <v>31.047000000000001</v>
      </c>
      <c r="I388" s="14">
        <f>31.0131 * CHOOSE(CONTROL!$C$15, $E$9, 100%, $G$9) + CHOOSE(CONTROL!$C$38, 0.0354, 0)</f>
        <v>31.048500000000001</v>
      </c>
      <c r="J388" s="44">
        <f>249.5249</f>
        <v>249.5249</v>
      </c>
    </row>
    <row r="389" spans="1:10" ht="15.75" x14ac:dyDescent="0.25">
      <c r="A389" s="33">
        <v>52778</v>
      </c>
      <c r="B389" s="14">
        <f>32.309 * CHOOSE(CONTROL!$C$15, $E$9, 100%, $G$9) + CHOOSE(CONTROL!$C$38, 0.0264, 0)</f>
        <v>32.3354</v>
      </c>
      <c r="C389" s="14">
        <f>30.4488 * CHOOSE(CONTROL!$C$15, $E$9, 100%, $G$9) + CHOOSE(CONTROL!$C$38, 0.0354, 0)</f>
        <v>30.484199999999998</v>
      </c>
      <c r="D389" s="14">
        <f>30.441 * CHOOSE(CONTROL!$C$15, $E$9, 100%, $G$9) + CHOOSE(CONTROL!$C$38, 0.0354, 0)</f>
        <v>30.476399999999998</v>
      </c>
      <c r="E389" s="46">
        <f>32.1527 * CHOOSE(CONTROL!$C$15, $E$9, 100%, $G$9) + CHOOSE(CONTROL!$C$38, 0.0354, 0)</f>
        <v>32.188100000000006</v>
      </c>
      <c r="F389" s="45">
        <f>32.1527 * CHOOSE(CONTROL!$C$15, $E$9, 100%, $G$9) + CHOOSE(CONTROL!$C$38, 0.0264, 0)</f>
        <v>32.179100000000005</v>
      </c>
      <c r="G389" s="14">
        <f>30.4472 * CHOOSE(CONTROL!$C$15, $E$9, 100%, $G$9) + CHOOSE(CONTROL!$C$38, 0.0354, 0)</f>
        <v>30.482599999999998</v>
      </c>
      <c r="H389" s="14">
        <f>30.4472 * CHOOSE(CONTROL!$C$15, $E$9, 100%, $G$9) + CHOOSE(CONTROL!$C$38, 0.0354, 0)</f>
        <v>30.482599999999998</v>
      </c>
      <c r="I389" s="14">
        <f>30.4488 * CHOOSE(CONTROL!$C$15, $E$9, 100%, $G$9) + CHOOSE(CONTROL!$C$38, 0.0354, 0)</f>
        <v>30.484199999999998</v>
      </c>
      <c r="J389" s="44">
        <f>253.1203</f>
        <v>253.12029999999999</v>
      </c>
    </row>
    <row r="390" spans="1:10" ht="15.75" x14ac:dyDescent="0.25">
      <c r="A390" s="33">
        <v>52809</v>
      </c>
      <c r="B390" s="14">
        <f>31.9869 * CHOOSE(CONTROL!$C$15, $E$9, 100%, $G$9) + CHOOSE(CONTROL!$C$38, 0.0264, 0)</f>
        <v>32.013300000000001</v>
      </c>
      <c r="C390" s="14">
        <f>30.1267 * CHOOSE(CONTROL!$C$15, $E$9, 100%, $G$9) + CHOOSE(CONTROL!$C$38, 0.0354, 0)</f>
        <v>30.162099999999999</v>
      </c>
      <c r="D390" s="14">
        <f>30.1189 * CHOOSE(CONTROL!$C$15, $E$9, 100%, $G$9) + CHOOSE(CONTROL!$C$38, 0.0354, 0)</f>
        <v>30.154299999999999</v>
      </c>
      <c r="E390" s="46">
        <f>31.8307 * CHOOSE(CONTROL!$C$15, $E$9, 100%, $G$9) + CHOOSE(CONTROL!$C$38, 0.0354, 0)</f>
        <v>31.866099999999999</v>
      </c>
      <c r="F390" s="45">
        <f>31.8307 * CHOOSE(CONTROL!$C$15, $E$9, 100%, $G$9) + CHOOSE(CONTROL!$C$38, 0.0264, 0)</f>
        <v>31.857099999999999</v>
      </c>
      <c r="G390" s="14">
        <f>30.1252 * CHOOSE(CONTROL!$C$15, $E$9, 100%, $G$9) + CHOOSE(CONTROL!$C$38, 0.0354, 0)</f>
        <v>30.160599999999999</v>
      </c>
      <c r="H390" s="14">
        <f>30.1252 * CHOOSE(CONTROL!$C$15, $E$9, 100%, $G$9) + CHOOSE(CONTROL!$C$38, 0.0354, 0)</f>
        <v>30.160599999999999</v>
      </c>
      <c r="I390" s="14">
        <f>30.1267 * CHOOSE(CONTROL!$C$15, $E$9, 100%, $G$9) + CHOOSE(CONTROL!$C$38, 0.0354, 0)</f>
        <v>30.162099999999999</v>
      </c>
      <c r="J390" s="44">
        <f>251.9365</f>
        <v>251.9365</v>
      </c>
    </row>
    <row r="391" spans="1:10" ht="15.75" x14ac:dyDescent="0.25">
      <c r="A391" s="33">
        <v>52840</v>
      </c>
      <c r="B391" s="14">
        <f>32.1459 * CHOOSE(CONTROL!$C$15, $E$9, 100%, $G$9) + CHOOSE(CONTROL!$C$38, 0.0264, 0)</f>
        <v>32.1723</v>
      </c>
      <c r="C391" s="14">
        <f>30.2857 * CHOOSE(CONTROL!$C$15, $E$9, 100%, $G$9) + CHOOSE(CONTROL!$C$38, 0.0354, 0)</f>
        <v>30.321099999999998</v>
      </c>
      <c r="D391" s="14">
        <f>30.2779 * CHOOSE(CONTROL!$C$15, $E$9, 100%, $G$9) + CHOOSE(CONTROL!$C$38, 0.0354, 0)</f>
        <v>30.313299999999998</v>
      </c>
      <c r="E391" s="46">
        <f>31.9896 * CHOOSE(CONTROL!$C$15, $E$9, 100%, $G$9) + CHOOSE(CONTROL!$C$38, 0.0354, 0)</f>
        <v>32.024999999999999</v>
      </c>
      <c r="F391" s="45">
        <f>31.9896 * CHOOSE(CONTROL!$C$15, $E$9, 100%, $G$9) + CHOOSE(CONTROL!$C$38, 0.0264, 0)</f>
        <v>32.015999999999998</v>
      </c>
      <c r="G391" s="14">
        <f>30.2841 * CHOOSE(CONTROL!$C$15, $E$9, 100%, $G$9) + CHOOSE(CONTROL!$C$38, 0.0354, 0)</f>
        <v>30.319499999999998</v>
      </c>
      <c r="H391" s="14">
        <f>30.2841 * CHOOSE(CONTROL!$C$15, $E$9, 100%, $G$9) + CHOOSE(CONTROL!$C$38, 0.0354, 0)</f>
        <v>30.319499999999998</v>
      </c>
      <c r="I391" s="14">
        <f>30.2857 * CHOOSE(CONTROL!$C$15, $E$9, 100%, $G$9) + CHOOSE(CONTROL!$C$38, 0.0354, 0)</f>
        <v>30.321099999999998</v>
      </c>
      <c r="J391" s="44">
        <f>246.0715</f>
        <v>246.07149999999999</v>
      </c>
    </row>
    <row r="392" spans="1:10" ht="15.75" x14ac:dyDescent="0.25">
      <c r="A392" s="33">
        <v>52870</v>
      </c>
      <c r="B392" s="14">
        <f>32.5776 * CHOOSE(CONTROL!$C$15, $E$9, 100%, $G$9) + CHOOSE(CONTROL!$C$38, 0.0264, 0)</f>
        <v>32.603999999999999</v>
      </c>
      <c r="C392" s="14">
        <f>30.7174 * CHOOSE(CONTROL!$C$15, $E$9, 100%, $G$9) + CHOOSE(CONTROL!$C$38, 0.0354, 0)</f>
        <v>30.752800000000001</v>
      </c>
      <c r="D392" s="14">
        <f>30.7096 * CHOOSE(CONTROL!$C$15, $E$9, 100%, $G$9) + CHOOSE(CONTROL!$C$38, 0.0354, 0)</f>
        <v>30.744999999999997</v>
      </c>
      <c r="E392" s="46">
        <f>32.4213 * CHOOSE(CONTROL!$C$15, $E$9, 100%, $G$9) + CHOOSE(CONTROL!$C$38, 0.0354, 0)</f>
        <v>32.456700000000005</v>
      </c>
      <c r="F392" s="45">
        <f>32.4213 * CHOOSE(CONTROL!$C$15, $E$9, 100%, $G$9) + CHOOSE(CONTROL!$C$38, 0.0264, 0)</f>
        <v>32.447700000000005</v>
      </c>
      <c r="G392" s="14">
        <f>30.7158 * CHOOSE(CONTROL!$C$15, $E$9, 100%, $G$9) + CHOOSE(CONTROL!$C$38, 0.0354, 0)</f>
        <v>30.751200000000001</v>
      </c>
      <c r="H392" s="14">
        <f>30.7158 * CHOOSE(CONTROL!$C$15, $E$9, 100%, $G$9) + CHOOSE(CONTROL!$C$38, 0.0354, 0)</f>
        <v>30.751200000000001</v>
      </c>
      <c r="I392" s="14">
        <f>30.7174 * CHOOSE(CONTROL!$C$15, $E$9, 100%, $G$9) + CHOOSE(CONTROL!$C$38, 0.0354, 0)</f>
        <v>30.752800000000001</v>
      </c>
      <c r="J392" s="44">
        <f>237.8925</f>
        <v>237.89250000000001</v>
      </c>
    </row>
    <row r="393" spans="1:10" ht="15.75" x14ac:dyDescent="0.25">
      <c r="A393" s="33">
        <v>52901</v>
      </c>
      <c r="B393" s="14">
        <f>32.9391 * CHOOSE(CONTROL!$C$15, $E$9, 100%, $G$9) + CHOOSE(CONTROL!$C$38, 0.0251, 0)</f>
        <v>32.964200000000005</v>
      </c>
      <c r="C393" s="14">
        <f>31.079 * CHOOSE(CONTROL!$C$15, $E$9, 100%, $G$9) + CHOOSE(CONTROL!$C$38, 0.0342, 0)</f>
        <v>31.113199999999999</v>
      </c>
      <c r="D393" s="14">
        <f>31.0711 * CHOOSE(CONTROL!$C$15, $E$9, 100%, $G$9) + CHOOSE(CONTROL!$C$38, 0.0342, 0)</f>
        <v>31.1053</v>
      </c>
      <c r="E393" s="46">
        <f>32.7829 * CHOOSE(CONTROL!$C$15, $E$9, 100%, $G$9) + CHOOSE(CONTROL!$C$38, 0.0342, 0)</f>
        <v>32.817099999999996</v>
      </c>
      <c r="F393" s="45">
        <f>32.7829 * CHOOSE(CONTROL!$C$15, $E$9, 100%, $G$9) + CHOOSE(CONTROL!$C$38, 0.0251, 0)</f>
        <v>32.808</v>
      </c>
      <c r="G393" s="14">
        <f>31.0774 * CHOOSE(CONTROL!$C$15, $E$9, 100%, $G$9) + CHOOSE(CONTROL!$C$38, 0.0342, 0)</f>
        <v>31.111599999999999</v>
      </c>
      <c r="H393" s="14">
        <f>31.0774 * CHOOSE(CONTROL!$C$15, $E$9, 100%, $G$9) + CHOOSE(CONTROL!$C$38, 0.0342, 0)</f>
        <v>31.111599999999999</v>
      </c>
      <c r="I393" s="14">
        <f>31.079 * CHOOSE(CONTROL!$C$15, $E$9, 100%, $G$9) + CHOOSE(CONTROL!$C$38, 0.0342, 0)</f>
        <v>31.113199999999999</v>
      </c>
      <c r="J393" s="44">
        <f>229.666</f>
        <v>229.666</v>
      </c>
    </row>
    <row r="394" spans="1:10" ht="15.75" x14ac:dyDescent="0.25">
      <c r="A394" s="33">
        <v>52931</v>
      </c>
      <c r="B394" s="14">
        <f>33.2408 * CHOOSE(CONTROL!$C$15, $E$9, 100%, $G$9) + CHOOSE(CONTROL!$C$38, 0.0251, 0)</f>
        <v>33.265900000000002</v>
      </c>
      <c r="C394" s="14">
        <f>31.3807 * CHOOSE(CONTROL!$C$15, $E$9, 100%, $G$9) + CHOOSE(CONTROL!$C$38, 0.0342, 0)</f>
        <v>31.414899999999999</v>
      </c>
      <c r="D394" s="14">
        <f>31.3728 * CHOOSE(CONTROL!$C$15, $E$9, 100%, $G$9) + CHOOSE(CONTROL!$C$38, 0.0342, 0)</f>
        <v>31.407</v>
      </c>
      <c r="E394" s="46">
        <f>33.0846 * CHOOSE(CONTROL!$C$15, $E$9, 100%, $G$9) + CHOOSE(CONTROL!$C$38, 0.0342, 0)</f>
        <v>33.1188</v>
      </c>
      <c r="F394" s="45">
        <f>33.0846 * CHOOSE(CONTROL!$C$15, $E$9, 100%, $G$9) + CHOOSE(CONTROL!$C$38, 0.0251, 0)</f>
        <v>33.109700000000004</v>
      </c>
      <c r="G394" s="14">
        <f>31.3791 * CHOOSE(CONTROL!$C$15, $E$9, 100%, $G$9) + CHOOSE(CONTROL!$C$38, 0.0342, 0)</f>
        <v>31.4133</v>
      </c>
      <c r="H394" s="14">
        <f>31.3791 * CHOOSE(CONTROL!$C$15, $E$9, 100%, $G$9) + CHOOSE(CONTROL!$C$38, 0.0342, 0)</f>
        <v>31.4133</v>
      </c>
      <c r="I394" s="14">
        <f>31.3807 * CHOOSE(CONTROL!$C$15, $E$9, 100%, $G$9) + CHOOSE(CONTROL!$C$38, 0.0342, 0)</f>
        <v>31.414899999999999</v>
      </c>
      <c r="J394" s="44">
        <f>228.0295</f>
        <v>228.02950000000001</v>
      </c>
    </row>
    <row r="395" spans="1:10" ht="15.75" x14ac:dyDescent="0.25">
      <c r="A395" s="33">
        <v>52962</v>
      </c>
      <c r="B395" s="14">
        <f>34.1705 * CHOOSE(CONTROL!$C$15, $E$9, 100%, $G$9) + CHOOSE(CONTROL!$C$38, 0.0251, 0)</f>
        <v>34.195599999999999</v>
      </c>
      <c r="C395" s="14">
        <f>32.3103 * CHOOSE(CONTROL!$C$15, $E$9, 100%, $G$9) + CHOOSE(CONTROL!$C$38, 0.0342, 0)</f>
        <v>32.344499999999996</v>
      </c>
      <c r="D395" s="14">
        <f>32.3025 * CHOOSE(CONTROL!$C$15, $E$9, 100%, $G$9) + CHOOSE(CONTROL!$C$38, 0.0342, 0)</f>
        <v>32.3367</v>
      </c>
      <c r="E395" s="46">
        <f>34.0143 * CHOOSE(CONTROL!$C$15, $E$9, 100%, $G$9) + CHOOSE(CONTROL!$C$38, 0.0342, 0)</f>
        <v>34.048499999999997</v>
      </c>
      <c r="F395" s="45">
        <f>34.0143 * CHOOSE(CONTROL!$C$15, $E$9, 100%, $G$9) + CHOOSE(CONTROL!$C$38, 0.0251, 0)</f>
        <v>34.039400000000001</v>
      </c>
      <c r="G395" s="14">
        <f>32.3088 * CHOOSE(CONTROL!$C$15, $E$9, 100%, $G$9) + CHOOSE(CONTROL!$C$38, 0.0342, 0)</f>
        <v>32.342999999999996</v>
      </c>
      <c r="H395" s="14">
        <f>32.3088 * CHOOSE(CONTROL!$C$15, $E$9, 100%, $G$9) + CHOOSE(CONTROL!$C$38, 0.0342, 0)</f>
        <v>32.342999999999996</v>
      </c>
      <c r="I395" s="14">
        <f>32.3103 * CHOOSE(CONTROL!$C$15, $E$9, 100%, $G$9) + CHOOSE(CONTROL!$C$38, 0.0342, 0)</f>
        <v>32.344499999999996</v>
      </c>
      <c r="J395" s="44">
        <f>221.2627</f>
        <v>221.2627</v>
      </c>
    </row>
    <row r="396" spans="1:10" ht="15.75" x14ac:dyDescent="0.25">
      <c r="A396" s="33">
        <v>52993</v>
      </c>
      <c r="B396" s="14">
        <f>35.4537 * CHOOSE(CONTROL!$C$15, $E$9, 100%, $G$9) + CHOOSE(CONTROL!$C$38, 0.0251, 0)</f>
        <v>35.4788</v>
      </c>
      <c r="C396" s="14">
        <f>33.5649 * CHOOSE(CONTROL!$C$15, $E$9, 100%, $G$9) + CHOOSE(CONTROL!$C$38, 0.0342, 0)</f>
        <v>33.5991</v>
      </c>
      <c r="D396" s="14">
        <f>33.557 * CHOOSE(CONTROL!$C$15, $E$9, 100%, $G$9) + CHOOSE(CONTROL!$C$38, 0.0342, 0)</f>
        <v>33.591200000000001</v>
      </c>
      <c r="E396" s="46">
        <f>35.2974 * CHOOSE(CONTROL!$C$15, $E$9, 100%, $G$9) + CHOOSE(CONTROL!$C$38, 0.0342, 0)</f>
        <v>35.331600000000002</v>
      </c>
      <c r="F396" s="45">
        <f>35.2974 * CHOOSE(CONTROL!$C$15, $E$9, 100%, $G$9) + CHOOSE(CONTROL!$C$38, 0.0251, 0)</f>
        <v>35.322500000000005</v>
      </c>
      <c r="G396" s="14">
        <f>33.5633 * CHOOSE(CONTROL!$C$15, $E$9, 100%, $G$9) + CHOOSE(CONTROL!$C$38, 0.0342, 0)</f>
        <v>33.597499999999997</v>
      </c>
      <c r="H396" s="14">
        <f>33.5633 * CHOOSE(CONTROL!$C$15, $E$9, 100%, $G$9) + CHOOSE(CONTROL!$C$38, 0.0342, 0)</f>
        <v>33.597499999999997</v>
      </c>
      <c r="I396" s="14">
        <f>33.5649 * CHOOSE(CONTROL!$C$15, $E$9, 100%, $G$9) + CHOOSE(CONTROL!$C$38, 0.0342, 0)</f>
        <v>33.5991</v>
      </c>
      <c r="J396" s="44">
        <f>221.103</f>
        <v>221.10300000000001</v>
      </c>
    </row>
    <row r="397" spans="1:10" ht="15.75" x14ac:dyDescent="0.25">
      <c r="A397" s="33">
        <v>53021</v>
      </c>
      <c r="B397" s="14">
        <f>35.798 * CHOOSE(CONTROL!$C$15, $E$9, 100%, $G$9) + CHOOSE(CONTROL!$C$38, 0.0251, 0)</f>
        <v>35.823100000000004</v>
      </c>
      <c r="C397" s="14">
        <f>33.9092 * CHOOSE(CONTROL!$C$15, $E$9, 100%, $G$9) + CHOOSE(CONTROL!$C$38, 0.0342, 0)</f>
        <v>33.943399999999997</v>
      </c>
      <c r="D397" s="14">
        <f>33.9014 * CHOOSE(CONTROL!$C$15, $E$9, 100%, $G$9) + CHOOSE(CONTROL!$C$38, 0.0342, 0)</f>
        <v>33.935600000000001</v>
      </c>
      <c r="E397" s="46">
        <f>35.6417 * CHOOSE(CONTROL!$C$15, $E$9, 100%, $G$9) + CHOOSE(CONTROL!$C$38, 0.0342, 0)</f>
        <v>35.675899999999999</v>
      </c>
      <c r="F397" s="45">
        <f>35.6417 * CHOOSE(CONTROL!$C$15, $E$9, 100%, $G$9) + CHOOSE(CONTROL!$C$38, 0.0251, 0)</f>
        <v>35.666800000000002</v>
      </c>
      <c r="G397" s="14">
        <f>33.9076 * CHOOSE(CONTROL!$C$15, $E$9, 100%, $G$9) + CHOOSE(CONTROL!$C$38, 0.0342, 0)</f>
        <v>33.941800000000001</v>
      </c>
      <c r="H397" s="14">
        <f>33.9076 * CHOOSE(CONTROL!$C$15, $E$9, 100%, $G$9) + CHOOSE(CONTROL!$C$38, 0.0342, 0)</f>
        <v>33.941800000000001</v>
      </c>
      <c r="I397" s="14">
        <f>33.9092 * CHOOSE(CONTROL!$C$15, $E$9, 100%, $G$9) + CHOOSE(CONTROL!$C$38, 0.0342, 0)</f>
        <v>33.943399999999997</v>
      </c>
      <c r="J397" s="44">
        <f>220.4884</f>
        <v>220.48840000000001</v>
      </c>
    </row>
    <row r="398" spans="1:10" ht="15.75" x14ac:dyDescent="0.25">
      <c r="A398" s="33">
        <v>53052</v>
      </c>
      <c r="B398" s="14">
        <f>35.0009 * CHOOSE(CONTROL!$C$15, $E$9, 100%, $G$9) + CHOOSE(CONTROL!$C$38, 0.0251, 0)</f>
        <v>35.026000000000003</v>
      </c>
      <c r="C398" s="14">
        <f>33.1121 * CHOOSE(CONTROL!$C$15, $E$9, 100%, $G$9) + CHOOSE(CONTROL!$C$38, 0.0342, 0)</f>
        <v>33.146299999999997</v>
      </c>
      <c r="D398" s="14">
        <f>33.1043 * CHOOSE(CONTROL!$C$15, $E$9, 100%, $G$9) + CHOOSE(CONTROL!$C$38, 0.0342, 0)</f>
        <v>33.138500000000001</v>
      </c>
      <c r="E398" s="46">
        <f>34.8447 * CHOOSE(CONTROL!$C$15, $E$9, 100%, $G$9) + CHOOSE(CONTROL!$C$38, 0.0342, 0)</f>
        <v>34.878900000000002</v>
      </c>
      <c r="F398" s="45">
        <f>34.8447 * CHOOSE(CONTROL!$C$15, $E$9, 100%, $G$9) + CHOOSE(CONTROL!$C$38, 0.0251, 0)</f>
        <v>34.869800000000005</v>
      </c>
      <c r="G398" s="14">
        <f>33.1106 * CHOOSE(CONTROL!$C$15, $E$9, 100%, $G$9) + CHOOSE(CONTROL!$C$38, 0.0342, 0)</f>
        <v>33.144799999999996</v>
      </c>
      <c r="H398" s="14">
        <f>33.1106 * CHOOSE(CONTROL!$C$15, $E$9, 100%, $G$9) + CHOOSE(CONTROL!$C$38, 0.0342, 0)</f>
        <v>33.144799999999996</v>
      </c>
      <c r="I398" s="14">
        <f>33.1121 * CHOOSE(CONTROL!$C$15, $E$9, 100%, $G$9) + CHOOSE(CONTROL!$C$38, 0.0342, 0)</f>
        <v>33.146299999999997</v>
      </c>
      <c r="J398" s="44">
        <f>232.1094</f>
        <v>232.10939999999999</v>
      </c>
    </row>
    <row r="399" spans="1:10" ht="15.75" x14ac:dyDescent="0.25">
      <c r="A399" s="33">
        <v>53082</v>
      </c>
      <c r="B399" s="14">
        <f>34.2286 * CHOOSE(CONTROL!$C$15, $E$9, 100%, $G$9) + CHOOSE(CONTROL!$C$38, 0.0251, 0)</f>
        <v>34.253700000000002</v>
      </c>
      <c r="C399" s="14">
        <f>32.3398 * CHOOSE(CONTROL!$C$15, $E$9, 100%, $G$9) + CHOOSE(CONTROL!$C$38, 0.0342, 0)</f>
        <v>32.373999999999995</v>
      </c>
      <c r="D399" s="14">
        <f>32.332 * CHOOSE(CONTROL!$C$15, $E$9, 100%, $G$9) + CHOOSE(CONTROL!$C$38, 0.0342, 0)</f>
        <v>32.366199999999999</v>
      </c>
      <c r="E399" s="46">
        <f>34.0724 * CHOOSE(CONTROL!$C$15, $E$9, 100%, $G$9) + CHOOSE(CONTROL!$C$38, 0.0342, 0)</f>
        <v>34.1066</v>
      </c>
      <c r="F399" s="45">
        <f>34.0724 * CHOOSE(CONTROL!$C$15, $E$9, 100%, $G$9) + CHOOSE(CONTROL!$C$38, 0.0251, 0)</f>
        <v>34.097500000000004</v>
      </c>
      <c r="G399" s="14">
        <f>32.3383 * CHOOSE(CONTROL!$C$15, $E$9, 100%, $G$9) + CHOOSE(CONTROL!$C$38, 0.0342, 0)</f>
        <v>32.372499999999995</v>
      </c>
      <c r="H399" s="14">
        <f>32.3383 * CHOOSE(CONTROL!$C$15, $E$9, 100%, $G$9) + CHOOSE(CONTROL!$C$38, 0.0342, 0)</f>
        <v>32.372499999999995</v>
      </c>
      <c r="I399" s="14">
        <f>32.3398 * CHOOSE(CONTROL!$C$15, $E$9, 100%, $G$9) + CHOOSE(CONTROL!$C$38, 0.0342, 0)</f>
        <v>32.373999999999995</v>
      </c>
      <c r="J399" s="44">
        <f>247.1791</f>
        <v>247.17910000000001</v>
      </c>
    </row>
    <row r="400" spans="1:10" ht="15.75" x14ac:dyDescent="0.25">
      <c r="A400" s="33">
        <v>53113</v>
      </c>
      <c r="B400" s="14">
        <f>33.4237 * CHOOSE(CONTROL!$C$15, $E$9, 100%, $G$9) + CHOOSE(CONTROL!$C$38, 0.0264, 0)</f>
        <v>33.450099999999999</v>
      </c>
      <c r="C400" s="14">
        <f>31.5349 * CHOOSE(CONTROL!$C$15, $E$9, 100%, $G$9) + CHOOSE(CONTROL!$C$38, 0.0354, 0)</f>
        <v>31.5703</v>
      </c>
      <c r="D400" s="14">
        <f>31.527 * CHOOSE(CONTROL!$C$15, $E$9, 100%, $G$9) + CHOOSE(CONTROL!$C$38, 0.0354, 0)</f>
        <v>31.5624</v>
      </c>
      <c r="E400" s="46">
        <f>33.2674 * CHOOSE(CONTROL!$C$15, $E$9, 100%, $G$9) + CHOOSE(CONTROL!$C$38, 0.0354, 0)</f>
        <v>33.302800000000005</v>
      </c>
      <c r="F400" s="45">
        <f>33.2674 * CHOOSE(CONTROL!$C$15, $E$9, 100%, $G$9) + CHOOSE(CONTROL!$C$38, 0.0264, 0)</f>
        <v>33.293800000000005</v>
      </c>
      <c r="G400" s="14">
        <f>31.5333 * CHOOSE(CONTROL!$C$15, $E$9, 100%, $G$9) + CHOOSE(CONTROL!$C$38, 0.0354, 0)</f>
        <v>31.5687</v>
      </c>
      <c r="H400" s="14">
        <f>31.5333 * CHOOSE(CONTROL!$C$15, $E$9, 100%, $G$9) + CHOOSE(CONTROL!$C$38, 0.0354, 0)</f>
        <v>31.5687</v>
      </c>
      <c r="I400" s="14">
        <f>31.5349 * CHOOSE(CONTROL!$C$15, $E$9, 100%, $G$9) + CHOOSE(CONTROL!$C$38, 0.0354, 0)</f>
        <v>31.5703</v>
      </c>
      <c r="J400" s="44">
        <f>255.4739</f>
        <v>255.47389999999999</v>
      </c>
    </row>
    <row r="401" spans="1:10" ht="15.75" x14ac:dyDescent="0.25">
      <c r="A401" s="33">
        <v>53143</v>
      </c>
      <c r="B401" s="14">
        <f>32.8593 * CHOOSE(CONTROL!$C$15, $E$9, 100%, $G$9) + CHOOSE(CONTROL!$C$38, 0.0264, 0)</f>
        <v>32.8857</v>
      </c>
      <c r="C401" s="14">
        <f>30.9705 * CHOOSE(CONTROL!$C$15, $E$9, 100%, $G$9) + CHOOSE(CONTROL!$C$38, 0.0354, 0)</f>
        <v>31.0059</v>
      </c>
      <c r="D401" s="14">
        <f>30.9627 * CHOOSE(CONTROL!$C$15, $E$9, 100%, $G$9) + CHOOSE(CONTROL!$C$38, 0.0354, 0)</f>
        <v>30.998100000000001</v>
      </c>
      <c r="E401" s="46">
        <f>32.7031 * CHOOSE(CONTROL!$C$15, $E$9, 100%, $G$9) + CHOOSE(CONTROL!$C$38, 0.0354, 0)</f>
        <v>32.738500000000002</v>
      </c>
      <c r="F401" s="45">
        <f>32.7031 * CHOOSE(CONTROL!$C$15, $E$9, 100%, $G$9) + CHOOSE(CONTROL!$C$38, 0.0264, 0)</f>
        <v>32.729500000000002</v>
      </c>
      <c r="G401" s="14">
        <f>30.969 * CHOOSE(CONTROL!$C$15, $E$9, 100%, $G$9) + CHOOSE(CONTROL!$C$38, 0.0354, 0)</f>
        <v>31.0044</v>
      </c>
      <c r="H401" s="14">
        <f>30.969 * CHOOSE(CONTROL!$C$15, $E$9, 100%, $G$9) + CHOOSE(CONTROL!$C$38, 0.0354, 0)</f>
        <v>31.0044</v>
      </c>
      <c r="I401" s="14">
        <f>30.9705 * CHOOSE(CONTROL!$C$15, $E$9, 100%, $G$9) + CHOOSE(CONTROL!$C$38, 0.0354, 0)</f>
        <v>31.0059</v>
      </c>
      <c r="J401" s="44">
        <f>259.155</f>
        <v>259.15499999999997</v>
      </c>
    </row>
    <row r="402" spans="1:10" ht="15.75" x14ac:dyDescent="0.25">
      <c r="A402" s="33">
        <v>53174</v>
      </c>
      <c r="B402" s="14">
        <f>32.5373 * CHOOSE(CONTROL!$C$15, $E$9, 100%, $G$9) + CHOOSE(CONTROL!$C$38, 0.0264, 0)</f>
        <v>32.563700000000004</v>
      </c>
      <c r="C402" s="14">
        <f>30.6485 * CHOOSE(CONTROL!$C$15, $E$9, 100%, $G$9) + CHOOSE(CONTROL!$C$38, 0.0354, 0)</f>
        <v>30.683899999999998</v>
      </c>
      <c r="D402" s="14">
        <f>30.6407 * CHOOSE(CONTROL!$C$15, $E$9, 100%, $G$9) + CHOOSE(CONTROL!$C$38, 0.0354, 0)</f>
        <v>30.676099999999998</v>
      </c>
      <c r="E402" s="46">
        <f>32.381 * CHOOSE(CONTROL!$C$15, $E$9, 100%, $G$9) + CHOOSE(CONTROL!$C$38, 0.0354, 0)</f>
        <v>32.416400000000003</v>
      </c>
      <c r="F402" s="45">
        <f>32.381 * CHOOSE(CONTROL!$C$15, $E$9, 100%, $G$9) + CHOOSE(CONTROL!$C$38, 0.0264, 0)</f>
        <v>32.407400000000003</v>
      </c>
      <c r="G402" s="14">
        <f>30.6469 * CHOOSE(CONTROL!$C$15, $E$9, 100%, $G$9) + CHOOSE(CONTROL!$C$38, 0.0354, 0)</f>
        <v>30.682299999999998</v>
      </c>
      <c r="H402" s="14">
        <f>30.6469 * CHOOSE(CONTROL!$C$15, $E$9, 100%, $G$9) + CHOOSE(CONTROL!$C$38, 0.0354, 0)</f>
        <v>30.682299999999998</v>
      </c>
      <c r="I402" s="14">
        <f>30.6485 * CHOOSE(CONTROL!$C$15, $E$9, 100%, $G$9) + CHOOSE(CONTROL!$C$38, 0.0354, 0)</f>
        <v>30.683899999999998</v>
      </c>
      <c r="J402" s="44">
        <f>257.943</f>
        <v>257.94299999999998</v>
      </c>
    </row>
    <row r="403" spans="1:10" ht="15.75" x14ac:dyDescent="0.25">
      <c r="A403" s="33">
        <v>53205</v>
      </c>
      <c r="B403" s="14">
        <f>32.6962 * CHOOSE(CONTROL!$C$15, $E$9, 100%, $G$9) + CHOOSE(CONTROL!$C$38, 0.0264, 0)</f>
        <v>32.7226</v>
      </c>
      <c r="C403" s="14">
        <f>30.8074 * CHOOSE(CONTROL!$C$15, $E$9, 100%, $G$9) + CHOOSE(CONTROL!$C$38, 0.0354, 0)</f>
        <v>30.8428</v>
      </c>
      <c r="D403" s="14">
        <f>30.7996 * CHOOSE(CONTROL!$C$15, $E$9, 100%, $G$9) + CHOOSE(CONTROL!$C$38, 0.0354, 0)</f>
        <v>30.835000000000001</v>
      </c>
      <c r="E403" s="46">
        <f>32.54 * CHOOSE(CONTROL!$C$15, $E$9, 100%, $G$9) + CHOOSE(CONTROL!$C$38, 0.0354, 0)</f>
        <v>32.575400000000002</v>
      </c>
      <c r="F403" s="45">
        <f>32.54 * CHOOSE(CONTROL!$C$15, $E$9, 100%, $G$9) + CHOOSE(CONTROL!$C$38, 0.0264, 0)</f>
        <v>32.566400000000002</v>
      </c>
      <c r="G403" s="14">
        <f>30.8058 * CHOOSE(CONTROL!$C$15, $E$9, 100%, $G$9) + CHOOSE(CONTROL!$C$38, 0.0354, 0)</f>
        <v>30.841200000000001</v>
      </c>
      <c r="H403" s="14">
        <f>30.8058 * CHOOSE(CONTROL!$C$15, $E$9, 100%, $G$9) + CHOOSE(CONTROL!$C$38, 0.0354, 0)</f>
        <v>30.841200000000001</v>
      </c>
      <c r="I403" s="14">
        <f>30.8074 * CHOOSE(CONTROL!$C$15, $E$9, 100%, $G$9) + CHOOSE(CONTROL!$C$38, 0.0354, 0)</f>
        <v>30.8428</v>
      </c>
      <c r="J403" s="44">
        <f>251.9382</f>
        <v>251.93819999999999</v>
      </c>
    </row>
    <row r="404" spans="1:10" ht="15.75" x14ac:dyDescent="0.25">
      <c r="A404" s="33">
        <v>53235</v>
      </c>
      <c r="B404" s="14">
        <f>33.1279 * CHOOSE(CONTROL!$C$15, $E$9, 100%, $G$9) + CHOOSE(CONTROL!$C$38, 0.0264, 0)</f>
        <v>33.154299999999999</v>
      </c>
      <c r="C404" s="14">
        <f>31.2391 * CHOOSE(CONTROL!$C$15, $E$9, 100%, $G$9) + CHOOSE(CONTROL!$C$38, 0.0354, 0)</f>
        <v>31.2745</v>
      </c>
      <c r="D404" s="14">
        <f>31.2313 * CHOOSE(CONTROL!$C$15, $E$9, 100%, $G$9) + CHOOSE(CONTROL!$C$38, 0.0354, 0)</f>
        <v>31.2667</v>
      </c>
      <c r="E404" s="46">
        <f>32.9717 * CHOOSE(CONTROL!$C$15, $E$9, 100%, $G$9) + CHOOSE(CONTROL!$C$38, 0.0354, 0)</f>
        <v>33.007100000000001</v>
      </c>
      <c r="F404" s="45">
        <f>32.9717 * CHOOSE(CONTROL!$C$15, $E$9, 100%, $G$9) + CHOOSE(CONTROL!$C$38, 0.0264, 0)</f>
        <v>32.998100000000001</v>
      </c>
      <c r="G404" s="14">
        <f>31.2376 * CHOOSE(CONTROL!$C$15, $E$9, 100%, $G$9) + CHOOSE(CONTROL!$C$38, 0.0354, 0)</f>
        <v>31.273</v>
      </c>
      <c r="H404" s="14">
        <f>31.2376 * CHOOSE(CONTROL!$C$15, $E$9, 100%, $G$9) + CHOOSE(CONTROL!$C$38, 0.0354, 0)</f>
        <v>31.273</v>
      </c>
      <c r="I404" s="14">
        <f>31.2391 * CHOOSE(CONTROL!$C$15, $E$9, 100%, $G$9) + CHOOSE(CONTROL!$C$38, 0.0354, 0)</f>
        <v>31.2745</v>
      </c>
      <c r="J404" s="44">
        <f>243.5642</f>
        <v>243.5642</v>
      </c>
    </row>
    <row r="405" spans="1:10" ht="15.75" x14ac:dyDescent="0.25">
      <c r="A405" s="33">
        <v>53266</v>
      </c>
      <c r="B405" s="14">
        <f>33.4895 * CHOOSE(CONTROL!$C$15, $E$9, 100%, $G$9) + CHOOSE(CONTROL!$C$38, 0.0251, 0)</f>
        <v>33.514600000000002</v>
      </c>
      <c r="C405" s="14">
        <f>31.6007 * CHOOSE(CONTROL!$C$15, $E$9, 100%, $G$9) + CHOOSE(CONTROL!$C$38, 0.0342, 0)</f>
        <v>31.634899999999998</v>
      </c>
      <c r="D405" s="14">
        <f>31.5929 * CHOOSE(CONTROL!$C$15, $E$9, 100%, $G$9) + CHOOSE(CONTROL!$C$38, 0.0342, 0)</f>
        <v>31.627099999999999</v>
      </c>
      <c r="E405" s="46">
        <f>33.3332 * CHOOSE(CONTROL!$C$15, $E$9, 100%, $G$9) + CHOOSE(CONTROL!$C$38, 0.0342, 0)</f>
        <v>33.367399999999996</v>
      </c>
      <c r="F405" s="45">
        <f>33.3332 * CHOOSE(CONTROL!$C$15, $E$9, 100%, $G$9) + CHOOSE(CONTROL!$C$38, 0.0251, 0)</f>
        <v>33.3583</v>
      </c>
      <c r="G405" s="14">
        <f>31.5991 * CHOOSE(CONTROL!$C$15, $E$9, 100%, $G$9) + CHOOSE(CONTROL!$C$38, 0.0342, 0)</f>
        <v>31.633299999999998</v>
      </c>
      <c r="H405" s="14">
        <f>31.5991 * CHOOSE(CONTROL!$C$15, $E$9, 100%, $G$9) + CHOOSE(CONTROL!$C$38, 0.0342, 0)</f>
        <v>31.633299999999998</v>
      </c>
      <c r="I405" s="14">
        <f>31.6007 * CHOOSE(CONTROL!$C$15, $E$9, 100%, $G$9) + CHOOSE(CONTROL!$C$38, 0.0342, 0)</f>
        <v>31.634899999999998</v>
      </c>
      <c r="J405" s="44">
        <f>235.1415</f>
        <v>235.14150000000001</v>
      </c>
    </row>
    <row r="406" spans="1:10" ht="15.75" x14ac:dyDescent="0.25">
      <c r="A406" s="33">
        <v>53296</v>
      </c>
      <c r="B406" s="14">
        <f>33.7912 * CHOOSE(CONTROL!$C$15, $E$9, 100%, $G$9) + CHOOSE(CONTROL!$C$38, 0.0251, 0)</f>
        <v>33.816300000000005</v>
      </c>
      <c r="C406" s="14">
        <f>31.9024 * CHOOSE(CONTROL!$C$15, $E$9, 100%, $G$9) + CHOOSE(CONTROL!$C$38, 0.0342, 0)</f>
        <v>31.936599999999999</v>
      </c>
      <c r="D406" s="14">
        <f>31.8946 * CHOOSE(CONTROL!$C$15, $E$9, 100%, $G$9) + CHOOSE(CONTROL!$C$38, 0.0342, 0)</f>
        <v>31.928799999999999</v>
      </c>
      <c r="E406" s="46">
        <f>33.6349 * CHOOSE(CONTROL!$C$15, $E$9, 100%, $G$9) + CHOOSE(CONTROL!$C$38, 0.0342, 0)</f>
        <v>33.6691</v>
      </c>
      <c r="F406" s="45">
        <f>33.6349 * CHOOSE(CONTROL!$C$15, $E$9, 100%, $G$9) + CHOOSE(CONTROL!$C$38, 0.0251, 0)</f>
        <v>33.660000000000004</v>
      </c>
      <c r="G406" s="14">
        <f>31.9008 * CHOOSE(CONTROL!$C$15, $E$9, 100%, $G$9) + CHOOSE(CONTROL!$C$38, 0.0342, 0)</f>
        <v>31.934999999999999</v>
      </c>
      <c r="H406" s="14">
        <f>31.9008 * CHOOSE(CONTROL!$C$15, $E$9, 100%, $G$9) + CHOOSE(CONTROL!$C$38, 0.0342, 0)</f>
        <v>31.934999999999999</v>
      </c>
      <c r="I406" s="14">
        <f>31.9024 * CHOOSE(CONTROL!$C$15, $E$9, 100%, $G$9) + CHOOSE(CONTROL!$C$38, 0.0342, 0)</f>
        <v>31.936599999999999</v>
      </c>
      <c r="J406" s="44">
        <f>233.4661</f>
        <v>233.46610000000001</v>
      </c>
    </row>
    <row r="407" spans="1:10" ht="15.75" x14ac:dyDescent="0.25">
      <c r="A407" s="33">
        <v>53327</v>
      </c>
      <c r="B407" s="14">
        <f>34.7209 * CHOOSE(CONTROL!$C$15, $E$9, 100%, $G$9) + CHOOSE(CONTROL!$C$38, 0.0251, 0)</f>
        <v>34.746000000000002</v>
      </c>
      <c r="C407" s="14">
        <f>32.8321 * CHOOSE(CONTROL!$C$15, $E$9, 100%, $G$9) + CHOOSE(CONTROL!$C$38, 0.0342, 0)</f>
        <v>32.866299999999995</v>
      </c>
      <c r="D407" s="14">
        <f>32.8242 * CHOOSE(CONTROL!$C$15, $E$9, 100%, $G$9) + CHOOSE(CONTROL!$C$38, 0.0342, 0)</f>
        <v>32.858399999999996</v>
      </c>
      <c r="E407" s="46">
        <f>34.5646 * CHOOSE(CONTROL!$C$15, $E$9, 100%, $G$9) + CHOOSE(CONTROL!$C$38, 0.0342, 0)</f>
        <v>34.598799999999997</v>
      </c>
      <c r="F407" s="45">
        <f>34.5646 * CHOOSE(CONTROL!$C$15, $E$9, 100%, $G$9) + CHOOSE(CONTROL!$C$38, 0.0251, 0)</f>
        <v>34.589700000000001</v>
      </c>
      <c r="G407" s="14">
        <f>32.8305 * CHOOSE(CONTROL!$C$15, $E$9, 100%, $G$9) + CHOOSE(CONTROL!$C$38, 0.0342, 0)</f>
        <v>32.864699999999999</v>
      </c>
      <c r="H407" s="14">
        <f>32.8305 * CHOOSE(CONTROL!$C$15, $E$9, 100%, $G$9) + CHOOSE(CONTROL!$C$38, 0.0342, 0)</f>
        <v>32.864699999999999</v>
      </c>
      <c r="I407" s="14">
        <f>32.8321 * CHOOSE(CONTROL!$C$15, $E$9, 100%, $G$9) + CHOOSE(CONTROL!$C$38, 0.0342, 0)</f>
        <v>32.866299999999995</v>
      </c>
      <c r="J407" s="44">
        <f>226.538</f>
        <v>226.53800000000001</v>
      </c>
    </row>
    <row r="408" spans="1:10" ht="15.75" x14ac:dyDescent="0.25">
      <c r="A408" s="33">
        <v>53358</v>
      </c>
      <c r="B408" s="14">
        <f>36.0133 * CHOOSE(CONTROL!$C$15, $E$9, 100%, $G$9) + CHOOSE(CONTROL!$C$38, 0.0251, 0)</f>
        <v>36.038400000000003</v>
      </c>
      <c r="C408" s="14">
        <f>34.0953 * CHOOSE(CONTROL!$C$15, $E$9, 100%, $G$9) + CHOOSE(CONTROL!$C$38, 0.0342, 0)</f>
        <v>34.1295</v>
      </c>
      <c r="D408" s="14">
        <f>34.0875 * CHOOSE(CONTROL!$C$15, $E$9, 100%, $G$9) + CHOOSE(CONTROL!$C$38, 0.0342, 0)</f>
        <v>34.121699999999997</v>
      </c>
      <c r="E408" s="46">
        <f>35.857 * CHOOSE(CONTROL!$C$15, $E$9, 100%, $G$9) + CHOOSE(CONTROL!$C$38, 0.0342, 0)</f>
        <v>35.891199999999998</v>
      </c>
      <c r="F408" s="45">
        <f>35.857 * CHOOSE(CONTROL!$C$15, $E$9, 100%, $G$9) + CHOOSE(CONTROL!$C$38, 0.0251, 0)</f>
        <v>35.882100000000001</v>
      </c>
      <c r="G408" s="14">
        <f>34.0938 * CHOOSE(CONTROL!$C$15, $E$9, 100%, $G$9) + CHOOSE(CONTROL!$C$38, 0.0342, 0)</f>
        <v>34.128</v>
      </c>
      <c r="H408" s="14">
        <f>34.0938 * CHOOSE(CONTROL!$C$15, $E$9, 100%, $G$9) + CHOOSE(CONTROL!$C$38, 0.0342, 0)</f>
        <v>34.128</v>
      </c>
      <c r="I408" s="14">
        <f>34.0953 * CHOOSE(CONTROL!$C$15, $E$9, 100%, $G$9) + CHOOSE(CONTROL!$C$38, 0.0342, 0)</f>
        <v>34.1295</v>
      </c>
      <c r="J408" s="44">
        <f>226.3744</f>
        <v>226.37440000000001</v>
      </c>
    </row>
    <row r="409" spans="1:10" ht="15.75" x14ac:dyDescent="0.25">
      <c r="A409" s="33">
        <v>53386</v>
      </c>
      <c r="B409" s="14">
        <f>36.3576 * CHOOSE(CONTROL!$C$15, $E$9, 100%, $G$9) + CHOOSE(CONTROL!$C$38, 0.0251, 0)</f>
        <v>36.3827</v>
      </c>
      <c r="C409" s="14">
        <f>34.4397 * CHOOSE(CONTROL!$C$15, $E$9, 100%, $G$9) + CHOOSE(CONTROL!$C$38, 0.0342, 0)</f>
        <v>34.4739</v>
      </c>
      <c r="D409" s="14">
        <f>34.4318 * CHOOSE(CONTROL!$C$15, $E$9, 100%, $G$9) + CHOOSE(CONTROL!$C$38, 0.0342, 0)</f>
        <v>34.466000000000001</v>
      </c>
      <c r="E409" s="46">
        <f>36.2013 * CHOOSE(CONTROL!$C$15, $E$9, 100%, $G$9) + CHOOSE(CONTROL!$C$38, 0.0342, 0)</f>
        <v>36.235500000000002</v>
      </c>
      <c r="F409" s="45">
        <f>36.2013 * CHOOSE(CONTROL!$C$15, $E$9, 100%, $G$9) + CHOOSE(CONTROL!$C$38, 0.0251, 0)</f>
        <v>36.226400000000005</v>
      </c>
      <c r="G409" s="14">
        <f>34.4381 * CHOOSE(CONTROL!$C$15, $E$9, 100%, $G$9) + CHOOSE(CONTROL!$C$38, 0.0342, 0)</f>
        <v>34.472299999999997</v>
      </c>
      <c r="H409" s="14">
        <f>34.4381 * CHOOSE(CONTROL!$C$15, $E$9, 100%, $G$9) + CHOOSE(CONTROL!$C$38, 0.0342, 0)</f>
        <v>34.472299999999997</v>
      </c>
      <c r="I409" s="14">
        <f>34.4397 * CHOOSE(CONTROL!$C$15, $E$9, 100%, $G$9) + CHOOSE(CONTROL!$C$38, 0.0342, 0)</f>
        <v>34.4739</v>
      </c>
      <c r="J409" s="44">
        <f>225.7452</f>
        <v>225.74520000000001</v>
      </c>
    </row>
    <row r="410" spans="1:10" ht="15.75" x14ac:dyDescent="0.25">
      <c r="A410" s="33">
        <v>53417</v>
      </c>
      <c r="B410" s="14">
        <f>35.5605 * CHOOSE(CONTROL!$C$15, $E$9, 100%, $G$9) + CHOOSE(CONTROL!$C$38, 0.0251, 0)</f>
        <v>35.585599999999999</v>
      </c>
      <c r="C410" s="14">
        <f>33.6426 * CHOOSE(CONTROL!$C$15, $E$9, 100%, $G$9) + CHOOSE(CONTROL!$C$38, 0.0342, 0)</f>
        <v>33.6768</v>
      </c>
      <c r="D410" s="14">
        <f>33.6348 * CHOOSE(CONTROL!$C$15, $E$9, 100%, $G$9) + CHOOSE(CONTROL!$C$38, 0.0342, 0)</f>
        <v>33.668999999999997</v>
      </c>
      <c r="E410" s="46">
        <f>35.4043 * CHOOSE(CONTROL!$C$15, $E$9, 100%, $G$9) + CHOOSE(CONTROL!$C$38, 0.0342, 0)</f>
        <v>35.438499999999998</v>
      </c>
      <c r="F410" s="45">
        <f>35.4043 * CHOOSE(CONTROL!$C$15, $E$9, 100%, $G$9) + CHOOSE(CONTROL!$C$38, 0.0251, 0)</f>
        <v>35.429400000000001</v>
      </c>
      <c r="G410" s="14">
        <f>33.6411 * CHOOSE(CONTROL!$C$15, $E$9, 100%, $G$9) + CHOOSE(CONTROL!$C$38, 0.0342, 0)</f>
        <v>33.6753</v>
      </c>
      <c r="H410" s="14">
        <f>33.6411 * CHOOSE(CONTROL!$C$15, $E$9, 100%, $G$9) + CHOOSE(CONTROL!$C$38, 0.0342, 0)</f>
        <v>33.6753</v>
      </c>
      <c r="I410" s="14">
        <f>33.6426 * CHOOSE(CONTROL!$C$15, $E$9, 100%, $G$9) + CHOOSE(CONTROL!$C$38, 0.0342, 0)</f>
        <v>33.6768</v>
      </c>
      <c r="J410" s="44">
        <f>237.6432</f>
        <v>237.64320000000001</v>
      </c>
    </row>
    <row r="411" spans="1:10" ht="15.75" x14ac:dyDescent="0.25">
      <c r="A411" s="33">
        <v>53447</v>
      </c>
      <c r="B411" s="14">
        <f>34.7882 * CHOOSE(CONTROL!$C$15, $E$9, 100%, $G$9) + CHOOSE(CONTROL!$C$38, 0.0251, 0)</f>
        <v>34.813300000000005</v>
      </c>
      <c r="C411" s="14">
        <f>32.8703 * CHOOSE(CONTROL!$C$15, $E$9, 100%, $G$9) + CHOOSE(CONTROL!$C$38, 0.0342, 0)</f>
        <v>32.904499999999999</v>
      </c>
      <c r="D411" s="14">
        <f>32.8625 * CHOOSE(CONTROL!$C$15, $E$9, 100%, $G$9) + CHOOSE(CONTROL!$C$38, 0.0342, 0)</f>
        <v>32.896699999999996</v>
      </c>
      <c r="E411" s="46">
        <f>34.632 * CHOOSE(CONTROL!$C$15, $E$9, 100%, $G$9) + CHOOSE(CONTROL!$C$38, 0.0342, 0)</f>
        <v>34.666199999999996</v>
      </c>
      <c r="F411" s="45">
        <f>34.632 * CHOOSE(CONTROL!$C$15, $E$9, 100%, $G$9) + CHOOSE(CONTROL!$C$38, 0.0251, 0)</f>
        <v>34.6571</v>
      </c>
      <c r="G411" s="14">
        <f>32.8687 * CHOOSE(CONTROL!$C$15, $E$9, 100%, $G$9) + CHOOSE(CONTROL!$C$38, 0.0342, 0)</f>
        <v>32.902899999999995</v>
      </c>
      <c r="H411" s="14">
        <f>32.8687 * CHOOSE(CONTROL!$C$15, $E$9, 100%, $G$9) + CHOOSE(CONTROL!$C$38, 0.0342, 0)</f>
        <v>32.902899999999995</v>
      </c>
      <c r="I411" s="14">
        <f>32.8703 * CHOOSE(CONTROL!$C$15, $E$9, 100%, $G$9) + CHOOSE(CONTROL!$C$38, 0.0342, 0)</f>
        <v>32.904499999999999</v>
      </c>
      <c r="J411" s="44">
        <f>253.0722</f>
        <v>253.07220000000001</v>
      </c>
    </row>
    <row r="412" spans="1:10" ht="15.75" x14ac:dyDescent="0.25">
      <c r="A412" s="33">
        <v>53478</v>
      </c>
      <c r="B412" s="14">
        <f>33.9833 * CHOOSE(CONTROL!$C$15, $E$9, 100%, $G$9) + CHOOSE(CONTROL!$C$38, 0.0264, 0)</f>
        <v>34.009700000000002</v>
      </c>
      <c r="C412" s="14">
        <f>32.0654 * CHOOSE(CONTROL!$C$15, $E$9, 100%, $G$9) + CHOOSE(CONTROL!$C$38, 0.0354, 0)</f>
        <v>32.1008</v>
      </c>
      <c r="D412" s="14">
        <f>32.0575 * CHOOSE(CONTROL!$C$15, $E$9, 100%, $G$9) + CHOOSE(CONTROL!$C$38, 0.0354, 0)</f>
        <v>32.0929</v>
      </c>
      <c r="E412" s="46">
        <f>33.827 * CHOOSE(CONTROL!$C$15, $E$9, 100%, $G$9) + CHOOSE(CONTROL!$C$38, 0.0354, 0)</f>
        <v>33.862400000000001</v>
      </c>
      <c r="F412" s="45">
        <f>33.827 * CHOOSE(CONTROL!$C$15, $E$9, 100%, $G$9) + CHOOSE(CONTROL!$C$38, 0.0264, 0)</f>
        <v>33.853400000000001</v>
      </c>
      <c r="G412" s="14">
        <f>32.0638 * CHOOSE(CONTROL!$C$15, $E$9, 100%, $G$9) + CHOOSE(CONTROL!$C$38, 0.0354, 0)</f>
        <v>32.099200000000003</v>
      </c>
      <c r="H412" s="14">
        <f>32.0638 * CHOOSE(CONTROL!$C$15, $E$9, 100%, $G$9) + CHOOSE(CONTROL!$C$38, 0.0354, 0)</f>
        <v>32.099200000000003</v>
      </c>
      <c r="I412" s="14">
        <f>32.0654 * CHOOSE(CONTROL!$C$15, $E$9, 100%, $G$9) + CHOOSE(CONTROL!$C$38, 0.0354, 0)</f>
        <v>32.1008</v>
      </c>
      <c r="J412" s="44">
        <f>261.5648</f>
        <v>261.56479999999999</v>
      </c>
    </row>
    <row r="413" spans="1:10" ht="15.75" x14ac:dyDescent="0.25">
      <c r="A413" s="33">
        <v>53508</v>
      </c>
      <c r="B413" s="14">
        <f>33.4189 * CHOOSE(CONTROL!$C$15, $E$9, 100%, $G$9) + CHOOSE(CONTROL!$C$38, 0.0264, 0)</f>
        <v>33.445300000000003</v>
      </c>
      <c r="C413" s="14">
        <f>31.501 * CHOOSE(CONTROL!$C$15, $E$9, 100%, $G$9) + CHOOSE(CONTROL!$C$38, 0.0354, 0)</f>
        <v>31.5364</v>
      </c>
      <c r="D413" s="14">
        <f>31.4932 * CHOOSE(CONTROL!$C$15, $E$9, 100%, $G$9) + CHOOSE(CONTROL!$C$38, 0.0354, 0)</f>
        <v>31.528600000000001</v>
      </c>
      <c r="E413" s="46">
        <f>33.2627 * CHOOSE(CONTROL!$C$15, $E$9, 100%, $G$9) + CHOOSE(CONTROL!$C$38, 0.0354, 0)</f>
        <v>33.298100000000005</v>
      </c>
      <c r="F413" s="45">
        <f>33.2627 * CHOOSE(CONTROL!$C$15, $E$9, 100%, $G$9) + CHOOSE(CONTROL!$C$38, 0.0264, 0)</f>
        <v>33.289100000000005</v>
      </c>
      <c r="G413" s="14">
        <f>31.4995 * CHOOSE(CONTROL!$C$15, $E$9, 100%, $G$9) + CHOOSE(CONTROL!$C$38, 0.0354, 0)</f>
        <v>31.5349</v>
      </c>
      <c r="H413" s="14">
        <f>31.4995 * CHOOSE(CONTROL!$C$15, $E$9, 100%, $G$9) + CHOOSE(CONTROL!$C$38, 0.0354, 0)</f>
        <v>31.5349</v>
      </c>
      <c r="I413" s="14">
        <f>31.501 * CHOOSE(CONTROL!$C$15, $E$9, 100%, $G$9) + CHOOSE(CONTROL!$C$38, 0.0354, 0)</f>
        <v>31.5364</v>
      </c>
      <c r="J413" s="44">
        <f>265.3337</f>
        <v>265.33370000000002</v>
      </c>
    </row>
    <row r="414" spans="1:10" ht="15.75" x14ac:dyDescent="0.25">
      <c r="A414" s="33">
        <v>53539</v>
      </c>
      <c r="B414" s="14">
        <f>33.0969 * CHOOSE(CONTROL!$C$15, $E$9, 100%, $G$9) + CHOOSE(CONTROL!$C$38, 0.0264, 0)</f>
        <v>33.1233</v>
      </c>
      <c r="C414" s="14">
        <f>31.179 * CHOOSE(CONTROL!$C$15, $E$9, 100%, $G$9) + CHOOSE(CONTROL!$C$38, 0.0354, 0)</f>
        <v>31.214399999999998</v>
      </c>
      <c r="D414" s="14">
        <f>31.1711 * CHOOSE(CONTROL!$C$15, $E$9, 100%, $G$9) + CHOOSE(CONTROL!$C$38, 0.0354, 0)</f>
        <v>31.206499999999998</v>
      </c>
      <c r="E414" s="46">
        <f>32.9406 * CHOOSE(CONTROL!$C$15, $E$9, 100%, $G$9) + CHOOSE(CONTROL!$C$38, 0.0354, 0)</f>
        <v>32.976000000000006</v>
      </c>
      <c r="F414" s="45">
        <f>32.9406 * CHOOSE(CONTROL!$C$15, $E$9, 100%, $G$9) + CHOOSE(CONTROL!$C$38, 0.0264, 0)</f>
        <v>32.967000000000006</v>
      </c>
      <c r="G414" s="14">
        <f>31.1774 * CHOOSE(CONTROL!$C$15, $E$9, 100%, $G$9) + CHOOSE(CONTROL!$C$38, 0.0354, 0)</f>
        <v>31.212799999999998</v>
      </c>
      <c r="H414" s="14">
        <f>31.1774 * CHOOSE(CONTROL!$C$15, $E$9, 100%, $G$9) + CHOOSE(CONTROL!$C$38, 0.0354, 0)</f>
        <v>31.212799999999998</v>
      </c>
      <c r="I414" s="14">
        <f>31.179 * CHOOSE(CONTROL!$C$15, $E$9, 100%, $G$9) + CHOOSE(CONTROL!$C$38, 0.0354, 0)</f>
        <v>31.214399999999998</v>
      </c>
      <c r="J414" s="44">
        <f>264.0928</f>
        <v>264.09280000000001</v>
      </c>
    </row>
    <row r="415" spans="1:10" ht="15.75" x14ac:dyDescent="0.25">
      <c r="A415" s="33">
        <v>53570</v>
      </c>
      <c r="B415" s="14">
        <f>33.2558 * CHOOSE(CONTROL!$C$15, $E$9, 100%, $G$9) + CHOOSE(CONTROL!$C$38, 0.0264, 0)</f>
        <v>33.282200000000003</v>
      </c>
      <c r="C415" s="14">
        <f>31.3379 * CHOOSE(CONTROL!$C$15, $E$9, 100%, $G$9) + CHOOSE(CONTROL!$C$38, 0.0354, 0)</f>
        <v>31.3733</v>
      </c>
      <c r="D415" s="14">
        <f>31.3301 * CHOOSE(CONTROL!$C$15, $E$9, 100%, $G$9) + CHOOSE(CONTROL!$C$38, 0.0354, 0)</f>
        <v>31.365500000000001</v>
      </c>
      <c r="E415" s="46">
        <f>33.0996 * CHOOSE(CONTROL!$C$15, $E$9, 100%, $G$9) + CHOOSE(CONTROL!$C$38, 0.0354, 0)</f>
        <v>33.135000000000005</v>
      </c>
      <c r="F415" s="45">
        <f>33.0996 * CHOOSE(CONTROL!$C$15, $E$9, 100%, $G$9) + CHOOSE(CONTROL!$C$38, 0.0264, 0)</f>
        <v>33.126000000000005</v>
      </c>
      <c r="G415" s="14">
        <f>31.3363 * CHOOSE(CONTROL!$C$15, $E$9, 100%, $G$9) + CHOOSE(CONTROL!$C$38, 0.0354, 0)</f>
        <v>31.371700000000001</v>
      </c>
      <c r="H415" s="14">
        <f>31.3363 * CHOOSE(CONTROL!$C$15, $E$9, 100%, $G$9) + CHOOSE(CONTROL!$C$38, 0.0354, 0)</f>
        <v>31.371700000000001</v>
      </c>
      <c r="I415" s="14">
        <f>31.3379 * CHOOSE(CONTROL!$C$15, $E$9, 100%, $G$9) + CHOOSE(CONTROL!$C$38, 0.0354, 0)</f>
        <v>31.3733</v>
      </c>
      <c r="J415" s="44">
        <f>257.9448</f>
        <v>257.94479999999999</v>
      </c>
    </row>
    <row r="416" spans="1:10" ht="15.75" x14ac:dyDescent="0.25">
      <c r="A416" s="33">
        <v>53600</v>
      </c>
      <c r="B416" s="14">
        <f>33.6875 * CHOOSE(CONTROL!$C$15, $E$9, 100%, $G$9) + CHOOSE(CONTROL!$C$38, 0.0264, 0)</f>
        <v>33.713900000000002</v>
      </c>
      <c r="C416" s="14">
        <f>31.7696 * CHOOSE(CONTROL!$C$15, $E$9, 100%, $G$9) + CHOOSE(CONTROL!$C$38, 0.0354, 0)</f>
        <v>31.805</v>
      </c>
      <c r="D416" s="14">
        <f>31.7618 * CHOOSE(CONTROL!$C$15, $E$9, 100%, $G$9) + CHOOSE(CONTROL!$C$38, 0.0354, 0)</f>
        <v>31.7972</v>
      </c>
      <c r="E416" s="46">
        <f>33.5313 * CHOOSE(CONTROL!$C$15, $E$9, 100%, $G$9) + CHOOSE(CONTROL!$C$38, 0.0354, 0)</f>
        <v>33.566700000000004</v>
      </c>
      <c r="F416" s="45">
        <f>33.5313 * CHOOSE(CONTROL!$C$15, $E$9, 100%, $G$9) + CHOOSE(CONTROL!$C$38, 0.0264, 0)</f>
        <v>33.557700000000004</v>
      </c>
      <c r="G416" s="14">
        <f>31.7681 * CHOOSE(CONTROL!$C$15, $E$9, 100%, $G$9) + CHOOSE(CONTROL!$C$38, 0.0354, 0)</f>
        <v>31.8035</v>
      </c>
      <c r="H416" s="14">
        <f>31.7681 * CHOOSE(CONTROL!$C$15, $E$9, 100%, $G$9) + CHOOSE(CONTROL!$C$38, 0.0354, 0)</f>
        <v>31.8035</v>
      </c>
      <c r="I416" s="14">
        <f>31.7696 * CHOOSE(CONTROL!$C$15, $E$9, 100%, $G$9) + CHOOSE(CONTROL!$C$38, 0.0354, 0)</f>
        <v>31.805</v>
      </c>
      <c r="J416" s="44">
        <f>249.3712</f>
        <v>249.37119999999999</v>
      </c>
    </row>
    <row r="417" spans="1:10" ht="15.75" x14ac:dyDescent="0.25">
      <c r="A417" s="33">
        <v>53631</v>
      </c>
      <c r="B417" s="14">
        <f>34.0491 * CHOOSE(CONTROL!$C$15, $E$9, 100%, $G$9) + CHOOSE(CONTROL!$C$38, 0.0251, 0)</f>
        <v>34.074200000000005</v>
      </c>
      <c r="C417" s="14">
        <f>32.1312 * CHOOSE(CONTROL!$C$15, $E$9, 100%, $G$9) + CHOOSE(CONTROL!$C$38, 0.0342, 0)</f>
        <v>32.165399999999998</v>
      </c>
      <c r="D417" s="14">
        <f>32.1234 * CHOOSE(CONTROL!$C$15, $E$9, 100%, $G$9) + CHOOSE(CONTROL!$C$38, 0.0342, 0)</f>
        <v>32.157599999999995</v>
      </c>
      <c r="E417" s="46">
        <f>33.8928 * CHOOSE(CONTROL!$C$15, $E$9, 100%, $G$9) + CHOOSE(CONTROL!$C$38, 0.0342, 0)</f>
        <v>33.927</v>
      </c>
      <c r="F417" s="45">
        <f>33.8928 * CHOOSE(CONTROL!$C$15, $E$9, 100%, $G$9) + CHOOSE(CONTROL!$C$38, 0.0251, 0)</f>
        <v>33.917900000000003</v>
      </c>
      <c r="G417" s="14">
        <f>32.1296 * CHOOSE(CONTROL!$C$15, $E$9, 100%, $G$9) + CHOOSE(CONTROL!$C$38, 0.0342, 0)</f>
        <v>32.163800000000002</v>
      </c>
      <c r="H417" s="14">
        <f>32.1296 * CHOOSE(CONTROL!$C$15, $E$9, 100%, $G$9) + CHOOSE(CONTROL!$C$38, 0.0342, 0)</f>
        <v>32.163800000000002</v>
      </c>
      <c r="I417" s="14">
        <f>32.1312 * CHOOSE(CONTROL!$C$15, $E$9, 100%, $G$9) + CHOOSE(CONTROL!$C$38, 0.0342, 0)</f>
        <v>32.165399999999998</v>
      </c>
      <c r="J417" s="44">
        <f>240.7477</f>
        <v>240.74770000000001</v>
      </c>
    </row>
    <row r="418" spans="1:10" ht="15.75" x14ac:dyDescent="0.25">
      <c r="A418" s="33">
        <v>53661</v>
      </c>
      <c r="B418" s="14">
        <f>34.3508 * CHOOSE(CONTROL!$C$15, $E$9, 100%, $G$9) + CHOOSE(CONTROL!$C$38, 0.0251, 0)</f>
        <v>34.375900000000001</v>
      </c>
      <c r="C418" s="14">
        <f>32.4329 * CHOOSE(CONTROL!$C$15, $E$9, 100%, $G$9) + CHOOSE(CONTROL!$C$38, 0.0342, 0)</f>
        <v>32.467099999999995</v>
      </c>
      <c r="D418" s="14">
        <f>32.4251 * CHOOSE(CONTROL!$C$15, $E$9, 100%, $G$9) + CHOOSE(CONTROL!$C$38, 0.0342, 0)</f>
        <v>32.459299999999999</v>
      </c>
      <c r="E418" s="46">
        <f>34.1945 * CHOOSE(CONTROL!$C$15, $E$9, 100%, $G$9) + CHOOSE(CONTROL!$C$38, 0.0342, 0)</f>
        <v>34.228699999999996</v>
      </c>
      <c r="F418" s="45">
        <f>34.1945 * CHOOSE(CONTROL!$C$15, $E$9, 100%, $G$9) + CHOOSE(CONTROL!$C$38, 0.0251, 0)</f>
        <v>34.2196</v>
      </c>
      <c r="G418" s="14">
        <f>32.4313 * CHOOSE(CONTROL!$C$15, $E$9, 100%, $G$9) + CHOOSE(CONTROL!$C$38, 0.0342, 0)</f>
        <v>32.465499999999999</v>
      </c>
      <c r="H418" s="14">
        <f>32.4313 * CHOOSE(CONTROL!$C$15, $E$9, 100%, $G$9) + CHOOSE(CONTROL!$C$38, 0.0342, 0)</f>
        <v>32.465499999999999</v>
      </c>
      <c r="I418" s="14">
        <f>32.4329 * CHOOSE(CONTROL!$C$15, $E$9, 100%, $G$9) + CHOOSE(CONTROL!$C$38, 0.0342, 0)</f>
        <v>32.467099999999995</v>
      </c>
      <c r="J418" s="44">
        <f>239.0323</f>
        <v>239.03229999999999</v>
      </c>
    </row>
    <row r="419" spans="1:10" ht="15.75" x14ac:dyDescent="0.25">
      <c r="A419" s="33">
        <v>53692</v>
      </c>
      <c r="B419" s="14">
        <f>35.2805 * CHOOSE(CONTROL!$C$15, $E$9, 100%, $G$9) + CHOOSE(CONTROL!$C$38, 0.0251, 0)</f>
        <v>35.305600000000005</v>
      </c>
      <c r="C419" s="14">
        <f>33.3625 * CHOOSE(CONTROL!$C$15, $E$9, 100%, $G$9) + CHOOSE(CONTROL!$C$38, 0.0342, 0)</f>
        <v>33.396699999999996</v>
      </c>
      <c r="D419" s="14">
        <f>33.3547 * CHOOSE(CONTROL!$C$15, $E$9, 100%, $G$9) + CHOOSE(CONTROL!$C$38, 0.0342, 0)</f>
        <v>33.3889</v>
      </c>
      <c r="E419" s="46">
        <f>35.1242 * CHOOSE(CONTROL!$C$15, $E$9, 100%, $G$9) + CHOOSE(CONTROL!$C$38, 0.0342, 0)</f>
        <v>35.1584</v>
      </c>
      <c r="F419" s="45">
        <f>35.1242 * CHOOSE(CONTROL!$C$15, $E$9, 100%, $G$9) + CHOOSE(CONTROL!$C$38, 0.0251, 0)</f>
        <v>35.149300000000004</v>
      </c>
      <c r="G419" s="14">
        <f>33.361 * CHOOSE(CONTROL!$C$15, $E$9, 100%, $G$9) + CHOOSE(CONTROL!$C$38, 0.0342, 0)</f>
        <v>33.395199999999996</v>
      </c>
      <c r="H419" s="14">
        <f>33.361 * CHOOSE(CONTROL!$C$15, $E$9, 100%, $G$9) + CHOOSE(CONTROL!$C$38, 0.0342, 0)</f>
        <v>33.395199999999996</v>
      </c>
      <c r="I419" s="14">
        <f>33.3625 * CHOOSE(CONTROL!$C$15, $E$9, 100%, $G$9) + CHOOSE(CONTROL!$C$38, 0.0342, 0)</f>
        <v>33.396699999999996</v>
      </c>
      <c r="J419" s="44">
        <f>231.939</f>
        <v>231.93899999999999</v>
      </c>
    </row>
    <row r="420" spans="1:10" ht="15.75" x14ac:dyDescent="0.25">
      <c r="A420" s="33">
        <v>53723</v>
      </c>
      <c r="B420" s="14">
        <f>36.5823 * CHOOSE(CONTROL!$C$15, $E$9, 100%, $G$9) + CHOOSE(CONTROL!$C$38, 0.0251, 0)</f>
        <v>36.607399999999998</v>
      </c>
      <c r="C420" s="14">
        <f>34.6348 * CHOOSE(CONTROL!$C$15, $E$9, 100%, $G$9) + CHOOSE(CONTROL!$C$38, 0.0342, 0)</f>
        <v>34.668999999999997</v>
      </c>
      <c r="D420" s="14">
        <f>34.6269 * CHOOSE(CONTROL!$C$15, $E$9, 100%, $G$9) + CHOOSE(CONTROL!$C$38, 0.0342, 0)</f>
        <v>34.661099999999998</v>
      </c>
      <c r="E420" s="46">
        <f>36.426 * CHOOSE(CONTROL!$C$15, $E$9, 100%, $G$9) + CHOOSE(CONTROL!$C$38, 0.0342, 0)</f>
        <v>36.4602</v>
      </c>
      <c r="F420" s="45">
        <f>36.426 * CHOOSE(CONTROL!$C$15, $E$9, 100%, $G$9) + CHOOSE(CONTROL!$C$38, 0.0251, 0)</f>
        <v>36.451100000000004</v>
      </c>
      <c r="G420" s="14">
        <f>34.6332 * CHOOSE(CONTROL!$C$15, $E$9, 100%, $G$9) + CHOOSE(CONTROL!$C$38, 0.0342, 0)</f>
        <v>34.667400000000001</v>
      </c>
      <c r="H420" s="14">
        <f>34.6332 * CHOOSE(CONTROL!$C$15, $E$9, 100%, $G$9) + CHOOSE(CONTROL!$C$38, 0.0342, 0)</f>
        <v>34.667400000000001</v>
      </c>
      <c r="I420" s="14">
        <f>34.6348 * CHOOSE(CONTROL!$C$15, $E$9, 100%, $G$9) + CHOOSE(CONTROL!$C$38, 0.0342, 0)</f>
        <v>34.668999999999997</v>
      </c>
      <c r="J420" s="44">
        <f>231.7715</f>
        <v>231.7715</v>
      </c>
    </row>
    <row r="421" spans="1:10" ht="15.75" x14ac:dyDescent="0.25">
      <c r="A421" s="33">
        <v>53751</v>
      </c>
      <c r="B421" s="14">
        <f>36.9266 * CHOOSE(CONTROL!$C$15, $E$9, 100%, $G$9) + CHOOSE(CONTROL!$C$38, 0.0251, 0)</f>
        <v>36.951700000000002</v>
      </c>
      <c r="C421" s="14">
        <f>34.9791 * CHOOSE(CONTROL!$C$15, $E$9, 100%, $G$9) + CHOOSE(CONTROL!$C$38, 0.0342, 0)</f>
        <v>35.013300000000001</v>
      </c>
      <c r="D421" s="14">
        <f>34.9713 * CHOOSE(CONTROL!$C$15, $E$9, 100%, $G$9) + CHOOSE(CONTROL!$C$38, 0.0342, 0)</f>
        <v>35.005499999999998</v>
      </c>
      <c r="E421" s="46">
        <f>36.7703 * CHOOSE(CONTROL!$C$15, $E$9, 100%, $G$9) + CHOOSE(CONTROL!$C$38, 0.0342, 0)</f>
        <v>36.804499999999997</v>
      </c>
      <c r="F421" s="45">
        <f>36.7703 * CHOOSE(CONTROL!$C$15, $E$9, 100%, $G$9) + CHOOSE(CONTROL!$C$38, 0.0251, 0)</f>
        <v>36.795400000000001</v>
      </c>
      <c r="G421" s="14">
        <f>34.9775 * CHOOSE(CONTROL!$C$15, $E$9, 100%, $G$9) + CHOOSE(CONTROL!$C$38, 0.0342, 0)</f>
        <v>35.011699999999998</v>
      </c>
      <c r="H421" s="14">
        <f>34.9775 * CHOOSE(CONTROL!$C$15, $E$9, 100%, $G$9) + CHOOSE(CONTROL!$C$38, 0.0342, 0)</f>
        <v>35.011699999999998</v>
      </c>
      <c r="I421" s="14">
        <f>34.9791 * CHOOSE(CONTROL!$C$15, $E$9, 100%, $G$9) + CHOOSE(CONTROL!$C$38, 0.0342, 0)</f>
        <v>35.013300000000001</v>
      </c>
      <c r="J421" s="44">
        <f>231.1273</f>
        <v>231.12729999999999</v>
      </c>
    </row>
    <row r="422" spans="1:10" ht="15.75" x14ac:dyDescent="0.25">
      <c r="A422" s="33">
        <v>53782</v>
      </c>
      <c r="B422" s="14">
        <f>36.1295 * CHOOSE(CONTROL!$C$15, $E$9, 100%, $G$9) + CHOOSE(CONTROL!$C$38, 0.0251, 0)</f>
        <v>36.154600000000002</v>
      </c>
      <c r="C422" s="14">
        <f>34.182 * CHOOSE(CONTROL!$C$15, $E$9, 100%, $G$9) + CHOOSE(CONTROL!$C$38, 0.0342, 0)</f>
        <v>34.216200000000001</v>
      </c>
      <c r="D422" s="14">
        <f>34.1742 * CHOOSE(CONTROL!$C$15, $E$9, 100%, $G$9) + CHOOSE(CONTROL!$C$38, 0.0342, 0)</f>
        <v>34.208399999999997</v>
      </c>
      <c r="E422" s="46">
        <f>35.9733 * CHOOSE(CONTROL!$C$15, $E$9, 100%, $G$9) + CHOOSE(CONTROL!$C$38, 0.0342, 0)</f>
        <v>36.0075</v>
      </c>
      <c r="F422" s="45">
        <f>35.9733 * CHOOSE(CONTROL!$C$15, $E$9, 100%, $G$9) + CHOOSE(CONTROL!$C$38, 0.0251, 0)</f>
        <v>35.998400000000004</v>
      </c>
      <c r="G422" s="14">
        <f>34.1805 * CHOOSE(CONTROL!$C$15, $E$9, 100%, $G$9) + CHOOSE(CONTROL!$C$38, 0.0342, 0)</f>
        <v>34.214700000000001</v>
      </c>
      <c r="H422" s="14">
        <f>34.1805 * CHOOSE(CONTROL!$C$15, $E$9, 100%, $G$9) + CHOOSE(CONTROL!$C$38, 0.0342, 0)</f>
        <v>34.214700000000001</v>
      </c>
      <c r="I422" s="14">
        <f>34.182 * CHOOSE(CONTROL!$C$15, $E$9, 100%, $G$9) + CHOOSE(CONTROL!$C$38, 0.0342, 0)</f>
        <v>34.216200000000001</v>
      </c>
      <c r="J422" s="44">
        <f>243.309</f>
        <v>243.309</v>
      </c>
    </row>
    <row r="423" spans="1:10" ht="15.75" x14ac:dyDescent="0.25">
      <c r="A423" s="33">
        <v>53812</v>
      </c>
      <c r="B423" s="14">
        <f>35.3572 * CHOOSE(CONTROL!$C$15, $E$9, 100%, $G$9) + CHOOSE(CONTROL!$C$38, 0.0251, 0)</f>
        <v>35.382300000000001</v>
      </c>
      <c r="C423" s="14">
        <f>33.4097 * CHOOSE(CONTROL!$C$15, $E$9, 100%, $G$9) + CHOOSE(CONTROL!$C$38, 0.0342, 0)</f>
        <v>33.443899999999999</v>
      </c>
      <c r="D423" s="14">
        <f>33.4019 * CHOOSE(CONTROL!$C$15, $E$9, 100%, $G$9) + CHOOSE(CONTROL!$C$38, 0.0342, 0)</f>
        <v>33.436099999999996</v>
      </c>
      <c r="E423" s="46">
        <f>35.201 * CHOOSE(CONTROL!$C$15, $E$9, 100%, $G$9) + CHOOSE(CONTROL!$C$38, 0.0342, 0)</f>
        <v>35.235199999999999</v>
      </c>
      <c r="F423" s="45">
        <f>35.201 * CHOOSE(CONTROL!$C$15, $E$9, 100%, $G$9) + CHOOSE(CONTROL!$C$38, 0.0251, 0)</f>
        <v>35.226100000000002</v>
      </c>
      <c r="G423" s="14">
        <f>33.4082 * CHOOSE(CONTROL!$C$15, $E$9, 100%, $G$9) + CHOOSE(CONTROL!$C$38, 0.0342, 0)</f>
        <v>33.442399999999999</v>
      </c>
      <c r="H423" s="14">
        <f>33.4082 * CHOOSE(CONTROL!$C$15, $E$9, 100%, $G$9) + CHOOSE(CONTROL!$C$38, 0.0342, 0)</f>
        <v>33.442399999999999</v>
      </c>
      <c r="I423" s="14">
        <f>33.4097 * CHOOSE(CONTROL!$C$15, $E$9, 100%, $G$9) + CHOOSE(CONTROL!$C$38, 0.0342, 0)</f>
        <v>33.443899999999999</v>
      </c>
      <c r="J423" s="44">
        <f>259.1058</f>
        <v>259.10579999999999</v>
      </c>
    </row>
    <row r="424" spans="1:10" ht="15.75" x14ac:dyDescent="0.25">
      <c r="A424" s="33">
        <v>53843</v>
      </c>
      <c r="B424" s="14">
        <f>34.5523 * CHOOSE(CONTROL!$C$15, $E$9, 100%, $G$9) + CHOOSE(CONTROL!$C$38, 0.0264, 0)</f>
        <v>34.578700000000005</v>
      </c>
      <c r="C424" s="14">
        <f>32.6048 * CHOOSE(CONTROL!$C$15, $E$9, 100%, $G$9) + CHOOSE(CONTROL!$C$38, 0.0354, 0)</f>
        <v>32.6402</v>
      </c>
      <c r="D424" s="14">
        <f>32.5969 * CHOOSE(CONTROL!$C$15, $E$9, 100%, $G$9) + CHOOSE(CONTROL!$C$38, 0.0354, 0)</f>
        <v>32.632300000000001</v>
      </c>
      <c r="E424" s="46">
        <f>34.396 * CHOOSE(CONTROL!$C$15, $E$9, 100%, $G$9) + CHOOSE(CONTROL!$C$38, 0.0354, 0)</f>
        <v>34.431400000000004</v>
      </c>
      <c r="F424" s="45">
        <f>34.396 * CHOOSE(CONTROL!$C$15, $E$9, 100%, $G$9) + CHOOSE(CONTROL!$C$38, 0.0264, 0)</f>
        <v>34.422400000000003</v>
      </c>
      <c r="G424" s="14">
        <f>32.6032 * CHOOSE(CONTROL!$C$15, $E$9, 100%, $G$9) + CHOOSE(CONTROL!$C$38, 0.0354, 0)</f>
        <v>32.638600000000004</v>
      </c>
      <c r="H424" s="14">
        <f>32.6032 * CHOOSE(CONTROL!$C$15, $E$9, 100%, $G$9) + CHOOSE(CONTROL!$C$38, 0.0354, 0)</f>
        <v>32.638600000000004</v>
      </c>
      <c r="I424" s="14">
        <f>32.6048 * CHOOSE(CONTROL!$C$15, $E$9, 100%, $G$9) + CHOOSE(CONTROL!$C$38, 0.0354, 0)</f>
        <v>32.6402</v>
      </c>
      <c r="J424" s="44">
        <f>267.8009</f>
        <v>267.80090000000001</v>
      </c>
    </row>
    <row r="425" spans="1:10" ht="15.75" x14ac:dyDescent="0.25">
      <c r="A425" s="33">
        <v>53873</v>
      </c>
      <c r="B425" s="14">
        <f>33.9879 * CHOOSE(CONTROL!$C$15, $E$9, 100%, $G$9) + CHOOSE(CONTROL!$C$38, 0.0264, 0)</f>
        <v>34.014300000000006</v>
      </c>
      <c r="C425" s="14">
        <f>32.0404 * CHOOSE(CONTROL!$C$15, $E$9, 100%, $G$9) + CHOOSE(CONTROL!$C$38, 0.0354, 0)</f>
        <v>32.075800000000001</v>
      </c>
      <c r="D425" s="14">
        <f>32.0326 * CHOOSE(CONTROL!$C$15, $E$9, 100%, $G$9) + CHOOSE(CONTROL!$C$38, 0.0354, 0)</f>
        <v>32.068000000000005</v>
      </c>
      <c r="E425" s="46">
        <f>33.8317 * CHOOSE(CONTROL!$C$15, $E$9, 100%, $G$9) + CHOOSE(CONTROL!$C$38, 0.0354, 0)</f>
        <v>33.867100000000001</v>
      </c>
      <c r="F425" s="45">
        <f>33.8317 * CHOOSE(CONTROL!$C$15, $E$9, 100%, $G$9) + CHOOSE(CONTROL!$C$38, 0.0264, 0)</f>
        <v>33.8581</v>
      </c>
      <c r="G425" s="14">
        <f>32.0389 * CHOOSE(CONTROL!$C$15, $E$9, 100%, $G$9) + CHOOSE(CONTROL!$C$38, 0.0354, 0)</f>
        <v>32.074300000000001</v>
      </c>
      <c r="H425" s="14">
        <f>32.0389 * CHOOSE(CONTROL!$C$15, $E$9, 100%, $G$9) + CHOOSE(CONTROL!$C$38, 0.0354, 0)</f>
        <v>32.074300000000001</v>
      </c>
      <c r="I425" s="14">
        <f>32.0404 * CHOOSE(CONTROL!$C$15, $E$9, 100%, $G$9) + CHOOSE(CONTROL!$C$38, 0.0354, 0)</f>
        <v>32.075800000000001</v>
      </c>
      <c r="J425" s="44">
        <f>271.6596</f>
        <v>271.65960000000001</v>
      </c>
    </row>
    <row r="426" spans="1:10" ht="15.75" x14ac:dyDescent="0.25">
      <c r="A426" s="33">
        <v>53904</v>
      </c>
      <c r="B426" s="14">
        <f>33.6659 * CHOOSE(CONTROL!$C$15, $E$9, 100%, $G$9) + CHOOSE(CONTROL!$C$38, 0.0264, 0)</f>
        <v>33.692300000000003</v>
      </c>
      <c r="C426" s="14">
        <f>31.7184 * CHOOSE(CONTROL!$C$15, $E$9, 100%, $G$9) + CHOOSE(CONTROL!$C$38, 0.0354, 0)</f>
        <v>31.753799999999998</v>
      </c>
      <c r="D426" s="14">
        <f>31.7106 * CHOOSE(CONTROL!$C$15, $E$9, 100%, $G$9) + CHOOSE(CONTROL!$C$38, 0.0354, 0)</f>
        <v>31.745999999999999</v>
      </c>
      <c r="E426" s="46">
        <f>33.5096 * CHOOSE(CONTROL!$C$15, $E$9, 100%, $G$9) + CHOOSE(CONTROL!$C$38, 0.0354, 0)</f>
        <v>33.545000000000002</v>
      </c>
      <c r="F426" s="45">
        <f>33.5096 * CHOOSE(CONTROL!$C$15, $E$9, 100%, $G$9) + CHOOSE(CONTROL!$C$38, 0.0264, 0)</f>
        <v>33.536000000000001</v>
      </c>
      <c r="G426" s="14">
        <f>31.7168 * CHOOSE(CONTROL!$C$15, $E$9, 100%, $G$9) + CHOOSE(CONTROL!$C$38, 0.0354, 0)</f>
        <v>31.752199999999998</v>
      </c>
      <c r="H426" s="14">
        <f>31.7168 * CHOOSE(CONTROL!$C$15, $E$9, 100%, $G$9) + CHOOSE(CONTROL!$C$38, 0.0354, 0)</f>
        <v>31.752199999999998</v>
      </c>
      <c r="I426" s="14">
        <f>31.7184 * CHOOSE(CONTROL!$C$15, $E$9, 100%, $G$9) + CHOOSE(CONTROL!$C$38, 0.0354, 0)</f>
        <v>31.753799999999998</v>
      </c>
      <c r="J426" s="44">
        <f>270.3892</f>
        <v>270.38920000000002</v>
      </c>
    </row>
    <row r="427" spans="1:10" ht="15.75" x14ac:dyDescent="0.25">
      <c r="A427" s="33">
        <v>53935</v>
      </c>
      <c r="B427" s="14">
        <f>33.8248 * CHOOSE(CONTROL!$C$15, $E$9, 100%, $G$9) + CHOOSE(CONTROL!$C$38, 0.0264, 0)</f>
        <v>33.851200000000006</v>
      </c>
      <c r="C427" s="14">
        <f>31.8773 * CHOOSE(CONTROL!$C$15, $E$9, 100%, $G$9) + CHOOSE(CONTROL!$C$38, 0.0354, 0)</f>
        <v>31.912700000000001</v>
      </c>
      <c r="D427" s="14">
        <f>31.8695 * CHOOSE(CONTROL!$C$15, $E$9, 100%, $G$9) + CHOOSE(CONTROL!$C$38, 0.0354, 0)</f>
        <v>31.904899999999998</v>
      </c>
      <c r="E427" s="46">
        <f>33.6686 * CHOOSE(CONTROL!$C$15, $E$9, 100%, $G$9) + CHOOSE(CONTROL!$C$38, 0.0354, 0)</f>
        <v>33.704000000000001</v>
      </c>
      <c r="F427" s="45">
        <f>33.6686 * CHOOSE(CONTROL!$C$15, $E$9, 100%, $G$9) + CHOOSE(CONTROL!$C$38, 0.0264, 0)</f>
        <v>33.695</v>
      </c>
      <c r="G427" s="14">
        <f>31.8757 * CHOOSE(CONTROL!$C$15, $E$9, 100%, $G$9) + CHOOSE(CONTROL!$C$38, 0.0354, 0)</f>
        <v>31.911099999999998</v>
      </c>
      <c r="H427" s="14">
        <f>31.8757 * CHOOSE(CONTROL!$C$15, $E$9, 100%, $G$9) + CHOOSE(CONTROL!$C$38, 0.0354, 0)</f>
        <v>31.911099999999998</v>
      </c>
      <c r="I427" s="14">
        <f>31.8773 * CHOOSE(CONTROL!$C$15, $E$9, 100%, $G$9) + CHOOSE(CONTROL!$C$38, 0.0354, 0)</f>
        <v>31.912700000000001</v>
      </c>
      <c r="J427" s="44">
        <f>264.0946</f>
        <v>264.09460000000001</v>
      </c>
    </row>
    <row r="428" spans="1:10" ht="15.75" x14ac:dyDescent="0.25">
      <c r="A428" s="33">
        <v>53965</v>
      </c>
      <c r="B428" s="14">
        <f>34.2565 * CHOOSE(CONTROL!$C$15, $E$9, 100%, $G$9) + CHOOSE(CONTROL!$C$38, 0.0264, 0)</f>
        <v>34.282900000000005</v>
      </c>
      <c r="C428" s="14">
        <f>32.309 * CHOOSE(CONTROL!$C$15, $E$9, 100%, $G$9) + CHOOSE(CONTROL!$C$38, 0.0354, 0)</f>
        <v>32.3444</v>
      </c>
      <c r="D428" s="14">
        <f>32.3012 * CHOOSE(CONTROL!$C$15, $E$9, 100%, $G$9) + CHOOSE(CONTROL!$C$38, 0.0354, 0)</f>
        <v>32.336600000000004</v>
      </c>
      <c r="E428" s="46">
        <f>34.1003 * CHOOSE(CONTROL!$C$15, $E$9, 100%, $G$9) + CHOOSE(CONTROL!$C$38, 0.0354, 0)</f>
        <v>34.1357</v>
      </c>
      <c r="F428" s="45">
        <f>34.1003 * CHOOSE(CONTROL!$C$15, $E$9, 100%, $G$9) + CHOOSE(CONTROL!$C$38, 0.0264, 0)</f>
        <v>34.1267</v>
      </c>
      <c r="G428" s="14">
        <f>32.3075 * CHOOSE(CONTROL!$C$15, $E$9, 100%, $G$9) + CHOOSE(CONTROL!$C$38, 0.0354, 0)</f>
        <v>32.3429</v>
      </c>
      <c r="H428" s="14">
        <f>32.3075 * CHOOSE(CONTROL!$C$15, $E$9, 100%, $G$9) + CHOOSE(CONTROL!$C$38, 0.0354, 0)</f>
        <v>32.3429</v>
      </c>
      <c r="I428" s="14">
        <f>32.309 * CHOOSE(CONTROL!$C$15, $E$9, 100%, $G$9) + CHOOSE(CONTROL!$C$38, 0.0354, 0)</f>
        <v>32.3444</v>
      </c>
      <c r="J428" s="44">
        <f>255.3166</f>
        <v>255.31659999999999</v>
      </c>
    </row>
    <row r="429" spans="1:10" ht="15.75" x14ac:dyDescent="0.25">
      <c r="A429" s="33">
        <v>53996</v>
      </c>
      <c r="B429" s="14">
        <f>34.6181 * CHOOSE(CONTROL!$C$15, $E$9, 100%, $G$9) + CHOOSE(CONTROL!$C$38, 0.0251, 0)</f>
        <v>34.6432</v>
      </c>
      <c r="C429" s="14">
        <f>32.6706 * CHOOSE(CONTROL!$C$15, $E$9, 100%, $G$9) + CHOOSE(CONTROL!$C$38, 0.0342, 0)</f>
        <v>32.704799999999999</v>
      </c>
      <c r="D429" s="14">
        <f>32.6628 * CHOOSE(CONTROL!$C$15, $E$9, 100%, $G$9) + CHOOSE(CONTROL!$C$38, 0.0342, 0)</f>
        <v>32.696999999999996</v>
      </c>
      <c r="E429" s="46">
        <f>34.4618 * CHOOSE(CONTROL!$C$15, $E$9, 100%, $G$9) + CHOOSE(CONTROL!$C$38, 0.0342, 0)</f>
        <v>34.495999999999995</v>
      </c>
      <c r="F429" s="45">
        <f>34.4618 * CHOOSE(CONTROL!$C$15, $E$9, 100%, $G$9) + CHOOSE(CONTROL!$C$38, 0.0251, 0)</f>
        <v>34.486899999999999</v>
      </c>
      <c r="G429" s="14">
        <f>32.669 * CHOOSE(CONTROL!$C$15, $E$9, 100%, $G$9) + CHOOSE(CONTROL!$C$38, 0.0342, 0)</f>
        <v>32.703199999999995</v>
      </c>
      <c r="H429" s="14">
        <f>32.669 * CHOOSE(CONTROL!$C$15, $E$9, 100%, $G$9) + CHOOSE(CONTROL!$C$38, 0.0342, 0)</f>
        <v>32.703199999999995</v>
      </c>
      <c r="I429" s="14">
        <f>32.6706 * CHOOSE(CONTROL!$C$15, $E$9, 100%, $G$9) + CHOOSE(CONTROL!$C$38, 0.0342, 0)</f>
        <v>32.704799999999999</v>
      </c>
      <c r="J429" s="44">
        <f>246.4874</f>
        <v>246.48740000000001</v>
      </c>
    </row>
    <row r="430" spans="1:10" ht="15.75" x14ac:dyDescent="0.25">
      <c r="A430" s="33">
        <v>54026</v>
      </c>
      <c r="B430" s="14">
        <f>34.9198 * CHOOSE(CONTROL!$C$15, $E$9, 100%, $G$9) + CHOOSE(CONTROL!$C$38, 0.0251, 0)</f>
        <v>34.944900000000004</v>
      </c>
      <c r="C430" s="14">
        <f>32.9723 * CHOOSE(CONTROL!$C$15, $E$9, 100%, $G$9) + CHOOSE(CONTROL!$C$38, 0.0342, 0)</f>
        <v>33.006499999999996</v>
      </c>
      <c r="D430" s="14">
        <f>32.9645 * CHOOSE(CONTROL!$C$15, $E$9, 100%, $G$9) + CHOOSE(CONTROL!$C$38, 0.0342, 0)</f>
        <v>32.998699999999999</v>
      </c>
      <c r="E430" s="46">
        <f>34.7635 * CHOOSE(CONTROL!$C$15, $E$9, 100%, $G$9) + CHOOSE(CONTROL!$C$38, 0.0342, 0)</f>
        <v>34.797699999999999</v>
      </c>
      <c r="F430" s="45">
        <f>34.7635 * CHOOSE(CONTROL!$C$15, $E$9, 100%, $G$9) + CHOOSE(CONTROL!$C$38, 0.0251, 0)</f>
        <v>34.788600000000002</v>
      </c>
      <c r="G430" s="14">
        <f>32.9707 * CHOOSE(CONTROL!$C$15, $E$9, 100%, $G$9) + CHOOSE(CONTROL!$C$38, 0.0342, 0)</f>
        <v>33.004899999999999</v>
      </c>
      <c r="H430" s="14">
        <f>32.9707 * CHOOSE(CONTROL!$C$15, $E$9, 100%, $G$9) + CHOOSE(CONTROL!$C$38, 0.0342, 0)</f>
        <v>33.004899999999999</v>
      </c>
      <c r="I430" s="14">
        <f>32.9723 * CHOOSE(CONTROL!$C$15, $E$9, 100%, $G$9) + CHOOSE(CONTROL!$C$38, 0.0342, 0)</f>
        <v>33.006499999999996</v>
      </c>
      <c r="J430" s="44">
        <f>244.7312</f>
        <v>244.7312</v>
      </c>
    </row>
    <row r="431" spans="1:10" ht="15.75" x14ac:dyDescent="0.25">
      <c r="A431" s="33">
        <v>54057</v>
      </c>
      <c r="B431" s="14">
        <f>35.8495 * CHOOSE(CONTROL!$C$15, $E$9, 100%, $G$9) + CHOOSE(CONTROL!$C$38, 0.0251, 0)</f>
        <v>35.874600000000001</v>
      </c>
      <c r="C431" s="14">
        <f>33.902 * CHOOSE(CONTROL!$C$15, $E$9, 100%, $G$9) + CHOOSE(CONTROL!$C$38, 0.0342, 0)</f>
        <v>33.936199999999999</v>
      </c>
      <c r="D431" s="14">
        <f>33.8941 * CHOOSE(CONTROL!$C$15, $E$9, 100%, $G$9) + CHOOSE(CONTROL!$C$38, 0.0342, 0)</f>
        <v>33.9283</v>
      </c>
      <c r="E431" s="46">
        <f>35.6932 * CHOOSE(CONTROL!$C$15, $E$9, 100%, $G$9) + CHOOSE(CONTROL!$C$38, 0.0342, 0)</f>
        <v>35.727399999999996</v>
      </c>
      <c r="F431" s="45">
        <f>35.6932 * CHOOSE(CONTROL!$C$15, $E$9, 100%, $G$9) + CHOOSE(CONTROL!$C$38, 0.0251, 0)</f>
        <v>35.718299999999999</v>
      </c>
      <c r="G431" s="14">
        <f>33.9004 * CHOOSE(CONTROL!$C$15, $E$9, 100%, $G$9) + CHOOSE(CONTROL!$C$38, 0.0342, 0)</f>
        <v>33.934599999999996</v>
      </c>
      <c r="H431" s="14">
        <f>33.9004 * CHOOSE(CONTROL!$C$15, $E$9, 100%, $G$9) + CHOOSE(CONTROL!$C$38, 0.0342, 0)</f>
        <v>33.934599999999996</v>
      </c>
      <c r="I431" s="14">
        <f>33.902 * CHOOSE(CONTROL!$C$15, $E$9, 100%, $G$9) + CHOOSE(CONTROL!$C$38, 0.0342, 0)</f>
        <v>33.936199999999999</v>
      </c>
      <c r="J431" s="44">
        <f>237.4687</f>
        <v>237.46870000000001</v>
      </c>
    </row>
    <row r="432" spans="1:10" ht="15.75" x14ac:dyDescent="0.25">
      <c r="A432" s="33">
        <v>54088</v>
      </c>
      <c r="B432" s="14">
        <f>37.1608 * CHOOSE(CONTROL!$C$15, $E$9, 100%, $G$9) + CHOOSE(CONTROL!$C$38, 0.0251, 0)</f>
        <v>37.185900000000004</v>
      </c>
      <c r="C432" s="14">
        <f>35.1832 * CHOOSE(CONTROL!$C$15, $E$9, 100%, $G$9) + CHOOSE(CONTROL!$C$38, 0.0342, 0)</f>
        <v>35.217399999999998</v>
      </c>
      <c r="D432" s="14">
        <f>35.1754 * CHOOSE(CONTROL!$C$15, $E$9, 100%, $G$9) + CHOOSE(CONTROL!$C$38, 0.0342, 0)</f>
        <v>35.209600000000002</v>
      </c>
      <c r="E432" s="46">
        <f>37.0046 * CHOOSE(CONTROL!$C$15, $E$9, 100%, $G$9) + CHOOSE(CONTROL!$C$38, 0.0342, 0)</f>
        <v>37.038800000000002</v>
      </c>
      <c r="F432" s="45">
        <f>37.0046 * CHOOSE(CONTROL!$C$15, $E$9, 100%, $G$9) + CHOOSE(CONTROL!$C$38, 0.0251, 0)</f>
        <v>37.029700000000005</v>
      </c>
      <c r="G432" s="14">
        <f>35.1817 * CHOOSE(CONTROL!$C$15, $E$9, 100%, $G$9) + CHOOSE(CONTROL!$C$38, 0.0342, 0)</f>
        <v>35.215899999999998</v>
      </c>
      <c r="H432" s="14">
        <f>35.1817 * CHOOSE(CONTROL!$C$15, $E$9, 100%, $G$9) + CHOOSE(CONTROL!$C$38, 0.0342, 0)</f>
        <v>35.215899999999998</v>
      </c>
      <c r="I432" s="14">
        <f>35.1832 * CHOOSE(CONTROL!$C$15, $E$9, 100%, $G$9) + CHOOSE(CONTROL!$C$38, 0.0342, 0)</f>
        <v>35.217399999999998</v>
      </c>
      <c r="J432" s="44">
        <f>237.2973</f>
        <v>237.29730000000001</v>
      </c>
    </row>
    <row r="433" spans="1:10" ht="15.75" x14ac:dyDescent="0.25">
      <c r="A433" s="33">
        <v>54116</v>
      </c>
      <c r="B433" s="14">
        <f>37.5051 * CHOOSE(CONTROL!$C$15, $E$9, 100%, $G$9) + CHOOSE(CONTROL!$C$38, 0.0251, 0)</f>
        <v>37.530200000000001</v>
      </c>
      <c r="C433" s="14">
        <f>35.5275 * CHOOSE(CONTROL!$C$15, $E$9, 100%, $G$9) + CHOOSE(CONTROL!$C$38, 0.0342, 0)</f>
        <v>35.561700000000002</v>
      </c>
      <c r="D433" s="14">
        <f>35.5197 * CHOOSE(CONTROL!$C$15, $E$9, 100%, $G$9) + CHOOSE(CONTROL!$C$38, 0.0342, 0)</f>
        <v>35.553899999999999</v>
      </c>
      <c r="E433" s="46">
        <f>37.3489 * CHOOSE(CONTROL!$C$15, $E$9, 100%, $G$9) + CHOOSE(CONTROL!$C$38, 0.0342, 0)</f>
        <v>37.383099999999999</v>
      </c>
      <c r="F433" s="45">
        <f>37.3489 * CHOOSE(CONTROL!$C$15, $E$9, 100%, $G$9) + CHOOSE(CONTROL!$C$38, 0.0251, 0)</f>
        <v>37.374000000000002</v>
      </c>
      <c r="G433" s="14">
        <f>35.526 * CHOOSE(CONTROL!$C$15, $E$9, 100%, $G$9) + CHOOSE(CONTROL!$C$38, 0.0342, 0)</f>
        <v>35.560200000000002</v>
      </c>
      <c r="H433" s="14">
        <f>35.526 * CHOOSE(CONTROL!$C$15, $E$9, 100%, $G$9) + CHOOSE(CONTROL!$C$38, 0.0342, 0)</f>
        <v>35.560200000000002</v>
      </c>
      <c r="I433" s="14">
        <f>35.5275 * CHOOSE(CONTROL!$C$15, $E$9, 100%, $G$9) + CHOOSE(CONTROL!$C$38, 0.0342, 0)</f>
        <v>35.561700000000002</v>
      </c>
      <c r="J433" s="44">
        <f>236.6377</f>
        <v>236.6377</v>
      </c>
    </row>
    <row r="434" spans="1:10" ht="15.75" x14ac:dyDescent="0.25">
      <c r="A434" s="33">
        <v>54148</v>
      </c>
      <c r="B434" s="14">
        <f>36.7081 * CHOOSE(CONTROL!$C$15, $E$9, 100%, $G$9) + CHOOSE(CONTROL!$C$38, 0.0251, 0)</f>
        <v>36.733200000000004</v>
      </c>
      <c r="C434" s="14">
        <f>34.7305 * CHOOSE(CONTROL!$C$15, $E$9, 100%, $G$9) + CHOOSE(CONTROL!$C$38, 0.0342, 0)</f>
        <v>34.764699999999998</v>
      </c>
      <c r="D434" s="14">
        <f>34.7227 * CHOOSE(CONTROL!$C$15, $E$9, 100%, $G$9) + CHOOSE(CONTROL!$C$38, 0.0342, 0)</f>
        <v>34.756900000000002</v>
      </c>
      <c r="E434" s="46">
        <f>36.5519 * CHOOSE(CONTROL!$C$15, $E$9, 100%, $G$9) + CHOOSE(CONTROL!$C$38, 0.0342, 0)</f>
        <v>36.586100000000002</v>
      </c>
      <c r="F434" s="45">
        <f>36.5519 * CHOOSE(CONTROL!$C$15, $E$9, 100%, $G$9) + CHOOSE(CONTROL!$C$38, 0.0251, 0)</f>
        <v>36.577000000000005</v>
      </c>
      <c r="G434" s="14">
        <f>34.7289 * CHOOSE(CONTROL!$C$15, $E$9, 100%, $G$9) + CHOOSE(CONTROL!$C$38, 0.0342, 0)</f>
        <v>34.763100000000001</v>
      </c>
      <c r="H434" s="14">
        <f>34.7289 * CHOOSE(CONTROL!$C$15, $E$9, 100%, $G$9) + CHOOSE(CONTROL!$C$38, 0.0342, 0)</f>
        <v>34.763100000000001</v>
      </c>
      <c r="I434" s="14">
        <f>34.7305 * CHOOSE(CONTROL!$C$15, $E$9, 100%, $G$9) + CHOOSE(CONTROL!$C$38, 0.0342, 0)</f>
        <v>34.764699999999998</v>
      </c>
      <c r="J434" s="44">
        <f>249.1099</f>
        <v>249.10990000000001</v>
      </c>
    </row>
    <row r="435" spans="1:10" ht="15.75" x14ac:dyDescent="0.25">
      <c r="A435" s="33">
        <v>54178</v>
      </c>
      <c r="B435" s="14">
        <f>35.9358 * CHOOSE(CONTROL!$C$15, $E$9, 100%, $G$9) + CHOOSE(CONTROL!$C$38, 0.0251, 0)</f>
        <v>35.960900000000002</v>
      </c>
      <c r="C435" s="14">
        <f>33.9582 * CHOOSE(CONTROL!$C$15, $E$9, 100%, $G$9) + CHOOSE(CONTROL!$C$38, 0.0342, 0)</f>
        <v>33.992399999999996</v>
      </c>
      <c r="D435" s="14">
        <f>33.9504 * CHOOSE(CONTROL!$C$15, $E$9, 100%, $G$9) + CHOOSE(CONTROL!$C$38, 0.0342, 0)</f>
        <v>33.9846</v>
      </c>
      <c r="E435" s="46">
        <f>35.7795 * CHOOSE(CONTROL!$C$15, $E$9, 100%, $G$9) + CHOOSE(CONTROL!$C$38, 0.0342, 0)</f>
        <v>35.813699999999997</v>
      </c>
      <c r="F435" s="45">
        <f>35.7795 * CHOOSE(CONTROL!$C$15, $E$9, 100%, $G$9) + CHOOSE(CONTROL!$C$38, 0.0251, 0)</f>
        <v>35.804600000000001</v>
      </c>
      <c r="G435" s="14">
        <f>33.9566 * CHOOSE(CONTROL!$C$15, $E$9, 100%, $G$9) + CHOOSE(CONTROL!$C$38, 0.0342, 0)</f>
        <v>33.9908</v>
      </c>
      <c r="H435" s="14">
        <f>33.9566 * CHOOSE(CONTROL!$C$15, $E$9, 100%, $G$9) + CHOOSE(CONTROL!$C$38, 0.0342, 0)</f>
        <v>33.9908</v>
      </c>
      <c r="I435" s="14">
        <f>33.9582 * CHOOSE(CONTROL!$C$15, $E$9, 100%, $G$9) + CHOOSE(CONTROL!$C$38, 0.0342, 0)</f>
        <v>33.992399999999996</v>
      </c>
      <c r="J435" s="44">
        <f>265.2833</f>
        <v>265.2833</v>
      </c>
    </row>
    <row r="436" spans="1:10" ht="15.75" x14ac:dyDescent="0.25">
      <c r="A436" s="33">
        <v>54209</v>
      </c>
      <c r="B436" s="14">
        <f>35.1308 * CHOOSE(CONTROL!$C$15, $E$9, 100%, $G$9) + CHOOSE(CONTROL!$C$38, 0.0264, 0)</f>
        <v>35.157200000000003</v>
      </c>
      <c r="C436" s="14">
        <f>33.1532 * CHOOSE(CONTROL!$C$15, $E$9, 100%, $G$9) + CHOOSE(CONTROL!$C$38, 0.0354, 0)</f>
        <v>33.188600000000001</v>
      </c>
      <c r="D436" s="14">
        <f>33.1454 * CHOOSE(CONTROL!$C$15, $E$9, 100%, $G$9) + CHOOSE(CONTROL!$C$38, 0.0354, 0)</f>
        <v>33.180800000000005</v>
      </c>
      <c r="E436" s="46">
        <f>34.9746 * CHOOSE(CONTROL!$C$15, $E$9, 100%, $G$9) + CHOOSE(CONTROL!$C$38, 0.0354, 0)</f>
        <v>35.010000000000005</v>
      </c>
      <c r="F436" s="45">
        <f>34.9746 * CHOOSE(CONTROL!$C$15, $E$9, 100%, $G$9) + CHOOSE(CONTROL!$C$38, 0.0264, 0)</f>
        <v>35.001000000000005</v>
      </c>
      <c r="G436" s="14">
        <f>33.1517 * CHOOSE(CONTROL!$C$15, $E$9, 100%, $G$9) + CHOOSE(CONTROL!$C$38, 0.0354, 0)</f>
        <v>33.187100000000001</v>
      </c>
      <c r="H436" s="14">
        <f>33.1517 * CHOOSE(CONTROL!$C$15, $E$9, 100%, $G$9) + CHOOSE(CONTROL!$C$38, 0.0354, 0)</f>
        <v>33.187100000000001</v>
      </c>
      <c r="I436" s="14">
        <f>33.1532 * CHOOSE(CONTROL!$C$15, $E$9, 100%, $G$9) + CHOOSE(CONTROL!$C$38, 0.0354, 0)</f>
        <v>33.188600000000001</v>
      </c>
      <c r="J436" s="44">
        <f>274.1857</f>
        <v>274.1857</v>
      </c>
    </row>
    <row r="437" spans="1:10" ht="15.75" x14ac:dyDescent="0.25">
      <c r="A437" s="33">
        <v>54239</v>
      </c>
      <c r="B437" s="14">
        <f>34.5665 * CHOOSE(CONTROL!$C$15, $E$9, 100%, $G$9) + CHOOSE(CONTROL!$C$38, 0.0264, 0)</f>
        <v>34.5929</v>
      </c>
      <c r="C437" s="14">
        <f>32.5889 * CHOOSE(CONTROL!$C$15, $E$9, 100%, $G$9) + CHOOSE(CONTROL!$C$38, 0.0354, 0)</f>
        <v>32.624300000000005</v>
      </c>
      <c r="D437" s="14">
        <f>32.5811 * CHOOSE(CONTROL!$C$15, $E$9, 100%, $G$9) + CHOOSE(CONTROL!$C$38, 0.0354, 0)</f>
        <v>32.616500000000002</v>
      </c>
      <c r="E437" s="46">
        <f>34.4102 * CHOOSE(CONTROL!$C$15, $E$9, 100%, $G$9) + CHOOSE(CONTROL!$C$38, 0.0354, 0)</f>
        <v>34.445600000000006</v>
      </c>
      <c r="F437" s="45">
        <f>34.4102 * CHOOSE(CONTROL!$C$15, $E$9, 100%, $G$9) + CHOOSE(CONTROL!$C$38, 0.0264, 0)</f>
        <v>34.436600000000006</v>
      </c>
      <c r="G437" s="14">
        <f>32.5873 * CHOOSE(CONTROL!$C$15, $E$9, 100%, $G$9) + CHOOSE(CONTROL!$C$38, 0.0354, 0)</f>
        <v>32.622700000000002</v>
      </c>
      <c r="H437" s="14">
        <f>32.5873 * CHOOSE(CONTROL!$C$15, $E$9, 100%, $G$9) + CHOOSE(CONTROL!$C$38, 0.0354, 0)</f>
        <v>32.622700000000002</v>
      </c>
      <c r="I437" s="14">
        <f>32.5889 * CHOOSE(CONTROL!$C$15, $E$9, 100%, $G$9) + CHOOSE(CONTROL!$C$38, 0.0354, 0)</f>
        <v>32.624300000000005</v>
      </c>
      <c r="J437" s="44">
        <f>278.1364</f>
        <v>278.13639999999998</v>
      </c>
    </row>
    <row r="438" spans="1:10" ht="15.75" x14ac:dyDescent="0.25">
      <c r="A438" s="33">
        <v>54270</v>
      </c>
      <c r="B438" s="14">
        <f>34.2444 * CHOOSE(CONTROL!$C$15, $E$9, 100%, $G$9) + CHOOSE(CONTROL!$C$38, 0.0264, 0)</f>
        <v>34.270800000000001</v>
      </c>
      <c r="C438" s="14">
        <f>32.2668 * CHOOSE(CONTROL!$C$15, $E$9, 100%, $G$9) + CHOOSE(CONTROL!$C$38, 0.0354, 0)</f>
        <v>32.302200000000006</v>
      </c>
      <c r="D438" s="14">
        <f>32.259 * CHOOSE(CONTROL!$C$15, $E$9, 100%, $G$9) + CHOOSE(CONTROL!$C$38, 0.0354, 0)</f>
        <v>32.294400000000003</v>
      </c>
      <c r="E438" s="46">
        <f>34.0882 * CHOOSE(CONTROL!$C$15, $E$9, 100%, $G$9) + CHOOSE(CONTROL!$C$38, 0.0354, 0)</f>
        <v>34.123600000000003</v>
      </c>
      <c r="F438" s="45">
        <f>34.0882 * CHOOSE(CONTROL!$C$15, $E$9, 100%, $G$9) + CHOOSE(CONTROL!$C$38, 0.0264, 0)</f>
        <v>34.114600000000003</v>
      </c>
      <c r="G438" s="14">
        <f>32.2653 * CHOOSE(CONTROL!$C$15, $E$9, 100%, $G$9) + CHOOSE(CONTROL!$C$38, 0.0354, 0)</f>
        <v>32.300700000000006</v>
      </c>
      <c r="H438" s="14">
        <f>32.2653 * CHOOSE(CONTROL!$C$15, $E$9, 100%, $G$9) + CHOOSE(CONTROL!$C$38, 0.0354, 0)</f>
        <v>32.300700000000006</v>
      </c>
      <c r="I438" s="14">
        <f>32.2668 * CHOOSE(CONTROL!$C$15, $E$9, 100%, $G$9) + CHOOSE(CONTROL!$C$38, 0.0354, 0)</f>
        <v>32.302200000000006</v>
      </c>
      <c r="J438" s="44">
        <f>276.8356</f>
        <v>276.8356</v>
      </c>
    </row>
    <row r="439" spans="1:10" ht="15.75" x14ac:dyDescent="0.25">
      <c r="A439" s="33">
        <v>54301</v>
      </c>
      <c r="B439" s="14">
        <f>34.4034 * CHOOSE(CONTROL!$C$15, $E$9, 100%, $G$9) + CHOOSE(CONTROL!$C$38, 0.0264, 0)</f>
        <v>34.4298</v>
      </c>
      <c r="C439" s="14">
        <f>32.4258 * CHOOSE(CONTROL!$C$15, $E$9, 100%, $G$9) + CHOOSE(CONTROL!$C$38, 0.0354, 0)</f>
        <v>32.461200000000005</v>
      </c>
      <c r="D439" s="14">
        <f>32.418 * CHOOSE(CONTROL!$C$15, $E$9, 100%, $G$9) + CHOOSE(CONTROL!$C$38, 0.0354, 0)</f>
        <v>32.453400000000002</v>
      </c>
      <c r="E439" s="46">
        <f>34.2471 * CHOOSE(CONTROL!$C$15, $E$9, 100%, $G$9) + CHOOSE(CONTROL!$C$38, 0.0354, 0)</f>
        <v>34.282500000000006</v>
      </c>
      <c r="F439" s="45">
        <f>34.2471 * CHOOSE(CONTROL!$C$15, $E$9, 100%, $G$9) + CHOOSE(CONTROL!$C$38, 0.0264, 0)</f>
        <v>34.273500000000006</v>
      </c>
      <c r="G439" s="14">
        <f>32.4242 * CHOOSE(CONTROL!$C$15, $E$9, 100%, $G$9) + CHOOSE(CONTROL!$C$38, 0.0354, 0)</f>
        <v>32.459600000000002</v>
      </c>
      <c r="H439" s="14">
        <f>32.4242 * CHOOSE(CONTROL!$C$15, $E$9, 100%, $G$9) + CHOOSE(CONTROL!$C$38, 0.0354, 0)</f>
        <v>32.459600000000002</v>
      </c>
      <c r="I439" s="14">
        <f>32.4258 * CHOOSE(CONTROL!$C$15, $E$9, 100%, $G$9) + CHOOSE(CONTROL!$C$38, 0.0354, 0)</f>
        <v>32.461200000000005</v>
      </c>
      <c r="J439" s="44">
        <f>270.391</f>
        <v>270.39100000000002</v>
      </c>
    </row>
    <row r="440" spans="1:10" ht="15.75" x14ac:dyDescent="0.25">
      <c r="A440" s="33">
        <v>54331</v>
      </c>
      <c r="B440" s="14">
        <f>34.8351 * CHOOSE(CONTROL!$C$15, $E$9, 100%, $G$9) + CHOOSE(CONTROL!$C$38, 0.0264, 0)</f>
        <v>34.861499999999999</v>
      </c>
      <c r="C440" s="14">
        <f>32.8575 * CHOOSE(CONTROL!$C$15, $E$9, 100%, $G$9) + CHOOSE(CONTROL!$C$38, 0.0354, 0)</f>
        <v>32.892900000000004</v>
      </c>
      <c r="D440" s="14">
        <f>32.8497 * CHOOSE(CONTROL!$C$15, $E$9, 100%, $G$9) + CHOOSE(CONTROL!$C$38, 0.0354, 0)</f>
        <v>32.885100000000001</v>
      </c>
      <c r="E440" s="46">
        <f>34.6788 * CHOOSE(CONTROL!$C$15, $E$9, 100%, $G$9) + CHOOSE(CONTROL!$C$38, 0.0354, 0)</f>
        <v>34.714200000000005</v>
      </c>
      <c r="F440" s="45">
        <f>34.6788 * CHOOSE(CONTROL!$C$15, $E$9, 100%, $G$9) + CHOOSE(CONTROL!$C$38, 0.0264, 0)</f>
        <v>34.705200000000005</v>
      </c>
      <c r="G440" s="14">
        <f>32.8559 * CHOOSE(CONTROL!$C$15, $E$9, 100%, $G$9) + CHOOSE(CONTROL!$C$38, 0.0354, 0)</f>
        <v>32.891300000000001</v>
      </c>
      <c r="H440" s="14">
        <f>32.8559 * CHOOSE(CONTROL!$C$15, $E$9, 100%, $G$9) + CHOOSE(CONTROL!$C$38, 0.0354, 0)</f>
        <v>32.891300000000001</v>
      </c>
      <c r="I440" s="14">
        <f>32.8575 * CHOOSE(CONTROL!$C$15, $E$9, 100%, $G$9) + CHOOSE(CONTROL!$C$38, 0.0354, 0)</f>
        <v>32.892900000000004</v>
      </c>
      <c r="J440" s="44">
        <f>261.4037</f>
        <v>261.40370000000001</v>
      </c>
    </row>
    <row r="441" spans="1:10" ht="15.75" x14ac:dyDescent="0.25">
      <c r="A441" s="33">
        <v>54362</v>
      </c>
      <c r="B441" s="14">
        <f>35.1967 * CHOOSE(CONTROL!$C$15, $E$9, 100%, $G$9) + CHOOSE(CONTROL!$C$38, 0.0251, 0)</f>
        <v>35.221800000000002</v>
      </c>
      <c r="C441" s="14">
        <f>33.2191 * CHOOSE(CONTROL!$C$15, $E$9, 100%, $G$9) + CHOOSE(CONTROL!$C$38, 0.0342, 0)</f>
        <v>33.253299999999996</v>
      </c>
      <c r="D441" s="14">
        <f>33.2112 * CHOOSE(CONTROL!$C$15, $E$9, 100%, $G$9) + CHOOSE(CONTROL!$C$38, 0.0342, 0)</f>
        <v>33.245399999999997</v>
      </c>
      <c r="E441" s="46">
        <f>35.0404 * CHOOSE(CONTROL!$C$15, $E$9, 100%, $G$9) + CHOOSE(CONTROL!$C$38, 0.0342, 0)</f>
        <v>35.074599999999997</v>
      </c>
      <c r="F441" s="45">
        <f>35.0404 * CHOOSE(CONTROL!$C$15, $E$9, 100%, $G$9) + CHOOSE(CONTROL!$C$38, 0.0251, 0)</f>
        <v>35.0655</v>
      </c>
      <c r="G441" s="14">
        <f>33.2175 * CHOOSE(CONTROL!$C$15, $E$9, 100%, $G$9) + CHOOSE(CONTROL!$C$38, 0.0342, 0)</f>
        <v>33.2517</v>
      </c>
      <c r="H441" s="14">
        <f>33.2175 * CHOOSE(CONTROL!$C$15, $E$9, 100%, $G$9) + CHOOSE(CONTROL!$C$38, 0.0342, 0)</f>
        <v>33.2517</v>
      </c>
      <c r="I441" s="14">
        <f>33.2191 * CHOOSE(CONTROL!$C$15, $E$9, 100%, $G$9) + CHOOSE(CONTROL!$C$38, 0.0342, 0)</f>
        <v>33.253299999999996</v>
      </c>
      <c r="J441" s="44">
        <f>252.3641</f>
        <v>252.36410000000001</v>
      </c>
    </row>
    <row r="442" spans="1:10" ht="15.75" x14ac:dyDescent="0.25">
      <c r="A442" s="33">
        <v>54392</v>
      </c>
      <c r="B442" s="14">
        <f>35.4984 * CHOOSE(CONTROL!$C$15, $E$9, 100%, $G$9) + CHOOSE(CONTROL!$C$38, 0.0251, 0)</f>
        <v>35.523499999999999</v>
      </c>
      <c r="C442" s="14">
        <f>33.5208 * CHOOSE(CONTROL!$C$15, $E$9, 100%, $G$9) + CHOOSE(CONTROL!$C$38, 0.0342, 0)</f>
        <v>33.555</v>
      </c>
      <c r="D442" s="14">
        <f>33.5129 * CHOOSE(CONTROL!$C$15, $E$9, 100%, $G$9) + CHOOSE(CONTROL!$C$38, 0.0342, 0)</f>
        <v>33.5471</v>
      </c>
      <c r="E442" s="46">
        <f>35.3421 * CHOOSE(CONTROL!$C$15, $E$9, 100%, $G$9) + CHOOSE(CONTROL!$C$38, 0.0342, 0)</f>
        <v>35.376300000000001</v>
      </c>
      <c r="F442" s="45">
        <f>35.3421 * CHOOSE(CONTROL!$C$15, $E$9, 100%, $G$9) + CHOOSE(CONTROL!$C$38, 0.0251, 0)</f>
        <v>35.367200000000004</v>
      </c>
      <c r="G442" s="14">
        <f>33.5192 * CHOOSE(CONTROL!$C$15, $E$9, 100%, $G$9) + CHOOSE(CONTROL!$C$38, 0.0342, 0)</f>
        <v>33.553399999999996</v>
      </c>
      <c r="H442" s="14">
        <f>33.5192 * CHOOSE(CONTROL!$C$15, $E$9, 100%, $G$9) + CHOOSE(CONTROL!$C$38, 0.0342, 0)</f>
        <v>33.553399999999996</v>
      </c>
      <c r="I442" s="14">
        <f>33.5208 * CHOOSE(CONTROL!$C$15, $E$9, 100%, $G$9) + CHOOSE(CONTROL!$C$38, 0.0342, 0)</f>
        <v>33.555</v>
      </c>
      <c r="J442" s="44">
        <f>250.5659</f>
        <v>250.5659</v>
      </c>
    </row>
    <row r="443" spans="1:10" ht="15.75" x14ac:dyDescent="0.25">
      <c r="A443" s="33">
        <v>54423</v>
      </c>
      <c r="B443" s="14">
        <f>36.428 * CHOOSE(CONTROL!$C$15, $E$9, 100%, $G$9) + CHOOSE(CONTROL!$C$38, 0.0251, 0)</f>
        <v>36.453099999999999</v>
      </c>
      <c r="C443" s="14">
        <f>34.4504 * CHOOSE(CONTROL!$C$15, $E$9, 100%, $G$9) + CHOOSE(CONTROL!$C$38, 0.0342, 0)</f>
        <v>34.4846</v>
      </c>
      <c r="D443" s="14">
        <f>34.4426 * CHOOSE(CONTROL!$C$15, $E$9, 100%, $G$9) + CHOOSE(CONTROL!$C$38, 0.0342, 0)</f>
        <v>34.476799999999997</v>
      </c>
      <c r="E443" s="46">
        <f>36.2718 * CHOOSE(CONTROL!$C$15, $E$9, 100%, $G$9) + CHOOSE(CONTROL!$C$38, 0.0342, 0)</f>
        <v>36.305999999999997</v>
      </c>
      <c r="F443" s="45">
        <f>36.2718 * CHOOSE(CONTROL!$C$15, $E$9, 100%, $G$9) + CHOOSE(CONTROL!$C$38, 0.0251, 0)</f>
        <v>36.296900000000001</v>
      </c>
      <c r="G443" s="14">
        <f>34.4489 * CHOOSE(CONTROL!$C$15, $E$9, 100%, $G$9) + CHOOSE(CONTROL!$C$38, 0.0342, 0)</f>
        <v>34.4831</v>
      </c>
      <c r="H443" s="14">
        <f>34.4489 * CHOOSE(CONTROL!$C$15, $E$9, 100%, $G$9) + CHOOSE(CONTROL!$C$38, 0.0342, 0)</f>
        <v>34.4831</v>
      </c>
      <c r="I443" s="14">
        <f>34.4504 * CHOOSE(CONTROL!$C$15, $E$9, 100%, $G$9) + CHOOSE(CONTROL!$C$38, 0.0342, 0)</f>
        <v>34.4846</v>
      </c>
      <c r="J443" s="44">
        <f>243.1304</f>
        <v>243.13040000000001</v>
      </c>
    </row>
    <row r="444" spans="1:10" ht="15.75" x14ac:dyDescent="0.25">
      <c r="A444" s="33">
        <v>54454</v>
      </c>
      <c r="B444" s="14">
        <f>37.7491 * CHOOSE(CONTROL!$C$15, $E$9, 100%, $G$9) + CHOOSE(CONTROL!$C$38, 0.0251, 0)</f>
        <v>37.7742</v>
      </c>
      <c r="C444" s="14">
        <f>35.7409 * CHOOSE(CONTROL!$C$15, $E$9, 100%, $G$9) + CHOOSE(CONTROL!$C$38, 0.0342, 0)</f>
        <v>35.775100000000002</v>
      </c>
      <c r="D444" s="14">
        <f>35.7331 * CHOOSE(CONTROL!$C$15, $E$9, 100%, $G$9) + CHOOSE(CONTROL!$C$38, 0.0342, 0)</f>
        <v>35.767299999999999</v>
      </c>
      <c r="E444" s="46">
        <f>37.5929 * CHOOSE(CONTROL!$C$15, $E$9, 100%, $G$9) + CHOOSE(CONTROL!$C$38, 0.0342, 0)</f>
        <v>37.627099999999999</v>
      </c>
      <c r="F444" s="45">
        <f>37.5929 * CHOOSE(CONTROL!$C$15, $E$9, 100%, $G$9) + CHOOSE(CONTROL!$C$38, 0.0251, 0)</f>
        <v>37.618000000000002</v>
      </c>
      <c r="G444" s="14">
        <f>35.7393 * CHOOSE(CONTROL!$C$15, $E$9, 100%, $G$9) + CHOOSE(CONTROL!$C$38, 0.0342, 0)</f>
        <v>35.773499999999999</v>
      </c>
      <c r="H444" s="14">
        <f>35.7393 * CHOOSE(CONTROL!$C$15, $E$9, 100%, $G$9) + CHOOSE(CONTROL!$C$38, 0.0342, 0)</f>
        <v>35.773499999999999</v>
      </c>
      <c r="I444" s="14">
        <f>35.7409 * CHOOSE(CONTROL!$C$15, $E$9, 100%, $G$9) + CHOOSE(CONTROL!$C$38, 0.0342, 0)</f>
        <v>35.775100000000002</v>
      </c>
      <c r="J444" s="44">
        <f>242.9548</f>
        <v>242.95480000000001</v>
      </c>
    </row>
    <row r="445" spans="1:10" ht="15.75" x14ac:dyDescent="0.25">
      <c r="A445" s="33">
        <v>54482</v>
      </c>
      <c r="B445" s="14">
        <f>38.0934 * CHOOSE(CONTROL!$C$15, $E$9, 100%, $G$9) + CHOOSE(CONTROL!$C$38, 0.0251, 0)</f>
        <v>38.118500000000004</v>
      </c>
      <c r="C445" s="14">
        <f>36.0852 * CHOOSE(CONTROL!$C$15, $E$9, 100%, $G$9) + CHOOSE(CONTROL!$C$38, 0.0342, 0)</f>
        <v>36.119399999999999</v>
      </c>
      <c r="D445" s="14">
        <f>36.0774 * CHOOSE(CONTROL!$C$15, $E$9, 100%, $G$9) + CHOOSE(CONTROL!$C$38, 0.0342, 0)</f>
        <v>36.111599999999996</v>
      </c>
      <c r="E445" s="46">
        <f>37.9372 * CHOOSE(CONTROL!$C$15, $E$9, 100%, $G$9) + CHOOSE(CONTROL!$C$38, 0.0342, 0)</f>
        <v>37.971399999999996</v>
      </c>
      <c r="F445" s="45">
        <f>37.9372 * CHOOSE(CONTROL!$C$15, $E$9, 100%, $G$9) + CHOOSE(CONTROL!$C$38, 0.0251, 0)</f>
        <v>37.962299999999999</v>
      </c>
      <c r="G445" s="14">
        <f>36.0837 * CHOOSE(CONTROL!$C$15, $E$9, 100%, $G$9) + CHOOSE(CONTROL!$C$38, 0.0342, 0)</f>
        <v>36.117899999999999</v>
      </c>
      <c r="H445" s="14">
        <f>36.0837 * CHOOSE(CONTROL!$C$15, $E$9, 100%, $G$9) + CHOOSE(CONTROL!$C$38, 0.0342, 0)</f>
        <v>36.117899999999999</v>
      </c>
      <c r="I445" s="14">
        <f>36.0852 * CHOOSE(CONTROL!$C$15, $E$9, 100%, $G$9) + CHOOSE(CONTROL!$C$38, 0.0342, 0)</f>
        <v>36.119399999999999</v>
      </c>
      <c r="J445" s="44">
        <f>242.2795</f>
        <v>242.27950000000001</v>
      </c>
    </row>
    <row r="446" spans="1:10" ht="15.75" x14ac:dyDescent="0.25">
      <c r="A446" s="33">
        <v>54513</v>
      </c>
      <c r="B446" s="14">
        <f>37.2964 * CHOOSE(CONTROL!$C$15, $E$9, 100%, $G$9) + CHOOSE(CONTROL!$C$38, 0.0251, 0)</f>
        <v>37.3215</v>
      </c>
      <c r="C446" s="14">
        <f>35.2882 * CHOOSE(CONTROL!$C$15, $E$9, 100%, $G$9) + CHOOSE(CONTROL!$C$38, 0.0342, 0)</f>
        <v>35.322400000000002</v>
      </c>
      <c r="D446" s="14">
        <f>35.2804 * CHOOSE(CONTROL!$C$15, $E$9, 100%, $G$9) + CHOOSE(CONTROL!$C$38, 0.0342, 0)</f>
        <v>35.314599999999999</v>
      </c>
      <c r="E446" s="46">
        <f>37.1401 * CHOOSE(CONTROL!$C$15, $E$9, 100%, $G$9) + CHOOSE(CONTROL!$C$38, 0.0342, 0)</f>
        <v>37.174299999999995</v>
      </c>
      <c r="F446" s="45">
        <f>37.1401 * CHOOSE(CONTROL!$C$15, $E$9, 100%, $G$9) + CHOOSE(CONTROL!$C$38, 0.0251, 0)</f>
        <v>37.165199999999999</v>
      </c>
      <c r="G446" s="14">
        <f>35.2866 * CHOOSE(CONTROL!$C$15, $E$9, 100%, $G$9) + CHOOSE(CONTROL!$C$38, 0.0342, 0)</f>
        <v>35.320799999999998</v>
      </c>
      <c r="H446" s="14">
        <f>35.2866 * CHOOSE(CONTROL!$C$15, $E$9, 100%, $G$9) + CHOOSE(CONTROL!$C$38, 0.0342, 0)</f>
        <v>35.320799999999998</v>
      </c>
      <c r="I446" s="14">
        <f>35.2882 * CHOOSE(CONTROL!$C$15, $E$9, 100%, $G$9) + CHOOSE(CONTROL!$C$38, 0.0342, 0)</f>
        <v>35.322400000000002</v>
      </c>
      <c r="J446" s="44">
        <f>255.049</f>
        <v>255.04900000000001</v>
      </c>
    </row>
    <row r="447" spans="1:10" ht="15.75" x14ac:dyDescent="0.25">
      <c r="A447" s="33">
        <v>54543</v>
      </c>
      <c r="B447" s="14">
        <f>36.5241 * CHOOSE(CONTROL!$C$15, $E$9, 100%, $G$9) + CHOOSE(CONTROL!$C$38, 0.0251, 0)</f>
        <v>36.549199999999999</v>
      </c>
      <c r="C447" s="14">
        <f>34.5159 * CHOOSE(CONTROL!$C$15, $E$9, 100%, $G$9) + CHOOSE(CONTROL!$C$38, 0.0342, 0)</f>
        <v>34.5501</v>
      </c>
      <c r="D447" s="14">
        <f>34.5081 * CHOOSE(CONTROL!$C$15, $E$9, 100%, $G$9) + CHOOSE(CONTROL!$C$38, 0.0342, 0)</f>
        <v>34.542299999999997</v>
      </c>
      <c r="E447" s="46">
        <f>36.3678 * CHOOSE(CONTROL!$C$15, $E$9, 100%, $G$9) + CHOOSE(CONTROL!$C$38, 0.0342, 0)</f>
        <v>36.402000000000001</v>
      </c>
      <c r="F447" s="45">
        <f>36.3678 * CHOOSE(CONTROL!$C$15, $E$9, 100%, $G$9) + CHOOSE(CONTROL!$C$38, 0.0251, 0)</f>
        <v>36.392900000000004</v>
      </c>
      <c r="G447" s="14">
        <f>34.5143 * CHOOSE(CONTROL!$C$15, $E$9, 100%, $G$9) + CHOOSE(CONTROL!$C$38, 0.0342, 0)</f>
        <v>34.548499999999997</v>
      </c>
      <c r="H447" s="14">
        <f>34.5143 * CHOOSE(CONTROL!$C$15, $E$9, 100%, $G$9) + CHOOSE(CONTROL!$C$38, 0.0342, 0)</f>
        <v>34.548499999999997</v>
      </c>
      <c r="I447" s="14">
        <f>34.5159 * CHOOSE(CONTROL!$C$15, $E$9, 100%, $G$9) + CHOOSE(CONTROL!$C$38, 0.0342, 0)</f>
        <v>34.5501</v>
      </c>
      <c r="J447" s="44">
        <f>271.608</f>
        <v>271.608</v>
      </c>
    </row>
    <row r="448" spans="1:10" ht="15.75" x14ac:dyDescent="0.25">
      <c r="A448" s="33">
        <v>54574</v>
      </c>
      <c r="B448" s="14">
        <f>35.7191 * CHOOSE(CONTROL!$C$15, $E$9, 100%, $G$9) + CHOOSE(CONTROL!$C$38, 0.0264, 0)</f>
        <v>35.7455</v>
      </c>
      <c r="C448" s="14">
        <f>33.7109 * CHOOSE(CONTROL!$C$15, $E$9, 100%, $G$9) + CHOOSE(CONTROL!$C$38, 0.0354, 0)</f>
        <v>33.746300000000005</v>
      </c>
      <c r="D448" s="14">
        <f>33.7031 * CHOOSE(CONTROL!$C$15, $E$9, 100%, $G$9) + CHOOSE(CONTROL!$C$38, 0.0354, 0)</f>
        <v>33.738500000000002</v>
      </c>
      <c r="E448" s="46">
        <f>35.5629 * CHOOSE(CONTROL!$C$15, $E$9, 100%, $G$9) + CHOOSE(CONTROL!$C$38, 0.0354, 0)</f>
        <v>35.598300000000002</v>
      </c>
      <c r="F448" s="45">
        <f>35.5629 * CHOOSE(CONTROL!$C$15, $E$9, 100%, $G$9) + CHOOSE(CONTROL!$C$38, 0.0264, 0)</f>
        <v>35.589300000000001</v>
      </c>
      <c r="G448" s="14">
        <f>33.7093 * CHOOSE(CONTROL!$C$15, $E$9, 100%, $G$9) + CHOOSE(CONTROL!$C$38, 0.0354, 0)</f>
        <v>33.744700000000002</v>
      </c>
      <c r="H448" s="14">
        <f>33.7093 * CHOOSE(CONTROL!$C$15, $E$9, 100%, $G$9) + CHOOSE(CONTROL!$C$38, 0.0354, 0)</f>
        <v>33.744700000000002</v>
      </c>
      <c r="I448" s="14">
        <f>33.7109 * CHOOSE(CONTROL!$C$15, $E$9, 100%, $G$9) + CHOOSE(CONTROL!$C$38, 0.0354, 0)</f>
        <v>33.746300000000005</v>
      </c>
      <c r="J448" s="44">
        <f>280.7227</f>
        <v>280.72269999999997</v>
      </c>
    </row>
    <row r="449" spans="1:10" ht="15.75" x14ac:dyDescent="0.25">
      <c r="A449" s="33">
        <v>54604</v>
      </c>
      <c r="B449" s="14">
        <f>35.1548 * CHOOSE(CONTROL!$C$15, $E$9, 100%, $G$9) + CHOOSE(CONTROL!$C$38, 0.0264, 0)</f>
        <v>35.181200000000004</v>
      </c>
      <c r="C449" s="14">
        <f>33.1466 * CHOOSE(CONTROL!$C$15, $E$9, 100%, $G$9) + CHOOSE(CONTROL!$C$38, 0.0354, 0)</f>
        <v>33.182000000000002</v>
      </c>
      <c r="D449" s="14">
        <f>33.1388 * CHOOSE(CONTROL!$C$15, $E$9, 100%, $G$9) + CHOOSE(CONTROL!$C$38, 0.0354, 0)</f>
        <v>33.174200000000006</v>
      </c>
      <c r="E449" s="46">
        <f>34.9985 * CHOOSE(CONTROL!$C$15, $E$9, 100%, $G$9) + CHOOSE(CONTROL!$C$38, 0.0354, 0)</f>
        <v>35.033900000000003</v>
      </c>
      <c r="F449" s="45">
        <f>34.9985 * CHOOSE(CONTROL!$C$15, $E$9, 100%, $G$9) + CHOOSE(CONTROL!$C$38, 0.0264, 0)</f>
        <v>35.024900000000002</v>
      </c>
      <c r="G449" s="14">
        <f>33.145 * CHOOSE(CONTROL!$C$15, $E$9, 100%, $G$9) + CHOOSE(CONTROL!$C$38, 0.0354, 0)</f>
        <v>33.180400000000006</v>
      </c>
      <c r="H449" s="14">
        <f>33.145 * CHOOSE(CONTROL!$C$15, $E$9, 100%, $G$9) + CHOOSE(CONTROL!$C$38, 0.0354, 0)</f>
        <v>33.180400000000006</v>
      </c>
      <c r="I449" s="14">
        <f>33.1466 * CHOOSE(CONTROL!$C$15, $E$9, 100%, $G$9) + CHOOSE(CONTROL!$C$38, 0.0354, 0)</f>
        <v>33.182000000000002</v>
      </c>
      <c r="J449" s="44">
        <f>284.7676</f>
        <v>284.76760000000002</v>
      </c>
    </row>
    <row r="450" spans="1:10" ht="15.75" x14ac:dyDescent="0.25">
      <c r="A450" s="33">
        <v>54635</v>
      </c>
      <c r="B450" s="14">
        <f>34.8327 * CHOOSE(CONTROL!$C$15, $E$9, 100%, $G$9) + CHOOSE(CONTROL!$C$38, 0.0264, 0)</f>
        <v>34.859100000000005</v>
      </c>
      <c r="C450" s="14">
        <f>32.8245 * CHOOSE(CONTROL!$C$15, $E$9, 100%, $G$9) + CHOOSE(CONTROL!$C$38, 0.0354, 0)</f>
        <v>32.859900000000003</v>
      </c>
      <c r="D450" s="14">
        <f>32.8167 * CHOOSE(CONTROL!$C$15, $E$9, 100%, $G$9) + CHOOSE(CONTROL!$C$38, 0.0354, 0)</f>
        <v>32.8521</v>
      </c>
      <c r="E450" s="46">
        <f>34.6765 * CHOOSE(CONTROL!$C$15, $E$9, 100%, $G$9) + CHOOSE(CONTROL!$C$38, 0.0354, 0)</f>
        <v>34.7119</v>
      </c>
      <c r="F450" s="45">
        <f>34.6765 * CHOOSE(CONTROL!$C$15, $E$9, 100%, $G$9) + CHOOSE(CONTROL!$C$38, 0.0264, 0)</f>
        <v>34.7029</v>
      </c>
      <c r="G450" s="14">
        <f>32.823 * CHOOSE(CONTROL!$C$15, $E$9, 100%, $G$9) + CHOOSE(CONTROL!$C$38, 0.0354, 0)</f>
        <v>32.858400000000003</v>
      </c>
      <c r="H450" s="14">
        <f>32.823 * CHOOSE(CONTROL!$C$15, $E$9, 100%, $G$9) + CHOOSE(CONTROL!$C$38, 0.0354, 0)</f>
        <v>32.858400000000003</v>
      </c>
      <c r="I450" s="14">
        <f>32.8245 * CHOOSE(CONTROL!$C$15, $E$9, 100%, $G$9) + CHOOSE(CONTROL!$C$38, 0.0354, 0)</f>
        <v>32.859900000000003</v>
      </c>
      <c r="J450" s="44">
        <f>283.4358</f>
        <v>283.43579999999997</v>
      </c>
    </row>
    <row r="451" spans="1:10" ht="15.75" x14ac:dyDescent="0.25">
      <c r="A451" s="33">
        <v>54666</v>
      </c>
      <c r="B451" s="14">
        <f>34.9917 * CHOOSE(CONTROL!$C$15, $E$9, 100%, $G$9) + CHOOSE(CONTROL!$C$38, 0.0264, 0)</f>
        <v>35.018100000000004</v>
      </c>
      <c r="C451" s="14">
        <f>32.9835 * CHOOSE(CONTROL!$C$15, $E$9, 100%, $G$9) + CHOOSE(CONTROL!$C$38, 0.0354, 0)</f>
        <v>33.018900000000002</v>
      </c>
      <c r="D451" s="14">
        <f>32.9756 * CHOOSE(CONTROL!$C$15, $E$9, 100%, $G$9) + CHOOSE(CONTROL!$C$38, 0.0354, 0)</f>
        <v>33.011000000000003</v>
      </c>
      <c r="E451" s="46">
        <f>34.8354 * CHOOSE(CONTROL!$C$15, $E$9, 100%, $G$9) + CHOOSE(CONTROL!$C$38, 0.0354, 0)</f>
        <v>34.870800000000003</v>
      </c>
      <c r="F451" s="45">
        <f>34.8354 * CHOOSE(CONTROL!$C$15, $E$9, 100%, $G$9) + CHOOSE(CONTROL!$C$38, 0.0264, 0)</f>
        <v>34.861800000000002</v>
      </c>
      <c r="G451" s="14">
        <f>32.9819 * CHOOSE(CONTROL!$C$15, $E$9, 100%, $G$9) + CHOOSE(CONTROL!$C$38, 0.0354, 0)</f>
        <v>33.017300000000006</v>
      </c>
      <c r="H451" s="14">
        <f>32.9819 * CHOOSE(CONTROL!$C$15, $E$9, 100%, $G$9) + CHOOSE(CONTROL!$C$38, 0.0354, 0)</f>
        <v>33.017300000000006</v>
      </c>
      <c r="I451" s="14">
        <f>32.9835 * CHOOSE(CONTROL!$C$15, $E$9, 100%, $G$9) + CHOOSE(CONTROL!$C$38, 0.0354, 0)</f>
        <v>33.018900000000002</v>
      </c>
      <c r="J451" s="44">
        <f>276.8375</f>
        <v>276.83749999999998</v>
      </c>
    </row>
    <row r="452" spans="1:10" ht="15.75" x14ac:dyDescent="0.25">
      <c r="A452" s="33">
        <v>54696</v>
      </c>
      <c r="B452" s="14">
        <f>35.4234 * CHOOSE(CONTROL!$C$15, $E$9, 100%, $G$9) + CHOOSE(CONTROL!$C$38, 0.0264, 0)</f>
        <v>35.449800000000003</v>
      </c>
      <c r="C452" s="14">
        <f>33.4152 * CHOOSE(CONTROL!$C$15, $E$9, 100%, $G$9) + CHOOSE(CONTROL!$C$38, 0.0354, 0)</f>
        <v>33.450600000000001</v>
      </c>
      <c r="D452" s="14">
        <f>33.4074 * CHOOSE(CONTROL!$C$15, $E$9, 100%, $G$9) + CHOOSE(CONTROL!$C$38, 0.0354, 0)</f>
        <v>33.442800000000005</v>
      </c>
      <c r="E452" s="46">
        <f>35.2671 * CHOOSE(CONTROL!$C$15, $E$9, 100%, $G$9) + CHOOSE(CONTROL!$C$38, 0.0354, 0)</f>
        <v>35.302500000000002</v>
      </c>
      <c r="F452" s="45">
        <f>35.2671 * CHOOSE(CONTROL!$C$15, $E$9, 100%, $G$9) + CHOOSE(CONTROL!$C$38, 0.0264, 0)</f>
        <v>35.293500000000002</v>
      </c>
      <c r="G452" s="14">
        <f>33.4136 * CHOOSE(CONTROL!$C$15, $E$9, 100%, $G$9) + CHOOSE(CONTROL!$C$38, 0.0354, 0)</f>
        <v>33.449000000000005</v>
      </c>
      <c r="H452" s="14">
        <f>33.4136 * CHOOSE(CONTROL!$C$15, $E$9, 100%, $G$9) + CHOOSE(CONTROL!$C$38, 0.0354, 0)</f>
        <v>33.449000000000005</v>
      </c>
      <c r="I452" s="14">
        <f>33.4152 * CHOOSE(CONTROL!$C$15, $E$9, 100%, $G$9) + CHOOSE(CONTROL!$C$38, 0.0354, 0)</f>
        <v>33.450600000000001</v>
      </c>
      <c r="J452" s="44">
        <f>267.6359</f>
        <v>267.63589999999999</v>
      </c>
    </row>
    <row r="453" spans="1:10" ht="15.75" x14ac:dyDescent="0.25">
      <c r="A453" s="33">
        <v>54727</v>
      </c>
      <c r="B453" s="14">
        <f>35.7849 * CHOOSE(CONTROL!$C$15, $E$9, 100%, $G$9) + CHOOSE(CONTROL!$C$38, 0.0251, 0)</f>
        <v>35.81</v>
      </c>
      <c r="C453" s="14">
        <f>33.7767 * CHOOSE(CONTROL!$C$15, $E$9, 100%, $G$9) + CHOOSE(CONTROL!$C$38, 0.0342, 0)</f>
        <v>33.810899999999997</v>
      </c>
      <c r="D453" s="14">
        <f>33.7689 * CHOOSE(CONTROL!$C$15, $E$9, 100%, $G$9) + CHOOSE(CONTROL!$C$38, 0.0342, 0)</f>
        <v>33.803100000000001</v>
      </c>
      <c r="E453" s="46">
        <f>35.6287 * CHOOSE(CONTROL!$C$15, $E$9, 100%, $G$9) + CHOOSE(CONTROL!$C$38, 0.0342, 0)</f>
        <v>35.6629</v>
      </c>
      <c r="F453" s="45">
        <f>35.6287 * CHOOSE(CONTROL!$C$15, $E$9, 100%, $G$9) + CHOOSE(CONTROL!$C$38, 0.0251, 0)</f>
        <v>35.653800000000004</v>
      </c>
      <c r="G453" s="14">
        <f>33.7752 * CHOOSE(CONTROL!$C$15, $E$9, 100%, $G$9) + CHOOSE(CONTROL!$C$38, 0.0342, 0)</f>
        <v>33.809399999999997</v>
      </c>
      <c r="H453" s="14">
        <f>33.7752 * CHOOSE(CONTROL!$C$15, $E$9, 100%, $G$9) + CHOOSE(CONTROL!$C$38, 0.0342, 0)</f>
        <v>33.809399999999997</v>
      </c>
      <c r="I453" s="14">
        <f>33.7767 * CHOOSE(CONTROL!$C$15, $E$9, 100%, $G$9) + CHOOSE(CONTROL!$C$38, 0.0342, 0)</f>
        <v>33.810899999999997</v>
      </c>
      <c r="J453" s="44">
        <f>258.3808</f>
        <v>258.38080000000002</v>
      </c>
    </row>
    <row r="454" spans="1:10" ht="15.75" x14ac:dyDescent="0.25">
      <c r="A454" s="33">
        <v>54757</v>
      </c>
      <c r="B454" s="14">
        <f>36.0866 * CHOOSE(CONTROL!$C$15, $E$9, 100%, $G$9) + CHOOSE(CONTROL!$C$38, 0.0251, 0)</f>
        <v>36.111699999999999</v>
      </c>
      <c r="C454" s="14">
        <f>34.0784 * CHOOSE(CONTROL!$C$15, $E$9, 100%, $G$9) + CHOOSE(CONTROL!$C$38, 0.0342, 0)</f>
        <v>34.1126</v>
      </c>
      <c r="D454" s="14">
        <f>34.0706 * CHOOSE(CONTROL!$C$15, $E$9, 100%, $G$9) + CHOOSE(CONTROL!$C$38, 0.0342, 0)</f>
        <v>34.104799999999997</v>
      </c>
      <c r="E454" s="46">
        <f>35.9304 * CHOOSE(CONTROL!$C$15, $E$9, 100%, $G$9) + CHOOSE(CONTROL!$C$38, 0.0342, 0)</f>
        <v>35.964599999999997</v>
      </c>
      <c r="F454" s="45">
        <f>35.9304 * CHOOSE(CONTROL!$C$15, $E$9, 100%, $G$9) + CHOOSE(CONTROL!$C$38, 0.0251, 0)</f>
        <v>35.955500000000001</v>
      </c>
      <c r="G454" s="14">
        <f>34.0769 * CHOOSE(CONTROL!$C$15, $E$9, 100%, $G$9) + CHOOSE(CONTROL!$C$38, 0.0342, 0)</f>
        <v>34.1111</v>
      </c>
      <c r="H454" s="14">
        <f>34.0769 * CHOOSE(CONTROL!$C$15, $E$9, 100%, $G$9) + CHOOSE(CONTROL!$C$38, 0.0342, 0)</f>
        <v>34.1111</v>
      </c>
      <c r="I454" s="14">
        <f>34.0784 * CHOOSE(CONTROL!$C$15, $E$9, 100%, $G$9) + CHOOSE(CONTROL!$C$38, 0.0342, 0)</f>
        <v>34.1126</v>
      </c>
      <c r="J454" s="44">
        <f>256.5398</f>
        <v>256.53980000000001</v>
      </c>
    </row>
    <row r="455" spans="1:10" ht="15.75" x14ac:dyDescent="0.25">
      <c r="A455" s="33">
        <v>54788</v>
      </c>
      <c r="B455" s="14">
        <f>37.0163 * CHOOSE(CONTROL!$C$15, $E$9, 100%, $G$9) + CHOOSE(CONTROL!$C$38, 0.0251, 0)</f>
        <v>37.041400000000003</v>
      </c>
      <c r="C455" s="14">
        <f>35.0081 * CHOOSE(CONTROL!$C$15, $E$9, 100%, $G$9) + CHOOSE(CONTROL!$C$38, 0.0342, 0)</f>
        <v>35.042299999999997</v>
      </c>
      <c r="D455" s="14">
        <f>35.0003 * CHOOSE(CONTROL!$C$15, $E$9, 100%, $G$9) + CHOOSE(CONTROL!$C$38, 0.0342, 0)</f>
        <v>35.034500000000001</v>
      </c>
      <c r="E455" s="46">
        <f>36.8601 * CHOOSE(CONTROL!$C$15, $E$9, 100%, $G$9) + CHOOSE(CONTROL!$C$38, 0.0342, 0)</f>
        <v>36.894300000000001</v>
      </c>
      <c r="F455" s="45">
        <f>36.8601 * CHOOSE(CONTROL!$C$15, $E$9, 100%, $G$9) + CHOOSE(CONTROL!$C$38, 0.0251, 0)</f>
        <v>36.885200000000005</v>
      </c>
      <c r="G455" s="14">
        <f>35.0065 * CHOOSE(CONTROL!$C$15, $E$9, 100%, $G$9) + CHOOSE(CONTROL!$C$38, 0.0342, 0)</f>
        <v>35.040700000000001</v>
      </c>
      <c r="H455" s="14">
        <f>35.0065 * CHOOSE(CONTROL!$C$15, $E$9, 100%, $G$9) + CHOOSE(CONTROL!$C$38, 0.0342, 0)</f>
        <v>35.040700000000001</v>
      </c>
      <c r="I455" s="14">
        <f>35.0081 * CHOOSE(CONTROL!$C$15, $E$9, 100%, $G$9) + CHOOSE(CONTROL!$C$38, 0.0342, 0)</f>
        <v>35.042299999999997</v>
      </c>
      <c r="J455" s="44">
        <f>248.9269</f>
        <v>248.92689999999999</v>
      </c>
    </row>
    <row r="456" spans="1:10" ht="15.75" x14ac:dyDescent="0.25">
      <c r="A456" s="33">
        <v>54819</v>
      </c>
      <c r="B456" s="14">
        <f>38.3473 * CHOOSE(CONTROL!$C$15, $E$9, 100%, $G$9) + CHOOSE(CONTROL!$C$38, 0.0251, 0)</f>
        <v>38.372399999999999</v>
      </c>
      <c r="C456" s="14">
        <f>36.308 * CHOOSE(CONTROL!$C$15, $E$9, 100%, $G$9) + CHOOSE(CONTROL!$C$38, 0.0342, 0)</f>
        <v>36.342199999999998</v>
      </c>
      <c r="D456" s="14">
        <f>36.3001 * CHOOSE(CONTROL!$C$15, $E$9, 100%, $G$9) + CHOOSE(CONTROL!$C$38, 0.0342, 0)</f>
        <v>36.334299999999999</v>
      </c>
      <c r="E456" s="46">
        <f>38.191 * CHOOSE(CONTROL!$C$15, $E$9, 100%, $G$9) + CHOOSE(CONTROL!$C$38, 0.0342, 0)</f>
        <v>38.225200000000001</v>
      </c>
      <c r="F456" s="45">
        <f>38.191 * CHOOSE(CONTROL!$C$15, $E$9, 100%, $G$9) + CHOOSE(CONTROL!$C$38, 0.0251, 0)</f>
        <v>38.216100000000004</v>
      </c>
      <c r="G456" s="14">
        <f>36.3064 * CHOOSE(CONTROL!$C$15, $E$9, 100%, $G$9) + CHOOSE(CONTROL!$C$38, 0.0342, 0)</f>
        <v>36.340599999999995</v>
      </c>
      <c r="H456" s="14">
        <f>36.3064 * CHOOSE(CONTROL!$C$15, $E$9, 100%, $G$9) + CHOOSE(CONTROL!$C$38, 0.0342, 0)</f>
        <v>36.340599999999995</v>
      </c>
      <c r="I456" s="14">
        <f>36.308 * CHOOSE(CONTROL!$C$15, $E$9, 100%, $G$9) + CHOOSE(CONTROL!$C$38, 0.0342, 0)</f>
        <v>36.342199999999998</v>
      </c>
      <c r="J456" s="44">
        <f>248.7472</f>
        <v>248.74719999999999</v>
      </c>
    </row>
    <row r="457" spans="1:10" ht="15.75" x14ac:dyDescent="0.25">
      <c r="A457" s="33">
        <v>54847</v>
      </c>
      <c r="B457" s="14">
        <f>38.6916 * CHOOSE(CONTROL!$C$15, $E$9, 100%, $G$9) + CHOOSE(CONTROL!$C$38, 0.0251, 0)</f>
        <v>38.716700000000003</v>
      </c>
      <c r="C457" s="14">
        <f>36.6523 * CHOOSE(CONTROL!$C$15, $E$9, 100%, $G$9) + CHOOSE(CONTROL!$C$38, 0.0342, 0)</f>
        <v>36.686499999999995</v>
      </c>
      <c r="D457" s="14">
        <f>36.6445 * CHOOSE(CONTROL!$C$15, $E$9, 100%, $G$9) + CHOOSE(CONTROL!$C$38, 0.0342, 0)</f>
        <v>36.678699999999999</v>
      </c>
      <c r="E457" s="46">
        <f>38.5353 * CHOOSE(CONTROL!$C$15, $E$9, 100%, $G$9) + CHOOSE(CONTROL!$C$38, 0.0342, 0)</f>
        <v>38.569499999999998</v>
      </c>
      <c r="F457" s="45">
        <f>38.5353 * CHOOSE(CONTROL!$C$15, $E$9, 100%, $G$9) + CHOOSE(CONTROL!$C$38, 0.0251, 0)</f>
        <v>38.560400000000001</v>
      </c>
      <c r="G457" s="14">
        <f>36.6507 * CHOOSE(CONTROL!$C$15, $E$9, 100%, $G$9) + CHOOSE(CONTROL!$C$38, 0.0342, 0)</f>
        <v>36.684899999999999</v>
      </c>
      <c r="H457" s="14">
        <f>36.6507 * CHOOSE(CONTROL!$C$15, $E$9, 100%, $G$9) + CHOOSE(CONTROL!$C$38, 0.0342, 0)</f>
        <v>36.684899999999999</v>
      </c>
      <c r="I457" s="14">
        <f>36.6523 * CHOOSE(CONTROL!$C$15, $E$9, 100%, $G$9) + CHOOSE(CONTROL!$C$38, 0.0342, 0)</f>
        <v>36.686499999999995</v>
      </c>
      <c r="J457" s="44">
        <f>248.0558</f>
        <v>248.0558</v>
      </c>
    </row>
    <row r="458" spans="1:10" ht="15.75" x14ac:dyDescent="0.25">
      <c r="A458" s="33">
        <v>54878</v>
      </c>
      <c r="B458" s="14">
        <f>37.8945 * CHOOSE(CONTROL!$C$15, $E$9, 100%, $G$9) + CHOOSE(CONTROL!$C$38, 0.0251, 0)</f>
        <v>37.919600000000003</v>
      </c>
      <c r="C458" s="14">
        <f>35.8552 * CHOOSE(CONTROL!$C$15, $E$9, 100%, $G$9) + CHOOSE(CONTROL!$C$38, 0.0342, 0)</f>
        <v>35.889400000000002</v>
      </c>
      <c r="D458" s="14">
        <f>35.8474 * CHOOSE(CONTROL!$C$15, $E$9, 100%, $G$9) + CHOOSE(CONTROL!$C$38, 0.0342, 0)</f>
        <v>35.881599999999999</v>
      </c>
      <c r="E458" s="46">
        <f>37.7383 * CHOOSE(CONTROL!$C$15, $E$9, 100%, $G$9) + CHOOSE(CONTROL!$C$38, 0.0342, 0)</f>
        <v>37.772500000000001</v>
      </c>
      <c r="F458" s="45">
        <f>37.7383 * CHOOSE(CONTROL!$C$15, $E$9, 100%, $G$9) + CHOOSE(CONTROL!$C$38, 0.0251, 0)</f>
        <v>37.763400000000004</v>
      </c>
      <c r="G458" s="14">
        <f>35.8537 * CHOOSE(CONTROL!$C$15, $E$9, 100%, $G$9) + CHOOSE(CONTROL!$C$38, 0.0342, 0)</f>
        <v>35.887900000000002</v>
      </c>
      <c r="H458" s="14">
        <f>35.8537 * CHOOSE(CONTROL!$C$15, $E$9, 100%, $G$9) + CHOOSE(CONTROL!$C$38, 0.0342, 0)</f>
        <v>35.887900000000002</v>
      </c>
      <c r="I458" s="14">
        <f>35.8552 * CHOOSE(CONTROL!$C$15, $E$9, 100%, $G$9) + CHOOSE(CONTROL!$C$38, 0.0342, 0)</f>
        <v>35.889400000000002</v>
      </c>
      <c r="J458" s="44">
        <f>261.1298</f>
        <v>261.12979999999999</v>
      </c>
    </row>
    <row r="459" spans="1:10" ht="15.75" x14ac:dyDescent="0.25">
      <c r="A459" s="33">
        <v>54908</v>
      </c>
      <c r="B459" s="14">
        <f>37.1222 * CHOOSE(CONTROL!$C$15, $E$9, 100%, $G$9) + CHOOSE(CONTROL!$C$38, 0.0251, 0)</f>
        <v>37.147300000000001</v>
      </c>
      <c r="C459" s="14">
        <f>35.0829 * CHOOSE(CONTROL!$C$15, $E$9, 100%, $G$9) + CHOOSE(CONTROL!$C$38, 0.0342, 0)</f>
        <v>35.117100000000001</v>
      </c>
      <c r="D459" s="14">
        <f>35.0751 * CHOOSE(CONTROL!$C$15, $E$9, 100%, $G$9) + CHOOSE(CONTROL!$C$38, 0.0342, 0)</f>
        <v>35.109299999999998</v>
      </c>
      <c r="E459" s="46">
        <f>36.966 * CHOOSE(CONTROL!$C$15, $E$9, 100%, $G$9) + CHOOSE(CONTROL!$C$38, 0.0342, 0)</f>
        <v>37.0002</v>
      </c>
      <c r="F459" s="45">
        <f>36.966 * CHOOSE(CONTROL!$C$15, $E$9, 100%, $G$9) + CHOOSE(CONTROL!$C$38, 0.0251, 0)</f>
        <v>36.991100000000003</v>
      </c>
      <c r="G459" s="14">
        <f>35.0814 * CHOOSE(CONTROL!$C$15, $E$9, 100%, $G$9) + CHOOSE(CONTROL!$C$38, 0.0342, 0)</f>
        <v>35.115600000000001</v>
      </c>
      <c r="H459" s="14">
        <f>35.0814 * CHOOSE(CONTROL!$C$15, $E$9, 100%, $G$9) + CHOOSE(CONTROL!$C$38, 0.0342, 0)</f>
        <v>35.115600000000001</v>
      </c>
      <c r="I459" s="14">
        <f>35.0829 * CHOOSE(CONTROL!$C$15, $E$9, 100%, $G$9) + CHOOSE(CONTROL!$C$38, 0.0342, 0)</f>
        <v>35.117100000000001</v>
      </c>
      <c r="J459" s="44">
        <f>278.0836</f>
        <v>278.08359999999999</v>
      </c>
    </row>
    <row r="460" spans="1:10" ht="15.75" x14ac:dyDescent="0.25">
      <c r="A460" s="33">
        <v>54939</v>
      </c>
      <c r="B460" s="14">
        <f>36.3173 * CHOOSE(CONTROL!$C$15, $E$9, 100%, $G$9) + CHOOSE(CONTROL!$C$38, 0.0264, 0)</f>
        <v>36.343700000000005</v>
      </c>
      <c r="C460" s="14">
        <f>34.278 * CHOOSE(CONTROL!$C$15, $E$9, 100%, $G$9) + CHOOSE(CONTROL!$C$38, 0.0354, 0)</f>
        <v>34.313400000000001</v>
      </c>
      <c r="D460" s="14">
        <f>34.2701 * CHOOSE(CONTROL!$C$15, $E$9, 100%, $G$9) + CHOOSE(CONTROL!$C$38, 0.0354, 0)</f>
        <v>34.305500000000002</v>
      </c>
      <c r="E460" s="46">
        <f>36.161 * CHOOSE(CONTROL!$C$15, $E$9, 100%, $G$9) + CHOOSE(CONTROL!$C$38, 0.0354, 0)</f>
        <v>36.196400000000004</v>
      </c>
      <c r="F460" s="45">
        <f>36.161 * CHOOSE(CONTROL!$C$15, $E$9, 100%, $G$9) + CHOOSE(CONTROL!$C$38, 0.0264, 0)</f>
        <v>36.187400000000004</v>
      </c>
      <c r="G460" s="14">
        <f>34.2764 * CHOOSE(CONTROL!$C$15, $E$9, 100%, $G$9) + CHOOSE(CONTROL!$C$38, 0.0354, 0)</f>
        <v>34.311800000000005</v>
      </c>
      <c r="H460" s="14">
        <f>34.2764 * CHOOSE(CONTROL!$C$15, $E$9, 100%, $G$9) + CHOOSE(CONTROL!$C$38, 0.0354, 0)</f>
        <v>34.311800000000005</v>
      </c>
      <c r="I460" s="14">
        <f>34.278 * CHOOSE(CONTROL!$C$15, $E$9, 100%, $G$9) + CHOOSE(CONTROL!$C$38, 0.0354, 0)</f>
        <v>34.313400000000001</v>
      </c>
      <c r="J460" s="44">
        <f>287.4155</f>
        <v>287.41550000000001</v>
      </c>
    </row>
    <row r="461" spans="1:10" ht="15.75" x14ac:dyDescent="0.25">
      <c r="A461" s="33">
        <v>54969</v>
      </c>
      <c r="B461" s="14">
        <f>35.7529 * CHOOSE(CONTROL!$C$15, $E$9, 100%, $G$9) + CHOOSE(CONTROL!$C$38, 0.0264, 0)</f>
        <v>35.779299999999999</v>
      </c>
      <c r="C461" s="14">
        <f>33.7136 * CHOOSE(CONTROL!$C$15, $E$9, 100%, $G$9) + CHOOSE(CONTROL!$C$38, 0.0354, 0)</f>
        <v>33.749000000000002</v>
      </c>
      <c r="D461" s="14">
        <f>33.7058 * CHOOSE(CONTROL!$C$15, $E$9, 100%, $G$9) + CHOOSE(CONTROL!$C$38, 0.0354, 0)</f>
        <v>33.741200000000006</v>
      </c>
      <c r="E461" s="46">
        <f>35.5967 * CHOOSE(CONTROL!$C$15, $E$9, 100%, $G$9) + CHOOSE(CONTROL!$C$38, 0.0354, 0)</f>
        <v>35.632100000000001</v>
      </c>
      <c r="F461" s="45">
        <f>35.5967 * CHOOSE(CONTROL!$C$15, $E$9, 100%, $G$9) + CHOOSE(CONTROL!$C$38, 0.0264, 0)</f>
        <v>35.623100000000001</v>
      </c>
      <c r="G461" s="14">
        <f>33.7121 * CHOOSE(CONTROL!$C$15, $E$9, 100%, $G$9) + CHOOSE(CONTROL!$C$38, 0.0354, 0)</f>
        <v>33.747500000000002</v>
      </c>
      <c r="H461" s="14">
        <f>33.7121 * CHOOSE(CONTROL!$C$15, $E$9, 100%, $G$9) + CHOOSE(CONTROL!$C$38, 0.0354, 0)</f>
        <v>33.747500000000002</v>
      </c>
      <c r="I461" s="14">
        <f>33.7136 * CHOOSE(CONTROL!$C$15, $E$9, 100%, $G$9) + CHOOSE(CONTROL!$C$38, 0.0354, 0)</f>
        <v>33.749000000000002</v>
      </c>
      <c r="J461" s="44">
        <f>291.5569</f>
        <v>291.55689999999998</v>
      </c>
    </row>
    <row r="462" spans="1:10" ht="15.75" x14ac:dyDescent="0.25">
      <c r="A462" s="33">
        <v>55000</v>
      </c>
      <c r="B462" s="14">
        <f>35.4309 * CHOOSE(CONTROL!$C$15, $E$9, 100%, $G$9) + CHOOSE(CONTROL!$C$38, 0.0264, 0)</f>
        <v>35.457300000000004</v>
      </c>
      <c r="C462" s="14">
        <f>33.3916 * CHOOSE(CONTROL!$C$15, $E$9, 100%, $G$9) + CHOOSE(CONTROL!$C$38, 0.0354, 0)</f>
        <v>33.427</v>
      </c>
      <c r="D462" s="14">
        <f>33.3838 * CHOOSE(CONTROL!$C$15, $E$9, 100%, $G$9) + CHOOSE(CONTROL!$C$38, 0.0354, 0)</f>
        <v>33.419200000000004</v>
      </c>
      <c r="E462" s="46">
        <f>35.2746 * CHOOSE(CONTROL!$C$15, $E$9, 100%, $G$9) + CHOOSE(CONTROL!$C$38, 0.0354, 0)</f>
        <v>35.31</v>
      </c>
      <c r="F462" s="45">
        <f>35.2746 * CHOOSE(CONTROL!$C$15, $E$9, 100%, $G$9) + CHOOSE(CONTROL!$C$38, 0.0264, 0)</f>
        <v>35.301000000000002</v>
      </c>
      <c r="G462" s="14">
        <f>33.39 * CHOOSE(CONTROL!$C$15, $E$9, 100%, $G$9) + CHOOSE(CONTROL!$C$38, 0.0354, 0)</f>
        <v>33.425400000000003</v>
      </c>
      <c r="H462" s="14">
        <f>33.39 * CHOOSE(CONTROL!$C$15, $E$9, 100%, $G$9) + CHOOSE(CONTROL!$C$38, 0.0354, 0)</f>
        <v>33.425400000000003</v>
      </c>
      <c r="I462" s="14">
        <f>33.3916 * CHOOSE(CONTROL!$C$15, $E$9, 100%, $G$9) + CHOOSE(CONTROL!$C$38, 0.0354, 0)</f>
        <v>33.427</v>
      </c>
      <c r="J462" s="44">
        <f>290.1933</f>
        <v>290.19330000000002</v>
      </c>
    </row>
    <row r="463" spans="1:10" ht="15.75" x14ac:dyDescent="0.25">
      <c r="A463" s="33">
        <v>55031</v>
      </c>
      <c r="B463" s="14">
        <f>35.5898 * CHOOSE(CONTROL!$C$15, $E$9, 100%, $G$9) + CHOOSE(CONTROL!$C$38, 0.0264, 0)</f>
        <v>35.616199999999999</v>
      </c>
      <c r="C463" s="14">
        <f>33.5505 * CHOOSE(CONTROL!$C$15, $E$9, 100%, $G$9) + CHOOSE(CONTROL!$C$38, 0.0354, 0)</f>
        <v>33.585900000000002</v>
      </c>
      <c r="D463" s="14">
        <f>33.5427 * CHOOSE(CONTROL!$C$15, $E$9, 100%, $G$9) + CHOOSE(CONTROL!$C$38, 0.0354, 0)</f>
        <v>33.578100000000006</v>
      </c>
      <c r="E463" s="46">
        <f>35.4336 * CHOOSE(CONTROL!$C$15, $E$9, 100%, $G$9) + CHOOSE(CONTROL!$C$38, 0.0354, 0)</f>
        <v>35.469000000000001</v>
      </c>
      <c r="F463" s="45">
        <f>35.4336 * CHOOSE(CONTROL!$C$15, $E$9, 100%, $G$9) + CHOOSE(CONTROL!$C$38, 0.0264, 0)</f>
        <v>35.46</v>
      </c>
      <c r="G463" s="14">
        <f>33.549 * CHOOSE(CONTROL!$C$15, $E$9, 100%, $G$9) + CHOOSE(CONTROL!$C$38, 0.0354, 0)</f>
        <v>33.584400000000002</v>
      </c>
      <c r="H463" s="14">
        <f>33.549 * CHOOSE(CONTROL!$C$15, $E$9, 100%, $G$9) + CHOOSE(CONTROL!$C$38, 0.0354, 0)</f>
        <v>33.584400000000002</v>
      </c>
      <c r="I463" s="14">
        <f>33.5505 * CHOOSE(CONTROL!$C$15, $E$9, 100%, $G$9) + CHOOSE(CONTROL!$C$38, 0.0354, 0)</f>
        <v>33.585900000000002</v>
      </c>
      <c r="J463" s="44">
        <f>283.4378</f>
        <v>283.43779999999998</v>
      </c>
    </row>
    <row r="464" spans="1:10" ht="15.75" x14ac:dyDescent="0.25">
      <c r="A464" s="33">
        <v>55061</v>
      </c>
      <c r="B464" s="14">
        <f>36.0215 * CHOOSE(CONTROL!$C$15, $E$9, 100%, $G$9) + CHOOSE(CONTROL!$C$38, 0.0264, 0)</f>
        <v>36.047900000000006</v>
      </c>
      <c r="C464" s="14">
        <f>33.9822 * CHOOSE(CONTROL!$C$15, $E$9, 100%, $G$9) + CHOOSE(CONTROL!$C$38, 0.0354, 0)</f>
        <v>34.017600000000002</v>
      </c>
      <c r="D464" s="14">
        <f>33.9744 * CHOOSE(CONTROL!$C$15, $E$9, 100%, $G$9) + CHOOSE(CONTROL!$C$38, 0.0354, 0)</f>
        <v>34.009800000000006</v>
      </c>
      <c r="E464" s="46">
        <f>35.8653 * CHOOSE(CONTROL!$C$15, $E$9, 100%, $G$9) + CHOOSE(CONTROL!$C$38, 0.0354, 0)</f>
        <v>35.900700000000001</v>
      </c>
      <c r="F464" s="45">
        <f>35.8653 * CHOOSE(CONTROL!$C$15, $E$9, 100%, $G$9) + CHOOSE(CONTROL!$C$38, 0.0264, 0)</f>
        <v>35.8917</v>
      </c>
      <c r="G464" s="14">
        <f>33.9807 * CHOOSE(CONTROL!$C$15, $E$9, 100%, $G$9) + CHOOSE(CONTROL!$C$38, 0.0354, 0)</f>
        <v>34.016100000000002</v>
      </c>
      <c r="H464" s="14">
        <f>33.9807 * CHOOSE(CONTROL!$C$15, $E$9, 100%, $G$9) + CHOOSE(CONTROL!$C$38, 0.0354, 0)</f>
        <v>34.016100000000002</v>
      </c>
      <c r="I464" s="14">
        <f>33.9822 * CHOOSE(CONTROL!$C$15, $E$9, 100%, $G$9) + CHOOSE(CONTROL!$C$38, 0.0354, 0)</f>
        <v>34.017600000000002</v>
      </c>
      <c r="J464" s="44">
        <f>274.0168</f>
        <v>274.01679999999999</v>
      </c>
    </row>
    <row r="465" spans="1:10" ht="15.75" x14ac:dyDescent="0.25">
      <c r="A465" s="33">
        <v>55092</v>
      </c>
      <c r="B465" s="14">
        <f>36.3831 * CHOOSE(CONTROL!$C$15, $E$9, 100%, $G$9) + CHOOSE(CONTROL!$C$38, 0.0251, 0)</f>
        <v>36.408200000000001</v>
      </c>
      <c r="C465" s="14">
        <f>34.3438 * CHOOSE(CONTROL!$C$15, $E$9, 100%, $G$9) + CHOOSE(CONTROL!$C$38, 0.0342, 0)</f>
        <v>34.378</v>
      </c>
      <c r="D465" s="14">
        <f>34.336 * CHOOSE(CONTROL!$C$15, $E$9, 100%, $G$9) + CHOOSE(CONTROL!$C$38, 0.0342, 0)</f>
        <v>34.370199999999997</v>
      </c>
      <c r="E465" s="46">
        <f>36.2269 * CHOOSE(CONTROL!$C$15, $E$9, 100%, $G$9) + CHOOSE(CONTROL!$C$38, 0.0342, 0)</f>
        <v>36.261099999999999</v>
      </c>
      <c r="F465" s="45">
        <f>36.2269 * CHOOSE(CONTROL!$C$15, $E$9, 100%, $G$9) + CHOOSE(CONTROL!$C$38, 0.0251, 0)</f>
        <v>36.252000000000002</v>
      </c>
      <c r="G465" s="14">
        <f>34.3422 * CHOOSE(CONTROL!$C$15, $E$9, 100%, $G$9) + CHOOSE(CONTROL!$C$38, 0.0342, 0)</f>
        <v>34.376399999999997</v>
      </c>
      <c r="H465" s="14">
        <f>34.3422 * CHOOSE(CONTROL!$C$15, $E$9, 100%, $G$9) + CHOOSE(CONTROL!$C$38, 0.0342, 0)</f>
        <v>34.376399999999997</v>
      </c>
      <c r="I465" s="14">
        <f>34.3438 * CHOOSE(CONTROL!$C$15, $E$9, 100%, $G$9) + CHOOSE(CONTROL!$C$38, 0.0342, 0)</f>
        <v>34.378</v>
      </c>
      <c r="J465" s="44">
        <f>264.541</f>
        <v>264.541</v>
      </c>
    </row>
    <row r="466" spans="1:10" ht="15.75" x14ac:dyDescent="0.25">
      <c r="A466" s="33">
        <v>55122</v>
      </c>
      <c r="B466" s="14">
        <f>36.6848 * CHOOSE(CONTROL!$C$15, $E$9, 100%, $G$9) + CHOOSE(CONTROL!$C$38, 0.0251, 0)</f>
        <v>36.709900000000005</v>
      </c>
      <c r="C466" s="14">
        <f>34.6455 * CHOOSE(CONTROL!$C$15, $E$9, 100%, $G$9) + CHOOSE(CONTROL!$C$38, 0.0342, 0)</f>
        <v>34.679699999999997</v>
      </c>
      <c r="D466" s="14">
        <f>34.6377 * CHOOSE(CONTROL!$C$15, $E$9, 100%, $G$9) + CHOOSE(CONTROL!$C$38, 0.0342, 0)</f>
        <v>34.671900000000001</v>
      </c>
      <c r="E466" s="46">
        <f>36.5286 * CHOOSE(CONTROL!$C$15, $E$9, 100%, $G$9) + CHOOSE(CONTROL!$C$38, 0.0342, 0)</f>
        <v>36.562799999999996</v>
      </c>
      <c r="F466" s="45">
        <f>36.5286 * CHOOSE(CONTROL!$C$15, $E$9, 100%, $G$9) + CHOOSE(CONTROL!$C$38, 0.0251, 0)</f>
        <v>36.553699999999999</v>
      </c>
      <c r="G466" s="14">
        <f>34.6439 * CHOOSE(CONTROL!$C$15, $E$9, 100%, $G$9) + CHOOSE(CONTROL!$C$38, 0.0342, 0)</f>
        <v>34.678100000000001</v>
      </c>
      <c r="H466" s="14">
        <f>34.6439 * CHOOSE(CONTROL!$C$15, $E$9, 100%, $G$9) + CHOOSE(CONTROL!$C$38, 0.0342, 0)</f>
        <v>34.678100000000001</v>
      </c>
      <c r="I466" s="14">
        <f>34.6455 * CHOOSE(CONTROL!$C$15, $E$9, 100%, $G$9) + CHOOSE(CONTROL!$C$38, 0.0342, 0)</f>
        <v>34.679699999999997</v>
      </c>
      <c r="J466" s="44">
        <f>262.6561</f>
        <v>262.65609999999998</v>
      </c>
    </row>
    <row r="467" spans="1:10" ht="15.75" x14ac:dyDescent="0.25">
      <c r="A467" s="33">
        <v>55153</v>
      </c>
      <c r="B467" s="14">
        <f>37.6145 * CHOOSE(CONTROL!$C$15, $E$9, 100%, $G$9) + CHOOSE(CONTROL!$C$38, 0.0251, 0)</f>
        <v>37.639600000000002</v>
      </c>
      <c r="C467" s="14">
        <f>35.5752 * CHOOSE(CONTROL!$C$15, $E$9, 100%, $G$9) + CHOOSE(CONTROL!$C$38, 0.0342, 0)</f>
        <v>35.609400000000001</v>
      </c>
      <c r="D467" s="14">
        <f>35.5673 * CHOOSE(CONTROL!$C$15, $E$9, 100%, $G$9) + CHOOSE(CONTROL!$C$38, 0.0342, 0)</f>
        <v>35.601500000000001</v>
      </c>
      <c r="E467" s="46">
        <f>37.4582 * CHOOSE(CONTROL!$C$15, $E$9, 100%, $G$9) + CHOOSE(CONTROL!$C$38, 0.0342, 0)</f>
        <v>37.492399999999996</v>
      </c>
      <c r="F467" s="45">
        <f>37.4582 * CHOOSE(CONTROL!$C$15, $E$9, 100%, $G$9) + CHOOSE(CONTROL!$C$38, 0.0251, 0)</f>
        <v>37.4833</v>
      </c>
      <c r="G467" s="14">
        <f>35.5736 * CHOOSE(CONTROL!$C$15, $E$9, 100%, $G$9) + CHOOSE(CONTROL!$C$38, 0.0342, 0)</f>
        <v>35.607799999999997</v>
      </c>
      <c r="H467" s="14">
        <f>35.5736 * CHOOSE(CONTROL!$C$15, $E$9, 100%, $G$9) + CHOOSE(CONTROL!$C$38, 0.0342, 0)</f>
        <v>35.607799999999997</v>
      </c>
      <c r="I467" s="14">
        <f>35.5752 * CHOOSE(CONTROL!$C$15, $E$9, 100%, $G$9) + CHOOSE(CONTROL!$C$38, 0.0342, 0)</f>
        <v>35.609400000000001</v>
      </c>
      <c r="J467" s="44">
        <f>254.8617</f>
        <v>254.86170000000001</v>
      </c>
    </row>
    <row r="468" spans="1:10" ht="15.75" x14ac:dyDescent="0.25">
      <c r="A468" s="33">
        <v>55184</v>
      </c>
      <c r="B468" s="14">
        <f>38.9555 * CHOOSE(CONTROL!$C$15, $E$9, 100%, $G$9) + CHOOSE(CONTROL!$C$38, 0.0251, 0)</f>
        <v>38.980600000000003</v>
      </c>
      <c r="C468" s="14">
        <f>36.8845 * CHOOSE(CONTROL!$C$15, $E$9, 100%, $G$9) + CHOOSE(CONTROL!$C$38, 0.0342, 0)</f>
        <v>36.918700000000001</v>
      </c>
      <c r="D468" s="14">
        <f>36.8767 * CHOOSE(CONTROL!$C$15, $E$9, 100%, $G$9) + CHOOSE(CONTROL!$C$38, 0.0342, 0)</f>
        <v>36.910899999999998</v>
      </c>
      <c r="E468" s="46">
        <f>38.7992 * CHOOSE(CONTROL!$C$15, $E$9, 100%, $G$9) + CHOOSE(CONTROL!$C$38, 0.0342, 0)</f>
        <v>38.833399999999997</v>
      </c>
      <c r="F468" s="45">
        <f>38.7992 * CHOOSE(CONTROL!$C$15, $E$9, 100%, $G$9) + CHOOSE(CONTROL!$C$38, 0.0251, 0)</f>
        <v>38.824300000000001</v>
      </c>
      <c r="G468" s="14">
        <f>36.883 * CHOOSE(CONTROL!$C$15, $E$9, 100%, $G$9) + CHOOSE(CONTROL!$C$38, 0.0342, 0)</f>
        <v>36.917200000000001</v>
      </c>
      <c r="H468" s="14">
        <f>36.883 * CHOOSE(CONTROL!$C$15, $E$9, 100%, $G$9) + CHOOSE(CONTROL!$C$38, 0.0342, 0)</f>
        <v>36.917200000000001</v>
      </c>
      <c r="I468" s="14">
        <f>36.8845 * CHOOSE(CONTROL!$C$15, $E$9, 100%, $G$9) + CHOOSE(CONTROL!$C$38, 0.0342, 0)</f>
        <v>36.918700000000001</v>
      </c>
      <c r="J468" s="44">
        <f>254.6777</f>
        <v>254.67769999999999</v>
      </c>
    </row>
    <row r="469" spans="1:10" ht="15.75" x14ac:dyDescent="0.25">
      <c r="A469" s="33">
        <v>55212</v>
      </c>
      <c r="B469" s="14">
        <f>39.2998 * CHOOSE(CONTROL!$C$15, $E$9, 100%, $G$9) + CHOOSE(CONTROL!$C$38, 0.0251, 0)</f>
        <v>39.3249</v>
      </c>
      <c r="C469" s="14">
        <f>37.2288 * CHOOSE(CONTROL!$C$15, $E$9, 100%, $G$9) + CHOOSE(CONTROL!$C$38, 0.0342, 0)</f>
        <v>37.262999999999998</v>
      </c>
      <c r="D469" s="14">
        <f>37.221 * CHOOSE(CONTROL!$C$15, $E$9, 100%, $G$9) + CHOOSE(CONTROL!$C$38, 0.0342, 0)</f>
        <v>37.255199999999995</v>
      </c>
      <c r="E469" s="46">
        <f>39.1435 * CHOOSE(CONTROL!$C$15, $E$9, 100%, $G$9) + CHOOSE(CONTROL!$C$38, 0.0342, 0)</f>
        <v>39.177700000000002</v>
      </c>
      <c r="F469" s="45">
        <f>39.1435 * CHOOSE(CONTROL!$C$15, $E$9, 100%, $G$9) + CHOOSE(CONTROL!$C$38, 0.0251, 0)</f>
        <v>39.168600000000005</v>
      </c>
      <c r="G469" s="14">
        <f>37.2273 * CHOOSE(CONTROL!$C$15, $E$9, 100%, $G$9) + CHOOSE(CONTROL!$C$38, 0.0342, 0)</f>
        <v>37.261499999999998</v>
      </c>
      <c r="H469" s="14">
        <f>37.2273 * CHOOSE(CONTROL!$C$15, $E$9, 100%, $G$9) + CHOOSE(CONTROL!$C$38, 0.0342, 0)</f>
        <v>37.261499999999998</v>
      </c>
      <c r="I469" s="14">
        <f>37.2288 * CHOOSE(CONTROL!$C$15, $E$9, 100%, $G$9) + CHOOSE(CONTROL!$C$38, 0.0342, 0)</f>
        <v>37.262999999999998</v>
      </c>
      <c r="J469" s="44">
        <f>253.9698</f>
        <v>253.96979999999999</v>
      </c>
    </row>
    <row r="470" spans="1:10" ht="15.75" x14ac:dyDescent="0.25">
      <c r="A470" s="33">
        <v>55243</v>
      </c>
      <c r="B470" s="14">
        <f>38.5028 * CHOOSE(CONTROL!$C$15, $E$9, 100%, $G$9) + CHOOSE(CONTROL!$C$38, 0.0251, 0)</f>
        <v>38.527900000000002</v>
      </c>
      <c r="C470" s="14">
        <f>36.4318 * CHOOSE(CONTROL!$C$15, $E$9, 100%, $G$9) + CHOOSE(CONTROL!$C$38, 0.0342, 0)</f>
        <v>36.466000000000001</v>
      </c>
      <c r="D470" s="14">
        <f>36.424 * CHOOSE(CONTROL!$C$15, $E$9, 100%, $G$9) + CHOOSE(CONTROL!$C$38, 0.0342, 0)</f>
        <v>36.458199999999998</v>
      </c>
      <c r="E470" s="46">
        <f>38.3465 * CHOOSE(CONTROL!$C$15, $E$9, 100%, $G$9) + CHOOSE(CONTROL!$C$38, 0.0342, 0)</f>
        <v>38.380699999999997</v>
      </c>
      <c r="F470" s="45">
        <f>38.3465 * CHOOSE(CONTROL!$C$15, $E$9, 100%, $G$9) + CHOOSE(CONTROL!$C$38, 0.0251, 0)</f>
        <v>38.371600000000001</v>
      </c>
      <c r="G470" s="14">
        <f>36.4302 * CHOOSE(CONTROL!$C$15, $E$9, 100%, $G$9) + CHOOSE(CONTROL!$C$38, 0.0342, 0)</f>
        <v>36.464399999999998</v>
      </c>
      <c r="H470" s="14">
        <f>36.4302 * CHOOSE(CONTROL!$C$15, $E$9, 100%, $G$9) + CHOOSE(CONTROL!$C$38, 0.0342, 0)</f>
        <v>36.464399999999998</v>
      </c>
      <c r="I470" s="14">
        <f>36.4318 * CHOOSE(CONTROL!$C$15, $E$9, 100%, $G$9) + CHOOSE(CONTROL!$C$38, 0.0342, 0)</f>
        <v>36.466000000000001</v>
      </c>
      <c r="J470" s="44">
        <f>267.3555</f>
        <v>267.35550000000001</v>
      </c>
    </row>
    <row r="471" spans="1:10" ht="15.75" x14ac:dyDescent="0.25">
      <c r="A471" s="33">
        <v>55273</v>
      </c>
      <c r="B471" s="14">
        <f>37.7305 * CHOOSE(CONTROL!$C$15, $E$9, 100%, $G$9) + CHOOSE(CONTROL!$C$38, 0.0251, 0)</f>
        <v>37.755600000000001</v>
      </c>
      <c r="C471" s="14">
        <f>35.6595 * CHOOSE(CONTROL!$C$15, $E$9, 100%, $G$9) + CHOOSE(CONTROL!$C$38, 0.0342, 0)</f>
        <v>35.6937</v>
      </c>
      <c r="D471" s="14">
        <f>35.6517 * CHOOSE(CONTROL!$C$15, $E$9, 100%, $G$9) + CHOOSE(CONTROL!$C$38, 0.0342, 0)</f>
        <v>35.685899999999997</v>
      </c>
      <c r="E471" s="46">
        <f>37.5742 * CHOOSE(CONTROL!$C$15, $E$9, 100%, $G$9) + CHOOSE(CONTROL!$C$38, 0.0342, 0)</f>
        <v>37.608399999999996</v>
      </c>
      <c r="F471" s="45">
        <f>37.5742 * CHOOSE(CONTROL!$C$15, $E$9, 100%, $G$9) + CHOOSE(CONTROL!$C$38, 0.0251, 0)</f>
        <v>37.599299999999999</v>
      </c>
      <c r="G471" s="14">
        <f>35.6579 * CHOOSE(CONTROL!$C$15, $E$9, 100%, $G$9) + CHOOSE(CONTROL!$C$38, 0.0342, 0)</f>
        <v>35.692099999999996</v>
      </c>
      <c r="H471" s="14">
        <f>35.6579 * CHOOSE(CONTROL!$C$15, $E$9, 100%, $G$9) + CHOOSE(CONTROL!$C$38, 0.0342, 0)</f>
        <v>35.692099999999996</v>
      </c>
      <c r="I471" s="14">
        <f>35.6595 * CHOOSE(CONTROL!$C$15, $E$9, 100%, $G$9) + CHOOSE(CONTROL!$C$38, 0.0342, 0)</f>
        <v>35.6937</v>
      </c>
      <c r="J471" s="44">
        <f>284.7135</f>
        <v>284.71350000000001</v>
      </c>
    </row>
    <row r="472" spans="1:10" ht="15.75" x14ac:dyDescent="0.25">
      <c r="A472" s="33">
        <v>55304</v>
      </c>
      <c r="B472" s="14">
        <f>36.9255 * CHOOSE(CONTROL!$C$15, $E$9, 100%, $G$9) + CHOOSE(CONTROL!$C$38, 0.0264, 0)</f>
        <v>36.951900000000002</v>
      </c>
      <c r="C472" s="14">
        <f>34.8545 * CHOOSE(CONTROL!$C$15, $E$9, 100%, $G$9) + CHOOSE(CONTROL!$C$38, 0.0354, 0)</f>
        <v>34.889900000000004</v>
      </c>
      <c r="D472" s="14">
        <f>34.8467 * CHOOSE(CONTROL!$C$15, $E$9, 100%, $G$9) + CHOOSE(CONTROL!$C$38, 0.0354, 0)</f>
        <v>34.882100000000001</v>
      </c>
      <c r="E472" s="46">
        <f>36.7692 * CHOOSE(CONTROL!$C$15, $E$9, 100%, $G$9) + CHOOSE(CONTROL!$C$38, 0.0354, 0)</f>
        <v>36.804600000000001</v>
      </c>
      <c r="F472" s="45">
        <f>36.7692 * CHOOSE(CONTROL!$C$15, $E$9, 100%, $G$9) + CHOOSE(CONTROL!$C$38, 0.0264, 0)</f>
        <v>36.7956</v>
      </c>
      <c r="G472" s="14">
        <f>34.853 * CHOOSE(CONTROL!$C$15, $E$9, 100%, $G$9) + CHOOSE(CONTROL!$C$38, 0.0354, 0)</f>
        <v>34.888400000000004</v>
      </c>
      <c r="H472" s="14">
        <f>34.853 * CHOOSE(CONTROL!$C$15, $E$9, 100%, $G$9) + CHOOSE(CONTROL!$C$38, 0.0354, 0)</f>
        <v>34.888400000000004</v>
      </c>
      <c r="I472" s="14">
        <f>34.8545 * CHOOSE(CONTROL!$C$15, $E$9, 100%, $G$9) + CHOOSE(CONTROL!$C$38, 0.0354, 0)</f>
        <v>34.889900000000004</v>
      </c>
      <c r="J472" s="44">
        <f>294.2679</f>
        <v>294.2679</v>
      </c>
    </row>
    <row r="473" spans="1:10" ht="15.75" x14ac:dyDescent="0.25">
      <c r="A473" s="33">
        <v>55334</v>
      </c>
      <c r="B473" s="14">
        <f>36.3612 * CHOOSE(CONTROL!$C$15, $E$9, 100%, $G$9) + CHOOSE(CONTROL!$C$38, 0.0264, 0)</f>
        <v>36.387599999999999</v>
      </c>
      <c r="C473" s="14">
        <f>34.2902 * CHOOSE(CONTROL!$C$15, $E$9, 100%, $G$9) + CHOOSE(CONTROL!$C$38, 0.0354, 0)</f>
        <v>34.325600000000001</v>
      </c>
      <c r="D473" s="14">
        <f>34.2824 * CHOOSE(CONTROL!$C$15, $E$9, 100%, $G$9) + CHOOSE(CONTROL!$C$38, 0.0354, 0)</f>
        <v>34.317800000000005</v>
      </c>
      <c r="E473" s="46">
        <f>36.2049 * CHOOSE(CONTROL!$C$15, $E$9, 100%, $G$9) + CHOOSE(CONTROL!$C$38, 0.0354, 0)</f>
        <v>36.240300000000005</v>
      </c>
      <c r="F473" s="45">
        <f>36.2049 * CHOOSE(CONTROL!$C$15, $E$9, 100%, $G$9) + CHOOSE(CONTROL!$C$38, 0.0264, 0)</f>
        <v>36.231300000000005</v>
      </c>
      <c r="G473" s="14">
        <f>34.2886 * CHOOSE(CONTROL!$C$15, $E$9, 100%, $G$9) + CHOOSE(CONTROL!$C$38, 0.0354, 0)</f>
        <v>34.324000000000005</v>
      </c>
      <c r="H473" s="14">
        <f>34.2886 * CHOOSE(CONTROL!$C$15, $E$9, 100%, $G$9) + CHOOSE(CONTROL!$C$38, 0.0354, 0)</f>
        <v>34.324000000000005</v>
      </c>
      <c r="I473" s="14">
        <f>34.2902 * CHOOSE(CONTROL!$C$15, $E$9, 100%, $G$9) + CHOOSE(CONTROL!$C$38, 0.0354, 0)</f>
        <v>34.325600000000001</v>
      </c>
      <c r="J473" s="44">
        <f>298.508</f>
        <v>298.50799999999998</v>
      </c>
    </row>
    <row r="474" spans="1:10" ht="15.75" x14ac:dyDescent="0.25">
      <c r="A474" s="33">
        <v>55365</v>
      </c>
      <c r="B474" s="14">
        <f>36.0391 * CHOOSE(CONTROL!$C$15, $E$9, 100%, $G$9) + CHOOSE(CONTROL!$C$38, 0.0264, 0)</f>
        <v>36.0655</v>
      </c>
      <c r="C474" s="14">
        <f>33.9681 * CHOOSE(CONTROL!$C$15, $E$9, 100%, $G$9) + CHOOSE(CONTROL!$C$38, 0.0354, 0)</f>
        <v>34.003500000000003</v>
      </c>
      <c r="D474" s="14">
        <f>33.9603 * CHOOSE(CONTROL!$C$15, $E$9, 100%, $G$9) + CHOOSE(CONTROL!$C$38, 0.0354, 0)</f>
        <v>33.995699999999999</v>
      </c>
      <c r="E474" s="46">
        <f>35.8828 * CHOOSE(CONTROL!$C$15, $E$9, 100%, $G$9) + CHOOSE(CONTROL!$C$38, 0.0354, 0)</f>
        <v>35.918200000000006</v>
      </c>
      <c r="F474" s="45">
        <f>35.8828 * CHOOSE(CONTROL!$C$15, $E$9, 100%, $G$9) + CHOOSE(CONTROL!$C$38, 0.0264, 0)</f>
        <v>35.909200000000006</v>
      </c>
      <c r="G474" s="14">
        <f>33.9666 * CHOOSE(CONTROL!$C$15, $E$9, 100%, $G$9) + CHOOSE(CONTROL!$C$38, 0.0354, 0)</f>
        <v>34.002000000000002</v>
      </c>
      <c r="H474" s="14">
        <f>33.9666 * CHOOSE(CONTROL!$C$15, $E$9, 100%, $G$9) + CHOOSE(CONTROL!$C$38, 0.0354, 0)</f>
        <v>34.002000000000002</v>
      </c>
      <c r="I474" s="14">
        <f>33.9681 * CHOOSE(CONTROL!$C$15, $E$9, 100%, $G$9) + CHOOSE(CONTROL!$C$38, 0.0354, 0)</f>
        <v>34.003500000000003</v>
      </c>
      <c r="J474" s="44">
        <f>297.112</f>
        <v>297.11200000000002</v>
      </c>
    </row>
    <row r="475" spans="1:10" ht="15.75" x14ac:dyDescent="0.25">
      <c r="A475" s="33">
        <v>55396</v>
      </c>
      <c r="B475" s="14">
        <f>36.198 * CHOOSE(CONTROL!$C$15, $E$9, 100%, $G$9) + CHOOSE(CONTROL!$C$38, 0.0264, 0)</f>
        <v>36.224400000000003</v>
      </c>
      <c r="C475" s="14">
        <f>34.1271 * CHOOSE(CONTROL!$C$15, $E$9, 100%, $G$9) + CHOOSE(CONTROL!$C$38, 0.0354, 0)</f>
        <v>34.162500000000001</v>
      </c>
      <c r="D475" s="14">
        <f>34.1193 * CHOOSE(CONTROL!$C$15, $E$9, 100%, $G$9) + CHOOSE(CONTROL!$C$38, 0.0354, 0)</f>
        <v>34.154700000000005</v>
      </c>
      <c r="E475" s="46">
        <f>36.0418 * CHOOSE(CONTROL!$C$15, $E$9, 100%, $G$9) + CHOOSE(CONTROL!$C$38, 0.0354, 0)</f>
        <v>36.077200000000005</v>
      </c>
      <c r="F475" s="45">
        <f>36.0418 * CHOOSE(CONTROL!$C$15, $E$9, 100%, $G$9) + CHOOSE(CONTROL!$C$38, 0.0264, 0)</f>
        <v>36.068200000000004</v>
      </c>
      <c r="G475" s="14">
        <f>34.1255 * CHOOSE(CONTROL!$C$15, $E$9, 100%, $G$9) + CHOOSE(CONTROL!$C$38, 0.0354, 0)</f>
        <v>34.160900000000005</v>
      </c>
      <c r="H475" s="14">
        <f>34.1255 * CHOOSE(CONTROL!$C$15, $E$9, 100%, $G$9) + CHOOSE(CONTROL!$C$38, 0.0354, 0)</f>
        <v>34.160900000000005</v>
      </c>
      <c r="I475" s="14">
        <f>34.1271 * CHOOSE(CONTROL!$C$15, $E$9, 100%, $G$9) + CHOOSE(CONTROL!$C$38, 0.0354, 0)</f>
        <v>34.162500000000001</v>
      </c>
      <c r="J475" s="44">
        <f>290.1954</f>
        <v>290.19540000000001</v>
      </c>
    </row>
    <row r="476" spans="1:10" ht="15.75" x14ac:dyDescent="0.25">
      <c r="A476" s="33">
        <v>55426</v>
      </c>
      <c r="B476" s="14">
        <f>36.6298 * CHOOSE(CONTROL!$C$15, $E$9, 100%, $G$9) + CHOOSE(CONTROL!$C$38, 0.0264, 0)</f>
        <v>36.656200000000005</v>
      </c>
      <c r="C476" s="14">
        <f>34.5588 * CHOOSE(CONTROL!$C$15, $E$9, 100%, $G$9) + CHOOSE(CONTROL!$C$38, 0.0354, 0)</f>
        <v>34.594200000000001</v>
      </c>
      <c r="D476" s="14">
        <f>34.551 * CHOOSE(CONTROL!$C$15, $E$9, 100%, $G$9) + CHOOSE(CONTROL!$C$38, 0.0354, 0)</f>
        <v>34.586400000000005</v>
      </c>
      <c r="E476" s="46">
        <f>36.4735 * CHOOSE(CONTROL!$C$15, $E$9, 100%, $G$9) + CHOOSE(CONTROL!$C$38, 0.0354, 0)</f>
        <v>36.508900000000004</v>
      </c>
      <c r="F476" s="45">
        <f>36.4735 * CHOOSE(CONTROL!$C$15, $E$9, 100%, $G$9) + CHOOSE(CONTROL!$C$38, 0.0264, 0)</f>
        <v>36.499900000000004</v>
      </c>
      <c r="G476" s="14">
        <f>34.5572 * CHOOSE(CONTROL!$C$15, $E$9, 100%, $G$9) + CHOOSE(CONTROL!$C$38, 0.0354, 0)</f>
        <v>34.592600000000004</v>
      </c>
      <c r="H476" s="14">
        <f>34.5572 * CHOOSE(CONTROL!$C$15, $E$9, 100%, $G$9) + CHOOSE(CONTROL!$C$38, 0.0354, 0)</f>
        <v>34.592600000000004</v>
      </c>
      <c r="I476" s="14">
        <f>34.5588 * CHOOSE(CONTROL!$C$15, $E$9, 100%, $G$9) + CHOOSE(CONTROL!$C$38, 0.0354, 0)</f>
        <v>34.594200000000001</v>
      </c>
      <c r="J476" s="44">
        <f>280.5498</f>
        <v>280.5498</v>
      </c>
    </row>
    <row r="477" spans="1:10" ht="15.75" x14ac:dyDescent="0.25">
      <c r="A477" s="33">
        <v>55457</v>
      </c>
      <c r="B477" s="14">
        <f>36.9913 * CHOOSE(CONTROL!$C$15, $E$9, 100%, $G$9) + CHOOSE(CONTROL!$C$38, 0.0251, 0)</f>
        <v>37.016400000000004</v>
      </c>
      <c r="C477" s="14">
        <f>34.9204 * CHOOSE(CONTROL!$C$15, $E$9, 100%, $G$9) + CHOOSE(CONTROL!$C$38, 0.0342, 0)</f>
        <v>34.954599999999999</v>
      </c>
      <c r="D477" s="14">
        <f>34.9126 * CHOOSE(CONTROL!$C$15, $E$9, 100%, $G$9) + CHOOSE(CONTROL!$C$38, 0.0342, 0)</f>
        <v>34.946799999999996</v>
      </c>
      <c r="E477" s="46">
        <f>36.8351 * CHOOSE(CONTROL!$C$15, $E$9, 100%, $G$9) + CHOOSE(CONTROL!$C$38, 0.0342, 0)</f>
        <v>36.869299999999996</v>
      </c>
      <c r="F477" s="45">
        <f>36.8351 * CHOOSE(CONTROL!$C$15, $E$9, 100%, $G$9) + CHOOSE(CONTROL!$C$38, 0.0251, 0)</f>
        <v>36.860199999999999</v>
      </c>
      <c r="G477" s="14">
        <f>34.9188 * CHOOSE(CONTROL!$C$15, $E$9, 100%, $G$9) + CHOOSE(CONTROL!$C$38, 0.0342, 0)</f>
        <v>34.952999999999996</v>
      </c>
      <c r="H477" s="14">
        <f>34.9188 * CHOOSE(CONTROL!$C$15, $E$9, 100%, $G$9) + CHOOSE(CONTROL!$C$38, 0.0342, 0)</f>
        <v>34.952999999999996</v>
      </c>
      <c r="I477" s="14">
        <f>34.9204 * CHOOSE(CONTROL!$C$15, $E$9, 100%, $G$9) + CHOOSE(CONTROL!$C$38, 0.0342, 0)</f>
        <v>34.954599999999999</v>
      </c>
      <c r="J477" s="44">
        <f>270.8481</f>
        <v>270.84809999999999</v>
      </c>
    </row>
    <row r="478" spans="1:10" ht="15.75" x14ac:dyDescent="0.25">
      <c r="A478" s="33">
        <v>55487</v>
      </c>
      <c r="B478" s="14">
        <f>37.293 * CHOOSE(CONTROL!$C$15, $E$9, 100%, $G$9) + CHOOSE(CONTROL!$C$38, 0.0251, 0)</f>
        <v>37.318100000000001</v>
      </c>
      <c r="C478" s="14">
        <f>35.2221 * CHOOSE(CONTROL!$C$15, $E$9, 100%, $G$9) + CHOOSE(CONTROL!$C$38, 0.0342, 0)</f>
        <v>35.256299999999996</v>
      </c>
      <c r="D478" s="14">
        <f>35.2143 * CHOOSE(CONTROL!$C$15, $E$9, 100%, $G$9) + CHOOSE(CONTROL!$C$38, 0.0342, 0)</f>
        <v>35.2485</v>
      </c>
      <c r="E478" s="46">
        <f>37.1368 * CHOOSE(CONTROL!$C$15, $E$9, 100%, $G$9) + CHOOSE(CONTROL!$C$38, 0.0342, 0)</f>
        <v>37.170999999999999</v>
      </c>
      <c r="F478" s="45">
        <f>37.1368 * CHOOSE(CONTROL!$C$15, $E$9, 100%, $G$9) + CHOOSE(CONTROL!$C$38, 0.0251, 0)</f>
        <v>37.161900000000003</v>
      </c>
      <c r="G478" s="14">
        <f>35.2205 * CHOOSE(CONTROL!$C$15, $E$9, 100%, $G$9) + CHOOSE(CONTROL!$C$38, 0.0342, 0)</f>
        <v>35.2547</v>
      </c>
      <c r="H478" s="14">
        <f>35.2205 * CHOOSE(CONTROL!$C$15, $E$9, 100%, $G$9) + CHOOSE(CONTROL!$C$38, 0.0342, 0)</f>
        <v>35.2547</v>
      </c>
      <c r="I478" s="14">
        <f>35.2221 * CHOOSE(CONTROL!$C$15, $E$9, 100%, $G$9) + CHOOSE(CONTROL!$C$38, 0.0342, 0)</f>
        <v>35.256299999999996</v>
      </c>
      <c r="J478" s="44">
        <f>268.9182</f>
        <v>268.91820000000001</v>
      </c>
    </row>
    <row r="479" spans="1:10" ht="15.75" x14ac:dyDescent="0.25">
      <c r="A479" s="33">
        <v>55518</v>
      </c>
      <c r="B479" s="14">
        <f>38.2227 * CHOOSE(CONTROL!$C$15, $E$9, 100%, $G$9) + CHOOSE(CONTROL!$C$38, 0.0251, 0)</f>
        <v>38.247800000000005</v>
      </c>
      <c r="C479" s="14">
        <f>36.1517 * CHOOSE(CONTROL!$C$15, $E$9, 100%, $G$9) + CHOOSE(CONTROL!$C$38, 0.0342, 0)</f>
        <v>36.185899999999997</v>
      </c>
      <c r="D479" s="14">
        <f>36.1439 * CHOOSE(CONTROL!$C$15, $E$9, 100%, $G$9) + CHOOSE(CONTROL!$C$38, 0.0342, 0)</f>
        <v>36.178100000000001</v>
      </c>
      <c r="E479" s="46">
        <f>38.0664 * CHOOSE(CONTROL!$C$15, $E$9, 100%, $G$9) + CHOOSE(CONTROL!$C$38, 0.0342, 0)</f>
        <v>38.1006</v>
      </c>
      <c r="F479" s="45">
        <f>38.0664 * CHOOSE(CONTROL!$C$15, $E$9, 100%, $G$9) + CHOOSE(CONTROL!$C$38, 0.0251, 0)</f>
        <v>38.091500000000003</v>
      </c>
      <c r="G479" s="14">
        <f>36.1502 * CHOOSE(CONTROL!$C$15, $E$9, 100%, $G$9) + CHOOSE(CONTROL!$C$38, 0.0342, 0)</f>
        <v>36.184399999999997</v>
      </c>
      <c r="H479" s="14">
        <f>36.1502 * CHOOSE(CONTROL!$C$15, $E$9, 100%, $G$9) + CHOOSE(CONTROL!$C$38, 0.0342, 0)</f>
        <v>36.184399999999997</v>
      </c>
      <c r="I479" s="14">
        <f>36.1517 * CHOOSE(CONTROL!$C$15, $E$9, 100%, $G$9) + CHOOSE(CONTROL!$C$38, 0.0342, 0)</f>
        <v>36.185899999999997</v>
      </c>
      <c r="J479" s="44">
        <f>260.938</f>
        <v>260.93799999999999</v>
      </c>
    </row>
    <row r="480" spans="1:10" ht="15.75" x14ac:dyDescent="0.25">
      <c r="A480" s="33">
        <v>55549</v>
      </c>
      <c r="B480" s="14">
        <f>39.5739 * CHOOSE(CONTROL!$C$15, $E$9, 100%, $G$9) + CHOOSE(CONTROL!$C$38, 0.0251, 0)</f>
        <v>39.599000000000004</v>
      </c>
      <c r="C480" s="14">
        <f>37.4708 * CHOOSE(CONTROL!$C$15, $E$9, 100%, $G$9) + CHOOSE(CONTROL!$C$38, 0.0342, 0)</f>
        <v>37.504999999999995</v>
      </c>
      <c r="D480" s="14">
        <f>37.463 * CHOOSE(CONTROL!$C$15, $E$9, 100%, $G$9) + CHOOSE(CONTROL!$C$38, 0.0342, 0)</f>
        <v>37.497199999999999</v>
      </c>
      <c r="E480" s="46">
        <f>39.4177 * CHOOSE(CONTROL!$C$15, $E$9, 100%, $G$9) + CHOOSE(CONTROL!$C$38, 0.0342, 0)</f>
        <v>39.451900000000002</v>
      </c>
      <c r="F480" s="45">
        <f>39.4177 * CHOOSE(CONTROL!$C$15, $E$9, 100%, $G$9) + CHOOSE(CONTROL!$C$38, 0.0251, 0)</f>
        <v>39.442800000000005</v>
      </c>
      <c r="G480" s="14">
        <f>37.4692 * CHOOSE(CONTROL!$C$15, $E$9, 100%, $G$9) + CHOOSE(CONTROL!$C$38, 0.0342, 0)</f>
        <v>37.503399999999999</v>
      </c>
      <c r="H480" s="14">
        <f>37.4692 * CHOOSE(CONTROL!$C$15, $E$9, 100%, $G$9) + CHOOSE(CONTROL!$C$38, 0.0342, 0)</f>
        <v>37.503399999999999</v>
      </c>
      <c r="I480" s="14">
        <f>37.4708 * CHOOSE(CONTROL!$C$15, $E$9, 100%, $G$9) + CHOOSE(CONTROL!$C$38, 0.0342, 0)</f>
        <v>37.504999999999995</v>
      </c>
      <c r="J480" s="44">
        <f>260.7496</f>
        <v>260.74959999999999</v>
      </c>
    </row>
    <row r="481" spans="1:10" ht="15.75" x14ac:dyDescent="0.25">
      <c r="A481" s="33">
        <v>55577</v>
      </c>
      <c r="B481" s="14">
        <f>39.9182 * CHOOSE(CONTROL!$C$15, $E$9, 100%, $G$9) + CHOOSE(CONTROL!$C$38, 0.0251, 0)</f>
        <v>39.943300000000001</v>
      </c>
      <c r="C481" s="14">
        <f>37.8151 * CHOOSE(CONTROL!$C$15, $E$9, 100%, $G$9) + CHOOSE(CONTROL!$C$38, 0.0342, 0)</f>
        <v>37.849299999999999</v>
      </c>
      <c r="D481" s="14">
        <f>37.8073 * CHOOSE(CONTROL!$C$15, $E$9, 100%, $G$9) + CHOOSE(CONTROL!$C$38, 0.0342, 0)</f>
        <v>37.841499999999996</v>
      </c>
      <c r="E481" s="46">
        <f>39.762 * CHOOSE(CONTROL!$C$15, $E$9, 100%, $G$9) + CHOOSE(CONTROL!$C$38, 0.0342, 0)</f>
        <v>39.796199999999999</v>
      </c>
      <c r="F481" s="45">
        <f>39.762 * CHOOSE(CONTROL!$C$15, $E$9, 100%, $G$9) + CHOOSE(CONTROL!$C$38, 0.0251, 0)</f>
        <v>39.787100000000002</v>
      </c>
      <c r="G481" s="14">
        <f>37.8135 * CHOOSE(CONTROL!$C$15, $E$9, 100%, $G$9) + CHOOSE(CONTROL!$C$38, 0.0342, 0)</f>
        <v>37.847699999999996</v>
      </c>
      <c r="H481" s="14">
        <f>37.8135 * CHOOSE(CONTROL!$C$15, $E$9, 100%, $G$9) + CHOOSE(CONTROL!$C$38, 0.0342, 0)</f>
        <v>37.847699999999996</v>
      </c>
      <c r="I481" s="14">
        <f>37.8151 * CHOOSE(CONTROL!$C$15, $E$9, 100%, $G$9) + CHOOSE(CONTROL!$C$38, 0.0342, 0)</f>
        <v>37.849299999999999</v>
      </c>
      <c r="J481" s="44">
        <f>260.0248</f>
        <v>260.02480000000003</v>
      </c>
    </row>
    <row r="482" spans="1:10" ht="15.75" x14ac:dyDescent="0.25">
      <c r="A482" s="33">
        <v>55609</v>
      </c>
      <c r="B482" s="14">
        <f>39.1212 * CHOOSE(CONTROL!$C$15, $E$9, 100%, $G$9) + CHOOSE(CONTROL!$C$38, 0.0251, 0)</f>
        <v>39.146300000000004</v>
      </c>
      <c r="C482" s="14">
        <f>37.0181 * CHOOSE(CONTROL!$C$15, $E$9, 100%, $G$9) + CHOOSE(CONTROL!$C$38, 0.0342, 0)</f>
        <v>37.052299999999995</v>
      </c>
      <c r="D482" s="14">
        <f>37.0103 * CHOOSE(CONTROL!$C$15, $E$9, 100%, $G$9) + CHOOSE(CONTROL!$C$38, 0.0342, 0)</f>
        <v>37.044499999999999</v>
      </c>
      <c r="E482" s="46">
        <f>38.9649 * CHOOSE(CONTROL!$C$15, $E$9, 100%, $G$9) + CHOOSE(CONTROL!$C$38, 0.0342, 0)</f>
        <v>38.999099999999999</v>
      </c>
      <c r="F482" s="45">
        <f>38.9649 * CHOOSE(CONTROL!$C$15, $E$9, 100%, $G$9) + CHOOSE(CONTROL!$C$38, 0.0251, 0)</f>
        <v>38.99</v>
      </c>
      <c r="G482" s="14">
        <f>37.0165 * CHOOSE(CONTROL!$C$15, $E$9, 100%, $G$9) + CHOOSE(CONTROL!$C$38, 0.0342, 0)</f>
        <v>37.050699999999999</v>
      </c>
      <c r="H482" s="14">
        <f>37.0165 * CHOOSE(CONTROL!$C$15, $E$9, 100%, $G$9) + CHOOSE(CONTROL!$C$38, 0.0342, 0)</f>
        <v>37.050699999999999</v>
      </c>
      <c r="I482" s="14">
        <f>37.0181 * CHOOSE(CONTROL!$C$15, $E$9, 100%, $G$9) + CHOOSE(CONTROL!$C$38, 0.0342, 0)</f>
        <v>37.052299999999995</v>
      </c>
      <c r="J482" s="44">
        <f>273.7297</f>
        <v>273.72969999999998</v>
      </c>
    </row>
    <row r="483" spans="1:10" ht="15.75" x14ac:dyDescent="0.25">
      <c r="A483" s="33">
        <v>55639</v>
      </c>
      <c r="B483" s="14">
        <f>38.3489 * CHOOSE(CONTROL!$C$15, $E$9, 100%, $G$9) + CHOOSE(CONTROL!$C$38, 0.0251, 0)</f>
        <v>38.374000000000002</v>
      </c>
      <c r="C483" s="14">
        <f>36.2458 * CHOOSE(CONTROL!$C$15, $E$9, 100%, $G$9) + CHOOSE(CONTROL!$C$38, 0.0342, 0)</f>
        <v>36.28</v>
      </c>
      <c r="D483" s="14">
        <f>36.238 * CHOOSE(CONTROL!$C$15, $E$9, 100%, $G$9) + CHOOSE(CONTROL!$C$38, 0.0342, 0)</f>
        <v>36.272199999999998</v>
      </c>
      <c r="E483" s="46">
        <f>38.1926 * CHOOSE(CONTROL!$C$15, $E$9, 100%, $G$9) + CHOOSE(CONTROL!$C$38, 0.0342, 0)</f>
        <v>38.226799999999997</v>
      </c>
      <c r="F483" s="45">
        <f>38.1926 * CHOOSE(CONTROL!$C$15, $E$9, 100%, $G$9) + CHOOSE(CONTROL!$C$38, 0.0251, 0)</f>
        <v>38.217700000000001</v>
      </c>
      <c r="G483" s="14">
        <f>36.2442 * CHOOSE(CONTROL!$C$15, $E$9, 100%, $G$9) + CHOOSE(CONTROL!$C$38, 0.0342, 0)</f>
        <v>36.278399999999998</v>
      </c>
      <c r="H483" s="14">
        <f>36.2442 * CHOOSE(CONTROL!$C$15, $E$9, 100%, $G$9) + CHOOSE(CONTROL!$C$38, 0.0342, 0)</f>
        <v>36.278399999999998</v>
      </c>
      <c r="I483" s="14">
        <f>36.2458 * CHOOSE(CONTROL!$C$15, $E$9, 100%, $G$9) + CHOOSE(CONTROL!$C$38, 0.0342, 0)</f>
        <v>36.28</v>
      </c>
      <c r="J483" s="44">
        <f>291.5015</f>
        <v>291.50150000000002</v>
      </c>
    </row>
    <row r="484" spans="1:10" ht="15.75" x14ac:dyDescent="0.25">
      <c r="A484" s="33">
        <v>55670</v>
      </c>
      <c r="B484" s="14">
        <f>37.5439 * CHOOSE(CONTROL!$C$15, $E$9, 100%, $G$9) + CHOOSE(CONTROL!$C$38, 0.0264, 0)</f>
        <v>37.570300000000003</v>
      </c>
      <c r="C484" s="14">
        <f>35.4408 * CHOOSE(CONTROL!$C$15, $E$9, 100%, $G$9) + CHOOSE(CONTROL!$C$38, 0.0354, 0)</f>
        <v>35.476200000000006</v>
      </c>
      <c r="D484" s="14">
        <f>35.433 * CHOOSE(CONTROL!$C$15, $E$9, 100%, $G$9) + CHOOSE(CONTROL!$C$38, 0.0354, 0)</f>
        <v>35.468400000000003</v>
      </c>
      <c r="E484" s="46">
        <f>37.3877 * CHOOSE(CONTROL!$C$15, $E$9, 100%, $G$9) + CHOOSE(CONTROL!$C$38, 0.0354, 0)</f>
        <v>37.423100000000005</v>
      </c>
      <c r="F484" s="45">
        <f>37.3877 * CHOOSE(CONTROL!$C$15, $E$9, 100%, $G$9) + CHOOSE(CONTROL!$C$38, 0.0264, 0)</f>
        <v>37.414100000000005</v>
      </c>
      <c r="G484" s="14">
        <f>35.4392 * CHOOSE(CONTROL!$C$15, $E$9, 100%, $G$9) + CHOOSE(CONTROL!$C$38, 0.0354, 0)</f>
        <v>35.474600000000002</v>
      </c>
      <c r="H484" s="14">
        <f>35.4392 * CHOOSE(CONTROL!$C$15, $E$9, 100%, $G$9) + CHOOSE(CONTROL!$C$38, 0.0354, 0)</f>
        <v>35.474600000000002</v>
      </c>
      <c r="I484" s="14">
        <f>35.4408 * CHOOSE(CONTROL!$C$15, $E$9, 100%, $G$9) + CHOOSE(CONTROL!$C$38, 0.0354, 0)</f>
        <v>35.476200000000006</v>
      </c>
      <c r="J484" s="44">
        <f>301.2837</f>
        <v>301.28370000000001</v>
      </c>
    </row>
    <row r="485" spans="1:10" ht="15.75" x14ac:dyDescent="0.25">
      <c r="A485" s="33">
        <v>55700</v>
      </c>
      <c r="B485" s="14">
        <f>36.9796 * CHOOSE(CONTROL!$C$15, $E$9, 100%, $G$9) + CHOOSE(CONTROL!$C$38, 0.0264, 0)</f>
        <v>37.006</v>
      </c>
      <c r="C485" s="14">
        <f>34.8765 * CHOOSE(CONTROL!$C$15, $E$9, 100%, $G$9) + CHOOSE(CONTROL!$C$38, 0.0354, 0)</f>
        <v>34.911900000000003</v>
      </c>
      <c r="D485" s="14">
        <f>34.8687 * CHOOSE(CONTROL!$C$15, $E$9, 100%, $G$9) + CHOOSE(CONTROL!$C$38, 0.0354, 0)</f>
        <v>34.9041</v>
      </c>
      <c r="E485" s="46">
        <f>36.8233 * CHOOSE(CONTROL!$C$15, $E$9, 100%, $G$9) + CHOOSE(CONTROL!$C$38, 0.0354, 0)</f>
        <v>36.858700000000006</v>
      </c>
      <c r="F485" s="45">
        <f>36.8233 * CHOOSE(CONTROL!$C$15, $E$9, 100%, $G$9) + CHOOSE(CONTROL!$C$38, 0.0264, 0)</f>
        <v>36.849700000000006</v>
      </c>
      <c r="G485" s="14">
        <f>34.8749 * CHOOSE(CONTROL!$C$15, $E$9, 100%, $G$9) + CHOOSE(CONTROL!$C$38, 0.0354, 0)</f>
        <v>34.910299999999999</v>
      </c>
      <c r="H485" s="14">
        <f>34.8749 * CHOOSE(CONTROL!$C$15, $E$9, 100%, $G$9) + CHOOSE(CONTROL!$C$38, 0.0354, 0)</f>
        <v>34.910299999999999</v>
      </c>
      <c r="I485" s="14">
        <f>34.8765 * CHOOSE(CONTROL!$C$15, $E$9, 100%, $G$9) + CHOOSE(CONTROL!$C$38, 0.0354, 0)</f>
        <v>34.911900000000003</v>
      </c>
      <c r="J485" s="44">
        <f>305.6249</f>
        <v>305.62490000000003</v>
      </c>
    </row>
    <row r="486" spans="1:10" ht="15.75" x14ac:dyDescent="0.25">
      <c r="A486" s="33">
        <v>55731</v>
      </c>
      <c r="B486" s="14">
        <f>36.6575 * CHOOSE(CONTROL!$C$15, $E$9, 100%, $G$9) + CHOOSE(CONTROL!$C$38, 0.0264, 0)</f>
        <v>36.683900000000001</v>
      </c>
      <c r="C486" s="14">
        <f>34.5544 * CHOOSE(CONTROL!$C$15, $E$9, 100%, $G$9) + CHOOSE(CONTROL!$C$38, 0.0354, 0)</f>
        <v>34.589800000000004</v>
      </c>
      <c r="D486" s="14">
        <f>34.5466 * CHOOSE(CONTROL!$C$15, $E$9, 100%, $G$9) + CHOOSE(CONTROL!$C$38, 0.0354, 0)</f>
        <v>34.582000000000001</v>
      </c>
      <c r="E486" s="46">
        <f>36.5013 * CHOOSE(CONTROL!$C$15, $E$9, 100%, $G$9) + CHOOSE(CONTROL!$C$38, 0.0354, 0)</f>
        <v>36.536700000000003</v>
      </c>
      <c r="F486" s="45">
        <f>36.5013 * CHOOSE(CONTROL!$C$15, $E$9, 100%, $G$9) + CHOOSE(CONTROL!$C$38, 0.0264, 0)</f>
        <v>36.527700000000003</v>
      </c>
      <c r="G486" s="14">
        <f>34.5528 * CHOOSE(CONTROL!$C$15, $E$9, 100%, $G$9) + CHOOSE(CONTROL!$C$38, 0.0354, 0)</f>
        <v>34.588200000000001</v>
      </c>
      <c r="H486" s="14">
        <f>34.5528 * CHOOSE(CONTROL!$C$15, $E$9, 100%, $G$9) + CHOOSE(CONTROL!$C$38, 0.0354, 0)</f>
        <v>34.588200000000001</v>
      </c>
      <c r="I486" s="14">
        <f>34.5544 * CHOOSE(CONTROL!$C$15, $E$9, 100%, $G$9) + CHOOSE(CONTROL!$C$38, 0.0354, 0)</f>
        <v>34.589800000000004</v>
      </c>
      <c r="J486" s="44">
        <f>304.1956</f>
        <v>304.19560000000001</v>
      </c>
    </row>
    <row r="487" spans="1:10" ht="15.75" x14ac:dyDescent="0.25">
      <c r="A487" s="33">
        <v>55762</v>
      </c>
      <c r="B487" s="14">
        <f>36.8165 * CHOOSE(CONTROL!$C$15, $E$9, 100%, $G$9) + CHOOSE(CONTROL!$C$38, 0.0264, 0)</f>
        <v>36.8429</v>
      </c>
      <c r="C487" s="14">
        <f>34.7134 * CHOOSE(CONTROL!$C$15, $E$9, 100%, $G$9) + CHOOSE(CONTROL!$C$38, 0.0354, 0)</f>
        <v>34.748800000000003</v>
      </c>
      <c r="D487" s="14">
        <f>34.7055 * CHOOSE(CONTROL!$C$15, $E$9, 100%, $G$9) + CHOOSE(CONTROL!$C$38, 0.0354, 0)</f>
        <v>34.740900000000003</v>
      </c>
      <c r="E487" s="46">
        <f>36.6602 * CHOOSE(CONTROL!$C$15, $E$9, 100%, $G$9) + CHOOSE(CONTROL!$C$38, 0.0354, 0)</f>
        <v>36.695600000000006</v>
      </c>
      <c r="F487" s="45">
        <f>36.6602 * CHOOSE(CONTROL!$C$15, $E$9, 100%, $G$9) + CHOOSE(CONTROL!$C$38, 0.0264, 0)</f>
        <v>36.686600000000006</v>
      </c>
      <c r="G487" s="14">
        <f>34.7118 * CHOOSE(CONTROL!$C$15, $E$9, 100%, $G$9) + CHOOSE(CONTROL!$C$38, 0.0354, 0)</f>
        <v>34.747199999999999</v>
      </c>
      <c r="H487" s="14">
        <f>34.7118 * CHOOSE(CONTROL!$C$15, $E$9, 100%, $G$9) + CHOOSE(CONTROL!$C$38, 0.0354, 0)</f>
        <v>34.747199999999999</v>
      </c>
      <c r="I487" s="14">
        <f>34.7134 * CHOOSE(CONTROL!$C$15, $E$9, 100%, $G$9) + CHOOSE(CONTROL!$C$38, 0.0354, 0)</f>
        <v>34.748800000000003</v>
      </c>
      <c r="J487" s="44">
        <f>297.114</f>
        <v>297.11399999999998</v>
      </c>
    </row>
    <row r="488" spans="1:10" ht="15.75" x14ac:dyDescent="0.25">
      <c r="A488" s="33">
        <v>55792</v>
      </c>
      <c r="B488" s="14">
        <f>37.2482 * CHOOSE(CONTROL!$C$15, $E$9, 100%, $G$9) + CHOOSE(CONTROL!$C$38, 0.0264, 0)</f>
        <v>37.2746</v>
      </c>
      <c r="C488" s="14">
        <f>35.1451 * CHOOSE(CONTROL!$C$15, $E$9, 100%, $G$9) + CHOOSE(CONTROL!$C$38, 0.0354, 0)</f>
        <v>35.180500000000002</v>
      </c>
      <c r="D488" s="14">
        <f>35.1373 * CHOOSE(CONTROL!$C$15, $E$9, 100%, $G$9) + CHOOSE(CONTROL!$C$38, 0.0354, 0)</f>
        <v>35.172700000000006</v>
      </c>
      <c r="E488" s="46">
        <f>37.0919 * CHOOSE(CONTROL!$C$15, $E$9, 100%, $G$9) + CHOOSE(CONTROL!$C$38, 0.0354, 0)</f>
        <v>37.127300000000005</v>
      </c>
      <c r="F488" s="45">
        <f>37.0919 * CHOOSE(CONTROL!$C$15, $E$9, 100%, $G$9) + CHOOSE(CONTROL!$C$38, 0.0264, 0)</f>
        <v>37.118300000000005</v>
      </c>
      <c r="G488" s="14">
        <f>35.1435 * CHOOSE(CONTROL!$C$15, $E$9, 100%, $G$9) + CHOOSE(CONTROL!$C$38, 0.0354, 0)</f>
        <v>35.178900000000006</v>
      </c>
      <c r="H488" s="14">
        <f>35.1435 * CHOOSE(CONTROL!$C$15, $E$9, 100%, $G$9) + CHOOSE(CONTROL!$C$38, 0.0354, 0)</f>
        <v>35.178900000000006</v>
      </c>
      <c r="I488" s="14">
        <f>35.1451 * CHOOSE(CONTROL!$C$15, $E$9, 100%, $G$9) + CHOOSE(CONTROL!$C$38, 0.0354, 0)</f>
        <v>35.180500000000002</v>
      </c>
      <c r="J488" s="44">
        <f>287.2385</f>
        <v>287.23849999999999</v>
      </c>
    </row>
    <row r="489" spans="1:10" ht="15.75" x14ac:dyDescent="0.25">
      <c r="A489" s="33">
        <v>55823</v>
      </c>
      <c r="B489" s="14">
        <f>37.6097 * CHOOSE(CONTROL!$C$15, $E$9, 100%, $G$9) + CHOOSE(CONTROL!$C$38, 0.0251, 0)</f>
        <v>37.634799999999998</v>
      </c>
      <c r="C489" s="14">
        <f>35.5066 * CHOOSE(CONTROL!$C$15, $E$9, 100%, $G$9) + CHOOSE(CONTROL!$C$38, 0.0342, 0)</f>
        <v>35.540799999999997</v>
      </c>
      <c r="D489" s="14">
        <f>35.4988 * CHOOSE(CONTROL!$C$15, $E$9, 100%, $G$9) + CHOOSE(CONTROL!$C$38, 0.0342, 0)</f>
        <v>35.533000000000001</v>
      </c>
      <c r="E489" s="46">
        <f>37.4535 * CHOOSE(CONTROL!$C$15, $E$9, 100%, $G$9) + CHOOSE(CONTROL!$C$38, 0.0342, 0)</f>
        <v>37.487699999999997</v>
      </c>
      <c r="F489" s="45">
        <f>37.4535 * CHOOSE(CONTROL!$C$15, $E$9, 100%, $G$9) + CHOOSE(CONTROL!$C$38, 0.0251, 0)</f>
        <v>37.4786</v>
      </c>
      <c r="G489" s="14">
        <f>35.5051 * CHOOSE(CONTROL!$C$15, $E$9, 100%, $G$9) + CHOOSE(CONTROL!$C$38, 0.0342, 0)</f>
        <v>35.539299999999997</v>
      </c>
      <c r="H489" s="14">
        <f>35.5051 * CHOOSE(CONTROL!$C$15, $E$9, 100%, $G$9) + CHOOSE(CONTROL!$C$38, 0.0342, 0)</f>
        <v>35.539299999999997</v>
      </c>
      <c r="I489" s="14">
        <f>35.5066 * CHOOSE(CONTROL!$C$15, $E$9, 100%, $G$9) + CHOOSE(CONTROL!$C$38, 0.0342, 0)</f>
        <v>35.540799999999997</v>
      </c>
      <c r="J489" s="44">
        <f>277.3055</f>
        <v>277.30549999999999</v>
      </c>
    </row>
    <row r="490" spans="1:10" ht="15.75" x14ac:dyDescent="0.25">
      <c r="A490" s="33">
        <v>55853</v>
      </c>
      <c r="B490" s="14">
        <f>37.9114 * CHOOSE(CONTROL!$C$15, $E$9, 100%, $G$9) + CHOOSE(CONTROL!$C$38, 0.0251, 0)</f>
        <v>37.936500000000002</v>
      </c>
      <c r="C490" s="14">
        <f>35.8083 * CHOOSE(CONTROL!$C$15, $E$9, 100%, $G$9) + CHOOSE(CONTROL!$C$38, 0.0342, 0)</f>
        <v>35.842500000000001</v>
      </c>
      <c r="D490" s="14">
        <f>35.8005 * CHOOSE(CONTROL!$C$15, $E$9, 100%, $G$9) + CHOOSE(CONTROL!$C$38, 0.0342, 0)</f>
        <v>35.834699999999998</v>
      </c>
      <c r="E490" s="46">
        <f>37.7552 * CHOOSE(CONTROL!$C$15, $E$9, 100%, $G$9) + CHOOSE(CONTROL!$C$38, 0.0342, 0)</f>
        <v>37.789400000000001</v>
      </c>
      <c r="F490" s="45">
        <f>37.7552 * CHOOSE(CONTROL!$C$15, $E$9, 100%, $G$9) + CHOOSE(CONTROL!$C$38, 0.0251, 0)</f>
        <v>37.780300000000004</v>
      </c>
      <c r="G490" s="14">
        <f>35.8068 * CHOOSE(CONTROL!$C$15, $E$9, 100%, $G$9) + CHOOSE(CONTROL!$C$38, 0.0342, 0)</f>
        <v>35.841000000000001</v>
      </c>
      <c r="H490" s="14">
        <f>35.8068 * CHOOSE(CONTROL!$C$15, $E$9, 100%, $G$9) + CHOOSE(CONTROL!$C$38, 0.0342, 0)</f>
        <v>35.841000000000001</v>
      </c>
      <c r="I490" s="14">
        <f>35.8083 * CHOOSE(CONTROL!$C$15, $E$9, 100%, $G$9) + CHOOSE(CONTROL!$C$38, 0.0342, 0)</f>
        <v>35.842500000000001</v>
      </c>
      <c r="J490" s="44">
        <f>275.3296</f>
        <v>275.32960000000003</v>
      </c>
    </row>
    <row r="491" spans="1:10" ht="15.75" x14ac:dyDescent="0.25">
      <c r="A491" s="33">
        <v>55884</v>
      </c>
      <c r="B491" s="14">
        <f>38.8411 * CHOOSE(CONTROL!$C$15, $E$9, 100%, $G$9) + CHOOSE(CONTROL!$C$38, 0.0251, 0)</f>
        <v>38.866199999999999</v>
      </c>
      <c r="C491" s="14">
        <f>36.738 * CHOOSE(CONTROL!$C$15, $E$9, 100%, $G$9) + CHOOSE(CONTROL!$C$38, 0.0342, 0)</f>
        <v>36.772199999999998</v>
      </c>
      <c r="D491" s="14">
        <f>36.7302 * CHOOSE(CONTROL!$C$15, $E$9, 100%, $G$9) + CHOOSE(CONTROL!$C$38, 0.0342, 0)</f>
        <v>36.764400000000002</v>
      </c>
      <c r="E491" s="46">
        <f>38.6849 * CHOOSE(CONTROL!$C$15, $E$9, 100%, $G$9) + CHOOSE(CONTROL!$C$38, 0.0342, 0)</f>
        <v>38.719099999999997</v>
      </c>
      <c r="F491" s="45">
        <f>38.6849 * CHOOSE(CONTROL!$C$15, $E$9, 100%, $G$9) + CHOOSE(CONTROL!$C$38, 0.0251, 0)</f>
        <v>38.71</v>
      </c>
      <c r="G491" s="14">
        <f>36.7364 * CHOOSE(CONTROL!$C$15, $E$9, 100%, $G$9) + CHOOSE(CONTROL!$C$38, 0.0342, 0)</f>
        <v>36.770600000000002</v>
      </c>
      <c r="H491" s="14">
        <f>36.7364 * CHOOSE(CONTROL!$C$15, $E$9, 100%, $G$9) + CHOOSE(CONTROL!$C$38, 0.0342, 0)</f>
        <v>36.770600000000002</v>
      </c>
      <c r="I491" s="14">
        <f>36.738 * CHOOSE(CONTROL!$C$15, $E$9, 100%, $G$9) + CHOOSE(CONTROL!$C$38, 0.0342, 0)</f>
        <v>36.772199999999998</v>
      </c>
      <c r="J491" s="44">
        <f>267.1592</f>
        <v>267.1592</v>
      </c>
    </row>
    <row r="492" spans="1:10" ht="15.75" x14ac:dyDescent="0.25">
      <c r="A492" s="33">
        <v>55915</v>
      </c>
      <c r="B492" s="14">
        <f>40.2027 * CHOOSE(CONTROL!$C$15, $E$9, 100%, $G$9) + CHOOSE(CONTROL!$C$38, 0.0251, 0)</f>
        <v>40.227800000000002</v>
      </c>
      <c r="C492" s="14">
        <f>38.0669 * CHOOSE(CONTROL!$C$15, $E$9, 100%, $G$9) + CHOOSE(CONTROL!$C$38, 0.0342, 0)</f>
        <v>38.101099999999995</v>
      </c>
      <c r="D492" s="14">
        <f>38.0591 * CHOOSE(CONTROL!$C$15, $E$9, 100%, $G$9) + CHOOSE(CONTROL!$C$38, 0.0342, 0)</f>
        <v>38.093299999999999</v>
      </c>
      <c r="E492" s="46">
        <f>40.0465 * CHOOSE(CONTROL!$C$15, $E$9, 100%, $G$9) + CHOOSE(CONTROL!$C$38, 0.0342, 0)</f>
        <v>40.0807</v>
      </c>
      <c r="F492" s="45">
        <f>40.0465 * CHOOSE(CONTROL!$C$15, $E$9, 100%, $G$9) + CHOOSE(CONTROL!$C$38, 0.0251, 0)</f>
        <v>40.071600000000004</v>
      </c>
      <c r="G492" s="14">
        <f>38.0653 * CHOOSE(CONTROL!$C$15, $E$9, 100%, $G$9) + CHOOSE(CONTROL!$C$38, 0.0342, 0)</f>
        <v>38.099499999999999</v>
      </c>
      <c r="H492" s="14">
        <f>38.0653 * CHOOSE(CONTROL!$C$15, $E$9, 100%, $G$9) + CHOOSE(CONTROL!$C$38, 0.0342, 0)</f>
        <v>38.099499999999999</v>
      </c>
      <c r="I492" s="14">
        <f>38.0669 * CHOOSE(CONTROL!$C$15, $E$9, 100%, $G$9) + CHOOSE(CONTROL!$C$38, 0.0342, 0)</f>
        <v>38.101099999999995</v>
      </c>
      <c r="J492" s="44">
        <f>266.9663</f>
        <v>266.96629999999999</v>
      </c>
    </row>
    <row r="493" spans="1:10" ht="15.75" x14ac:dyDescent="0.25">
      <c r="A493" s="33">
        <v>55943</v>
      </c>
      <c r="B493" s="14">
        <f>40.547 * CHOOSE(CONTROL!$C$15, $E$9, 100%, $G$9) + CHOOSE(CONTROL!$C$38, 0.0251, 0)</f>
        <v>40.572099999999999</v>
      </c>
      <c r="C493" s="14">
        <f>38.4112 * CHOOSE(CONTROL!$C$15, $E$9, 100%, $G$9) + CHOOSE(CONTROL!$C$38, 0.0342, 0)</f>
        <v>38.445399999999999</v>
      </c>
      <c r="D493" s="14">
        <f>38.4034 * CHOOSE(CONTROL!$C$15, $E$9, 100%, $G$9) + CHOOSE(CONTROL!$C$38, 0.0342, 0)</f>
        <v>38.437599999999996</v>
      </c>
      <c r="E493" s="46">
        <f>40.3908 * CHOOSE(CONTROL!$C$15, $E$9, 100%, $G$9) + CHOOSE(CONTROL!$C$38, 0.0342, 0)</f>
        <v>40.424999999999997</v>
      </c>
      <c r="F493" s="45">
        <f>40.3908 * CHOOSE(CONTROL!$C$15, $E$9, 100%, $G$9) + CHOOSE(CONTROL!$C$38, 0.0251, 0)</f>
        <v>40.415900000000001</v>
      </c>
      <c r="G493" s="14">
        <f>38.4097 * CHOOSE(CONTROL!$C$15, $E$9, 100%, $G$9) + CHOOSE(CONTROL!$C$38, 0.0342, 0)</f>
        <v>38.443899999999999</v>
      </c>
      <c r="H493" s="14">
        <f>38.4097 * CHOOSE(CONTROL!$C$15, $E$9, 100%, $G$9) + CHOOSE(CONTROL!$C$38, 0.0342, 0)</f>
        <v>38.443899999999999</v>
      </c>
      <c r="I493" s="14">
        <f>38.4112 * CHOOSE(CONTROL!$C$15, $E$9, 100%, $G$9) + CHOOSE(CONTROL!$C$38, 0.0342, 0)</f>
        <v>38.445399999999999</v>
      </c>
      <c r="J493" s="44">
        <f>266.2242</f>
        <v>266.2242</v>
      </c>
    </row>
    <row r="494" spans="1:10" ht="15.75" x14ac:dyDescent="0.25">
      <c r="A494" s="33">
        <v>55974</v>
      </c>
      <c r="B494" s="14">
        <f>39.75 * CHOOSE(CONTROL!$C$15, $E$9, 100%, $G$9) + CHOOSE(CONTROL!$C$38, 0.0251, 0)</f>
        <v>39.775100000000002</v>
      </c>
      <c r="C494" s="14">
        <f>37.6142 * CHOOSE(CONTROL!$C$15, $E$9, 100%, $G$9) + CHOOSE(CONTROL!$C$38, 0.0342, 0)</f>
        <v>37.648399999999995</v>
      </c>
      <c r="D494" s="14">
        <f>37.6064 * CHOOSE(CONTROL!$C$15, $E$9, 100%, $G$9) + CHOOSE(CONTROL!$C$38, 0.0342, 0)</f>
        <v>37.640599999999999</v>
      </c>
      <c r="E494" s="46">
        <f>39.5938 * CHOOSE(CONTROL!$C$15, $E$9, 100%, $G$9) + CHOOSE(CONTROL!$C$38, 0.0342, 0)</f>
        <v>39.628</v>
      </c>
      <c r="F494" s="45">
        <f>39.5938 * CHOOSE(CONTROL!$C$15, $E$9, 100%, $G$9) + CHOOSE(CONTROL!$C$38, 0.0251, 0)</f>
        <v>39.618900000000004</v>
      </c>
      <c r="G494" s="14">
        <f>37.6126 * CHOOSE(CONTROL!$C$15, $E$9, 100%, $G$9) + CHOOSE(CONTROL!$C$38, 0.0342, 0)</f>
        <v>37.646799999999999</v>
      </c>
      <c r="H494" s="14">
        <f>37.6126 * CHOOSE(CONTROL!$C$15, $E$9, 100%, $G$9) + CHOOSE(CONTROL!$C$38, 0.0342, 0)</f>
        <v>37.646799999999999</v>
      </c>
      <c r="I494" s="14">
        <f>37.6142 * CHOOSE(CONTROL!$C$15, $E$9, 100%, $G$9) + CHOOSE(CONTROL!$C$38, 0.0342, 0)</f>
        <v>37.648399999999995</v>
      </c>
      <c r="J494" s="44">
        <f>280.2558</f>
        <v>280.25580000000002</v>
      </c>
    </row>
    <row r="495" spans="1:10" ht="15.75" x14ac:dyDescent="0.25">
      <c r="A495" s="33">
        <v>56004</v>
      </c>
      <c r="B495" s="14">
        <f>38.9777 * CHOOSE(CONTROL!$C$15, $E$9, 100%, $G$9) + CHOOSE(CONTROL!$C$38, 0.0251, 0)</f>
        <v>39.002800000000001</v>
      </c>
      <c r="C495" s="14">
        <f>36.8419 * CHOOSE(CONTROL!$C$15, $E$9, 100%, $G$9) + CHOOSE(CONTROL!$C$38, 0.0342, 0)</f>
        <v>36.876100000000001</v>
      </c>
      <c r="D495" s="14">
        <f>36.8341 * CHOOSE(CONTROL!$C$15, $E$9, 100%, $G$9) + CHOOSE(CONTROL!$C$38, 0.0342, 0)</f>
        <v>36.868299999999998</v>
      </c>
      <c r="E495" s="46">
        <f>38.8215 * CHOOSE(CONTROL!$C$15, $E$9, 100%, $G$9) + CHOOSE(CONTROL!$C$38, 0.0342, 0)</f>
        <v>38.855699999999999</v>
      </c>
      <c r="F495" s="45">
        <f>38.8215 * CHOOSE(CONTROL!$C$15, $E$9, 100%, $G$9) + CHOOSE(CONTROL!$C$38, 0.0251, 0)</f>
        <v>38.846600000000002</v>
      </c>
      <c r="G495" s="14">
        <f>36.8403 * CHOOSE(CONTROL!$C$15, $E$9, 100%, $G$9) + CHOOSE(CONTROL!$C$38, 0.0342, 0)</f>
        <v>36.874499999999998</v>
      </c>
      <c r="H495" s="14">
        <f>36.8403 * CHOOSE(CONTROL!$C$15, $E$9, 100%, $G$9) + CHOOSE(CONTROL!$C$38, 0.0342, 0)</f>
        <v>36.874499999999998</v>
      </c>
      <c r="I495" s="14">
        <f>36.8419 * CHOOSE(CONTROL!$C$15, $E$9, 100%, $G$9) + CHOOSE(CONTROL!$C$38, 0.0342, 0)</f>
        <v>36.876100000000001</v>
      </c>
      <c r="J495" s="44">
        <f>298.4514</f>
        <v>298.45139999999998</v>
      </c>
    </row>
    <row r="496" spans="1:10" ht="15.75" x14ac:dyDescent="0.25">
      <c r="A496" s="33">
        <v>56035</v>
      </c>
      <c r="B496" s="14">
        <f>38.1727 * CHOOSE(CONTROL!$C$15, $E$9, 100%, $G$9) + CHOOSE(CONTROL!$C$38, 0.0264, 0)</f>
        <v>38.199100000000001</v>
      </c>
      <c r="C496" s="14">
        <f>36.0369 * CHOOSE(CONTROL!$C$15, $E$9, 100%, $G$9) + CHOOSE(CONTROL!$C$38, 0.0354, 0)</f>
        <v>36.072300000000006</v>
      </c>
      <c r="D496" s="14">
        <f>36.0291 * CHOOSE(CONTROL!$C$15, $E$9, 100%, $G$9) + CHOOSE(CONTROL!$C$38, 0.0354, 0)</f>
        <v>36.064500000000002</v>
      </c>
      <c r="E496" s="46">
        <f>38.0165 * CHOOSE(CONTROL!$C$15, $E$9, 100%, $G$9) + CHOOSE(CONTROL!$C$38, 0.0354, 0)</f>
        <v>38.051900000000003</v>
      </c>
      <c r="F496" s="45">
        <f>38.0165 * CHOOSE(CONTROL!$C$15, $E$9, 100%, $G$9) + CHOOSE(CONTROL!$C$38, 0.0264, 0)</f>
        <v>38.042900000000003</v>
      </c>
      <c r="G496" s="14">
        <f>36.0354 * CHOOSE(CONTROL!$C$15, $E$9, 100%, $G$9) + CHOOSE(CONTROL!$C$38, 0.0354, 0)</f>
        <v>36.070800000000006</v>
      </c>
      <c r="H496" s="14">
        <f>36.0354 * CHOOSE(CONTROL!$C$15, $E$9, 100%, $G$9) + CHOOSE(CONTROL!$C$38, 0.0354, 0)</f>
        <v>36.070800000000006</v>
      </c>
      <c r="I496" s="14">
        <f>36.0369 * CHOOSE(CONTROL!$C$15, $E$9, 100%, $G$9) + CHOOSE(CONTROL!$C$38, 0.0354, 0)</f>
        <v>36.072300000000006</v>
      </c>
      <c r="J496" s="44">
        <f>308.4668</f>
        <v>308.46679999999998</v>
      </c>
    </row>
    <row r="497" spans="1:10" ht="15.75" x14ac:dyDescent="0.25">
      <c r="A497" s="33">
        <v>56065</v>
      </c>
      <c r="B497" s="14">
        <f>37.6084 * CHOOSE(CONTROL!$C$15, $E$9, 100%, $G$9) + CHOOSE(CONTROL!$C$38, 0.0264, 0)</f>
        <v>37.634800000000006</v>
      </c>
      <c r="C497" s="14">
        <f>35.4726 * CHOOSE(CONTROL!$C$15, $E$9, 100%, $G$9) + CHOOSE(CONTROL!$C$38, 0.0354, 0)</f>
        <v>35.508000000000003</v>
      </c>
      <c r="D497" s="14">
        <f>35.4648 * CHOOSE(CONTROL!$C$15, $E$9, 100%, $G$9) + CHOOSE(CONTROL!$C$38, 0.0354, 0)</f>
        <v>35.5002</v>
      </c>
      <c r="E497" s="46">
        <f>37.4522 * CHOOSE(CONTROL!$C$15, $E$9, 100%, $G$9) + CHOOSE(CONTROL!$C$38, 0.0354, 0)</f>
        <v>37.4876</v>
      </c>
      <c r="F497" s="45">
        <f>37.4522 * CHOOSE(CONTROL!$C$15, $E$9, 100%, $G$9) + CHOOSE(CONTROL!$C$38, 0.0264, 0)</f>
        <v>37.4786</v>
      </c>
      <c r="G497" s="14">
        <f>35.471 * CHOOSE(CONTROL!$C$15, $E$9, 100%, $G$9) + CHOOSE(CONTROL!$C$38, 0.0354, 0)</f>
        <v>35.506399999999999</v>
      </c>
      <c r="H497" s="14">
        <f>35.471 * CHOOSE(CONTROL!$C$15, $E$9, 100%, $G$9) + CHOOSE(CONTROL!$C$38, 0.0354, 0)</f>
        <v>35.506399999999999</v>
      </c>
      <c r="I497" s="14">
        <f>35.4726 * CHOOSE(CONTROL!$C$15, $E$9, 100%, $G$9) + CHOOSE(CONTROL!$C$38, 0.0354, 0)</f>
        <v>35.508000000000003</v>
      </c>
      <c r="J497" s="44">
        <f>312.9115</f>
        <v>312.91149999999999</v>
      </c>
    </row>
    <row r="498" spans="1:10" ht="15.75" x14ac:dyDescent="0.25">
      <c r="A498" s="33">
        <v>56096</v>
      </c>
      <c r="B498" s="14">
        <f>37.2864 * CHOOSE(CONTROL!$C$15, $E$9, 100%, $G$9) + CHOOSE(CONTROL!$C$38, 0.0264, 0)</f>
        <v>37.312800000000003</v>
      </c>
      <c r="C498" s="14">
        <f>35.1505 * CHOOSE(CONTROL!$C$15, $E$9, 100%, $G$9) + CHOOSE(CONTROL!$C$38, 0.0354, 0)</f>
        <v>35.185900000000004</v>
      </c>
      <c r="D498" s="14">
        <f>35.1427 * CHOOSE(CONTROL!$C$15, $E$9, 100%, $G$9) + CHOOSE(CONTROL!$C$38, 0.0354, 0)</f>
        <v>35.178100000000001</v>
      </c>
      <c r="E498" s="46">
        <f>37.1301 * CHOOSE(CONTROL!$C$15, $E$9, 100%, $G$9) + CHOOSE(CONTROL!$C$38, 0.0354, 0)</f>
        <v>37.165500000000002</v>
      </c>
      <c r="F498" s="45">
        <f>37.1301 * CHOOSE(CONTROL!$C$15, $E$9, 100%, $G$9) + CHOOSE(CONTROL!$C$38, 0.0264, 0)</f>
        <v>37.156500000000001</v>
      </c>
      <c r="G498" s="14">
        <f>35.149 * CHOOSE(CONTROL!$C$15, $E$9, 100%, $G$9) + CHOOSE(CONTROL!$C$38, 0.0354, 0)</f>
        <v>35.184400000000004</v>
      </c>
      <c r="H498" s="14">
        <f>35.149 * CHOOSE(CONTROL!$C$15, $E$9, 100%, $G$9) + CHOOSE(CONTROL!$C$38, 0.0354, 0)</f>
        <v>35.184400000000004</v>
      </c>
      <c r="I498" s="14">
        <f>35.1505 * CHOOSE(CONTROL!$C$15, $E$9, 100%, $G$9) + CHOOSE(CONTROL!$C$38, 0.0354, 0)</f>
        <v>35.185900000000004</v>
      </c>
      <c r="J498" s="44">
        <f>311.4481</f>
        <v>311.44810000000001</v>
      </c>
    </row>
    <row r="499" spans="1:10" ht="15.75" x14ac:dyDescent="0.25">
      <c r="A499" s="33">
        <v>56127</v>
      </c>
      <c r="B499" s="14">
        <f>37.4453 * CHOOSE(CONTROL!$C$15, $E$9, 100%, $G$9) + CHOOSE(CONTROL!$C$38, 0.0264, 0)</f>
        <v>37.471700000000006</v>
      </c>
      <c r="C499" s="14">
        <f>35.3095 * CHOOSE(CONTROL!$C$15, $E$9, 100%, $G$9) + CHOOSE(CONTROL!$C$38, 0.0354, 0)</f>
        <v>35.344900000000003</v>
      </c>
      <c r="D499" s="14">
        <f>35.3017 * CHOOSE(CONTROL!$C$15, $E$9, 100%, $G$9) + CHOOSE(CONTROL!$C$38, 0.0354, 0)</f>
        <v>35.3371</v>
      </c>
      <c r="E499" s="46">
        <f>37.289 * CHOOSE(CONTROL!$C$15, $E$9, 100%, $G$9) + CHOOSE(CONTROL!$C$38, 0.0354, 0)</f>
        <v>37.324400000000004</v>
      </c>
      <c r="F499" s="45">
        <f>37.289 * CHOOSE(CONTROL!$C$15, $E$9, 100%, $G$9) + CHOOSE(CONTROL!$C$38, 0.0264, 0)</f>
        <v>37.315400000000004</v>
      </c>
      <c r="G499" s="14">
        <f>35.3079 * CHOOSE(CONTROL!$C$15, $E$9, 100%, $G$9) + CHOOSE(CONTROL!$C$38, 0.0354, 0)</f>
        <v>35.343299999999999</v>
      </c>
      <c r="H499" s="14">
        <f>35.3079 * CHOOSE(CONTROL!$C$15, $E$9, 100%, $G$9) + CHOOSE(CONTROL!$C$38, 0.0354, 0)</f>
        <v>35.343299999999999</v>
      </c>
      <c r="I499" s="14">
        <f>35.3095 * CHOOSE(CONTROL!$C$15, $E$9, 100%, $G$9) + CHOOSE(CONTROL!$C$38, 0.0354, 0)</f>
        <v>35.344900000000003</v>
      </c>
      <c r="J499" s="44">
        <f>304.1977</f>
        <v>304.1977</v>
      </c>
    </row>
    <row r="500" spans="1:10" ht="15.75" x14ac:dyDescent="0.25">
      <c r="A500" s="33">
        <v>56157</v>
      </c>
      <c r="B500" s="14">
        <f>37.877 * CHOOSE(CONTROL!$C$15, $E$9, 100%, $G$9) + CHOOSE(CONTROL!$C$38, 0.0264, 0)</f>
        <v>37.903400000000005</v>
      </c>
      <c r="C500" s="14">
        <f>35.7412 * CHOOSE(CONTROL!$C$15, $E$9, 100%, $G$9) + CHOOSE(CONTROL!$C$38, 0.0354, 0)</f>
        <v>35.776600000000002</v>
      </c>
      <c r="D500" s="14">
        <f>35.7334 * CHOOSE(CONTROL!$C$15, $E$9, 100%, $G$9) + CHOOSE(CONTROL!$C$38, 0.0354, 0)</f>
        <v>35.768800000000006</v>
      </c>
      <c r="E500" s="46">
        <f>37.7208 * CHOOSE(CONTROL!$C$15, $E$9, 100%, $G$9) + CHOOSE(CONTROL!$C$38, 0.0354, 0)</f>
        <v>37.7562</v>
      </c>
      <c r="F500" s="45">
        <f>37.7208 * CHOOSE(CONTROL!$C$15, $E$9, 100%, $G$9) + CHOOSE(CONTROL!$C$38, 0.0264, 0)</f>
        <v>37.747199999999999</v>
      </c>
      <c r="G500" s="14">
        <f>35.7396 * CHOOSE(CONTROL!$C$15, $E$9, 100%, $G$9) + CHOOSE(CONTROL!$C$38, 0.0354, 0)</f>
        <v>35.775000000000006</v>
      </c>
      <c r="H500" s="14">
        <f>35.7396 * CHOOSE(CONTROL!$C$15, $E$9, 100%, $G$9) + CHOOSE(CONTROL!$C$38, 0.0354, 0)</f>
        <v>35.775000000000006</v>
      </c>
      <c r="I500" s="14">
        <f>35.7412 * CHOOSE(CONTROL!$C$15, $E$9, 100%, $G$9) + CHOOSE(CONTROL!$C$38, 0.0354, 0)</f>
        <v>35.776600000000002</v>
      </c>
      <c r="J500" s="44">
        <f>294.0867</f>
        <v>294.08670000000001</v>
      </c>
    </row>
    <row r="501" spans="1:10" ht="15.75" x14ac:dyDescent="0.25">
      <c r="A501" s="33">
        <v>56188</v>
      </c>
      <c r="B501" s="14">
        <f>38.2386 * CHOOSE(CONTROL!$C$15, $E$9, 100%, $G$9) + CHOOSE(CONTROL!$C$38, 0.0251, 0)</f>
        <v>38.2637</v>
      </c>
      <c r="C501" s="14">
        <f>36.1027 * CHOOSE(CONTROL!$C$15, $E$9, 100%, $G$9) + CHOOSE(CONTROL!$C$38, 0.0342, 0)</f>
        <v>36.136899999999997</v>
      </c>
      <c r="D501" s="14">
        <f>36.0949 * CHOOSE(CONTROL!$C$15, $E$9, 100%, $G$9) + CHOOSE(CONTROL!$C$38, 0.0342, 0)</f>
        <v>36.129100000000001</v>
      </c>
      <c r="E501" s="46">
        <f>38.0823 * CHOOSE(CONTROL!$C$15, $E$9, 100%, $G$9) + CHOOSE(CONTROL!$C$38, 0.0342, 0)</f>
        <v>38.116499999999995</v>
      </c>
      <c r="F501" s="45">
        <f>38.0823 * CHOOSE(CONTROL!$C$15, $E$9, 100%, $G$9) + CHOOSE(CONTROL!$C$38, 0.0251, 0)</f>
        <v>38.107399999999998</v>
      </c>
      <c r="G501" s="14">
        <f>36.1012 * CHOOSE(CONTROL!$C$15, $E$9, 100%, $G$9) + CHOOSE(CONTROL!$C$38, 0.0342, 0)</f>
        <v>36.135399999999997</v>
      </c>
      <c r="H501" s="14">
        <f>36.1012 * CHOOSE(CONTROL!$C$15, $E$9, 100%, $G$9) + CHOOSE(CONTROL!$C$38, 0.0342, 0)</f>
        <v>36.135399999999997</v>
      </c>
      <c r="I501" s="14">
        <f>36.1027 * CHOOSE(CONTROL!$C$15, $E$9, 100%, $G$9) + CHOOSE(CONTROL!$C$38, 0.0342, 0)</f>
        <v>36.136899999999997</v>
      </c>
      <c r="J501" s="44">
        <f>283.9169</f>
        <v>283.9169</v>
      </c>
    </row>
    <row r="502" spans="1:10" ht="15.75" x14ac:dyDescent="0.25">
      <c r="A502" s="33">
        <v>56218</v>
      </c>
      <c r="B502" s="14">
        <f>38.5403 * CHOOSE(CONTROL!$C$15, $E$9, 100%, $G$9) + CHOOSE(CONTROL!$C$38, 0.0251, 0)</f>
        <v>38.565400000000004</v>
      </c>
      <c r="C502" s="14">
        <f>36.4044 * CHOOSE(CONTROL!$C$15, $E$9, 100%, $G$9) + CHOOSE(CONTROL!$C$38, 0.0342, 0)</f>
        <v>36.438600000000001</v>
      </c>
      <c r="D502" s="14">
        <f>36.3966 * CHOOSE(CONTROL!$C$15, $E$9, 100%, $G$9) + CHOOSE(CONTROL!$C$38, 0.0342, 0)</f>
        <v>36.430799999999998</v>
      </c>
      <c r="E502" s="46">
        <f>38.384 * CHOOSE(CONTROL!$C$15, $E$9, 100%, $G$9) + CHOOSE(CONTROL!$C$38, 0.0342, 0)</f>
        <v>38.418199999999999</v>
      </c>
      <c r="F502" s="45">
        <f>38.384 * CHOOSE(CONTROL!$C$15, $E$9, 100%, $G$9) + CHOOSE(CONTROL!$C$38, 0.0251, 0)</f>
        <v>38.409100000000002</v>
      </c>
      <c r="G502" s="14">
        <f>36.4029 * CHOOSE(CONTROL!$C$15, $E$9, 100%, $G$9) + CHOOSE(CONTROL!$C$38, 0.0342, 0)</f>
        <v>36.437100000000001</v>
      </c>
      <c r="H502" s="14">
        <f>36.4029 * CHOOSE(CONTROL!$C$15, $E$9, 100%, $G$9) + CHOOSE(CONTROL!$C$38, 0.0342, 0)</f>
        <v>36.437100000000001</v>
      </c>
      <c r="I502" s="14">
        <f>36.4044 * CHOOSE(CONTROL!$C$15, $E$9, 100%, $G$9) + CHOOSE(CONTROL!$C$38, 0.0342, 0)</f>
        <v>36.438600000000001</v>
      </c>
      <c r="J502" s="44">
        <f>281.8939</f>
        <v>281.89389999999997</v>
      </c>
    </row>
    <row r="503" spans="1:10" ht="15.75" x14ac:dyDescent="0.25">
      <c r="A503" s="33">
        <v>56249</v>
      </c>
      <c r="B503" s="14">
        <f>39.4699 * CHOOSE(CONTROL!$C$15, $E$9, 100%, $G$9) + CHOOSE(CONTROL!$C$38, 0.0251, 0)</f>
        <v>39.495000000000005</v>
      </c>
      <c r="C503" s="14">
        <f>37.3341 * CHOOSE(CONTROL!$C$15, $E$9, 100%, $G$9) + CHOOSE(CONTROL!$C$38, 0.0342, 0)</f>
        <v>37.368299999999998</v>
      </c>
      <c r="D503" s="14">
        <f>37.3263 * CHOOSE(CONTROL!$C$15, $E$9, 100%, $G$9) + CHOOSE(CONTROL!$C$38, 0.0342, 0)</f>
        <v>37.360500000000002</v>
      </c>
      <c r="E503" s="46">
        <f>39.3137 * CHOOSE(CONTROL!$C$15, $E$9, 100%, $G$9) + CHOOSE(CONTROL!$C$38, 0.0342, 0)</f>
        <v>39.347899999999996</v>
      </c>
      <c r="F503" s="45">
        <f>39.3137 * CHOOSE(CONTROL!$C$15, $E$9, 100%, $G$9) + CHOOSE(CONTROL!$C$38, 0.0251, 0)</f>
        <v>39.338799999999999</v>
      </c>
      <c r="G503" s="14">
        <f>37.3325 * CHOOSE(CONTROL!$C$15, $E$9, 100%, $G$9) + CHOOSE(CONTROL!$C$38, 0.0342, 0)</f>
        <v>37.366700000000002</v>
      </c>
      <c r="H503" s="14">
        <f>37.3325 * CHOOSE(CONTROL!$C$15, $E$9, 100%, $G$9) + CHOOSE(CONTROL!$C$38, 0.0342, 0)</f>
        <v>37.366700000000002</v>
      </c>
      <c r="I503" s="14">
        <f>37.3341 * CHOOSE(CONTROL!$C$15, $E$9, 100%, $G$9) + CHOOSE(CONTROL!$C$38, 0.0342, 0)</f>
        <v>37.368299999999998</v>
      </c>
      <c r="J503" s="44">
        <f>273.5287</f>
        <v>273.52870000000001</v>
      </c>
    </row>
    <row r="504" spans="1:10" ht="15.75" x14ac:dyDescent="0.25">
      <c r="A504" s="33">
        <v>56280</v>
      </c>
      <c r="B504" s="14">
        <f>40.8421 * CHOOSE(CONTROL!$C$15, $E$9, 100%, $G$9) + CHOOSE(CONTROL!$C$38, 0.0251, 0)</f>
        <v>40.867200000000004</v>
      </c>
      <c r="C504" s="14">
        <f>38.673 * CHOOSE(CONTROL!$C$15, $E$9, 100%, $G$9) + CHOOSE(CONTROL!$C$38, 0.0342, 0)</f>
        <v>38.7072</v>
      </c>
      <c r="D504" s="14">
        <f>38.6652 * CHOOSE(CONTROL!$C$15, $E$9, 100%, $G$9) + CHOOSE(CONTROL!$C$38, 0.0342, 0)</f>
        <v>38.699399999999997</v>
      </c>
      <c r="E504" s="46">
        <f>40.6859 * CHOOSE(CONTROL!$C$15, $E$9, 100%, $G$9) + CHOOSE(CONTROL!$C$38, 0.0342, 0)</f>
        <v>40.720099999999995</v>
      </c>
      <c r="F504" s="45">
        <f>40.6859 * CHOOSE(CONTROL!$C$15, $E$9, 100%, $G$9) + CHOOSE(CONTROL!$C$38, 0.0251, 0)</f>
        <v>40.710999999999999</v>
      </c>
      <c r="G504" s="14">
        <f>38.6715 * CHOOSE(CONTROL!$C$15, $E$9, 100%, $G$9) + CHOOSE(CONTROL!$C$38, 0.0342, 0)</f>
        <v>38.7057</v>
      </c>
      <c r="H504" s="14">
        <f>38.6715 * CHOOSE(CONTROL!$C$15, $E$9, 100%, $G$9) + CHOOSE(CONTROL!$C$38, 0.0342, 0)</f>
        <v>38.7057</v>
      </c>
      <c r="I504" s="14">
        <f>38.673 * CHOOSE(CONTROL!$C$15, $E$9, 100%, $G$9) + CHOOSE(CONTROL!$C$38, 0.0342, 0)</f>
        <v>38.7072</v>
      </c>
      <c r="J504" s="44">
        <f>273.3312</f>
        <v>273.33120000000002</v>
      </c>
    </row>
    <row r="505" spans="1:10" ht="15.75" x14ac:dyDescent="0.25">
      <c r="A505" s="33">
        <v>56308</v>
      </c>
      <c r="B505" s="14">
        <f>41.1864 * CHOOSE(CONTROL!$C$15, $E$9, 100%, $G$9) + CHOOSE(CONTROL!$C$38, 0.0251, 0)</f>
        <v>41.211500000000001</v>
      </c>
      <c r="C505" s="14">
        <f>39.0174 * CHOOSE(CONTROL!$C$15, $E$9, 100%, $G$9) + CHOOSE(CONTROL!$C$38, 0.0342, 0)</f>
        <v>39.051600000000001</v>
      </c>
      <c r="D505" s="14">
        <f>39.0095 * CHOOSE(CONTROL!$C$15, $E$9, 100%, $G$9) + CHOOSE(CONTROL!$C$38, 0.0342, 0)</f>
        <v>39.043700000000001</v>
      </c>
      <c r="E505" s="46">
        <f>41.0302 * CHOOSE(CONTROL!$C$15, $E$9, 100%, $G$9) + CHOOSE(CONTROL!$C$38, 0.0342, 0)</f>
        <v>41.064399999999999</v>
      </c>
      <c r="F505" s="45">
        <f>41.0302 * CHOOSE(CONTROL!$C$15, $E$9, 100%, $G$9) + CHOOSE(CONTROL!$C$38, 0.0251, 0)</f>
        <v>41.055300000000003</v>
      </c>
      <c r="G505" s="14">
        <f>39.0158 * CHOOSE(CONTROL!$C$15, $E$9, 100%, $G$9) + CHOOSE(CONTROL!$C$38, 0.0342, 0)</f>
        <v>39.049999999999997</v>
      </c>
      <c r="H505" s="14">
        <f>39.0158 * CHOOSE(CONTROL!$C$15, $E$9, 100%, $G$9) + CHOOSE(CONTROL!$C$38, 0.0342, 0)</f>
        <v>39.049999999999997</v>
      </c>
      <c r="I505" s="14">
        <f>39.0174 * CHOOSE(CONTROL!$C$15, $E$9, 100%, $G$9) + CHOOSE(CONTROL!$C$38, 0.0342, 0)</f>
        <v>39.051600000000001</v>
      </c>
      <c r="J505" s="44">
        <f>272.5714</f>
        <v>272.57139999999998</v>
      </c>
    </row>
    <row r="506" spans="1:10" ht="15.75" x14ac:dyDescent="0.25">
      <c r="A506" s="33">
        <v>56339</v>
      </c>
      <c r="B506" s="14">
        <f>40.3894 * CHOOSE(CONTROL!$C$15, $E$9, 100%, $G$9) + CHOOSE(CONTROL!$C$38, 0.0251, 0)</f>
        <v>40.414500000000004</v>
      </c>
      <c r="C506" s="14">
        <f>38.2203 * CHOOSE(CONTROL!$C$15, $E$9, 100%, $G$9) + CHOOSE(CONTROL!$C$38, 0.0342, 0)</f>
        <v>38.2545</v>
      </c>
      <c r="D506" s="14">
        <f>38.2125 * CHOOSE(CONTROL!$C$15, $E$9, 100%, $G$9) + CHOOSE(CONTROL!$C$38, 0.0342, 0)</f>
        <v>38.246699999999997</v>
      </c>
      <c r="E506" s="46">
        <f>40.2331 * CHOOSE(CONTROL!$C$15, $E$9, 100%, $G$9) + CHOOSE(CONTROL!$C$38, 0.0342, 0)</f>
        <v>40.267299999999999</v>
      </c>
      <c r="F506" s="45">
        <f>40.2331 * CHOOSE(CONTROL!$C$15, $E$9, 100%, $G$9) + CHOOSE(CONTROL!$C$38, 0.0251, 0)</f>
        <v>40.258200000000002</v>
      </c>
      <c r="G506" s="14">
        <f>38.2188 * CHOOSE(CONTROL!$C$15, $E$9, 100%, $G$9) + CHOOSE(CONTROL!$C$38, 0.0342, 0)</f>
        <v>38.253</v>
      </c>
      <c r="H506" s="14">
        <f>38.2188 * CHOOSE(CONTROL!$C$15, $E$9, 100%, $G$9) + CHOOSE(CONTROL!$C$38, 0.0342, 0)</f>
        <v>38.253</v>
      </c>
      <c r="I506" s="14">
        <f>38.2203 * CHOOSE(CONTROL!$C$15, $E$9, 100%, $G$9) + CHOOSE(CONTROL!$C$38, 0.0342, 0)</f>
        <v>38.2545</v>
      </c>
      <c r="J506" s="44">
        <f>286.9375</f>
        <v>286.9375</v>
      </c>
    </row>
    <row r="507" spans="1:10" ht="15.75" x14ac:dyDescent="0.25">
      <c r="A507" s="33">
        <v>56369</v>
      </c>
      <c r="B507" s="14">
        <f>39.6171 * CHOOSE(CONTROL!$C$15, $E$9, 100%, $G$9) + CHOOSE(CONTROL!$C$38, 0.0251, 0)</f>
        <v>39.642200000000003</v>
      </c>
      <c r="C507" s="14">
        <f>37.448 * CHOOSE(CONTROL!$C$15, $E$9, 100%, $G$9) + CHOOSE(CONTROL!$C$38, 0.0342, 0)</f>
        <v>37.482199999999999</v>
      </c>
      <c r="D507" s="14">
        <f>37.4402 * CHOOSE(CONTROL!$C$15, $E$9, 100%, $G$9) + CHOOSE(CONTROL!$C$38, 0.0342, 0)</f>
        <v>37.474399999999996</v>
      </c>
      <c r="E507" s="46">
        <f>39.4608 * CHOOSE(CONTROL!$C$15, $E$9, 100%, $G$9) + CHOOSE(CONTROL!$C$38, 0.0342, 0)</f>
        <v>39.494999999999997</v>
      </c>
      <c r="F507" s="45">
        <f>39.4608 * CHOOSE(CONTROL!$C$15, $E$9, 100%, $G$9) + CHOOSE(CONTROL!$C$38, 0.0251, 0)</f>
        <v>39.485900000000001</v>
      </c>
      <c r="G507" s="14">
        <f>37.4464 * CHOOSE(CONTROL!$C$15, $E$9, 100%, $G$9) + CHOOSE(CONTROL!$C$38, 0.0342, 0)</f>
        <v>37.480599999999995</v>
      </c>
      <c r="H507" s="14">
        <f>37.4464 * CHOOSE(CONTROL!$C$15, $E$9, 100%, $G$9) + CHOOSE(CONTROL!$C$38, 0.0342, 0)</f>
        <v>37.480599999999995</v>
      </c>
      <c r="I507" s="14">
        <f>37.448 * CHOOSE(CONTROL!$C$15, $E$9, 100%, $G$9) + CHOOSE(CONTROL!$C$38, 0.0342, 0)</f>
        <v>37.482199999999999</v>
      </c>
      <c r="J507" s="44">
        <f>305.5669</f>
        <v>305.56689999999998</v>
      </c>
    </row>
    <row r="508" spans="1:10" ht="15.75" x14ac:dyDescent="0.25">
      <c r="A508" s="33">
        <v>56400</v>
      </c>
      <c r="B508" s="14">
        <f>38.8121 * CHOOSE(CONTROL!$C$15, $E$9, 100%, $G$9) + CHOOSE(CONTROL!$C$38, 0.0264, 0)</f>
        <v>38.838500000000003</v>
      </c>
      <c r="C508" s="14">
        <f>36.643 * CHOOSE(CONTROL!$C$15, $E$9, 100%, $G$9) + CHOOSE(CONTROL!$C$38, 0.0354, 0)</f>
        <v>36.678400000000003</v>
      </c>
      <c r="D508" s="14">
        <f>36.6352 * CHOOSE(CONTROL!$C$15, $E$9, 100%, $G$9) + CHOOSE(CONTROL!$C$38, 0.0354, 0)</f>
        <v>36.6706</v>
      </c>
      <c r="E508" s="46">
        <f>38.6559 * CHOOSE(CONTROL!$C$15, $E$9, 100%, $G$9) + CHOOSE(CONTROL!$C$38, 0.0354, 0)</f>
        <v>38.691300000000005</v>
      </c>
      <c r="F508" s="45">
        <f>38.6559 * CHOOSE(CONTROL!$C$15, $E$9, 100%, $G$9) + CHOOSE(CONTROL!$C$38, 0.0264, 0)</f>
        <v>38.682300000000005</v>
      </c>
      <c r="G508" s="14">
        <f>36.6415 * CHOOSE(CONTROL!$C$15, $E$9, 100%, $G$9) + CHOOSE(CONTROL!$C$38, 0.0354, 0)</f>
        <v>36.676900000000003</v>
      </c>
      <c r="H508" s="14">
        <f>36.6415 * CHOOSE(CONTROL!$C$15, $E$9, 100%, $G$9) + CHOOSE(CONTROL!$C$38, 0.0354, 0)</f>
        <v>36.676900000000003</v>
      </c>
      <c r="I508" s="14">
        <f>36.643 * CHOOSE(CONTROL!$C$15, $E$9, 100%, $G$9) + CHOOSE(CONTROL!$C$38, 0.0354, 0)</f>
        <v>36.678400000000003</v>
      </c>
      <c r="J508" s="44">
        <f>315.8211</f>
        <v>315.8211</v>
      </c>
    </row>
    <row r="509" spans="1:10" ht="15.75" x14ac:dyDescent="0.25">
      <c r="A509" s="33">
        <v>56430</v>
      </c>
      <c r="B509" s="14">
        <f>38.2478 * CHOOSE(CONTROL!$C$15, $E$9, 100%, $G$9) + CHOOSE(CONTROL!$C$38, 0.0264, 0)</f>
        <v>38.2742</v>
      </c>
      <c r="C509" s="14">
        <f>36.0787 * CHOOSE(CONTROL!$C$15, $E$9, 100%, $G$9) + CHOOSE(CONTROL!$C$38, 0.0354, 0)</f>
        <v>36.114100000000001</v>
      </c>
      <c r="D509" s="14">
        <f>36.0709 * CHOOSE(CONTROL!$C$15, $E$9, 100%, $G$9) + CHOOSE(CONTROL!$C$38, 0.0354, 0)</f>
        <v>36.106300000000005</v>
      </c>
      <c r="E509" s="46">
        <f>38.0915 * CHOOSE(CONTROL!$C$15, $E$9, 100%, $G$9) + CHOOSE(CONTROL!$C$38, 0.0354, 0)</f>
        <v>38.126900000000006</v>
      </c>
      <c r="F509" s="45">
        <f>38.0915 * CHOOSE(CONTROL!$C$15, $E$9, 100%, $G$9) + CHOOSE(CONTROL!$C$38, 0.0264, 0)</f>
        <v>38.117900000000006</v>
      </c>
      <c r="G509" s="14">
        <f>36.0771 * CHOOSE(CONTROL!$C$15, $E$9, 100%, $G$9) + CHOOSE(CONTROL!$C$38, 0.0354, 0)</f>
        <v>36.112500000000004</v>
      </c>
      <c r="H509" s="14">
        <f>36.0771 * CHOOSE(CONTROL!$C$15, $E$9, 100%, $G$9) + CHOOSE(CONTROL!$C$38, 0.0354, 0)</f>
        <v>36.112500000000004</v>
      </c>
      <c r="I509" s="14">
        <f>36.0787 * CHOOSE(CONTROL!$C$15, $E$9, 100%, $G$9) + CHOOSE(CONTROL!$C$38, 0.0354, 0)</f>
        <v>36.114100000000001</v>
      </c>
      <c r="J509" s="44">
        <f>320.3717</f>
        <v>320.37169999999998</v>
      </c>
    </row>
    <row r="510" spans="1:10" ht="15.75" x14ac:dyDescent="0.25">
      <c r="A510" s="33">
        <v>56461</v>
      </c>
      <c r="B510" s="14">
        <f>37.9257 * CHOOSE(CONTROL!$C$15, $E$9, 100%, $G$9) + CHOOSE(CONTROL!$C$38, 0.0264, 0)</f>
        <v>37.952100000000002</v>
      </c>
      <c r="C510" s="14">
        <f>35.7567 * CHOOSE(CONTROL!$C$15, $E$9, 100%, $G$9) + CHOOSE(CONTROL!$C$38, 0.0354, 0)</f>
        <v>35.792100000000005</v>
      </c>
      <c r="D510" s="14">
        <f>35.7488 * CHOOSE(CONTROL!$C$15, $E$9, 100%, $G$9) + CHOOSE(CONTROL!$C$38, 0.0354, 0)</f>
        <v>35.784200000000006</v>
      </c>
      <c r="E510" s="46">
        <f>37.7695 * CHOOSE(CONTROL!$C$15, $E$9, 100%, $G$9) + CHOOSE(CONTROL!$C$38, 0.0354, 0)</f>
        <v>37.804900000000004</v>
      </c>
      <c r="F510" s="45">
        <f>37.7695 * CHOOSE(CONTROL!$C$15, $E$9, 100%, $G$9) + CHOOSE(CONTROL!$C$38, 0.0264, 0)</f>
        <v>37.795900000000003</v>
      </c>
      <c r="G510" s="14">
        <f>35.7551 * CHOOSE(CONTROL!$C$15, $E$9, 100%, $G$9) + CHOOSE(CONTROL!$C$38, 0.0354, 0)</f>
        <v>35.790500000000002</v>
      </c>
      <c r="H510" s="14">
        <f>35.7551 * CHOOSE(CONTROL!$C$15, $E$9, 100%, $G$9) + CHOOSE(CONTROL!$C$38, 0.0354, 0)</f>
        <v>35.790500000000002</v>
      </c>
      <c r="I510" s="14">
        <f>35.7567 * CHOOSE(CONTROL!$C$15, $E$9, 100%, $G$9) + CHOOSE(CONTROL!$C$38, 0.0354, 0)</f>
        <v>35.792100000000005</v>
      </c>
      <c r="J510" s="44">
        <f>318.8735</f>
        <v>318.87349999999998</v>
      </c>
    </row>
    <row r="511" spans="1:10" ht="15.75" x14ac:dyDescent="0.25">
      <c r="A511" s="33">
        <v>56492</v>
      </c>
      <c r="B511" s="14">
        <f>38.0847 * CHOOSE(CONTROL!$C$15, $E$9, 100%, $G$9) + CHOOSE(CONTROL!$C$38, 0.0264, 0)</f>
        <v>38.1111</v>
      </c>
      <c r="C511" s="14">
        <f>35.9156 * CHOOSE(CONTROL!$C$15, $E$9, 100%, $G$9) + CHOOSE(CONTROL!$C$38, 0.0354, 0)</f>
        <v>35.951000000000001</v>
      </c>
      <c r="D511" s="14">
        <f>35.9078 * CHOOSE(CONTROL!$C$15, $E$9, 100%, $G$9) + CHOOSE(CONTROL!$C$38, 0.0354, 0)</f>
        <v>35.943200000000004</v>
      </c>
      <c r="E511" s="46">
        <f>37.9284 * CHOOSE(CONTROL!$C$15, $E$9, 100%, $G$9) + CHOOSE(CONTROL!$C$38, 0.0354, 0)</f>
        <v>37.963800000000006</v>
      </c>
      <c r="F511" s="45">
        <f>37.9284 * CHOOSE(CONTROL!$C$15, $E$9, 100%, $G$9) + CHOOSE(CONTROL!$C$38, 0.0264, 0)</f>
        <v>37.954800000000006</v>
      </c>
      <c r="G511" s="14">
        <f>35.914 * CHOOSE(CONTROL!$C$15, $E$9, 100%, $G$9) + CHOOSE(CONTROL!$C$38, 0.0354, 0)</f>
        <v>35.949400000000004</v>
      </c>
      <c r="H511" s="14">
        <f>35.914 * CHOOSE(CONTROL!$C$15, $E$9, 100%, $G$9) + CHOOSE(CONTROL!$C$38, 0.0354, 0)</f>
        <v>35.949400000000004</v>
      </c>
      <c r="I511" s="14">
        <f>35.9156 * CHOOSE(CONTROL!$C$15, $E$9, 100%, $G$9) + CHOOSE(CONTROL!$C$38, 0.0354, 0)</f>
        <v>35.951000000000001</v>
      </c>
      <c r="J511" s="44">
        <f>311.4502</f>
        <v>311.4502</v>
      </c>
    </row>
    <row r="512" spans="1:10" ht="15.75" x14ac:dyDescent="0.25">
      <c r="A512" s="33">
        <v>56522</v>
      </c>
      <c r="B512" s="14">
        <f>38.5164 * CHOOSE(CONTROL!$C$15, $E$9, 100%, $G$9) + CHOOSE(CONTROL!$C$38, 0.0264, 0)</f>
        <v>38.5428</v>
      </c>
      <c r="C512" s="14">
        <f>36.3473 * CHOOSE(CONTROL!$C$15, $E$9, 100%, $G$9) + CHOOSE(CONTROL!$C$38, 0.0354, 0)</f>
        <v>36.3827</v>
      </c>
      <c r="D512" s="14">
        <f>36.3395 * CHOOSE(CONTROL!$C$15, $E$9, 100%, $G$9) + CHOOSE(CONTROL!$C$38, 0.0354, 0)</f>
        <v>36.374900000000004</v>
      </c>
      <c r="E512" s="46">
        <f>38.3601 * CHOOSE(CONTROL!$C$15, $E$9, 100%, $G$9) + CHOOSE(CONTROL!$C$38, 0.0354, 0)</f>
        <v>38.395500000000006</v>
      </c>
      <c r="F512" s="45">
        <f>38.3601 * CHOOSE(CONTROL!$C$15, $E$9, 100%, $G$9) + CHOOSE(CONTROL!$C$38, 0.0264, 0)</f>
        <v>38.386500000000005</v>
      </c>
      <c r="G512" s="14">
        <f>36.3457 * CHOOSE(CONTROL!$C$15, $E$9, 100%, $G$9) + CHOOSE(CONTROL!$C$38, 0.0354, 0)</f>
        <v>36.381100000000004</v>
      </c>
      <c r="H512" s="14">
        <f>36.3457 * CHOOSE(CONTROL!$C$15, $E$9, 100%, $G$9) + CHOOSE(CONTROL!$C$38, 0.0354, 0)</f>
        <v>36.381100000000004</v>
      </c>
      <c r="I512" s="14">
        <f>36.3473 * CHOOSE(CONTROL!$C$15, $E$9, 100%, $G$9) + CHOOSE(CONTROL!$C$38, 0.0354, 0)</f>
        <v>36.3827</v>
      </c>
      <c r="J512" s="44">
        <f>301.0981</f>
        <v>301.09809999999999</v>
      </c>
    </row>
    <row r="513" spans="1:10" ht="15.75" x14ac:dyDescent="0.25">
      <c r="A513" s="33">
        <v>56553</v>
      </c>
      <c r="B513" s="14">
        <f>38.878 * CHOOSE(CONTROL!$C$15, $E$9, 100%, $G$9) + CHOOSE(CONTROL!$C$38, 0.0251, 0)</f>
        <v>38.903100000000002</v>
      </c>
      <c r="C513" s="14">
        <f>36.7089 * CHOOSE(CONTROL!$C$15, $E$9, 100%, $G$9) + CHOOSE(CONTROL!$C$38, 0.0342, 0)</f>
        <v>36.743099999999998</v>
      </c>
      <c r="D513" s="14">
        <f>36.7011 * CHOOSE(CONTROL!$C$15, $E$9, 100%, $G$9) + CHOOSE(CONTROL!$C$38, 0.0342, 0)</f>
        <v>36.735299999999995</v>
      </c>
      <c r="E513" s="46">
        <f>38.7217 * CHOOSE(CONTROL!$C$15, $E$9, 100%, $G$9) + CHOOSE(CONTROL!$C$38, 0.0342, 0)</f>
        <v>38.755899999999997</v>
      </c>
      <c r="F513" s="45">
        <f>38.7217 * CHOOSE(CONTROL!$C$15, $E$9, 100%, $G$9) + CHOOSE(CONTROL!$C$38, 0.0251, 0)</f>
        <v>38.7468</v>
      </c>
      <c r="G513" s="14">
        <f>36.7073 * CHOOSE(CONTROL!$C$15, $E$9, 100%, $G$9) + CHOOSE(CONTROL!$C$38, 0.0342, 0)</f>
        <v>36.741499999999995</v>
      </c>
      <c r="H513" s="14">
        <f>36.7073 * CHOOSE(CONTROL!$C$15, $E$9, 100%, $G$9) + CHOOSE(CONTROL!$C$38, 0.0342, 0)</f>
        <v>36.741499999999995</v>
      </c>
      <c r="I513" s="14">
        <f>36.7089 * CHOOSE(CONTROL!$C$15, $E$9, 100%, $G$9) + CHOOSE(CONTROL!$C$38, 0.0342, 0)</f>
        <v>36.743099999999998</v>
      </c>
      <c r="J513" s="44">
        <f>290.6859</f>
        <v>290.6859</v>
      </c>
    </row>
    <row r="514" spans="1:10" ht="15.75" x14ac:dyDescent="0.25">
      <c r="A514" s="33">
        <v>56583</v>
      </c>
      <c r="B514" s="14">
        <f>39.1797 * CHOOSE(CONTROL!$C$15, $E$9, 100%, $G$9) + CHOOSE(CONTROL!$C$38, 0.0251, 0)</f>
        <v>39.204799999999999</v>
      </c>
      <c r="C514" s="14">
        <f>37.0106 * CHOOSE(CONTROL!$C$15, $E$9, 100%, $G$9) + CHOOSE(CONTROL!$C$38, 0.0342, 0)</f>
        <v>37.044799999999995</v>
      </c>
      <c r="D514" s="14">
        <f>37.0028 * CHOOSE(CONTROL!$C$15, $E$9, 100%, $G$9) + CHOOSE(CONTROL!$C$38, 0.0342, 0)</f>
        <v>37.036999999999999</v>
      </c>
      <c r="E514" s="46">
        <f>39.0234 * CHOOSE(CONTROL!$C$15, $E$9, 100%, $G$9) + CHOOSE(CONTROL!$C$38, 0.0342, 0)</f>
        <v>39.057600000000001</v>
      </c>
      <c r="F514" s="45">
        <f>39.0234 * CHOOSE(CONTROL!$C$15, $E$9, 100%, $G$9) + CHOOSE(CONTROL!$C$38, 0.0251, 0)</f>
        <v>39.048500000000004</v>
      </c>
      <c r="G514" s="14">
        <f>37.009 * CHOOSE(CONTROL!$C$15, $E$9, 100%, $G$9) + CHOOSE(CONTROL!$C$38, 0.0342, 0)</f>
        <v>37.043199999999999</v>
      </c>
      <c r="H514" s="14">
        <f>37.009 * CHOOSE(CONTROL!$C$15, $E$9, 100%, $G$9) + CHOOSE(CONTROL!$C$38, 0.0342, 0)</f>
        <v>37.043199999999999</v>
      </c>
      <c r="I514" s="14">
        <f>37.0106 * CHOOSE(CONTROL!$C$15, $E$9, 100%, $G$9) + CHOOSE(CONTROL!$C$38, 0.0342, 0)</f>
        <v>37.044799999999995</v>
      </c>
      <c r="J514" s="44">
        <f>288.6147</f>
        <v>288.61470000000003</v>
      </c>
    </row>
    <row r="515" spans="1:10" ht="15.75" x14ac:dyDescent="0.25">
      <c r="A515" s="33">
        <v>56614</v>
      </c>
      <c r="B515" s="14">
        <f>40.1093 * CHOOSE(CONTROL!$C$15, $E$9, 100%, $G$9) + CHOOSE(CONTROL!$C$38, 0.0251, 0)</f>
        <v>40.134399999999999</v>
      </c>
      <c r="C515" s="14">
        <f>37.9402 * CHOOSE(CONTROL!$C$15, $E$9, 100%, $G$9) + CHOOSE(CONTROL!$C$38, 0.0342, 0)</f>
        <v>37.974399999999996</v>
      </c>
      <c r="D515" s="14">
        <f>37.9324 * CHOOSE(CONTROL!$C$15, $E$9, 100%, $G$9) + CHOOSE(CONTROL!$C$38, 0.0342, 0)</f>
        <v>37.9666</v>
      </c>
      <c r="E515" s="46">
        <f>39.9531 * CHOOSE(CONTROL!$C$15, $E$9, 100%, $G$9) + CHOOSE(CONTROL!$C$38, 0.0342, 0)</f>
        <v>39.987299999999998</v>
      </c>
      <c r="F515" s="45">
        <f>39.9531 * CHOOSE(CONTROL!$C$15, $E$9, 100%, $G$9) + CHOOSE(CONTROL!$C$38, 0.0251, 0)</f>
        <v>39.978200000000001</v>
      </c>
      <c r="G515" s="14">
        <f>37.9387 * CHOOSE(CONTROL!$C$15, $E$9, 100%, $G$9) + CHOOSE(CONTROL!$C$38, 0.0342, 0)</f>
        <v>37.972899999999996</v>
      </c>
      <c r="H515" s="14">
        <f>37.9387 * CHOOSE(CONTROL!$C$15, $E$9, 100%, $G$9) + CHOOSE(CONTROL!$C$38, 0.0342, 0)</f>
        <v>37.972899999999996</v>
      </c>
      <c r="I515" s="14">
        <f>37.9402 * CHOOSE(CONTROL!$C$15, $E$9, 100%, $G$9) + CHOOSE(CONTROL!$C$38, 0.0342, 0)</f>
        <v>37.974399999999996</v>
      </c>
      <c r="J515" s="44">
        <f>280.05</f>
        <v>280.05</v>
      </c>
    </row>
    <row r="516" spans="1:10" ht="15.75" x14ac:dyDescent="0.25">
      <c r="A516" s="32">
        <v>56645</v>
      </c>
      <c r="B516" s="14">
        <f>41.4922 * CHOOSE(CONTROL!$C$15, $E$9, 100%, $G$9) + CHOOSE(CONTROL!$C$38, 0.0251, 0)</f>
        <v>41.517299999999999</v>
      </c>
      <c r="C516" s="14">
        <f>39.2893 * CHOOSE(CONTROL!$C$15, $E$9, 100%, $G$9) + CHOOSE(CONTROL!$C$38, 0.0342, 0)</f>
        <v>39.323499999999996</v>
      </c>
      <c r="D516" s="14">
        <f>39.2815 * CHOOSE(CONTROL!$C$15, $E$9, 100%, $G$9) + CHOOSE(CONTROL!$C$38, 0.0342, 0)</f>
        <v>39.3157</v>
      </c>
      <c r="E516" s="46">
        <f>41.336 * CHOOSE(CONTROL!$C$15, $E$9, 100%, $G$9) + CHOOSE(CONTROL!$C$38, 0.0342, 0)</f>
        <v>41.370199999999997</v>
      </c>
      <c r="F516" s="45">
        <f>41.336 * CHOOSE(CONTROL!$C$15, $E$9, 100%, $G$9) + CHOOSE(CONTROL!$C$38, 0.0251, 0)</f>
        <v>41.3611</v>
      </c>
      <c r="G516" s="14">
        <f>39.2878 * CHOOSE(CONTROL!$C$15, $E$9, 100%, $G$9) + CHOOSE(CONTROL!$C$38, 0.0342, 0)</f>
        <v>39.321999999999996</v>
      </c>
      <c r="H516" s="14">
        <f>39.2878 * CHOOSE(CONTROL!$C$15, $E$9, 100%, $G$9) + CHOOSE(CONTROL!$C$38, 0.0342, 0)</f>
        <v>39.321999999999996</v>
      </c>
      <c r="I516" s="14">
        <f>39.2893 * CHOOSE(CONTROL!$C$15, $E$9, 100%, $G$9) + CHOOSE(CONTROL!$C$38, 0.0342, 0)</f>
        <v>39.323499999999996</v>
      </c>
      <c r="J516" s="44">
        <f>279.8478</f>
        <v>279.84780000000001</v>
      </c>
    </row>
    <row r="517" spans="1:10" ht="15.75" x14ac:dyDescent="0.25">
      <c r="A517" s="32">
        <v>56673</v>
      </c>
      <c r="B517" s="14">
        <f>41.8366 * CHOOSE(CONTROL!$C$15, $E$9, 100%, $G$9) + CHOOSE(CONTROL!$C$38, 0.0251, 0)</f>
        <v>41.861699999999999</v>
      </c>
      <c r="C517" s="14">
        <f>39.6337 * CHOOSE(CONTROL!$C$15, $E$9, 100%, $G$9) + CHOOSE(CONTROL!$C$38, 0.0342, 0)</f>
        <v>39.667899999999996</v>
      </c>
      <c r="D517" s="14">
        <f>39.6259 * CHOOSE(CONTROL!$C$15, $E$9, 100%, $G$9) + CHOOSE(CONTROL!$C$38, 0.0342, 0)</f>
        <v>39.6601</v>
      </c>
      <c r="E517" s="46">
        <f>41.6803 * CHOOSE(CONTROL!$C$15, $E$9, 100%, $G$9) + CHOOSE(CONTROL!$C$38, 0.0342, 0)</f>
        <v>41.714500000000001</v>
      </c>
      <c r="F517" s="45">
        <f>41.6803 * CHOOSE(CONTROL!$C$15, $E$9, 100%, $G$9) + CHOOSE(CONTROL!$C$38, 0.0251, 0)</f>
        <v>41.705400000000004</v>
      </c>
      <c r="G517" s="14">
        <f>39.6321 * CHOOSE(CONTROL!$C$15, $E$9, 100%, $G$9) + CHOOSE(CONTROL!$C$38, 0.0342, 0)</f>
        <v>39.6663</v>
      </c>
      <c r="H517" s="14">
        <f>39.6321 * CHOOSE(CONTROL!$C$15, $E$9, 100%, $G$9) + CHOOSE(CONTROL!$C$38, 0.0342, 0)</f>
        <v>39.6663</v>
      </c>
      <c r="I517" s="14">
        <f>39.6337 * CHOOSE(CONTROL!$C$15, $E$9, 100%, $G$9) + CHOOSE(CONTROL!$C$38, 0.0342, 0)</f>
        <v>39.667899999999996</v>
      </c>
      <c r="J517" s="44">
        <f>279.0699</f>
        <v>279.06990000000002</v>
      </c>
    </row>
    <row r="518" spans="1:10" ht="15.75" x14ac:dyDescent="0.25">
      <c r="A518" s="32">
        <v>56704</v>
      </c>
      <c r="B518" s="14">
        <f>41.0395 * CHOOSE(CONTROL!$C$15, $E$9, 100%, $G$9) + CHOOSE(CONTROL!$C$38, 0.0251, 0)</f>
        <v>41.064599999999999</v>
      </c>
      <c r="C518" s="14">
        <f>38.8366 * CHOOSE(CONTROL!$C$15, $E$9, 100%, $G$9) + CHOOSE(CONTROL!$C$38, 0.0342, 0)</f>
        <v>38.870799999999996</v>
      </c>
      <c r="D518" s="14">
        <f>38.8288 * CHOOSE(CONTROL!$C$15, $E$9, 100%, $G$9) + CHOOSE(CONTROL!$C$38, 0.0342, 0)</f>
        <v>38.863</v>
      </c>
      <c r="E518" s="46">
        <f>40.8833 * CHOOSE(CONTROL!$C$15, $E$9, 100%, $G$9) + CHOOSE(CONTROL!$C$38, 0.0342, 0)</f>
        <v>40.917499999999997</v>
      </c>
      <c r="F518" s="45">
        <f>40.8833 * CHOOSE(CONTROL!$C$15, $E$9, 100%, $G$9) + CHOOSE(CONTROL!$C$38, 0.0251, 0)</f>
        <v>40.9084</v>
      </c>
      <c r="G518" s="14">
        <f>38.8351 * CHOOSE(CONTROL!$C$15, $E$9, 100%, $G$9) + CHOOSE(CONTROL!$C$38, 0.0342, 0)</f>
        <v>38.869299999999996</v>
      </c>
      <c r="H518" s="14">
        <f>38.8351 * CHOOSE(CONTROL!$C$15, $E$9, 100%, $G$9) + CHOOSE(CONTROL!$C$38, 0.0342, 0)</f>
        <v>38.869299999999996</v>
      </c>
      <c r="I518" s="14">
        <f>38.8366 * CHOOSE(CONTROL!$C$15, $E$9, 100%, $G$9) + CHOOSE(CONTROL!$C$38, 0.0342, 0)</f>
        <v>38.870799999999996</v>
      </c>
      <c r="J518" s="44">
        <f>293.7785</f>
        <v>293.77850000000001</v>
      </c>
    </row>
    <row r="519" spans="1:10" ht="15.75" x14ac:dyDescent="0.25">
      <c r="A519" s="32">
        <v>56734</v>
      </c>
      <c r="B519" s="14">
        <f>40.2672 * CHOOSE(CONTROL!$C$15, $E$9, 100%, $G$9) + CHOOSE(CONTROL!$C$38, 0.0251, 0)</f>
        <v>40.292300000000004</v>
      </c>
      <c r="C519" s="14">
        <f>38.0643 * CHOOSE(CONTROL!$C$15, $E$9, 100%, $G$9) + CHOOSE(CONTROL!$C$38, 0.0342, 0)</f>
        <v>38.098500000000001</v>
      </c>
      <c r="D519" s="14">
        <f>38.0565 * CHOOSE(CONTROL!$C$15, $E$9, 100%, $G$9) + CHOOSE(CONTROL!$C$38, 0.0342, 0)</f>
        <v>38.090699999999998</v>
      </c>
      <c r="E519" s="46">
        <f>40.111 * CHOOSE(CONTROL!$C$15, $E$9, 100%, $G$9) + CHOOSE(CONTROL!$C$38, 0.0342, 0)</f>
        <v>40.145199999999996</v>
      </c>
      <c r="F519" s="45">
        <f>40.111 * CHOOSE(CONTROL!$C$15, $E$9, 100%, $G$9) + CHOOSE(CONTROL!$C$38, 0.0251, 0)</f>
        <v>40.136099999999999</v>
      </c>
      <c r="G519" s="14">
        <f>38.0628 * CHOOSE(CONTROL!$C$15, $E$9, 100%, $G$9) + CHOOSE(CONTROL!$C$38, 0.0342, 0)</f>
        <v>38.097000000000001</v>
      </c>
      <c r="H519" s="14">
        <f>38.0628 * CHOOSE(CONTROL!$C$15, $E$9, 100%, $G$9) + CHOOSE(CONTROL!$C$38, 0.0342, 0)</f>
        <v>38.097000000000001</v>
      </c>
      <c r="I519" s="14">
        <f>38.0643 * CHOOSE(CONTROL!$C$15, $E$9, 100%, $G$9) + CHOOSE(CONTROL!$C$38, 0.0342, 0)</f>
        <v>38.098500000000001</v>
      </c>
      <c r="J519" s="44">
        <f>312.8521</f>
        <v>312.85210000000001</v>
      </c>
    </row>
    <row r="520" spans="1:10" ht="15.75" x14ac:dyDescent="0.25">
      <c r="A520" s="32">
        <v>56765</v>
      </c>
      <c r="B520" s="14">
        <f>39.4623 * CHOOSE(CONTROL!$C$15, $E$9, 100%, $G$9) + CHOOSE(CONTROL!$C$38, 0.0264, 0)</f>
        <v>39.488700000000001</v>
      </c>
      <c r="C520" s="14">
        <f>37.2594 * CHOOSE(CONTROL!$C$15, $E$9, 100%, $G$9) + CHOOSE(CONTROL!$C$38, 0.0354, 0)</f>
        <v>37.294800000000002</v>
      </c>
      <c r="D520" s="14">
        <f>37.2515 * CHOOSE(CONTROL!$C$15, $E$9, 100%, $G$9) + CHOOSE(CONTROL!$C$38, 0.0354, 0)</f>
        <v>37.286900000000003</v>
      </c>
      <c r="E520" s="46">
        <f>39.306 * CHOOSE(CONTROL!$C$15, $E$9, 100%, $G$9) + CHOOSE(CONTROL!$C$38, 0.0354, 0)</f>
        <v>39.3414</v>
      </c>
      <c r="F520" s="45">
        <f>39.306 * CHOOSE(CONTROL!$C$15, $E$9, 100%, $G$9) + CHOOSE(CONTROL!$C$38, 0.0264, 0)</f>
        <v>39.3324</v>
      </c>
      <c r="G520" s="14">
        <f>37.2578 * CHOOSE(CONTROL!$C$15, $E$9, 100%, $G$9) + CHOOSE(CONTROL!$C$38, 0.0354, 0)</f>
        <v>37.293200000000006</v>
      </c>
      <c r="H520" s="14">
        <f>37.2578 * CHOOSE(CONTROL!$C$15, $E$9, 100%, $G$9) + CHOOSE(CONTROL!$C$38, 0.0354, 0)</f>
        <v>37.293200000000006</v>
      </c>
      <c r="I520" s="14">
        <f>37.2594 * CHOOSE(CONTROL!$C$15, $E$9, 100%, $G$9) + CHOOSE(CONTROL!$C$38, 0.0354, 0)</f>
        <v>37.294800000000002</v>
      </c>
      <c r="J520" s="44">
        <f>323.3507</f>
        <v>323.35070000000002</v>
      </c>
    </row>
    <row r="521" spans="1:10" ht="15.75" x14ac:dyDescent="0.25">
      <c r="A521" s="32">
        <v>56795</v>
      </c>
      <c r="B521" s="14">
        <f>38.8979 * CHOOSE(CONTROL!$C$15, $E$9, 100%, $G$9) + CHOOSE(CONTROL!$C$38, 0.0264, 0)</f>
        <v>38.924300000000002</v>
      </c>
      <c r="C521" s="14">
        <f>36.695 * CHOOSE(CONTROL!$C$15, $E$9, 100%, $G$9) + CHOOSE(CONTROL!$C$38, 0.0354, 0)</f>
        <v>36.730400000000003</v>
      </c>
      <c r="D521" s="14">
        <f>36.6872 * CHOOSE(CONTROL!$C$15, $E$9, 100%, $G$9) + CHOOSE(CONTROL!$C$38, 0.0354, 0)</f>
        <v>36.7226</v>
      </c>
      <c r="E521" s="46">
        <f>38.7417 * CHOOSE(CONTROL!$C$15, $E$9, 100%, $G$9) + CHOOSE(CONTROL!$C$38, 0.0354, 0)</f>
        <v>38.777100000000004</v>
      </c>
      <c r="F521" s="45">
        <f>38.7417 * CHOOSE(CONTROL!$C$15, $E$9, 100%, $G$9) + CHOOSE(CONTROL!$C$38, 0.0264, 0)</f>
        <v>38.768100000000004</v>
      </c>
      <c r="G521" s="14">
        <f>36.6935 * CHOOSE(CONTROL!$C$15, $E$9, 100%, $G$9) + CHOOSE(CONTROL!$C$38, 0.0354, 0)</f>
        <v>36.728900000000003</v>
      </c>
      <c r="H521" s="14">
        <f>36.6935 * CHOOSE(CONTROL!$C$15, $E$9, 100%, $G$9) + CHOOSE(CONTROL!$C$38, 0.0354, 0)</f>
        <v>36.728900000000003</v>
      </c>
      <c r="I521" s="14">
        <f>36.695 * CHOOSE(CONTROL!$C$15, $E$9, 100%, $G$9) + CHOOSE(CONTROL!$C$38, 0.0354, 0)</f>
        <v>36.730400000000003</v>
      </c>
      <c r="J521" s="44">
        <f>328.0099</f>
        <v>328.00990000000002</v>
      </c>
    </row>
    <row r="522" spans="1:10" ht="15.75" x14ac:dyDescent="0.25">
      <c r="A522" s="32">
        <v>56826</v>
      </c>
      <c r="B522" s="14">
        <f>38.5759 * CHOOSE(CONTROL!$C$15, $E$9, 100%, $G$9) + CHOOSE(CONTROL!$C$38, 0.0264, 0)</f>
        <v>38.6023</v>
      </c>
      <c r="C522" s="14">
        <f>36.373 * CHOOSE(CONTROL!$C$15, $E$9, 100%, $G$9) + CHOOSE(CONTROL!$C$38, 0.0354, 0)</f>
        <v>36.4084</v>
      </c>
      <c r="D522" s="14">
        <f>36.3652 * CHOOSE(CONTROL!$C$15, $E$9, 100%, $G$9) + CHOOSE(CONTROL!$C$38, 0.0354, 0)</f>
        <v>36.400600000000004</v>
      </c>
      <c r="E522" s="46">
        <f>38.4196 * CHOOSE(CONTROL!$C$15, $E$9, 100%, $G$9) + CHOOSE(CONTROL!$C$38, 0.0354, 0)</f>
        <v>38.455000000000005</v>
      </c>
      <c r="F522" s="45">
        <f>38.4196 * CHOOSE(CONTROL!$C$15, $E$9, 100%, $G$9) + CHOOSE(CONTROL!$C$38, 0.0264, 0)</f>
        <v>38.446000000000005</v>
      </c>
      <c r="G522" s="14">
        <f>36.3714 * CHOOSE(CONTROL!$C$15, $E$9, 100%, $G$9) + CHOOSE(CONTROL!$C$38, 0.0354, 0)</f>
        <v>36.406800000000004</v>
      </c>
      <c r="H522" s="14">
        <f>36.3714 * CHOOSE(CONTROL!$C$15, $E$9, 100%, $G$9) + CHOOSE(CONTROL!$C$38, 0.0354, 0)</f>
        <v>36.406800000000004</v>
      </c>
      <c r="I522" s="14">
        <f>36.373 * CHOOSE(CONTROL!$C$15, $E$9, 100%, $G$9) + CHOOSE(CONTROL!$C$38, 0.0354, 0)</f>
        <v>36.4084</v>
      </c>
      <c r="J522" s="44">
        <f>326.4759</f>
        <v>326.47590000000002</v>
      </c>
    </row>
    <row r="523" spans="1:10" ht="15.75" x14ac:dyDescent="0.25">
      <c r="A523" s="32">
        <v>56857</v>
      </c>
      <c r="B523" s="14">
        <f>38.7348 * CHOOSE(CONTROL!$C$15, $E$9, 100%, $G$9) + CHOOSE(CONTROL!$C$38, 0.0264, 0)</f>
        <v>38.761200000000002</v>
      </c>
      <c r="C523" s="14">
        <f>36.5319 * CHOOSE(CONTROL!$C$15, $E$9, 100%, $G$9) + CHOOSE(CONTROL!$C$38, 0.0354, 0)</f>
        <v>36.567300000000003</v>
      </c>
      <c r="D523" s="14">
        <f>36.5241 * CHOOSE(CONTROL!$C$15, $E$9, 100%, $G$9) + CHOOSE(CONTROL!$C$38, 0.0354, 0)</f>
        <v>36.5595</v>
      </c>
      <c r="E523" s="46">
        <f>38.5786 * CHOOSE(CONTROL!$C$15, $E$9, 100%, $G$9) + CHOOSE(CONTROL!$C$38, 0.0354, 0)</f>
        <v>38.614000000000004</v>
      </c>
      <c r="F523" s="45">
        <f>38.5786 * CHOOSE(CONTROL!$C$15, $E$9, 100%, $G$9) + CHOOSE(CONTROL!$C$38, 0.0264, 0)</f>
        <v>38.605000000000004</v>
      </c>
      <c r="G523" s="14">
        <f>36.5303 * CHOOSE(CONTROL!$C$15, $E$9, 100%, $G$9) + CHOOSE(CONTROL!$C$38, 0.0354, 0)</f>
        <v>36.5657</v>
      </c>
      <c r="H523" s="14">
        <f>36.5303 * CHOOSE(CONTROL!$C$15, $E$9, 100%, $G$9) + CHOOSE(CONTROL!$C$38, 0.0354, 0)</f>
        <v>36.5657</v>
      </c>
      <c r="I523" s="14">
        <f>36.5319 * CHOOSE(CONTROL!$C$15, $E$9, 100%, $G$9) + CHOOSE(CONTROL!$C$38, 0.0354, 0)</f>
        <v>36.567300000000003</v>
      </c>
      <c r="J523" s="44">
        <f>318.8757</f>
        <v>318.87569999999999</v>
      </c>
    </row>
    <row r="524" spans="1:10" ht="15.75" x14ac:dyDescent="0.25">
      <c r="A524" s="32">
        <v>56887</v>
      </c>
      <c r="B524" s="14">
        <f>39.1665 * CHOOSE(CONTROL!$C$15, $E$9, 100%, $G$9) + CHOOSE(CONTROL!$C$38, 0.0264, 0)</f>
        <v>39.192900000000002</v>
      </c>
      <c r="C524" s="14">
        <f>36.9636 * CHOOSE(CONTROL!$C$15, $E$9, 100%, $G$9) + CHOOSE(CONTROL!$C$38, 0.0354, 0)</f>
        <v>36.999000000000002</v>
      </c>
      <c r="D524" s="14">
        <f>36.9558 * CHOOSE(CONTROL!$C$15, $E$9, 100%, $G$9) + CHOOSE(CONTROL!$C$38, 0.0354, 0)</f>
        <v>36.991200000000006</v>
      </c>
      <c r="E524" s="46">
        <f>39.0103 * CHOOSE(CONTROL!$C$15, $E$9, 100%, $G$9) + CHOOSE(CONTROL!$C$38, 0.0354, 0)</f>
        <v>39.045700000000004</v>
      </c>
      <c r="F524" s="45">
        <f>39.0103 * CHOOSE(CONTROL!$C$15, $E$9, 100%, $G$9) + CHOOSE(CONTROL!$C$38, 0.0264, 0)</f>
        <v>39.036700000000003</v>
      </c>
      <c r="G524" s="14">
        <f>36.9621 * CHOOSE(CONTROL!$C$15, $E$9, 100%, $G$9) + CHOOSE(CONTROL!$C$38, 0.0354, 0)</f>
        <v>36.997500000000002</v>
      </c>
      <c r="H524" s="14">
        <f>36.9621 * CHOOSE(CONTROL!$C$15, $E$9, 100%, $G$9) + CHOOSE(CONTROL!$C$38, 0.0354, 0)</f>
        <v>36.997500000000002</v>
      </c>
      <c r="I524" s="14">
        <f>36.9636 * CHOOSE(CONTROL!$C$15, $E$9, 100%, $G$9) + CHOOSE(CONTROL!$C$38, 0.0354, 0)</f>
        <v>36.999000000000002</v>
      </c>
      <c r="J524" s="44">
        <f>308.2768</f>
        <v>308.27679999999998</v>
      </c>
    </row>
    <row r="525" spans="1:10" ht="15.75" x14ac:dyDescent="0.25">
      <c r="A525" s="32">
        <v>56918</v>
      </c>
      <c r="B525" s="14">
        <f>39.5281 * CHOOSE(CONTROL!$C$15, $E$9, 100%, $G$9) + CHOOSE(CONTROL!$C$38, 0.0251, 0)</f>
        <v>39.553200000000004</v>
      </c>
      <c r="C525" s="14">
        <f>37.3252 * CHOOSE(CONTROL!$C$15, $E$9, 100%, $G$9) + CHOOSE(CONTROL!$C$38, 0.0342, 0)</f>
        <v>37.359400000000001</v>
      </c>
      <c r="D525" s="14">
        <f>37.3174 * CHOOSE(CONTROL!$C$15, $E$9, 100%, $G$9) + CHOOSE(CONTROL!$C$38, 0.0342, 0)</f>
        <v>37.351599999999998</v>
      </c>
      <c r="E525" s="46">
        <f>39.3718 * CHOOSE(CONTROL!$C$15, $E$9, 100%, $G$9) + CHOOSE(CONTROL!$C$38, 0.0342, 0)</f>
        <v>39.405999999999999</v>
      </c>
      <c r="F525" s="45">
        <f>39.3718 * CHOOSE(CONTROL!$C$15, $E$9, 100%, $G$9) + CHOOSE(CONTROL!$C$38, 0.0251, 0)</f>
        <v>39.396900000000002</v>
      </c>
      <c r="G525" s="14">
        <f>37.3236 * CHOOSE(CONTROL!$C$15, $E$9, 100%, $G$9) + CHOOSE(CONTROL!$C$38, 0.0342, 0)</f>
        <v>37.357799999999997</v>
      </c>
      <c r="H525" s="14">
        <f>37.3236 * CHOOSE(CONTROL!$C$15, $E$9, 100%, $G$9) + CHOOSE(CONTROL!$C$38, 0.0342, 0)</f>
        <v>37.357799999999997</v>
      </c>
      <c r="I525" s="14">
        <f>37.3252 * CHOOSE(CONTROL!$C$15, $E$9, 100%, $G$9) + CHOOSE(CONTROL!$C$38, 0.0342, 0)</f>
        <v>37.359400000000001</v>
      </c>
      <c r="J525" s="44">
        <f>297.6163</f>
        <v>297.61630000000002</v>
      </c>
    </row>
    <row r="526" spans="1:10" ht="15.75" x14ac:dyDescent="0.25">
      <c r="A526" s="32">
        <v>56948</v>
      </c>
      <c r="B526" s="14">
        <f>39.8298 * CHOOSE(CONTROL!$C$15, $E$9, 100%, $G$9) + CHOOSE(CONTROL!$C$38, 0.0251, 0)</f>
        <v>39.854900000000001</v>
      </c>
      <c r="C526" s="14">
        <f>37.6269 * CHOOSE(CONTROL!$C$15, $E$9, 100%, $G$9) + CHOOSE(CONTROL!$C$38, 0.0342, 0)</f>
        <v>37.661099999999998</v>
      </c>
      <c r="D526" s="14">
        <f>37.6191 * CHOOSE(CONTROL!$C$15, $E$9, 100%, $G$9) + CHOOSE(CONTROL!$C$38, 0.0342, 0)</f>
        <v>37.653300000000002</v>
      </c>
      <c r="E526" s="46">
        <f>39.6735 * CHOOSE(CONTROL!$C$15, $E$9, 100%, $G$9) + CHOOSE(CONTROL!$C$38, 0.0342, 0)</f>
        <v>39.707699999999996</v>
      </c>
      <c r="F526" s="45">
        <f>39.6735 * CHOOSE(CONTROL!$C$15, $E$9, 100%, $G$9) + CHOOSE(CONTROL!$C$38, 0.0251, 0)</f>
        <v>39.698599999999999</v>
      </c>
      <c r="G526" s="14">
        <f>37.6253 * CHOOSE(CONTROL!$C$15, $E$9, 100%, $G$9) + CHOOSE(CONTROL!$C$38, 0.0342, 0)</f>
        <v>37.659500000000001</v>
      </c>
      <c r="H526" s="14">
        <f>37.6253 * CHOOSE(CONTROL!$C$15, $E$9, 100%, $G$9) + CHOOSE(CONTROL!$C$38, 0.0342, 0)</f>
        <v>37.659500000000001</v>
      </c>
      <c r="I526" s="14">
        <f>37.6269 * CHOOSE(CONTROL!$C$15, $E$9, 100%, $G$9) + CHOOSE(CONTROL!$C$38, 0.0342, 0)</f>
        <v>37.661099999999998</v>
      </c>
      <c r="J526" s="44">
        <f>295.4957</f>
        <v>295.4957</v>
      </c>
    </row>
    <row r="527" spans="1:10" ht="15.75" x14ac:dyDescent="0.25">
      <c r="A527" s="32">
        <v>56979</v>
      </c>
      <c r="B527" s="14">
        <f>40.7594 * CHOOSE(CONTROL!$C$15, $E$9, 100%, $G$9) + CHOOSE(CONTROL!$C$38, 0.0251, 0)</f>
        <v>40.784500000000001</v>
      </c>
      <c r="C527" s="14">
        <f>38.5565 * CHOOSE(CONTROL!$C$15, $E$9, 100%, $G$9) + CHOOSE(CONTROL!$C$38, 0.0342, 0)</f>
        <v>38.590699999999998</v>
      </c>
      <c r="D527" s="14">
        <f>38.5487 * CHOOSE(CONTROL!$C$15, $E$9, 100%, $G$9) + CHOOSE(CONTROL!$C$38, 0.0342, 0)</f>
        <v>38.582899999999995</v>
      </c>
      <c r="E527" s="46">
        <f>40.6032 * CHOOSE(CONTROL!$C$15, $E$9, 100%, $G$9) + CHOOSE(CONTROL!$C$38, 0.0342, 0)</f>
        <v>40.6374</v>
      </c>
      <c r="F527" s="45">
        <f>40.6032 * CHOOSE(CONTROL!$C$15, $E$9, 100%, $G$9) + CHOOSE(CONTROL!$C$38, 0.0251, 0)</f>
        <v>40.628300000000003</v>
      </c>
      <c r="G527" s="14">
        <f>38.555 * CHOOSE(CONTROL!$C$15, $E$9, 100%, $G$9) + CHOOSE(CONTROL!$C$38, 0.0342, 0)</f>
        <v>38.589199999999998</v>
      </c>
      <c r="H527" s="14">
        <f>38.555 * CHOOSE(CONTROL!$C$15, $E$9, 100%, $G$9) + CHOOSE(CONTROL!$C$38, 0.0342, 0)</f>
        <v>38.589199999999998</v>
      </c>
      <c r="I527" s="14">
        <f>38.5565 * CHOOSE(CONTROL!$C$15, $E$9, 100%, $G$9) + CHOOSE(CONTROL!$C$38, 0.0342, 0)</f>
        <v>38.590699999999998</v>
      </c>
      <c r="J527" s="44">
        <f>286.7268</f>
        <v>286.72680000000003</v>
      </c>
    </row>
    <row r="528" spans="1:10" ht="15.75" x14ac:dyDescent="0.25">
      <c r="A528" s="32">
        <v>57010</v>
      </c>
      <c r="B528" s="14">
        <f>42.1533 * CHOOSE(CONTROL!$C$15, $E$9, 100%, $G$9) + CHOOSE(CONTROL!$C$38, 0.0251, 0)</f>
        <v>42.178400000000003</v>
      </c>
      <c r="C528" s="14">
        <f>39.916 * CHOOSE(CONTROL!$C$15, $E$9, 100%, $G$9) + CHOOSE(CONTROL!$C$38, 0.0342, 0)</f>
        <v>39.950199999999995</v>
      </c>
      <c r="D528" s="14">
        <f>39.9082 * CHOOSE(CONTROL!$C$15, $E$9, 100%, $G$9) + CHOOSE(CONTROL!$C$38, 0.0342, 0)</f>
        <v>39.942399999999999</v>
      </c>
      <c r="E528" s="46">
        <f>41.997 * CHOOSE(CONTROL!$C$15, $E$9, 100%, $G$9) + CHOOSE(CONTROL!$C$38, 0.0342, 0)</f>
        <v>42.031199999999998</v>
      </c>
      <c r="F528" s="45">
        <f>41.997 * CHOOSE(CONTROL!$C$15, $E$9, 100%, $G$9) + CHOOSE(CONTROL!$C$38, 0.0251, 0)</f>
        <v>42.022100000000002</v>
      </c>
      <c r="G528" s="14">
        <f>39.9145 * CHOOSE(CONTROL!$C$15, $E$9, 100%, $G$9) + CHOOSE(CONTROL!$C$38, 0.0342, 0)</f>
        <v>39.948699999999995</v>
      </c>
      <c r="H528" s="14">
        <f>39.9145 * CHOOSE(CONTROL!$C$15, $E$9, 100%, $G$9) + CHOOSE(CONTROL!$C$38, 0.0342, 0)</f>
        <v>39.948699999999995</v>
      </c>
      <c r="I528" s="14">
        <f>39.916 * CHOOSE(CONTROL!$C$15, $E$9, 100%, $G$9) + CHOOSE(CONTROL!$C$38, 0.0342, 0)</f>
        <v>39.950199999999995</v>
      </c>
      <c r="J528" s="44">
        <f>286.5198</f>
        <v>286.51979999999998</v>
      </c>
    </row>
    <row r="529" spans="1:10" ht="15.75" x14ac:dyDescent="0.25">
      <c r="A529" s="32">
        <v>57038</v>
      </c>
      <c r="B529" s="14">
        <f>42.4976 * CHOOSE(CONTROL!$C$15, $E$9, 100%, $G$9) + CHOOSE(CONTROL!$C$38, 0.0251, 0)</f>
        <v>42.5227</v>
      </c>
      <c r="C529" s="14">
        <f>40.2603 * CHOOSE(CONTROL!$C$15, $E$9, 100%, $G$9) + CHOOSE(CONTROL!$C$38, 0.0342, 0)</f>
        <v>40.294499999999999</v>
      </c>
      <c r="D529" s="14">
        <f>40.2525 * CHOOSE(CONTROL!$C$15, $E$9, 100%, $G$9) + CHOOSE(CONTROL!$C$38, 0.0342, 0)</f>
        <v>40.286699999999996</v>
      </c>
      <c r="E529" s="46">
        <f>42.3414 * CHOOSE(CONTROL!$C$15, $E$9, 100%, $G$9) + CHOOSE(CONTROL!$C$38, 0.0342, 0)</f>
        <v>42.375599999999999</v>
      </c>
      <c r="F529" s="45">
        <f>42.3414 * CHOOSE(CONTROL!$C$15, $E$9, 100%, $G$9) + CHOOSE(CONTROL!$C$38, 0.0251, 0)</f>
        <v>42.366500000000002</v>
      </c>
      <c r="G529" s="14">
        <f>40.2588 * CHOOSE(CONTROL!$C$15, $E$9, 100%, $G$9) + CHOOSE(CONTROL!$C$38, 0.0342, 0)</f>
        <v>40.292999999999999</v>
      </c>
      <c r="H529" s="14">
        <f>40.2588 * CHOOSE(CONTROL!$C$15, $E$9, 100%, $G$9) + CHOOSE(CONTROL!$C$38, 0.0342, 0)</f>
        <v>40.292999999999999</v>
      </c>
      <c r="I529" s="14">
        <f>40.2603 * CHOOSE(CONTROL!$C$15, $E$9, 100%, $G$9) + CHOOSE(CONTROL!$C$38, 0.0342, 0)</f>
        <v>40.294499999999999</v>
      </c>
      <c r="J529" s="44">
        <f>285.7234</f>
        <v>285.72340000000003</v>
      </c>
    </row>
    <row r="530" spans="1:10" ht="15.75" x14ac:dyDescent="0.25">
      <c r="A530" s="32">
        <v>57070</v>
      </c>
      <c r="B530" s="14">
        <f>41.7006 * CHOOSE(CONTROL!$C$15, $E$9, 100%, $G$9) + CHOOSE(CONTROL!$C$38, 0.0251, 0)</f>
        <v>41.725700000000003</v>
      </c>
      <c r="C530" s="14">
        <f>39.4633 * CHOOSE(CONTROL!$C$15, $E$9, 100%, $G$9) + CHOOSE(CONTROL!$C$38, 0.0342, 0)</f>
        <v>39.497499999999995</v>
      </c>
      <c r="D530" s="14">
        <f>39.4555 * CHOOSE(CONTROL!$C$15, $E$9, 100%, $G$9) + CHOOSE(CONTROL!$C$38, 0.0342, 0)</f>
        <v>39.489699999999999</v>
      </c>
      <c r="E530" s="46">
        <f>41.5443 * CHOOSE(CONTROL!$C$15, $E$9, 100%, $G$9) + CHOOSE(CONTROL!$C$38, 0.0342, 0)</f>
        <v>41.578499999999998</v>
      </c>
      <c r="F530" s="45">
        <f>41.5443 * CHOOSE(CONTROL!$C$15, $E$9, 100%, $G$9) + CHOOSE(CONTROL!$C$38, 0.0251, 0)</f>
        <v>41.569400000000002</v>
      </c>
      <c r="G530" s="14">
        <f>39.4617 * CHOOSE(CONTROL!$C$15, $E$9, 100%, $G$9) + CHOOSE(CONTROL!$C$38, 0.0342, 0)</f>
        <v>39.495899999999999</v>
      </c>
      <c r="H530" s="14">
        <f>39.4617 * CHOOSE(CONTROL!$C$15, $E$9, 100%, $G$9) + CHOOSE(CONTROL!$C$38, 0.0342, 0)</f>
        <v>39.495899999999999</v>
      </c>
      <c r="I530" s="14">
        <f>39.4633 * CHOOSE(CONTROL!$C$15, $E$9, 100%, $G$9) + CHOOSE(CONTROL!$C$38, 0.0342, 0)</f>
        <v>39.497499999999995</v>
      </c>
      <c r="J530" s="44">
        <f>300.7826</f>
        <v>300.7826</v>
      </c>
    </row>
    <row r="531" spans="1:10" ht="15.75" x14ac:dyDescent="0.25">
      <c r="A531" s="32">
        <v>57100</v>
      </c>
      <c r="B531" s="14">
        <f>40.9283 * CHOOSE(CONTROL!$C$15, $E$9, 100%, $G$9) + CHOOSE(CONTROL!$C$38, 0.0251, 0)</f>
        <v>40.953400000000002</v>
      </c>
      <c r="C531" s="14">
        <f>38.691 * CHOOSE(CONTROL!$C$15, $E$9, 100%, $G$9) + CHOOSE(CONTROL!$C$38, 0.0342, 0)</f>
        <v>38.725200000000001</v>
      </c>
      <c r="D531" s="14">
        <f>38.6832 * CHOOSE(CONTROL!$C$15, $E$9, 100%, $G$9) + CHOOSE(CONTROL!$C$38, 0.0342, 0)</f>
        <v>38.717399999999998</v>
      </c>
      <c r="E531" s="46">
        <f>40.772 * CHOOSE(CONTROL!$C$15, $E$9, 100%, $G$9) + CHOOSE(CONTROL!$C$38, 0.0342, 0)</f>
        <v>40.806199999999997</v>
      </c>
      <c r="F531" s="45">
        <f>40.772 * CHOOSE(CONTROL!$C$15, $E$9, 100%, $G$9) + CHOOSE(CONTROL!$C$38, 0.0251, 0)</f>
        <v>40.7971</v>
      </c>
      <c r="G531" s="14">
        <f>38.6894 * CHOOSE(CONTROL!$C$15, $E$9, 100%, $G$9) + CHOOSE(CONTROL!$C$38, 0.0342, 0)</f>
        <v>38.723599999999998</v>
      </c>
      <c r="H531" s="14">
        <f>38.6894 * CHOOSE(CONTROL!$C$15, $E$9, 100%, $G$9) + CHOOSE(CONTROL!$C$38, 0.0342, 0)</f>
        <v>38.723599999999998</v>
      </c>
      <c r="I531" s="14">
        <f>38.691 * CHOOSE(CONTROL!$C$15, $E$9, 100%, $G$9) + CHOOSE(CONTROL!$C$38, 0.0342, 0)</f>
        <v>38.725200000000001</v>
      </c>
      <c r="J531" s="44">
        <f>320.3109</f>
        <v>320.3109</v>
      </c>
    </row>
    <row r="532" spans="1:10" ht="15.75" x14ac:dyDescent="0.25">
      <c r="A532" s="32">
        <v>57131</v>
      </c>
      <c r="B532" s="14">
        <f>40.1233 * CHOOSE(CONTROL!$C$15, $E$9, 100%, $G$9) + CHOOSE(CONTROL!$C$38, 0.0264, 0)</f>
        <v>40.149700000000003</v>
      </c>
      <c r="C532" s="14">
        <f>37.886 * CHOOSE(CONTROL!$C$15, $E$9, 100%, $G$9) + CHOOSE(CONTROL!$C$38, 0.0354, 0)</f>
        <v>37.921400000000006</v>
      </c>
      <c r="D532" s="14">
        <f>37.8782 * CHOOSE(CONTROL!$C$15, $E$9, 100%, $G$9) + CHOOSE(CONTROL!$C$38, 0.0354, 0)</f>
        <v>37.913600000000002</v>
      </c>
      <c r="E532" s="46">
        <f>39.967 * CHOOSE(CONTROL!$C$15, $E$9, 100%, $G$9) + CHOOSE(CONTROL!$C$38, 0.0354, 0)</f>
        <v>40.002400000000002</v>
      </c>
      <c r="F532" s="45">
        <f>39.967 * CHOOSE(CONTROL!$C$15, $E$9, 100%, $G$9) + CHOOSE(CONTROL!$C$38, 0.0264, 0)</f>
        <v>39.993400000000001</v>
      </c>
      <c r="G532" s="14">
        <f>37.8845 * CHOOSE(CONTROL!$C$15, $E$9, 100%, $G$9) + CHOOSE(CONTROL!$C$38, 0.0354, 0)</f>
        <v>37.919900000000005</v>
      </c>
      <c r="H532" s="14">
        <f>37.8845 * CHOOSE(CONTROL!$C$15, $E$9, 100%, $G$9) + CHOOSE(CONTROL!$C$38, 0.0354, 0)</f>
        <v>37.919900000000005</v>
      </c>
      <c r="I532" s="14">
        <f>37.886 * CHOOSE(CONTROL!$C$15, $E$9, 100%, $G$9) + CHOOSE(CONTROL!$C$38, 0.0354, 0)</f>
        <v>37.921400000000006</v>
      </c>
      <c r="J532" s="44">
        <f>331.0599</f>
        <v>331.05990000000003</v>
      </c>
    </row>
    <row r="533" spans="1:10" ht="15.75" x14ac:dyDescent="0.25">
      <c r="A533" s="32">
        <v>57161</v>
      </c>
      <c r="B533" s="14">
        <f>39.559 * CHOOSE(CONTROL!$C$15, $E$9, 100%, $G$9) + CHOOSE(CONTROL!$C$38, 0.0264, 0)</f>
        <v>39.5854</v>
      </c>
      <c r="C533" s="14">
        <f>37.3217 * CHOOSE(CONTROL!$C$15, $E$9, 100%, $G$9) + CHOOSE(CONTROL!$C$38, 0.0354, 0)</f>
        <v>37.357100000000003</v>
      </c>
      <c r="D533" s="14">
        <f>37.3139 * CHOOSE(CONTROL!$C$15, $E$9, 100%, $G$9) + CHOOSE(CONTROL!$C$38, 0.0354, 0)</f>
        <v>37.349299999999999</v>
      </c>
      <c r="E533" s="46">
        <f>39.4027 * CHOOSE(CONTROL!$C$15, $E$9, 100%, $G$9) + CHOOSE(CONTROL!$C$38, 0.0354, 0)</f>
        <v>39.438100000000006</v>
      </c>
      <c r="F533" s="45">
        <f>39.4027 * CHOOSE(CONTROL!$C$15, $E$9, 100%, $G$9) + CHOOSE(CONTROL!$C$38, 0.0264, 0)</f>
        <v>39.429100000000005</v>
      </c>
      <c r="G533" s="14">
        <f>37.3201 * CHOOSE(CONTROL!$C$15, $E$9, 100%, $G$9) + CHOOSE(CONTROL!$C$38, 0.0354, 0)</f>
        <v>37.355499999999999</v>
      </c>
      <c r="H533" s="14">
        <f>37.3201 * CHOOSE(CONTROL!$C$15, $E$9, 100%, $G$9) + CHOOSE(CONTROL!$C$38, 0.0354, 0)</f>
        <v>37.355499999999999</v>
      </c>
      <c r="I533" s="14">
        <f>37.3217 * CHOOSE(CONTROL!$C$15, $E$9, 100%, $G$9) + CHOOSE(CONTROL!$C$38, 0.0354, 0)</f>
        <v>37.357100000000003</v>
      </c>
      <c r="J533" s="44">
        <f>335.8301</f>
        <v>335.83010000000002</v>
      </c>
    </row>
    <row r="534" spans="1:10" ht="15.75" x14ac:dyDescent="0.25">
      <c r="A534" s="32">
        <v>57192</v>
      </c>
      <c r="B534" s="14">
        <f>39.2369 * CHOOSE(CONTROL!$C$15, $E$9, 100%, $G$9) + CHOOSE(CONTROL!$C$38, 0.0264, 0)</f>
        <v>39.263300000000001</v>
      </c>
      <c r="C534" s="14">
        <f>36.9996 * CHOOSE(CONTROL!$C$15, $E$9, 100%, $G$9) + CHOOSE(CONTROL!$C$38, 0.0354, 0)</f>
        <v>37.035000000000004</v>
      </c>
      <c r="D534" s="14">
        <f>36.9918 * CHOOSE(CONTROL!$C$15, $E$9, 100%, $G$9) + CHOOSE(CONTROL!$C$38, 0.0354, 0)</f>
        <v>37.027200000000001</v>
      </c>
      <c r="E534" s="46">
        <f>39.0807 * CHOOSE(CONTROL!$C$15, $E$9, 100%, $G$9) + CHOOSE(CONTROL!$C$38, 0.0354, 0)</f>
        <v>39.116100000000003</v>
      </c>
      <c r="F534" s="45">
        <f>39.0807 * CHOOSE(CONTROL!$C$15, $E$9, 100%, $G$9) + CHOOSE(CONTROL!$C$38, 0.0264, 0)</f>
        <v>39.107100000000003</v>
      </c>
      <c r="G534" s="14">
        <f>36.9981 * CHOOSE(CONTROL!$C$15, $E$9, 100%, $G$9) + CHOOSE(CONTROL!$C$38, 0.0354, 0)</f>
        <v>37.033500000000004</v>
      </c>
      <c r="H534" s="14">
        <f>36.9981 * CHOOSE(CONTROL!$C$15, $E$9, 100%, $G$9) + CHOOSE(CONTROL!$C$38, 0.0354, 0)</f>
        <v>37.033500000000004</v>
      </c>
      <c r="I534" s="14">
        <f>36.9996 * CHOOSE(CONTROL!$C$15, $E$9, 100%, $G$9) + CHOOSE(CONTROL!$C$38, 0.0354, 0)</f>
        <v>37.035000000000004</v>
      </c>
      <c r="J534" s="44">
        <f>334.2596</f>
        <v>334.25959999999998</v>
      </c>
    </row>
    <row r="535" spans="1:10" ht="15.75" x14ac:dyDescent="0.25">
      <c r="A535" s="32">
        <v>57223</v>
      </c>
      <c r="B535" s="14">
        <f>39.3959 * CHOOSE(CONTROL!$C$15, $E$9, 100%, $G$9) + CHOOSE(CONTROL!$C$38, 0.0264, 0)</f>
        <v>39.4223</v>
      </c>
      <c r="C535" s="14">
        <f>37.1586 * CHOOSE(CONTROL!$C$15, $E$9, 100%, $G$9) + CHOOSE(CONTROL!$C$38, 0.0354, 0)</f>
        <v>37.194000000000003</v>
      </c>
      <c r="D535" s="14">
        <f>37.1508 * CHOOSE(CONTROL!$C$15, $E$9, 100%, $G$9) + CHOOSE(CONTROL!$C$38, 0.0354, 0)</f>
        <v>37.186199999999999</v>
      </c>
      <c r="E535" s="46">
        <f>39.2396 * CHOOSE(CONTROL!$C$15, $E$9, 100%, $G$9) + CHOOSE(CONTROL!$C$38, 0.0354, 0)</f>
        <v>39.275000000000006</v>
      </c>
      <c r="F535" s="45">
        <f>39.2396 * CHOOSE(CONTROL!$C$15, $E$9, 100%, $G$9) + CHOOSE(CONTROL!$C$38, 0.0264, 0)</f>
        <v>39.266000000000005</v>
      </c>
      <c r="G535" s="14">
        <f>37.157 * CHOOSE(CONTROL!$C$15, $E$9, 100%, $G$9) + CHOOSE(CONTROL!$C$38, 0.0354, 0)</f>
        <v>37.192399999999999</v>
      </c>
      <c r="H535" s="14">
        <f>37.157 * CHOOSE(CONTROL!$C$15, $E$9, 100%, $G$9) + CHOOSE(CONTROL!$C$38, 0.0354, 0)</f>
        <v>37.192399999999999</v>
      </c>
      <c r="I535" s="14">
        <f>37.1586 * CHOOSE(CONTROL!$C$15, $E$9, 100%, $G$9) + CHOOSE(CONTROL!$C$38, 0.0354, 0)</f>
        <v>37.194000000000003</v>
      </c>
      <c r="J535" s="44">
        <f>326.4781</f>
        <v>326.47809999999998</v>
      </c>
    </row>
    <row r="536" spans="1:10" ht="15.75" x14ac:dyDescent="0.25">
      <c r="A536" s="32">
        <v>57253</v>
      </c>
      <c r="B536" s="14">
        <f>39.8276 * CHOOSE(CONTROL!$C$15, $E$9, 100%, $G$9) + CHOOSE(CONTROL!$C$38, 0.0264, 0)</f>
        <v>39.853999999999999</v>
      </c>
      <c r="C536" s="14">
        <f>37.5903 * CHOOSE(CONTROL!$C$15, $E$9, 100%, $G$9) + CHOOSE(CONTROL!$C$38, 0.0354, 0)</f>
        <v>37.625700000000002</v>
      </c>
      <c r="D536" s="14">
        <f>37.5825 * CHOOSE(CONTROL!$C$15, $E$9, 100%, $G$9) + CHOOSE(CONTROL!$C$38, 0.0354, 0)</f>
        <v>37.617900000000006</v>
      </c>
      <c r="E536" s="46">
        <f>39.6713 * CHOOSE(CONTROL!$C$15, $E$9, 100%, $G$9) + CHOOSE(CONTROL!$C$38, 0.0354, 0)</f>
        <v>39.706700000000005</v>
      </c>
      <c r="F536" s="45">
        <f>39.6713 * CHOOSE(CONTROL!$C$15, $E$9, 100%, $G$9) + CHOOSE(CONTROL!$C$38, 0.0264, 0)</f>
        <v>39.697700000000005</v>
      </c>
      <c r="G536" s="14">
        <f>37.5887 * CHOOSE(CONTROL!$C$15, $E$9, 100%, $G$9) + CHOOSE(CONTROL!$C$38, 0.0354, 0)</f>
        <v>37.624100000000006</v>
      </c>
      <c r="H536" s="14">
        <f>37.5887 * CHOOSE(CONTROL!$C$15, $E$9, 100%, $G$9) + CHOOSE(CONTROL!$C$38, 0.0354, 0)</f>
        <v>37.624100000000006</v>
      </c>
      <c r="I536" s="14">
        <f>37.5903 * CHOOSE(CONTROL!$C$15, $E$9, 100%, $G$9) + CHOOSE(CONTROL!$C$38, 0.0354, 0)</f>
        <v>37.625700000000002</v>
      </c>
      <c r="J536" s="44">
        <f>315.6266</f>
        <v>315.6266</v>
      </c>
    </row>
    <row r="537" spans="1:10" ht="15.75" x14ac:dyDescent="0.25">
      <c r="A537" s="32">
        <v>57284</v>
      </c>
      <c r="B537" s="14">
        <f>40.1891 * CHOOSE(CONTROL!$C$15, $E$9, 100%, $G$9) + CHOOSE(CONTROL!$C$38, 0.0251, 0)</f>
        <v>40.214200000000005</v>
      </c>
      <c r="C537" s="14">
        <f>37.9518 * CHOOSE(CONTROL!$C$15, $E$9, 100%, $G$9) + CHOOSE(CONTROL!$C$38, 0.0342, 0)</f>
        <v>37.985999999999997</v>
      </c>
      <c r="D537" s="14">
        <f>37.944 * CHOOSE(CONTROL!$C$15, $E$9, 100%, $G$9) + CHOOSE(CONTROL!$C$38, 0.0342, 0)</f>
        <v>37.978200000000001</v>
      </c>
      <c r="E537" s="46">
        <f>40.0329 * CHOOSE(CONTROL!$C$15, $E$9, 100%, $G$9) + CHOOSE(CONTROL!$C$38, 0.0342, 0)</f>
        <v>40.067099999999996</v>
      </c>
      <c r="F537" s="45">
        <f>40.0329 * CHOOSE(CONTROL!$C$15, $E$9, 100%, $G$9) + CHOOSE(CONTROL!$C$38, 0.0251, 0)</f>
        <v>40.058</v>
      </c>
      <c r="G537" s="14">
        <f>37.9503 * CHOOSE(CONTROL!$C$15, $E$9, 100%, $G$9) + CHOOSE(CONTROL!$C$38, 0.0342, 0)</f>
        <v>37.984499999999997</v>
      </c>
      <c r="H537" s="14">
        <f>37.9503 * CHOOSE(CONTROL!$C$15, $E$9, 100%, $G$9) + CHOOSE(CONTROL!$C$38, 0.0342, 0)</f>
        <v>37.984499999999997</v>
      </c>
      <c r="I537" s="14">
        <f>37.9518 * CHOOSE(CONTROL!$C$15, $E$9, 100%, $G$9) + CHOOSE(CONTROL!$C$38, 0.0342, 0)</f>
        <v>37.985999999999997</v>
      </c>
      <c r="J537" s="44">
        <f>304.7119</f>
        <v>304.71190000000001</v>
      </c>
    </row>
    <row r="538" spans="1:10" ht="15.75" x14ac:dyDescent="0.25">
      <c r="A538" s="32">
        <v>57314</v>
      </c>
      <c r="B538" s="14">
        <f>40.4908 * CHOOSE(CONTROL!$C$15, $E$9, 100%, $G$9) + CHOOSE(CONTROL!$C$38, 0.0251, 0)</f>
        <v>40.515900000000002</v>
      </c>
      <c r="C538" s="14">
        <f>38.2535 * CHOOSE(CONTROL!$C$15, $E$9, 100%, $G$9) + CHOOSE(CONTROL!$C$38, 0.0342, 0)</f>
        <v>38.287700000000001</v>
      </c>
      <c r="D538" s="14">
        <f>38.2457 * CHOOSE(CONTROL!$C$15, $E$9, 100%, $G$9) + CHOOSE(CONTROL!$C$38, 0.0342, 0)</f>
        <v>38.279899999999998</v>
      </c>
      <c r="E538" s="46">
        <f>40.3346 * CHOOSE(CONTROL!$C$15, $E$9, 100%, $G$9) + CHOOSE(CONTROL!$C$38, 0.0342, 0)</f>
        <v>40.3688</v>
      </c>
      <c r="F538" s="45">
        <f>40.3346 * CHOOSE(CONTROL!$C$15, $E$9, 100%, $G$9) + CHOOSE(CONTROL!$C$38, 0.0251, 0)</f>
        <v>40.359700000000004</v>
      </c>
      <c r="G538" s="14">
        <f>38.252 * CHOOSE(CONTROL!$C$15, $E$9, 100%, $G$9) + CHOOSE(CONTROL!$C$38, 0.0342, 0)</f>
        <v>38.286200000000001</v>
      </c>
      <c r="H538" s="14">
        <f>38.252 * CHOOSE(CONTROL!$C$15, $E$9, 100%, $G$9) + CHOOSE(CONTROL!$C$38, 0.0342, 0)</f>
        <v>38.286200000000001</v>
      </c>
      <c r="I538" s="14">
        <f>38.2535 * CHOOSE(CONTROL!$C$15, $E$9, 100%, $G$9) + CHOOSE(CONTROL!$C$38, 0.0342, 0)</f>
        <v>38.287700000000001</v>
      </c>
      <c r="J538" s="44">
        <f>302.5407</f>
        <v>302.54070000000002</v>
      </c>
    </row>
    <row r="539" spans="1:10" ht="15.75" x14ac:dyDescent="0.25">
      <c r="A539" s="32">
        <v>57345</v>
      </c>
      <c r="B539" s="14">
        <f>41.4205 * CHOOSE(CONTROL!$C$15, $E$9, 100%, $G$9) + CHOOSE(CONTROL!$C$38, 0.0251, 0)</f>
        <v>41.445599999999999</v>
      </c>
      <c r="C539" s="14">
        <f>39.1832 * CHOOSE(CONTROL!$C$15, $E$9, 100%, $G$9) + CHOOSE(CONTROL!$C$38, 0.0342, 0)</f>
        <v>39.217399999999998</v>
      </c>
      <c r="D539" s="14">
        <f>39.1754 * CHOOSE(CONTROL!$C$15, $E$9, 100%, $G$9) + CHOOSE(CONTROL!$C$38, 0.0342, 0)</f>
        <v>39.209600000000002</v>
      </c>
      <c r="E539" s="46">
        <f>41.2642 * CHOOSE(CONTROL!$C$15, $E$9, 100%, $G$9) + CHOOSE(CONTROL!$C$38, 0.0342, 0)</f>
        <v>41.298400000000001</v>
      </c>
      <c r="F539" s="45">
        <f>41.2642 * CHOOSE(CONTROL!$C$15, $E$9, 100%, $G$9) + CHOOSE(CONTROL!$C$38, 0.0251, 0)</f>
        <v>41.289300000000004</v>
      </c>
      <c r="G539" s="14">
        <f>39.1817 * CHOOSE(CONTROL!$C$15, $E$9, 100%, $G$9) + CHOOSE(CONTROL!$C$38, 0.0342, 0)</f>
        <v>39.215899999999998</v>
      </c>
      <c r="H539" s="14">
        <f>39.1817 * CHOOSE(CONTROL!$C$15, $E$9, 100%, $G$9) + CHOOSE(CONTROL!$C$38, 0.0342, 0)</f>
        <v>39.215899999999998</v>
      </c>
      <c r="I539" s="14">
        <f>39.1832 * CHOOSE(CONTROL!$C$15, $E$9, 100%, $G$9) + CHOOSE(CONTROL!$C$38, 0.0342, 0)</f>
        <v>39.217399999999998</v>
      </c>
      <c r="J539" s="44">
        <f>293.5628</f>
        <v>293.56279999999998</v>
      </c>
    </row>
    <row r="540" spans="1:10" ht="15.75" x14ac:dyDescent="0.25">
      <c r="A540" s="32">
        <v>57376</v>
      </c>
      <c r="B540" s="14">
        <f>42.8254 * CHOOSE(CONTROL!$C$15, $E$9, 100%, $G$9) + CHOOSE(CONTROL!$C$38, 0.0251, 0)</f>
        <v>42.850500000000004</v>
      </c>
      <c r="C540" s="14">
        <f>40.5532 * CHOOSE(CONTROL!$C$15, $E$9, 100%, $G$9) + CHOOSE(CONTROL!$C$38, 0.0342, 0)</f>
        <v>40.587399999999995</v>
      </c>
      <c r="D540" s="14">
        <f>40.5454 * CHOOSE(CONTROL!$C$15, $E$9, 100%, $G$9) + CHOOSE(CONTROL!$C$38, 0.0342, 0)</f>
        <v>40.579599999999999</v>
      </c>
      <c r="E540" s="46">
        <f>42.6692 * CHOOSE(CONTROL!$C$15, $E$9, 100%, $G$9) + CHOOSE(CONTROL!$C$38, 0.0342, 0)</f>
        <v>42.703399999999995</v>
      </c>
      <c r="F540" s="45">
        <f>42.6692 * CHOOSE(CONTROL!$C$15, $E$9, 100%, $G$9) + CHOOSE(CONTROL!$C$38, 0.0251, 0)</f>
        <v>42.694299999999998</v>
      </c>
      <c r="G540" s="14">
        <f>40.5516 * CHOOSE(CONTROL!$C$15, $E$9, 100%, $G$9) + CHOOSE(CONTROL!$C$38, 0.0342, 0)</f>
        <v>40.585799999999999</v>
      </c>
      <c r="H540" s="14">
        <f>40.5516 * CHOOSE(CONTROL!$C$15, $E$9, 100%, $G$9) + CHOOSE(CONTROL!$C$38, 0.0342, 0)</f>
        <v>40.585799999999999</v>
      </c>
      <c r="I540" s="14">
        <f>40.5532 * CHOOSE(CONTROL!$C$15, $E$9, 100%, $G$9) + CHOOSE(CONTROL!$C$38, 0.0342, 0)</f>
        <v>40.587399999999995</v>
      </c>
      <c r="J540" s="44">
        <f>293.3509</f>
        <v>293.35090000000002</v>
      </c>
    </row>
    <row r="541" spans="1:10" ht="15.75" x14ac:dyDescent="0.25">
      <c r="A541" s="32">
        <v>57404</v>
      </c>
      <c r="B541" s="14">
        <f>43.1698 * CHOOSE(CONTROL!$C$15, $E$9, 100%, $G$9) + CHOOSE(CONTROL!$C$38, 0.0251, 0)</f>
        <v>43.194900000000004</v>
      </c>
      <c r="C541" s="14">
        <f>40.8975 * CHOOSE(CONTROL!$C$15, $E$9, 100%, $G$9) + CHOOSE(CONTROL!$C$38, 0.0342, 0)</f>
        <v>40.931699999999999</v>
      </c>
      <c r="D541" s="14">
        <f>40.8897 * CHOOSE(CONTROL!$C$15, $E$9, 100%, $G$9) + CHOOSE(CONTROL!$C$38, 0.0342, 0)</f>
        <v>40.923899999999996</v>
      </c>
      <c r="E541" s="46">
        <f>43.0135 * CHOOSE(CONTROL!$C$15, $E$9, 100%, $G$9) + CHOOSE(CONTROL!$C$38, 0.0342, 0)</f>
        <v>43.047699999999999</v>
      </c>
      <c r="F541" s="45">
        <f>43.0135 * CHOOSE(CONTROL!$C$15, $E$9, 100%, $G$9) + CHOOSE(CONTROL!$C$38, 0.0251, 0)</f>
        <v>43.038600000000002</v>
      </c>
      <c r="G541" s="14">
        <f>40.896 * CHOOSE(CONTROL!$C$15, $E$9, 100%, $G$9) + CHOOSE(CONTROL!$C$38, 0.0342, 0)</f>
        <v>40.930199999999999</v>
      </c>
      <c r="H541" s="14">
        <f>40.896 * CHOOSE(CONTROL!$C$15, $E$9, 100%, $G$9) + CHOOSE(CONTROL!$C$38, 0.0342, 0)</f>
        <v>40.930199999999999</v>
      </c>
      <c r="I541" s="14">
        <f>40.8975 * CHOOSE(CONTROL!$C$15, $E$9, 100%, $G$9) + CHOOSE(CONTROL!$C$38, 0.0342, 0)</f>
        <v>40.931699999999999</v>
      </c>
      <c r="J541" s="44">
        <f>292.5354</f>
        <v>292.53539999999998</v>
      </c>
    </row>
    <row r="542" spans="1:10" ht="15.75" x14ac:dyDescent="0.25">
      <c r="A542" s="32">
        <v>57435</v>
      </c>
      <c r="B542" s="14">
        <f>42.3727 * CHOOSE(CONTROL!$C$15, $E$9, 100%, $G$9) + CHOOSE(CONTROL!$C$38, 0.0251, 0)</f>
        <v>42.397800000000004</v>
      </c>
      <c r="C542" s="14">
        <f>40.1005 * CHOOSE(CONTROL!$C$15, $E$9, 100%, $G$9) + CHOOSE(CONTROL!$C$38, 0.0342, 0)</f>
        <v>40.134699999999995</v>
      </c>
      <c r="D542" s="14">
        <f>40.0927 * CHOOSE(CONTROL!$C$15, $E$9, 100%, $G$9) + CHOOSE(CONTROL!$C$38, 0.0342, 0)</f>
        <v>40.126899999999999</v>
      </c>
      <c r="E542" s="46">
        <f>42.2165 * CHOOSE(CONTROL!$C$15, $E$9, 100%, $G$9) + CHOOSE(CONTROL!$C$38, 0.0342, 0)</f>
        <v>42.250700000000002</v>
      </c>
      <c r="F542" s="45">
        <f>42.2165 * CHOOSE(CONTROL!$C$15, $E$9, 100%, $G$9) + CHOOSE(CONTROL!$C$38, 0.0251, 0)</f>
        <v>42.241600000000005</v>
      </c>
      <c r="G542" s="14">
        <f>40.0989 * CHOOSE(CONTROL!$C$15, $E$9, 100%, $G$9) + CHOOSE(CONTROL!$C$38, 0.0342, 0)</f>
        <v>40.133099999999999</v>
      </c>
      <c r="H542" s="14">
        <f>40.0989 * CHOOSE(CONTROL!$C$15, $E$9, 100%, $G$9) + CHOOSE(CONTROL!$C$38, 0.0342, 0)</f>
        <v>40.133099999999999</v>
      </c>
      <c r="I542" s="14">
        <f>40.1005 * CHOOSE(CONTROL!$C$15, $E$9, 100%, $G$9) + CHOOSE(CONTROL!$C$38, 0.0342, 0)</f>
        <v>40.134699999999995</v>
      </c>
      <c r="J542" s="44">
        <f>307.9537</f>
        <v>307.95370000000003</v>
      </c>
    </row>
    <row r="543" spans="1:10" ht="15.75" x14ac:dyDescent="0.25">
      <c r="A543" s="32">
        <v>57465</v>
      </c>
      <c r="B543" s="14">
        <f>41.6004 * CHOOSE(CONTROL!$C$15, $E$9, 100%, $G$9) + CHOOSE(CONTROL!$C$38, 0.0251, 0)</f>
        <v>41.625500000000002</v>
      </c>
      <c r="C543" s="14">
        <f>39.3282 * CHOOSE(CONTROL!$C$15, $E$9, 100%, $G$9) + CHOOSE(CONTROL!$C$38, 0.0342, 0)</f>
        <v>39.362400000000001</v>
      </c>
      <c r="D543" s="14">
        <f>39.3204 * CHOOSE(CONTROL!$C$15, $E$9, 100%, $G$9) + CHOOSE(CONTROL!$C$38, 0.0342, 0)</f>
        <v>39.354599999999998</v>
      </c>
      <c r="E543" s="46">
        <f>41.4442 * CHOOSE(CONTROL!$C$15, $E$9, 100%, $G$9) + CHOOSE(CONTROL!$C$38, 0.0342, 0)</f>
        <v>41.478400000000001</v>
      </c>
      <c r="F543" s="45">
        <f>41.4442 * CHOOSE(CONTROL!$C$15, $E$9, 100%, $G$9) + CHOOSE(CONTROL!$C$38, 0.0251, 0)</f>
        <v>41.469300000000004</v>
      </c>
      <c r="G543" s="14">
        <f>39.3266 * CHOOSE(CONTROL!$C$15, $E$9, 100%, $G$9) + CHOOSE(CONTROL!$C$38, 0.0342, 0)</f>
        <v>39.360799999999998</v>
      </c>
      <c r="H543" s="14">
        <f>39.3266 * CHOOSE(CONTROL!$C$15, $E$9, 100%, $G$9) + CHOOSE(CONTROL!$C$38, 0.0342, 0)</f>
        <v>39.360799999999998</v>
      </c>
      <c r="I543" s="14">
        <f>39.3282 * CHOOSE(CONTROL!$C$15, $E$9, 100%, $G$9) + CHOOSE(CONTROL!$C$38, 0.0342, 0)</f>
        <v>39.362400000000001</v>
      </c>
      <c r="J543" s="44">
        <f>327.9476</f>
        <v>327.94760000000002</v>
      </c>
    </row>
    <row r="544" spans="1:10" ht="15.75" x14ac:dyDescent="0.25">
      <c r="A544" s="32">
        <v>57496</v>
      </c>
      <c r="B544" s="14">
        <f>40.7955 * CHOOSE(CONTROL!$C$15, $E$9, 100%, $G$9) + CHOOSE(CONTROL!$C$38, 0.0264, 0)</f>
        <v>40.821899999999999</v>
      </c>
      <c r="C544" s="14">
        <f>38.5232 * CHOOSE(CONTROL!$C$15, $E$9, 100%, $G$9) + CHOOSE(CONTROL!$C$38, 0.0354, 0)</f>
        <v>38.558600000000006</v>
      </c>
      <c r="D544" s="14">
        <f>38.5154 * CHOOSE(CONTROL!$C$15, $E$9, 100%, $G$9) + CHOOSE(CONTROL!$C$38, 0.0354, 0)</f>
        <v>38.550800000000002</v>
      </c>
      <c r="E544" s="46">
        <f>40.6392 * CHOOSE(CONTROL!$C$15, $E$9, 100%, $G$9) + CHOOSE(CONTROL!$C$38, 0.0354, 0)</f>
        <v>40.674600000000005</v>
      </c>
      <c r="F544" s="45">
        <f>40.6392 * CHOOSE(CONTROL!$C$15, $E$9, 100%, $G$9) + CHOOSE(CONTROL!$C$38, 0.0264, 0)</f>
        <v>40.665600000000005</v>
      </c>
      <c r="G544" s="14">
        <f>38.5216 * CHOOSE(CONTROL!$C$15, $E$9, 100%, $G$9) + CHOOSE(CONTROL!$C$38, 0.0354, 0)</f>
        <v>38.557000000000002</v>
      </c>
      <c r="H544" s="14">
        <f>38.5216 * CHOOSE(CONTROL!$C$15, $E$9, 100%, $G$9) + CHOOSE(CONTROL!$C$38, 0.0354, 0)</f>
        <v>38.557000000000002</v>
      </c>
      <c r="I544" s="14">
        <f>38.5232 * CHOOSE(CONTROL!$C$15, $E$9, 100%, $G$9) + CHOOSE(CONTROL!$C$38, 0.0354, 0)</f>
        <v>38.558600000000006</v>
      </c>
      <c r="J544" s="44">
        <f>338.9529</f>
        <v>338.9529</v>
      </c>
    </row>
    <row r="545" spans="1:10" ht="15.75" x14ac:dyDescent="0.25">
      <c r="A545" s="32">
        <v>57526</v>
      </c>
      <c r="B545" s="14">
        <f>40.2311 * CHOOSE(CONTROL!$C$15, $E$9, 100%, $G$9) + CHOOSE(CONTROL!$C$38, 0.0264, 0)</f>
        <v>40.2575</v>
      </c>
      <c r="C545" s="14">
        <f>37.9589 * CHOOSE(CONTROL!$C$15, $E$9, 100%, $G$9) + CHOOSE(CONTROL!$C$38, 0.0354, 0)</f>
        <v>37.994300000000003</v>
      </c>
      <c r="D545" s="14">
        <f>37.9511 * CHOOSE(CONTROL!$C$15, $E$9, 100%, $G$9) + CHOOSE(CONTROL!$C$38, 0.0354, 0)</f>
        <v>37.986499999999999</v>
      </c>
      <c r="E545" s="46">
        <f>40.0749 * CHOOSE(CONTROL!$C$15, $E$9, 100%, $G$9) + CHOOSE(CONTROL!$C$38, 0.0354, 0)</f>
        <v>40.110300000000002</v>
      </c>
      <c r="F545" s="45">
        <f>40.0749 * CHOOSE(CONTROL!$C$15, $E$9, 100%, $G$9) + CHOOSE(CONTROL!$C$38, 0.0264, 0)</f>
        <v>40.101300000000002</v>
      </c>
      <c r="G545" s="14">
        <f>37.9573 * CHOOSE(CONTROL!$C$15, $E$9, 100%, $G$9) + CHOOSE(CONTROL!$C$38, 0.0354, 0)</f>
        <v>37.992699999999999</v>
      </c>
      <c r="H545" s="14">
        <f>37.9573 * CHOOSE(CONTROL!$C$15, $E$9, 100%, $G$9) + CHOOSE(CONTROL!$C$38, 0.0354, 0)</f>
        <v>37.992699999999999</v>
      </c>
      <c r="I545" s="14">
        <f>37.9589 * CHOOSE(CONTROL!$C$15, $E$9, 100%, $G$9) + CHOOSE(CONTROL!$C$38, 0.0354, 0)</f>
        <v>37.994300000000003</v>
      </c>
      <c r="J545" s="44">
        <f>343.8368</f>
        <v>343.83679999999998</v>
      </c>
    </row>
    <row r="546" spans="1:10" ht="15.75" x14ac:dyDescent="0.25">
      <c r="A546" s="32">
        <v>57557</v>
      </c>
      <c r="B546" s="14">
        <f>39.9091 * CHOOSE(CONTROL!$C$15, $E$9, 100%, $G$9) + CHOOSE(CONTROL!$C$38, 0.0264, 0)</f>
        <v>39.935500000000005</v>
      </c>
      <c r="C546" s="14">
        <f>37.6368 * CHOOSE(CONTROL!$C$15, $E$9, 100%, $G$9) + CHOOSE(CONTROL!$C$38, 0.0354, 0)</f>
        <v>37.672200000000004</v>
      </c>
      <c r="D546" s="14">
        <f>37.629 * CHOOSE(CONTROL!$C$15, $E$9, 100%, $G$9) + CHOOSE(CONTROL!$C$38, 0.0354, 0)</f>
        <v>37.664400000000001</v>
      </c>
      <c r="E546" s="46">
        <f>39.7528 * CHOOSE(CONTROL!$C$15, $E$9, 100%, $G$9) + CHOOSE(CONTROL!$C$38, 0.0354, 0)</f>
        <v>39.788200000000003</v>
      </c>
      <c r="F546" s="45">
        <f>39.7528 * CHOOSE(CONTROL!$C$15, $E$9, 100%, $G$9) + CHOOSE(CONTROL!$C$38, 0.0264, 0)</f>
        <v>39.779200000000003</v>
      </c>
      <c r="G546" s="14">
        <f>37.6353 * CHOOSE(CONTROL!$C$15, $E$9, 100%, $G$9) + CHOOSE(CONTROL!$C$38, 0.0354, 0)</f>
        <v>37.670700000000004</v>
      </c>
      <c r="H546" s="14">
        <f>37.6353 * CHOOSE(CONTROL!$C$15, $E$9, 100%, $G$9) + CHOOSE(CONTROL!$C$38, 0.0354, 0)</f>
        <v>37.670700000000004</v>
      </c>
      <c r="I546" s="14">
        <f>37.6368 * CHOOSE(CONTROL!$C$15, $E$9, 100%, $G$9) + CHOOSE(CONTROL!$C$38, 0.0354, 0)</f>
        <v>37.672200000000004</v>
      </c>
      <c r="J546" s="44">
        <f>342.2288</f>
        <v>342.22879999999998</v>
      </c>
    </row>
    <row r="547" spans="1:10" ht="15.75" x14ac:dyDescent="0.25">
      <c r="A547" s="32">
        <v>57588</v>
      </c>
      <c r="B547" s="14">
        <f>40.068 * CHOOSE(CONTROL!$C$15, $E$9, 100%, $G$9) + CHOOSE(CONTROL!$C$38, 0.0264, 0)</f>
        <v>40.0944</v>
      </c>
      <c r="C547" s="14">
        <f>37.7958 * CHOOSE(CONTROL!$C$15, $E$9, 100%, $G$9) + CHOOSE(CONTROL!$C$38, 0.0354, 0)</f>
        <v>37.831200000000003</v>
      </c>
      <c r="D547" s="14">
        <f>37.788 * CHOOSE(CONTROL!$C$15, $E$9, 100%, $G$9) + CHOOSE(CONTROL!$C$38, 0.0354, 0)</f>
        <v>37.823399999999999</v>
      </c>
      <c r="E547" s="46">
        <f>39.9118 * CHOOSE(CONTROL!$C$15, $E$9, 100%, $G$9) + CHOOSE(CONTROL!$C$38, 0.0354, 0)</f>
        <v>39.947200000000002</v>
      </c>
      <c r="F547" s="45">
        <f>39.9118 * CHOOSE(CONTROL!$C$15, $E$9, 100%, $G$9) + CHOOSE(CONTROL!$C$38, 0.0264, 0)</f>
        <v>39.938200000000002</v>
      </c>
      <c r="G547" s="14">
        <f>37.7942 * CHOOSE(CONTROL!$C$15, $E$9, 100%, $G$9) + CHOOSE(CONTROL!$C$38, 0.0354, 0)</f>
        <v>37.829599999999999</v>
      </c>
      <c r="H547" s="14">
        <f>37.7942 * CHOOSE(CONTROL!$C$15, $E$9, 100%, $G$9) + CHOOSE(CONTROL!$C$38, 0.0354, 0)</f>
        <v>37.829599999999999</v>
      </c>
      <c r="I547" s="14">
        <f>37.7958 * CHOOSE(CONTROL!$C$15, $E$9, 100%, $G$9) + CHOOSE(CONTROL!$C$38, 0.0354, 0)</f>
        <v>37.831200000000003</v>
      </c>
      <c r="J547" s="44">
        <f>334.2619</f>
        <v>334.26190000000003</v>
      </c>
    </row>
    <row r="548" spans="1:10" ht="15.75" x14ac:dyDescent="0.25">
      <c r="A548" s="32">
        <v>57618</v>
      </c>
      <c r="B548" s="14">
        <f>40.4997 * CHOOSE(CONTROL!$C$15, $E$9, 100%, $G$9) + CHOOSE(CONTROL!$C$38, 0.0264, 0)</f>
        <v>40.5261</v>
      </c>
      <c r="C548" s="14">
        <f>38.2275 * CHOOSE(CONTROL!$C$15, $E$9, 100%, $G$9) + CHOOSE(CONTROL!$C$38, 0.0354, 0)</f>
        <v>38.262900000000002</v>
      </c>
      <c r="D548" s="14">
        <f>38.2197 * CHOOSE(CONTROL!$C$15, $E$9, 100%, $G$9) + CHOOSE(CONTROL!$C$38, 0.0354, 0)</f>
        <v>38.255100000000006</v>
      </c>
      <c r="E548" s="46">
        <f>40.3435 * CHOOSE(CONTROL!$C$15, $E$9, 100%, $G$9) + CHOOSE(CONTROL!$C$38, 0.0354, 0)</f>
        <v>40.378900000000002</v>
      </c>
      <c r="F548" s="45">
        <f>40.3435 * CHOOSE(CONTROL!$C$15, $E$9, 100%, $G$9) + CHOOSE(CONTROL!$C$38, 0.0264, 0)</f>
        <v>40.369900000000001</v>
      </c>
      <c r="G548" s="14">
        <f>38.2259 * CHOOSE(CONTROL!$C$15, $E$9, 100%, $G$9) + CHOOSE(CONTROL!$C$38, 0.0354, 0)</f>
        <v>38.261300000000006</v>
      </c>
      <c r="H548" s="14">
        <f>38.2259 * CHOOSE(CONTROL!$C$15, $E$9, 100%, $G$9) + CHOOSE(CONTROL!$C$38, 0.0354, 0)</f>
        <v>38.261300000000006</v>
      </c>
      <c r="I548" s="14">
        <f>38.2275 * CHOOSE(CONTROL!$C$15, $E$9, 100%, $G$9) + CHOOSE(CONTROL!$C$38, 0.0354, 0)</f>
        <v>38.262900000000002</v>
      </c>
      <c r="J548" s="44">
        <f>323.1516</f>
        <v>323.15159999999997</v>
      </c>
    </row>
    <row r="549" spans="1:10" ht="15.75" x14ac:dyDescent="0.25">
      <c r="A549" s="32">
        <v>57649</v>
      </c>
      <c r="B549" s="14">
        <f>40.8613 * CHOOSE(CONTROL!$C$15, $E$9, 100%, $G$9) + CHOOSE(CONTROL!$C$38, 0.0251, 0)</f>
        <v>40.886400000000002</v>
      </c>
      <c r="C549" s="14">
        <f>38.589 * CHOOSE(CONTROL!$C$15, $E$9, 100%, $G$9) + CHOOSE(CONTROL!$C$38, 0.0342, 0)</f>
        <v>38.623199999999997</v>
      </c>
      <c r="D549" s="14">
        <f>38.5812 * CHOOSE(CONTROL!$C$15, $E$9, 100%, $G$9) + CHOOSE(CONTROL!$C$38, 0.0342, 0)</f>
        <v>38.615400000000001</v>
      </c>
      <c r="E549" s="46">
        <f>40.705 * CHOOSE(CONTROL!$C$15, $E$9, 100%, $G$9) + CHOOSE(CONTROL!$C$38, 0.0342, 0)</f>
        <v>40.739199999999997</v>
      </c>
      <c r="F549" s="45">
        <f>40.705 * CHOOSE(CONTROL!$C$15, $E$9, 100%, $G$9) + CHOOSE(CONTROL!$C$38, 0.0251, 0)</f>
        <v>40.7301</v>
      </c>
      <c r="G549" s="14">
        <f>38.5875 * CHOOSE(CONTROL!$C$15, $E$9, 100%, $G$9) + CHOOSE(CONTROL!$C$38, 0.0342, 0)</f>
        <v>38.621699999999997</v>
      </c>
      <c r="H549" s="14">
        <f>38.5875 * CHOOSE(CONTROL!$C$15, $E$9, 100%, $G$9) + CHOOSE(CONTROL!$C$38, 0.0342, 0)</f>
        <v>38.621699999999997</v>
      </c>
      <c r="I549" s="14">
        <f>38.589 * CHOOSE(CONTROL!$C$15, $E$9, 100%, $G$9) + CHOOSE(CONTROL!$C$38, 0.0342, 0)</f>
        <v>38.623199999999997</v>
      </c>
      <c r="J549" s="44">
        <f>311.9767</f>
        <v>311.97669999999999</v>
      </c>
    </row>
    <row r="550" spans="1:10" ht="15.75" x14ac:dyDescent="0.25">
      <c r="A550" s="32">
        <v>57679</v>
      </c>
      <c r="B550" s="14">
        <f>41.163 * CHOOSE(CONTROL!$C$15, $E$9, 100%, $G$9) + CHOOSE(CONTROL!$C$38, 0.0251, 0)</f>
        <v>41.188099999999999</v>
      </c>
      <c r="C550" s="14">
        <f>38.8907 * CHOOSE(CONTROL!$C$15, $E$9, 100%, $G$9) + CHOOSE(CONTROL!$C$38, 0.0342, 0)</f>
        <v>38.924900000000001</v>
      </c>
      <c r="D550" s="14">
        <f>38.8829 * CHOOSE(CONTROL!$C$15, $E$9, 100%, $G$9) + CHOOSE(CONTROL!$C$38, 0.0342, 0)</f>
        <v>38.917099999999998</v>
      </c>
      <c r="E550" s="46">
        <f>41.0067 * CHOOSE(CONTROL!$C$15, $E$9, 100%, $G$9) + CHOOSE(CONTROL!$C$38, 0.0342, 0)</f>
        <v>41.040900000000001</v>
      </c>
      <c r="F550" s="45">
        <f>41.0067 * CHOOSE(CONTROL!$C$15, $E$9, 100%, $G$9) + CHOOSE(CONTROL!$C$38, 0.0251, 0)</f>
        <v>41.031800000000004</v>
      </c>
      <c r="G550" s="14">
        <f>38.8892 * CHOOSE(CONTROL!$C$15, $E$9, 100%, $G$9) + CHOOSE(CONTROL!$C$38, 0.0342, 0)</f>
        <v>38.923400000000001</v>
      </c>
      <c r="H550" s="14">
        <f>38.8892 * CHOOSE(CONTROL!$C$15, $E$9, 100%, $G$9) + CHOOSE(CONTROL!$C$38, 0.0342, 0)</f>
        <v>38.923400000000001</v>
      </c>
      <c r="I550" s="14">
        <f>38.8907 * CHOOSE(CONTROL!$C$15, $E$9, 100%, $G$9) + CHOOSE(CONTROL!$C$38, 0.0342, 0)</f>
        <v>38.924900000000001</v>
      </c>
      <c r="J550" s="44">
        <f>309.7537</f>
        <v>309.75369999999998</v>
      </c>
    </row>
    <row r="551" spans="1:10" ht="15.75" x14ac:dyDescent="0.25">
      <c r="A551" s="32">
        <v>57710</v>
      </c>
      <c r="B551" s="14">
        <f>42.0926 * CHOOSE(CONTROL!$C$15, $E$9, 100%, $G$9) + CHOOSE(CONTROL!$C$38, 0.0251, 0)</f>
        <v>42.117699999999999</v>
      </c>
      <c r="C551" s="14">
        <f>39.8204 * CHOOSE(CONTROL!$C$15, $E$9, 100%, $G$9) + CHOOSE(CONTROL!$C$38, 0.0342, 0)</f>
        <v>39.854599999999998</v>
      </c>
      <c r="D551" s="14">
        <f>39.8126 * CHOOSE(CONTROL!$C$15, $E$9, 100%, $G$9) + CHOOSE(CONTROL!$C$38, 0.0342, 0)</f>
        <v>39.846800000000002</v>
      </c>
      <c r="E551" s="46">
        <f>41.9364 * CHOOSE(CONTROL!$C$15, $E$9, 100%, $G$9) + CHOOSE(CONTROL!$C$38, 0.0342, 0)</f>
        <v>41.970599999999997</v>
      </c>
      <c r="F551" s="45">
        <f>41.9364 * CHOOSE(CONTROL!$C$15, $E$9, 100%, $G$9) + CHOOSE(CONTROL!$C$38, 0.0251, 0)</f>
        <v>41.961500000000001</v>
      </c>
      <c r="G551" s="14">
        <f>39.8188 * CHOOSE(CONTROL!$C$15, $E$9, 100%, $G$9) + CHOOSE(CONTROL!$C$38, 0.0342, 0)</f>
        <v>39.853000000000002</v>
      </c>
      <c r="H551" s="14">
        <f>39.8188 * CHOOSE(CONTROL!$C$15, $E$9, 100%, $G$9) + CHOOSE(CONTROL!$C$38, 0.0342, 0)</f>
        <v>39.853000000000002</v>
      </c>
      <c r="I551" s="14">
        <f>39.8204 * CHOOSE(CONTROL!$C$15, $E$9, 100%, $G$9) + CHOOSE(CONTROL!$C$38, 0.0342, 0)</f>
        <v>39.854599999999998</v>
      </c>
      <c r="J551" s="44">
        <f>300.5618</f>
        <v>300.56180000000001</v>
      </c>
    </row>
    <row r="552" spans="1:10" ht="15.75" x14ac:dyDescent="0.25">
      <c r="A552" s="32">
        <v>57741</v>
      </c>
      <c r="B552" s="14">
        <f>43.5089 * CHOOSE(CONTROL!$C$15, $E$9, 100%, $G$9) + CHOOSE(CONTROL!$C$38, 0.0251, 0)</f>
        <v>43.533999999999999</v>
      </c>
      <c r="C552" s="14">
        <f>41.2011 * CHOOSE(CONTROL!$C$15, $E$9, 100%, $G$9) + CHOOSE(CONTROL!$C$38, 0.0342, 0)</f>
        <v>41.235299999999995</v>
      </c>
      <c r="D552" s="14">
        <f>41.1933 * CHOOSE(CONTROL!$C$15, $E$9, 100%, $G$9) + CHOOSE(CONTROL!$C$38, 0.0342, 0)</f>
        <v>41.227499999999999</v>
      </c>
      <c r="E552" s="46">
        <f>43.3526 * CHOOSE(CONTROL!$C$15, $E$9, 100%, $G$9) + CHOOSE(CONTROL!$C$38, 0.0342, 0)</f>
        <v>43.386800000000001</v>
      </c>
      <c r="F552" s="45">
        <f>43.3526 * CHOOSE(CONTROL!$C$15, $E$9, 100%, $G$9) + CHOOSE(CONTROL!$C$38, 0.0251, 0)</f>
        <v>43.377700000000004</v>
      </c>
      <c r="G552" s="14">
        <f>41.1995 * CHOOSE(CONTROL!$C$15, $E$9, 100%, $G$9) + CHOOSE(CONTROL!$C$38, 0.0342, 0)</f>
        <v>41.233699999999999</v>
      </c>
      <c r="H552" s="14">
        <f>41.1995 * CHOOSE(CONTROL!$C$15, $E$9, 100%, $G$9) + CHOOSE(CONTROL!$C$38, 0.0342, 0)</f>
        <v>41.233699999999999</v>
      </c>
      <c r="I552" s="14">
        <f>41.2011 * CHOOSE(CONTROL!$C$15, $E$9, 100%, $G$9) + CHOOSE(CONTROL!$C$38, 0.0342, 0)</f>
        <v>41.235299999999995</v>
      </c>
      <c r="J552" s="44">
        <f>300.3448</f>
        <v>300.34480000000002</v>
      </c>
    </row>
    <row r="553" spans="1:10" ht="15.75" x14ac:dyDescent="0.25">
      <c r="A553" s="32">
        <v>57769</v>
      </c>
      <c r="B553" s="14">
        <f>43.8532 * CHOOSE(CONTROL!$C$15, $E$9, 100%, $G$9) + CHOOSE(CONTROL!$C$38, 0.0251, 0)</f>
        <v>43.878300000000003</v>
      </c>
      <c r="C553" s="14">
        <f>41.5454 * CHOOSE(CONTROL!$C$15, $E$9, 100%, $G$9) + CHOOSE(CONTROL!$C$38, 0.0342, 0)</f>
        <v>41.579599999999999</v>
      </c>
      <c r="D553" s="14">
        <f>41.5376 * CHOOSE(CONTROL!$C$15, $E$9, 100%, $G$9) + CHOOSE(CONTROL!$C$38, 0.0342, 0)</f>
        <v>41.571799999999996</v>
      </c>
      <c r="E553" s="46">
        <f>43.697 * CHOOSE(CONTROL!$C$15, $E$9, 100%, $G$9) + CHOOSE(CONTROL!$C$38, 0.0342, 0)</f>
        <v>43.731200000000001</v>
      </c>
      <c r="F553" s="45">
        <f>43.697 * CHOOSE(CONTROL!$C$15, $E$9, 100%, $G$9) + CHOOSE(CONTROL!$C$38, 0.0251, 0)</f>
        <v>43.722100000000005</v>
      </c>
      <c r="G553" s="14">
        <f>41.5439 * CHOOSE(CONTROL!$C$15, $E$9, 100%, $G$9) + CHOOSE(CONTROL!$C$38, 0.0342, 0)</f>
        <v>41.578099999999999</v>
      </c>
      <c r="H553" s="14">
        <f>41.5439 * CHOOSE(CONTROL!$C$15, $E$9, 100%, $G$9) + CHOOSE(CONTROL!$C$38, 0.0342, 0)</f>
        <v>41.578099999999999</v>
      </c>
      <c r="I553" s="14">
        <f>41.5454 * CHOOSE(CONTROL!$C$15, $E$9, 100%, $G$9) + CHOOSE(CONTROL!$C$38, 0.0342, 0)</f>
        <v>41.579599999999999</v>
      </c>
      <c r="J553" s="44">
        <f>299.5099</f>
        <v>299.50990000000002</v>
      </c>
    </row>
    <row r="554" spans="1:10" ht="15.75" x14ac:dyDescent="0.25">
      <c r="A554" s="32">
        <v>57800</v>
      </c>
      <c r="B554" s="14">
        <f>43.0562 * CHOOSE(CONTROL!$C$15, $E$9, 100%, $G$9) + CHOOSE(CONTROL!$C$38, 0.0251, 0)</f>
        <v>43.081299999999999</v>
      </c>
      <c r="C554" s="14">
        <f>40.7484 * CHOOSE(CONTROL!$C$15, $E$9, 100%, $G$9) + CHOOSE(CONTROL!$C$38, 0.0342, 0)</f>
        <v>40.782599999999995</v>
      </c>
      <c r="D554" s="14">
        <f>40.7406 * CHOOSE(CONTROL!$C$15, $E$9, 100%, $G$9) + CHOOSE(CONTROL!$C$38, 0.0342, 0)</f>
        <v>40.774799999999999</v>
      </c>
      <c r="E554" s="46">
        <f>42.8999 * CHOOSE(CONTROL!$C$15, $E$9, 100%, $G$9) + CHOOSE(CONTROL!$C$38, 0.0342, 0)</f>
        <v>42.934100000000001</v>
      </c>
      <c r="F554" s="45">
        <f>42.8999 * CHOOSE(CONTROL!$C$15, $E$9, 100%, $G$9) + CHOOSE(CONTROL!$C$38, 0.0251, 0)</f>
        <v>42.925000000000004</v>
      </c>
      <c r="G554" s="14">
        <f>40.7468 * CHOOSE(CONTROL!$C$15, $E$9, 100%, $G$9) + CHOOSE(CONTROL!$C$38, 0.0342, 0)</f>
        <v>40.780999999999999</v>
      </c>
      <c r="H554" s="14">
        <f>40.7468 * CHOOSE(CONTROL!$C$15, $E$9, 100%, $G$9) + CHOOSE(CONTROL!$C$38, 0.0342, 0)</f>
        <v>40.780999999999999</v>
      </c>
      <c r="I554" s="14">
        <f>40.7484 * CHOOSE(CONTROL!$C$15, $E$9, 100%, $G$9) + CHOOSE(CONTROL!$C$38, 0.0342, 0)</f>
        <v>40.782599999999995</v>
      </c>
      <c r="J554" s="44">
        <f>315.2958</f>
        <v>315.29579999999999</v>
      </c>
    </row>
    <row r="555" spans="1:10" ht="15.75" x14ac:dyDescent="0.25">
      <c r="A555" s="32">
        <v>57830</v>
      </c>
      <c r="B555" s="14">
        <f>42.2839 * CHOOSE(CONTROL!$C$15, $E$9, 100%, $G$9) + CHOOSE(CONTROL!$C$38, 0.0251, 0)</f>
        <v>42.309000000000005</v>
      </c>
      <c r="C555" s="14">
        <f>39.9761 * CHOOSE(CONTROL!$C$15, $E$9, 100%, $G$9) + CHOOSE(CONTROL!$C$38, 0.0342, 0)</f>
        <v>40.010300000000001</v>
      </c>
      <c r="D555" s="14">
        <f>39.9683 * CHOOSE(CONTROL!$C$15, $E$9, 100%, $G$9) + CHOOSE(CONTROL!$C$38, 0.0342, 0)</f>
        <v>40.002499999999998</v>
      </c>
      <c r="E555" s="46">
        <f>42.1276 * CHOOSE(CONTROL!$C$15, $E$9, 100%, $G$9) + CHOOSE(CONTROL!$C$38, 0.0342, 0)</f>
        <v>42.161799999999999</v>
      </c>
      <c r="F555" s="45">
        <f>42.1276 * CHOOSE(CONTROL!$C$15, $E$9, 100%, $G$9) + CHOOSE(CONTROL!$C$38, 0.0251, 0)</f>
        <v>42.152700000000003</v>
      </c>
      <c r="G555" s="14">
        <f>39.9745 * CHOOSE(CONTROL!$C$15, $E$9, 100%, $G$9) + CHOOSE(CONTROL!$C$38, 0.0342, 0)</f>
        <v>40.008699999999997</v>
      </c>
      <c r="H555" s="14">
        <f>39.9745 * CHOOSE(CONTROL!$C$15, $E$9, 100%, $G$9) + CHOOSE(CONTROL!$C$38, 0.0342, 0)</f>
        <v>40.008699999999997</v>
      </c>
      <c r="I555" s="14">
        <f>39.9761 * CHOOSE(CONTROL!$C$15, $E$9, 100%, $G$9) + CHOOSE(CONTROL!$C$38, 0.0342, 0)</f>
        <v>40.010300000000001</v>
      </c>
      <c r="J555" s="44">
        <f>335.7664</f>
        <v>335.76639999999998</v>
      </c>
    </row>
    <row r="556" spans="1:10" ht="15.75" x14ac:dyDescent="0.25">
      <c r="A556" s="32">
        <v>57861</v>
      </c>
      <c r="B556" s="14">
        <f>41.4789 * CHOOSE(CONTROL!$C$15, $E$9, 100%, $G$9) + CHOOSE(CONTROL!$C$38, 0.0264, 0)</f>
        <v>41.505300000000005</v>
      </c>
      <c r="C556" s="14">
        <f>39.1711 * CHOOSE(CONTROL!$C$15, $E$9, 100%, $G$9) + CHOOSE(CONTROL!$C$38, 0.0354, 0)</f>
        <v>39.206500000000005</v>
      </c>
      <c r="D556" s="14">
        <f>39.1633 * CHOOSE(CONTROL!$C$15, $E$9, 100%, $G$9) + CHOOSE(CONTROL!$C$38, 0.0354, 0)</f>
        <v>39.198700000000002</v>
      </c>
      <c r="E556" s="46">
        <f>41.3226 * CHOOSE(CONTROL!$C$15, $E$9, 100%, $G$9) + CHOOSE(CONTROL!$C$38, 0.0354, 0)</f>
        <v>41.358000000000004</v>
      </c>
      <c r="F556" s="45">
        <f>41.3226 * CHOOSE(CONTROL!$C$15, $E$9, 100%, $G$9) + CHOOSE(CONTROL!$C$38, 0.0264, 0)</f>
        <v>41.349000000000004</v>
      </c>
      <c r="G556" s="14">
        <f>39.1695 * CHOOSE(CONTROL!$C$15, $E$9, 100%, $G$9) + CHOOSE(CONTROL!$C$38, 0.0354, 0)</f>
        <v>39.204900000000002</v>
      </c>
      <c r="H556" s="14">
        <f>39.1695 * CHOOSE(CONTROL!$C$15, $E$9, 100%, $G$9) + CHOOSE(CONTROL!$C$38, 0.0354, 0)</f>
        <v>39.204900000000002</v>
      </c>
      <c r="I556" s="14">
        <f>39.1711 * CHOOSE(CONTROL!$C$15, $E$9, 100%, $G$9) + CHOOSE(CONTROL!$C$38, 0.0354, 0)</f>
        <v>39.206500000000005</v>
      </c>
      <c r="J556" s="44">
        <f>347.034</f>
        <v>347.03399999999999</v>
      </c>
    </row>
    <row r="557" spans="1:10" ht="15.75" x14ac:dyDescent="0.25">
      <c r="A557" s="32">
        <v>57891</v>
      </c>
      <c r="B557" s="14">
        <f>40.9146 * CHOOSE(CONTROL!$C$15, $E$9, 100%, $G$9) + CHOOSE(CONTROL!$C$38, 0.0264, 0)</f>
        <v>40.941000000000003</v>
      </c>
      <c r="C557" s="14">
        <f>38.6068 * CHOOSE(CONTROL!$C$15, $E$9, 100%, $G$9) + CHOOSE(CONTROL!$C$38, 0.0354, 0)</f>
        <v>38.642200000000003</v>
      </c>
      <c r="D557" s="14">
        <f>38.599 * CHOOSE(CONTROL!$C$15, $E$9, 100%, $G$9) + CHOOSE(CONTROL!$C$38, 0.0354, 0)</f>
        <v>38.634399999999999</v>
      </c>
      <c r="E557" s="46">
        <f>40.7583 * CHOOSE(CONTROL!$C$15, $E$9, 100%, $G$9) + CHOOSE(CONTROL!$C$38, 0.0354, 0)</f>
        <v>40.793700000000001</v>
      </c>
      <c r="F557" s="45">
        <f>40.7583 * CHOOSE(CONTROL!$C$15, $E$9, 100%, $G$9) + CHOOSE(CONTROL!$C$38, 0.0264, 0)</f>
        <v>40.784700000000001</v>
      </c>
      <c r="G557" s="14">
        <f>38.6052 * CHOOSE(CONTROL!$C$15, $E$9, 100%, $G$9) + CHOOSE(CONTROL!$C$38, 0.0354, 0)</f>
        <v>38.640600000000006</v>
      </c>
      <c r="H557" s="14">
        <f>38.6052 * CHOOSE(CONTROL!$C$15, $E$9, 100%, $G$9) + CHOOSE(CONTROL!$C$38, 0.0354, 0)</f>
        <v>38.640600000000006</v>
      </c>
      <c r="I557" s="14">
        <f>38.6068 * CHOOSE(CONTROL!$C$15, $E$9, 100%, $G$9) + CHOOSE(CONTROL!$C$38, 0.0354, 0)</f>
        <v>38.642200000000003</v>
      </c>
      <c r="J557" s="44">
        <f>352.0344</f>
        <v>352.03440000000001</v>
      </c>
    </row>
    <row r="558" spans="1:10" ht="15.75" x14ac:dyDescent="0.25">
      <c r="A558" s="32">
        <v>57922</v>
      </c>
      <c r="B558" s="14">
        <f>40.5925 * CHOOSE(CONTROL!$C$15, $E$9, 100%, $G$9) + CHOOSE(CONTROL!$C$38, 0.0264, 0)</f>
        <v>40.618900000000004</v>
      </c>
      <c r="C558" s="14">
        <f>38.2847 * CHOOSE(CONTROL!$C$15, $E$9, 100%, $G$9) + CHOOSE(CONTROL!$C$38, 0.0354, 0)</f>
        <v>38.320100000000004</v>
      </c>
      <c r="D558" s="14">
        <f>38.2769 * CHOOSE(CONTROL!$C$15, $E$9, 100%, $G$9) + CHOOSE(CONTROL!$C$38, 0.0354, 0)</f>
        <v>38.3123</v>
      </c>
      <c r="E558" s="46">
        <f>40.4363 * CHOOSE(CONTROL!$C$15, $E$9, 100%, $G$9) + CHOOSE(CONTROL!$C$38, 0.0354, 0)</f>
        <v>40.471700000000006</v>
      </c>
      <c r="F558" s="45">
        <f>40.4363 * CHOOSE(CONTROL!$C$15, $E$9, 100%, $G$9) + CHOOSE(CONTROL!$C$38, 0.0264, 0)</f>
        <v>40.462700000000005</v>
      </c>
      <c r="G558" s="14">
        <f>38.2832 * CHOOSE(CONTROL!$C$15, $E$9, 100%, $G$9) + CHOOSE(CONTROL!$C$38, 0.0354, 0)</f>
        <v>38.318600000000004</v>
      </c>
      <c r="H558" s="14">
        <f>38.2832 * CHOOSE(CONTROL!$C$15, $E$9, 100%, $G$9) + CHOOSE(CONTROL!$C$38, 0.0354, 0)</f>
        <v>38.318600000000004</v>
      </c>
      <c r="I558" s="14">
        <f>38.2847 * CHOOSE(CONTROL!$C$15, $E$9, 100%, $G$9) + CHOOSE(CONTROL!$C$38, 0.0354, 0)</f>
        <v>38.320100000000004</v>
      </c>
      <c r="J558" s="44">
        <f>350.388</f>
        <v>350.38799999999998</v>
      </c>
    </row>
    <row r="559" spans="1:10" ht="15.75" x14ac:dyDescent="0.25">
      <c r="A559" s="32">
        <v>57953</v>
      </c>
      <c r="B559" s="14">
        <f>40.7514 * CHOOSE(CONTROL!$C$15, $E$9, 100%, $G$9) + CHOOSE(CONTROL!$C$38, 0.0264, 0)</f>
        <v>40.777799999999999</v>
      </c>
      <c r="C559" s="14">
        <f>38.4437 * CHOOSE(CONTROL!$C$15, $E$9, 100%, $G$9) + CHOOSE(CONTROL!$C$38, 0.0354, 0)</f>
        <v>38.479100000000003</v>
      </c>
      <c r="D559" s="14">
        <f>38.4358 * CHOOSE(CONTROL!$C$15, $E$9, 100%, $G$9) + CHOOSE(CONTROL!$C$38, 0.0354, 0)</f>
        <v>38.471200000000003</v>
      </c>
      <c r="E559" s="46">
        <f>40.5952 * CHOOSE(CONTROL!$C$15, $E$9, 100%, $G$9) + CHOOSE(CONTROL!$C$38, 0.0354, 0)</f>
        <v>40.630600000000001</v>
      </c>
      <c r="F559" s="45">
        <f>40.5952 * CHOOSE(CONTROL!$C$15, $E$9, 100%, $G$9) + CHOOSE(CONTROL!$C$38, 0.0264, 0)</f>
        <v>40.621600000000001</v>
      </c>
      <c r="G559" s="14">
        <f>38.4421 * CHOOSE(CONTROL!$C$15, $E$9, 100%, $G$9) + CHOOSE(CONTROL!$C$38, 0.0354, 0)</f>
        <v>38.477500000000006</v>
      </c>
      <c r="H559" s="14">
        <f>38.4421 * CHOOSE(CONTROL!$C$15, $E$9, 100%, $G$9) + CHOOSE(CONTROL!$C$38, 0.0354, 0)</f>
        <v>38.477500000000006</v>
      </c>
      <c r="I559" s="14">
        <f>38.4437 * CHOOSE(CONTROL!$C$15, $E$9, 100%, $G$9) + CHOOSE(CONTROL!$C$38, 0.0354, 0)</f>
        <v>38.479100000000003</v>
      </c>
      <c r="J559" s="44">
        <f>342.2312</f>
        <v>342.2312</v>
      </c>
    </row>
    <row r="560" spans="1:10" ht="15.75" x14ac:dyDescent="0.25">
      <c r="A560" s="32">
        <v>57983</v>
      </c>
      <c r="B560" s="14">
        <f>41.1832 * CHOOSE(CONTROL!$C$15, $E$9, 100%, $G$9) + CHOOSE(CONTROL!$C$38, 0.0264, 0)</f>
        <v>41.209600000000002</v>
      </c>
      <c r="C560" s="14">
        <f>38.8754 * CHOOSE(CONTROL!$C$15, $E$9, 100%, $G$9) + CHOOSE(CONTROL!$C$38, 0.0354, 0)</f>
        <v>38.910800000000002</v>
      </c>
      <c r="D560" s="14">
        <f>38.8676 * CHOOSE(CONTROL!$C$15, $E$9, 100%, $G$9) + CHOOSE(CONTROL!$C$38, 0.0354, 0)</f>
        <v>38.903000000000006</v>
      </c>
      <c r="E560" s="46">
        <f>41.0269 * CHOOSE(CONTROL!$C$15, $E$9, 100%, $G$9) + CHOOSE(CONTROL!$C$38, 0.0354, 0)</f>
        <v>41.0623</v>
      </c>
      <c r="F560" s="45">
        <f>41.0269 * CHOOSE(CONTROL!$C$15, $E$9, 100%, $G$9) + CHOOSE(CONTROL!$C$38, 0.0264, 0)</f>
        <v>41.0533</v>
      </c>
      <c r="G560" s="14">
        <f>38.8738 * CHOOSE(CONTROL!$C$15, $E$9, 100%, $G$9) + CHOOSE(CONTROL!$C$38, 0.0354, 0)</f>
        <v>38.909200000000006</v>
      </c>
      <c r="H560" s="14">
        <f>38.8738 * CHOOSE(CONTROL!$C$15, $E$9, 100%, $G$9) + CHOOSE(CONTROL!$C$38, 0.0354, 0)</f>
        <v>38.909200000000006</v>
      </c>
      <c r="I560" s="14">
        <f>38.8754 * CHOOSE(CONTROL!$C$15, $E$9, 100%, $G$9) + CHOOSE(CONTROL!$C$38, 0.0354, 0)</f>
        <v>38.910800000000002</v>
      </c>
      <c r="J560" s="44">
        <f>330.856</f>
        <v>330.85599999999999</v>
      </c>
    </row>
    <row r="561" spans="1:10" ht="15.75" x14ac:dyDescent="0.25">
      <c r="A561" s="32">
        <v>58014</v>
      </c>
      <c r="B561" s="14">
        <f>41.5447 * CHOOSE(CONTROL!$C$15, $E$9, 100%, $G$9) + CHOOSE(CONTROL!$C$38, 0.0251, 0)</f>
        <v>41.569800000000001</v>
      </c>
      <c r="C561" s="14">
        <f>39.2369 * CHOOSE(CONTROL!$C$15, $E$9, 100%, $G$9) + CHOOSE(CONTROL!$C$38, 0.0342, 0)</f>
        <v>39.271099999999997</v>
      </c>
      <c r="D561" s="14">
        <f>39.2291 * CHOOSE(CONTROL!$C$15, $E$9, 100%, $G$9) + CHOOSE(CONTROL!$C$38, 0.0342, 0)</f>
        <v>39.263300000000001</v>
      </c>
      <c r="E561" s="46">
        <f>41.3885 * CHOOSE(CONTROL!$C$15, $E$9, 100%, $G$9) + CHOOSE(CONTROL!$C$38, 0.0342, 0)</f>
        <v>41.422699999999999</v>
      </c>
      <c r="F561" s="45">
        <f>41.3885 * CHOOSE(CONTROL!$C$15, $E$9, 100%, $G$9) + CHOOSE(CONTROL!$C$38, 0.0251, 0)</f>
        <v>41.413600000000002</v>
      </c>
      <c r="G561" s="14">
        <f>39.2354 * CHOOSE(CONTROL!$C$15, $E$9, 100%, $G$9) + CHOOSE(CONTROL!$C$38, 0.0342, 0)</f>
        <v>39.269599999999997</v>
      </c>
      <c r="H561" s="14">
        <f>39.2354 * CHOOSE(CONTROL!$C$15, $E$9, 100%, $G$9) + CHOOSE(CONTROL!$C$38, 0.0342, 0)</f>
        <v>39.269599999999997</v>
      </c>
      <c r="I561" s="14">
        <f>39.2369 * CHOOSE(CONTROL!$C$15, $E$9, 100%, $G$9) + CHOOSE(CONTROL!$C$38, 0.0342, 0)</f>
        <v>39.271099999999997</v>
      </c>
      <c r="J561" s="44">
        <f>319.4146</f>
        <v>319.41460000000001</v>
      </c>
    </row>
    <row r="562" spans="1:10" ht="15.75" x14ac:dyDescent="0.25">
      <c r="A562" s="32">
        <v>58044</v>
      </c>
      <c r="B562" s="14">
        <f>41.8464 * CHOOSE(CONTROL!$C$15, $E$9, 100%, $G$9) + CHOOSE(CONTROL!$C$38, 0.0251, 0)</f>
        <v>41.871500000000005</v>
      </c>
      <c r="C562" s="14">
        <f>39.5386 * CHOOSE(CONTROL!$C$15, $E$9, 100%, $G$9) + CHOOSE(CONTROL!$C$38, 0.0342, 0)</f>
        <v>39.572800000000001</v>
      </c>
      <c r="D562" s="14">
        <f>39.5308 * CHOOSE(CONTROL!$C$15, $E$9, 100%, $G$9) + CHOOSE(CONTROL!$C$38, 0.0342, 0)</f>
        <v>39.564999999999998</v>
      </c>
      <c r="E562" s="46">
        <f>41.6902 * CHOOSE(CONTROL!$C$15, $E$9, 100%, $G$9) + CHOOSE(CONTROL!$C$38, 0.0342, 0)</f>
        <v>41.724399999999996</v>
      </c>
      <c r="F562" s="45">
        <f>41.6902 * CHOOSE(CONTROL!$C$15, $E$9, 100%, $G$9) + CHOOSE(CONTROL!$C$38, 0.0251, 0)</f>
        <v>41.715299999999999</v>
      </c>
      <c r="G562" s="14">
        <f>39.5371 * CHOOSE(CONTROL!$C$15, $E$9, 100%, $G$9) + CHOOSE(CONTROL!$C$38, 0.0342, 0)</f>
        <v>39.571300000000001</v>
      </c>
      <c r="H562" s="14">
        <f>39.5371 * CHOOSE(CONTROL!$C$15, $E$9, 100%, $G$9) + CHOOSE(CONTROL!$C$38, 0.0342, 0)</f>
        <v>39.571300000000001</v>
      </c>
      <c r="I562" s="14">
        <f>39.5386 * CHOOSE(CONTROL!$C$15, $E$9, 100%, $G$9) + CHOOSE(CONTROL!$C$38, 0.0342, 0)</f>
        <v>39.572800000000001</v>
      </c>
      <c r="J562" s="44">
        <f>317.1387</f>
        <v>317.13869999999997</v>
      </c>
    </row>
    <row r="563" spans="1:10" ht="15.75" x14ac:dyDescent="0.25">
      <c r="A563" s="32">
        <v>58075</v>
      </c>
      <c r="B563" s="14">
        <f>42.7761 * CHOOSE(CONTROL!$C$15, $E$9, 100%, $G$9) + CHOOSE(CONTROL!$C$38, 0.0251, 0)</f>
        <v>42.801200000000001</v>
      </c>
      <c r="C563" s="14">
        <f>40.4683 * CHOOSE(CONTROL!$C$15, $E$9, 100%, $G$9) + CHOOSE(CONTROL!$C$38, 0.0342, 0)</f>
        <v>40.502499999999998</v>
      </c>
      <c r="D563" s="14">
        <f>40.4605 * CHOOSE(CONTROL!$C$15, $E$9, 100%, $G$9) + CHOOSE(CONTROL!$C$38, 0.0342, 0)</f>
        <v>40.494700000000002</v>
      </c>
      <c r="E563" s="46">
        <f>42.6198 * CHOOSE(CONTROL!$C$15, $E$9, 100%, $G$9) + CHOOSE(CONTROL!$C$38, 0.0342, 0)</f>
        <v>42.653999999999996</v>
      </c>
      <c r="F563" s="45">
        <f>42.6198 * CHOOSE(CONTROL!$C$15, $E$9, 100%, $G$9) + CHOOSE(CONTROL!$C$38, 0.0251, 0)</f>
        <v>42.6449</v>
      </c>
      <c r="G563" s="14">
        <f>40.4667 * CHOOSE(CONTROL!$C$15, $E$9, 100%, $G$9) + CHOOSE(CONTROL!$C$38, 0.0342, 0)</f>
        <v>40.500900000000001</v>
      </c>
      <c r="H563" s="14">
        <f>40.4667 * CHOOSE(CONTROL!$C$15, $E$9, 100%, $G$9) + CHOOSE(CONTROL!$C$38, 0.0342, 0)</f>
        <v>40.500900000000001</v>
      </c>
      <c r="I563" s="14">
        <f>40.4683 * CHOOSE(CONTROL!$C$15, $E$9, 100%, $G$9) + CHOOSE(CONTROL!$C$38, 0.0342, 0)</f>
        <v>40.502499999999998</v>
      </c>
      <c r="J563" s="44">
        <f>307.7276</f>
        <v>307.7276</v>
      </c>
    </row>
    <row r="564" spans="1:10" ht="15.75" x14ac:dyDescent="0.25">
      <c r="A564" s="32">
        <v>58106</v>
      </c>
      <c r="B564" s="14">
        <f>44.2038 * CHOOSE(CONTROL!$C$15, $E$9, 100%, $G$9) + CHOOSE(CONTROL!$C$38, 0.0251, 0)</f>
        <v>44.228900000000003</v>
      </c>
      <c r="C564" s="14">
        <f>41.8599 * CHOOSE(CONTROL!$C$15, $E$9, 100%, $G$9) + CHOOSE(CONTROL!$C$38, 0.0342, 0)</f>
        <v>41.894100000000002</v>
      </c>
      <c r="D564" s="14">
        <f>41.8521 * CHOOSE(CONTROL!$C$15, $E$9, 100%, $G$9) + CHOOSE(CONTROL!$C$38, 0.0342, 0)</f>
        <v>41.886299999999999</v>
      </c>
      <c r="E564" s="46">
        <f>44.0476 * CHOOSE(CONTROL!$C$15, $E$9, 100%, $G$9) + CHOOSE(CONTROL!$C$38, 0.0342, 0)</f>
        <v>44.081800000000001</v>
      </c>
      <c r="F564" s="45">
        <f>44.0476 * CHOOSE(CONTROL!$C$15, $E$9, 100%, $G$9) + CHOOSE(CONTROL!$C$38, 0.0251, 0)</f>
        <v>44.072700000000005</v>
      </c>
      <c r="G564" s="14">
        <f>41.8583 * CHOOSE(CONTROL!$C$15, $E$9, 100%, $G$9) + CHOOSE(CONTROL!$C$38, 0.0342, 0)</f>
        <v>41.892499999999998</v>
      </c>
      <c r="H564" s="14">
        <f>41.8583 * CHOOSE(CONTROL!$C$15, $E$9, 100%, $G$9) + CHOOSE(CONTROL!$C$38, 0.0342, 0)</f>
        <v>41.892499999999998</v>
      </c>
      <c r="I564" s="14">
        <f>41.8599 * CHOOSE(CONTROL!$C$15, $E$9, 100%, $G$9) + CHOOSE(CONTROL!$C$38, 0.0342, 0)</f>
        <v>41.894100000000002</v>
      </c>
      <c r="J564" s="44">
        <f>307.5054</f>
        <v>307.50540000000001</v>
      </c>
    </row>
    <row r="565" spans="1:10" ht="15.75" x14ac:dyDescent="0.25">
      <c r="A565" s="32">
        <v>58134</v>
      </c>
      <c r="B565" s="14">
        <f>44.5481 * CHOOSE(CONTROL!$C$15, $E$9, 100%, $G$9) + CHOOSE(CONTROL!$C$38, 0.0251, 0)</f>
        <v>44.5732</v>
      </c>
      <c r="C565" s="14">
        <f>42.2042 * CHOOSE(CONTROL!$C$15, $E$9, 100%, $G$9) + CHOOSE(CONTROL!$C$38, 0.0342, 0)</f>
        <v>42.238399999999999</v>
      </c>
      <c r="D565" s="14">
        <f>42.1964 * CHOOSE(CONTROL!$C$15, $E$9, 100%, $G$9) + CHOOSE(CONTROL!$C$38, 0.0342, 0)</f>
        <v>42.230599999999995</v>
      </c>
      <c r="E565" s="46">
        <f>44.3919 * CHOOSE(CONTROL!$C$15, $E$9, 100%, $G$9) + CHOOSE(CONTROL!$C$38, 0.0342, 0)</f>
        <v>44.426099999999998</v>
      </c>
      <c r="F565" s="45">
        <f>44.3919 * CHOOSE(CONTROL!$C$15, $E$9, 100%, $G$9) + CHOOSE(CONTROL!$C$38, 0.0251, 0)</f>
        <v>44.417000000000002</v>
      </c>
      <c r="G565" s="14">
        <f>42.2026 * CHOOSE(CONTROL!$C$15, $E$9, 100%, $G$9) + CHOOSE(CONTROL!$C$38, 0.0342, 0)</f>
        <v>42.236799999999995</v>
      </c>
      <c r="H565" s="14">
        <f>42.2026 * CHOOSE(CONTROL!$C$15, $E$9, 100%, $G$9) + CHOOSE(CONTROL!$C$38, 0.0342, 0)</f>
        <v>42.236799999999995</v>
      </c>
      <c r="I565" s="14">
        <f>42.2042 * CHOOSE(CONTROL!$C$15, $E$9, 100%, $G$9) + CHOOSE(CONTROL!$C$38, 0.0342, 0)</f>
        <v>42.238399999999999</v>
      </c>
      <c r="J565" s="44">
        <f>306.6507</f>
        <v>306.65069999999997</v>
      </c>
    </row>
    <row r="566" spans="1:10" ht="15.75" x14ac:dyDescent="0.25">
      <c r="A566" s="32">
        <v>58165</v>
      </c>
      <c r="B566" s="14">
        <f>43.7511 * CHOOSE(CONTROL!$C$15, $E$9, 100%, $G$9) + CHOOSE(CONTROL!$C$38, 0.0251, 0)</f>
        <v>43.776200000000003</v>
      </c>
      <c r="C566" s="14">
        <f>41.4072 * CHOOSE(CONTROL!$C$15, $E$9, 100%, $G$9) + CHOOSE(CONTROL!$C$38, 0.0342, 0)</f>
        <v>41.441400000000002</v>
      </c>
      <c r="D566" s="14">
        <f>41.3994 * CHOOSE(CONTROL!$C$15, $E$9, 100%, $G$9) + CHOOSE(CONTROL!$C$38, 0.0342, 0)</f>
        <v>41.433599999999998</v>
      </c>
      <c r="E566" s="46">
        <f>43.5948 * CHOOSE(CONTROL!$C$15, $E$9, 100%, $G$9) + CHOOSE(CONTROL!$C$38, 0.0342, 0)</f>
        <v>43.628999999999998</v>
      </c>
      <c r="F566" s="45">
        <f>43.5948 * CHOOSE(CONTROL!$C$15, $E$9, 100%, $G$9) + CHOOSE(CONTROL!$C$38, 0.0251, 0)</f>
        <v>43.619900000000001</v>
      </c>
      <c r="G566" s="14">
        <f>41.4056 * CHOOSE(CONTROL!$C$15, $E$9, 100%, $G$9) + CHOOSE(CONTROL!$C$38, 0.0342, 0)</f>
        <v>41.439799999999998</v>
      </c>
      <c r="H566" s="14">
        <f>41.4056 * CHOOSE(CONTROL!$C$15, $E$9, 100%, $G$9) + CHOOSE(CONTROL!$C$38, 0.0342, 0)</f>
        <v>41.439799999999998</v>
      </c>
      <c r="I566" s="14">
        <f>41.4072 * CHOOSE(CONTROL!$C$15, $E$9, 100%, $G$9) + CHOOSE(CONTROL!$C$38, 0.0342, 0)</f>
        <v>41.441400000000002</v>
      </c>
      <c r="J566" s="44">
        <f>322.813</f>
        <v>322.81299999999999</v>
      </c>
    </row>
    <row r="567" spans="1:10" ht="15.75" x14ac:dyDescent="0.25">
      <c r="A567" s="32">
        <v>58195</v>
      </c>
      <c r="B567" s="14">
        <f>42.9788 * CHOOSE(CONTROL!$C$15, $E$9, 100%, $G$9) + CHOOSE(CONTROL!$C$38, 0.0251, 0)</f>
        <v>43.003900000000002</v>
      </c>
      <c r="C567" s="14">
        <f>40.6349 * CHOOSE(CONTROL!$C$15, $E$9, 100%, $G$9) + CHOOSE(CONTROL!$C$38, 0.0342, 0)</f>
        <v>40.6691</v>
      </c>
      <c r="D567" s="14">
        <f>40.627 * CHOOSE(CONTROL!$C$15, $E$9, 100%, $G$9) + CHOOSE(CONTROL!$C$38, 0.0342, 0)</f>
        <v>40.661200000000001</v>
      </c>
      <c r="E567" s="46">
        <f>42.8225 * CHOOSE(CONTROL!$C$15, $E$9, 100%, $G$9) + CHOOSE(CONTROL!$C$38, 0.0342, 0)</f>
        <v>42.856699999999996</v>
      </c>
      <c r="F567" s="45">
        <f>42.8225 * CHOOSE(CONTROL!$C$15, $E$9, 100%, $G$9) + CHOOSE(CONTROL!$C$38, 0.0251, 0)</f>
        <v>42.8476</v>
      </c>
      <c r="G567" s="14">
        <f>40.6333 * CHOOSE(CONTROL!$C$15, $E$9, 100%, $G$9) + CHOOSE(CONTROL!$C$38, 0.0342, 0)</f>
        <v>40.667499999999997</v>
      </c>
      <c r="H567" s="14">
        <f>40.6333 * CHOOSE(CONTROL!$C$15, $E$9, 100%, $G$9) + CHOOSE(CONTROL!$C$38, 0.0342, 0)</f>
        <v>40.667499999999997</v>
      </c>
      <c r="I567" s="14">
        <f>40.6349 * CHOOSE(CONTROL!$C$15, $E$9, 100%, $G$9) + CHOOSE(CONTROL!$C$38, 0.0342, 0)</f>
        <v>40.6691</v>
      </c>
      <c r="J567" s="44">
        <f>343.7715</f>
        <v>343.7715</v>
      </c>
    </row>
    <row r="568" spans="1:10" ht="15.75" x14ac:dyDescent="0.25">
      <c r="A568" s="32">
        <v>58226</v>
      </c>
      <c r="B568" s="14">
        <f>42.1738 * CHOOSE(CONTROL!$C$15, $E$9, 100%, $G$9) + CHOOSE(CONTROL!$C$38, 0.0264, 0)</f>
        <v>42.200200000000002</v>
      </c>
      <c r="C568" s="14">
        <f>39.8299 * CHOOSE(CONTROL!$C$15, $E$9, 100%, $G$9) + CHOOSE(CONTROL!$C$38, 0.0354, 0)</f>
        <v>39.865300000000005</v>
      </c>
      <c r="D568" s="14">
        <f>39.8221 * CHOOSE(CONTROL!$C$15, $E$9, 100%, $G$9) + CHOOSE(CONTROL!$C$38, 0.0354, 0)</f>
        <v>39.857500000000002</v>
      </c>
      <c r="E568" s="46">
        <f>42.0176 * CHOOSE(CONTROL!$C$15, $E$9, 100%, $G$9) + CHOOSE(CONTROL!$C$38, 0.0354, 0)</f>
        <v>42.053000000000004</v>
      </c>
      <c r="F568" s="45">
        <f>42.0176 * CHOOSE(CONTROL!$C$15, $E$9, 100%, $G$9) + CHOOSE(CONTROL!$C$38, 0.0264, 0)</f>
        <v>42.044000000000004</v>
      </c>
      <c r="G568" s="14">
        <f>39.8283 * CHOOSE(CONTROL!$C$15, $E$9, 100%, $G$9) + CHOOSE(CONTROL!$C$38, 0.0354, 0)</f>
        <v>39.863700000000001</v>
      </c>
      <c r="H568" s="14">
        <f>39.8283 * CHOOSE(CONTROL!$C$15, $E$9, 100%, $G$9) + CHOOSE(CONTROL!$C$38, 0.0354, 0)</f>
        <v>39.863700000000001</v>
      </c>
      <c r="I568" s="14">
        <f>39.8299 * CHOOSE(CONTROL!$C$15, $E$9, 100%, $G$9) + CHOOSE(CONTROL!$C$38, 0.0354, 0)</f>
        <v>39.865300000000005</v>
      </c>
      <c r="J568" s="44">
        <f>355.3078</f>
        <v>355.30779999999999</v>
      </c>
    </row>
    <row r="569" spans="1:10" ht="15.75" x14ac:dyDescent="0.25">
      <c r="A569" s="32">
        <v>58256</v>
      </c>
      <c r="B569" s="14">
        <f>41.6095 * CHOOSE(CONTROL!$C$15, $E$9, 100%, $G$9) + CHOOSE(CONTROL!$C$38, 0.0264, 0)</f>
        <v>41.635899999999999</v>
      </c>
      <c r="C569" s="14">
        <f>39.2656 * CHOOSE(CONTROL!$C$15, $E$9, 100%, $G$9) + CHOOSE(CONTROL!$C$38, 0.0354, 0)</f>
        <v>39.301000000000002</v>
      </c>
      <c r="D569" s="14">
        <f>39.2577 * CHOOSE(CONTROL!$C$15, $E$9, 100%, $G$9) + CHOOSE(CONTROL!$C$38, 0.0354, 0)</f>
        <v>39.293100000000003</v>
      </c>
      <c r="E569" s="46">
        <f>41.4532 * CHOOSE(CONTROL!$C$15, $E$9, 100%, $G$9) + CHOOSE(CONTROL!$C$38, 0.0354, 0)</f>
        <v>41.488600000000005</v>
      </c>
      <c r="F569" s="45">
        <f>41.4532 * CHOOSE(CONTROL!$C$15, $E$9, 100%, $G$9) + CHOOSE(CONTROL!$C$38, 0.0264, 0)</f>
        <v>41.479600000000005</v>
      </c>
      <c r="G569" s="14">
        <f>39.264 * CHOOSE(CONTROL!$C$15, $E$9, 100%, $G$9) + CHOOSE(CONTROL!$C$38, 0.0354, 0)</f>
        <v>39.299400000000006</v>
      </c>
      <c r="H569" s="14">
        <f>39.264 * CHOOSE(CONTROL!$C$15, $E$9, 100%, $G$9) + CHOOSE(CONTROL!$C$38, 0.0354, 0)</f>
        <v>39.299400000000006</v>
      </c>
      <c r="I569" s="14">
        <f>39.2656 * CHOOSE(CONTROL!$C$15, $E$9, 100%, $G$9) + CHOOSE(CONTROL!$C$38, 0.0354, 0)</f>
        <v>39.301000000000002</v>
      </c>
      <c r="J569" s="44">
        <f>360.4274</f>
        <v>360.42739999999998</v>
      </c>
    </row>
    <row r="570" spans="1:10" ht="15.75" x14ac:dyDescent="0.25">
      <c r="A570" s="32">
        <v>58287</v>
      </c>
      <c r="B570" s="14">
        <f>41.2874 * CHOOSE(CONTROL!$C$15, $E$9, 100%, $G$9) + CHOOSE(CONTROL!$C$38, 0.0264, 0)</f>
        <v>41.313800000000001</v>
      </c>
      <c r="C570" s="14">
        <f>38.9435 * CHOOSE(CONTROL!$C$15, $E$9, 100%, $G$9) + CHOOSE(CONTROL!$C$38, 0.0354, 0)</f>
        <v>38.978900000000003</v>
      </c>
      <c r="D570" s="14">
        <f>38.9357 * CHOOSE(CONTROL!$C$15, $E$9, 100%, $G$9) + CHOOSE(CONTROL!$C$38, 0.0354, 0)</f>
        <v>38.9711</v>
      </c>
      <c r="E570" s="46">
        <f>41.1312 * CHOOSE(CONTROL!$C$15, $E$9, 100%, $G$9) + CHOOSE(CONTROL!$C$38, 0.0354, 0)</f>
        <v>41.166600000000003</v>
      </c>
      <c r="F570" s="45">
        <f>41.1312 * CHOOSE(CONTROL!$C$15, $E$9, 100%, $G$9) + CHOOSE(CONTROL!$C$38, 0.0264, 0)</f>
        <v>41.157600000000002</v>
      </c>
      <c r="G570" s="14">
        <f>38.9419 * CHOOSE(CONTROL!$C$15, $E$9, 100%, $G$9) + CHOOSE(CONTROL!$C$38, 0.0354, 0)</f>
        <v>38.9773</v>
      </c>
      <c r="H570" s="14">
        <f>38.9419 * CHOOSE(CONTROL!$C$15, $E$9, 100%, $G$9) + CHOOSE(CONTROL!$C$38, 0.0354, 0)</f>
        <v>38.9773</v>
      </c>
      <c r="I570" s="14">
        <f>38.9435 * CHOOSE(CONTROL!$C$15, $E$9, 100%, $G$9) + CHOOSE(CONTROL!$C$38, 0.0354, 0)</f>
        <v>38.978900000000003</v>
      </c>
      <c r="J570" s="44">
        <f>358.7418</f>
        <v>358.74180000000001</v>
      </c>
    </row>
    <row r="571" spans="1:10" ht="15.75" x14ac:dyDescent="0.25">
      <c r="A571" s="32">
        <v>58318</v>
      </c>
      <c r="B571" s="14">
        <f>41.4464 * CHOOSE(CONTROL!$C$15, $E$9, 100%, $G$9) + CHOOSE(CONTROL!$C$38, 0.0264, 0)</f>
        <v>41.472799999999999</v>
      </c>
      <c r="C571" s="14">
        <f>39.1024 * CHOOSE(CONTROL!$C$15, $E$9, 100%, $G$9) + CHOOSE(CONTROL!$C$38, 0.0354, 0)</f>
        <v>39.137800000000006</v>
      </c>
      <c r="D571" s="14">
        <f>39.0946 * CHOOSE(CONTROL!$C$15, $E$9, 100%, $G$9) + CHOOSE(CONTROL!$C$38, 0.0354, 0)</f>
        <v>39.130000000000003</v>
      </c>
      <c r="E571" s="46">
        <f>41.2901 * CHOOSE(CONTROL!$C$15, $E$9, 100%, $G$9) + CHOOSE(CONTROL!$C$38, 0.0354, 0)</f>
        <v>41.325500000000005</v>
      </c>
      <c r="F571" s="45">
        <f>41.2901 * CHOOSE(CONTROL!$C$15, $E$9, 100%, $G$9) + CHOOSE(CONTROL!$C$38, 0.0264, 0)</f>
        <v>41.316500000000005</v>
      </c>
      <c r="G571" s="14">
        <f>39.1009 * CHOOSE(CONTROL!$C$15, $E$9, 100%, $G$9) + CHOOSE(CONTROL!$C$38, 0.0354, 0)</f>
        <v>39.136300000000006</v>
      </c>
      <c r="H571" s="14">
        <f>39.1009 * CHOOSE(CONTROL!$C$15, $E$9, 100%, $G$9) + CHOOSE(CONTROL!$C$38, 0.0354, 0)</f>
        <v>39.136300000000006</v>
      </c>
      <c r="I571" s="14">
        <f>39.1024 * CHOOSE(CONTROL!$C$15, $E$9, 100%, $G$9) + CHOOSE(CONTROL!$C$38, 0.0354, 0)</f>
        <v>39.137800000000006</v>
      </c>
      <c r="J571" s="44">
        <f>350.3905</f>
        <v>350.39049999999997</v>
      </c>
    </row>
    <row r="572" spans="1:10" ht="15.75" x14ac:dyDescent="0.25">
      <c r="A572" s="32">
        <v>58348</v>
      </c>
      <c r="B572" s="14">
        <f>41.8781 * CHOOSE(CONTROL!$C$15, $E$9, 100%, $G$9) + CHOOSE(CONTROL!$C$38, 0.0264, 0)</f>
        <v>41.904500000000006</v>
      </c>
      <c r="C572" s="14">
        <f>39.5342 * CHOOSE(CONTROL!$C$15, $E$9, 100%, $G$9) + CHOOSE(CONTROL!$C$38, 0.0354, 0)</f>
        <v>39.569600000000001</v>
      </c>
      <c r="D572" s="14">
        <f>39.5263 * CHOOSE(CONTROL!$C$15, $E$9, 100%, $G$9) + CHOOSE(CONTROL!$C$38, 0.0354, 0)</f>
        <v>39.561700000000002</v>
      </c>
      <c r="E572" s="46">
        <f>41.7218 * CHOOSE(CONTROL!$C$15, $E$9, 100%, $G$9) + CHOOSE(CONTROL!$C$38, 0.0354, 0)</f>
        <v>41.757200000000005</v>
      </c>
      <c r="F572" s="45">
        <f>41.7218 * CHOOSE(CONTROL!$C$15, $E$9, 100%, $G$9) + CHOOSE(CONTROL!$C$38, 0.0264, 0)</f>
        <v>41.748200000000004</v>
      </c>
      <c r="G572" s="14">
        <f>39.5326 * CHOOSE(CONTROL!$C$15, $E$9, 100%, $G$9) + CHOOSE(CONTROL!$C$38, 0.0354, 0)</f>
        <v>39.568000000000005</v>
      </c>
      <c r="H572" s="14">
        <f>39.5326 * CHOOSE(CONTROL!$C$15, $E$9, 100%, $G$9) + CHOOSE(CONTROL!$C$38, 0.0354, 0)</f>
        <v>39.568000000000005</v>
      </c>
      <c r="I572" s="14">
        <f>39.5342 * CHOOSE(CONTROL!$C$15, $E$9, 100%, $G$9) + CHOOSE(CONTROL!$C$38, 0.0354, 0)</f>
        <v>39.569600000000001</v>
      </c>
      <c r="J572" s="44">
        <f>338.7441</f>
        <v>338.7441</v>
      </c>
    </row>
    <row r="573" spans="1:10" ht="15.75" x14ac:dyDescent="0.25">
      <c r="A573" s="32">
        <v>58379</v>
      </c>
      <c r="B573" s="14">
        <f>42.2396 * CHOOSE(CONTROL!$C$15, $E$9, 100%, $G$9) + CHOOSE(CONTROL!$C$38, 0.0251, 0)</f>
        <v>42.264700000000005</v>
      </c>
      <c r="C573" s="14">
        <f>39.8957 * CHOOSE(CONTROL!$C$15, $E$9, 100%, $G$9) + CHOOSE(CONTROL!$C$38, 0.0342, 0)</f>
        <v>39.929899999999996</v>
      </c>
      <c r="D573" s="14">
        <f>39.8879 * CHOOSE(CONTROL!$C$15, $E$9, 100%, $G$9) + CHOOSE(CONTROL!$C$38, 0.0342, 0)</f>
        <v>39.9221</v>
      </c>
      <c r="E573" s="46">
        <f>42.0834 * CHOOSE(CONTROL!$C$15, $E$9, 100%, $G$9) + CHOOSE(CONTROL!$C$38, 0.0342, 0)</f>
        <v>42.117599999999996</v>
      </c>
      <c r="F573" s="45">
        <f>42.0834 * CHOOSE(CONTROL!$C$15, $E$9, 100%, $G$9) + CHOOSE(CONTROL!$C$38, 0.0251, 0)</f>
        <v>42.108499999999999</v>
      </c>
      <c r="G573" s="14">
        <f>39.8942 * CHOOSE(CONTROL!$C$15, $E$9, 100%, $G$9) + CHOOSE(CONTROL!$C$38, 0.0342, 0)</f>
        <v>39.928399999999996</v>
      </c>
      <c r="H573" s="14">
        <f>39.8942 * CHOOSE(CONTROL!$C$15, $E$9, 100%, $G$9) + CHOOSE(CONTROL!$C$38, 0.0342, 0)</f>
        <v>39.928399999999996</v>
      </c>
      <c r="I573" s="14">
        <f>39.8957 * CHOOSE(CONTROL!$C$15, $E$9, 100%, $G$9) + CHOOSE(CONTROL!$C$38, 0.0342, 0)</f>
        <v>39.929899999999996</v>
      </c>
      <c r="J573" s="44">
        <f>327.03</f>
        <v>327.02999999999997</v>
      </c>
    </row>
    <row r="574" spans="1:10" ht="15.75" x14ac:dyDescent="0.25">
      <c r="A574" s="32">
        <v>58409</v>
      </c>
      <c r="B574" s="14">
        <f>42.5414 * CHOOSE(CONTROL!$C$15, $E$9, 100%, $G$9) + CHOOSE(CONTROL!$C$38, 0.0251, 0)</f>
        <v>42.566500000000005</v>
      </c>
      <c r="C574" s="14">
        <f>40.1974 * CHOOSE(CONTROL!$C$15, $E$9, 100%, $G$9) + CHOOSE(CONTROL!$C$38, 0.0342, 0)</f>
        <v>40.2316</v>
      </c>
      <c r="D574" s="14">
        <f>40.1896 * CHOOSE(CONTROL!$C$15, $E$9, 100%, $G$9) + CHOOSE(CONTROL!$C$38, 0.0342, 0)</f>
        <v>40.223799999999997</v>
      </c>
      <c r="E574" s="46">
        <f>42.3851 * CHOOSE(CONTROL!$C$15, $E$9, 100%, $G$9) + CHOOSE(CONTROL!$C$38, 0.0342, 0)</f>
        <v>42.4193</v>
      </c>
      <c r="F574" s="45">
        <f>42.3851 * CHOOSE(CONTROL!$C$15, $E$9, 100%, $G$9) + CHOOSE(CONTROL!$C$38, 0.0251, 0)</f>
        <v>42.410200000000003</v>
      </c>
      <c r="G574" s="14">
        <f>40.1959 * CHOOSE(CONTROL!$C$15, $E$9, 100%, $G$9) + CHOOSE(CONTROL!$C$38, 0.0342, 0)</f>
        <v>40.2301</v>
      </c>
      <c r="H574" s="14">
        <f>40.1959 * CHOOSE(CONTROL!$C$15, $E$9, 100%, $G$9) + CHOOSE(CONTROL!$C$38, 0.0342, 0)</f>
        <v>40.2301</v>
      </c>
      <c r="I574" s="14">
        <f>40.1974 * CHOOSE(CONTROL!$C$15, $E$9, 100%, $G$9) + CHOOSE(CONTROL!$C$38, 0.0342, 0)</f>
        <v>40.2316</v>
      </c>
      <c r="J574" s="44">
        <f>324.6998</f>
        <v>324.69979999999998</v>
      </c>
    </row>
    <row r="575" spans="1:10" ht="15.75" x14ac:dyDescent="0.25">
      <c r="A575" s="32">
        <v>58440</v>
      </c>
      <c r="B575" s="14">
        <f>43.471 * CHOOSE(CONTROL!$C$15, $E$9, 100%, $G$9) + CHOOSE(CONTROL!$C$38, 0.0251, 0)</f>
        <v>43.496099999999998</v>
      </c>
      <c r="C575" s="14">
        <f>41.1271 * CHOOSE(CONTROL!$C$15, $E$9, 100%, $G$9) + CHOOSE(CONTROL!$C$38, 0.0342, 0)</f>
        <v>41.161299999999997</v>
      </c>
      <c r="D575" s="14">
        <f>41.1193 * CHOOSE(CONTROL!$C$15, $E$9, 100%, $G$9) + CHOOSE(CONTROL!$C$38, 0.0342, 0)</f>
        <v>41.153500000000001</v>
      </c>
      <c r="E575" s="46">
        <f>43.3148 * CHOOSE(CONTROL!$C$15, $E$9, 100%, $G$9) + CHOOSE(CONTROL!$C$38, 0.0342, 0)</f>
        <v>43.348999999999997</v>
      </c>
      <c r="F575" s="45">
        <f>43.3148 * CHOOSE(CONTROL!$C$15, $E$9, 100%, $G$9) + CHOOSE(CONTROL!$C$38, 0.0251, 0)</f>
        <v>43.3399</v>
      </c>
      <c r="G575" s="14">
        <f>41.1255 * CHOOSE(CONTROL!$C$15, $E$9, 100%, $G$9) + CHOOSE(CONTROL!$C$38, 0.0342, 0)</f>
        <v>41.159700000000001</v>
      </c>
      <c r="H575" s="14">
        <f>41.1255 * CHOOSE(CONTROL!$C$15, $E$9, 100%, $G$9) + CHOOSE(CONTROL!$C$38, 0.0342, 0)</f>
        <v>41.159700000000001</v>
      </c>
      <c r="I575" s="14">
        <f>41.1271 * CHOOSE(CONTROL!$C$15, $E$9, 100%, $G$9) + CHOOSE(CONTROL!$C$38, 0.0342, 0)</f>
        <v>41.161299999999997</v>
      </c>
      <c r="J575" s="44">
        <f>315.0643</f>
        <v>315.0643</v>
      </c>
    </row>
    <row r="576" spans="1:10" ht="15.75" x14ac:dyDescent="0.25">
      <c r="A576" s="32">
        <v>58471</v>
      </c>
      <c r="B576" s="14">
        <f>44.9104 * CHOOSE(CONTROL!$C$15, $E$9, 100%, $G$9) + CHOOSE(CONTROL!$C$38, 0.0251, 0)</f>
        <v>44.935500000000005</v>
      </c>
      <c r="C576" s="14">
        <f>42.5297 * CHOOSE(CONTROL!$C$15, $E$9, 100%, $G$9) + CHOOSE(CONTROL!$C$38, 0.0342, 0)</f>
        <v>42.563899999999997</v>
      </c>
      <c r="D576" s="14">
        <f>42.5219 * CHOOSE(CONTROL!$C$15, $E$9, 100%, $G$9) + CHOOSE(CONTROL!$C$38, 0.0342, 0)</f>
        <v>42.556100000000001</v>
      </c>
      <c r="E576" s="46">
        <f>44.7542 * CHOOSE(CONTROL!$C$15, $E$9, 100%, $G$9) + CHOOSE(CONTROL!$C$38, 0.0342, 0)</f>
        <v>44.788399999999996</v>
      </c>
      <c r="F576" s="45">
        <f>44.7542 * CHOOSE(CONTROL!$C$15, $E$9, 100%, $G$9) + CHOOSE(CONTROL!$C$38, 0.0251, 0)</f>
        <v>44.779299999999999</v>
      </c>
      <c r="G576" s="14">
        <f>42.5282 * CHOOSE(CONTROL!$C$15, $E$9, 100%, $G$9) + CHOOSE(CONTROL!$C$38, 0.0342, 0)</f>
        <v>42.562399999999997</v>
      </c>
      <c r="H576" s="14">
        <f>42.5282 * CHOOSE(CONTROL!$C$15, $E$9, 100%, $G$9) + CHOOSE(CONTROL!$C$38, 0.0342, 0)</f>
        <v>42.562399999999997</v>
      </c>
      <c r="I576" s="14">
        <f>42.5297 * CHOOSE(CONTROL!$C$15, $E$9, 100%, $G$9) + CHOOSE(CONTROL!$C$38, 0.0342, 0)</f>
        <v>42.563899999999997</v>
      </c>
      <c r="J576" s="44">
        <f>314.8368</f>
        <v>314.83679999999998</v>
      </c>
    </row>
    <row r="577" spans="1:10" ht="15.75" x14ac:dyDescent="0.25">
      <c r="A577" s="32">
        <v>58499</v>
      </c>
      <c r="B577" s="14">
        <f>45.2547 * CHOOSE(CONTROL!$C$15, $E$9, 100%, $G$9) + CHOOSE(CONTROL!$C$38, 0.0251, 0)</f>
        <v>45.279800000000002</v>
      </c>
      <c r="C577" s="14">
        <f>42.874 * CHOOSE(CONTROL!$C$15, $E$9, 100%, $G$9) + CHOOSE(CONTROL!$C$38, 0.0342, 0)</f>
        <v>42.908200000000001</v>
      </c>
      <c r="D577" s="14">
        <f>42.8662 * CHOOSE(CONTROL!$C$15, $E$9, 100%, $G$9) + CHOOSE(CONTROL!$C$38, 0.0342, 0)</f>
        <v>42.900399999999998</v>
      </c>
      <c r="E577" s="46">
        <f>45.0985 * CHOOSE(CONTROL!$C$15, $E$9, 100%, $G$9) + CHOOSE(CONTROL!$C$38, 0.0342, 0)</f>
        <v>45.1327</v>
      </c>
      <c r="F577" s="45">
        <f>45.0985 * CHOOSE(CONTROL!$C$15, $E$9, 100%, $G$9) + CHOOSE(CONTROL!$C$38, 0.0251, 0)</f>
        <v>45.123600000000003</v>
      </c>
      <c r="G577" s="14">
        <f>42.8725 * CHOOSE(CONTROL!$C$15, $E$9, 100%, $G$9) + CHOOSE(CONTROL!$C$38, 0.0342, 0)</f>
        <v>42.906700000000001</v>
      </c>
      <c r="H577" s="14">
        <f>42.8725 * CHOOSE(CONTROL!$C$15, $E$9, 100%, $G$9) + CHOOSE(CONTROL!$C$38, 0.0342, 0)</f>
        <v>42.906700000000001</v>
      </c>
      <c r="I577" s="14">
        <f>42.874 * CHOOSE(CONTROL!$C$15, $E$9, 100%, $G$9) + CHOOSE(CONTROL!$C$38, 0.0342, 0)</f>
        <v>42.908200000000001</v>
      </c>
      <c r="J577" s="44">
        <f>313.9617</f>
        <v>313.96170000000001</v>
      </c>
    </row>
    <row r="578" spans="1:10" ht="15.75" x14ac:dyDescent="0.25">
      <c r="A578" s="32">
        <v>58531</v>
      </c>
      <c r="B578" s="14">
        <f>44.4577 * CHOOSE(CONTROL!$C$15, $E$9, 100%, $G$9) + CHOOSE(CONTROL!$C$38, 0.0251, 0)</f>
        <v>44.482800000000005</v>
      </c>
      <c r="C578" s="14">
        <f>42.077 * CHOOSE(CONTROL!$C$15, $E$9, 100%, $G$9) + CHOOSE(CONTROL!$C$38, 0.0342, 0)</f>
        <v>42.111199999999997</v>
      </c>
      <c r="D578" s="14">
        <f>42.0692 * CHOOSE(CONTROL!$C$15, $E$9, 100%, $G$9) + CHOOSE(CONTROL!$C$38, 0.0342, 0)</f>
        <v>42.103400000000001</v>
      </c>
      <c r="E578" s="46">
        <f>44.3014 * CHOOSE(CONTROL!$C$15, $E$9, 100%, $G$9) + CHOOSE(CONTROL!$C$38, 0.0342, 0)</f>
        <v>44.335599999999999</v>
      </c>
      <c r="F578" s="45">
        <f>44.3014 * CHOOSE(CONTROL!$C$15, $E$9, 100%, $G$9) + CHOOSE(CONTROL!$C$38, 0.0251, 0)</f>
        <v>44.326500000000003</v>
      </c>
      <c r="G578" s="14">
        <f>42.0754 * CHOOSE(CONTROL!$C$15, $E$9, 100%, $G$9) + CHOOSE(CONTROL!$C$38, 0.0342, 0)</f>
        <v>42.1096</v>
      </c>
      <c r="H578" s="14">
        <f>42.0754 * CHOOSE(CONTROL!$C$15, $E$9, 100%, $G$9) + CHOOSE(CONTROL!$C$38, 0.0342, 0)</f>
        <v>42.1096</v>
      </c>
      <c r="I578" s="14">
        <f>42.077 * CHOOSE(CONTROL!$C$15, $E$9, 100%, $G$9) + CHOOSE(CONTROL!$C$38, 0.0342, 0)</f>
        <v>42.111199999999997</v>
      </c>
      <c r="J578" s="44">
        <f>330.5093</f>
        <v>330.5093</v>
      </c>
    </row>
    <row r="579" spans="1:10" ht="15.75" x14ac:dyDescent="0.25">
      <c r="A579" s="32">
        <v>58561</v>
      </c>
      <c r="B579" s="14">
        <f>43.6854 * CHOOSE(CONTROL!$C$15, $E$9, 100%, $G$9) + CHOOSE(CONTROL!$C$38, 0.0251, 0)</f>
        <v>43.710500000000003</v>
      </c>
      <c r="C579" s="14">
        <f>41.3047 * CHOOSE(CONTROL!$C$15, $E$9, 100%, $G$9) + CHOOSE(CONTROL!$C$38, 0.0342, 0)</f>
        <v>41.338899999999995</v>
      </c>
      <c r="D579" s="14">
        <f>41.2969 * CHOOSE(CONTROL!$C$15, $E$9, 100%, $G$9) + CHOOSE(CONTROL!$C$38, 0.0342, 0)</f>
        <v>41.331099999999999</v>
      </c>
      <c r="E579" s="46">
        <f>43.5291 * CHOOSE(CONTROL!$C$15, $E$9, 100%, $G$9) + CHOOSE(CONTROL!$C$38, 0.0342, 0)</f>
        <v>43.563299999999998</v>
      </c>
      <c r="F579" s="45">
        <f>43.5291 * CHOOSE(CONTROL!$C$15, $E$9, 100%, $G$9) + CHOOSE(CONTROL!$C$38, 0.0251, 0)</f>
        <v>43.554200000000002</v>
      </c>
      <c r="G579" s="14">
        <f>41.3031 * CHOOSE(CONTROL!$C$15, $E$9, 100%, $G$9) + CHOOSE(CONTROL!$C$38, 0.0342, 0)</f>
        <v>41.337299999999999</v>
      </c>
      <c r="H579" s="14">
        <f>41.3031 * CHOOSE(CONTROL!$C$15, $E$9, 100%, $G$9) + CHOOSE(CONTROL!$C$38, 0.0342, 0)</f>
        <v>41.337299999999999</v>
      </c>
      <c r="I579" s="14">
        <f>41.3047 * CHOOSE(CONTROL!$C$15, $E$9, 100%, $G$9) + CHOOSE(CONTROL!$C$38, 0.0342, 0)</f>
        <v>41.338899999999995</v>
      </c>
      <c r="J579" s="44">
        <f>351.9676</f>
        <v>351.9676</v>
      </c>
    </row>
    <row r="580" spans="1:10" ht="15.75" x14ac:dyDescent="0.25">
      <c r="A580" s="32">
        <v>58592</v>
      </c>
      <c r="B580" s="14">
        <f>42.8804 * CHOOSE(CONTROL!$C$15, $E$9, 100%, $G$9) + CHOOSE(CONTROL!$C$38, 0.0264, 0)</f>
        <v>42.906800000000004</v>
      </c>
      <c r="C580" s="14">
        <f>40.4997 * CHOOSE(CONTROL!$C$15, $E$9, 100%, $G$9) + CHOOSE(CONTROL!$C$38, 0.0354, 0)</f>
        <v>40.5351</v>
      </c>
      <c r="D580" s="14">
        <f>40.4919 * CHOOSE(CONTROL!$C$15, $E$9, 100%, $G$9) + CHOOSE(CONTROL!$C$38, 0.0354, 0)</f>
        <v>40.527300000000004</v>
      </c>
      <c r="E580" s="46">
        <f>42.7242 * CHOOSE(CONTROL!$C$15, $E$9, 100%, $G$9) + CHOOSE(CONTROL!$C$38, 0.0354, 0)</f>
        <v>42.759600000000006</v>
      </c>
      <c r="F580" s="45">
        <f>42.7242 * CHOOSE(CONTROL!$C$15, $E$9, 100%, $G$9) + CHOOSE(CONTROL!$C$38, 0.0264, 0)</f>
        <v>42.750600000000006</v>
      </c>
      <c r="G580" s="14">
        <f>40.4982 * CHOOSE(CONTROL!$C$15, $E$9, 100%, $G$9) + CHOOSE(CONTROL!$C$38, 0.0354, 0)</f>
        <v>40.5336</v>
      </c>
      <c r="H580" s="14">
        <f>40.4982 * CHOOSE(CONTROL!$C$15, $E$9, 100%, $G$9) + CHOOSE(CONTROL!$C$38, 0.0354, 0)</f>
        <v>40.5336</v>
      </c>
      <c r="I580" s="14">
        <f>40.4997 * CHOOSE(CONTROL!$C$15, $E$9, 100%, $G$9) + CHOOSE(CONTROL!$C$38, 0.0354, 0)</f>
        <v>40.5351</v>
      </c>
      <c r="J580" s="44">
        <f>363.7789</f>
        <v>363.77890000000002</v>
      </c>
    </row>
    <row r="581" spans="1:10" ht="15.75" x14ac:dyDescent="0.25">
      <c r="A581" s="32">
        <v>58622</v>
      </c>
      <c r="B581" s="14">
        <f>42.3161 * CHOOSE(CONTROL!$C$15, $E$9, 100%, $G$9) + CHOOSE(CONTROL!$C$38, 0.0264, 0)</f>
        <v>42.342500000000001</v>
      </c>
      <c r="C581" s="14">
        <f>39.9354 * CHOOSE(CONTROL!$C$15, $E$9, 100%, $G$9) + CHOOSE(CONTROL!$C$38, 0.0354, 0)</f>
        <v>39.970800000000004</v>
      </c>
      <c r="D581" s="14">
        <f>39.9276 * CHOOSE(CONTROL!$C$15, $E$9, 100%, $G$9) + CHOOSE(CONTROL!$C$38, 0.0354, 0)</f>
        <v>39.963000000000001</v>
      </c>
      <c r="E581" s="46">
        <f>42.1598 * CHOOSE(CONTROL!$C$15, $E$9, 100%, $G$9) + CHOOSE(CONTROL!$C$38, 0.0354, 0)</f>
        <v>42.1952</v>
      </c>
      <c r="F581" s="45">
        <f>42.1598 * CHOOSE(CONTROL!$C$15, $E$9, 100%, $G$9) + CHOOSE(CONTROL!$C$38, 0.0264, 0)</f>
        <v>42.186199999999999</v>
      </c>
      <c r="G581" s="14">
        <f>39.9338 * CHOOSE(CONTROL!$C$15, $E$9, 100%, $G$9) + CHOOSE(CONTROL!$C$38, 0.0354, 0)</f>
        <v>39.969200000000001</v>
      </c>
      <c r="H581" s="14">
        <f>39.9338 * CHOOSE(CONTROL!$C$15, $E$9, 100%, $G$9) + CHOOSE(CONTROL!$C$38, 0.0354, 0)</f>
        <v>39.969200000000001</v>
      </c>
      <c r="I581" s="14">
        <f>39.9354 * CHOOSE(CONTROL!$C$15, $E$9, 100%, $G$9) + CHOOSE(CONTROL!$C$38, 0.0354, 0)</f>
        <v>39.970800000000004</v>
      </c>
      <c r="J581" s="44">
        <f>369.0206</f>
        <v>369.0206</v>
      </c>
    </row>
    <row r="582" spans="1:10" ht="15.75" x14ac:dyDescent="0.25">
      <c r="A582" s="32">
        <v>58653</v>
      </c>
      <c r="B582" s="14">
        <f>41.994 * CHOOSE(CONTROL!$C$15, $E$9, 100%, $G$9) + CHOOSE(CONTROL!$C$38, 0.0264, 0)</f>
        <v>42.020400000000002</v>
      </c>
      <c r="C582" s="14">
        <f>39.6133 * CHOOSE(CONTROL!$C$15, $E$9, 100%, $G$9) + CHOOSE(CONTROL!$C$38, 0.0354, 0)</f>
        <v>39.648700000000005</v>
      </c>
      <c r="D582" s="14">
        <f>39.6055 * CHOOSE(CONTROL!$C$15, $E$9, 100%, $G$9) + CHOOSE(CONTROL!$C$38, 0.0354, 0)</f>
        <v>39.640900000000002</v>
      </c>
      <c r="E582" s="46">
        <f>41.8378 * CHOOSE(CONTROL!$C$15, $E$9, 100%, $G$9) + CHOOSE(CONTROL!$C$38, 0.0354, 0)</f>
        <v>41.873200000000004</v>
      </c>
      <c r="F582" s="45">
        <f>41.8378 * CHOOSE(CONTROL!$C$15, $E$9, 100%, $G$9) + CHOOSE(CONTROL!$C$38, 0.0264, 0)</f>
        <v>41.864200000000004</v>
      </c>
      <c r="G582" s="14">
        <f>39.6118 * CHOOSE(CONTROL!$C$15, $E$9, 100%, $G$9) + CHOOSE(CONTROL!$C$38, 0.0354, 0)</f>
        <v>39.647200000000005</v>
      </c>
      <c r="H582" s="14">
        <f>39.6118 * CHOOSE(CONTROL!$C$15, $E$9, 100%, $G$9) + CHOOSE(CONTROL!$C$38, 0.0354, 0)</f>
        <v>39.647200000000005</v>
      </c>
      <c r="I582" s="14">
        <f>39.6133 * CHOOSE(CONTROL!$C$15, $E$9, 100%, $G$9) + CHOOSE(CONTROL!$C$38, 0.0354, 0)</f>
        <v>39.648700000000005</v>
      </c>
      <c r="J582" s="44">
        <f>367.2948</f>
        <v>367.29480000000001</v>
      </c>
    </row>
    <row r="583" spans="1:10" ht="15.75" x14ac:dyDescent="0.25">
      <c r="A583" s="32">
        <v>58684</v>
      </c>
      <c r="B583" s="14">
        <f>42.153 * CHOOSE(CONTROL!$C$15, $E$9, 100%, $G$9) + CHOOSE(CONTROL!$C$38, 0.0264, 0)</f>
        <v>42.179400000000001</v>
      </c>
      <c r="C583" s="14">
        <f>39.7723 * CHOOSE(CONTROL!$C$15, $E$9, 100%, $G$9) + CHOOSE(CONTROL!$C$38, 0.0354, 0)</f>
        <v>39.807700000000004</v>
      </c>
      <c r="D583" s="14">
        <f>39.7645 * CHOOSE(CONTROL!$C$15, $E$9, 100%, $G$9) + CHOOSE(CONTROL!$C$38, 0.0354, 0)</f>
        <v>39.799900000000001</v>
      </c>
      <c r="E583" s="46">
        <f>41.9967 * CHOOSE(CONTROL!$C$15, $E$9, 100%, $G$9) + CHOOSE(CONTROL!$C$38, 0.0354, 0)</f>
        <v>42.0321</v>
      </c>
      <c r="F583" s="45">
        <f>41.9967 * CHOOSE(CONTROL!$C$15, $E$9, 100%, $G$9) + CHOOSE(CONTROL!$C$38, 0.0264, 0)</f>
        <v>42.023099999999999</v>
      </c>
      <c r="G583" s="14">
        <f>39.7707 * CHOOSE(CONTROL!$C$15, $E$9, 100%, $G$9) + CHOOSE(CONTROL!$C$38, 0.0354, 0)</f>
        <v>39.806100000000001</v>
      </c>
      <c r="H583" s="14">
        <f>39.7707 * CHOOSE(CONTROL!$C$15, $E$9, 100%, $G$9) + CHOOSE(CONTROL!$C$38, 0.0354, 0)</f>
        <v>39.806100000000001</v>
      </c>
      <c r="I583" s="14">
        <f>39.7723 * CHOOSE(CONTROL!$C$15, $E$9, 100%, $G$9) + CHOOSE(CONTROL!$C$38, 0.0354, 0)</f>
        <v>39.807700000000004</v>
      </c>
      <c r="J583" s="44">
        <f>358.7443</f>
        <v>358.74430000000001</v>
      </c>
    </row>
    <row r="584" spans="1:10" ht="15.75" x14ac:dyDescent="0.25">
      <c r="A584" s="32">
        <v>58714</v>
      </c>
      <c r="B584" s="14">
        <f>42.5847 * CHOOSE(CONTROL!$C$15, $E$9, 100%, $G$9) + CHOOSE(CONTROL!$C$38, 0.0264, 0)</f>
        <v>42.6111</v>
      </c>
      <c r="C584" s="14">
        <f>40.204 * CHOOSE(CONTROL!$C$15, $E$9, 100%, $G$9) + CHOOSE(CONTROL!$C$38, 0.0354, 0)</f>
        <v>40.239400000000003</v>
      </c>
      <c r="D584" s="14">
        <f>40.1962 * CHOOSE(CONTROL!$C$15, $E$9, 100%, $G$9) + CHOOSE(CONTROL!$C$38, 0.0354, 0)</f>
        <v>40.2316</v>
      </c>
      <c r="E584" s="46">
        <f>42.4284 * CHOOSE(CONTROL!$C$15, $E$9, 100%, $G$9) + CHOOSE(CONTROL!$C$38, 0.0354, 0)</f>
        <v>42.463800000000006</v>
      </c>
      <c r="F584" s="45">
        <f>42.4284 * CHOOSE(CONTROL!$C$15, $E$9, 100%, $G$9) + CHOOSE(CONTROL!$C$38, 0.0264, 0)</f>
        <v>42.454800000000006</v>
      </c>
      <c r="G584" s="14">
        <f>40.2024 * CHOOSE(CONTROL!$C$15, $E$9, 100%, $G$9) + CHOOSE(CONTROL!$C$38, 0.0354, 0)</f>
        <v>40.2378</v>
      </c>
      <c r="H584" s="14">
        <f>40.2024 * CHOOSE(CONTROL!$C$15, $E$9, 100%, $G$9) + CHOOSE(CONTROL!$C$38, 0.0354, 0)</f>
        <v>40.2378</v>
      </c>
      <c r="I584" s="14">
        <f>40.204 * CHOOSE(CONTROL!$C$15, $E$9, 100%, $G$9) + CHOOSE(CONTROL!$C$38, 0.0354, 0)</f>
        <v>40.239400000000003</v>
      </c>
      <c r="J584" s="44">
        <f>346.8203</f>
        <v>346.82029999999997</v>
      </c>
    </row>
    <row r="585" spans="1:10" ht="15.75" x14ac:dyDescent="0.25">
      <c r="A585" s="32">
        <v>58745</v>
      </c>
      <c r="B585" s="14">
        <f>42.9463 * CHOOSE(CONTROL!$C$15, $E$9, 100%, $G$9) + CHOOSE(CONTROL!$C$38, 0.0251, 0)</f>
        <v>42.971400000000003</v>
      </c>
      <c r="C585" s="14">
        <f>40.5656 * CHOOSE(CONTROL!$C$15, $E$9, 100%, $G$9) + CHOOSE(CONTROL!$C$38, 0.0342, 0)</f>
        <v>40.599800000000002</v>
      </c>
      <c r="D585" s="14">
        <f>40.5578 * CHOOSE(CONTROL!$C$15, $E$9, 100%, $G$9) + CHOOSE(CONTROL!$C$38, 0.0342, 0)</f>
        <v>40.591999999999999</v>
      </c>
      <c r="E585" s="46">
        <f>42.79 * CHOOSE(CONTROL!$C$15, $E$9, 100%, $G$9) + CHOOSE(CONTROL!$C$38, 0.0342, 0)</f>
        <v>42.824199999999998</v>
      </c>
      <c r="F585" s="45">
        <f>42.79 * CHOOSE(CONTROL!$C$15, $E$9, 100%, $G$9) + CHOOSE(CONTROL!$C$38, 0.0251, 0)</f>
        <v>42.815100000000001</v>
      </c>
      <c r="G585" s="14">
        <f>40.564 * CHOOSE(CONTROL!$C$15, $E$9, 100%, $G$9) + CHOOSE(CONTROL!$C$38, 0.0342, 0)</f>
        <v>40.598199999999999</v>
      </c>
      <c r="H585" s="14">
        <f>40.564 * CHOOSE(CONTROL!$C$15, $E$9, 100%, $G$9) + CHOOSE(CONTROL!$C$38, 0.0342, 0)</f>
        <v>40.598199999999999</v>
      </c>
      <c r="I585" s="14">
        <f>40.5656 * CHOOSE(CONTROL!$C$15, $E$9, 100%, $G$9) + CHOOSE(CONTROL!$C$38, 0.0342, 0)</f>
        <v>40.599800000000002</v>
      </c>
      <c r="J585" s="44">
        <f>334.8269</f>
        <v>334.82690000000002</v>
      </c>
    </row>
    <row r="586" spans="1:10" ht="15.75" x14ac:dyDescent="0.25">
      <c r="A586" s="32">
        <v>58775</v>
      </c>
      <c r="B586" s="14">
        <f>43.248 * CHOOSE(CONTROL!$C$15, $E$9, 100%, $G$9) + CHOOSE(CONTROL!$C$38, 0.0251, 0)</f>
        <v>43.273099999999999</v>
      </c>
      <c r="C586" s="14">
        <f>40.8673 * CHOOSE(CONTROL!$C$15, $E$9, 100%, $G$9) + CHOOSE(CONTROL!$C$38, 0.0342, 0)</f>
        <v>40.901499999999999</v>
      </c>
      <c r="D586" s="14">
        <f>40.8595 * CHOOSE(CONTROL!$C$15, $E$9, 100%, $G$9) + CHOOSE(CONTROL!$C$38, 0.0342, 0)</f>
        <v>40.893699999999995</v>
      </c>
      <c r="E586" s="46">
        <f>43.0917 * CHOOSE(CONTROL!$C$15, $E$9, 100%, $G$9) + CHOOSE(CONTROL!$C$38, 0.0342, 0)</f>
        <v>43.125900000000001</v>
      </c>
      <c r="F586" s="45">
        <f>43.0917 * CHOOSE(CONTROL!$C$15, $E$9, 100%, $G$9) + CHOOSE(CONTROL!$C$38, 0.0251, 0)</f>
        <v>43.116800000000005</v>
      </c>
      <c r="G586" s="14">
        <f>40.8657 * CHOOSE(CONTROL!$C$15, $E$9, 100%, $G$9) + CHOOSE(CONTROL!$C$38, 0.0342, 0)</f>
        <v>40.899899999999995</v>
      </c>
      <c r="H586" s="14">
        <f>40.8657 * CHOOSE(CONTROL!$C$15, $E$9, 100%, $G$9) + CHOOSE(CONTROL!$C$38, 0.0342, 0)</f>
        <v>40.899899999999995</v>
      </c>
      <c r="I586" s="14">
        <f>40.8673 * CHOOSE(CONTROL!$C$15, $E$9, 100%, $G$9) + CHOOSE(CONTROL!$C$38, 0.0342, 0)</f>
        <v>40.901499999999999</v>
      </c>
      <c r="J586" s="44">
        <f>332.4411</f>
        <v>332.44110000000001</v>
      </c>
    </row>
    <row r="587" spans="1:10" ht="15.75" x14ac:dyDescent="0.25">
      <c r="A587" s="32">
        <v>58806</v>
      </c>
      <c r="B587" s="14">
        <f>44.1776 * CHOOSE(CONTROL!$C$15, $E$9, 100%, $G$9) + CHOOSE(CONTROL!$C$38, 0.0251, 0)</f>
        <v>44.2027</v>
      </c>
      <c r="C587" s="14">
        <f>41.7969 * CHOOSE(CONTROL!$C$15, $E$9, 100%, $G$9) + CHOOSE(CONTROL!$C$38, 0.0342, 0)</f>
        <v>41.831099999999999</v>
      </c>
      <c r="D587" s="14">
        <f>41.7891 * CHOOSE(CONTROL!$C$15, $E$9, 100%, $G$9) + CHOOSE(CONTROL!$C$38, 0.0342, 0)</f>
        <v>41.823299999999996</v>
      </c>
      <c r="E587" s="46">
        <f>44.0214 * CHOOSE(CONTROL!$C$15, $E$9, 100%, $G$9) + CHOOSE(CONTROL!$C$38, 0.0342, 0)</f>
        <v>44.055599999999998</v>
      </c>
      <c r="F587" s="45">
        <f>44.0214 * CHOOSE(CONTROL!$C$15, $E$9, 100%, $G$9) + CHOOSE(CONTROL!$C$38, 0.0251, 0)</f>
        <v>44.046500000000002</v>
      </c>
      <c r="G587" s="14">
        <f>41.7954 * CHOOSE(CONTROL!$C$15, $E$9, 100%, $G$9) + CHOOSE(CONTROL!$C$38, 0.0342, 0)</f>
        <v>41.829599999999999</v>
      </c>
      <c r="H587" s="14">
        <f>41.7954 * CHOOSE(CONTROL!$C$15, $E$9, 100%, $G$9) + CHOOSE(CONTROL!$C$38, 0.0342, 0)</f>
        <v>41.829599999999999</v>
      </c>
      <c r="I587" s="14">
        <f>41.7969 * CHOOSE(CONTROL!$C$15, $E$9, 100%, $G$9) + CHOOSE(CONTROL!$C$38, 0.0342, 0)</f>
        <v>41.831099999999999</v>
      </c>
      <c r="J587" s="44">
        <f>322.5759</f>
        <v>322.57589999999999</v>
      </c>
    </row>
    <row r="588" spans="1:10" ht="15.75" x14ac:dyDescent="0.25">
      <c r="A588" s="32">
        <v>58837</v>
      </c>
      <c r="B588" s="14">
        <f>45.6289 * CHOOSE(CONTROL!$C$15, $E$9, 100%, $G$9) + CHOOSE(CONTROL!$C$38, 0.0251, 0)</f>
        <v>45.654000000000003</v>
      </c>
      <c r="C588" s="14">
        <f>43.2108 * CHOOSE(CONTROL!$C$15, $E$9, 100%, $G$9) + CHOOSE(CONTROL!$C$38, 0.0342, 0)</f>
        <v>43.244999999999997</v>
      </c>
      <c r="D588" s="14">
        <f>43.203 * CHOOSE(CONTROL!$C$15, $E$9, 100%, $G$9) + CHOOSE(CONTROL!$C$38, 0.0342, 0)</f>
        <v>43.237200000000001</v>
      </c>
      <c r="E588" s="46">
        <f>45.4726 * CHOOSE(CONTROL!$C$15, $E$9, 100%, $G$9) + CHOOSE(CONTROL!$C$38, 0.0342, 0)</f>
        <v>45.506799999999998</v>
      </c>
      <c r="F588" s="45">
        <f>45.4726 * CHOOSE(CONTROL!$C$15, $E$9, 100%, $G$9) + CHOOSE(CONTROL!$C$38, 0.0251, 0)</f>
        <v>45.497700000000002</v>
      </c>
      <c r="G588" s="14">
        <f>43.2093 * CHOOSE(CONTROL!$C$15, $E$9, 100%, $G$9) + CHOOSE(CONTROL!$C$38, 0.0342, 0)</f>
        <v>43.243499999999997</v>
      </c>
      <c r="H588" s="14">
        <f>43.2093 * CHOOSE(CONTROL!$C$15, $E$9, 100%, $G$9) + CHOOSE(CONTROL!$C$38, 0.0342, 0)</f>
        <v>43.243499999999997</v>
      </c>
      <c r="I588" s="14">
        <f>43.2108 * CHOOSE(CONTROL!$C$15, $E$9, 100%, $G$9) + CHOOSE(CONTROL!$C$38, 0.0342, 0)</f>
        <v>43.244999999999997</v>
      </c>
      <c r="J588" s="44">
        <f>322.343</f>
        <v>322.34300000000002</v>
      </c>
    </row>
    <row r="589" spans="1:10" ht="15.75" x14ac:dyDescent="0.25">
      <c r="A589" s="32">
        <v>58865</v>
      </c>
      <c r="B589" s="14">
        <f>45.9732 * CHOOSE(CONTROL!$C$15, $E$9, 100%, $G$9) + CHOOSE(CONTROL!$C$38, 0.0251, 0)</f>
        <v>45.9983</v>
      </c>
      <c r="C589" s="14">
        <f>43.5551 * CHOOSE(CONTROL!$C$15, $E$9, 100%, $G$9) + CHOOSE(CONTROL!$C$38, 0.0342, 0)</f>
        <v>43.589300000000001</v>
      </c>
      <c r="D589" s="14">
        <f>43.5473 * CHOOSE(CONTROL!$C$15, $E$9, 100%, $G$9) + CHOOSE(CONTROL!$C$38, 0.0342, 0)</f>
        <v>43.581499999999998</v>
      </c>
      <c r="E589" s="46">
        <f>45.817 * CHOOSE(CONTROL!$C$15, $E$9, 100%, $G$9) + CHOOSE(CONTROL!$C$38, 0.0342, 0)</f>
        <v>45.851199999999999</v>
      </c>
      <c r="F589" s="45">
        <f>45.817 * CHOOSE(CONTROL!$C$15, $E$9, 100%, $G$9) + CHOOSE(CONTROL!$C$38, 0.0251, 0)</f>
        <v>45.842100000000002</v>
      </c>
      <c r="G589" s="14">
        <f>43.5536 * CHOOSE(CONTROL!$C$15, $E$9, 100%, $G$9) + CHOOSE(CONTROL!$C$38, 0.0342, 0)</f>
        <v>43.587800000000001</v>
      </c>
      <c r="H589" s="14">
        <f>43.5536 * CHOOSE(CONTROL!$C$15, $E$9, 100%, $G$9) + CHOOSE(CONTROL!$C$38, 0.0342, 0)</f>
        <v>43.587800000000001</v>
      </c>
      <c r="I589" s="14">
        <f>43.5551 * CHOOSE(CONTROL!$C$15, $E$9, 100%, $G$9) + CHOOSE(CONTROL!$C$38, 0.0342, 0)</f>
        <v>43.589300000000001</v>
      </c>
      <c r="J589" s="44">
        <f>321.447</f>
        <v>321.447</v>
      </c>
    </row>
    <row r="590" spans="1:10" ht="15.75" x14ac:dyDescent="0.25">
      <c r="A590" s="32">
        <v>58893</v>
      </c>
      <c r="B590" s="14">
        <f>45.1762 * CHOOSE(CONTROL!$C$15, $E$9, 100%, $G$9) + CHOOSE(CONTROL!$C$38, 0.0251, 0)</f>
        <v>45.201300000000003</v>
      </c>
      <c r="C590" s="14">
        <f>42.7581 * CHOOSE(CONTROL!$C$15, $E$9, 100%, $G$9) + CHOOSE(CONTROL!$C$38, 0.0342, 0)</f>
        <v>42.792299999999997</v>
      </c>
      <c r="D590" s="14">
        <f>42.7503 * CHOOSE(CONTROL!$C$15, $E$9, 100%, $G$9) + CHOOSE(CONTROL!$C$38, 0.0342, 0)</f>
        <v>42.784500000000001</v>
      </c>
      <c r="E590" s="46">
        <f>45.0199 * CHOOSE(CONTROL!$C$15, $E$9, 100%, $G$9) + CHOOSE(CONTROL!$C$38, 0.0342, 0)</f>
        <v>45.054099999999998</v>
      </c>
      <c r="F590" s="45">
        <f>45.0199 * CHOOSE(CONTROL!$C$15, $E$9, 100%, $G$9) + CHOOSE(CONTROL!$C$38, 0.0251, 0)</f>
        <v>45.045000000000002</v>
      </c>
      <c r="G590" s="14">
        <f>42.7566 * CHOOSE(CONTROL!$C$15, $E$9, 100%, $G$9) + CHOOSE(CONTROL!$C$38, 0.0342, 0)</f>
        <v>42.790799999999997</v>
      </c>
      <c r="H590" s="14">
        <f>42.7566 * CHOOSE(CONTROL!$C$15, $E$9, 100%, $G$9) + CHOOSE(CONTROL!$C$38, 0.0342, 0)</f>
        <v>42.790799999999997</v>
      </c>
      <c r="I590" s="14">
        <f>42.7581 * CHOOSE(CONTROL!$C$15, $E$9, 100%, $G$9) + CHOOSE(CONTROL!$C$38, 0.0342, 0)</f>
        <v>42.792299999999997</v>
      </c>
      <c r="J590" s="44">
        <f>338.3891</f>
        <v>338.38909999999998</v>
      </c>
    </row>
    <row r="591" spans="1:10" ht="15.75" x14ac:dyDescent="0.25">
      <c r="A591" s="32">
        <v>58926</v>
      </c>
      <c r="B591" s="14">
        <f>44.4039 * CHOOSE(CONTROL!$C$15, $E$9, 100%, $G$9) + CHOOSE(CONTROL!$C$38, 0.0251, 0)</f>
        <v>44.429000000000002</v>
      </c>
      <c r="C591" s="14">
        <f>41.9858 * CHOOSE(CONTROL!$C$15, $E$9, 100%, $G$9) + CHOOSE(CONTROL!$C$38, 0.0342, 0)</f>
        <v>42.019999999999996</v>
      </c>
      <c r="D591" s="14">
        <f>41.978 * CHOOSE(CONTROL!$C$15, $E$9, 100%, $G$9) + CHOOSE(CONTROL!$C$38, 0.0342, 0)</f>
        <v>42.0122</v>
      </c>
      <c r="E591" s="46">
        <f>44.2476 * CHOOSE(CONTROL!$C$15, $E$9, 100%, $G$9) + CHOOSE(CONTROL!$C$38, 0.0342, 0)</f>
        <v>44.281799999999997</v>
      </c>
      <c r="F591" s="45">
        <f>44.2476 * CHOOSE(CONTROL!$C$15, $E$9, 100%, $G$9) + CHOOSE(CONTROL!$C$38, 0.0251, 0)</f>
        <v>44.2727</v>
      </c>
      <c r="G591" s="14">
        <f>41.9842 * CHOOSE(CONTROL!$C$15, $E$9, 100%, $G$9) + CHOOSE(CONTROL!$C$38, 0.0342, 0)</f>
        <v>42.0184</v>
      </c>
      <c r="H591" s="14">
        <f>41.9842 * CHOOSE(CONTROL!$C$15, $E$9, 100%, $G$9) + CHOOSE(CONTROL!$C$38, 0.0342, 0)</f>
        <v>42.0184</v>
      </c>
      <c r="I591" s="14">
        <f>41.9858 * CHOOSE(CONTROL!$C$15, $E$9, 100%, $G$9) + CHOOSE(CONTROL!$C$38, 0.0342, 0)</f>
        <v>42.019999999999996</v>
      </c>
      <c r="J591" s="44">
        <f>360.359</f>
        <v>360.35899999999998</v>
      </c>
    </row>
    <row r="592" spans="1:10" ht="15.75" x14ac:dyDescent="0.25">
      <c r="A592" s="32">
        <v>58957</v>
      </c>
      <c r="B592" s="14">
        <f>43.5989 * CHOOSE(CONTROL!$C$15, $E$9, 100%, $G$9) + CHOOSE(CONTROL!$C$38, 0.0264, 0)</f>
        <v>43.625300000000003</v>
      </c>
      <c r="C592" s="14">
        <f>41.1808 * CHOOSE(CONTROL!$C$15, $E$9, 100%, $G$9) + CHOOSE(CONTROL!$C$38, 0.0354, 0)</f>
        <v>41.216200000000001</v>
      </c>
      <c r="D592" s="14">
        <f>41.173 * CHOOSE(CONTROL!$C$15, $E$9, 100%, $G$9) + CHOOSE(CONTROL!$C$38, 0.0354, 0)</f>
        <v>41.208400000000005</v>
      </c>
      <c r="E592" s="46">
        <f>43.4426 * CHOOSE(CONTROL!$C$15, $E$9, 100%, $G$9) + CHOOSE(CONTROL!$C$38, 0.0354, 0)</f>
        <v>43.478000000000002</v>
      </c>
      <c r="F592" s="45">
        <f>43.4426 * CHOOSE(CONTROL!$C$15, $E$9, 100%, $G$9) + CHOOSE(CONTROL!$C$38, 0.0264, 0)</f>
        <v>43.469000000000001</v>
      </c>
      <c r="G592" s="14">
        <f>41.1793 * CHOOSE(CONTROL!$C$15, $E$9, 100%, $G$9) + CHOOSE(CONTROL!$C$38, 0.0354, 0)</f>
        <v>41.214700000000001</v>
      </c>
      <c r="H592" s="14">
        <f>41.1793 * CHOOSE(CONTROL!$C$15, $E$9, 100%, $G$9) + CHOOSE(CONTROL!$C$38, 0.0354, 0)</f>
        <v>41.214700000000001</v>
      </c>
      <c r="I592" s="14">
        <f>41.1808 * CHOOSE(CONTROL!$C$15, $E$9, 100%, $G$9) + CHOOSE(CONTROL!$C$38, 0.0354, 0)</f>
        <v>41.216200000000001</v>
      </c>
      <c r="J592" s="44">
        <f>372.4519</f>
        <v>372.45190000000002</v>
      </c>
    </row>
    <row r="593" spans="1:10" ht="15.75" x14ac:dyDescent="0.25">
      <c r="A593" s="32">
        <v>58987</v>
      </c>
      <c r="B593" s="14">
        <f>43.0346 * CHOOSE(CONTROL!$C$15, $E$9, 100%, $G$9) + CHOOSE(CONTROL!$C$38, 0.0264, 0)</f>
        <v>43.061</v>
      </c>
      <c r="C593" s="14">
        <f>40.6165 * CHOOSE(CONTROL!$C$15, $E$9, 100%, $G$9) + CHOOSE(CONTROL!$C$38, 0.0354, 0)</f>
        <v>40.651900000000005</v>
      </c>
      <c r="D593" s="14">
        <f>40.6087 * CHOOSE(CONTROL!$C$15, $E$9, 100%, $G$9) + CHOOSE(CONTROL!$C$38, 0.0354, 0)</f>
        <v>40.644100000000002</v>
      </c>
      <c r="E593" s="46">
        <f>42.8783 * CHOOSE(CONTROL!$C$15, $E$9, 100%, $G$9) + CHOOSE(CONTROL!$C$38, 0.0354, 0)</f>
        <v>42.913700000000006</v>
      </c>
      <c r="F593" s="45">
        <f>42.8783 * CHOOSE(CONTROL!$C$15, $E$9, 100%, $G$9) + CHOOSE(CONTROL!$C$38, 0.0264, 0)</f>
        <v>42.904700000000005</v>
      </c>
      <c r="G593" s="14">
        <f>40.6149 * CHOOSE(CONTROL!$C$15, $E$9, 100%, $G$9) + CHOOSE(CONTROL!$C$38, 0.0354, 0)</f>
        <v>40.650300000000001</v>
      </c>
      <c r="H593" s="14">
        <f>40.6149 * CHOOSE(CONTROL!$C$15, $E$9, 100%, $G$9) + CHOOSE(CONTROL!$C$38, 0.0354, 0)</f>
        <v>40.650300000000001</v>
      </c>
      <c r="I593" s="14">
        <f>40.6165 * CHOOSE(CONTROL!$C$15, $E$9, 100%, $G$9) + CHOOSE(CONTROL!$C$38, 0.0354, 0)</f>
        <v>40.651900000000005</v>
      </c>
      <c r="J593" s="44">
        <f>377.8186</f>
        <v>377.8186</v>
      </c>
    </row>
    <row r="594" spans="1:10" ht="15.75" x14ac:dyDescent="0.25">
      <c r="A594" s="32">
        <v>59018</v>
      </c>
      <c r="B594" s="14">
        <f>42.7125 * CHOOSE(CONTROL!$C$15, $E$9, 100%, $G$9) + CHOOSE(CONTROL!$C$38, 0.0264, 0)</f>
        <v>42.738900000000001</v>
      </c>
      <c r="C594" s="14">
        <f>40.2945 * CHOOSE(CONTROL!$C$15, $E$9, 100%, $G$9) + CHOOSE(CONTROL!$C$38, 0.0354, 0)</f>
        <v>40.329900000000002</v>
      </c>
      <c r="D594" s="14">
        <f>40.2866 * CHOOSE(CONTROL!$C$15, $E$9, 100%, $G$9) + CHOOSE(CONTROL!$C$38, 0.0354, 0)</f>
        <v>40.322000000000003</v>
      </c>
      <c r="E594" s="46">
        <f>42.5563 * CHOOSE(CONTROL!$C$15, $E$9, 100%, $G$9) + CHOOSE(CONTROL!$C$38, 0.0354, 0)</f>
        <v>42.591700000000003</v>
      </c>
      <c r="F594" s="45">
        <f>42.5563 * CHOOSE(CONTROL!$C$15, $E$9, 100%, $G$9) + CHOOSE(CONTROL!$C$38, 0.0264, 0)</f>
        <v>42.582700000000003</v>
      </c>
      <c r="G594" s="14">
        <f>40.2929 * CHOOSE(CONTROL!$C$15, $E$9, 100%, $G$9) + CHOOSE(CONTROL!$C$38, 0.0354, 0)</f>
        <v>40.328300000000006</v>
      </c>
      <c r="H594" s="14">
        <f>40.2929 * CHOOSE(CONTROL!$C$15, $E$9, 100%, $G$9) + CHOOSE(CONTROL!$C$38, 0.0354, 0)</f>
        <v>40.328300000000006</v>
      </c>
      <c r="I594" s="14">
        <f>40.2945 * CHOOSE(CONTROL!$C$15, $E$9, 100%, $G$9) + CHOOSE(CONTROL!$C$38, 0.0354, 0)</f>
        <v>40.329900000000002</v>
      </c>
      <c r="J594" s="44">
        <f>376.0516</f>
        <v>376.05160000000001</v>
      </c>
    </row>
    <row r="595" spans="1:10" ht="15.75" x14ac:dyDescent="0.25">
      <c r="A595" s="32">
        <v>59049</v>
      </c>
      <c r="B595" s="14">
        <f>42.8714 * CHOOSE(CONTROL!$C$15, $E$9, 100%, $G$9) + CHOOSE(CONTROL!$C$38, 0.0264, 0)</f>
        <v>42.897800000000004</v>
      </c>
      <c r="C595" s="14">
        <f>40.4534 * CHOOSE(CONTROL!$C$15, $E$9, 100%, $G$9) + CHOOSE(CONTROL!$C$38, 0.0354, 0)</f>
        <v>40.488800000000005</v>
      </c>
      <c r="D595" s="14">
        <f>40.4456 * CHOOSE(CONTROL!$C$15, $E$9, 100%, $G$9) + CHOOSE(CONTROL!$C$38, 0.0354, 0)</f>
        <v>40.481000000000002</v>
      </c>
      <c r="E595" s="46">
        <f>42.7152 * CHOOSE(CONTROL!$C$15, $E$9, 100%, $G$9) + CHOOSE(CONTROL!$C$38, 0.0354, 0)</f>
        <v>42.750600000000006</v>
      </c>
      <c r="F595" s="45">
        <f>42.7152 * CHOOSE(CONTROL!$C$15, $E$9, 100%, $G$9) + CHOOSE(CONTROL!$C$38, 0.0264, 0)</f>
        <v>42.741600000000005</v>
      </c>
      <c r="G595" s="14">
        <f>40.4518 * CHOOSE(CONTROL!$C$15, $E$9, 100%, $G$9) + CHOOSE(CONTROL!$C$38, 0.0354, 0)</f>
        <v>40.487200000000001</v>
      </c>
      <c r="H595" s="14">
        <f>40.4518 * CHOOSE(CONTROL!$C$15, $E$9, 100%, $G$9) + CHOOSE(CONTROL!$C$38, 0.0354, 0)</f>
        <v>40.487200000000001</v>
      </c>
      <c r="I595" s="14">
        <f>40.4534 * CHOOSE(CONTROL!$C$15, $E$9, 100%, $G$9) + CHOOSE(CONTROL!$C$38, 0.0354, 0)</f>
        <v>40.488800000000005</v>
      </c>
      <c r="J595" s="44">
        <f>367.2973</f>
        <v>367.29730000000001</v>
      </c>
    </row>
    <row r="596" spans="1:10" ht="15.75" x14ac:dyDescent="0.25">
      <c r="A596" s="32">
        <v>59079</v>
      </c>
      <c r="B596" s="14">
        <f>43.3032 * CHOOSE(CONTROL!$C$15, $E$9, 100%, $G$9) + CHOOSE(CONTROL!$C$38, 0.0264, 0)</f>
        <v>43.329599999999999</v>
      </c>
      <c r="C596" s="14">
        <f>40.8851 * CHOOSE(CONTROL!$C$15, $E$9, 100%, $G$9) + CHOOSE(CONTROL!$C$38, 0.0354, 0)</f>
        <v>40.920500000000004</v>
      </c>
      <c r="D596" s="14">
        <f>40.8773 * CHOOSE(CONTROL!$C$15, $E$9, 100%, $G$9) + CHOOSE(CONTROL!$C$38, 0.0354, 0)</f>
        <v>40.912700000000001</v>
      </c>
      <c r="E596" s="46">
        <f>43.1469 * CHOOSE(CONTROL!$C$15, $E$9, 100%, $G$9) + CHOOSE(CONTROL!$C$38, 0.0354, 0)</f>
        <v>43.182300000000005</v>
      </c>
      <c r="F596" s="45">
        <f>43.1469 * CHOOSE(CONTROL!$C$15, $E$9, 100%, $G$9) + CHOOSE(CONTROL!$C$38, 0.0264, 0)</f>
        <v>43.173300000000005</v>
      </c>
      <c r="G596" s="14">
        <f>40.8835 * CHOOSE(CONTROL!$C$15, $E$9, 100%, $G$9) + CHOOSE(CONTROL!$C$38, 0.0354, 0)</f>
        <v>40.918900000000001</v>
      </c>
      <c r="H596" s="14">
        <f>40.8835 * CHOOSE(CONTROL!$C$15, $E$9, 100%, $G$9) + CHOOSE(CONTROL!$C$38, 0.0354, 0)</f>
        <v>40.918900000000001</v>
      </c>
      <c r="I596" s="14">
        <f>40.8851 * CHOOSE(CONTROL!$C$15, $E$9, 100%, $G$9) + CHOOSE(CONTROL!$C$38, 0.0354, 0)</f>
        <v>40.920500000000004</v>
      </c>
      <c r="J596" s="44">
        <f>355.089</f>
        <v>355.089</v>
      </c>
    </row>
    <row r="597" spans="1:10" ht="15.75" x14ac:dyDescent="0.25">
      <c r="A597" s="32">
        <v>59110</v>
      </c>
      <c r="B597" s="14">
        <f>43.6647 * CHOOSE(CONTROL!$C$15, $E$9, 100%, $G$9) + CHOOSE(CONTROL!$C$38, 0.0251, 0)</f>
        <v>43.689800000000005</v>
      </c>
      <c r="C597" s="14">
        <f>41.2467 * CHOOSE(CONTROL!$C$15, $E$9, 100%, $G$9) + CHOOSE(CONTROL!$C$38, 0.0342, 0)</f>
        <v>41.280899999999995</v>
      </c>
      <c r="D597" s="14">
        <f>41.2389 * CHOOSE(CONTROL!$C$15, $E$9, 100%, $G$9) + CHOOSE(CONTROL!$C$38, 0.0342, 0)</f>
        <v>41.273099999999999</v>
      </c>
      <c r="E597" s="46">
        <f>43.5085 * CHOOSE(CONTROL!$C$15, $E$9, 100%, $G$9) + CHOOSE(CONTROL!$C$38, 0.0342, 0)</f>
        <v>43.542699999999996</v>
      </c>
      <c r="F597" s="45">
        <f>43.5085 * CHOOSE(CONTROL!$C$15, $E$9, 100%, $G$9) + CHOOSE(CONTROL!$C$38, 0.0251, 0)</f>
        <v>43.5336</v>
      </c>
      <c r="G597" s="14">
        <f>41.2451 * CHOOSE(CONTROL!$C$15, $E$9, 100%, $G$9) + CHOOSE(CONTROL!$C$38, 0.0342, 0)</f>
        <v>41.279299999999999</v>
      </c>
      <c r="H597" s="14">
        <f>41.2451 * CHOOSE(CONTROL!$C$15, $E$9, 100%, $G$9) + CHOOSE(CONTROL!$C$38, 0.0342, 0)</f>
        <v>41.279299999999999</v>
      </c>
      <c r="I597" s="14">
        <f>41.2467 * CHOOSE(CONTROL!$C$15, $E$9, 100%, $G$9) + CHOOSE(CONTROL!$C$38, 0.0342, 0)</f>
        <v>41.280899999999995</v>
      </c>
      <c r="J597" s="44">
        <f>342.8096</f>
        <v>342.80959999999999</v>
      </c>
    </row>
    <row r="598" spans="1:10" ht="15.75" x14ac:dyDescent="0.25">
      <c r="A598" s="32">
        <v>59140</v>
      </c>
      <c r="B598" s="14">
        <f>43.9664 * CHOOSE(CONTROL!$C$15, $E$9, 100%, $G$9) + CHOOSE(CONTROL!$C$38, 0.0251, 0)</f>
        <v>43.991500000000002</v>
      </c>
      <c r="C598" s="14">
        <f>41.5484 * CHOOSE(CONTROL!$C$15, $E$9, 100%, $G$9) + CHOOSE(CONTROL!$C$38, 0.0342, 0)</f>
        <v>41.582599999999999</v>
      </c>
      <c r="D598" s="14">
        <f>41.5406 * CHOOSE(CONTROL!$C$15, $E$9, 100%, $G$9) + CHOOSE(CONTROL!$C$38, 0.0342, 0)</f>
        <v>41.574799999999996</v>
      </c>
      <c r="E598" s="46">
        <f>43.8102 * CHOOSE(CONTROL!$C$15, $E$9, 100%, $G$9) + CHOOSE(CONTROL!$C$38, 0.0342, 0)</f>
        <v>43.8444</v>
      </c>
      <c r="F598" s="45">
        <f>43.8102 * CHOOSE(CONTROL!$C$15, $E$9, 100%, $G$9) + CHOOSE(CONTROL!$C$38, 0.0251, 0)</f>
        <v>43.835300000000004</v>
      </c>
      <c r="G598" s="14">
        <f>41.5468 * CHOOSE(CONTROL!$C$15, $E$9, 100%, $G$9) + CHOOSE(CONTROL!$C$38, 0.0342, 0)</f>
        <v>41.580999999999996</v>
      </c>
      <c r="H598" s="14">
        <f>41.5468 * CHOOSE(CONTROL!$C$15, $E$9, 100%, $G$9) + CHOOSE(CONTROL!$C$38, 0.0342, 0)</f>
        <v>41.580999999999996</v>
      </c>
      <c r="I598" s="14">
        <f>41.5484 * CHOOSE(CONTROL!$C$15, $E$9, 100%, $G$9) + CHOOSE(CONTROL!$C$38, 0.0342, 0)</f>
        <v>41.582599999999999</v>
      </c>
      <c r="J598" s="44">
        <f>340.367</f>
        <v>340.36700000000002</v>
      </c>
    </row>
    <row r="599" spans="1:10" ht="15.75" x14ac:dyDescent="0.25">
      <c r="A599" s="32">
        <v>59171</v>
      </c>
      <c r="B599" s="14">
        <f>44.8961 * CHOOSE(CONTROL!$C$15, $E$9, 100%, $G$9) + CHOOSE(CONTROL!$C$38, 0.0251, 0)</f>
        <v>44.921199999999999</v>
      </c>
      <c r="C599" s="14">
        <f>42.478 * CHOOSE(CONTROL!$C$15, $E$9, 100%, $G$9) + CHOOSE(CONTROL!$C$38, 0.0342, 0)</f>
        <v>42.5122</v>
      </c>
      <c r="D599" s="14">
        <f>42.4702 * CHOOSE(CONTROL!$C$15, $E$9, 100%, $G$9) + CHOOSE(CONTROL!$C$38, 0.0342, 0)</f>
        <v>42.504399999999997</v>
      </c>
      <c r="E599" s="46">
        <f>44.7398 * CHOOSE(CONTROL!$C$15, $E$9, 100%, $G$9) + CHOOSE(CONTROL!$C$38, 0.0342, 0)</f>
        <v>44.774000000000001</v>
      </c>
      <c r="F599" s="45">
        <f>44.7398 * CHOOSE(CONTROL!$C$15, $E$9, 100%, $G$9) + CHOOSE(CONTROL!$C$38, 0.0251, 0)</f>
        <v>44.764900000000004</v>
      </c>
      <c r="G599" s="14">
        <f>42.4765 * CHOOSE(CONTROL!$C$15, $E$9, 100%, $G$9) + CHOOSE(CONTROL!$C$38, 0.0342, 0)</f>
        <v>42.5107</v>
      </c>
      <c r="H599" s="14">
        <f>42.4765 * CHOOSE(CONTROL!$C$15, $E$9, 100%, $G$9) + CHOOSE(CONTROL!$C$38, 0.0342, 0)</f>
        <v>42.5107</v>
      </c>
      <c r="I599" s="14">
        <f>42.478 * CHOOSE(CONTROL!$C$15, $E$9, 100%, $G$9) + CHOOSE(CONTROL!$C$38, 0.0342, 0)</f>
        <v>42.5122</v>
      </c>
      <c r="J599" s="44">
        <f>330.2666</f>
        <v>330.26659999999998</v>
      </c>
    </row>
    <row r="600" spans="1:10" ht="15.75" x14ac:dyDescent="0.25">
      <c r="A600" s="32">
        <v>59202</v>
      </c>
      <c r="B600" s="14">
        <f>41.2937 * CHOOSE(CONTROL!$C$15, $E$9, 100%, $G$9) + CHOOSE(CONTROL!$C$38, 0.0251, 0)</f>
        <v>41.318800000000003</v>
      </c>
      <c r="C600" s="14">
        <f>39.0217 * CHOOSE(CONTROL!$C$15, $E$9, 100%, $G$9) + CHOOSE(CONTROL!$C$38, 0.0342, 0)</f>
        <v>39.055900000000001</v>
      </c>
      <c r="D600" s="14">
        <f>39.0139 * CHOOSE(CONTROL!$C$15, $E$9, 100%, $G$9) + CHOOSE(CONTROL!$C$38, 0.0342, 0)</f>
        <v>39.048099999999998</v>
      </c>
      <c r="E600" s="46">
        <f>41.1374 * CHOOSE(CONTROL!$C$15, $E$9, 100%, $G$9) + CHOOSE(CONTROL!$C$38, 0.0342, 0)</f>
        <v>41.171599999999998</v>
      </c>
      <c r="F600" s="45">
        <f>41.1374 * CHOOSE(CONTROL!$C$15, $E$9, 100%, $G$9) + CHOOSE(CONTROL!$C$38, 0.0251, 0)</f>
        <v>41.162500000000001</v>
      </c>
      <c r="G600" s="14">
        <f>39.0202 * CHOOSE(CONTROL!$C$15, $E$9, 100%, $G$9) + CHOOSE(CONTROL!$C$38, 0.0342, 0)</f>
        <v>39.054400000000001</v>
      </c>
      <c r="H600" s="14">
        <f>39.0202 * CHOOSE(CONTROL!$C$15, $E$9, 100%, $G$9) + CHOOSE(CONTROL!$C$38, 0.0342, 0)</f>
        <v>39.054400000000001</v>
      </c>
      <c r="I600" s="14">
        <f>39.0217 * CHOOSE(CONTROL!$C$15, $E$9, 100%, $G$9) + CHOOSE(CONTROL!$C$38, 0.0342, 0)</f>
        <v>39.055900000000001</v>
      </c>
      <c r="J600" s="44">
        <f>330.0282</f>
        <v>330.02820000000003</v>
      </c>
    </row>
    <row r="601" spans="1:10" ht="15.75" x14ac:dyDescent="0.25">
      <c r="A601" s="32">
        <v>59230</v>
      </c>
      <c r="B601" s="14">
        <f>41.1806 * CHOOSE(CONTROL!$C$15, $E$9, 100%, $G$9) + CHOOSE(CONTROL!$C$38, 0.0251, 0)</f>
        <v>41.2057</v>
      </c>
      <c r="C601" s="14">
        <f>38.9145 * CHOOSE(CONTROL!$C$15, $E$9, 100%, $G$9) + CHOOSE(CONTROL!$C$38, 0.0342, 0)</f>
        <v>38.948699999999995</v>
      </c>
      <c r="D601" s="14">
        <f>38.9067 * CHOOSE(CONTROL!$C$15, $E$9, 100%, $G$9) + CHOOSE(CONTROL!$C$38, 0.0342, 0)</f>
        <v>38.940899999999999</v>
      </c>
      <c r="E601" s="46">
        <f>41.0244 * CHOOSE(CONTROL!$C$15, $E$9, 100%, $G$9) + CHOOSE(CONTROL!$C$38, 0.0342, 0)</f>
        <v>41.058599999999998</v>
      </c>
      <c r="F601" s="45">
        <f>41.0244 * CHOOSE(CONTROL!$C$15, $E$9, 100%, $G$9) + CHOOSE(CONTROL!$C$38, 0.0251, 0)</f>
        <v>41.049500000000002</v>
      </c>
      <c r="G601" s="14">
        <f>38.913 * CHOOSE(CONTROL!$C$15, $E$9, 100%, $G$9) + CHOOSE(CONTROL!$C$38, 0.0342, 0)</f>
        <v>38.947199999999995</v>
      </c>
      <c r="H601" s="14">
        <f>38.913 * CHOOSE(CONTROL!$C$15, $E$9, 100%, $G$9) + CHOOSE(CONTROL!$C$38, 0.0342, 0)</f>
        <v>38.947199999999995</v>
      </c>
      <c r="I601" s="14">
        <f>38.9145 * CHOOSE(CONTROL!$C$15, $E$9, 100%, $G$9) + CHOOSE(CONTROL!$C$38, 0.0342, 0)</f>
        <v>38.948699999999995</v>
      </c>
      <c r="J601" s="44">
        <f>329.1108</f>
        <v>329.11079999999998</v>
      </c>
    </row>
    <row r="602" spans="1:10" ht="15.75" x14ac:dyDescent="0.25">
      <c r="A602" s="32">
        <v>59261</v>
      </c>
      <c r="B602" s="14">
        <f>43.3185 * CHOOSE(CONTROL!$C$15, $E$9, 100%, $G$9) + CHOOSE(CONTROL!$C$38, 0.0251, 0)</f>
        <v>43.343600000000002</v>
      </c>
      <c r="C602" s="14">
        <f>40.9413 * CHOOSE(CONTROL!$C$15, $E$9, 100%, $G$9) + CHOOSE(CONTROL!$C$38, 0.0342, 0)</f>
        <v>40.975499999999997</v>
      </c>
      <c r="D602" s="14">
        <f>40.9335 * CHOOSE(CONTROL!$C$15, $E$9, 100%, $G$9) + CHOOSE(CONTROL!$C$38, 0.0342, 0)</f>
        <v>40.967700000000001</v>
      </c>
      <c r="E602" s="46">
        <f>43.1623 * CHOOSE(CONTROL!$C$15, $E$9, 100%, $G$9) + CHOOSE(CONTROL!$C$38, 0.0342, 0)</f>
        <v>43.1965</v>
      </c>
      <c r="F602" s="45">
        <f>43.1623 * CHOOSE(CONTROL!$C$15, $E$9, 100%, $G$9) + CHOOSE(CONTROL!$C$38, 0.0251, 0)</f>
        <v>43.187400000000004</v>
      </c>
      <c r="G602" s="14">
        <f>40.9397 * CHOOSE(CONTROL!$C$15, $E$9, 100%, $G$9) + CHOOSE(CONTROL!$C$38, 0.0342, 0)</f>
        <v>40.9739</v>
      </c>
      <c r="H602" s="14">
        <f>40.9397 * CHOOSE(CONTROL!$C$15, $E$9, 100%, $G$9) + CHOOSE(CONTROL!$C$38, 0.0342, 0)</f>
        <v>40.9739</v>
      </c>
      <c r="I602" s="14">
        <f>40.9413 * CHOOSE(CONTROL!$C$15, $E$9, 100%, $G$9) + CHOOSE(CONTROL!$C$38, 0.0342, 0)</f>
        <v>40.975499999999997</v>
      </c>
      <c r="J602" s="44">
        <f>346.4568</f>
        <v>346.45679999999999</v>
      </c>
    </row>
    <row r="603" spans="1:10" ht="15.75" x14ac:dyDescent="0.25">
      <c r="A603" s="32">
        <v>59291</v>
      </c>
      <c r="B603" s="14">
        <f>46.0909 * CHOOSE(CONTROL!$C$15, $E$9, 100%, $G$9) + CHOOSE(CONTROL!$C$38, 0.0251, 0)</f>
        <v>46.116</v>
      </c>
      <c r="C603" s="14">
        <f>43.5694 * CHOOSE(CONTROL!$C$15, $E$9, 100%, $G$9) + CHOOSE(CONTROL!$C$38, 0.0342, 0)</f>
        <v>43.6036</v>
      </c>
      <c r="D603" s="14">
        <f>43.5616 * CHOOSE(CONTROL!$C$15, $E$9, 100%, $G$9) + CHOOSE(CONTROL!$C$38, 0.0342, 0)</f>
        <v>43.595799999999997</v>
      </c>
      <c r="E603" s="46">
        <f>45.9347 * CHOOSE(CONTROL!$C$15, $E$9, 100%, $G$9) + CHOOSE(CONTROL!$C$38, 0.0342, 0)</f>
        <v>45.968899999999998</v>
      </c>
      <c r="F603" s="45">
        <f>45.9347 * CHOOSE(CONTROL!$C$15, $E$9, 100%, $G$9) + CHOOSE(CONTROL!$C$38, 0.0251, 0)</f>
        <v>45.959800000000001</v>
      </c>
      <c r="G603" s="14">
        <f>43.5679 * CHOOSE(CONTROL!$C$15, $E$9, 100%, $G$9) + CHOOSE(CONTROL!$C$38, 0.0342, 0)</f>
        <v>43.6021</v>
      </c>
      <c r="H603" s="14">
        <f>43.5679 * CHOOSE(CONTROL!$C$15, $E$9, 100%, $G$9) + CHOOSE(CONTROL!$C$38, 0.0342, 0)</f>
        <v>43.6021</v>
      </c>
      <c r="I603" s="14">
        <f>43.5694 * CHOOSE(CONTROL!$C$15, $E$9, 100%, $G$9) + CHOOSE(CONTROL!$C$38, 0.0342, 0)</f>
        <v>43.6036</v>
      </c>
      <c r="J603" s="44">
        <f>368.9505</f>
        <v>368.95049999999998</v>
      </c>
    </row>
    <row r="604" spans="1:10" ht="15.75" x14ac:dyDescent="0.25">
      <c r="A604" s="32">
        <v>59322</v>
      </c>
      <c r="B604" s="14">
        <f>47.6169 * CHOOSE(CONTROL!$C$15, $E$9, 100%, $G$9) + CHOOSE(CONTROL!$C$38, 0.0264, 0)</f>
        <v>47.643300000000004</v>
      </c>
      <c r="C604" s="14">
        <f>45.0161 * CHOOSE(CONTROL!$C$15, $E$9, 100%, $G$9) + CHOOSE(CONTROL!$C$38, 0.0354, 0)</f>
        <v>45.051500000000004</v>
      </c>
      <c r="D604" s="14">
        <f>45.0083 * CHOOSE(CONTROL!$C$15, $E$9, 100%, $G$9) + CHOOSE(CONTROL!$C$38, 0.0354, 0)</f>
        <v>45.043700000000001</v>
      </c>
      <c r="E604" s="46">
        <f>47.4607 * CHOOSE(CONTROL!$C$15, $E$9, 100%, $G$9) + CHOOSE(CONTROL!$C$38, 0.0354, 0)</f>
        <v>47.496100000000006</v>
      </c>
      <c r="F604" s="45">
        <f>47.4607 * CHOOSE(CONTROL!$C$15, $E$9, 100%, $G$9) + CHOOSE(CONTROL!$C$38, 0.0264, 0)</f>
        <v>47.487100000000005</v>
      </c>
      <c r="G604" s="14">
        <f>45.0145 * CHOOSE(CONTROL!$C$15, $E$9, 100%, $G$9) + CHOOSE(CONTROL!$C$38, 0.0354, 0)</f>
        <v>45.049900000000001</v>
      </c>
      <c r="H604" s="14">
        <f>45.0145 * CHOOSE(CONTROL!$C$15, $E$9, 100%, $G$9) + CHOOSE(CONTROL!$C$38, 0.0354, 0)</f>
        <v>45.049900000000001</v>
      </c>
      <c r="I604" s="14">
        <f>45.0161 * CHOOSE(CONTROL!$C$15, $E$9, 100%, $G$9) + CHOOSE(CONTROL!$C$38, 0.0354, 0)</f>
        <v>45.051500000000004</v>
      </c>
      <c r="J604" s="44">
        <f>381.3318</f>
        <v>381.33179999999999</v>
      </c>
    </row>
    <row r="605" spans="1:10" ht="15.75" x14ac:dyDescent="0.25">
      <c r="A605" s="32">
        <v>59352</v>
      </c>
      <c r="B605" s="14">
        <f>48.2941 * CHOOSE(CONTROL!$C$15, $E$9, 100%, $G$9) + CHOOSE(CONTROL!$C$38, 0.0264, 0)</f>
        <v>48.320500000000003</v>
      </c>
      <c r="C605" s="14">
        <f>45.6581 * CHOOSE(CONTROL!$C$15, $E$9, 100%, $G$9) + CHOOSE(CONTROL!$C$38, 0.0354, 0)</f>
        <v>45.6935</v>
      </c>
      <c r="D605" s="14">
        <f>45.6503 * CHOOSE(CONTROL!$C$15, $E$9, 100%, $G$9) + CHOOSE(CONTROL!$C$38, 0.0354, 0)</f>
        <v>45.685700000000004</v>
      </c>
      <c r="E605" s="46">
        <f>48.1379 * CHOOSE(CONTROL!$C$15, $E$9, 100%, $G$9) + CHOOSE(CONTROL!$C$38, 0.0354, 0)</f>
        <v>48.173300000000005</v>
      </c>
      <c r="F605" s="45">
        <f>48.1379 * CHOOSE(CONTROL!$C$15, $E$9, 100%, $G$9) + CHOOSE(CONTROL!$C$38, 0.0264, 0)</f>
        <v>48.164300000000004</v>
      </c>
      <c r="G605" s="14">
        <f>45.6565 * CHOOSE(CONTROL!$C$15, $E$9, 100%, $G$9) + CHOOSE(CONTROL!$C$38, 0.0354, 0)</f>
        <v>45.691900000000004</v>
      </c>
      <c r="H605" s="14">
        <f>45.6565 * CHOOSE(CONTROL!$C$15, $E$9, 100%, $G$9) + CHOOSE(CONTROL!$C$38, 0.0354, 0)</f>
        <v>45.691900000000004</v>
      </c>
      <c r="I605" s="14">
        <f>45.6581 * CHOOSE(CONTROL!$C$15, $E$9, 100%, $G$9) + CHOOSE(CONTROL!$C$38, 0.0354, 0)</f>
        <v>45.6935</v>
      </c>
      <c r="J605" s="44">
        <f>386.8263</f>
        <v>386.8263</v>
      </c>
    </row>
    <row r="606" spans="1:10" ht="15.75" x14ac:dyDescent="0.25">
      <c r="A606" s="32">
        <v>59383</v>
      </c>
      <c r="B606" s="14">
        <f>48.0712 * CHOOSE(CONTROL!$C$15, $E$9, 100%, $G$9) + CHOOSE(CONTROL!$C$38, 0.0264, 0)</f>
        <v>48.0976</v>
      </c>
      <c r="C606" s="14">
        <f>45.4467 * CHOOSE(CONTROL!$C$15, $E$9, 100%, $G$9) + CHOOSE(CONTROL!$C$38, 0.0354, 0)</f>
        <v>45.482100000000003</v>
      </c>
      <c r="D606" s="14">
        <f>45.4389 * CHOOSE(CONTROL!$C$15, $E$9, 100%, $G$9) + CHOOSE(CONTROL!$C$38, 0.0354, 0)</f>
        <v>45.474299999999999</v>
      </c>
      <c r="E606" s="46">
        <f>47.9149 * CHOOSE(CONTROL!$C$15, $E$9, 100%, $G$9) + CHOOSE(CONTROL!$C$38, 0.0354, 0)</f>
        <v>47.950300000000006</v>
      </c>
      <c r="F606" s="45">
        <f>47.9149 * CHOOSE(CONTROL!$C$15, $E$9, 100%, $G$9) + CHOOSE(CONTROL!$C$38, 0.0264, 0)</f>
        <v>47.941300000000005</v>
      </c>
      <c r="G606" s="14">
        <f>45.4451 * CHOOSE(CONTROL!$C$15, $E$9, 100%, $G$9) + CHOOSE(CONTROL!$C$38, 0.0354, 0)</f>
        <v>45.480499999999999</v>
      </c>
      <c r="H606" s="14">
        <f>45.4451 * CHOOSE(CONTROL!$C$15, $E$9, 100%, $G$9) + CHOOSE(CONTROL!$C$38, 0.0354, 0)</f>
        <v>45.480499999999999</v>
      </c>
      <c r="I606" s="14">
        <f>45.4467 * CHOOSE(CONTROL!$C$15, $E$9, 100%, $G$9) + CHOOSE(CONTROL!$C$38, 0.0354, 0)</f>
        <v>45.482100000000003</v>
      </c>
      <c r="J606" s="44">
        <f>385.0173</f>
        <v>385.01729999999998</v>
      </c>
    </row>
    <row r="607" spans="1:10" ht="15.75" x14ac:dyDescent="0.25">
      <c r="A607" s="32">
        <v>59414</v>
      </c>
      <c r="B607" s="14">
        <f>46.9665 * CHOOSE(CONTROL!$C$15, $E$9, 100%, $G$9) + CHOOSE(CONTROL!$C$38, 0.0264, 0)</f>
        <v>46.992900000000006</v>
      </c>
      <c r="C607" s="14">
        <f>44.3994 * CHOOSE(CONTROL!$C$15, $E$9, 100%, $G$9) + CHOOSE(CONTROL!$C$38, 0.0354, 0)</f>
        <v>44.434800000000003</v>
      </c>
      <c r="D607" s="14">
        <f>44.3916 * CHOOSE(CONTROL!$C$15, $E$9, 100%, $G$9) + CHOOSE(CONTROL!$C$38, 0.0354, 0)</f>
        <v>44.427</v>
      </c>
      <c r="E607" s="46">
        <f>46.8102 * CHOOSE(CONTROL!$C$15, $E$9, 100%, $G$9) + CHOOSE(CONTROL!$C$38, 0.0354, 0)</f>
        <v>46.845600000000005</v>
      </c>
      <c r="F607" s="45">
        <f>46.8102 * CHOOSE(CONTROL!$C$15, $E$9, 100%, $G$9) + CHOOSE(CONTROL!$C$38, 0.0264, 0)</f>
        <v>46.836600000000004</v>
      </c>
      <c r="G607" s="14">
        <f>44.3979 * CHOOSE(CONTROL!$C$15, $E$9, 100%, $G$9) + CHOOSE(CONTROL!$C$38, 0.0354, 0)</f>
        <v>44.433300000000003</v>
      </c>
      <c r="H607" s="14">
        <f>44.3979 * CHOOSE(CONTROL!$C$15, $E$9, 100%, $G$9) + CHOOSE(CONTROL!$C$38, 0.0354, 0)</f>
        <v>44.433300000000003</v>
      </c>
      <c r="I607" s="14">
        <f>44.3994 * CHOOSE(CONTROL!$C$15, $E$9, 100%, $G$9) + CHOOSE(CONTROL!$C$38, 0.0354, 0)</f>
        <v>44.434800000000003</v>
      </c>
      <c r="J607" s="44">
        <f>376.0542</f>
        <v>376.05419999999998</v>
      </c>
    </row>
    <row r="608" spans="1:10" ht="15.75" x14ac:dyDescent="0.25">
      <c r="A608" s="32">
        <v>59444</v>
      </c>
      <c r="B608" s="14">
        <f>45.4259 * CHOOSE(CONTROL!$C$15, $E$9, 100%, $G$9) + CHOOSE(CONTROL!$C$38, 0.0264, 0)</f>
        <v>45.452300000000001</v>
      </c>
      <c r="C608" s="14">
        <f>42.939 * CHOOSE(CONTROL!$C$15, $E$9, 100%, $G$9) + CHOOSE(CONTROL!$C$38, 0.0354, 0)</f>
        <v>42.974400000000003</v>
      </c>
      <c r="D608" s="14">
        <f>42.9312 * CHOOSE(CONTROL!$C$15, $E$9, 100%, $G$9) + CHOOSE(CONTROL!$C$38, 0.0354, 0)</f>
        <v>42.9666</v>
      </c>
      <c r="E608" s="46">
        <f>45.2696 * CHOOSE(CONTROL!$C$15, $E$9, 100%, $G$9) + CHOOSE(CONTROL!$C$38, 0.0354, 0)</f>
        <v>45.305</v>
      </c>
      <c r="F608" s="45">
        <f>45.2696 * CHOOSE(CONTROL!$C$15, $E$9, 100%, $G$9) + CHOOSE(CONTROL!$C$38, 0.0264, 0)</f>
        <v>45.295999999999999</v>
      </c>
      <c r="G608" s="14">
        <f>42.9374 * CHOOSE(CONTROL!$C$15, $E$9, 100%, $G$9) + CHOOSE(CONTROL!$C$38, 0.0354, 0)</f>
        <v>42.972799999999999</v>
      </c>
      <c r="H608" s="14">
        <f>42.9374 * CHOOSE(CONTROL!$C$15, $E$9, 100%, $G$9) + CHOOSE(CONTROL!$C$38, 0.0354, 0)</f>
        <v>42.972799999999999</v>
      </c>
      <c r="I608" s="14">
        <f>42.939 * CHOOSE(CONTROL!$C$15, $E$9, 100%, $G$9) + CHOOSE(CONTROL!$C$38, 0.0354, 0)</f>
        <v>42.974400000000003</v>
      </c>
      <c r="J608" s="44">
        <f>363.5548</f>
        <v>363.5548</v>
      </c>
    </row>
    <row r="609" spans="1:10" ht="15.75" x14ac:dyDescent="0.25">
      <c r="A609" s="32">
        <v>59475</v>
      </c>
      <c r="B609" s="14">
        <f>43.8764 * CHOOSE(CONTROL!$C$15, $E$9, 100%, $G$9) + CHOOSE(CONTROL!$C$38, 0.0251, 0)</f>
        <v>43.901499999999999</v>
      </c>
      <c r="C609" s="14">
        <f>41.4701 * CHOOSE(CONTROL!$C$15, $E$9, 100%, $G$9) + CHOOSE(CONTROL!$C$38, 0.0342, 0)</f>
        <v>41.504300000000001</v>
      </c>
      <c r="D609" s="14">
        <f>41.4623 * CHOOSE(CONTROL!$C$15, $E$9, 100%, $G$9) + CHOOSE(CONTROL!$C$38, 0.0342, 0)</f>
        <v>41.496499999999997</v>
      </c>
      <c r="E609" s="46">
        <f>43.7201 * CHOOSE(CONTROL!$C$15, $E$9, 100%, $G$9) + CHOOSE(CONTROL!$C$38, 0.0342, 0)</f>
        <v>43.754300000000001</v>
      </c>
      <c r="F609" s="45">
        <f>43.7201 * CHOOSE(CONTROL!$C$15, $E$9, 100%, $G$9) + CHOOSE(CONTROL!$C$38, 0.0251, 0)</f>
        <v>43.745200000000004</v>
      </c>
      <c r="G609" s="14">
        <f>41.4685 * CHOOSE(CONTROL!$C$15, $E$9, 100%, $G$9) + CHOOSE(CONTROL!$C$38, 0.0342, 0)</f>
        <v>41.502699999999997</v>
      </c>
      <c r="H609" s="14">
        <f>41.4685 * CHOOSE(CONTROL!$C$15, $E$9, 100%, $G$9) + CHOOSE(CONTROL!$C$38, 0.0342, 0)</f>
        <v>41.502699999999997</v>
      </c>
      <c r="I609" s="14">
        <f>41.4701 * CHOOSE(CONTROL!$C$15, $E$9, 100%, $G$9) + CHOOSE(CONTROL!$C$38, 0.0342, 0)</f>
        <v>41.504300000000001</v>
      </c>
      <c r="J609" s="44">
        <f>350.9827</f>
        <v>350.98270000000002</v>
      </c>
    </row>
    <row r="610" spans="1:10" ht="15.75" x14ac:dyDescent="0.25">
      <c r="A610" s="32">
        <v>59505</v>
      </c>
      <c r="B610" s="14">
        <f>43.5681 * CHOOSE(CONTROL!$C$15, $E$9, 100%, $G$9) + CHOOSE(CONTROL!$C$38, 0.0251, 0)</f>
        <v>43.593200000000003</v>
      </c>
      <c r="C610" s="14">
        <f>41.1779 * CHOOSE(CONTROL!$C$15, $E$9, 100%, $G$9) + CHOOSE(CONTROL!$C$38, 0.0342, 0)</f>
        <v>41.2121</v>
      </c>
      <c r="D610" s="14">
        <f>41.1701 * CHOOSE(CONTROL!$C$15, $E$9, 100%, $G$9) + CHOOSE(CONTROL!$C$38, 0.0342, 0)</f>
        <v>41.204299999999996</v>
      </c>
      <c r="E610" s="46">
        <f>43.4119 * CHOOSE(CONTROL!$C$15, $E$9, 100%, $G$9) + CHOOSE(CONTROL!$C$38, 0.0342, 0)</f>
        <v>43.446100000000001</v>
      </c>
      <c r="F610" s="45">
        <f>43.4119 * CHOOSE(CONTROL!$C$15, $E$9, 100%, $G$9) + CHOOSE(CONTROL!$C$38, 0.0251, 0)</f>
        <v>43.437000000000005</v>
      </c>
      <c r="G610" s="14">
        <f>41.1763 * CHOOSE(CONTROL!$C$15, $E$9, 100%, $G$9) + CHOOSE(CONTROL!$C$38, 0.0342, 0)</f>
        <v>41.210499999999996</v>
      </c>
      <c r="H610" s="14">
        <f>41.1763 * CHOOSE(CONTROL!$C$15, $E$9, 100%, $G$9) + CHOOSE(CONTROL!$C$38, 0.0342, 0)</f>
        <v>41.210499999999996</v>
      </c>
      <c r="I610" s="14">
        <f>41.1779 * CHOOSE(CONTROL!$C$15, $E$9, 100%, $G$9) + CHOOSE(CONTROL!$C$38, 0.0342, 0)</f>
        <v>41.2121</v>
      </c>
      <c r="J610" s="44">
        <f>348.4819</f>
        <v>348.4819</v>
      </c>
    </row>
    <row r="611" spans="1:10" ht="15.75" x14ac:dyDescent="0.25">
      <c r="A611" s="32">
        <v>59536</v>
      </c>
      <c r="B611" s="14">
        <f>42.2936 * CHOOSE(CONTROL!$C$15, $E$9, 100%, $G$9) + CHOOSE(CONTROL!$C$38, 0.0251, 0)</f>
        <v>42.3187</v>
      </c>
      <c r="C611" s="14">
        <f>39.9696 * CHOOSE(CONTROL!$C$15, $E$9, 100%, $G$9) + CHOOSE(CONTROL!$C$38, 0.0342, 0)</f>
        <v>40.003799999999998</v>
      </c>
      <c r="D611" s="14">
        <f>39.9618 * CHOOSE(CONTROL!$C$15, $E$9, 100%, $G$9) + CHOOSE(CONTROL!$C$38, 0.0342, 0)</f>
        <v>39.995999999999995</v>
      </c>
      <c r="E611" s="46">
        <f>42.1373 * CHOOSE(CONTROL!$C$15, $E$9, 100%, $G$9) + CHOOSE(CONTROL!$C$38, 0.0342, 0)</f>
        <v>42.171500000000002</v>
      </c>
      <c r="F611" s="45">
        <f>42.1373 * CHOOSE(CONTROL!$C$15, $E$9, 100%, $G$9) + CHOOSE(CONTROL!$C$38, 0.0251, 0)</f>
        <v>42.162400000000005</v>
      </c>
      <c r="G611" s="14">
        <f>39.968 * CHOOSE(CONTROL!$C$15, $E$9, 100%, $G$9) + CHOOSE(CONTROL!$C$38, 0.0342, 0)</f>
        <v>40.002200000000002</v>
      </c>
      <c r="H611" s="14">
        <f>39.968 * CHOOSE(CONTROL!$C$15, $E$9, 100%, $G$9) + CHOOSE(CONTROL!$C$38, 0.0342, 0)</f>
        <v>40.002200000000002</v>
      </c>
      <c r="I611" s="14">
        <f>39.9696 * CHOOSE(CONTROL!$C$15, $E$9, 100%, $G$9) + CHOOSE(CONTROL!$C$38, 0.0342, 0)</f>
        <v>40.003799999999998</v>
      </c>
      <c r="J611" s="44">
        <f>338.1407</f>
        <v>338.14069999999998</v>
      </c>
    </row>
    <row r="612" spans="1:10" ht="15.75" x14ac:dyDescent="0.25">
      <c r="A612" s="32">
        <v>59567</v>
      </c>
      <c r="B612" s="14">
        <f>41.977 * CHOOSE(CONTROL!$C$15, $E$9, 100%, $G$9) + CHOOSE(CONTROL!$C$38, 0.0251, 0)</f>
        <v>42.002099999999999</v>
      </c>
      <c r="C612" s="14">
        <f>39.6695 * CHOOSE(CONTROL!$C$15, $E$9, 100%, $G$9) + CHOOSE(CONTROL!$C$38, 0.0342, 0)</f>
        <v>39.703699999999998</v>
      </c>
      <c r="D612" s="14">
        <f>39.6617 * CHOOSE(CONTROL!$C$15, $E$9, 100%, $G$9) + CHOOSE(CONTROL!$C$38, 0.0342, 0)</f>
        <v>39.695900000000002</v>
      </c>
      <c r="E612" s="46">
        <f>41.8208 * CHOOSE(CONTROL!$C$15, $E$9, 100%, $G$9) + CHOOSE(CONTROL!$C$38, 0.0342, 0)</f>
        <v>41.854999999999997</v>
      </c>
      <c r="F612" s="45">
        <f>41.8208 * CHOOSE(CONTROL!$C$15, $E$9, 100%, $G$9) + CHOOSE(CONTROL!$C$38, 0.0251, 0)</f>
        <v>41.8459</v>
      </c>
      <c r="G612" s="14">
        <f>39.668 * CHOOSE(CONTROL!$C$15, $E$9, 100%, $G$9) + CHOOSE(CONTROL!$C$38, 0.0342, 0)</f>
        <v>39.702199999999998</v>
      </c>
      <c r="H612" s="14">
        <f>39.668 * CHOOSE(CONTROL!$C$15, $E$9, 100%, $G$9) + CHOOSE(CONTROL!$C$38, 0.0342, 0)</f>
        <v>39.702199999999998</v>
      </c>
      <c r="I612" s="14">
        <f>39.6695 * CHOOSE(CONTROL!$C$15, $E$9, 100%, $G$9) + CHOOSE(CONTROL!$C$38, 0.0342, 0)</f>
        <v>39.703699999999998</v>
      </c>
      <c r="J612" s="44">
        <f>337.8965</f>
        <v>337.8965</v>
      </c>
    </row>
    <row r="613" spans="1:10" ht="15.75" x14ac:dyDescent="0.25">
      <c r="A613" s="32">
        <v>59595</v>
      </c>
      <c r="B613" s="14">
        <f>41.8621 * CHOOSE(CONTROL!$C$15, $E$9, 100%, $G$9) + CHOOSE(CONTROL!$C$38, 0.0251, 0)</f>
        <v>41.8872</v>
      </c>
      <c r="C613" s="14">
        <f>39.5605 * CHOOSE(CONTROL!$C$15, $E$9, 100%, $G$9) + CHOOSE(CONTROL!$C$38, 0.0342, 0)</f>
        <v>39.594699999999996</v>
      </c>
      <c r="D613" s="14">
        <f>39.5527 * CHOOSE(CONTROL!$C$15, $E$9, 100%, $G$9) + CHOOSE(CONTROL!$C$38, 0.0342, 0)</f>
        <v>39.5869</v>
      </c>
      <c r="E613" s="46">
        <f>41.7058 * CHOOSE(CONTROL!$C$15, $E$9, 100%, $G$9) + CHOOSE(CONTROL!$C$38, 0.0342, 0)</f>
        <v>41.74</v>
      </c>
      <c r="F613" s="45">
        <f>41.7058 * CHOOSE(CONTROL!$C$15, $E$9, 100%, $G$9) + CHOOSE(CONTROL!$C$38, 0.0251, 0)</f>
        <v>41.730900000000005</v>
      </c>
      <c r="G613" s="14">
        <f>39.559 * CHOOSE(CONTROL!$C$15, $E$9, 100%, $G$9) + CHOOSE(CONTROL!$C$38, 0.0342, 0)</f>
        <v>39.593199999999996</v>
      </c>
      <c r="H613" s="14">
        <f>39.559 * CHOOSE(CONTROL!$C$15, $E$9, 100%, $G$9) + CHOOSE(CONTROL!$C$38, 0.0342, 0)</f>
        <v>39.593199999999996</v>
      </c>
      <c r="I613" s="14">
        <f>39.5605 * CHOOSE(CONTROL!$C$15, $E$9, 100%, $G$9) + CHOOSE(CONTROL!$C$38, 0.0342, 0)</f>
        <v>39.594699999999996</v>
      </c>
      <c r="J613" s="44">
        <f>336.9573</f>
        <v>336.95729999999998</v>
      </c>
    </row>
    <row r="614" spans="1:10" ht="15.75" x14ac:dyDescent="0.25">
      <c r="A614" s="32">
        <v>59626</v>
      </c>
      <c r="B614" s="14">
        <f>44.0359 * CHOOSE(CONTROL!$C$15, $E$9, 100%, $G$9) + CHOOSE(CONTROL!$C$38, 0.0251, 0)</f>
        <v>44.061</v>
      </c>
      <c r="C614" s="14">
        <f>41.6213 * CHOOSE(CONTROL!$C$15, $E$9, 100%, $G$9) + CHOOSE(CONTROL!$C$38, 0.0342, 0)</f>
        <v>41.655499999999996</v>
      </c>
      <c r="D614" s="14">
        <f>41.6135 * CHOOSE(CONTROL!$C$15, $E$9, 100%, $G$9) + CHOOSE(CONTROL!$C$38, 0.0342, 0)</f>
        <v>41.6477</v>
      </c>
      <c r="E614" s="46">
        <f>43.8797 * CHOOSE(CONTROL!$C$15, $E$9, 100%, $G$9) + CHOOSE(CONTROL!$C$38, 0.0342, 0)</f>
        <v>43.913899999999998</v>
      </c>
      <c r="F614" s="45">
        <f>43.8797 * CHOOSE(CONTROL!$C$15, $E$9, 100%, $G$9) + CHOOSE(CONTROL!$C$38, 0.0251, 0)</f>
        <v>43.904800000000002</v>
      </c>
      <c r="G614" s="14">
        <f>41.6198 * CHOOSE(CONTROL!$C$15, $E$9, 100%, $G$9) + CHOOSE(CONTROL!$C$38, 0.0342, 0)</f>
        <v>41.653999999999996</v>
      </c>
      <c r="H614" s="14">
        <f>41.6198 * CHOOSE(CONTROL!$C$15, $E$9, 100%, $G$9) + CHOOSE(CONTROL!$C$38, 0.0342, 0)</f>
        <v>41.653999999999996</v>
      </c>
      <c r="I614" s="14">
        <f>41.6213 * CHOOSE(CONTROL!$C$15, $E$9, 100%, $G$9) + CHOOSE(CONTROL!$C$38, 0.0342, 0)</f>
        <v>41.655499999999996</v>
      </c>
      <c r="J614" s="44">
        <f>354.7169</f>
        <v>354.71690000000001</v>
      </c>
    </row>
    <row r="615" spans="1:10" ht="15.75" x14ac:dyDescent="0.25">
      <c r="A615" s="32">
        <v>59656</v>
      </c>
      <c r="B615" s="14">
        <f>46.8549 * CHOOSE(CONTROL!$C$15, $E$9, 100%, $G$9) + CHOOSE(CONTROL!$C$38, 0.0251, 0)</f>
        <v>46.88</v>
      </c>
      <c r="C615" s="14">
        <f>44.2937 * CHOOSE(CONTROL!$C$15, $E$9, 100%, $G$9) + CHOOSE(CONTROL!$C$38, 0.0342, 0)</f>
        <v>44.3279</v>
      </c>
      <c r="D615" s="14">
        <f>44.2858 * CHOOSE(CONTROL!$C$15, $E$9, 100%, $G$9) + CHOOSE(CONTROL!$C$38, 0.0342, 0)</f>
        <v>44.32</v>
      </c>
      <c r="E615" s="46">
        <f>46.6986 * CHOOSE(CONTROL!$C$15, $E$9, 100%, $G$9) + CHOOSE(CONTROL!$C$38, 0.0342, 0)</f>
        <v>46.732799999999997</v>
      </c>
      <c r="F615" s="45">
        <f>46.6986 * CHOOSE(CONTROL!$C$15, $E$9, 100%, $G$9) + CHOOSE(CONTROL!$C$38, 0.0251, 0)</f>
        <v>46.723700000000001</v>
      </c>
      <c r="G615" s="14">
        <f>44.2921 * CHOOSE(CONTROL!$C$15, $E$9, 100%, $G$9) + CHOOSE(CONTROL!$C$38, 0.0342, 0)</f>
        <v>44.326299999999996</v>
      </c>
      <c r="H615" s="14">
        <f>44.2921 * CHOOSE(CONTROL!$C$15, $E$9, 100%, $G$9) + CHOOSE(CONTROL!$C$38, 0.0342, 0)</f>
        <v>44.326299999999996</v>
      </c>
      <c r="I615" s="14">
        <f>44.2937 * CHOOSE(CONTROL!$C$15, $E$9, 100%, $G$9) + CHOOSE(CONTROL!$C$38, 0.0342, 0)</f>
        <v>44.3279</v>
      </c>
      <c r="J615" s="44">
        <f>377.7468</f>
        <v>377.74680000000001</v>
      </c>
    </row>
    <row r="616" spans="1:10" ht="15.75" x14ac:dyDescent="0.25">
      <c r="A616" s="32">
        <v>59687</v>
      </c>
      <c r="B616" s="14">
        <f>48.4065 * CHOOSE(CONTROL!$C$15, $E$9, 100%, $G$9) + CHOOSE(CONTROL!$C$38, 0.0264, 0)</f>
        <v>48.432900000000004</v>
      </c>
      <c r="C616" s="14">
        <f>45.7646 * CHOOSE(CONTROL!$C$15, $E$9, 100%, $G$9) + CHOOSE(CONTROL!$C$38, 0.0354, 0)</f>
        <v>45.800000000000004</v>
      </c>
      <c r="D616" s="14">
        <f>45.7568 * CHOOSE(CONTROL!$C$15, $E$9, 100%, $G$9) + CHOOSE(CONTROL!$C$38, 0.0354, 0)</f>
        <v>45.792200000000001</v>
      </c>
      <c r="E616" s="46">
        <f>48.2503 * CHOOSE(CONTROL!$C$15, $E$9, 100%, $G$9) + CHOOSE(CONTROL!$C$38, 0.0354, 0)</f>
        <v>48.285700000000006</v>
      </c>
      <c r="F616" s="45">
        <f>48.2503 * CHOOSE(CONTROL!$C$15, $E$9, 100%, $G$9) + CHOOSE(CONTROL!$C$38, 0.0264, 0)</f>
        <v>48.276700000000005</v>
      </c>
      <c r="G616" s="14">
        <f>45.763 * CHOOSE(CONTROL!$C$15, $E$9, 100%, $G$9) + CHOOSE(CONTROL!$C$38, 0.0354, 0)</f>
        <v>45.798400000000001</v>
      </c>
      <c r="H616" s="14">
        <f>45.763 * CHOOSE(CONTROL!$C$15, $E$9, 100%, $G$9) + CHOOSE(CONTROL!$C$38, 0.0354, 0)</f>
        <v>45.798400000000001</v>
      </c>
      <c r="I616" s="14">
        <f>45.7646 * CHOOSE(CONTROL!$C$15, $E$9, 100%, $G$9) + CHOOSE(CONTROL!$C$38, 0.0354, 0)</f>
        <v>45.800000000000004</v>
      </c>
      <c r="J616" s="44">
        <f>390.4233</f>
        <v>390.42329999999998</v>
      </c>
    </row>
    <row r="617" spans="1:10" ht="15.75" x14ac:dyDescent="0.25">
      <c r="A617" s="32">
        <v>59717</v>
      </c>
      <c r="B617" s="14">
        <f>49.0951 * CHOOSE(CONTROL!$C$15, $E$9, 100%, $G$9) + CHOOSE(CONTROL!$C$38, 0.0264, 0)</f>
        <v>49.121500000000005</v>
      </c>
      <c r="C617" s="14">
        <f>46.4174 * CHOOSE(CONTROL!$C$15, $E$9, 100%, $G$9) + CHOOSE(CONTROL!$C$38, 0.0354, 0)</f>
        <v>46.452800000000003</v>
      </c>
      <c r="D617" s="14">
        <f>46.4096 * CHOOSE(CONTROL!$C$15, $E$9, 100%, $G$9) + CHOOSE(CONTROL!$C$38, 0.0354, 0)</f>
        <v>46.445</v>
      </c>
      <c r="E617" s="46">
        <f>48.9389 * CHOOSE(CONTROL!$C$15, $E$9, 100%, $G$9) + CHOOSE(CONTROL!$C$38, 0.0354, 0)</f>
        <v>48.974299999999999</v>
      </c>
      <c r="F617" s="45">
        <f>48.9389 * CHOOSE(CONTROL!$C$15, $E$9, 100%, $G$9) + CHOOSE(CONTROL!$C$38, 0.0264, 0)</f>
        <v>48.965299999999999</v>
      </c>
      <c r="G617" s="14">
        <f>46.4158 * CHOOSE(CONTROL!$C$15, $E$9, 100%, $G$9) + CHOOSE(CONTROL!$C$38, 0.0354, 0)</f>
        <v>46.4512</v>
      </c>
      <c r="H617" s="14">
        <f>46.4158 * CHOOSE(CONTROL!$C$15, $E$9, 100%, $G$9) + CHOOSE(CONTROL!$C$38, 0.0354, 0)</f>
        <v>46.4512</v>
      </c>
      <c r="I617" s="14">
        <f>46.4174 * CHOOSE(CONTROL!$C$15, $E$9, 100%, $G$9) + CHOOSE(CONTROL!$C$38, 0.0354, 0)</f>
        <v>46.452800000000003</v>
      </c>
      <c r="J617" s="44">
        <f>396.0489</f>
        <v>396.0489</v>
      </c>
    </row>
    <row r="618" spans="1:10" ht="15.75" x14ac:dyDescent="0.25">
      <c r="A618" s="32">
        <v>59748</v>
      </c>
      <c r="B618" s="14">
        <f>48.8684 * CHOOSE(CONTROL!$C$15, $E$9, 100%, $G$9) + CHOOSE(CONTROL!$C$38, 0.0264, 0)</f>
        <v>48.894800000000004</v>
      </c>
      <c r="C618" s="14">
        <f>46.2024 * CHOOSE(CONTROL!$C$15, $E$9, 100%, $G$9) + CHOOSE(CONTROL!$C$38, 0.0354, 0)</f>
        <v>46.2378</v>
      </c>
      <c r="D618" s="14">
        <f>46.1946 * CHOOSE(CONTROL!$C$15, $E$9, 100%, $G$9) + CHOOSE(CONTROL!$C$38, 0.0354, 0)</f>
        <v>46.230000000000004</v>
      </c>
      <c r="E618" s="46">
        <f>48.7121 * CHOOSE(CONTROL!$C$15, $E$9, 100%, $G$9) + CHOOSE(CONTROL!$C$38, 0.0354, 0)</f>
        <v>48.747500000000002</v>
      </c>
      <c r="F618" s="45">
        <f>48.7121 * CHOOSE(CONTROL!$C$15, $E$9, 100%, $G$9) + CHOOSE(CONTROL!$C$38, 0.0264, 0)</f>
        <v>48.738500000000002</v>
      </c>
      <c r="G618" s="14">
        <f>46.2009 * CHOOSE(CONTROL!$C$15, $E$9, 100%, $G$9) + CHOOSE(CONTROL!$C$38, 0.0354, 0)</f>
        <v>46.2363</v>
      </c>
      <c r="H618" s="14">
        <f>46.2009 * CHOOSE(CONTROL!$C$15, $E$9, 100%, $G$9) + CHOOSE(CONTROL!$C$38, 0.0354, 0)</f>
        <v>46.2363</v>
      </c>
      <c r="I618" s="14">
        <f>46.2024 * CHOOSE(CONTROL!$C$15, $E$9, 100%, $G$9) + CHOOSE(CONTROL!$C$38, 0.0354, 0)</f>
        <v>46.2378</v>
      </c>
      <c r="J618" s="44">
        <f>394.1967</f>
        <v>394.19670000000002</v>
      </c>
    </row>
    <row r="619" spans="1:10" ht="15.75" x14ac:dyDescent="0.25">
      <c r="A619" s="32">
        <v>59779</v>
      </c>
      <c r="B619" s="14">
        <f>47.7451 * CHOOSE(CONTROL!$C$15, $E$9, 100%, $G$9) + CHOOSE(CONTROL!$C$38, 0.0264, 0)</f>
        <v>47.771500000000003</v>
      </c>
      <c r="C619" s="14">
        <f>45.1376 * CHOOSE(CONTROL!$C$15, $E$9, 100%, $G$9) + CHOOSE(CONTROL!$C$38, 0.0354, 0)</f>
        <v>45.173000000000002</v>
      </c>
      <c r="D619" s="14">
        <f>45.1298 * CHOOSE(CONTROL!$C$15, $E$9, 100%, $G$9) + CHOOSE(CONTROL!$C$38, 0.0354, 0)</f>
        <v>45.165200000000006</v>
      </c>
      <c r="E619" s="46">
        <f>47.5889 * CHOOSE(CONTROL!$C$15, $E$9, 100%, $G$9) + CHOOSE(CONTROL!$C$38, 0.0354, 0)</f>
        <v>47.624300000000005</v>
      </c>
      <c r="F619" s="45">
        <f>47.5889 * CHOOSE(CONTROL!$C$15, $E$9, 100%, $G$9) + CHOOSE(CONTROL!$C$38, 0.0264, 0)</f>
        <v>47.615300000000005</v>
      </c>
      <c r="G619" s="14">
        <f>45.136 * CHOOSE(CONTROL!$C$15, $E$9, 100%, $G$9) + CHOOSE(CONTROL!$C$38, 0.0354, 0)</f>
        <v>45.171400000000006</v>
      </c>
      <c r="H619" s="14">
        <f>45.136 * CHOOSE(CONTROL!$C$15, $E$9, 100%, $G$9) + CHOOSE(CONTROL!$C$38, 0.0354, 0)</f>
        <v>45.171400000000006</v>
      </c>
      <c r="I619" s="14">
        <f>45.1376 * CHOOSE(CONTROL!$C$15, $E$9, 100%, $G$9) + CHOOSE(CONTROL!$C$38, 0.0354, 0)</f>
        <v>45.173000000000002</v>
      </c>
      <c r="J619" s="44">
        <f>385.0199</f>
        <v>385.01990000000001</v>
      </c>
    </row>
    <row r="620" spans="1:10" ht="15.75" x14ac:dyDescent="0.25">
      <c r="A620" s="32">
        <v>59809</v>
      </c>
      <c r="B620" s="14">
        <f>46.1787 * CHOOSE(CONTROL!$C$15, $E$9, 100%, $G$9) + CHOOSE(CONTROL!$C$38, 0.0264, 0)</f>
        <v>46.205100000000002</v>
      </c>
      <c r="C620" s="14">
        <f>43.6526 * CHOOSE(CONTROL!$C$15, $E$9, 100%, $G$9) + CHOOSE(CONTROL!$C$38, 0.0354, 0)</f>
        <v>43.688000000000002</v>
      </c>
      <c r="D620" s="14">
        <f>43.6448 * CHOOSE(CONTROL!$C$15, $E$9, 100%, $G$9) + CHOOSE(CONTROL!$C$38, 0.0354, 0)</f>
        <v>43.680199999999999</v>
      </c>
      <c r="E620" s="46">
        <f>46.0224 * CHOOSE(CONTROL!$C$15, $E$9, 100%, $G$9) + CHOOSE(CONTROL!$C$38, 0.0354, 0)</f>
        <v>46.0578</v>
      </c>
      <c r="F620" s="45">
        <f>46.0224 * CHOOSE(CONTROL!$C$15, $E$9, 100%, $G$9) + CHOOSE(CONTROL!$C$38, 0.0264, 0)</f>
        <v>46.0488</v>
      </c>
      <c r="G620" s="14">
        <f>43.6511 * CHOOSE(CONTROL!$C$15, $E$9, 100%, $G$9) + CHOOSE(CONTROL!$C$38, 0.0354, 0)</f>
        <v>43.686500000000002</v>
      </c>
      <c r="H620" s="14">
        <f>43.6511 * CHOOSE(CONTROL!$C$15, $E$9, 100%, $G$9) + CHOOSE(CONTROL!$C$38, 0.0354, 0)</f>
        <v>43.686500000000002</v>
      </c>
      <c r="I620" s="14">
        <f>43.6526 * CHOOSE(CONTROL!$C$15, $E$9, 100%, $G$9) + CHOOSE(CONTROL!$C$38, 0.0354, 0)</f>
        <v>43.688000000000002</v>
      </c>
      <c r="J620" s="44">
        <f>372.2225</f>
        <v>372.22250000000003</v>
      </c>
    </row>
    <row r="621" spans="1:10" ht="15.75" x14ac:dyDescent="0.25">
      <c r="A621" s="32">
        <v>59840</v>
      </c>
      <c r="B621" s="14">
        <f>44.6031 * CHOOSE(CONTROL!$C$15, $E$9, 100%, $G$9) + CHOOSE(CONTROL!$C$38, 0.0251, 0)</f>
        <v>44.6282</v>
      </c>
      <c r="C621" s="14">
        <f>42.159 * CHOOSE(CONTROL!$C$15, $E$9, 100%, $G$9) + CHOOSE(CONTROL!$C$38, 0.0342, 0)</f>
        <v>42.193199999999997</v>
      </c>
      <c r="D621" s="14">
        <f>42.1512 * CHOOSE(CONTROL!$C$15, $E$9, 100%, $G$9) + CHOOSE(CONTROL!$C$38, 0.0342, 0)</f>
        <v>42.185400000000001</v>
      </c>
      <c r="E621" s="46">
        <f>44.4469 * CHOOSE(CONTROL!$C$15, $E$9, 100%, $G$9) + CHOOSE(CONTROL!$C$38, 0.0342, 0)</f>
        <v>44.481099999999998</v>
      </c>
      <c r="F621" s="45">
        <f>44.4469 * CHOOSE(CONTROL!$C$15, $E$9, 100%, $G$9) + CHOOSE(CONTROL!$C$38, 0.0251, 0)</f>
        <v>44.472000000000001</v>
      </c>
      <c r="G621" s="14">
        <f>42.1575 * CHOOSE(CONTROL!$C$15, $E$9, 100%, $G$9) + CHOOSE(CONTROL!$C$38, 0.0342, 0)</f>
        <v>42.191699999999997</v>
      </c>
      <c r="H621" s="14">
        <f>42.1575 * CHOOSE(CONTROL!$C$15, $E$9, 100%, $G$9) + CHOOSE(CONTROL!$C$38, 0.0342, 0)</f>
        <v>42.191699999999997</v>
      </c>
      <c r="I621" s="14">
        <f>42.159 * CHOOSE(CONTROL!$C$15, $E$9, 100%, $G$9) + CHOOSE(CONTROL!$C$38, 0.0342, 0)</f>
        <v>42.193199999999997</v>
      </c>
      <c r="J621" s="44">
        <f>359.3507</f>
        <v>359.35070000000002</v>
      </c>
    </row>
    <row r="622" spans="1:10" ht="15.75" x14ac:dyDescent="0.25">
      <c r="A622" s="32">
        <v>59870</v>
      </c>
      <c r="B622" s="14">
        <f>44.2897 * CHOOSE(CONTROL!$C$15, $E$9, 100%, $G$9) + CHOOSE(CONTROL!$C$38, 0.0251, 0)</f>
        <v>44.314800000000005</v>
      </c>
      <c r="C622" s="14">
        <f>41.8619 * CHOOSE(CONTROL!$C$15, $E$9, 100%, $G$9) + CHOOSE(CONTROL!$C$38, 0.0342, 0)</f>
        <v>41.896099999999997</v>
      </c>
      <c r="D622" s="14">
        <f>41.8541 * CHOOSE(CONTROL!$C$15, $E$9, 100%, $G$9) + CHOOSE(CONTROL!$C$38, 0.0342, 0)</f>
        <v>41.888300000000001</v>
      </c>
      <c r="E622" s="46">
        <f>44.1334 * CHOOSE(CONTROL!$C$15, $E$9, 100%, $G$9) + CHOOSE(CONTROL!$C$38, 0.0342, 0)</f>
        <v>44.1676</v>
      </c>
      <c r="F622" s="45">
        <f>44.1334 * CHOOSE(CONTROL!$C$15, $E$9, 100%, $G$9) + CHOOSE(CONTROL!$C$38, 0.0251, 0)</f>
        <v>44.158500000000004</v>
      </c>
      <c r="G622" s="14">
        <f>41.8603 * CHOOSE(CONTROL!$C$15, $E$9, 100%, $G$9) + CHOOSE(CONTROL!$C$38, 0.0342, 0)</f>
        <v>41.894500000000001</v>
      </c>
      <c r="H622" s="14">
        <f>41.8603 * CHOOSE(CONTROL!$C$15, $E$9, 100%, $G$9) + CHOOSE(CONTROL!$C$38, 0.0342, 0)</f>
        <v>41.894500000000001</v>
      </c>
      <c r="I622" s="14">
        <f>41.8619 * CHOOSE(CONTROL!$C$15, $E$9, 100%, $G$9) + CHOOSE(CONTROL!$C$38, 0.0342, 0)</f>
        <v>41.896099999999997</v>
      </c>
      <c r="J622" s="44">
        <f>356.7902</f>
        <v>356.79020000000003</v>
      </c>
    </row>
    <row r="623" spans="1:10" ht="15.75" x14ac:dyDescent="0.25">
      <c r="A623" s="32">
        <v>59901</v>
      </c>
      <c r="B623" s="14">
        <f>42.9937 * CHOOSE(CONTROL!$C$15, $E$9, 100%, $G$9) + CHOOSE(CONTROL!$C$38, 0.0251, 0)</f>
        <v>43.018799999999999</v>
      </c>
      <c r="C623" s="14">
        <f>40.6333 * CHOOSE(CONTROL!$C$15, $E$9, 100%, $G$9) + CHOOSE(CONTROL!$C$38, 0.0342, 0)</f>
        <v>40.667499999999997</v>
      </c>
      <c r="D623" s="14">
        <f>40.6255 * CHOOSE(CONTROL!$C$15, $E$9, 100%, $G$9) + CHOOSE(CONTROL!$C$38, 0.0342, 0)</f>
        <v>40.659700000000001</v>
      </c>
      <c r="E623" s="46">
        <f>42.8375 * CHOOSE(CONTROL!$C$15, $E$9, 100%, $G$9) + CHOOSE(CONTROL!$C$38, 0.0342, 0)</f>
        <v>42.871699999999997</v>
      </c>
      <c r="F623" s="45">
        <f>42.8375 * CHOOSE(CONTROL!$C$15, $E$9, 100%, $G$9) + CHOOSE(CONTROL!$C$38, 0.0251, 0)</f>
        <v>42.8626</v>
      </c>
      <c r="G623" s="14">
        <f>40.6318 * CHOOSE(CONTROL!$C$15, $E$9, 100%, $G$9) + CHOOSE(CONTROL!$C$38, 0.0342, 0)</f>
        <v>40.665999999999997</v>
      </c>
      <c r="H623" s="14">
        <f>40.6318 * CHOOSE(CONTROL!$C$15, $E$9, 100%, $G$9) + CHOOSE(CONTROL!$C$38, 0.0342, 0)</f>
        <v>40.665999999999997</v>
      </c>
      <c r="I623" s="14">
        <f>40.6333 * CHOOSE(CONTROL!$C$15, $E$9, 100%, $G$9) + CHOOSE(CONTROL!$C$38, 0.0342, 0)</f>
        <v>40.667499999999997</v>
      </c>
      <c r="J623" s="44">
        <f>346.2024</f>
        <v>346.20240000000001</v>
      </c>
    </row>
    <row r="624" spans="1:10" ht="15.75" x14ac:dyDescent="0.25">
      <c r="A624" s="32">
        <v>59932</v>
      </c>
      <c r="B624" s="14">
        <f>42.6719 * CHOOSE(CONTROL!$C$15, $E$9, 100%, $G$9) + CHOOSE(CONTROL!$C$38, 0.0251, 0)</f>
        <v>42.697000000000003</v>
      </c>
      <c r="C624" s="14">
        <f>40.3282 * CHOOSE(CONTROL!$C$15, $E$9, 100%, $G$9) + CHOOSE(CONTROL!$C$38, 0.0342, 0)</f>
        <v>40.362400000000001</v>
      </c>
      <c r="D624" s="14">
        <f>40.3204 * CHOOSE(CONTROL!$C$15, $E$9, 100%, $G$9) + CHOOSE(CONTROL!$C$38, 0.0342, 0)</f>
        <v>40.354599999999998</v>
      </c>
      <c r="E624" s="46">
        <f>42.5156 * CHOOSE(CONTROL!$C$15, $E$9, 100%, $G$9) + CHOOSE(CONTROL!$C$38, 0.0342, 0)</f>
        <v>42.549799999999998</v>
      </c>
      <c r="F624" s="45">
        <f>42.5156 * CHOOSE(CONTROL!$C$15, $E$9, 100%, $G$9) + CHOOSE(CONTROL!$C$38, 0.0251, 0)</f>
        <v>42.540700000000001</v>
      </c>
      <c r="G624" s="14">
        <f>40.3267 * CHOOSE(CONTROL!$C$15, $E$9, 100%, $G$9) + CHOOSE(CONTROL!$C$38, 0.0342, 0)</f>
        <v>40.360900000000001</v>
      </c>
      <c r="H624" s="14">
        <f>40.3267 * CHOOSE(CONTROL!$C$15, $E$9, 100%, $G$9) + CHOOSE(CONTROL!$C$38, 0.0342, 0)</f>
        <v>40.360900000000001</v>
      </c>
      <c r="I624" s="14">
        <f>40.3282 * CHOOSE(CONTROL!$C$15, $E$9, 100%, $G$9) + CHOOSE(CONTROL!$C$38, 0.0342, 0)</f>
        <v>40.362400000000001</v>
      </c>
      <c r="J624" s="44">
        <f>345.9525</f>
        <v>345.95249999999999</v>
      </c>
    </row>
    <row r="625" spans="1:10" ht="15.75" x14ac:dyDescent="0.25">
      <c r="A625" s="32">
        <v>59961</v>
      </c>
      <c r="B625" s="14">
        <f>42.555 * CHOOSE(CONTROL!$C$15, $E$9, 100%, $G$9) + CHOOSE(CONTROL!$C$38, 0.0251, 0)</f>
        <v>42.580100000000002</v>
      </c>
      <c r="C625" s="14">
        <f>40.2174 * CHOOSE(CONTROL!$C$15, $E$9, 100%, $G$9) + CHOOSE(CONTROL!$C$38, 0.0342, 0)</f>
        <v>40.251599999999996</v>
      </c>
      <c r="D625" s="14">
        <f>40.2096 * CHOOSE(CONTROL!$C$15, $E$9, 100%, $G$9) + CHOOSE(CONTROL!$C$38, 0.0342, 0)</f>
        <v>40.2438</v>
      </c>
      <c r="E625" s="46">
        <f>42.3987 * CHOOSE(CONTROL!$C$15, $E$9, 100%, $G$9) + CHOOSE(CONTROL!$C$38, 0.0342, 0)</f>
        <v>42.432899999999997</v>
      </c>
      <c r="F625" s="45">
        <f>42.3987 * CHOOSE(CONTROL!$C$15, $E$9, 100%, $G$9) + CHOOSE(CONTROL!$C$38, 0.0251, 0)</f>
        <v>42.4238</v>
      </c>
      <c r="G625" s="14">
        <f>40.2158 * CHOOSE(CONTROL!$C$15, $E$9, 100%, $G$9) + CHOOSE(CONTROL!$C$38, 0.0342, 0)</f>
        <v>40.25</v>
      </c>
      <c r="H625" s="14">
        <f>40.2158 * CHOOSE(CONTROL!$C$15, $E$9, 100%, $G$9) + CHOOSE(CONTROL!$C$38, 0.0342, 0)</f>
        <v>40.25</v>
      </c>
      <c r="I625" s="14">
        <f>40.2174 * CHOOSE(CONTROL!$C$15, $E$9, 100%, $G$9) + CHOOSE(CONTROL!$C$38, 0.0342, 0)</f>
        <v>40.251599999999996</v>
      </c>
      <c r="J625" s="44">
        <f>344.9909</f>
        <v>344.99090000000001</v>
      </c>
    </row>
    <row r="626" spans="1:10" ht="15.75" x14ac:dyDescent="0.25">
      <c r="A626" s="32">
        <v>59992</v>
      </c>
      <c r="B626" s="14">
        <f>44.7653 * CHOOSE(CONTROL!$C$15, $E$9, 100%, $G$9) + CHOOSE(CONTROL!$C$38, 0.0251, 0)</f>
        <v>44.790400000000005</v>
      </c>
      <c r="C626" s="14">
        <f>42.3128 * CHOOSE(CONTROL!$C$15, $E$9, 100%, $G$9) + CHOOSE(CONTROL!$C$38, 0.0342, 0)</f>
        <v>42.347000000000001</v>
      </c>
      <c r="D626" s="14">
        <f>42.305 * CHOOSE(CONTROL!$C$15, $E$9, 100%, $G$9) + CHOOSE(CONTROL!$C$38, 0.0342, 0)</f>
        <v>42.339199999999998</v>
      </c>
      <c r="E626" s="46">
        <f>44.6091 * CHOOSE(CONTROL!$C$15, $E$9, 100%, $G$9) + CHOOSE(CONTROL!$C$38, 0.0342, 0)</f>
        <v>44.643299999999996</v>
      </c>
      <c r="F626" s="45">
        <f>44.6091 * CHOOSE(CONTROL!$C$15, $E$9, 100%, $G$9) + CHOOSE(CONTROL!$C$38, 0.0251, 0)</f>
        <v>44.6342</v>
      </c>
      <c r="G626" s="14">
        <f>42.3112 * CHOOSE(CONTROL!$C$15, $E$9, 100%, $G$9) + CHOOSE(CONTROL!$C$38, 0.0342, 0)</f>
        <v>42.345399999999998</v>
      </c>
      <c r="H626" s="14">
        <f>42.3112 * CHOOSE(CONTROL!$C$15, $E$9, 100%, $G$9) + CHOOSE(CONTROL!$C$38, 0.0342, 0)</f>
        <v>42.345399999999998</v>
      </c>
      <c r="I626" s="14">
        <f>42.3128 * CHOOSE(CONTROL!$C$15, $E$9, 100%, $G$9) + CHOOSE(CONTROL!$C$38, 0.0342, 0)</f>
        <v>42.347000000000001</v>
      </c>
      <c r="J626" s="44">
        <f>363.1739</f>
        <v>363.1739</v>
      </c>
    </row>
    <row r="627" spans="1:10" ht="15.75" x14ac:dyDescent="0.25">
      <c r="A627" s="32">
        <v>60022</v>
      </c>
      <c r="B627" s="14">
        <f>47.6317 * CHOOSE(CONTROL!$C$15, $E$9, 100%, $G$9) + CHOOSE(CONTROL!$C$38, 0.0251, 0)</f>
        <v>47.656800000000004</v>
      </c>
      <c r="C627" s="14">
        <f>45.03 * CHOOSE(CONTROL!$C$15, $E$9, 100%, $G$9) + CHOOSE(CONTROL!$C$38, 0.0342, 0)</f>
        <v>45.0642</v>
      </c>
      <c r="D627" s="14">
        <f>45.0222 * CHOOSE(CONTROL!$C$15, $E$9, 100%, $G$9) + CHOOSE(CONTROL!$C$38, 0.0342, 0)</f>
        <v>45.056399999999996</v>
      </c>
      <c r="E627" s="46">
        <f>47.4754 * CHOOSE(CONTROL!$C$15, $E$9, 100%, $G$9) + CHOOSE(CONTROL!$C$38, 0.0342, 0)</f>
        <v>47.509599999999999</v>
      </c>
      <c r="F627" s="45">
        <f>47.4754 * CHOOSE(CONTROL!$C$15, $E$9, 100%, $G$9) + CHOOSE(CONTROL!$C$38, 0.0251, 0)</f>
        <v>47.500500000000002</v>
      </c>
      <c r="G627" s="14">
        <f>45.0285 * CHOOSE(CONTROL!$C$15, $E$9, 100%, $G$9) + CHOOSE(CONTROL!$C$38, 0.0342, 0)</f>
        <v>45.0627</v>
      </c>
      <c r="H627" s="14">
        <f>45.0285 * CHOOSE(CONTROL!$C$15, $E$9, 100%, $G$9) + CHOOSE(CONTROL!$C$38, 0.0342, 0)</f>
        <v>45.0627</v>
      </c>
      <c r="I627" s="14">
        <f>45.03 * CHOOSE(CONTROL!$C$15, $E$9, 100%, $G$9) + CHOOSE(CONTROL!$C$38, 0.0342, 0)</f>
        <v>45.0642</v>
      </c>
      <c r="J627" s="44">
        <f>386.7529</f>
        <v>386.75290000000001</v>
      </c>
    </row>
    <row r="628" spans="1:10" ht="15.75" x14ac:dyDescent="0.25">
      <c r="A628" s="32">
        <v>60053</v>
      </c>
      <c r="B628" s="14">
        <f>49.2094 * CHOOSE(CONTROL!$C$15, $E$9, 100%, $G$9) + CHOOSE(CONTROL!$C$38, 0.0264, 0)</f>
        <v>49.235800000000005</v>
      </c>
      <c r="C628" s="14">
        <f>46.5257 * CHOOSE(CONTROL!$C$15, $E$9, 100%, $G$9) + CHOOSE(CONTROL!$C$38, 0.0354, 0)</f>
        <v>46.561100000000003</v>
      </c>
      <c r="D628" s="14">
        <f>46.5179 * CHOOSE(CONTROL!$C$15, $E$9, 100%, $G$9) + CHOOSE(CONTROL!$C$38, 0.0354, 0)</f>
        <v>46.5533</v>
      </c>
      <c r="E628" s="46">
        <f>49.0531 * CHOOSE(CONTROL!$C$15, $E$9, 100%, $G$9) + CHOOSE(CONTROL!$C$38, 0.0354, 0)</f>
        <v>49.088500000000003</v>
      </c>
      <c r="F628" s="45">
        <f>49.0531 * CHOOSE(CONTROL!$C$15, $E$9, 100%, $G$9) + CHOOSE(CONTROL!$C$38, 0.0264, 0)</f>
        <v>49.079500000000003</v>
      </c>
      <c r="G628" s="14">
        <f>46.5241 * CHOOSE(CONTROL!$C$15, $E$9, 100%, $G$9) + CHOOSE(CONTROL!$C$38, 0.0354, 0)</f>
        <v>46.5595</v>
      </c>
      <c r="H628" s="14">
        <f>46.5241 * CHOOSE(CONTROL!$C$15, $E$9, 100%, $G$9) + CHOOSE(CONTROL!$C$38, 0.0354, 0)</f>
        <v>46.5595</v>
      </c>
      <c r="I628" s="14">
        <f>46.5257 * CHOOSE(CONTROL!$C$15, $E$9, 100%, $G$9) + CHOOSE(CONTROL!$C$38, 0.0354, 0)</f>
        <v>46.561100000000003</v>
      </c>
      <c r="J628" s="44">
        <f>399.7316</f>
        <v>399.73160000000001</v>
      </c>
    </row>
    <row r="629" spans="1:10" ht="15.75" x14ac:dyDescent="0.25">
      <c r="A629" s="32">
        <v>60083</v>
      </c>
      <c r="B629" s="14">
        <f>49.9095 * CHOOSE(CONTROL!$C$15, $E$9, 100%, $G$9) + CHOOSE(CONTROL!$C$38, 0.0264, 0)</f>
        <v>49.935900000000004</v>
      </c>
      <c r="C629" s="14">
        <f>47.1894 * CHOOSE(CONTROL!$C$15, $E$9, 100%, $G$9) + CHOOSE(CONTROL!$C$38, 0.0354, 0)</f>
        <v>47.224800000000002</v>
      </c>
      <c r="D629" s="14">
        <f>47.1816 * CHOOSE(CONTROL!$C$15, $E$9, 100%, $G$9) + CHOOSE(CONTROL!$C$38, 0.0354, 0)</f>
        <v>47.217000000000006</v>
      </c>
      <c r="E629" s="46">
        <f>49.7533 * CHOOSE(CONTROL!$C$15, $E$9, 100%, $G$9) + CHOOSE(CONTROL!$C$38, 0.0354, 0)</f>
        <v>49.788700000000006</v>
      </c>
      <c r="F629" s="45">
        <f>49.7533 * CHOOSE(CONTROL!$C$15, $E$9, 100%, $G$9) + CHOOSE(CONTROL!$C$38, 0.0264, 0)</f>
        <v>49.779700000000005</v>
      </c>
      <c r="G629" s="14">
        <f>47.1879 * CHOOSE(CONTROL!$C$15, $E$9, 100%, $G$9) + CHOOSE(CONTROL!$C$38, 0.0354, 0)</f>
        <v>47.223300000000002</v>
      </c>
      <c r="H629" s="14">
        <f>47.1879 * CHOOSE(CONTROL!$C$15, $E$9, 100%, $G$9) + CHOOSE(CONTROL!$C$38, 0.0354, 0)</f>
        <v>47.223300000000002</v>
      </c>
      <c r="I629" s="14">
        <f>47.1894 * CHOOSE(CONTROL!$C$15, $E$9, 100%, $G$9) + CHOOSE(CONTROL!$C$38, 0.0354, 0)</f>
        <v>47.224800000000002</v>
      </c>
      <c r="J629" s="44">
        <f>405.4913</f>
        <v>405.49130000000002</v>
      </c>
    </row>
    <row r="630" spans="1:10" ht="15.75" x14ac:dyDescent="0.25">
      <c r="A630" s="32">
        <v>60114</v>
      </c>
      <c r="B630" s="14">
        <f>49.679 * CHOOSE(CONTROL!$C$15, $E$9, 100%, $G$9) + CHOOSE(CONTROL!$C$38, 0.0264, 0)</f>
        <v>49.705400000000004</v>
      </c>
      <c r="C630" s="14">
        <f>46.9709 * CHOOSE(CONTROL!$C$15, $E$9, 100%, $G$9) + CHOOSE(CONTROL!$C$38, 0.0354, 0)</f>
        <v>47.006300000000003</v>
      </c>
      <c r="D630" s="14">
        <f>46.9631 * CHOOSE(CONTROL!$C$15, $E$9, 100%, $G$9) + CHOOSE(CONTROL!$C$38, 0.0354, 0)</f>
        <v>46.9985</v>
      </c>
      <c r="E630" s="46">
        <f>49.5227 * CHOOSE(CONTROL!$C$15, $E$9, 100%, $G$9) + CHOOSE(CONTROL!$C$38, 0.0354, 0)</f>
        <v>49.558100000000003</v>
      </c>
      <c r="F630" s="45">
        <f>49.5227 * CHOOSE(CONTROL!$C$15, $E$9, 100%, $G$9) + CHOOSE(CONTROL!$C$38, 0.0264, 0)</f>
        <v>49.549100000000003</v>
      </c>
      <c r="G630" s="14">
        <f>46.9693 * CHOOSE(CONTROL!$C$15, $E$9, 100%, $G$9) + CHOOSE(CONTROL!$C$38, 0.0354, 0)</f>
        <v>47.0047</v>
      </c>
      <c r="H630" s="14">
        <f>46.9693 * CHOOSE(CONTROL!$C$15, $E$9, 100%, $G$9) + CHOOSE(CONTROL!$C$38, 0.0354, 0)</f>
        <v>47.0047</v>
      </c>
      <c r="I630" s="14">
        <f>46.9709 * CHOOSE(CONTROL!$C$15, $E$9, 100%, $G$9) + CHOOSE(CONTROL!$C$38, 0.0354, 0)</f>
        <v>47.006300000000003</v>
      </c>
      <c r="J630" s="44">
        <f>403.5949</f>
        <v>403.5949</v>
      </c>
    </row>
    <row r="631" spans="1:10" ht="15.75" x14ac:dyDescent="0.25">
      <c r="A631" s="32">
        <v>60145</v>
      </c>
      <c r="B631" s="14">
        <f>48.5369 * CHOOSE(CONTROL!$C$15, $E$9, 100%, $G$9) + CHOOSE(CONTROL!$C$38, 0.0264, 0)</f>
        <v>48.563300000000005</v>
      </c>
      <c r="C631" s="14">
        <f>45.8882 * CHOOSE(CONTROL!$C$15, $E$9, 100%, $G$9) + CHOOSE(CONTROL!$C$38, 0.0354, 0)</f>
        <v>45.9236</v>
      </c>
      <c r="D631" s="14">
        <f>45.8803 * CHOOSE(CONTROL!$C$15, $E$9, 100%, $G$9) + CHOOSE(CONTROL!$C$38, 0.0354, 0)</f>
        <v>45.915700000000001</v>
      </c>
      <c r="E631" s="46">
        <f>48.3806 * CHOOSE(CONTROL!$C$15, $E$9, 100%, $G$9) + CHOOSE(CONTROL!$C$38, 0.0354, 0)</f>
        <v>48.416000000000004</v>
      </c>
      <c r="F631" s="45">
        <f>48.3806 * CHOOSE(CONTROL!$C$15, $E$9, 100%, $G$9) + CHOOSE(CONTROL!$C$38, 0.0264, 0)</f>
        <v>48.407000000000004</v>
      </c>
      <c r="G631" s="14">
        <f>45.8866 * CHOOSE(CONTROL!$C$15, $E$9, 100%, $G$9) + CHOOSE(CONTROL!$C$38, 0.0354, 0)</f>
        <v>45.922000000000004</v>
      </c>
      <c r="H631" s="14">
        <f>45.8866 * CHOOSE(CONTROL!$C$15, $E$9, 100%, $G$9) + CHOOSE(CONTROL!$C$38, 0.0354, 0)</f>
        <v>45.922000000000004</v>
      </c>
      <c r="I631" s="14">
        <f>45.8882 * CHOOSE(CONTROL!$C$15, $E$9, 100%, $G$9) + CHOOSE(CONTROL!$C$38, 0.0354, 0)</f>
        <v>45.9236</v>
      </c>
      <c r="J631" s="44">
        <f>394.1994</f>
        <v>394.19940000000003</v>
      </c>
    </row>
    <row r="632" spans="1:10" ht="15.75" x14ac:dyDescent="0.25">
      <c r="A632" s="32">
        <v>60175</v>
      </c>
      <c r="B632" s="14">
        <f>46.9441 * CHOOSE(CONTROL!$C$15, $E$9, 100%, $G$9) + CHOOSE(CONTROL!$C$38, 0.0264, 0)</f>
        <v>46.970500000000001</v>
      </c>
      <c r="C632" s="14">
        <f>44.3782 * CHOOSE(CONTROL!$C$15, $E$9, 100%, $G$9) + CHOOSE(CONTROL!$C$38, 0.0354, 0)</f>
        <v>44.413600000000002</v>
      </c>
      <c r="D632" s="14">
        <f>44.3704 * CHOOSE(CONTROL!$C$15, $E$9, 100%, $G$9) + CHOOSE(CONTROL!$C$38, 0.0354, 0)</f>
        <v>44.405799999999999</v>
      </c>
      <c r="E632" s="46">
        <f>46.7878 * CHOOSE(CONTROL!$C$15, $E$9, 100%, $G$9) + CHOOSE(CONTROL!$C$38, 0.0354, 0)</f>
        <v>46.8232</v>
      </c>
      <c r="F632" s="45">
        <f>46.7878 * CHOOSE(CONTROL!$C$15, $E$9, 100%, $G$9) + CHOOSE(CONTROL!$C$38, 0.0264, 0)</f>
        <v>46.8142</v>
      </c>
      <c r="G632" s="14">
        <f>44.3767 * CHOOSE(CONTROL!$C$15, $E$9, 100%, $G$9) + CHOOSE(CONTROL!$C$38, 0.0354, 0)</f>
        <v>44.412100000000002</v>
      </c>
      <c r="H632" s="14">
        <f>44.3767 * CHOOSE(CONTROL!$C$15, $E$9, 100%, $G$9) + CHOOSE(CONTROL!$C$38, 0.0354, 0)</f>
        <v>44.412100000000002</v>
      </c>
      <c r="I632" s="14">
        <f>44.3782 * CHOOSE(CONTROL!$C$15, $E$9, 100%, $G$9) + CHOOSE(CONTROL!$C$38, 0.0354, 0)</f>
        <v>44.413600000000002</v>
      </c>
      <c r="J632" s="44">
        <f>381.0969</f>
        <v>381.09690000000001</v>
      </c>
    </row>
    <row r="633" spans="1:10" ht="15.75" x14ac:dyDescent="0.25">
      <c r="A633" s="32">
        <v>60206</v>
      </c>
      <c r="B633" s="14">
        <f>45.3421 * CHOOSE(CONTROL!$C$15, $E$9, 100%, $G$9) + CHOOSE(CONTROL!$C$38, 0.0251, 0)</f>
        <v>45.367200000000004</v>
      </c>
      <c r="C633" s="14">
        <f>42.8595 * CHOOSE(CONTROL!$C$15, $E$9, 100%, $G$9) + CHOOSE(CONTROL!$C$38, 0.0342, 0)</f>
        <v>42.893699999999995</v>
      </c>
      <c r="D633" s="14">
        <f>42.8517 * CHOOSE(CONTROL!$C$15, $E$9, 100%, $G$9) + CHOOSE(CONTROL!$C$38, 0.0342, 0)</f>
        <v>42.885899999999999</v>
      </c>
      <c r="E633" s="46">
        <f>45.1858 * CHOOSE(CONTROL!$C$15, $E$9, 100%, $G$9) + CHOOSE(CONTROL!$C$38, 0.0342, 0)</f>
        <v>45.22</v>
      </c>
      <c r="F633" s="45">
        <f>45.1858 * CHOOSE(CONTROL!$C$15, $E$9, 100%, $G$9) + CHOOSE(CONTROL!$C$38, 0.0251, 0)</f>
        <v>45.210900000000002</v>
      </c>
      <c r="G633" s="14">
        <f>42.858 * CHOOSE(CONTROL!$C$15, $E$9, 100%, $G$9) + CHOOSE(CONTROL!$C$38, 0.0342, 0)</f>
        <v>42.892199999999995</v>
      </c>
      <c r="H633" s="14">
        <f>42.858 * CHOOSE(CONTROL!$C$15, $E$9, 100%, $G$9) + CHOOSE(CONTROL!$C$38, 0.0342, 0)</f>
        <v>42.892199999999995</v>
      </c>
      <c r="I633" s="14">
        <f>42.8595 * CHOOSE(CONTROL!$C$15, $E$9, 100%, $G$9) + CHOOSE(CONTROL!$C$38, 0.0342, 0)</f>
        <v>42.893699999999995</v>
      </c>
      <c r="J633" s="44">
        <f>367.9181</f>
        <v>367.91809999999998</v>
      </c>
    </row>
    <row r="634" spans="1:10" ht="15.75" x14ac:dyDescent="0.25">
      <c r="A634" s="32">
        <v>60236</v>
      </c>
      <c r="B634" s="14">
        <f>45.0234 * CHOOSE(CONTROL!$C$15, $E$9, 100%, $G$9) + CHOOSE(CONTROL!$C$38, 0.0251, 0)</f>
        <v>45.048500000000004</v>
      </c>
      <c r="C634" s="14">
        <f>42.5574 * CHOOSE(CONTROL!$C$15, $E$9, 100%, $G$9) + CHOOSE(CONTROL!$C$38, 0.0342, 0)</f>
        <v>42.5916</v>
      </c>
      <c r="D634" s="14">
        <f>42.5496 * CHOOSE(CONTROL!$C$15, $E$9, 100%, $G$9) + CHOOSE(CONTROL!$C$38, 0.0342, 0)</f>
        <v>42.583799999999997</v>
      </c>
      <c r="E634" s="46">
        <f>44.8671 * CHOOSE(CONTROL!$C$15, $E$9, 100%, $G$9) + CHOOSE(CONTROL!$C$38, 0.0342, 0)</f>
        <v>44.901299999999999</v>
      </c>
      <c r="F634" s="45">
        <f>44.8671 * CHOOSE(CONTROL!$C$15, $E$9, 100%, $G$9) + CHOOSE(CONTROL!$C$38, 0.0251, 0)</f>
        <v>44.892200000000003</v>
      </c>
      <c r="G634" s="14">
        <f>42.5559 * CHOOSE(CONTROL!$C$15, $E$9, 100%, $G$9) + CHOOSE(CONTROL!$C$38, 0.0342, 0)</f>
        <v>42.5901</v>
      </c>
      <c r="H634" s="14">
        <f>42.5559 * CHOOSE(CONTROL!$C$15, $E$9, 100%, $G$9) + CHOOSE(CONTROL!$C$38, 0.0342, 0)</f>
        <v>42.5901</v>
      </c>
      <c r="I634" s="14">
        <f>42.5574 * CHOOSE(CONTROL!$C$15, $E$9, 100%, $G$9) + CHOOSE(CONTROL!$C$38, 0.0342, 0)</f>
        <v>42.5916</v>
      </c>
      <c r="J634" s="44">
        <f>365.2966</f>
        <v>365.29660000000001</v>
      </c>
    </row>
    <row r="635" spans="1:10" ht="15.75" x14ac:dyDescent="0.25">
      <c r="A635" s="32">
        <v>60267</v>
      </c>
      <c r="B635" s="14">
        <f>43.7056 * CHOOSE(CONTROL!$C$15, $E$9, 100%, $G$9) + CHOOSE(CONTROL!$C$38, 0.0251, 0)</f>
        <v>43.730699999999999</v>
      </c>
      <c r="C635" s="14">
        <f>41.3082 * CHOOSE(CONTROL!$C$15, $E$9, 100%, $G$9) + CHOOSE(CONTROL!$C$38, 0.0342, 0)</f>
        <v>41.342399999999998</v>
      </c>
      <c r="D635" s="14">
        <f>41.3004 * CHOOSE(CONTROL!$C$15, $E$9, 100%, $G$9) + CHOOSE(CONTROL!$C$38, 0.0342, 0)</f>
        <v>41.334600000000002</v>
      </c>
      <c r="E635" s="46">
        <f>43.5494 * CHOOSE(CONTROL!$C$15, $E$9, 100%, $G$9) + CHOOSE(CONTROL!$C$38, 0.0342, 0)</f>
        <v>43.583599999999997</v>
      </c>
      <c r="F635" s="45">
        <f>43.5494 * CHOOSE(CONTROL!$C$15, $E$9, 100%, $G$9) + CHOOSE(CONTROL!$C$38, 0.0251, 0)</f>
        <v>43.5745</v>
      </c>
      <c r="G635" s="14">
        <f>41.3067 * CHOOSE(CONTROL!$C$15, $E$9, 100%, $G$9) + CHOOSE(CONTROL!$C$38, 0.0342, 0)</f>
        <v>41.340899999999998</v>
      </c>
      <c r="H635" s="14">
        <f>41.3067 * CHOOSE(CONTROL!$C$15, $E$9, 100%, $G$9) + CHOOSE(CONTROL!$C$38, 0.0342, 0)</f>
        <v>41.340899999999998</v>
      </c>
      <c r="I635" s="14">
        <f>41.3082 * CHOOSE(CONTROL!$C$15, $E$9, 100%, $G$9) + CHOOSE(CONTROL!$C$38, 0.0342, 0)</f>
        <v>41.342399999999998</v>
      </c>
      <c r="J635" s="44">
        <f>354.4564</f>
        <v>354.45639999999997</v>
      </c>
    </row>
    <row r="636" spans="1:10" ht="15.75" x14ac:dyDescent="0.25">
      <c r="A636" s="32">
        <v>60298</v>
      </c>
      <c r="B636" s="14">
        <f>43.3784 * CHOOSE(CONTROL!$C$15, $E$9, 100%, $G$9) + CHOOSE(CONTROL!$C$38, 0.0251, 0)</f>
        <v>43.403500000000001</v>
      </c>
      <c r="C636" s="14">
        <f>40.998 * CHOOSE(CONTROL!$C$15, $E$9, 100%, $G$9) + CHOOSE(CONTROL!$C$38, 0.0342, 0)</f>
        <v>41.032199999999996</v>
      </c>
      <c r="D636" s="14">
        <f>40.9902 * CHOOSE(CONTROL!$C$15, $E$9, 100%, $G$9) + CHOOSE(CONTROL!$C$38, 0.0342, 0)</f>
        <v>41.0244</v>
      </c>
      <c r="E636" s="46">
        <f>43.2221 * CHOOSE(CONTROL!$C$15, $E$9, 100%, $G$9) + CHOOSE(CONTROL!$C$38, 0.0342, 0)</f>
        <v>43.256299999999996</v>
      </c>
      <c r="F636" s="45">
        <f>43.2221 * CHOOSE(CONTROL!$C$15, $E$9, 100%, $G$9) + CHOOSE(CONTROL!$C$38, 0.0251, 0)</f>
        <v>43.247199999999999</v>
      </c>
      <c r="G636" s="14">
        <f>40.9964 * CHOOSE(CONTROL!$C$15, $E$9, 100%, $G$9) + CHOOSE(CONTROL!$C$38, 0.0342, 0)</f>
        <v>41.0306</v>
      </c>
      <c r="H636" s="14">
        <f>40.9964 * CHOOSE(CONTROL!$C$15, $E$9, 100%, $G$9) + CHOOSE(CONTROL!$C$38, 0.0342, 0)</f>
        <v>41.0306</v>
      </c>
      <c r="I636" s="14">
        <f>40.998 * CHOOSE(CONTROL!$C$15, $E$9, 100%, $G$9) + CHOOSE(CONTROL!$C$38, 0.0342, 0)</f>
        <v>41.032199999999996</v>
      </c>
      <c r="J636" s="44">
        <f>354.2005</f>
        <v>354.20049999999998</v>
      </c>
    </row>
    <row r="637" spans="1:10" ht="15.75" x14ac:dyDescent="0.25">
      <c r="A637" s="32">
        <v>60326</v>
      </c>
      <c r="B637" s="14">
        <f>43.2595 * CHOOSE(CONTROL!$C$15, $E$9, 100%, $G$9) + CHOOSE(CONTROL!$C$38, 0.0251, 0)</f>
        <v>43.284600000000005</v>
      </c>
      <c r="C637" s="14">
        <f>40.8853 * CHOOSE(CONTROL!$C$15, $E$9, 100%, $G$9) + CHOOSE(CONTROL!$C$38, 0.0342, 0)</f>
        <v>40.919499999999999</v>
      </c>
      <c r="D637" s="14">
        <f>40.8775 * CHOOSE(CONTROL!$C$15, $E$9, 100%, $G$9) + CHOOSE(CONTROL!$C$38, 0.0342, 0)</f>
        <v>40.911699999999996</v>
      </c>
      <c r="E637" s="46">
        <f>43.1033 * CHOOSE(CONTROL!$C$15, $E$9, 100%, $G$9) + CHOOSE(CONTROL!$C$38, 0.0342, 0)</f>
        <v>43.137499999999996</v>
      </c>
      <c r="F637" s="45">
        <f>43.1033 * CHOOSE(CONTROL!$C$15, $E$9, 100%, $G$9) + CHOOSE(CONTROL!$C$38, 0.0251, 0)</f>
        <v>43.128399999999999</v>
      </c>
      <c r="G637" s="14">
        <f>40.8837 * CHOOSE(CONTROL!$C$15, $E$9, 100%, $G$9) + CHOOSE(CONTROL!$C$38, 0.0342, 0)</f>
        <v>40.917899999999996</v>
      </c>
      <c r="H637" s="14">
        <f>40.8837 * CHOOSE(CONTROL!$C$15, $E$9, 100%, $G$9) + CHOOSE(CONTROL!$C$38, 0.0342, 0)</f>
        <v>40.917899999999996</v>
      </c>
      <c r="I637" s="14">
        <f>40.8853 * CHOOSE(CONTROL!$C$15, $E$9, 100%, $G$9) + CHOOSE(CONTROL!$C$38, 0.0342, 0)</f>
        <v>40.919499999999999</v>
      </c>
      <c r="J637" s="44">
        <f>353.216</f>
        <v>353.21600000000001</v>
      </c>
    </row>
    <row r="638" spans="1:10" ht="15.75" x14ac:dyDescent="0.25">
      <c r="A638" s="32">
        <v>60357</v>
      </c>
      <c r="B638" s="14">
        <f>45.507 * CHOOSE(CONTROL!$C$15, $E$9, 100%, $G$9) + CHOOSE(CONTROL!$C$38, 0.0251, 0)</f>
        <v>45.5321</v>
      </c>
      <c r="C638" s="14">
        <f>43.0159 * CHOOSE(CONTROL!$C$15, $E$9, 100%, $G$9) + CHOOSE(CONTROL!$C$38, 0.0342, 0)</f>
        <v>43.0501</v>
      </c>
      <c r="D638" s="14">
        <f>43.0081 * CHOOSE(CONTROL!$C$15, $E$9, 100%, $G$9) + CHOOSE(CONTROL!$C$38, 0.0342, 0)</f>
        <v>43.042299999999997</v>
      </c>
      <c r="E638" s="46">
        <f>45.3508 * CHOOSE(CONTROL!$C$15, $E$9, 100%, $G$9) + CHOOSE(CONTROL!$C$38, 0.0342, 0)</f>
        <v>45.384999999999998</v>
      </c>
      <c r="F638" s="45">
        <f>45.3508 * CHOOSE(CONTROL!$C$15, $E$9, 100%, $G$9) + CHOOSE(CONTROL!$C$38, 0.0251, 0)</f>
        <v>45.375900000000001</v>
      </c>
      <c r="G638" s="14">
        <f>43.0143 * CHOOSE(CONTROL!$C$15, $E$9, 100%, $G$9) + CHOOSE(CONTROL!$C$38, 0.0342, 0)</f>
        <v>43.048499999999997</v>
      </c>
      <c r="H638" s="14">
        <f>43.0143 * CHOOSE(CONTROL!$C$15, $E$9, 100%, $G$9) + CHOOSE(CONTROL!$C$38, 0.0342, 0)</f>
        <v>43.048499999999997</v>
      </c>
      <c r="I638" s="14">
        <f>43.0159 * CHOOSE(CONTROL!$C$15, $E$9, 100%, $G$9) + CHOOSE(CONTROL!$C$38, 0.0342, 0)</f>
        <v>43.0501</v>
      </c>
      <c r="J638" s="44">
        <f>371.8325</f>
        <v>371.83249999999998</v>
      </c>
    </row>
    <row r="639" spans="1:10" ht="15.75" x14ac:dyDescent="0.25">
      <c r="A639" s="32">
        <v>60387</v>
      </c>
      <c r="B639" s="14">
        <f>48.4215 * CHOOSE(CONTROL!$C$15, $E$9, 100%, $G$9) + CHOOSE(CONTROL!$C$38, 0.0251, 0)</f>
        <v>48.446600000000004</v>
      </c>
      <c r="C639" s="14">
        <f>45.7788 * CHOOSE(CONTROL!$C$15, $E$9, 100%, $G$9) + CHOOSE(CONTROL!$C$38, 0.0342, 0)</f>
        <v>45.812999999999995</v>
      </c>
      <c r="D639" s="14">
        <f>45.771 * CHOOSE(CONTROL!$C$15, $E$9, 100%, $G$9) + CHOOSE(CONTROL!$C$38, 0.0342, 0)</f>
        <v>45.805199999999999</v>
      </c>
      <c r="E639" s="46">
        <f>48.2652 * CHOOSE(CONTROL!$C$15, $E$9, 100%, $G$9) + CHOOSE(CONTROL!$C$38, 0.0342, 0)</f>
        <v>48.299399999999999</v>
      </c>
      <c r="F639" s="45">
        <f>48.2652 * CHOOSE(CONTROL!$C$15, $E$9, 100%, $G$9) + CHOOSE(CONTROL!$C$38, 0.0251, 0)</f>
        <v>48.290300000000002</v>
      </c>
      <c r="G639" s="14">
        <f>45.7772 * CHOOSE(CONTROL!$C$15, $E$9, 100%, $G$9) + CHOOSE(CONTROL!$C$38, 0.0342, 0)</f>
        <v>45.811399999999999</v>
      </c>
      <c r="H639" s="14">
        <f>45.7772 * CHOOSE(CONTROL!$C$15, $E$9, 100%, $G$9) + CHOOSE(CONTROL!$C$38, 0.0342, 0)</f>
        <v>45.811399999999999</v>
      </c>
      <c r="I639" s="14">
        <f>45.7788 * CHOOSE(CONTROL!$C$15, $E$9, 100%, $G$9) + CHOOSE(CONTROL!$C$38, 0.0342, 0)</f>
        <v>45.812999999999995</v>
      </c>
      <c r="J639" s="44">
        <f>395.9737</f>
        <v>395.97370000000001</v>
      </c>
    </row>
    <row r="640" spans="1:10" ht="15.75" x14ac:dyDescent="0.25">
      <c r="A640" s="32">
        <v>60418</v>
      </c>
      <c r="B640" s="14">
        <f>50.0257 * CHOOSE(CONTROL!$C$15, $E$9, 100%, $G$9) + CHOOSE(CONTROL!$C$38, 0.0264, 0)</f>
        <v>50.052100000000003</v>
      </c>
      <c r="C640" s="14">
        <f>47.2996 * CHOOSE(CONTROL!$C$15, $E$9, 100%, $G$9) + CHOOSE(CONTROL!$C$38, 0.0354, 0)</f>
        <v>47.335000000000001</v>
      </c>
      <c r="D640" s="14">
        <f>47.2917 * CHOOSE(CONTROL!$C$15, $E$9, 100%, $G$9) + CHOOSE(CONTROL!$C$38, 0.0354, 0)</f>
        <v>47.327100000000002</v>
      </c>
      <c r="E640" s="46">
        <f>49.8695 * CHOOSE(CONTROL!$C$15, $E$9, 100%, $G$9) + CHOOSE(CONTROL!$C$38, 0.0354, 0)</f>
        <v>49.904900000000005</v>
      </c>
      <c r="F640" s="45">
        <f>49.8695 * CHOOSE(CONTROL!$C$15, $E$9, 100%, $G$9) + CHOOSE(CONTROL!$C$38, 0.0264, 0)</f>
        <v>49.895900000000005</v>
      </c>
      <c r="G640" s="14">
        <f>47.298 * CHOOSE(CONTROL!$C$15, $E$9, 100%, $G$9) + CHOOSE(CONTROL!$C$38, 0.0354, 0)</f>
        <v>47.333400000000005</v>
      </c>
      <c r="H640" s="14">
        <f>47.298 * CHOOSE(CONTROL!$C$15, $E$9, 100%, $G$9) + CHOOSE(CONTROL!$C$38, 0.0354, 0)</f>
        <v>47.333400000000005</v>
      </c>
      <c r="I640" s="14">
        <f>47.2996 * CHOOSE(CONTROL!$C$15, $E$9, 100%, $G$9) + CHOOSE(CONTROL!$C$38, 0.0354, 0)</f>
        <v>47.335000000000001</v>
      </c>
      <c r="J640" s="44">
        <f>409.2618</f>
        <v>409.26179999999999</v>
      </c>
    </row>
    <row r="641" spans="1:10" ht="15.75" x14ac:dyDescent="0.25">
      <c r="A641" s="32">
        <v>60448</v>
      </c>
      <c r="B641" s="14">
        <f>50.7376 * CHOOSE(CONTROL!$C$15, $E$9, 100%, $G$9) + CHOOSE(CONTROL!$C$38, 0.0264, 0)</f>
        <v>50.764000000000003</v>
      </c>
      <c r="C641" s="14">
        <f>47.9745 * CHOOSE(CONTROL!$C$15, $E$9, 100%, $G$9) + CHOOSE(CONTROL!$C$38, 0.0354, 0)</f>
        <v>48.009900000000002</v>
      </c>
      <c r="D641" s="14">
        <f>47.9666 * CHOOSE(CONTROL!$C$15, $E$9, 100%, $G$9) + CHOOSE(CONTROL!$C$38, 0.0354, 0)</f>
        <v>48.002000000000002</v>
      </c>
      <c r="E641" s="46">
        <f>50.5814 * CHOOSE(CONTROL!$C$15, $E$9, 100%, $G$9) + CHOOSE(CONTROL!$C$38, 0.0354, 0)</f>
        <v>50.616800000000005</v>
      </c>
      <c r="F641" s="45">
        <f>50.5814 * CHOOSE(CONTROL!$C$15, $E$9, 100%, $G$9) + CHOOSE(CONTROL!$C$38, 0.0264, 0)</f>
        <v>50.607800000000005</v>
      </c>
      <c r="G641" s="14">
        <f>47.9729 * CHOOSE(CONTROL!$C$15, $E$9, 100%, $G$9) + CHOOSE(CONTROL!$C$38, 0.0354, 0)</f>
        <v>48.008300000000006</v>
      </c>
      <c r="H641" s="14">
        <f>47.9729 * CHOOSE(CONTROL!$C$15, $E$9, 100%, $G$9) + CHOOSE(CONTROL!$C$38, 0.0354, 0)</f>
        <v>48.008300000000006</v>
      </c>
      <c r="I641" s="14">
        <f>47.9745 * CHOOSE(CONTROL!$C$15, $E$9, 100%, $G$9) + CHOOSE(CONTROL!$C$38, 0.0354, 0)</f>
        <v>48.009900000000002</v>
      </c>
      <c r="J641" s="44">
        <f>415.1588</f>
        <v>415.15879999999999</v>
      </c>
    </row>
    <row r="642" spans="1:10" ht="15.75" x14ac:dyDescent="0.25">
      <c r="A642" s="32">
        <v>60479</v>
      </c>
      <c r="B642" s="14">
        <f>50.5032 * CHOOSE(CONTROL!$C$15, $E$9, 100%, $G$9) + CHOOSE(CONTROL!$C$38, 0.0264, 0)</f>
        <v>50.529600000000002</v>
      </c>
      <c r="C642" s="14">
        <f>47.7522 * CHOOSE(CONTROL!$C$15, $E$9, 100%, $G$9) + CHOOSE(CONTROL!$C$38, 0.0354, 0)</f>
        <v>47.787600000000005</v>
      </c>
      <c r="D642" s="14">
        <f>47.7444 * CHOOSE(CONTROL!$C$15, $E$9, 100%, $G$9) + CHOOSE(CONTROL!$C$38, 0.0354, 0)</f>
        <v>47.779800000000002</v>
      </c>
      <c r="E642" s="46">
        <f>50.347 * CHOOSE(CONTROL!$C$15, $E$9, 100%, $G$9) + CHOOSE(CONTROL!$C$38, 0.0354, 0)</f>
        <v>50.382400000000004</v>
      </c>
      <c r="F642" s="45">
        <f>50.347 * CHOOSE(CONTROL!$C$15, $E$9, 100%, $G$9) + CHOOSE(CONTROL!$C$38, 0.0264, 0)</f>
        <v>50.373400000000004</v>
      </c>
      <c r="G642" s="14">
        <f>47.7507 * CHOOSE(CONTROL!$C$15, $E$9, 100%, $G$9) + CHOOSE(CONTROL!$C$38, 0.0354, 0)</f>
        <v>47.786100000000005</v>
      </c>
      <c r="H642" s="14">
        <f>47.7507 * CHOOSE(CONTROL!$C$15, $E$9, 100%, $G$9) + CHOOSE(CONTROL!$C$38, 0.0354, 0)</f>
        <v>47.786100000000005</v>
      </c>
      <c r="I642" s="14">
        <f>47.7522 * CHOOSE(CONTROL!$C$15, $E$9, 100%, $G$9) + CHOOSE(CONTROL!$C$38, 0.0354, 0)</f>
        <v>47.787600000000005</v>
      </c>
      <c r="J642" s="44">
        <f>413.2172</f>
        <v>413.21719999999999</v>
      </c>
    </row>
    <row r="643" spans="1:10" ht="15.75" x14ac:dyDescent="0.25">
      <c r="A643" s="32">
        <v>60510</v>
      </c>
      <c r="B643" s="14">
        <f>49.3419 * CHOOSE(CONTROL!$C$15, $E$9, 100%, $G$9) + CHOOSE(CONTROL!$C$38, 0.0264, 0)</f>
        <v>49.368300000000005</v>
      </c>
      <c r="C643" s="14">
        <f>46.6513 * CHOOSE(CONTROL!$C$15, $E$9, 100%, $G$9) + CHOOSE(CONTROL!$C$38, 0.0354, 0)</f>
        <v>46.686700000000002</v>
      </c>
      <c r="D643" s="14">
        <f>46.6435 * CHOOSE(CONTROL!$C$15, $E$9, 100%, $G$9) + CHOOSE(CONTROL!$C$38, 0.0354, 0)</f>
        <v>46.678900000000006</v>
      </c>
      <c r="E643" s="46">
        <f>49.1856 * CHOOSE(CONTROL!$C$15, $E$9, 100%, $G$9) + CHOOSE(CONTROL!$C$38, 0.0354, 0)</f>
        <v>49.221000000000004</v>
      </c>
      <c r="F643" s="45">
        <f>49.1856 * CHOOSE(CONTROL!$C$15, $E$9, 100%, $G$9) + CHOOSE(CONTROL!$C$38, 0.0264, 0)</f>
        <v>49.212000000000003</v>
      </c>
      <c r="G643" s="14">
        <f>46.6498 * CHOOSE(CONTROL!$C$15, $E$9, 100%, $G$9) + CHOOSE(CONTROL!$C$38, 0.0354, 0)</f>
        <v>46.685200000000002</v>
      </c>
      <c r="H643" s="14">
        <f>46.6498 * CHOOSE(CONTROL!$C$15, $E$9, 100%, $G$9) + CHOOSE(CONTROL!$C$38, 0.0354, 0)</f>
        <v>46.685200000000002</v>
      </c>
      <c r="I643" s="14">
        <f>46.6513 * CHOOSE(CONTROL!$C$15, $E$9, 100%, $G$9) + CHOOSE(CONTROL!$C$38, 0.0354, 0)</f>
        <v>46.686700000000002</v>
      </c>
      <c r="J643" s="44">
        <f>403.5977</f>
        <v>403.59769999999997</v>
      </c>
    </row>
    <row r="644" spans="1:10" ht="15.75" x14ac:dyDescent="0.25">
      <c r="A644" s="32">
        <v>60540</v>
      </c>
      <c r="B644" s="14">
        <f>47.7224 * CHOOSE(CONTROL!$C$15, $E$9, 100%, $G$9) + CHOOSE(CONTROL!$C$38, 0.0264, 0)</f>
        <v>47.748800000000003</v>
      </c>
      <c r="C644" s="14">
        <f>45.116 * CHOOSE(CONTROL!$C$15, $E$9, 100%, $G$9) + CHOOSE(CONTROL!$C$38, 0.0354, 0)</f>
        <v>45.151400000000002</v>
      </c>
      <c r="D644" s="14">
        <f>45.1082 * CHOOSE(CONTROL!$C$15, $E$9, 100%, $G$9) + CHOOSE(CONTROL!$C$38, 0.0354, 0)</f>
        <v>45.143599999999999</v>
      </c>
      <c r="E644" s="46">
        <f>47.5661 * CHOOSE(CONTROL!$C$15, $E$9, 100%, $G$9) + CHOOSE(CONTROL!$C$38, 0.0354, 0)</f>
        <v>47.601500000000001</v>
      </c>
      <c r="F644" s="45">
        <f>47.5661 * CHOOSE(CONTROL!$C$15, $E$9, 100%, $G$9) + CHOOSE(CONTROL!$C$38, 0.0264, 0)</f>
        <v>47.592500000000001</v>
      </c>
      <c r="G644" s="14">
        <f>45.1145 * CHOOSE(CONTROL!$C$15, $E$9, 100%, $G$9) + CHOOSE(CONTROL!$C$38, 0.0354, 0)</f>
        <v>45.149900000000002</v>
      </c>
      <c r="H644" s="14">
        <f>45.1145 * CHOOSE(CONTROL!$C$15, $E$9, 100%, $G$9) + CHOOSE(CONTROL!$C$38, 0.0354, 0)</f>
        <v>45.149900000000002</v>
      </c>
      <c r="I644" s="14">
        <f>45.116 * CHOOSE(CONTROL!$C$15, $E$9, 100%, $G$9) + CHOOSE(CONTROL!$C$38, 0.0354, 0)</f>
        <v>45.151400000000002</v>
      </c>
      <c r="J644" s="44">
        <f>390.1828</f>
        <v>390.18279999999999</v>
      </c>
    </row>
    <row r="645" spans="1:10" ht="15.75" x14ac:dyDescent="0.25">
      <c r="A645" s="32">
        <v>60571</v>
      </c>
      <c r="B645" s="14">
        <f>46.0934 * CHOOSE(CONTROL!$C$15, $E$9, 100%, $G$9) + CHOOSE(CONTROL!$C$38, 0.0251, 0)</f>
        <v>46.118500000000004</v>
      </c>
      <c r="C645" s="14">
        <f>43.5718 * CHOOSE(CONTROL!$C$15, $E$9, 100%, $G$9) + CHOOSE(CONTROL!$C$38, 0.0342, 0)</f>
        <v>43.606000000000002</v>
      </c>
      <c r="D645" s="14">
        <f>43.564 * CHOOSE(CONTROL!$C$15, $E$9, 100%, $G$9) + CHOOSE(CONTROL!$C$38, 0.0342, 0)</f>
        <v>43.598199999999999</v>
      </c>
      <c r="E645" s="46">
        <f>45.9372 * CHOOSE(CONTROL!$C$15, $E$9, 100%, $G$9) + CHOOSE(CONTROL!$C$38, 0.0342, 0)</f>
        <v>45.971399999999996</v>
      </c>
      <c r="F645" s="45">
        <f>45.9372 * CHOOSE(CONTROL!$C$15, $E$9, 100%, $G$9) + CHOOSE(CONTROL!$C$38, 0.0251, 0)</f>
        <v>45.962299999999999</v>
      </c>
      <c r="G645" s="14">
        <f>43.5703 * CHOOSE(CONTROL!$C$15, $E$9, 100%, $G$9) + CHOOSE(CONTROL!$C$38, 0.0342, 0)</f>
        <v>43.604500000000002</v>
      </c>
      <c r="H645" s="14">
        <f>43.5703 * CHOOSE(CONTROL!$C$15, $E$9, 100%, $G$9) + CHOOSE(CONTROL!$C$38, 0.0342, 0)</f>
        <v>43.604500000000002</v>
      </c>
      <c r="I645" s="14">
        <f>43.5718 * CHOOSE(CONTROL!$C$15, $E$9, 100%, $G$9) + CHOOSE(CONTROL!$C$38, 0.0342, 0)</f>
        <v>43.606000000000002</v>
      </c>
      <c r="J645" s="44">
        <f>376.6899</f>
        <v>376.68990000000002</v>
      </c>
    </row>
    <row r="646" spans="1:10" ht="15.75" x14ac:dyDescent="0.25">
      <c r="A646" s="32">
        <v>60601</v>
      </c>
      <c r="B646" s="14">
        <f>45.7694 * CHOOSE(CONTROL!$C$15, $E$9, 100%, $G$9) + CHOOSE(CONTROL!$C$38, 0.0251, 0)</f>
        <v>45.794499999999999</v>
      </c>
      <c r="C646" s="14">
        <f>43.2646 * CHOOSE(CONTROL!$C$15, $E$9, 100%, $G$9) + CHOOSE(CONTROL!$C$38, 0.0342, 0)</f>
        <v>43.2988</v>
      </c>
      <c r="D646" s="14">
        <f>43.2568 * CHOOSE(CONTROL!$C$15, $E$9, 100%, $G$9) + CHOOSE(CONTROL!$C$38, 0.0342, 0)</f>
        <v>43.290999999999997</v>
      </c>
      <c r="E646" s="46">
        <f>45.6131 * CHOOSE(CONTROL!$C$15, $E$9, 100%, $G$9) + CHOOSE(CONTROL!$C$38, 0.0342, 0)</f>
        <v>45.647300000000001</v>
      </c>
      <c r="F646" s="45">
        <f>45.6131 * CHOOSE(CONTROL!$C$15, $E$9, 100%, $G$9) + CHOOSE(CONTROL!$C$38, 0.0251, 0)</f>
        <v>45.638200000000005</v>
      </c>
      <c r="G646" s="14">
        <f>43.2631 * CHOOSE(CONTROL!$C$15, $E$9, 100%, $G$9) + CHOOSE(CONTROL!$C$38, 0.0342, 0)</f>
        <v>43.2973</v>
      </c>
      <c r="H646" s="14">
        <f>43.2631 * CHOOSE(CONTROL!$C$15, $E$9, 100%, $G$9) + CHOOSE(CONTROL!$C$38, 0.0342, 0)</f>
        <v>43.2973</v>
      </c>
      <c r="I646" s="14">
        <f>43.2646 * CHOOSE(CONTROL!$C$15, $E$9, 100%, $G$9) + CHOOSE(CONTROL!$C$38, 0.0342, 0)</f>
        <v>43.2988</v>
      </c>
      <c r="J646" s="44">
        <f>374.0059</f>
        <v>374.0059</v>
      </c>
    </row>
    <row r="647" spans="1:10" ht="15.75" x14ac:dyDescent="0.25">
      <c r="A647" s="32">
        <v>60632</v>
      </c>
      <c r="B647" s="14">
        <f>44.4295 * CHOOSE(CONTROL!$C$15, $E$9, 100%, $G$9) + CHOOSE(CONTROL!$C$38, 0.0251, 0)</f>
        <v>44.454599999999999</v>
      </c>
      <c r="C647" s="14">
        <f>41.9944 * CHOOSE(CONTROL!$C$15, $E$9, 100%, $G$9) + CHOOSE(CONTROL!$C$38, 0.0342, 0)</f>
        <v>42.028599999999997</v>
      </c>
      <c r="D647" s="14">
        <f>41.9866 * CHOOSE(CONTROL!$C$15, $E$9, 100%, $G$9) + CHOOSE(CONTROL!$C$38, 0.0342, 0)</f>
        <v>42.020800000000001</v>
      </c>
      <c r="E647" s="46">
        <f>44.2733 * CHOOSE(CONTROL!$C$15, $E$9, 100%, $G$9) + CHOOSE(CONTROL!$C$38, 0.0342, 0)</f>
        <v>44.307499999999997</v>
      </c>
      <c r="F647" s="45">
        <f>44.2733 * CHOOSE(CONTROL!$C$15, $E$9, 100%, $G$9) + CHOOSE(CONTROL!$C$38, 0.0251, 0)</f>
        <v>44.298400000000001</v>
      </c>
      <c r="G647" s="14">
        <f>41.9929 * CHOOSE(CONTROL!$C$15, $E$9, 100%, $G$9) + CHOOSE(CONTROL!$C$38, 0.0342, 0)</f>
        <v>42.027099999999997</v>
      </c>
      <c r="H647" s="14">
        <f>41.9929 * CHOOSE(CONTROL!$C$15, $E$9, 100%, $G$9) + CHOOSE(CONTROL!$C$38, 0.0342, 0)</f>
        <v>42.027099999999997</v>
      </c>
      <c r="I647" s="14">
        <f>41.9944 * CHOOSE(CONTROL!$C$15, $E$9, 100%, $G$9) + CHOOSE(CONTROL!$C$38, 0.0342, 0)</f>
        <v>42.028599999999997</v>
      </c>
      <c r="J647" s="44">
        <f>362.9072</f>
        <v>362.90719999999999</v>
      </c>
    </row>
    <row r="648" spans="1:10" ht="15.75" x14ac:dyDescent="0.25">
      <c r="A648" s="32">
        <v>60663</v>
      </c>
      <c r="B648" s="14">
        <f>44.0968 * CHOOSE(CONTROL!$C$15, $E$9, 100%, $G$9) + CHOOSE(CONTROL!$C$38, 0.0251, 0)</f>
        <v>44.121900000000004</v>
      </c>
      <c r="C648" s="14">
        <f>41.679 * CHOOSE(CONTROL!$C$15, $E$9, 100%, $G$9) + CHOOSE(CONTROL!$C$38, 0.0342, 0)</f>
        <v>41.713200000000001</v>
      </c>
      <c r="D648" s="14">
        <f>41.6712 * CHOOSE(CONTROL!$C$15, $E$9, 100%, $G$9) + CHOOSE(CONTROL!$C$38, 0.0342, 0)</f>
        <v>41.705399999999997</v>
      </c>
      <c r="E648" s="46">
        <f>43.9405 * CHOOSE(CONTROL!$C$15, $E$9, 100%, $G$9) + CHOOSE(CONTROL!$C$38, 0.0342, 0)</f>
        <v>43.974699999999999</v>
      </c>
      <c r="F648" s="45">
        <f>43.9405 * CHOOSE(CONTROL!$C$15, $E$9, 100%, $G$9) + CHOOSE(CONTROL!$C$38, 0.0251, 0)</f>
        <v>43.965600000000002</v>
      </c>
      <c r="G648" s="14">
        <f>41.6774 * CHOOSE(CONTROL!$C$15, $E$9, 100%, $G$9) + CHOOSE(CONTROL!$C$38, 0.0342, 0)</f>
        <v>41.711599999999997</v>
      </c>
      <c r="H648" s="14">
        <f>41.6774 * CHOOSE(CONTROL!$C$15, $E$9, 100%, $G$9) + CHOOSE(CONTROL!$C$38, 0.0342, 0)</f>
        <v>41.711599999999997</v>
      </c>
      <c r="I648" s="14">
        <f>41.679 * CHOOSE(CONTROL!$C$15, $E$9, 100%, $G$9) + CHOOSE(CONTROL!$C$38, 0.0342, 0)</f>
        <v>41.713200000000001</v>
      </c>
      <c r="J648" s="44">
        <f>362.6452</f>
        <v>362.64519999999999</v>
      </c>
    </row>
    <row r="649" spans="1:10" ht="15.75" x14ac:dyDescent="0.25">
      <c r="A649" s="32">
        <v>60691</v>
      </c>
      <c r="B649" s="14">
        <f>43.9759 * CHOOSE(CONTROL!$C$15, $E$9, 100%, $G$9) + CHOOSE(CONTROL!$C$38, 0.0251, 0)</f>
        <v>44.001000000000005</v>
      </c>
      <c r="C649" s="14">
        <f>41.5644 * CHOOSE(CONTROL!$C$15, $E$9, 100%, $G$9) + CHOOSE(CONTROL!$C$38, 0.0342, 0)</f>
        <v>41.598599999999998</v>
      </c>
      <c r="D649" s="14">
        <f>41.5566 * CHOOSE(CONTROL!$C$15, $E$9, 100%, $G$9) + CHOOSE(CONTROL!$C$38, 0.0342, 0)</f>
        <v>41.590800000000002</v>
      </c>
      <c r="E649" s="46">
        <f>43.8196 * CHOOSE(CONTROL!$C$15, $E$9, 100%, $G$9) + CHOOSE(CONTROL!$C$38, 0.0342, 0)</f>
        <v>43.8538</v>
      </c>
      <c r="F649" s="45">
        <f>43.8196 * CHOOSE(CONTROL!$C$15, $E$9, 100%, $G$9) + CHOOSE(CONTROL!$C$38, 0.0251, 0)</f>
        <v>43.844700000000003</v>
      </c>
      <c r="G649" s="14">
        <f>41.5629 * CHOOSE(CONTROL!$C$15, $E$9, 100%, $G$9) + CHOOSE(CONTROL!$C$38, 0.0342, 0)</f>
        <v>41.597099999999998</v>
      </c>
      <c r="H649" s="14">
        <f>41.5629 * CHOOSE(CONTROL!$C$15, $E$9, 100%, $G$9) + CHOOSE(CONTROL!$C$38, 0.0342, 0)</f>
        <v>41.597099999999998</v>
      </c>
      <c r="I649" s="14">
        <f>41.5644 * CHOOSE(CONTROL!$C$15, $E$9, 100%, $G$9) + CHOOSE(CONTROL!$C$38, 0.0342, 0)</f>
        <v>41.598599999999998</v>
      </c>
      <c r="J649" s="44">
        <f>361.6372</f>
        <v>361.63720000000001</v>
      </c>
    </row>
    <row r="650" spans="1:10" ht="15.75" x14ac:dyDescent="0.25">
      <c r="A650" s="32">
        <v>60722</v>
      </c>
      <c r="B650" s="14">
        <f>46.2612 * CHOOSE(CONTROL!$C$15, $E$9, 100%, $G$9) + CHOOSE(CONTROL!$C$38, 0.0251, 0)</f>
        <v>46.286300000000004</v>
      </c>
      <c r="C650" s="14">
        <f>43.7308 * CHOOSE(CONTROL!$C$15, $E$9, 100%, $G$9) + CHOOSE(CONTROL!$C$38, 0.0342, 0)</f>
        <v>43.765000000000001</v>
      </c>
      <c r="D650" s="14">
        <f>43.723 * CHOOSE(CONTROL!$C$15, $E$9, 100%, $G$9) + CHOOSE(CONTROL!$C$38, 0.0342, 0)</f>
        <v>43.757199999999997</v>
      </c>
      <c r="E650" s="46">
        <f>46.1049 * CHOOSE(CONTROL!$C$15, $E$9, 100%, $G$9) + CHOOSE(CONTROL!$C$38, 0.0342, 0)</f>
        <v>46.139099999999999</v>
      </c>
      <c r="F650" s="45">
        <f>46.1049 * CHOOSE(CONTROL!$C$15, $E$9, 100%, $G$9) + CHOOSE(CONTROL!$C$38, 0.0251, 0)</f>
        <v>46.13</v>
      </c>
      <c r="G650" s="14">
        <f>43.7293 * CHOOSE(CONTROL!$C$15, $E$9, 100%, $G$9) + CHOOSE(CONTROL!$C$38, 0.0342, 0)</f>
        <v>43.763500000000001</v>
      </c>
      <c r="H650" s="14">
        <f>43.7293 * CHOOSE(CONTROL!$C$15, $E$9, 100%, $G$9) + CHOOSE(CONTROL!$C$38, 0.0342, 0)</f>
        <v>43.763500000000001</v>
      </c>
      <c r="I650" s="14">
        <f>43.7308 * CHOOSE(CONTROL!$C$15, $E$9, 100%, $G$9) + CHOOSE(CONTROL!$C$38, 0.0342, 0)</f>
        <v>43.765000000000001</v>
      </c>
      <c r="J650" s="44">
        <f>380.6975</f>
        <v>380.69749999999999</v>
      </c>
    </row>
    <row r="651" spans="1:10" ht="15.75" x14ac:dyDescent="0.25">
      <c r="A651" s="32">
        <v>60752</v>
      </c>
      <c r="B651" s="14">
        <f>49.2246 * CHOOSE(CONTROL!$C$15, $E$9, 100%, $G$9) + CHOOSE(CONTROL!$C$38, 0.0251, 0)</f>
        <v>49.249700000000004</v>
      </c>
      <c r="C651" s="14">
        <f>46.5401 * CHOOSE(CONTROL!$C$15, $E$9, 100%, $G$9) + CHOOSE(CONTROL!$C$38, 0.0342, 0)</f>
        <v>46.574300000000001</v>
      </c>
      <c r="D651" s="14">
        <f>46.5323 * CHOOSE(CONTROL!$C$15, $E$9, 100%, $G$9) + CHOOSE(CONTROL!$C$38, 0.0342, 0)</f>
        <v>46.566499999999998</v>
      </c>
      <c r="E651" s="46">
        <f>49.0683 * CHOOSE(CONTROL!$C$15, $E$9, 100%, $G$9) + CHOOSE(CONTROL!$C$38, 0.0342, 0)</f>
        <v>49.102499999999999</v>
      </c>
      <c r="F651" s="45">
        <f>49.0683 * CHOOSE(CONTROL!$C$15, $E$9, 100%, $G$9) + CHOOSE(CONTROL!$C$38, 0.0251, 0)</f>
        <v>49.093400000000003</v>
      </c>
      <c r="G651" s="14">
        <f>46.5385 * CHOOSE(CONTROL!$C$15, $E$9, 100%, $G$9) + CHOOSE(CONTROL!$C$38, 0.0342, 0)</f>
        <v>46.572699999999998</v>
      </c>
      <c r="H651" s="14">
        <f>46.5385 * CHOOSE(CONTROL!$C$15, $E$9, 100%, $G$9) + CHOOSE(CONTROL!$C$38, 0.0342, 0)</f>
        <v>46.572699999999998</v>
      </c>
      <c r="I651" s="14">
        <f>46.5401 * CHOOSE(CONTROL!$C$15, $E$9, 100%, $G$9) + CHOOSE(CONTROL!$C$38, 0.0342, 0)</f>
        <v>46.574300000000001</v>
      </c>
      <c r="J651" s="44">
        <f>405.4143</f>
        <v>405.41430000000003</v>
      </c>
    </row>
    <row r="652" spans="1:10" ht="15.75" x14ac:dyDescent="0.25">
      <c r="A652" s="32">
        <v>60783</v>
      </c>
      <c r="B652" s="14">
        <f>50.8558 * CHOOSE(CONTROL!$C$15, $E$9, 100%, $G$9) + CHOOSE(CONTROL!$C$38, 0.0264, 0)</f>
        <v>50.882200000000005</v>
      </c>
      <c r="C652" s="14">
        <f>48.0864 * CHOOSE(CONTROL!$C$15, $E$9, 100%, $G$9) + CHOOSE(CONTROL!$C$38, 0.0354, 0)</f>
        <v>48.1218</v>
      </c>
      <c r="D652" s="14">
        <f>48.0786 * CHOOSE(CONTROL!$C$15, $E$9, 100%, $G$9) + CHOOSE(CONTROL!$C$38, 0.0354, 0)</f>
        <v>48.114000000000004</v>
      </c>
      <c r="E652" s="46">
        <f>50.6995 * CHOOSE(CONTROL!$C$15, $E$9, 100%, $G$9) + CHOOSE(CONTROL!$C$38, 0.0354, 0)</f>
        <v>50.734900000000003</v>
      </c>
      <c r="F652" s="45">
        <f>50.6995 * CHOOSE(CONTROL!$C$15, $E$9, 100%, $G$9) + CHOOSE(CONTROL!$C$38, 0.0264, 0)</f>
        <v>50.725900000000003</v>
      </c>
      <c r="G652" s="14">
        <f>48.0849 * CHOOSE(CONTROL!$C$15, $E$9, 100%, $G$9) + CHOOSE(CONTROL!$C$38, 0.0354, 0)</f>
        <v>48.1203</v>
      </c>
      <c r="H652" s="14">
        <f>48.0849 * CHOOSE(CONTROL!$C$15, $E$9, 100%, $G$9) + CHOOSE(CONTROL!$C$38, 0.0354, 0)</f>
        <v>48.1203</v>
      </c>
      <c r="I652" s="14">
        <f>48.0864 * CHOOSE(CONTROL!$C$15, $E$9, 100%, $G$9) + CHOOSE(CONTROL!$C$38, 0.0354, 0)</f>
        <v>48.1218</v>
      </c>
      <c r="J652" s="44">
        <f>419.0192</f>
        <v>419.01920000000001</v>
      </c>
    </row>
    <row r="653" spans="1:10" ht="15.75" x14ac:dyDescent="0.25">
      <c r="A653" s="32">
        <v>60813</v>
      </c>
      <c r="B653" s="14">
        <f>51.5796 * CHOOSE(CONTROL!$C$15, $E$9, 100%, $G$9) + CHOOSE(CONTROL!$C$38, 0.0264, 0)</f>
        <v>51.606000000000002</v>
      </c>
      <c r="C653" s="14">
        <f>48.7727 * CHOOSE(CONTROL!$C$15, $E$9, 100%, $G$9) + CHOOSE(CONTROL!$C$38, 0.0354, 0)</f>
        <v>48.808100000000003</v>
      </c>
      <c r="D653" s="14">
        <f>48.7649 * CHOOSE(CONTROL!$C$15, $E$9, 100%, $G$9) + CHOOSE(CONTROL!$C$38, 0.0354, 0)</f>
        <v>48.8003</v>
      </c>
      <c r="E653" s="46">
        <f>51.4234 * CHOOSE(CONTROL!$C$15, $E$9, 100%, $G$9) + CHOOSE(CONTROL!$C$38, 0.0354, 0)</f>
        <v>51.458800000000004</v>
      </c>
      <c r="F653" s="45">
        <f>51.4234 * CHOOSE(CONTROL!$C$15, $E$9, 100%, $G$9) + CHOOSE(CONTROL!$C$38, 0.0264, 0)</f>
        <v>51.449800000000003</v>
      </c>
      <c r="G653" s="14">
        <f>48.7711 * CHOOSE(CONTROL!$C$15, $E$9, 100%, $G$9) + CHOOSE(CONTROL!$C$38, 0.0354, 0)</f>
        <v>48.8065</v>
      </c>
      <c r="H653" s="14">
        <f>48.7711 * CHOOSE(CONTROL!$C$15, $E$9, 100%, $G$9) + CHOOSE(CONTROL!$C$38, 0.0354, 0)</f>
        <v>48.8065</v>
      </c>
      <c r="I653" s="14">
        <f>48.7727 * CHOOSE(CONTROL!$C$15, $E$9, 100%, $G$9) + CHOOSE(CONTROL!$C$38, 0.0354, 0)</f>
        <v>48.808100000000003</v>
      </c>
      <c r="J653" s="44">
        <f>425.0568</f>
        <v>425.05680000000001</v>
      </c>
    </row>
    <row r="654" spans="1:10" ht="15.75" x14ac:dyDescent="0.25">
      <c r="A654" s="32">
        <v>60844</v>
      </c>
      <c r="B654" s="14">
        <f>51.3413 * CHOOSE(CONTROL!$C$15, $E$9, 100%, $G$9) + CHOOSE(CONTROL!$C$38, 0.0264, 0)</f>
        <v>51.367699999999999</v>
      </c>
      <c r="C654" s="14">
        <f>48.5467 * CHOOSE(CONTROL!$C$15, $E$9, 100%, $G$9) + CHOOSE(CONTROL!$C$38, 0.0354, 0)</f>
        <v>48.582100000000004</v>
      </c>
      <c r="D654" s="14">
        <f>48.5389 * CHOOSE(CONTROL!$C$15, $E$9, 100%, $G$9) + CHOOSE(CONTROL!$C$38, 0.0354, 0)</f>
        <v>48.574300000000001</v>
      </c>
      <c r="E654" s="46">
        <f>51.185 * CHOOSE(CONTROL!$C$15, $E$9, 100%, $G$9) + CHOOSE(CONTROL!$C$38, 0.0354, 0)</f>
        <v>51.220400000000005</v>
      </c>
      <c r="F654" s="45">
        <f>51.185 * CHOOSE(CONTROL!$C$15, $E$9, 100%, $G$9) + CHOOSE(CONTROL!$C$38, 0.0264, 0)</f>
        <v>51.211400000000005</v>
      </c>
      <c r="G654" s="14">
        <f>48.5452 * CHOOSE(CONTROL!$C$15, $E$9, 100%, $G$9) + CHOOSE(CONTROL!$C$38, 0.0354, 0)</f>
        <v>48.580600000000004</v>
      </c>
      <c r="H654" s="14">
        <f>48.5452 * CHOOSE(CONTROL!$C$15, $E$9, 100%, $G$9) + CHOOSE(CONTROL!$C$38, 0.0354, 0)</f>
        <v>48.580600000000004</v>
      </c>
      <c r="I654" s="14">
        <f>48.5467 * CHOOSE(CONTROL!$C$15, $E$9, 100%, $G$9) + CHOOSE(CONTROL!$C$38, 0.0354, 0)</f>
        <v>48.582100000000004</v>
      </c>
      <c r="J654" s="44">
        <f>423.0689</f>
        <v>423.06889999999999</v>
      </c>
    </row>
    <row r="655" spans="1:10" ht="15.75" x14ac:dyDescent="0.25">
      <c r="A655" s="32">
        <v>60875</v>
      </c>
      <c r="B655" s="14">
        <f>50.1605 * CHOOSE(CONTROL!$C$15, $E$9, 100%, $G$9) + CHOOSE(CONTROL!$C$38, 0.0264, 0)</f>
        <v>50.186900000000001</v>
      </c>
      <c r="C655" s="14">
        <f>47.4273 * CHOOSE(CONTROL!$C$15, $E$9, 100%, $G$9) + CHOOSE(CONTROL!$C$38, 0.0354, 0)</f>
        <v>47.462700000000005</v>
      </c>
      <c r="D655" s="14">
        <f>47.4195 * CHOOSE(CONTROL!$C$15, $E$9, 100%, $G$9) + CHOOSE(CONTROL!$C$38, 0.0354, 0)</f>
        <v>47.454900000000002</v>
      </c>
      <c r="E655" s="46">
        <f>50.0042 * CHOOSE(CONTROL!$C$15, $E$9, 100%, $G$9) + CHOOSE(CONTROL!$C$38, 0.0354, 0)</f>
        <v>50.0396</v>
      </c>
      <c r="F655" s="45">
        <f>50.0042 * CHOOSE(CONTROL!$C$15, $E$9, 100%, $G$9) + CHOOSE(CONTROL!$C$38, 0.0264, 0)</f>
        <v>50.0306</v>
      </c>
      <c r="G655" s="14">
        <f>47.4258 * CHOOSE(CONTROL!$C$15, $E$9, 100%, $G$9) + CHOOSE(CONTROL!$C$38, 0.0354, 0)</f>
        <v>47.461200000000005</v>
      </c>
      <c r="H655" s="14">
        <f>47.4258 * CHOOSE(CONTROL!$C$15, $E$9, 100%, $G$9) + CHOOSE(CONTROL!$C$38, 0.0354, 0)</f>
        <v>47.461200000000005</v>
      </c>
      <c r="I655" s="14">
        <f>47.4273 * CHOOSE(CONTROL!$C$15, $E$9, 100%, $G$9) + CHOOSE(CONTROL!$C$38, 0.0354, 0)</f>
        <v>47.462700000000005</v>
      </c>
      <c r="J655" s="44">
        <f>413.22</f>
        <v>413.22</v>
      </c>
    </row>
    <row r="656" spans="1:10" ht="15.75" x14ac:dyDescent="0.25">
      <c r="A656" s="32">
        <v>60905</v>
      </c>
      <c r="B656" s="14">
        <f>48.5137 * CHOOSE(CONTROL!$C$15, $E$9, 100%, $G$9) + CHOOSE(CONTROL!$C$38, 0.0264, 0)</f>
        <v>48.540100000000002</v>
      </c>
      <c r="C656" s="14">
        <f>45.8662 * CHOOSE(CONTROL!$C$15, $E$9, 100%, $G$9) + CHOOSE(CONTROL!$C$38, 0.0354, 0)</f>
        <v>45.901600000000002</v>
      </c>
      <c r="D656" s="14">
        <f>45.8584 * CHOOSE(CONTROL!$C$15, $E$9, 100%, $G$9) + CHOOSE(CONTROL!$C$38, 0.0354, 0)</f>
        <v>45.893800000000006</v>
      </c>
      <c r="E656" s="46">
        <f>48.3575 * CHOOSE(CONTROL!$C$15, $E$9, 100%, $G$9) + CHOOSE(CONTROL!$C$38, 0.0354, 0)</f>
        <v>48.392900000000004</v>
      </c>
      <c r="F656" s="45">
        <f>48.3575 * CHOOSE(CONTROL!$C$15, $E$9, 100%, $G$9) + CHOOSE(CONTROL!$C$38, 0.0264, 0)</f>
        <v>48.383900000000004</v>
      </c>
      <c r="G656" s="14">
        <f>45.8647 * CHOOSE(CONTROL!$C$15, $E$9, 100%, $G$9) + CHOOSE(CONTROL!$C$38, 0.0354, 0)</f>
        <v>45.900100000000002</v>
      </c>
      <c r="H656" s="14">
        <f>45.8647 * CHOOSE(CONTROL!$C$15, $E$9, 100%, $G$9) + CHOOSE(CONTROL!$C$38, 0.0354, 0)</f>
        <v>45.900100000000002</v>
      </c>
      <c r="I656" s="14">
        <f>45.8662 * CHOOSE(CONTROL!$C$15, $E$9, 100%, $G$9) + CHOOSE(CONTROL!$C$38, 0.0354, 0)</f>
        <v>45.901600000000002</v>
      </c>
      <c r="J656" s="44">
        <f>399.4853</f>
        <v>399.4853</v>
      </c>
    </row>
    <row r="657" spans="1:10" ht="15.75" x14ac:dyDescent="0.25">
      <c r="A657" s="32">
        <v>60936</v>
      </c>
      <c r="B657" s="14">
        <f>46.8574 * CHOOSE(CONTROL!$C$15, $E$9, 100%, $G$9) + CHOOSE(CONTROL!$C$38, 0.0251, 0)</f>
        <v>46.8825</v>
      </c>
      <c r="C657" s="14">
        <f>44.2961 * CHOOSE(CONTROL!$C$15, $E$9, 100%, $G$9) + CHOOSE(CONTROL!$C$38, 0.0342, 0)</f>
        <v>44.330300000000001</v>
      </c>
      <c r="D657" s="14">
        <f>44.2883 * CHOOSE(CONTROL!$C$15, $E$9, 100%, $G$9) + CHOOSE(CONTROL!$C$38, 0.0342, 0)</f>
        <v>44.322499999999998</v>
      </c>
      <c r="E657" s="46">
        <f>46.7012 * CHOOSE(CONTROL!$C$15, $E$9, 100%, $G$9) + CHOOSE(CONTROL!$C$38, 0.0342, 0)</f>
        <v>46.735399999999998</v>
      </c>
      <c r="F657" s="45">
        <f>46.7012 * CHOOSE(CONTROL!$C$15, $E$9, 100%, $G$9) + CHOOSE(CONTROL!$C$38, 0.0251, 0)</f>
        <v>46.726300000000002</v>
      </c>
      <c r="G657" s="14">
        <f>44.2945 * CHOOSE(CONTROL!$C$15, $E$9, 100%, $G$9) + CHOOSE(CONTROL!$C$38, 0.0342, 0)</f>
        <v>44.328699999999998</v>
      </c>
      <c r="H657" s="14">
        <f>44.2945 * CHOOSE(CONTROL!$C$15, $E$9, 100%, $G$9) + CHOOSE(CONTROL!$C$38, 0.0342, 0)</f>
        <v>44.328699999999998</v>
      </c>
      <c r="I657" s="14">
        <f>44.2961 * CHOOSE(CONTROL!$C$15, $E$9, 100%, $G$9) + CHOOSE(CONTROL!$C$38, 0.0342, 0)</f>
        <v>44.330300000000001</v>
      </c>
      <c r="J657" s="44">
        <f>385.6707</f>
        <v>385.67070000000001</v>
      </c>
    </row>
    <row r="658" spans="1:10" ht="15.75" x14ac:dyDescent="0.25">
      <c r="A658" s="32">
        <v>60966</v>
      </c>
      <c r="B658" s="14">
        <f>46.5279 * CHOOSE(CONTROL!$C$15, $E$9, 100%, $G$9) + CHOOSE(CONTROL!$C$38, 0.0251, 0)</f>
        <v>46.553000000000004</v>
      </c>
      <c r="C658" s="14">
        <f>43.9837 * CHOOSE(CONTROL!$C$15, $E$9, 100%, $G$9) + CHOOSE(CONTROL!$C$38, 0.0342, 0)</f>
        <v>44.017899999999997</v>
      </c>
      <c r="D658" s="14">
        <f>43.9759 * CHOOSE(CONTROL!$C$15, $E$9, 100%, $G$9) + CHOOSE(CONTROL!$C$38, 0.0342, 0)</f>
        <v>44.010100000000001</v>
      </c>
      <c r="E658" s="46">
        <f>46.3717 * CHOOSE(CONTROL!$C$15, $E$9, 100%, $G$9) + CHOOSE(CONTROL!$C$38, 0.0342, 0)</f>
        <v>46.405899999999995</v>
      </c>
      <c r="F658" s="45">
        <f>46.3717 * CHOOSE(CONTROL!$C$15, $E$9, 100%, $G$9) + CHOOSE(CONTROL!$C$38, 0.0251, 0)</f>
        <v>46.396799999999999</v>
      </c>
      <c r="G658" s="14">
        <f>43.9822 * CHOOSE(CONTROL!$C$15, $E$9, 100%, $G$9) + CHOOSE(CONTROL!$C$38, 0.0342, 0)</f>
        <v>44.016399999999997</v>
      </c>
      <c r="H658" s="14">
        <f>43.9822 * CHOOSE(CONTROL!$C$15, $E$9, 100%, $G$9) + CHOOSE(CONTROL!$C$38, 0.0342, 0)</f>
        <v>44.016399999999997</v>
      </c>
      <c r="I658" s="14">
        <f>43.9837 * CHOOSE(CONTROL!$C$15, $E$9, 100%, $G$9) + CHOOSE(CONTROL!$C$38, 0.0342, 0)</f>
        <v>44.017899999999997</v>
      </c>
      <c r="J658" s="44">
        <f>382.9227</f>
        <v>382.92270000000002</v>
      </c>
    </row>
    <row r="659" spans="1:10" ht="15.75" x14ac:dyDescent="0.25">
      <c r="A659" s="32">
        <v>60997</v>
      </c>
      <c r="B659" s="14">
        <f>45.1655 * CHOOSE(CONTROL!$C$15, $E$9, 100%, $G$9) + CHOOSE(CONTROL!$C$38, 0.0251, 0)</f>
        <v>45.190600000000003</v>
      </c>
      <c r="C659" s="14">
        <f>42.6922 * CHOOSE(CONTROL!$C$15, $E$9, 100%, $G$9) + CHOOSE(CONTROL!$C$38, 0.0342, 0)</f>
        <v>42.726399999999998</v>
      </c>
      <c r="D659" s="14">
        <f>42.6844 * CHOOSE(CONTROL!$C$15, $E$9, 100%, $G$9) + CHOOSE(CONTROL!$C$38, 0.0342, 0)</f>
        <v>42.718599999999995</v>
      </c>
      <c r="E659" s="46">
        <f>45.0093 * CHOOSE(CONTROL!$C$15, $E$9, 100%, $G$9) + CHOOSE(CONTROL!$C$38, 0.0342, 0)</f>
        <v>45.043500000000002</v>
      </c>
      <c r="F659" s="45">
        <f>45.0093 * CHOOSE(CONTROL!$C$15, $E$9, 100%, $G$9) + CHOOSE(CONTROL!$C$38, 0.0251, 0)</f>
        <v>45.034400000000005</v>
      </c>
      <c r="G659" s="14">
        <f>42.6906 * CHOOSE(CONTROL!$C$15, $E$9, 100%, $G$9) + CHOOSE(CONTROL!$C$38, 0.0342, 0)</f>
        <v>42.724800000000002</v>
      </c>
      <c r="H659" s="14">
        <f>42.6906 * CHOOSE(CONTROL!$C$15, $E$9, 100%, $G$9) + CHOOSE(CONTROL!$C$38, 0.0342, 0)</f>
        <v>42.724800000000002</v>
      </c>
      <c r="I659" s="14">
        <f>42.6922 * CHOOSE(CONTROL!$C$15, $E$9, 100%, $G$9) + CHOOSE(CONTROL!$C$38, 0.0342, 0)</f>
        <v>42.726399999999998</v>
      </c>
      <c r="J659" s="44">
        <f>371.5594</f>
        <v>371.55939999999998</v>
      </c>
    </row>
    <row r="660" spans="1:10" ht="15.75" x14ac:dyDescent="0.25">
      <c r="A660" s="32">
        <v>61028</v>
      </c>
      <c r="B660" s="14">
        <f>44.8272 * CHOOSE(CONTROL!$C$15, $E$9, 100%, $G$9) + CHOOSE(CONTROL!$C$38, 0.0251, 0)</f>
        <v>44.8523</v>
      </c>
      <c r="C660" s="14">
        <f>42.3715 * CHOOSE(CONTROL!$C$15, $E$9, 100%, $G$9) + CHOOSE(CONTROL!$C$38, 0.0342, 0)</f>
        <v>42.405699999999996</v>
      </c>
      <c r="D660" s="14">
        <f>42.3636 * CHOOSE(CONTROL!$C$15, $E$9, 100%, $G$9) + CHOOSE(CONTROL!$C$38, 0.0342, 0)</f>
        <v>42.397799999999997</v>
      </c>
      <c r="E660" s="46">
        <f>44.671 * CHOOSE(CONTROL!$C$15, $E$9, 100%, $G$9) + CHOOSE(CONTROL!$C$38, 0.0342, 0)</f>
        <v>44.705199999999998</v>
      </c>
      <c r="F660" s="45">
        <f>44.671 * CHOOSE(CONTROL!$C$15, $E$9, 100%, $G$9) + CHOOSE(CONTROL!$C$38, 0.0251, 0)</f>
        <v>44.696100000000001</v>
      </c>
      <c r="G660" s="14">
        <f>42.3699 * CHOOSE(CONTROL!$C$15, $E$9, 100%, $G$9) + CHOOSE(CONTROL!$C$38, 0.0342, 0)</f>
        <v>42.4041</v>
      </c>
      <c r="H660" s="14">
        <f>42.3699 * CHOOSE(CONTROL!$C$15, $E$9, 100%, $G$9) + CHOOSE(CONTROL!$C$38, 0.0342, 0)</f>
        <v>42.4041</v>
      </c>
      <c r="I660" s="14">
        <f>42.3715 * CHOOSE(CONTROL!$C$15, $E$9, 100%, $G$9) + CHOOSE(CONTROL!$C$38, 0.0342, 0)</f>
        <v>42.405699999999996</v>
      </c>
      <c r="J660" s="44">
        <f>371.2912</f>
        <v>371.2912</v>
      </c>
    </row>
    <row r="661" spans="1:10" ht="15.75" x14ac:dyDescent="0.25">
      <c r="A661" s="32">
        <v>61056</v>
      </c>
      <c r="B661" s="14">
        <f>44.7043 * CHOOSE(CONTROL!$C$15, $E$9, 100%, $G$9) + CHOOSE(CONTROL!$C$38, 0.0251, 0)</f>
        <v>44.729400000000005</v>
      </c>
      <c r="C661" s="14">
        <f>42.255 * CHOOSE(CONTROL!$C$15, $E$9, 100%, $G$9) + CHOOSE(CONTROL!$C$38, 0.0342, 0)</f>
        <v>42.289200000000001</v>
      </c>
      <c r="D661" s="14">
        <f>42.2471 * CHOOSE(CONTROL!$C$15, $E$9, 100%, $G$9) + CHOOSE(CONTROL!$C$38, 0.0342, 0)</f>
        <v>42.281300000000002</v>
      </c>
      <c r="E661" s="46">
        <f>44.5481 * CHOOSE(CONTROL!$C$15, $E$9, 100%, $G$9) + CHOOSE(CONTROL!$C$38, 0.0342, 0)</f>
        <v>44.582299999999996</v>
      </c>
      <c r="F661" s="45">
        <f>44.5481 * CHOOSE(CONTROL!$C$15, $E$9, 100%, $G$9) + CHOOSE(CONTROL!$C$38, 0.0251, 0)</f>
        <v>44.5732</v>
      </c>
      <c r="G661" s="14">
        <f>42.2534 * CHOOSE(CONTROL!$C$15, $E$9, 100%, $G$9) + CHOOSE(CONTROL!$C$38, 0.0342, 0)</f>
        <v>42.287599999999998</v>
      </c>
      <c r="H661" s="14">
        <f>42.2534 * CHOOSE(CONTROL!$C$15, $E$9, 100%, $G$9) + CHOOSE(CONTROL!$C$38, 0.0342, 0)</f>
        <v>42.287599999999998</v>
      </c>
      <c r="I661" s="14">
        <f>42.255 * CHOOSE(CONTROL!$C$15, $E$9, 100%, $G$9) + CHOOSE(CONTROL!$C$38, 0.0342, 0)</f>
        <v>42.289200000000001</v>
      </c>
      <c r="J661" s="44">
        <f>370.2591</f>
        <v>370.25909999999999</v>
      </c>
    </row>
    <row r="662" spans="1:10" ht="15.75" x14ac:dyDescent="0.25">
      <c r="A662" s="32">
        <v>61087</v>
      </c>
      <c r="B662" s="14">
        <f>47.028 * CHOOSE(CONTROL!$C$15, $E$9, 100%, $G$9) + CHOOSE(CONTROL!$C$38, 0.0251, 0)</f>
        <v>47.053100000000001</v>
      </c>
      <c r="C662" s="14">
        <f>44.4577 * CHOOSE(CONTROL!$C$15, $E$9, 100%, $G$9) + CHOOSE(CONTROL!$C$38, 0.0342, 0)</f>
        <v>44.491900000000001</v>
      </c>
      <c r="D662" s="14">
        <f>44.4499 * CHOOSE(CONTROL!$C$15, $E$9, 100%, $G$9) + CHOOSE(CONTROL!$C$38, 0.0342, 0)</f>
        <v>44.484099999999998</v>
      </c>
      <c r="E662" s="46">
        <f>46.8717 * CHOOSE(CONTROL!$C$15, $E$9, 100%, $G$9) + CHOOSE(CONTROL!$C$38, 0.0342, 0)</f>
        <v>46.905899999999995</v>
      </c>
      <c r="F662" s="45">
        <f>46.8717 * CHOOSE(CONTROL!$C$15, $E$9, 100%, $G$9) + CHOOSE(CONTROL!$C$38, 0.0251, 0)</f>
        <v>46.896799999999999</v>
      </c>
      <c r="G662" s="14">
        <f>44.4562 * CHOOSE(CONTROL!$C$15, $E$9, 100%, $G$9) + CHOOSE(CONTROL!$C$38, 0.0342, 0)</f>
        <v>44.490400000000001</v>
      </c>
      <c r="H662" s="14">
        <f>44.4562 * CHOOSE(CONTROL!$C$15, $E$9, 100%, $G$9) + CHOOSE(CONTROL!$C$38, 0.0342, 0)</f>
        <v>44.490400000000001</v>
      </c>
      <c r="I662" s="14">
        <f>44.4577 * CHOOSE(CONTROL!$C$15, $E$9, 100%, $G$9) + CHOOSE(CONTROL!$C$38, 0.0342, 0)</f>
        <v>44.491900000000001</v>
      </c>
      <c r="J662" s="44">
        <f>389.7739</f>
        <v>389.77390000000003</v>
      </c>
    </row>
    <row r="663" spans="1:10" ht="15.75" x14ac:dyDescent="0.25">
      <c r="A663" s="32">
        <v>61117</v>
      </c>
      <c r="B663" s="14">
        <f>50.0412 * CHOOSE(CONTROL!$C$15, $E$9, 100%, $G$9) + CHOOSE(CONTROL!$C$38, 0.0251, 0)</f>
        <v>50.066300000000005</v>
      </c>
      <c r="C663" s="14">
        <f>47.3142 * CHOOSE(CONTROL!$C$15, $E$9, 100%, $G$9) + CHOOSE(CONTROL!$C$38, 0.0342, 0)</f>
        <v>47.348399999999998</v>
      </c>
      <c r="D663" s="14">
        <f>47.3064 * CHOOSE(CONTROL!$C$15, $E$9, 100%, $G$9) + CHOOSE(CONTROL!$C$38, 0.0342, 0)</f>
        <v>47.340599999999995</v>
      </c>
      <c r="E663" s="46">
        <f>49.8849 * CHOOSE(CONTROL!$C$15, $E$9, 100%, $G$9) + CHOOSE(CONTROL!$C$38, 0.0342, 0)</f>
        <v>49.9191</v>
      </c>
      <c r="F663" s="45">
        <f>49.8849 * CHOOSE(CONTROL!$C$15, $E$9, 100%, $G$9) + CHOOSE(CONTROL!$C$38, 0.0251, 0)</f>
        <v>49.910000000000004</v>
      </c>
      <c r="G663" s="14">
        <f>47.3127 * CHOOSE(CONTROL!$C$15, $E$9, 100%, $G$9) + CHOOSE(CONTROL!$C$38, 0.0342, 0)</f>
        <v>47.346899999999998</v>
      </c>
      <c r="H663" s="14">
        <f>47.3127 * CHOOSE(CONTROL!$C$15, $E$9, 100%, $G$9) + CHOOSE(CONTROL!$C$38, 0.0342, 0)</f>
        <v>47.346899999999998</v>
      </c>
      <c r="I663" s="14">
        <f>47.3142 * CHOOSE(CONTROL!$C$15, $E$9, 100%, $G$9) + CHOOSE(CONTROL!$C$38, 0.0342, 0)</f>
        <v>47.348399999999998</v>
      </c>
      <c r="J663" s="44">
        <f>415.08</f>
        <v>415.08</v>
      </c>
    </row>
    <row r="664" spans="1:10" ht="15.75" x14ac:dyDescent="0.25">
      <c r="A664" s="32">
        <v>61148</v>
      </c>
      <c r="B664" s="14">
        <f>51.6997 * CHOOSE(CONTROL!$C$15, $E$9, 100%, $G$9) + CHOOSE(CONTROL!$C$38, 0.0264, 0)</f>
        <v>51.726100000000002</v>
      </c>
      <c r="C664" s="14">
        <f>48.8865 * CHOOSE(CONTROL!$C$15, $E$9, 100%, $G$9) + CHOOSE(CONTROL!$C$38, 0.0354, 0)</f>
        <v>48.921900000000001</v>
      </c>
      <c r="D664" s="14">
        <f>48.8787 * CHOOSE(CONTROL!$C$15, $E$9, 100%, $G$9) + CHOOSE(CONTROL!$C$38, 0.0354, 0)</f>
        <v>48.914100000000005</v>
      </c>
      <c r="E664" s="46">
        <f>51.5435 * CHOOSE(CONTROL!$C$15, $E$9, 100%, $G$9) + CHOOSE(CONTROL!$C$38, 0.0354, 0)</f>
        <v>51.578900000000004</v>
      </c>
      <c r="F664" s="45">
        <f>51.5435 * CHOOSE(CONTROL!$C$15, $E$9, 100%, $G$9) + CHOOSE(CONTROL!$C$38, 0.0264, 0)</f>
        <v>51.569900000000004</v>
      </c>
      <c r="G664" s="14">
        <f>48.885 * CHOOSE(CONTROL!$C$15, $E$9, 100%, $G$9) + CHOOSE(CONTROL!$C$38, 0.0354, 0)</f>
        <v>48.920400000000001</v>
      </c>
      <c r="H664" s="14">
        <f>48.885 * CHOOSE(CONTROL!$C$15, $E$9, 100%, $G$9) + CHOOSE(CONTROL!$C$38, 0.0354, 0)</f>
        <v>48.920400000000001</v>
      </c>
      <c r="I664" s="14">
        <f>48.8865 * CHOOSE(CONTROL!$C$15, $E$9, 100%, $G$9) + CHOOSE(CONTROL!$C$38, 0.0354, 0)</f>
        <v>48.921900000000001</v>
      </c>
      <c r="J664" s="44">
        <f>429.0092</f>
        <v>429.00920000000002</v>
      </c>
    </row>
    <row r="665" spans="1:10" ht="15.75" x14ac:dyDescent="0.25">
      <c r="A665" s="32">
        <v>61178</v>
      </c>
      <c r="B665" s="14">
        <f>52.4358 * CHOOSE(CONTROL!$C$15, $E$9, 100%, $G$9) + CHOOSE(CONTROL!$C$38, 0.0264, 0)</f>
        <v>52.462200000000003</v>
      </c>
      <c r="C665" s="14">
        <f>49.5843 * CHOOSE(CONTROL!$C$15, $E$9, 100%, $G$9) + CHOOSE(CONTROL!$C$38, 0.0354, 0)</f>
        <v>49.619700000000002</v>
      </c>
      <c r="D665" s="14">
        <f>49.5765 * CHOOSE(CONTROL!$C$15, $E$9, 100%, $G$9) + CHOOSE(CONTROL!$C$38, 0.0354, 0)</f>
        <v>49.611900000000006</v>
      </c>
      <c r="E665" s="46">
        <f>52.2795 * CHOOSE(CONTROL!$C$15, $E$9, 100%, $G$9) + CHOOSE(CONTROL!$C$38, 0.0354, 0)</f>
        <v>52.314900000000002</v>
      </c>
      <c r="F665" s="45">
        <f>52.2795 * CHOOSE(CONTROL!$C$15, $E$9, 100%, $G$9) + CHOOSE(CONTROL!$C$38, 0.0264, 0)</f>
        <v>52.305900000000001</v>
      </c>
      <c r="G665" s="14">
        <f>49.5827 * CHOOSE(CONTROL!$C$15, $E$9, 100%, $G$9) + CHOOSE(CONTROL!$C$38, 0.0354, 0)</f>
        <v>49.618100000000005</v>
      </c>
      <c r="H665" s="14">
        <f>49.5827 * CHOOSE(CONTROL!$C$15, $E$9, 100%, $G$9) + CHOOSE(CONTROL!$C$38, 0.0354, 0)</f>
        <v>49.618100000000005</v>
      </c>
      <c r="I665" s="14">
        <f>49.5843 * CHOOSE(CONTROL!$C$15, $E$9, 100%, $G$9) + CHOOSE(CONTROL!$C$38, 0.0354, 0)</f>
        <v>49.619700000000002</v>
      </c>
      <c r="J665" s="44">
        <f>435.1908</f>
        <v>435.19080000000002</v>
      </c>
    </row>
    <row r="666" spans="1:10" ht="15.75" x14ac:dyDescent="0.25">
      <c r="A666" s="32">
        <v>61209</v>
      </c>
      <c r="B666" s="14">
        <f>52.1935 * CHOOSE(CONTROL!$C$15, $E$9, 100%, $G$9) + CHOOSE(CONTROL!$C$38, 0.0264, 0)</f>
        <v>52.219900000000003</v>
      </c>
      <c r="C666" s="14">
        <f>49.3546 * CHOOSE(CONTROL!$C$15, $E$9, 100%, $G$9) + CHOOSE(CONTROL!$C$38, 0.0354, 0)</f>
        <v>49.39</v>
      </c>
      <c r="D666" s="14">
        <f>49.3467 * CHOOSE(CONTROL!$C$15, $E$9, 100%, $G$9) + CHOOSE(CONTROL!$C$38, 0.0354, 0)</f>
        <v>49.382100000000001</v>
      </c>
      <c r="E666" s="46">
        <f>52.0372 * CHOOSE(CONTROL!$C$15, $E$9, 100%, $G$9) + CHOOSE(CONTROL!$C$38, 0.0354, 0)</f>
        <v>52.072600000000001</v>
      </c>
      <c r="F666" s="45">
        <f>52.0372 * CHOOSE(CONTROL!$C$15, $E$9, 100%, $G$9) + CHOOSE(CONTROL!$C$38, 0.0264, 0)</f>
        <v>52.063600000000001</v>
      </c>
      <c r="G666" s="14">
        <f>49.353 * CHOOSE(CONTROL!$C$15, $E$9, 100%, $G$9) + CHOOSE(CONTROL!$C$38, 0.0354, 0)</f>
        <v>49.388400000000004</v>
      </c>
      <c r="H666" s="14">
        <f>49.353 * CHOOSE(CONTROL!$C$15, $E$9, 100%, $G$9) + CHOOSE(CONTROL!$C$38, 0.0354, 0)</f>
        <v>49.388400000000004</v>
      </c>
      <c r="I666" s="14">
        <f>49.3546 * CHOOSE(CONTROL!$C$15, $E$9, 100%, $G$9) + CHOOSE(CONTROL!$C$38, 0.0354, 0)</f>
        <v>49.39</v>
      </c>
      <c r="J666" s="44">
        <f>433.1555</f>
        <v>433.15550000000002</v>
      </c>
    </row>
    <row r="667" spans="1:10" ht="15.75" x14ac:dyDescent="0.25">
      <c r="A667" s="32">
        <v>61240</v>
      </c>
      <c r="B667" s="14">
        <f>50.9928 * CHOOSE(CONTROL!$C$15, $E$9, 100%, $G$9) + CHOOSE(CONTROL!$C$38, 0.0264, 0)</f>
        <v>51.019200000000005</v>
      </c>
      <c r="C667" s="14">
        <f>48.2163 * CHOOSE(CONTROL!$C$15, $E$9, 100%, $G$9) + CHOOSE(CONTROL!$C$38, 0.0354, 0)</f>
        <v>48.2517</v>
      </c>
      <c r="D667" s="14">
        <f>48.2085 * CHOOSE(CONTROL!$C$15, $E$9, 100%, $G$9) + CHOOSE(CONTROL!$C$38, 0.0354, 0)</f>
        <v>48.243900000000004</v>
      </c>
      <c r="E667" s="46">
        <f>50.8365 * CHOOSE(CONTROL!$C$15, $E$9, 100%, $G$9) + CHOOSE(CONTROL!$C$38, 0.0354, 0)</f>
        <v>50.871900000000004</v>
      </c>
      <c r="F667" s="45">
        <f>50.8365 * CHOOSE(CONTROL!$C$15, $E$9, 100%, $G$9) + CHOOSE(CONTROL!$C$38, 0.0264, 0)</f>
        <v>50.862900000000003</v>
      </c>
      <c r="G667" s="14">
        <f>48.2148 * CHOOSE(CONTROL!$C$15, $E$9, 100%, $G$9) + CHOOSE(CONTROL!$C$38, 0.0354, 0)</f>
        <v>48.2502</v>
      </c>
      <c r="H667" s="14">
        <f>48.2148 * CHOOSE(CONTROL!$C$15, $E$9, 100%, $G$9) + CHOOSE(CONTROL!$C$38, 0.0354, 0)</f>
        <v>48.2502</v>
      </c>
      <c r="I667" s="14">
        <f>48.2163 * CHOOSE(CONTROL!$C$15, $E$9, 100%, $G$9) + CHOOSE(CONTROL!$C$38, 0.0354, 0)</f>
        <v>48.2517</v>
      </c>
      <c r="J667" s="44">
        <f>423.0718</f>
        <v>423.0718</v>
      </c>
    </row>
    <row r="668" spans="1:10" ht="15.75" x14ac:dyDescent="0.25">
      <c r="A668" s="32">
        <v>61270</v>
      </c>
      <c r="B668" s="14">
        <f>49.3184 * CHOOSE(CONTROL!$C$15, $E$9, 100%, $G$9) + CHOOSE(CONTROL!$C$38, 0.0264, 0)</f>
        <v>49.344799999999999</v>
      </c>
      <c r="C668" s="14">
        <f>46.629 * CHOOSE(CONTROL!$C$15, $E$9, 100%, $G$9) + CHOOSE(CONTROL!$C$38, 0.0354, 0)</f>
        <v>46.664400000000001</v>
      </c>
      <c r="D668" s="14">
        <f>46.6212 * CHOOSE(CONTROL!$C$15, $E$9, 100%, $G$9) + CHOOSE(CONTROL!$C$38, 0.0354, 0)</f>
        <v>46.656600000000005</v>
      </c>
      <c r="E668" s="46">
        <f>49.1621 * CHOOSE(CONTROL!$C$15, $E$9, 100%, $G$9) + CHOOSE(CONTROL!$C$38, 0.0354, 0)</f>
        <v>49.197500000000005</v>
      </c>
      <c r="F668" s="45">
        <f>49.1621 * CHOOSE(CONTROL!$C$15, $E$9, 100%, $G$9) + CHOOSE(CONTROL!$C$38, 0.0264, 0)</f>
        <v>49.188500000000005</v>
      </c>
      <c r="G668" s="14">
        <f>46.6275 * CHOOSE(CONTROL!$C$15, $E$9, 100%, $G$9) + CHOOSE(CONTROL!$C$38, 0.0354, 0)</f>
        <v>46.6629</v>
      </c>
      <c r="H668" s="14">
        <f>46.6275 * CHOOSE(CONTROL!$C$15, $E$9, 100%, $G$9) + CHOOSE(CONTROL!$C$38, 0.0354, 0)</f>
        <v>46.6629</v>
      </c>
      <c r="I668" s="14">
        <f>46.629 * CHOOSE(CONTROL!$C$15, $E$9, 100%, $G$9) + CHOOSE(CONTROL!$C$38, 0.0354, 0)</f>
        <v>46.664400000000001</v>
      </c>
      <c r="J668" s="44">
        <f>409.0097</f>
        <v>409.00970000000001</v>
      </c>
    </row>
    <row r="669" spans="1:10" ht="15.75" x14ac:dyDescent="0.25">
      <c r="A669" s="32">
        <v>61301</v>
      </c>
      <c r="B669" s="14">
        <f>47.6342 * CHOOSE(CONTROL!$C$15, $E$9, 100%, $G$9) + CHOOSE(CONTROL!$C$38, 0.0251, 0)</f>
        <v>47.659300000000002</v>
      </c>
      <c r="C669" s="14">
        <f>45.0325 * CHOOSE(CONTROL!$C$15, $E$9, 100%, $G$9) + CHOOSE(CONTROL!$C$38, 0.0342, 0)</f>
        <v>45.066699999999997</v>
      </c>
      <c r="D669" s="14">
        <f>45.0247 * CHOOSE(CONTROL!$C$15, $E$9, 100%, $G$9) + CHOOSE(CONTROL!$C$38, 0.0342, 0)</f>
        <v>45.058900000000001</v>
      </c>
      <c r="E669" s="46">
        <f>47.478 * CHOOSE(CONTROL!$C$15, $E$9, 100%, $G$9) + CHOOSE(CONTROL!$C$38, 0.0342, 0)</f>
        <v>47.5122</v>
      </c>
      <c r="F669" s="45">
        <f>47.478 * CHOOSE(CONTROL!$C$15, $E$9, 100%, $G$9) + CHOOSE(CONTROL!$C$38, 0.0251, 0)</f>
        <v>47.503100000000003</v>
      </c>
      <c r="G669" s="14">
        <f>45.0309 * CHOOSE(CONTROL!$C$15, $E$9, 100%, $G$9) + CHOOSE(CONTROL!$C$38, 0.0342, 0)</f>
        <v>45.065100000000001</v>
      </c>
      <c r="H669" s="14">
        <f>45.0309 * CHOOSE(CONTROL!$C$15, $E$9, 100%, $G$9) + CHOOSE(CONTROL!$C$38, 0.0342, 0)</f>
        <v>45.065100000000001</v>
      </c>
      <c r="I669" s="14">
        <f>45.0325 * CHOOSE(CONTROL!$C$15, $E$9, 100%, $G$9) + CHOOSE(CONTROL!$C$38, 0.0342, 0)</f>
        <v>45.066699999999997</v>
      </c>
      <c r="J669" s="44">
        <f>394.8657</f>
        <v>394.8657</v>
      </c>
    </row>
    <row r="670" spans="1:10" ht="15.75" x14ac:dyDescent="0.25">
      <c r="A670" s="32">
        <v>61331</v>
      </c>
      <c r="B670" s="14">
        <f>47.2992 * CHOOSE(CONTROL!$C$15, $E$9, 100%, $G$9) + CHOOSE(CONTROL!$C$38, 0.0251, 0)</f>
        <v>47.324300000000001</v>
      </c>
      <c r="C670" s="14">
        <f>44.7149 * CHOOSE(CONTROL!$C$15, $E$9, 100%, $G$9) + CHOOSE(CONTROL!$C$38, 0.0342, 0)</f>
        <v>44.749099999999999</v>
      </c>
      <c r="D670" s="14">
        <f>44.7071 * CHOOSE(CONTROL!$C$15, $E$9, 100%, $G$9) + CHOOSE(CONTROL!$C$38, 0.0342, 0)</f>
        <v>44.741299999999995</v>
      </c>
      <c r="E670" s="46">
        <f>47.143 * CHOOSE(CONTROL!$C$15, $E$9, 100%, $G$9) + CHOOSE(CONTROL!$C$38, 0.0342, 0)</f>
        <v>47.177199999999999</v>
      </c>
      <c r="F670" s="45">
        <f>47.143 * CHOOSE(CONTROL!$C$15, $E$9, 100%, $G$9) + CHOOSE(CONTROL!$C$38, 0.0251, 0)</f>
        <v>47.168100000000003</v>
      </c>
      <c r="G670" s="14">
        <f>44.7133 * CHOOSE(CONTROL!$C$15, $E$9, 100%, $G$9) + CHOOSE(CONTROL!$C$38, 0.0342, 0)</f>
        <v>44.747499999999995</v>
      </c>
      <c r="H670" s="14">
        <f>44.7133 * CHOOSE(CONTROL!$C$15, $E$9, 100%, $G$9) + CHOOSE(CONTROL!$C$38, 0.0342, 0)</f>
        <v>44.747499999999995</v>
      </c>
      <c r="I670" s="14">
        <f>44.7149 * CHOOSE(CONTROL!$C$15, $E$9, 100%, $G$9) + CHOOSE(CONTROL!$C$38, 0.0342, 0)</f>
        <v>44.749099999999999</v>
      </c>
      <c r="J670" s="44">
        <f>392.0522</f>
        <v>392.05220000000003</v>
      </c>
    </row>
    <row r="671" spans="1:10" ht="15.75" x14ac:dyDescent="0.25">
      <c r="A671" s="32">
        <v>61362</v>
      </c>
      <c r="B671" s="14">
        <f>45.9139 * CHOOSE(CONTROL!$C$15, $E$9, 100%, $G$9) + CHOOSE(CONTROL!$C$38, 0.0251, 0)</f>
        <v>45.939</v>
      </c>
      <c r="C671" s="14">
        <f>43.4017 * CHOOSE(CONTROL!$C$15, $E$9, 100%, $G$9) + CHOOSE(CONTROL!$C$38, 0.0342, 0)</f>
        <v>43.435899999999997</v>
      </c>
      <c r="D671" s="14">
        <f>43.3939 * CHOOSE(CONTROL!$C$15, $E$9, 100%, $G$9) + CHOOSE(CONTROL!$C$38, 0.0342, 0)</f>
        <v>43.428100000000001</v>
      </c>
      <c r="E671" s="46">
        <f>45.7577 * CHOOSE(CONTROL!$C$15, $E$9, 100%, $G$9) + CHOOSE(CONTROL!$C$38, 0.0342, 0)</f>
        <v>45.791899999999998</v>
      </c>
      <c r="F671" s="45">
        <f>45.7577 * CHOOSE(CONTROL!$C$15, $E$9, 100%, $G$9) + CHOOSE(CONTROL!$C$38, 0.0251, 0)</f>
        <v>45.782800000000002</v>
      </c>
      <c r="G671" s="14">
        <f>43.4001 * CHOOSE(CONTROL!$C$15, $E$9, 100%, $G$9) + CHOOSE(CONTROL!$C$38, 0.0342, 0)</f>
        <v>43.4343</v>
      </c>
      <c r="H671" s="14">
        <f>43.4001 * CHOOSE(CONTROL!$C$15, $E$9, 100%, $G$9) + CHOOSE(CONTROL!$C$38, 0.0342, 0)</f>
        <v>43.4343</v>
      </c>
      <c r="I671" s="14">
        <f>43.4017 * CHOOSE(CONTROL!$C$15, $E$9, 100%, $G$9) + CHOOSE(CONTROL!$C$38, 0.0342, 0)</f>
        <v>43.435899999999997</v>
      </c>
      <c r="J671" s="44">
        <f>380.418</f>
        <v>380.41800000000001</v>
      </c>
    </row>
    <row r="672" spans="1:10" ht="15.75" x14ac:dyDescent="0.25">
      <c r="A672" s="32">
        <v>61393</v>
      </c>
      <c r="B672" s="14">
        <f>45.5699 * CHOOSE(CONTROL!$C$15, $E$9, 100%, $G$9) + CHOOSE(CONTROL!$C$38, 0.0251, 0)</f>
        <v>45.594999999999999</v>
      </c>
      <c r="C672" s="14">
        <f>43.0755 * CHOOSE(CONTROL!$C$15, $E$9, 100%, $G$9) + CHOOSE(CONTROL!$C$38, 0.0342, 0)</f>
        <v>43.109699999999997</v>
      </c>
      <c r="D672" s="14">
        <f>43.0677 * CHOOSE(CONTROL!$C$15, $E$9, 100%, $G$9) + CHOOSE(CONTROL!$C$38, 0.0342, 0)</f>
        <v>43.101900000000001</v>
      </c>
      <c r="E672" s="46">
        <f>45.4137 * CHOOSE(CONTROL!$C$15, $E$9, 100%, $G$9) + CHOOSE(CONTROL!$C$38, 0.0342, 0)</f>
        <v>45.447899999999997</v>
      </c>
      <c r="F672" s="45">
        <f>45.4137 * CHOOSE(CONTROL!$C$15, $E$9, 100%, $G$9) + CHOOSE(CONTROL!$C$38, 0.0251, 0)</f>
        <v>45.438800000000001</v>
      </c>
      <c r="G672" s="14">
        <f>43.074 * CHOOSE(CONTROL!$C$15, $E$9, 100%, $G$9) + CHOOSE(CONTROL!$C$38, 0.0342, 0)</f>
        <v>43.108199999999997</v>
      </c>
      <c r="H672" s="14">
        <f>43.074 * CHOOSE(CONTROL!$C$15, $E$9, 100%, $G$9) + CHOOSE(CONTROL!$C$38, 0.0342, 0)</f>
        <v>43.108199999999997</v>
      </c>
      <c r="I672" s="14">
        <f>43.0755 * CHOOSE(CONTROL!$C$15, $E$9, 100%, $G$9) + CHOOSE(CONTROL!$C$38, 0.0342, 0)</f>
        <v>43.109699999999997</v>
      </c>
      <c r="J672" s="44">
        <f>380.1433</f>
        <v>380.14330000000001</v>
      </c>
    </row>
    <row r="673" spans="1:10" ht="15.75" x14ac:dyDescent="0.25">
      <c r="A673" s="32">
        <v>61422</v>
      </c>
      <c r="B673" s="14">
        <f>45.445 * CHOOSE(CONTROL!$C$15, $E$9, 100%, $G$9) + CHOOSE(CONTROL!$C$38, 0.0251, 0)</f>
        <v>45.470100000000002</v>
      </c>
      <c r="C673" s="14">
        <f>42.9571 * CHOOSE(CONTROL!$C$15, $E$9, 100%, $G$9) + CHOOSE(CONTROL!$C$38, 0.0342, 0)</f>
        <v>42.991299999999995</v>
      </c>
      <c r="D673" s="14">
        <f>42.9493 * CHOOSE(CONTROL!$C$15, $E$9, 100%, $G$9) + CHOOSE(CONTROL!$C$38, 0.0342, 0)</f>
        <v>42.983499999999999</v>
      </c>
      <c r="E673" s="46">
        <f>45.2887 * CHOOSE(CONTROL!$C$15, $E$9, 100%, $G$9) + CHOOSE(CONTROL!$C$38, 0.0342, 0)</f>
        <v>45.322899999999997</v>
      </c>
      <c r="F673" s="45">
        <f>45.2887 * CHOOSE(CONTROL!$C$15, $E$9, 100%, $G$9) + CHOOSE(CONTROL!$C$38, 0.0251, 0)</f>
        <v>45.313800000000001</v>
      </c>
      <c r="G673" s="14">
        <f>42.9555 * CHOOSE(CONTROL!$C$15, $E$9, 100%, $G$9) + CHOOSE(CONTROL!$C$38, 0.0342, 0)</f>
        <v>42.989699999999999</v>
      </c>
      <c r="H673" s="14">
        <f>42.9555 * CHOOSE(CONTROL!$C$15, $E$9, 100%, $G$9) + CHOOSE(CONTROL!$C$38, 0.0342, 0)</f>
        <v>42.989699999999999</v>
      </c>
      <c r="I673" s="14">
        <f>42.9571 * CHOOSE(CONTROL!$C$15, $E$9, 100%, $G$9) + CHOOSE(CONTROL!$C$38, 0.0342, 0)</f>
        <v>42.991299999999995</v>
      </c>
      <c r="J673" s="44">
        <f>379.0867</f>
        <v>379.08670000000001</v>
      </c>
    </row>
    <row r="674" spans="1:10" ht="15.75" x14ac:dyDescent="0.25">
      <c r="A674" s="32">
        <v>61453</v>
      </c>
      <c r="B674" s="14">
        <f>47.8077 * CHOOSE(CONTROL!$C$15, $E$9, 100%, $G$9) + CHOOSE(CONTROL!$C$38, 0.0251, 0)</f>
        <v>47.832799999999999</v>
      </c>
      <c r="C674" s="14">
        <f>45.1969 * CHOOSE(CONTROL!$C$15, $E$9, 100%, $G$9) + CHOOSE(CONTROL!$C$38, 0.0342, 0)</f>
        <v>45.231099999999998</v>
      </c>
      <c r="D674" s="14">
        <f>45.1891 * CHOOSE(CONTROL!$C$15, $E$9, 100%, $G$9) + CHOOSE(CONTROL!$C$38, 0.0342, 0)</f>
        <v>45.223300000000002</v>
      </c>
      <c r="E674" s="46">
        <f>47.6514 * CHOOSE(CONTROL!$C$15, $E$9, 100%, $G$9) + CHOOSE(CONTROL!$C$38, 0.0342, 0)</f>
        <v>47.685600000000001</v>
      </c>
      <c r="F674" s="45">
        <f>47.6514 * CHOOSE(CONTROL!$C$15, $E$9, 100%, $G$9) + CHOOSE(CONTROL!$C$38, 0.0251, 0)</f>
        <v>47.676500000000004</v>
      </c>
      <c r="G674" s="14">
        <f>45.1953 * CHOOSE(CONTROL!$C$15, $E$9, 100%, $G$9) + CHOOSE(CONTROL!$C$38, 0.0342, 0)</f>
        <v>45.229500000000002</v>
      </c>
      <c r="H674" s="14">
        <f>45.1953 * CHOOSE(CONTROL!$C$15, $E$9, 100%, $G$9) + CHOOSE(CONTROL!$C$38, 0.0342, 0)</f>
        <v>45.229500000000002</v>
      </c>
      <c r="I674" s="14">
        <f>45.1969 * CHOOSE(CONTROL!$C$15, $E$9, 100%, $G$9) + CHOOSE(CONTROL!$C$38, 0.0342, 0)</f>
        <v>45.231099999999998</v>
      </c>
      <c r="J674" s="44">
        <f>399.0667</f>
        <v>399.06670000000003</v>
      </c>
    </row>
    <row r="675" spans="1:10" ht="15.75" x14ac:dyDescent="0.25">
      <c r="A675" s="32">
        <v>61483</v>
      </c>
      <c r="B675" s="14">
        <f>50.8715 * CHOOSE(CONTROL!$C$15, $E$9, 100%, $G$9) + CHOOSE(CONTROL!$C$38, 0.0251, 0)</f>
        <v>50.896599999999999</v>
      </c>
      <c r="C675" s="14">
        <f>48.1014 * CHOOSE(CONTROL!$C$15, $E$9, 100%, $G$9) + CHOOSE(CONTROL!$C$38, 0.0342, 0)</f>
        <v>48.135599999999997</v>
      </c>
      <c r="D675" s="14">
        <f>48.0935 * CHOOSE(CONTROL!$C$15, $E$9, 100%, $G$9) + CHOOSE(CONTROL!$C$38, 0.0342, 0)</f>
        <v>48.127699999999997</v>
      </c>
      <c r="E675" s="46">
        <f>50.7152 * CHOOSE(CONTROL!$C$15, $E$9, 100%, $G$9) + CHOOSE(CONTROL!$C$38, 0.0342, 0)</f>
        <v>50.749400000000001</v>
      </c>
      <c r="F675" s="45">
        <f>50.7152 * CHOOSE(CONTROL!$C$15, $E$9, 100%, $G$9) + CHOOSE(CONTROL!$C$38, 0.0251, 0)</f>
        <v>50.740300000000005</v>
      </c>
      <c r="G675" s="14">
        <f>48.0998 * CHOOSE(CONTROL!$C$15, $E$9, 100%, $G$9) + CHOOSE(CONTROL!$C$38, 0.0342, 0)</f>
        <v>48.134</v>
      </c>
      <c r="H675" s="14">
        <f>48.0998 * CHOOSE(CONTROL!$C$15, $E$9, 100%, $G$9) + CHOOSE(CONTROL!$C$38, 0.0342, 0)</f>
        <v>48.134</v>
      </c>
      <c r="I675" s="14">
        <f>48.1014 * CHOOSE(CONTROL!$C$15, $E$9, 100%, $G$9) + CHOOSE(CONTROL!$C$38, 0.0342, 0)</f>
        <v>48.135599999999997</v>
      </c>
      <c r="J675" s="44">
        <f>424.9761</f>
        <v>424.97609999999997</v>
      </c>
    </row>
    <row r="676" spans="1:10" ht="15.75" x14ac:dyDescent="0.25">
      <c r="A676" s="32">
        <v>61514</v>
      </c>
      <c r="B676" s="14">
        <f>52.5579 * CHOOSE(CONTROL!$C$15, $E$9, 100%, $G$9) + CHOOSE(CONTROL!$C$38, 0.0264, 0)</f>
        <v>52.584299999999999</v>
      </c>
      <c r="C676" s="14">
        <f>49.7001 * CHOOSE(CONTROL!$C$15, $E$9, 100%, $G$9) + CHOOSE(CONTROL!$C$38, 0.0354, 0)</f>
        <v>49.735500000000002</v>
      </c>
      <c r="D676" s="14">
        <f>49.6923 * CHOOSE(CONTROL!$C$15, $E$9, 100%, $G$9) + CHOOSE(CONTROL!$C$38, 0.0354, 0)</f>
        <v>49.727700000000006</v>
      </c>
      <c r="E676" s="46">
        <f>52.4017 * CHOOSE(CONTROL!$C$15, $E$9, 100%, $G$9) + CHOOSE(CONTROL!$C$38, 0.0354, 0)</f>
        <v>52.437100000000001</v>
      </c>
      <c r="F676" s="45">
        <f>52.4017 * CHOOSE(CONTROL!$C$15, $E$9, 100%, $G$9) + CHOOSE(CONTROL!$C$38, 0.0264, 0)</f>
        <v>52.428100000000001</v>
      </c>
      <c r="G676" s="14">
        <f>49.6985 * CHOOSE(CONTROL!$C$15, $E$9, 100%, $G$9) + CHOOSE(CONTROL!$C$38, 0.0354, 0)</f>
        <v>49.733900000000006</v>
      </c>
      <c r="H676" s="14">
        <f>49.6985 * CHOOSE(CONTROL!$C$15, $E$9, 100%, $G$9) + CHOOSE(CONTROL!$C$38, 0.0354, 0)</f>
        <v>49.733900000000006</v>
      </c>
      <c r="I676" s="14">
        <f>49.7001 * CHOOSE(CONTROL!$C$15, $E$9, 100%, $G$9) + CHOOSE(CONTROL!$C$38, 0.0354, 0)</f>
        <v>49.735500000000002</v>
      </c>
      <c r="J676" s="44">
        <f>439.2374</f>
        <v>439.23739999999998</v>
      </c>
    </row>
    <row r="677" spans="1:10" ht="15.75" x14ac:dyDescent="0.25">
      <c r="A677" s="32">
        <v>61544</v>
      </c>
      <c r="B677" s="14">
        <f>53.3063 * CHOOSE(CONTROL!$C$15, $E$9, 100%, $G$9) + CHOOSE(CONTROL!$C$38, 0.0264, 0)</f>
        <v>53.332700000000003</v>
      </c>
      <c r="C677" s="14">
        <f>50.4096 * CHOOSE(CONTROL!$C$15, $E$9, 100%, $G$9) + CHOOSE(CONTROL!$C$38, 0.0354, 0)</f>
        <v>50.445</v>
      </c>
      <c r="D677" s="14">
        <f>50.4017 * CHOOSE(CONTROL!$C$15, $E$9, 100%, $G$9) + CHOOSE(CONTROL!$C$38, 0.0354, 0)</f>
        <v>50.437100000000001</v>
      </c>
      <c r="E677" s="46">
        <f>53.1501 * CHOOSE(CONTROL!$C$15, $E$9, 100%, $G$9) + CHOOSE(CONTROL!$C$38, 0.0354, 0)</f>
        <v>53.185500000000005</v>
      </c>
      <c r="F677" s="45">
        <f>53.1501 * CHOOSE(CONTROL!$C$15, $E$9, 100%, $G$9) + CHOOSE(CONTROL!$C$38, 0.0264, 0)</f>
        <v>53.176500000000004</v>
      </c>
      <c r="G677" s="14">
        <f>50.408 * CHOOSE(CONTROL!$C$15, $E$9, 100%, $G$9) + CHOOSE(CONTROL!$C$38, 0.0354, 0)</f>
        <v>50.443400000000004</v>
      </c>
      <c r="H677" s="14">
        <f>50.408 * CHOOSE(CONTROL!$C$15, $E$9, 100%, $G$9) + CHOOSE(CONTROL!$C$38, 0.0354, 0)</f>
        <v>50.443400000000004</v>
      </c>
      <c r="I677" s="14">
        <f>50.4096 * CHOOSE(CONTROL!$C$15, $E$9, 100%, $G$9) + CHOOSE(CONTROL!$C$38, 0.0354, 0)</f>
        <v>50.445</v>
      </c>
      <c r="J677" s="44">
        <f>445.5664</f>
        <v>445.56639999999999</v>
      </c>
    </row>
    <row r="678" spans="1:10" ht="15.75" x14ac:dyDescent="0.25">
      <c r="A678" s="32">
        <v>61575</v>
      </c>
      <c r="B678" s="14">
        <f>53.0599 * CHOOSE(CONTROL!$C$15, $E$9, 100%, $G$9) + CHOOSE(CONTROL!$C$38, 0.0264, 0)</f>
        <v>53.086300000000001</v>
      </c>
      <c r="C678" s="14">
        <f>50.176 * CHOOSE(CONTROL!$C$15, $E$9, 100%, $G$9) + CHOOSE(CONTROL!$C$38, 0.0354, 0)</f>
        <v>50.211400000000005</v>
      </c>
      <c r="D678" s="14">
        <f>50.1681 * CHOOSE(CONTROL!$C$15, $E$9, 100%, $G$9) + CHOOSE(CONTROL!$C$38, 0.0354, 0)</f>
        <v>50.203500000000005</v>
      </c>
      <c r="E678" s="46">
        <f>52.9037 * CHOOSE(CONTROL!$C$15, $E$9, 100%, $G$9) + CHOOSE(CONTROL!$C$38, 0.0354, 0)</f>
        <v>52.939100000000003</v>
      </c>
      <c r="F678" s="45">
        <f>52.9037 * CHOOSE(CONTROL!$C$15, $E$9, 100%, $G$9) + CHOOSE(CONTROL!$C$38, 0.0264, 0)</f>
        <v>52.930100000000003</v>
      </c>
      <c r="G678" s="14">
        <f>50.1744 * CHOOSE(CONTROL!$C$15, $E$9, 100%, $G$9) + CHOOSE(CONTROL!$C$38, 0.0354, 0)</f>
        <v>50.209800000000001</v>
      </c>
      <c r="H678" s="14">
        <f>50.1744 * CHOOSE(CONTROL!$C$15, $E$9, 100%, $G$9) + CHOOSE(CONTROL!$C$38, 0.0354, 0)</f>
        <v>50.209800000000001</v>
      </c>
      <c r="I678" s="14">
        <f>50.176 * CHOOSE(CONTROL!$C$15, $E$9, 100%, $G$9) + CHOOSE(CONTROL!$C$38, 0.0354, 0)</f>
        <v>50.211400000000005</v>
      </c>
      <c r="J678" s="44">
        <f>443.4826</f>
        <v>443.48259999999999</v>
      </c>
    </row>
    <row r="679" spans="1:10" ht="15.75" x14ac:dyDescent="0.25">
      <c r="A679" s="32">
        <v>61606</v>
      </c>
      <c r="B679" s="14">
        <f>51.8391 * CHOOSE(CONTROL!$C$15, $E$9, 100%, $G$9) + CHOOSE(CONTROL!$C$38, 0.0264, 0)</f>
        <v>51.865500000000004</v>
      </c>
      <c r="C679" s="14">
        <f>49.0186 * CHOOSE(CONTROL!$C$15, $E$9, 100%, $G$9) + CHOOSE(CONTROL!$C$38, 0.0354, 0)</f>
        <v>49.054000000000002</v>
      </c>
      <c r="D679" s="14">
        <f>49.0108 * CHOOSE(CONTROL!$C$15, $E$9, 100%, $G$9) + CHOOSE(CONTROL!$C$38, 0.0354, 0)</f>
        <v>49.046200000000006</v>
      </c>
      <c r="E679" s="46">
        <f>51.6828 * CHOOSE(CONTROL!$C$15, $E$9, 100%, $G$9) + CHOOSE(CONTROL!$C$38, 0.0354, 0)</f>
        <v>51.718200000000003</v>
      </c>
      <c r="F679" s="45">
        <f>51.6828 * CHOOSE(CONTROL!$C$15, $E$9, 100%, $G$9) + CHOOSE(CONTROL!$C$38, 0.0264, 0)</f>
        <v>51.709200000000003</v>
      </c>
      <c r="G679" s="14">
        <f>49.0171 * CHOOSE(CONTROL!$C$15, $E$9, 100%, $G$9) + CHOOSE(CONTROL!$C$38, 0.0354, 0)</f>
        <v>49.052500000000002</v>
      </c>
      <c r="H679" s="14">
        <f>49.0171 * CHOOSE(CONTROL!$C$15, $E$9, 100%, $G$9) + CHOOSE(CONTROL!$C$38, 0.0354, 0)</f>
        <v>49.052500000000002</v>
      </c>
      <c r="I679" s="14">
        <f>49.0186 * CHOOSE(CONTROL!$C$15, $E$9, 100%, $G$9) + CHOOSE(CONTROL!$C$38, 0.0354, 0)</f>
        <v>49.054000000000002</v>
      </c>
      <c r="J679" s="44">
        <f>433.1585</f>
        <v>433.1585</v>
      </c>
    </row>
    <row r="680" spans="1:10" ht="15.75" x14ac:dyDescent="0.25">
      <c r="A680" s="32">
        <v>61636</v>
      </c>
      <c r="B680" s="14">
        <f>50.1365 * CHOOSE(CONTROL!$C$15, $E$9, 100%, $G$9) + CHOOSE(CONTROL!$C$38, 0.0264, 0)</f>
        <v>50.1629</v>
      </c>
      <c r="C680" s="14">
        <f>47.4046 * CHOOSE(CONTROL!$C$15, $E$9, 100%, $G$9) + CHOOSE(CONTROL!$C$38, 0.0354, 0)</f>
        <v>47.440000000000005</v>
      </c>
      <c r="D680" s="14">
        <f>47.3968 * CHOOSE(CONTROL!$C$15, $E$9, 100%, $G$9) + CHOOSE(CONTROL!$C$38, 0.0354, 0)</f>
        <v>47.432200000000002</v>
      </c>
      <c r="E680" s="46">
        <f>49.9803 * CHOOSE(CONTROL!$C$15, $E$9, 100%, $G$9) + CHOOSE(CONTROL!$C$38, 0.0354, 0)</f>
        <v>50.015700000000002</v>
      </c>
      <c r="F680" s="45">
        <f>49.9803 * CHOOSE(CONTROL!$C$15, $E$9, 100%, $G$9) + CHOOSE(CONTROL!$C$38, 0.0264, 0)</f>
        <v>50.006700000000002</v>
      </c>
      <c r="G680" s="14">
        <f>47.4031 * CHOOSE(CONTROL!$C$15, $E$9, 100%, $G$9) + CHOOSE(CONTROL!$C$38, 0.0354, 0)</f>
        <v>47.438500000000005</v>
      </c>
      <c r="H680" s="14">
        <f>47.4031 * CHOOSE(CONTROL!$C$15, $E$9, 100%, $G$9) + CHOOSE(CONTROL!$C$38, 0.0354, 0)</f>
        <v>47.438500000000005</v>
      </c>
      <c r="I680" s="14">
        <f>47.4046 * CHOOSE(CONTROL!$C$15, $E$9, 100%, $G$9) + CHOOSE(CONTROL!$C$38, 0.0354, 0)</f>
        <v>47.440000000000005</v>
      </c>
      <c r="J680" s="44">
        <f>418.7611</f>
        <v>418.7611</v>
      </c>
    </row>
    <row r="681" spans="1:10" ht="15.75" x14ac:dyDescent="0.25">
      <c r="A681" s="32">
        <v>61667</v>
      </c>
      <c r="B681" s="14">
        <f>48.4241 * CHOOSE(CONTROL!$C$15, $E$9, 100%, $G$9) + CHOOSE(CONTROL!$C$38, 0.0251, 0)</f>
        <v>48.449200000000005</v>
      </c>
      <c r="C681" s="14">
        <f>45.7813 * CHOOSE(CONTROL!$C$15, $E$9, 100%, $G$9) + CHOOSE(CONTROL!$C$38, 0.0342, 0)</f>
        <v>45.8155</v>
      </c>
      <c r="D681" s="14">
        <f>45.7735 * CHOOSE(CONTROL!$C$15, $E$9, 100%, $G$9) + CHOOSE(CONTROL!$C$38, 0.0342, 0)</f>
        <v>45.807699999999997</v>
      </c>
      <c r="E681" s="46">
        <f>48.2679 * CHOOSE(CONTROL!$C$15, $E$9, 100%, $G$9) + CHOOSE(CONTROL!$C$38, 0.0342, 0)</f>
        <v>48.302099999999996</v>
      </c>
      <c r="F681" s="45">
        <f>48.2679 * CHOOSE(CONTROL!$C$15, $E$9, 100%, $G$9) + CHOOSE(CONTROL!$C$38, 0.0251, 0)</f>
        <v>48.292999999999999</v>
      </c>
      <c r="G681" s="14">
        <f>45.7797 * CHOOSE(CONTROL!$C$15, $E$9, 100%, $G$9) + CHOOSE(CONTROL!$C$38, 0.0342, 0)</f>
        <v>45.813899999999997</v>
      </c>
      <c r="H681" s="14">
        <f>45.7797 * CHOOSE(CONTROL!$C$15, $E$9, 100%, $G$9) + CHOOSE(CONTROL!$C$38, 0.0342, 0)</f>
        <v>45.813899999999997</v>
      </c>
      <c r="I681" s="14">
        <f>45.7813 * CHOOSE(CONTROL!$C$15, $E$9, 100%, $G$9) + CHOOSE(CONTROL!$C$38, 0.0342, 0)</f>
        <v>45.8155</v>
      </c>
      <c r="J681" s="44">
        <f>404.2799</f>
        <v>404.2799</v>
      </c>
    </row>
    <row r="682" spans="1:10" ht="15.75" x14ac:dyDescent="0.25">
      <c r="A682" s="32">
        <v>61697</v>
      </c>
      <c r="B682" s="14">
        <f>48.0835 * CHOOSE(CONTROL!$C$15, $E$9, 100%, $G$9) + CHOOSE(CONTROL!$C$38, 0.0251, 0)</f>
        <v>48.108600000000003</v>
      </c>
      <c r="C682" s="14">
        <f>45.4584 * CHOOSE(CONTROL!$C$15, $E$9, 100%, $G$9) + CHOOSE(CONTROL!$C$38, 0.0342, 0)</f>
        <v>45.492599999999996</v>
      </c>
      <c r="D682" s="14">
        <f>45.4505 * CHOOSE(CONTROL!$C$15, $E$9, 100%, $G$9) + CHOOSE(CONTROL!$C$38, 0.0342, 0)</f>
        <v>45.484699999999997</v>
      </c>
      <c r="E682" s="46">
        <f>47.9272 * CHOOSE(CONTROL!$C$15, $E$9, 100%, $G$9) + CHOOSE(CONTROL!$C$38, 0.0342, 0)</f>
        <v>47.961399999999998</v>
      </c>
      <c r="F682" s="45">
        <f>47.9272 * CHOOSE(CONTROL!$C$15, $E$9, 100%, $G$9) + CHOOSE(CONTROL!$C$38, 0.0251, 0)</f>
        <v>47.952300000000001</v>
      </c>
      <c r="G682" s="14">
        <f>45.4568 * CHOOSE(CONTROL!$C$15, $E$9, 100%, $G$9) + CHOOSE(CONTROL!$C$38, 0.0342, 0)</f>
        <v>45.491</v>
      </c>
      <c r="H682" s="14">
        <f>45.4568 * CHOOSE(CONTROL!$C$15, $E$9, 100%, $G$9) + CHOOSE(CONTROL!$C$38, 0.0342, 0)</f>
        <v>45.491</v>
      </c>
      <c r="I682" s="14">
        <f>45.4584 * CHOOSE(CONTROL!$C$15, $E$9, 100%, $G$9) + CHOOSE(CONTROL!$C$38, 0.0342, 0)</f>
        <v>45.492599999999996</v>
      </c>
      <c r="J682" s="44">
        <f>401.3993</f>
        <v>401.39929999999998</v>
      </c>
    </row>
    <row r="683" spans="1:10" ht="15.75" x14ac:dyDescent="0.25">
      <c r="A683" s="32">
        <v>61728</v>
      </c>
      <c r="B683" s="14">
        <f>46.6749 * CHOOSE(CONTROL!$C$15, $E$9, 100%, $G$9) + CHOOSE(CONTROL!$C$38, 0.0251, 0)</f>
        <v>46.7</v>
      </c>
      <c r="C683" s="14">
        <f>44.1231 * CHOOSE(CONTROL!$C$15, $E$9, 100%, $G$9) + CHOOSE(CONTROL!$C$38, 0.0342, 0)</f>
        <v>44.157299999999999</v>
      </c>
      <c r="D683" s="14">
        <f>44.1152 * CHOOSE(CONTROL!$C$15, $E$9, 100%, $G$9) + CHOOSE(CONTROL!$C$38, 0.0342, 0)</f>
        <v>44.1494</v>
      </c>
      <c r="E683" s="46">
        <f>46.5187 * CHOOSE(CONTROL!$C$15, $E$9, 100%, $G$9) + CHOOSE(CONTROL!$C$38, 0.0342, 0)</f>
        <v>46.552900000000001</v>
      </c>
      <c r="F683" s="45">
        <f>46.5187 * CHOOSE(CONTROL!$C$15, $E$9, 100%, $G$9) + CHOOSE(CONTROL!$C$38, 0.0251, 0)</f>
        <v>46.543800000000005</v>
      </c>
      <c r="G683" s="14">
        <f>44.1215 * CHOOSE(CONTROL!$C$15, $E$9, 100%, $G$9) + CHOOSE(CONTROL!$C$38, 0.0342, 0)</f>
        <v>44.155699999999996</v>
      </c>
      <c r="H683" s="14">
        <f>44.1215 * CHOOSE(CONTROL!$C$15, $E$9, 100%, $G$9) + CHOOSE(CONTROL!$C$38, 0.0342, 0)</f>
        <v>44.155699999999996</v>
      </c>
      <c r="I683" s="14">
        <f>44.1231 * CHOOSE(CONTROL!$C$15, $E$9, 100%, $G$9) + CHOOSE(CONTROL!$C$38, 0.0342, 0)</f>
        <v>44.157299999999999</v>
      </c>
      <c r="J683" s="44">
        <f>389.4877</f>
        <v>389.48770000000002</v>
      </c>
    </row>
    <row r="684" spans="1:10" ht="15.75" x14ac:dyDescent="0.25">
      <c r="A684" s="32">
        <v>61759</v>
      </c>
      <c r="B684" s="14">
        <f>46.3251 * CHOOSE(CONTROL!$C$15, $E$9, 100%, $G$9) + CHOOSE(CONTROL!$C$38, 0.0251, 0)</f>
        <v>46.350200000000001</v>
      </c>
      <c r="C684" s="14">
        <f>43.7915 * CHOOSE(CONTROL!$C$15, $E$9, 100%, $G$9) + CHOOSE(CONTROL!$C$38, 0.0342, 0)</f>
        <v>43.825699999999998</v>
      </c>
      <c r="D684" s="14">
        <f>43.7836 * CHOOSE(CONTROL!$C$15, $E$9, 100%, $G$9) + CHOOSE(CONTROL!$C$38, 0.0342, 0)</f>
        <v>43.817799999999998</v>
      </c>
      <c r="E684" s="46">
        <f>46.1689 * CHOOSE(CONTROL!$C$15, $E$9, 100%, $G$9) + CHOOSE(CONTROL!$C$38, 0.0342, 0)</f>
        <v>46.203099999999999</v>
      </c>
      <c r="F684" s="45">
        <f>46.1689 * CHOOSE(CONTROL!$C$15, $E$9, 100%, $G$9) + CHOOSE(CONTROL!$C$38, 0.0251, 0)</f>
        <v>46.194000000000003</v>
      </c>
      <c r="G684" s="14">
        <f>43.7899 * CHOOSE(CONTROL!$C$15, $E$9, 100%, $G$9) + CHOOSE(CONTROL!$C$38, 0.0342, 0)</f>
        <v>43.824100000000001</v>
      </c>
      <c r="H684" s="14">
        <f>43.7899 * CHOOSE(CONTROL!$C$15, $E$9, 100%, $G$9) + CHOOSE(CONTROL!$C$38, 0.0342, 0)</f>
        <v>43.824100000000001</v>
      </c>
      <c r="I684" s="14">
        <f>43.7915 * CHOOSE(CONTROL!$C$15, $E$9, 100%, $G$9) + CHOOSE(CONTROL!$C$38, 0.0342, 0)</f>
        <v>43.825699999999998</v>
      </c>
      <c r="J684" s="44">
        <f>389.2065</f>
        <v>389.20650000000001</v>
      </c>
    </row>
    <row r="685" spans="1:10" ht="15.75" x14ac:dyDescent="0.25">
      <c r="A685" s="32">
        <v>61787</v>
      </c>
      <c r="B685" s="14">
        <f>46.1981 * CHOOSE(CONTROL!$C$15, $E$9, 100%, $G$9) + CHOOSE(CONTROL!$C$38, 0.0251, 0)</f>
        <v>46.223199999999999</v>
      </c>
      <c r="C685" s="14">
        <f>43.671 * CHOOSE(CONTROL!$C$15, $E$9, 100%, $G$9) + CHOOSE(CONTROL!$C$38, 0.0342, 0)</f>
        <v>43.705199999999998</v>
      </c>
      <c r="D685" s="14">
        <f>43.6632 * CHOOSE(CONTROL!$C$15, $E$9, 100%, $G$9) + CHOOSE(CONTROL!$C$38, 0.0342, 0)</f>
        <v>43.697400000000002</v>
      </c>
      <c r="E685" s="46">
        <f>46.0418 * CHOOSE(CONTROL!$C$15, $E$9, 100%, $G$9) + CHOOSE(CONTROL!$C$38, 0.0342, 0)</f>
        <v>46.076000000000001</v>
      </c>
      <c r="F685" s="45">
        <f>46.0418 * CHOOSE(CONTROL!$C$15, $E$9, 100%, $G$9) + CHOOSE(CONTROL!$C$38, 0.0251, 0)</f>
        <v>46.066900000000004</v>
      </c>
      <c r="G685" s="14">
        <f>43.6694 * CHOOSE(CONTROL!$C$15, $E$9, 100%, $G$9) + CHOOSE(CONTROL!$C$38, 0.0342, 0)</f>
        <v>43.703600000000002</v>
      </c>
      <c r="H685" s="14">
        <f>43.6694 * CHOOSE(CONTROL!$C$15, $E$9, 100%, $G$9) + CHOOSE(CONTROL!$C$38, 0.0342, 0)</f>
        <v>43.703600000000002</v>
      </c>
      <c r="I685" s="14">
        <f>43.671 * CHOOSE(CONTROL!$C$15, $E$9, 100%, $G$9) + CHOOSE(CONTROL!$C$38, 0.0342, 0)</f>
        <v>43.705199999999998</v>
      </c>
      <c r="J685" s="44">
        <f>388.1247</f>
        <v>388.12470000000002</v>
      </c>
    </row>
    <row r="686" spans="1:10" ht="15.75" x14ac:dyDescent="0.25">
      <c r="A686" s="32">
        <v>61818</v>
      </c>
      <c r="B686" s="14">
        <f>48.6004 * CHOOSE(CONTROL!$C$15, $E$9, 100%, $G$9) + CHOOSE(CONTROL!$C$38, 0.0251, 0)</f>
        <v>48.625500000000002</v>
      </c>
      <c r="C686" s="14">
        <f>45.9484 * CHOOSE(CONTROL!$C$15, $E$9, 100%, $G$9) + CHOOSE(CONTROL!$C$38, 0.0342, 0)</f>
        <v>45.982599999999998</v>
      </c>
      <c r="D686" s="14">
        <f>45.9406 * CHOOSE(CONTROL!$C$15, $E$9, 100%, $G$9) + CHOOSE(CONTROL!$C$38, 0.0342, 0)</f>
        <v>45.974800000000002</v>
      </c>
      <c r="E686" s="46">
        <f>48.4442 * CHOOSE(CONTROL!$C$15, $E$9, 100%, $G$9) + CHOOSE(CONTROL!$C$38, 0.0342, 0)</f>
        <v>48.478400000000001</v>
      </c>
      <c r="F686" s="45">
        <f>48.4442 * CHOOSE(CONTROL!$C$15, $E$9, 100%, $G$9) + CHOOSE(CONTROL!$C$38, 0.0251, 0)</f>
        <v>48.469300000000004</v>
      </c>
      <c r="G686" s="14">
        <f>45.9469 * CHOOSE(CONTROL!$C$15, $E$9, 100%, $G$9) + CHOOSE(CONTROL!$C$38, 0.0342, 0)</f>
        <v>45.981099999999998</v>
      </c>
      <c r="H686" s="14">
        <f>45.9469 * CHOOSE(CONTROL!$C$15, $E$9, 100%, $G$9) + CHOOSE(CONTROL!$C$38, 0.0342, 0)</f>
        <v>45.981099999999998</v>
      </c>
      <c r="I686" s="14">
        <f>45.9484 * CHOOSE(CONTROL!$C$15, $E$9, 100%, $G$9) + CHOOSE(CONTROL!$C$38, 0.0342, 0)</f>
        <v>45.982599999999998</v>
      </c>
      <c r="J686" s="44">
        <f>408.5811</f>
        <v>408.58109999999999</v>
      </c>
    </row>
    <row r="687" spans="1:10" ht="15.75" x14ac:dyDescent="0.25">
      <c r="A687" s="32">
        <v>61848</v>
      </c>
      <c r="B687" s="14">
        <f>51.7157 * CHOOSE(CONTROL!$C$15, $E$9, 100%, $G$9) + CHOOSE(CONTROL!$C$38, 0.0251, 0)</f>
        <v>51.7408</v>
      </c>
      <c r="C687" s="14">
        <f>48.9017 * CHOOSE(CONTROL!$C$15, $E$9, 100%, $G$9) + CHOOSE(CONTROL!$C$38, 0.0342, 0)</f>
        <v>48.935899999999997</v>
      </c>
      <c r="D687" s="14">
        <f>48.8939 * CHOOSE(CONTROL!$C$15, $E$9, 100%, $G$9) + CHOOSE(CONTROL!$C$38, 0.0342, 0)</f>
        <v>48.928100000000001</v>
      </c>
      <c r="E687" s="46">
        <f>51.5595 * CHOOSE(CONTROL!$C$15, $E$9, 100%, $G$9) + CHOOSE(CONTROL!$C$38, 0.0342, 0)</f>
        <v>51.593699999999998</v>
      </c>
      <c r="F687" s="45">
        <f>51.5595 * CHOOSE(CONTROL!$C$15, $E$9, 100%, $G$9) + CHOOSE(CONTROL!$C$38, 0.0251, 0)</f>
        <v>51.584600000000002</v>
      </c>
      <c r="G687" s="14">
        <f>48.9001 * CHOOSE(CONTROL!$C$15, $E$9, 100%, $G$9) + CHOOSE(CONTROL!$C$38, 0.0342, 0)</f>
        <v>48.9343</v>
      </c>
      <c r="H687" s="14">
        <f>48.9001 * CHOOSE(CONTROL!$C$15, $E$9, 100%, $G$9) + CHOOSE(CONTROL!$C$38, 0.0342, 0)</f>
        <v>48.9343</v>
      </c>
      <c r="I687" s="14">
        <f>48.9017 * CHOOSE(CONTROL!$C$15, $E$9, 100%, $G$9) + CHOOSE(CONTROL!$C$38, 0.0342, 0)</f>
        <v>48.935899999999997</v>
      </c>
      <c r="J687" s="44">
        <f>435.1081</f>
        <v>435.10809999999998</v>
      </c>
    </row>
    <row r="688" spans="1:10" ht="15.75" x14ac:dyDescent="0.25">
      <c r="A688" s="32">
        <v>61879</v>
      </c>
      <c r="B688" s="14">
        <f>53.4305 * CHOOSE(CONTROL!$C$15, $E$9, 100%, $G$9) + CHOOSE(CONTROL!$C$38, 0.0264, 0)</f>
        <v>53.456900000000005</v>
      </c>
      <c r="C688" s="14">
        <f>50.5273 * CHOOSE(CONTROL!$C$15, $E$9, 100%, $G$9) + CHOOSE(CONTROL!$C$38, 0.0354, 0)</f>
        <v>50.5627</v>
      </c>
      <c r="D688" s="14">
        <f>50.5195 * CHOOSE(CONTROL!$C$15, $E$9, 100%, $G$9) + CHOOSE(CONTROL!$C$38, 0.0354, 0)</f>
        <v>50.554900000000004</v>
      </c>
      <c r="E688" s="46">
        <f>53.2743 * CHOOSE(CONTROL!$C$15, $E$9, 100%, $G$9) + CHOOSE(CONTROL!$C$38, 0.0354, 0)</f>
        <v>53.309699999999999</v>
      </c>
      <c r="F688" s="45">
        <f>53.2743 * CHOOSE(CONTROL!$C$15, $E$9, 100%, $G$9) + CHOOSE(CONTROL!$C$38, 0.0264, 0)</f>
        <v>53.300699999999999</v>
      </c>
      <c r="G688" s="14">
        <f>50.5257 * CHOOSE(CONTROL!$C$15, $E$9, 100%, $G$9) + CHOOSE(CONTROL!$C$38, 0.0354, 0)</f>
        <v>50.561100000000003</v>
      </c>
      <c r="H688" s="14">
        <f>50.5257 * CHOOSE(CONTROL!$C$15, $E$9, 100%, $G$9) + CHOOSE(CONTROL!$C$38, 0.0354, 0)</f>
        <v>50.561100000000003</v>
      </c>
      <c r="I688" s="14">
        <f>50.5273 * CHOOSE(CONTROL!$C$15, $E$9, 100%, $G$9) + CHOOSE(CONTROL!$C$38, 0.0354, 0)</f>
        <v>50.5627</v>
      </c>
      <c r="J688" s="44">
        <f>449.7095</f>
        <v>449.70949999999999</v>
      </c>
    </row>
    <row r="689" spans="1:10" ht="15.75" x14ac:dyDescent="0.25">
      <c r="A689" s="32">
        <v>61909</v>
      </c>
      <c r="B689" s="14">
        <f>54.1915 * CHOOSE(CONTROL!$C$15, $E$9, 100%, $G$9) + CHOOSE(CONTROL!$C$38, 0.0264, 0)</f>
        <v>54.2179</v>
      </c>
      <c r="C689" s="14">
        <f>51.2487 * CHOOSE(CONTROL!$C$15, $E$9, 100%, $G$9) + CHOOSE(CONTROL!$C$38, 0.0354, 0)</f>
        <v>51.284100000000002</v>
      </c>
      <c r="D689" s="14">
        <f>51.2409 * CHOOSE(CONTROL!$C$15, $E$9, 100%, $G$9) + CHOOSE(CONTROL!$C$38, 0.0354, 0)</f>
        <v>51.276300000000006</v>
      </c>
      <c r="E689" s="46">
        <f>54.0352 * CHOOSE(CONTROL!$C$15, $E$9, 100%, $G$9) + CHOOSE(CONTROL!$C$38, 0.0354, 0)</f>
        <v>54.070600000000006</v>
      </c>
      <c r="F689" s="45">
        <f>54.0352 * CHOOSE(CONTROL!$C$15, $E$9, 100%, $G$9) + CHOOSE(CONTROL!$C$38, 0.0264, 0)</f>
        <v>54.061600000000006</v>
      </c>
      <c r="G689" s="14">
        <f>51.2471 * CHOOSE(CONTROL!$C$15, $E$9, 100%, $G$9) + CHOOSE(CONTROL!$C$38, 0.0354, 0)</f>
        <v>51.282500000000006</v>
      </c>
      <c r="H689" s="14">
        <f>51.2471 * CHOOSE(CONTROL!$C$15, $E$9, 100%, $G$9) + CHOOSE(CONTROL!$C$38, 0.0354, 0)</f>
        <v>51.282500000000006</v>
      </c>
      <c r="I689" s="14">
        <f>51.2487 * CHOOSE(CONTROL!$C$15, $E$9, 100%, $G$9) + CHOOSE(CONTROL!$C$38, 0.0354, 0)</f>
        <v>51.284100000000002</v>
      </c>
      <c r="J689" s="44">
        <f>456.1893</f>
        <v>456.1893</v>
      </c>
    </row>
    <row r="690" spans="1:10" ht="15.75" x14ac:dyDescent="0.25">
      <c r="A690" s="32">
        <v>61940</v>
      </c>
      <c r="B690" s="14">
        <f>53.9409 * CHOOSE(CONTROL!$C$15, $E$9, 100%, $G$9) + CHOOSE(CONTROL!$C$38, 0.0264, 0)</f>
        <v>53.967300000000002</v>
      </c>
      <c r="C690" s="14">
        <f>51.0112 * CHOOSE(CONTROL!$C$15, $E$9, 100%, $G$9) + CHOOSE(CONTROL!$C$38, 0.0354, 0)</f>
        <v>51.046600000000005</v>
      </c>
      <c r="D690" s="14">
        <f>51.0033 * CHOOSE(CONTROL!$C$15, $E$9, 100%, $G$9) + CHOOSE(CONTROL!$C$38, 0.0354, 0)</f>
        <v>51.038700000000006</v>
      </c>
      <c r="E690" s="46">
        <f>53.7847 * CHOOSE(CONTROL!$C$15, $E$9, 100%, $G$9) + CHOOSE(CONTROL!$C$38, 0.0354, 0)</f>
        <v>53.820100000000004</v>
      </c>
      <c r="F690" s="45">
        <f>53.7847 * CHOOSE(CONTROL!$C$15, $E$9, 100%, $G$9) + CHOOSE(CONTROL!$C$38, 0.0264, 0)</f>
        <v>53.811100000000003</v>
      </c>
      <c r="G690" s="14">
        <f>51.0096 * CHOOSE(CONTROL!$C$15, $E$9, 100%, $G$9) + CHOOSE(CONTROL!$C$38, 0.0354, 0)</f>
        <v>51.045000000000002</v>
      </c>
      <c r="H690" s="14">
        <f>51.0096 * CHOOSE(CONTROL!$C$15, $E$9, 100%, $G$9) + CHOOSE(CONTROL!$C$38, 0.0354, 0)</f>
        <v>51.045000000000002</v>
      </c>
      <c r="I690" s="14">
        <f>51.0112 * CHOOSE(CONTROL!$C$15, $E$9, 100%, $G$9) + CHOOSE(CONTROL!$C$38, 0.0354, 0)</f>
        <v>51.046600000000005</v>
      </c>
      <c r="J690" s="44">
        <f>454.0559</f>
        <v>454.05590000000001</v>
      </c>
    </row>
    <row r="691" spans="1:10" ht="15.75" x14ac:dyDescent="0.25">
      <c r="A691" s="32">
        <v>61971</v>
      </c>
      <c r="B691" s="14">
        <f>52.6996 * CHOOSE(CONTROL!$C$15, $E$9, 100%, $G$9) + CHOOSE(CONTROL!$C$38, 0.0264, 0)</f>
        <v>52.725999999999999</v>
      </c>
      <c r="C691" s="14">
        <f>49.8344 * CHOOSE(CONTROL!$C$15, $E$9, 100%, $G$9) + CHOOSE(CONTROL!$C$38, 0.0354, 0)</f>
        <v>49.869800000000005</v>
      </c>
      <c r="D691" s="14">
        <f>49.8266 * CHOOSE(CONTROL!$C$15, $E$9, 100%, $G$9) + CHOOSE(CONTROL!$C$38, 0.0354, 0)</f>
        <v>49.862000000000002</v>
      </c>
      <c r="E691" s="46">
        <f>52.5433 * CHOOSE(CONTROL!$C$15, $E$9, 100%, $G$9) + CHOOSE(CONTROL!$C$38, 0.0354, 0)</f>
        <v>52.578700000000005</v>
      </c>
      <c r="F691" s="45">
        <f>52.5433 * CHOOSE(CONTROL!$C$15, $E$9, 100%, $G$9) + CHOOSE(CONTROL!$C$38, 0.0264, 0)</f>
        <v>52.569700000000005</v>
      </c>
      <c r="G691" s="14">
        <f>49.8328 * CHOOSE(CONTROL!$C$15, $E$9, 100%, $G$9) + CHOOSE(CONTROL!$C$38, 0.0354, 0)</f>
        <v>49.868200000000002</v>
      </c>
      <c r="H691" s="14">
        <f>49.8328 * CHOOSE(CONTROL!$C$15, $E$9, 100%, $G$9) + CHOOSE(CONTROL!$C$38, 0.0354, 0)</f>
        <v>49.868200000000002</v>
      </c>
      <c r="I691" s="14">
        <f>49.8344 * CHOOSE(CONTROL!$C$15, $E$9, 100%, $G$9) + CHOOSE(CONTROL!$C$38, 0.0354, 0)</f>
        <v>49.869800000000005</v>
      </c>
      <c r="J691" s="44">
        <f>443.4857</f>
        <v>443.48570000000001</v>
      </c>
    </row>
    <row r="692" spans="1:10" ht="15.75" x14ac:dyDescent="0.25">
      <c r="A692" s="32">
        <v>62001</v>
      </c>
      <c r="B692" s="14">
        <f>50.9685 * CHOOSE(CONTROL!$C$15, $E$9, 100%, $G$9) + CHOOSE(CONTROL!$C$38, 0.0264, 0)</f>
        <v>50.994900000000001</v>
      </c>
      <c r="C692" s="14">
        <f>48.1933 * CHOOSE(CONTROL!$C$15, $E$9, 100%, $G$9) + CHOOSE(CONTROL!$C$38, 0.0354, 0)</f>
        <v>48.228700000000003</v>
      </c>
      <c r="D692" s="14">
        <f>48.1855 * CHOOSE(CONTROL!$C$15, $E$9, 100%, $G$9) + CHOOSE(CONTROL!$C$38, 0.0354, 0)</f>
        <v>48.2209</v>
      </c>
      <c r="E692" s="46">
        <f>50.8122 * CHOOSE(CONTROL!$C$15, $E$9, 100%, $G$9) + CHOOSE(CONTROL!$C$38, 0.0354, 0)</f>
        <v>50.8476</v>
      </c>
      <c r="F692" s="45">
        <f>50.8122 * CHOOSE(CONTROL!$C$15, $E$9, 100%, $G$9) + CHOOSE(CONTROL!$C$38, 0.0264, 0)</f>
        <v>50.8386</v>
      </c>
      <c r="G692" s="14">
        <f>48.1917 * CHOOSE(CONTROL!$C$15, $E$9, 100%, $G$9) + CHOOSE(CONTROL!$C$38, 0.0354, 0)</f>
        <v>48.2271</v>
      </c>
      <c r="H692" s="14">
        <f>48.1917 * CHOOSE(CONTROL!$C$15, $E$9, 100%, $G$9) + CHOOSE(CONTROL!$C$38, 0.0354, 0)</f>
        <v>48.2271</v>
      </c>
      <c r="I692" s="14">
        <f>48.1933 * CHOOSE(CONTROL!$C$15, $E$9, 100%, $G$9) + CHOOSE(CONTROL!$C$38, 0.0354, 0)</f>
        <v>48.228700000000003</v>
      </c>
      <c r="J692" s="44">
        <f>428.745</f>
        <v>428.745</v>
      </c>
    </row>
    <row r="693" spans="1:10" ht="15.75" x14ac:dyDescent="0.25">
      <c r="A693" s="32">
        <v>62032</v>
      </c>
      <c r="B693" s="14">
        <f>49.2273 * CHOOSE(CONTROL!$C$15, $E$9, 100%, $G$9) + CHOOSE(CONTROL!$C$38, 0.0251, 0)</f>
        <v>49.252400000000002</v>
      </c>
      <c r="C693" s="14">
        <f>46.5427 * CHOOSE(CONTROL!$C$15, $E$9, 100%, $G$9) + CHOOSE(CONTROL!$C$38, 0.0342, 0)</f>
        <v>46.576900000000002</v>
      </c>
      <c r="D693" s="14">
        <f>46.5348 * CHOOSE(CONTROL!$C$15, $E$9, 100%, $G$9) + CHOOSE(CONTROL!$C$38, 0.0342, 0)</f>
        <v>46.568999999999996</v>
      </c>
      <c r="E693" s="46">
        <f>49.071 * CHOOSE(CONTROL!$C$15, $E$9, 100%, $G$9) + CHOOSE(CONTROL!$C$38, 0.0342, 0)</f>
        <v>49.105199999999996</v>
      </c>
      <c r="F693" s="45">
        <f>49.071 * CHOOSE(CONTROL!$C$15, $E$9, 100%, $G$9) + CHOOSE(CONTROL!$C$38, 0.0251, 0)</f>
        <v>49.0961</v>
      </c>
      <c r="G693" s="14">
        <f>46.5411 * CHOOSE(CONTROL!$C$15, $E$9, 100%, $G$9) + CHOOSE(CONTROL!$C$38, 0.0342, 0)</f>
        <v>46.575299999999999</v>
      </c>
      <c r="H693" s="14">
        <f>46.5411 * CHOOSE(CONTROL!$C$15, $E$9, 100%, $G$9) + CHOOSE(CONTROL!$C$38, 0.0342, 0)</f>
        <v>46.575299999999999</v>
      </c>
      <c r="I693" s="14">
        <f>46.5427 * CHOOSE(CONTROL!$C$15, $E$9, 100%, $G$9) + CHOOSE(CONTROL!$C$38, 0.0342, 0)</f>
        <v>46.576900000000002</v>
      </c>
      <c r="J693" s="44">
        <f>413.9185</f>
        <v>413.91849999999999</v>
      </c>
    </row>
    <row r="694" spans="1:10" ht="15.75" x14ac:dyDescent="0.25">
      <c r="A694" s="32">
        <v>62062</v>
      </c>
      <c r="B694" s="14">
        <f>48.8809 * CHOOSE(CONTROL!$C$15, $E$9, 100%, $G$9) + CHOOSE(CONTROL!$C$38, 0.0251, 0)</f>
        <v>48.905999999999999</v>
      </c>
      <c r="C694" s="14">
        <f>46.2143 * CHOOSE(CONTROL!$C$15, $E$9, 100%, $G$9) + CHOOSE(CONTROL!$C$38, 0.0342, 0)</f>
        <v>46.2485</v>
      </c>
      <c r="D694" s="14">
        <f>46.2065 * CHOOSE(CONTROL!$C$15, $E$9, 100%, $G$9) + CHOOSE(CONTROL!$C$38, 0.0342, 0)</f>
        <v>46.240699999999997</v>
      </c>
      <c r="E694" s="46">
        <f>48.7247 * CHOOSE(CONTROL!$C$15, $E$9, 100%, $G$9) + CHOOSE(CONTROL!$C$38, 0.0342, 0)</f>
        <v>48.758899999999997</v>
      </c>
      <c r="F694" s="45">
        <f>48.7247 * CHOOSE(CONTROL!$C$15, $E$9, 100%, $G$9) + CHOOSE(CONTROL!$C$38, 0.0251, 0)</f>
        <v>48.7498</v>
      </c>
      <c r="G694" s="14">
        <f>46.2127 * CHOOSE(CONTROL!$C$15, $E$9, 100%, $G$9) + CHOOSE(CONTROL!$C$38, 0.0342, 0)</f>
        <v>46.246899999999997</v>
      </c>
      <c r="H694" s="14">
        <f>46.2127 * CHOOSE(CONTROL!$C$15, $E$9, 100%, $G$9) + CHOOSE(CONTROL!$C$38, 0.0342, 0)</f>
        <v>46.246899999999997</v>
      </c>
      <c r="I694" s="14">
        <f>46.2143 * CHOOSE(CONTROL!$C$15, $E$9, 100%, $G$9) + CHOOSE(CONTROL!$C$38, 0.0342, 0)</f>
        <v>46.2485</v>
      </c>
      <c r="J694" s="44">
        <f>410.9692</f>
        <v>410.9692</v>
      </c>
    </row>
    <row r="695" spans="1:10" ht="15.75" x14ac:dyDescent="0.25">
      <c r="A695" s="32">
        <v>62093</v>
      </c>
      <c r="B695" s="14">
        <f>47.4487 * CHOOSE(CONTROL!$C$15, $E$9, 100%, $G$9) + CHOOSE(CONTROL!$C$38, 0.0251, 0)</f>
        <v>47.473800000000004</v>
      </c>
      <c r="C695" s="14">
        <f>44.8566 * CHOOSE(CONTROL!$C$15, $E$9, 100%, $G$9) + CHOOSE(CONTROL!$C$38, 0.0342, 0)</f>
        <v>44.890799999999999</v>
      </c>
      <c r="D695" s="14">
        <f>44.8488 * CHOOSE(CONTROL!$C$15, $E$9, 100%, $G$9) + CHOOSE(CONTROL!$C$38, 0.0342, 0)</f>
        <v>44.882999999999996</v>
      </c>
      <c r="E695" s="46">
        <f>47.2924 * CHOOSE(CONTROL!$C$15, $E$9, 100%, $G$9) + CHOOSE(CONTROL!$C$38, 0.0342, 0)</f>
        <v>47.326599999999999</v>
      </c>
      <c r="F695" s="45">
        <f>47.2924 * CHOOSE(CONTROL!$C$15, $E$9, 100%, $G$9) + CHOOSE(CONTROL!$C$38, 0.0251, 0)</f>
        <v>47.317500000000003</v>
      </c>
      <c r="G695" s="14">
        <f>44.855 * CHOOSE(CONTROL!$C$15, $E$9, 100%, $G$9) + CHOOSE(CONTROL!$C$38, 0.0342, 0)</f>
        <v>44.889199999999995</v>
      </c>
      <c r="H695" s="14">
        <f>44.855 * CHOOSE(CONTROL!$C$15, $E$9, 100%, $G$9) + CHOOSE(CONTROL!$C$38, 0.0342, 0)</f>
        <v>44.889199999999995</v>
      </c>
      <c r="I695" s="14">
        <f>44.8566 * CHOOSE(CONTROL!$C$15, $E$9, 100%, $G$9) + CHOOSE(CONTROL!$C$38, 0.0342, 0)</f>
        <v>44.890799999999999</v>
      </c>
      <c r="J695" s="44">
        <f>398.7737</f>
        <v>398.77370000000002</v>
      </c>
    </row>
    <row r="696" spans="1:10" ht="15.75" x14ac:dyDescent="0.25">
      <c r="A696" s="32">
        <v>62124</v>
      </c>
      <c r="B696" s="14">
        <f>47.093 * CHOOSE(CONTROL!$C$15, $E$9, 100%, $G$9) + CHOOSE(CONTROL!$C$38, 0.0251, 0)</f>
        <v>47.118100000000005</v>
      </c>
      <c r="C696" s="14">
        <f>44.5194 * CHOOSE(CONTROL!$C$15, $E$9, 100%, $G$9) + CHOOSE(CONTROL!$C$38, 0.0342, 0)</f>
        <v>44.553599999999996</v>
      </c>
      <c r="D696" s="14">
        <f>44.5116 * CHOOSE(CONTROL!$C$15, $E$9, 100%, $G$9) + CHOOSE(CONTROL!$C$38, 0.0342, 0)</f>
        <v>44.5458</v>
      </c>
      <c r="E696" s="46">
        <f>46.9367 * CHOOSE(CONTROL!$C$15, $E$9, 100%, $G$9) + CHOOSE(CONTROL!$C$38, 0.0342, 0)</f>
        <v>46.9709</v>
      </c>
      <c r="F696" s="45">
        <f>46.9367 * CHOOSE(CONTROL!$C$15, $E$9, 100%, $G$9) + CHOOSE(CONTROL!$C$38, 0.0251, 0)</f>
        <v>46.961800000000004</v>
      </c>
      <c r="G696" s="14">
        <f>44.5178 * CHOOSE(CONTROL!$C$15, $E$9, 100%, $G$9) + CHOOSE(CONTROL!$C$38, 0.0342, 0)</f>
        <v>44.552</v>
      </c>
      <c r="H696" s="14">
        <f>44.5178 * CHOOSE(CONTROL!$C$15, $E$9, 100%, $G$9) + CHOOSE(CONTROL!$C$38, 0.0342, 0)</f>
        <v>44.552</v>
      </c>
      <c r="I696" s="14">
        <f>44.5194 * CHOOSE(CONTROL!$C$15, $E$9, 100%, $G$9) + CHOOSE(CONTROL!$C$38, 0.0342, 0)</f>
        <v>44.553599999999996</v>
      </c>
      <c r="J696" s="44">
        <f>398.4858</f>
        <v>398.48579999999998</v>
      </c>
    </row>
    <row r="697" spans="1:10" ht="15.75" x14ac:dyDescent="0.25">
      <c r="A697" s="32">
        <v>62152</v>
      </c>
      <c r="B697" s="14">
        <f>46.9638 * CHOOSE(CONTROL!$C$15, $E$9, 100%, $G$9) + CHOOSE(CONTROL!$C$38, 0.0251, 0)</f>
        <v>46.988900000000001</v>
      </c>
      <c r="C697" s="14">
        <f>44.3969 * CHOOSE(CONTROL!$C$15, $E$9, 100%, $G$9) + CHOOSE(CONTROL!$C$38, 0.0342, 0)</f>
        <v>44.431100000000001</v>
      </c>
      <c r="D697" s="14">
        <f>44.3891 * CHOOSE(CONTROL!$C$15, $E$9, 100%, $G$9) + CHOOSE(CONTROL!$C$38, 0.0342, 0)</f>
        <v>44.423299999999998</v>
      </c>
      <c r="E697" s="46">
        <f>46.8076 * CHOOSE(CONTROL!$C$15, $E$9, 100%, $G$9) + CHOOSE(CONTROL!$C$38, 0.0342, 0)</f>
        <v>46.841799999999999</v>
      </c>
      <c r="F697" s="45">
        <f>46.8076 * CHOOSE(CONTROL!$C$15, $E$9, 100%, $G$9) + CHOOSE(CONTROL!$C$38, 0.0251, 0)</f>
        <v>46.832700000000003</v>
      </c>
      <c r="G697" s="14">
        <f>44.3954 * CHOOSE(CONTROL!$C$15, $E$9, 100%, $G$9) + CHOOSE(CONTROL!$C$38, 0.0342, 0)</f>
        <v>44.429600000000001</v>
      </c>
      <c r="H697" s="14">
        <f>44.3954 * CHOOSE(CONTROL!$C$15, $E$9, 100%, $G$9) + CHOOSE(CONTROL!$C$38, 0.0342, 0)</f>
        <v>44.429600000000001</v>
      </c>
      <c r="I697" s="14">
        <f>44.3969 * CHOOSE(CONTROL!$C$15, $E$9, 100%, $G$9) + CHOOSE(CONTROL!$C$38, 0.0342, 0)</f>
        <v>44.431100000000001</v>
      </c>
      <c r="J697" s="44">
        <f>397.3781</f>
        <v>397.37810000000002</v>
      </c>
    </row>
    <row r="698" spans="1:10" ht="15.75" x14ac:dyDescent="0.25">
      <c r="A698" s="32">
        <v>62183</v>
      </c>
      <c r="B698" s="14">
        <f>49.4065 * CHOOSE(CONTROL!$C$15, $E$9, 100%, $G$9) + CHOOSE(CONTROL!$C$38, 0.0251, 0)</f>
        <v>49.431600000000003</v>
      </c>
      <c r="C698" s="14">
        <f>46.7126 * CHOOSE(CONTROL!$C$15, $E$9, 100%, $G$9) + CHOOSE(CONTROL!$C$38, 0.0342, 0)</f>
        <v>46.7468</v>
      </c>
      <c r="D698" s="14">
        <f>46.7048 * CHOOSE(CONTROL!$C$15, $E$9, 100%, $G$9) + CHOOSE(CONTROL!$C$38, 0.0342, 0)</f>
        <v>46.738999999999997</v>
      </c>
      <c r="E698" s="46">
        <f>49.2503 * CHOOSE(CONTROL!$C$15, $E$9, 100%, $G$9) + CHOOSE(CONTROL!$C$38, 0.0342, 0)</f>
        <v>49.284500000000001</v>
      </c>
      <c r="F698" s="45">
        <f>49.2503 * CHOOSE(CONTROL!$C$15, $E$9, 100%, $G$9) + CHOOSE(CONTROL!$C$38, 0.0251, 0)</f>
        <v>49.275400000000005</v>
      </c>
      <c r="G698" s="14">
        <f>46.711 * CHOOSE(CONTROL!$C$15, $E$9, 100%, $G$9) + CHOOSE(CONTROL!$C$38, 0.0342, 0)</f>
        <v>46.745199999999997</v>
      </c>
      <c r="H698" s="14">
        <f>46.711 * CHOOSE(CONTROL!$C$15, $E$9, 100%, $G$9) + CHOOSE(CONTROL!$C$38, 0.0342, 0)</f>
        <v>46.745199999999997</v>
      </c>
      <c r="I698" s="14">
        <f>46.7126 * CHOOSE(CONTROL!$C$15, $E$9, 100%, $G$9) + CHOOSE(CONTROL!$C$38, 0.0342, 0)</f>
        <v>46.7468</v>
      </c>
      <c r="J698" s="44">
        <f>418.3223</f>
        <v>418.32229999999998</v>
      </c>
    </row>
    <row r="699" spans="1:10" ht="15.75" x14ac:dyDescent="0.25">
      <c r="A699" s="32">
        <v>62213</v>
      </c>
      <c r="B699" s="14">
        <f>52.5742 * CHOOSE(CONTROL!$C$15, $E$9, 100%, $G$9) + CHOOSE(CONTROL!$C$38, 0.0251, 0)</f>
        <v>52.599299999999999</v>
      </c>
      <c r="C699" s="14">
        <f>49.7155 * CHOOSE(CONTROL!$C$15, $E$9, 100%, $G$9) + CHOOSE(CONTROL!$C$38, 0.0342, 0)</f>
        <v>49.749699999999997</v>
      </c>
      <c r="D699" s="14">
        <f>49.7077 * CHOOSE(CONTROL!$C$15, $E$9, 100%, $G$9) + CHOOSE(CONTROL!$C$38, 0.0342, 0)</f>
        <v>49.741900000000001</v>
      </c>
      <c r="E699" s="46">
        <f>52.4179 * CHOOSE(CONTROL!$C$15, $E$9, 100%, $G$9) + CHOOSE(CONTROL!$C$38, 0.0342, 0)</f>
        <v>52.452100000000002</v>
      </c>
      <c r="F699" s="45">
        <f>52.4179 * CHOOSE(CONTROL!$C$15, $E$9, 100%, $G$9) + CHOOSE(CONTROL!$C$38, 0.0251, 0)</f>
        <v>52.443000000000005</v>
      </c>
      <c r="G699" s="14">
        <f>49.7139 * CHOOSE(CONTROL!$C$15, $E$9, 100%, $G$9) + CHOOSE(CONTROL!$C$38, 0.0342, 0)</f>
        <v>49.748100000000001</v>
      </c>
      <c r="H699" s="14">
        <f>49.7139 * CHOOSE(CONTROL!$C$15, $E$9, 100%, $G$9) + CHOOSE(CONTROL!$C$38, 0.0342, 0)</f>
        <v>49.748100000000001</v>
      </c>
      <c r="I699" s="14">
        <f>49.7155 * CHOOSE(CONTROL!$C$15, $E$9, 100%, $G$9) + CHOOSE(CONTROL!$C$38, 0.0342, 0)</f>
        <v>49.749699999999997</v>
      </c>
      <c r="J699" s="44">
        <f>445.4818</f>
        <v>445.48180000000002</v>
      </c>
    </row>
    <row r="700" spans="1:10" ht="15.75" x14ac:dyDescent="0.25">
      <c r="A700" s="32">
        <v>62244</v>
      </c>
      <c r="B700" s="14">
        <f>54.3178 * CHOOSE(CONTROL!$C$15, $E$9, 100%, $G$9) + CHOOSE(CONTROL!$C$38, 0.0264, 0)</f>
        <v>54.344200000000001</v>
      </c>
      <c r="C700" s="14">
        <f>51.3684 * CHOOSE(CONTROL!$C$15, $E$9, 100%, $G$9) + CHOOSE(CONTROL!$C$38, 0.0354, 0)</f>
        <v>51.403800000000004</v>
      </c>
      <c r="D700" s="14">
        <f>51.3606 * CHOOSE(CONTROL!$C$15, $E$9, 100%, $G$9) + CHOOSE(CONTROL!$C$38, 0.0354, 0)</f>
        <v>51.396000000000001</v>
      </c>
      <c r="E700" s="46">
        <f>54.1615 * CHOOSE(CONTROL!$C$15, $E$9, 100%, $G$9) + CHOOSE(CONTROL!$C$38, 0.0354, 0)</f>
        <v>54.196899999999999</v>
      </c>
      <c r="F700" s="45">
        <f>54.1615 * CHOOSE(CONTROL!$C$15, $E$9, 100%, $G$9) + CHOOSE(CONTROL!$C$38, 0.0264, 0)</f>
        <v>54.187899999999999</v>
      </c>
      <c r="G700" s="14">
        <f>51.3668 * CHOOSE(CONTROL!$C$15, $E$9, 100%, $G$9) + CHOOSE(CONTROL!$C$38, 0.0354, 0)</f>
        <v>51.402200000000001</v>
      </c>
      <c r="H700" s="14">
        <f>51.3668 * CHOOSE(CONTROL!$C$15, $E$9, 100%, $G$9) + CHOOSE(CONTROL!$C$38, 0.0354, 0)</f>
        <v>51.402200000000001</v>
      </c>
      <c r="I700" s="14">
        <f>51.3684 * CHOOSE(CONTROL!$C$15, $E$9, 100%, $G$9) + CHOOSE(CONTROL!$C$38, 0.0354, 0)</f>
        <v>51.403800000000004</v>
      </c>
      <c r="J700" s="44">
        <f>460.4313</f>
        <v>460.43130000000002</v>
      </c>
    </row>
    <row r="701" spans="1:10" ht="15.75" x14ac:dyDescent="0.25">
      <c r="A701" s="32">
        <v>62274</v>
      </c>
      <c r="B701" s="14">
        <f>55.0915 * CHOOSE(CONTROL!$C$15, $E$9, 100%, $G$9) + CHOOSE(CONTROL!$C$38, 0.0264, 0)</f>
        <v>55.117900000000006</v>
      </c>
      <c r="C701" s="14">
        <f>52.1019 * CHOOSE(CONTROL!$C$15, $E$9, 100%, $G$9) + CHOOSE(CONTROL!$C$38, 0.0354, 0)</f>
        <v>52.137300000000003</v>
      </c>
      <c r="D701" s="14">
        <f>52.0941 * CHOOSE(CONTROL!$C$15, $E$9, 100%, $G$9) + CHOOSE(CONTROL!$C$38, 0.0354, 0)</f>
        <v>52.1295</v>
      </c>
      <c r="E701" s="46">
        <f>54.9353 * CHOOSE(CONTROL!$C$15, $E$9, 100%, $G$9) + CHOOSE(CONTROL!$C$38, 0.0354, 0)</f>
        <v>54.970700000000001</v>
      </c>
      <c r="F701" s="45">
        <f>54.9353 * CHOOSE(CONTROL!$C$15, $E$9, 100%, $G$9) + CHOOSE(CONTROL!$C$38, 0.0264, 0)</f>
        <v>54.9617</v>
      </c>
      <c r="G701" s="14">
        <f>52.1003 * CHOOSE(CONTROL!$C$15, $E$9, 100%, $G$9) + CHOOSE(CONTROL!$C$38, 0.0354, 0)</f>
        <v>52.1357</v>
      </c>
      <c r="H701" s="14">
        <f>52.1003 * CHOOSE(CONTROL!$C$15, $E$9, 100%, $G$9) + CHOOSE(CONTROL!$C$38, 0.0354, 0)</f>
        <v>52.1357</v>
      </c>
      <c r="I701" s="14">
        <f>52.1019 * CHOOSE(CONTROL!$C$15, $E$9, 100%, $G$9) + CHOOSE(CONTROL!$C$38, 0.0354, 0)</f>
        <v>52.137300000000003</v>
      </c>
      <c r="J701" s="44">
        <f>467.0656</f>
        <v>467.06560000000002</v>
      </c>
    </row>
    <row r="702" spans="1:10" ht="15.75" x14ac:dyDescent="0.25">
      <c r="A702" s="32">
        <v>62305</v>
      </c>
      <c r="B702" s="14">
        <f>54.8368 * CHOOSE(CONTROL!$C$15, $E$9, 100%, $G$9) + CHOOSE(CONTROL!$C$38, 0.0264, 0)</f>
        <v>54.863199999999999</v>
      </c>
      <c r="C702" s="14">
        <f>51.8604 * CHOOSE(CONTROL!$C$15, $E$9, 100%, $G$9) + CHOOSE(CONTROL!$C$38, 0.0354, 0)</f>
        <v>51.895800000000001</v>
      </c>
      <c r="D702" s="14">
        <f>51.8526 * CHOOSE(CONTROL!$C$15, $E$9, 100%, $G$9) + CHOOSE(CONTROL!$C$38, 0.0354, 0)</f>
        <v>51.888000000000005</v>
      </c>
      <c r="E702" s="46">
        <f>54.6805 * CHOOSE(CONTROL!$C$15, $E$9, 100%, $G$9) + CHOOSE(CONTROL!$C$38, 0.0354, 0)</f>
        <v>54.715900000000005</v>
      </c>
      <c r="F702" s="45">
        <f>54.6805 * CHOOSE(CONTROL!$C$15, $E$9, 100%, $G$9) + CHOOSE(CONTROL!$C$38, 0.0264, 0)</f>
        <v>54.706900000000005</v>
      </c>
      <c r="G702" s="14">
        <f>51.8588 * CHOOSE(CONTROL!$C$15, $E$9, 100%, $G$9) + CHOOSE(CONTROL!$C$38, 0.0354, 0)</f>
        <v>51.894200000000005</v>
      </c>
      <c r="H702" s="14">
        <f>51.8588 * CHOOSE(CONTROL!$C$15, $E$9, 100%, $G$9) + CHOOSE(CONTROL!$C$38, 0.0354, 0)</f>
        <v>51.894200000000005</v>
      </c>
      <c r="I702" s="14">
        <f>51.8604 * CHOOSE(CONTROL!$C$15, $E$9, 100%, $G$9) + CHOOSE(CONTROL!$C$38, 0.0354, 0)</f>
        <v>51.895800000000001</v>
      </c>
      <c r="J702" s="44">
        <f>464.8813</f>
        <v>464.88130000000001</v>
      </c>
    </row>
    <row r="703" spans="1:10" ht="15.75" x14ac:dyDescent="0.25">
      <c r="A703" s="32">
        <v>62336</v>
      </c>
      <c r="B703" s="14">
        <f>53.5746 * CHOOSE(CONTROL!$C$15, $E$9, 100%, $G$9) + CHOOSE(CONTROL!$C$38, 0.0264, 0)</f>
        <v>53.600999999999999</v>
      </c>
      <c r="C703" s="14">
        <f>50.6638 * CHOOSE(CONTROL!$C$15, $E$9, 100%, $G$9) + CHOOSE(CONTROL!$C$38, 0.0354, 0)</f>
        <v>50.699200000000005</v>
      </c>
      <c r="D703" s="14">
        <f>50.656 * CHOOSE(CONTROL!$C$15, $E$9, 100%, $G$9) + CHOOSE(CONTROL!$C$38, 0.0354, 0)</f>
        <v>50.691400000000002</v>
      </c>
      <c r="E703" s="46">
        <f>53.4183 * CHOOSE(CONTROL!$C$15, $E$9, 100%, $G$9) + CHOOSE(CONTROL!$C$38, 0.0354, 0)</f>
        <v>53.453700000000005</v>
      </c>
      <c r="F703" s="45">
        <f>53.4183 * CHOOSE(CONTROL!$C$15, $E$9, 100%, $G$9) + CHOOSE(CONTROL!$C$38, 0.0264, 0)</f>
        <v>53.444700000000005</v>
      </c>
      <c r="G703" s="14">
        <f>50.6623 * CHOOSE(CONTROL!$C$15, $E$9, 100%, $G$9) + CHOOSE(CONTROL!$C$38, 0.0354, 0)</f>
        <v>50.697700000000005</v>
      </c>
      <c r="H703" s="14">
        <f>50.6623 * CHOOSE(CONTROL!$C$15, $E$9, 100%, $G$9) + CHOOSE(CONTROL!$C$38, 0.0354, 0)</f>
        <v>50.697700000000005</v>
      </c>
      <c r="I703" s="14">
        <f>50.6638 * CHOOSE(CONTROL!$C$15, $E$9, 100%, $G$9) + CHOOSE(CONTROL!$C$38, 0.0354, 0)</f>
        <v>50.699200000000005</v>
      </c>
      <c r="J703" s="44">
        <f>454.059</f>
        <v>454.05900000000003</v>
      </c>
    </row>
    <row r="704" spans="1:10" ht="15.75" x14ac:dyDescent="0.25">
      <c r="A704" s="32">
        <v>62366</v>
      </c>
      <c r="B704" s="14">
        <f>51.8143 * CHOOSE(CONTROL!$C$15, $E$9, 100%, $G$9) + CHOOSE(CONTROL!$C$38, 0.0264, 0)</f>
        <v>51.840700000000005</v>
      </c>
      <c r="C704" s="14">
        <f>48.9952 * CHOOSE(CONTROL!$C$15, $E$9, 100%, $G$9) + CHOOSE(CONTROL!$C$38, 0.0354, 0)</f>
        <v>49.0306</v>
      </c>
      <c r="D704" s="14">
        <f>48.9874 * CHOOSE(CONTROL!$C$15, $E$9, 100%, $G$9) + CHOOSE(CONTROL!$C$38, 0.0354, 0)</f>
        <v>49.022800000000004</v>
      </c>
      <c r="E704" s="46">
        <f>51.6581 * CHOOSE(CONTROL!$C$15, $E$9, 100%, $G$9) + CHOOSE(CONTROL!$C$38, 0.0354, 0)</f>
        <v>51.6935</v>
      </c>
      <c r="F704" s="45">
        <f>51.6581 * CHOOSE(CONTROL!$C$15, $E$9, 100%, $G$9) + CHOOSE(CONTROL!$C$38, 0.0264, 0)</f>
        <v>51.6845</v>
      </c>
      <c r="G704" s="14">
        <f>48.9936 * CHOOSE(CONTROL!$C$15, $E$9, 100%, $G$9) + CHOOSE(CONTROL!$C$38, 0.0354, 0)</f>
        <v>49.029000000000003</v>
      </c>
      <c r="H704" s="14">
        <f>48.9936 * CHOOSE(CONTROL!$C$15, $E$9, 100%, $G$9) + CHOOSE(CONTROL!$C$38, 0.0354, 0)</f>
        <v>49.029000000000003</v>
      </c>
      <c r="I704" s="14">
        <f>48.9952 * CHOOSE(CONTROL!$C$15, $E$9, 100%, $G$9) + CHOOSE(CONTROL!$C$38, 0.0354, 0)</f>
        <v>49.0306</v>
      </c>
      <c r="J704" s="44">
        <f>438.9669</f>
        <v>438.96690000000001</v>
      </c>
    </row>
    <row r="705" spans="1:10" ht="15.75" x14ac:dyDescent="0.25">
      <c r="A705" s="32">
        <v>62397</v>
      </c>
      <c r="B705" s="14">
        <f>50.0439 * CHOOSE(CONTROL!$C$15, $E$9, 100%, $G$9) + CHOOSE(CONTROL!$C$38, 0.0251, 0)</f>
        <v>50.069000000000003</v>
      </c>
      <c r="C705" s="14">
        <f>47.3168 * CHOOSE(CONTROL!$C$15, $E$9, 100%, $G$9) + CHOOSE(CONTROL!$C$38, 0.0342, 0)</f>
        <v>47.350999999999999</v>
      </c>
      <c r="D705" s="14">
        <f>47.309 * CHOOSE(CONTROL!$C$15, $E$9, 100%, $G$9) + CHOOSE(CONTROL!$C$38, 0.0342, 0)</f>
        <v>47.343199999999996</v>
      </c>
      <c r="E705" s="46">
        <f>49.8876 * CHOOSE(CONTROL!$C$15, $E$9, 100%, $G$9) + CHOOSE(CONTROL!$C$38, 0.0342, 0)</f>
        <v>49.921799999999998</v>
      </c>
      <c r="F705" s="45">
        <f>49.8876 * CHOOSE(CONTROL!$C$15, $E$9, 100%, $G$9) + CHOOSE(CONTROL!$C$38, 0.0251, 0)</f>
        <v>49.912700000000001</v>
      </c>
      <c r="G705" s="14">
        <f>47.3152 * CHOOSE(CONTROL!$C$15, $E$9, 100%, $G$9) + CHOOSE(CONTROL!$C$38, 0.0342, 0)</f>
        <v>47.349399999999996</v>
      </c>
      <c r="H705" s="14">
        <f>47.3152 * CHOOSE(CONTROL!$C$15, $E$9, 100%, $G$9) + CHOOSE(CONTROL!$C$38, 0.0342, 0)</f>
        <v>47.349399999999996</v>
      </c>
      <c r="I705" s="14">
        <f>47.3168 * CHOOSE(CONTROL!$C$15, $E$9, 100%, $G$9) + CHOOSE(CONTROL!$C$38, 0.0342, 0)</f>
        <v>47.350999999999999</v>
      </c>
      <c r="J705" s="44">
        <f>423.787</f>
        <v>423.78699999999998</v>
      </c>
    </row>
    <row r="706" spans="1:10" ht="15.75" x14ac:dyDescent="0.25">
      <c r="A706" s="32">
        <v>62427</v>
      </c>
      <c r="B706" s="14">
        <f>49.6917 * CHOOSE(CONTROL!$C$15, $E$9, 100%, $G$9) + CHOOSE(CONTROL!$C$38, 0.0251, 0)</f>
        <v>49.716799999999999</v>
      </c>
      <c r="C706" s="14">
        <f>46.983 * CHOOSE(CONTROL!$C$15, $E$9, 100%, $G$9) + CHOOSE(CONTROL!$C$38, 0.0342, 0)</f>
        <v>47.017199999999995</v>
      </c>
      <c r="D706" s="14">
        <f>46.9751 * CHOOSE(CONTROL!$C$15, $E$9, 100%, $G$9) + CHOOSE(CONTROL!$C$38, 0.0342, 0)</f>
        <v>47.009299999999996</v>
      </c>
      <c r="E706" s="46">
        <f>49.5355 * CHOOSE(CONTROL!$C$15, $E$9, 100%, $G$9) + CHOOSE(CONTROL!$C$38, 0.0342, 0)</f>
        <v>49.569699999999997</v>
      </c>
      <c r="F706" s="45">
        <f>49.5355 * CHOOSE(CONTROL!$C$15, $E$9, 100%, $G$9) + CHOOSE(CONTROL!$C$38, 0.0251, 0)</f>
        <v>49.560600000000001</v>
      </c>
      <c r="G706" s="14">
        <f>46.9814 * CHOOSE(CONTROL!$C$15, $E$9, 100%, $G$9) + CHOOSE(CONTROL!$C$38, 0.0342, 0)</f>
        <v>47.015599999999999</v>
      </c>
      <c r="H706" s="14">
        <f>46.9814 * CHOOSE(CONTROL!$C$15, $E$9, 100%, $G$9) + CHOOSE(CONTROL!$C$38, 0.0342, 0)</f>
        <v>47.015599999999999</v>
      </c>
      <c r="I706" s="14">
        <f>46.983 * CHOOSE(CONTROL!$C$15, $E$9, 100%, $G$9) + CHOOSE(CONTROL!$C$38, 0.0342, 0)</f>
        <v>47.017199999999995</v>
      </c>
      <c r="J706" s="44">
        <f>420.7674</f>
        <v>420.76740000000001</v>
      </c>
    </row>
    <row r="707" spans="1:10" ht="15.75" x14ac:dyDescent="0.25">
      <c r="A707" s="32">
        <v>62458</v>
      </c>
      <c r="B707" s="14">
        <f>48.2354 * CHOOSE(CONTROL!$C$15, $E$9, 100%, $G$9) + CHOOSE(CONTROL!$C$38, 0.0251, 0)</f>
        <v>48.2605</v>
      </c>
      <c r="C707" s="14">
        <f>45.6024 * CHOOSE(CONTROL!$C$15, $E$9, 100%, $G$9) + CHOOSE(CONTROL!$C$38, 0.0342, 0)</f>
        <v>45.636600000000001</v>
      </c>
      <c r="D707" s="14">
        <f>45.5946 * CHOOSE(CONTROL!$C$15, $E$9, 100%, $G$9) + CHOOSE(CONTROL!$C$38, 0.0342, 0)</f>
        <v>45.628799999999998</v>
      </c>
      <c r="E707" s="46">
        <f>48.0792 * CHOOSE(CONTROL!$C$15, $E$9, 100%, $G$9) + CHOOSE(CONTROL!$C$38, 0.0342, 0)</f>
        <v>48.113399999999999</v>
      </c>
      <c r="F707" s="45">
        <f>48.0792 * CHOOSE(CONTROL!$C$15, $E$9, 100%, $G$9) + CHOOSE(CONTROL!$C$38, 0.0251, 0)</f>
        <v>48.104300000000002</v>
      </c>
      <c r="G707" s="14">
        <f>45.6008 * CHOOSE(CONTROL!$C$15, $E$9, 100%, $G$9) + CHOOSE(CONTROL!$C$38, 0.0342, 0)</f>
        <v>45.634999999999998</v>
      </c>
      <c r="H707" s="14">
        <f>45.6008 * CHOOSE(CONTROL!$C$15, $E$9, 100%, $G$9) + CHOOSE(CONTROL!$C$38, 0.0342, 0)</f>
        <v>45.634999999999998</v>
      </c>
      <c r="I707" s="14">
        <f>45.6024 * CHOOSE(CONTROL!$C$15, $E$9, 100%, $G$9) + CHOOSE(CONTROL!$C$38, 0.0342, 0)</f>
        <v>45.636600000000001</v>
      </c>
      <c r="J707" s="44">
        <f>408.2811</f>
        <v>408.28109999999998</v>
      </c>
    </row>
    <row r="708" spans="1:10" ht="15.75" x14ac:dyDescent="0.25">
      <c r="A708" s="32">
        <v>62489</v>
      </c>
      <c r="B708" s="14">
        <f>47.8738 * CHOOSE(CONTROL!$C$15, $E$9, 100%, $G$9) + CHOOSE(CONTROL!$C$38, 0.0251, 0)</f>
        <v>47.898900000000005</v>
      </c>
      <c r="C708" s="14">
        <f>45.2596 * CHOOSE(CONTROL!$C$15, $E$9, 100%, $G$9) + CHOOSE(CONTROL!$C$38, 0.0342, 0)</f>
        <v>45.293799999999997</v>
      </c>
      <c r="D708" s="14">
        <f>45.2518 * CHOOSE(CONTROL!$C$15, $E$9, 100%, $G$9) + CHOOSE(CONTROL!$C$38, 0.0342, 0)</f>
        <v>45.286000000000001</v>
      </c>
      <c r="E708" s="46">
        <f>47.7175 * CHOOSE(CONTROL!$C$15, $E$9, 100%, $G$9) + CHOOSE(CONTROL!$C$38, 0.0342, 0)</f>
        <v>47.7517</v>
      </c>
      <c r="F708" s="45">
        <f>47.7175 * CHOOSE(CONTROL!$C$15, $E$9, 100%, $G$9) + CHOOSE(CONTROL!$C$38, 0.0251, 0)</f>
        <v>47.742600000000003</v>
      </c>
      <c r="G708" s="14">
        <f>45.258 * CHOOSE(CONTROL!$C$15, $E$9, 100%, $G$9) + CHOOSE(CONTROL!$C$38, 0.0342, 0)</f>
        <v>45.292200000000001</v>
      </c>
      <c r="H708" s="14">
        <f>45.258 * CHOOSE(CONTROL!$C$15, $E$9, 100%, $G$9) + CHOOSE(CONTROL!$C$38, 0.0342, 0)</f>
        <v>45.292200000000001</v>
      </c>
      <c r="I708" s="14">
        <f>45.2596 * CHOOSE(CONTROL!$C$15, $E$9, 100%, $G$9) + CHOOSE(CONTROL!$C$38, 0.0342, 0)</f>
        <v>45.293799999999997</v>
      </c>
      <c r="J708" s="44">
        <f>407.9863</f>
        <v>407.98630000000003</v>
      </c>
    </row>
    <row r="709" spans="1:10" ht="15.75" x14ac:dyDescent="0.25">
      <c r="A709" s="32">
        <v>62517</v>
      </c>
      <c r="B709" s="14">
        <f>47.7424 * CHOOSE(CONTROL!$C$15, $E$9, 100%, $G$9) + CHOOSE(CONTROL!$C$38, 0.0251, 0)</f>
        <v>47.767500000000005</v>
      </c>
      <c r="C709" s="14">
        <f>45.135 * CHOOSE(CONTROL!$C$15, $E$9, 100%, $G$9) + CHOOSE(CONTROL!$C$38, 0.0342, 0)</f>
        <v>45.169199999999996</v>
      </c>
      <c r="D709" s="14">
        <f>45.1272 * CHOOSE(CONTROL!$C$15, $E$9, 100%, $G$9) + CHOOSE(CONTROL!$C$38, 0.0342, 0)</f>
        <v>45.1614</v>
      </c>
      <c r="E709" s="46">
        <f>47.5862 * CHOOSE(CONTROL!$C$15, $E$9, 100%, $G$9) + CHOOSE(CONTROL!$C$38, 0.0342, 0)</f>
        <v>47.620399999999997</v>
      </c>
      <c r="F709" s="45">
        <f>47.5862 * CHOOSE(CONTROL!$C$15, $E$9, 100%, $G$9) + CHOOSE(CONTROL!$C$38, 0.0251, 0)</f>
        <v>47.6113</v>
      </c>
      <c r="G709" s="14">
        <f>45.1335 * CHOOSE(CONTROL!$C$15, $E$9, 100%, $G$9) + CHOOSE(CONTROL!$C$38, 0.0342, 0)</f>
        <v>45.167699999999996</v>
      </c>
      <c r="H709" s="14">
        <f>45.1335 * CHOOSE(CONTROL!$C$15, $E$9, 100%, $G$9) + CHOOSE(CONTROL!$C$38, 0.0342, 0)</f>
        <v>45.167699999999996</v>
      </c>
      <c r="I709" s="14">
        <f>45.135 * CHOOSE(CONTROL!$C$15, $E$9, 100%, $G$9) + CHOOSE(CONTROL!$C$38, 0.0342, 0)</f>
        <v>45.169199999999996</v>
      </c>
      <c r="J709" s="44">
        <f>406.8522</f>
        <v>406.85219999999998</v>
      </c>
    </row>
    <row r="710" spans="1:10" ht="15.75" x14ac:dyDescent="0.25">
      <c r="A710" s="32">
        <v>62548</v>
      </c>
      <c r="B710" s="14">
        <f>50.2262 * CHOOSE(CONTROL!$C$15, $E$9, 100%, $G$9) + CHOOSE(CONTROL!$C$38, 0.0251, 0)</f>
        <v>50.251300000000001</v>
      </c>
      <c r="C710" s="14">
        <f>47.4896 * CHOOSE(CONTROL!$C$15, $E$9, 100%, $G$9) + CHOOSE(CONTROL!$C$38, 0.0342, 0)</f>
        <v>47.523800000000001</v>
      </c>
      <c r="D710" s="14">
        <f>47.4818 * CHOOSE(CONTROL!$C$15, $E$9, 100%, $G$9) + CHOOSE(CONTROL!$C$38, 0.0342, 0)</f>
        <v>47.515999999999998</v>
      </c>
      <c r="E710" s="46">
        <f>50.0699 * CHOOSE(CONTROL!$C$15, $E$9, 100%, $G$9) + CHOOSE(CONTROL!$C$38, 0.0342, 0)</f>
        <v>50.104099999999995</v>
      </c>
      <c r="F710" s="45">
        <f>50.0699 * CHOOSE(CONTROL!$C$15, $E$9, 100%, $G$9) + CHOOSE(CONTROL!$C$38, 0.0251, 0)</f>
        <v>50.094999999999999</v>
      </c>
      <c r="G710" s="14">
        <f>47.4881 * CHOOSE(CONTROL!$C$15, $E$9, 100%, $G$9) + CHOOSE(CONTROL!$C$38, 0.0342, 0)</f>
        <v>47.522300000000001</v>
      </c>
      <c r="H710" s="14">
        <f>47.4881 * CHOOSE(CONTROL!$C$15, $E$9, 100%, $G$9) + CHOOSE(CONTROL!$C$38, 0.0342, 0)</f>
        <v>47.522300000000001</v>
      </c>
      <c r="I710" s="14">
        <f>47.4896 * CHOOSE(CONTROL!$C$15, $E$9, 100%, $G$9) + CHOOSE(CONTROL!$C$38, 0.0342, 0)</f>
        <v>47.523800000000001</v>
      </c>
      <c r="J710" s="44">
        <f>428.2957</f>
        <v>428.29570000000001</v>
      </c>
    </row>
    <row r="711" spans="1:10" ht="15.75" x14ac:dyDescent="0.25">
      <c r="A711" s="32">
        <v>62578</v>
      </c>
      <c r="B711" s="14">
        <f>53.4471 * CHOOSE(CONTROL!$C$15, $E$9, 100%, $G$9) + CHOOSE(CONTROL!$C$38, 0.0251, 0)</f>
        <v>53.472200000000001</v>
      </c>
      <c r="C711" s="14">
        <f>50.543 * CHOOSE(CONTROL!$C$15, $E$9, 100%, $G$9) + CHOOSE(CONTROL!$C$38, 0.0342, 0)</f>
        <v>50.577199999999998</v>
      </c>
      <c r="D711" s="14">
        <f>50.5351 * CHOOSE(CONTROL!$C$15, $E$9, 100%, $G$9) + CHOOSE(CONTROL!$C$38, 0.0342, 0)</f>
        <v>50.569299999999998</v>
      </c>
      <c r="E711" s="46">
        <f>53.2908 * CHOOSE(CONTROL!$C$15, $E$9, 100%, $G$9) + CHOOSE(CONTROL!$C$38, 0.0342, 0)</f>
        <v>53.324999999999996</v>
      </c>
      <c r="F711" s="45">
        <f>53.2908 * CHOOSE(CONTROL!$C$15, $E$9, 100%, $G$9) + CHOOSE(CONTROL!$C$38, 0.0251, 0)</f>
        <v>53.315899999999999</v>
      </c>
      <c r="G711" s="14">
        <f>50.5414 * CHOOSE(CONTROL!$C$15, $E$9, 100%, $G$9) + CHOOSE(CONTROL!$C$38, 0.0342, 0)</f>
        <v>50.575600000000001</v>
      </c>
      <c r="H711" s="14">
        <f>50.5414 * CHOOSE(CONTROL!$C$15, $E$9, 100%, $G$9) + CHOOSE(CONTROL!$C$38, 0.0342, 0)</f>
        <v>50.575600000000001</v>
      </c>
      <c r="I711" s="14">
        <f>50.543 * CHOOSE(CONTROL!$C$15, $E$9, 100%, $G$9) + CHOOSE(CONTROL!$C$38, 0.0342, 0)</f>
        <v>50.577199999999998</v>
      </c>
      <c r="J711" s="44">
        <f>456.1027</f>
        <v>456.10270000000003</v>
      </c>
    </row>
    <row r="712" spans="1:10" ht="15.75" x14ac:dyDescent="0.25">
      <c r="A712" s="32">
        <v>62609</v>
      </c>
      <c r="B712" s="14">
        <f>55.2199 * CHOOSE(CONTROL!$C$15, $E$9, 100%, $G$9) + CHOOSE(CONTROL!$C$38, 0.0264, 0)</f>
        <v>55.246300000000005</v>
      </c>
      <c r="C712" s="14">
        <f>52.2236 * CHOOSE(CONTROL!$C$15, $E$9, 100%, $G$9) + CHOOSE(CONTROL!$C$38, 0.0354, 0)</f>
        <v>52.259</v>
      </c>
      <c r="D712" s="14">
        <f>52.2158 * CHOOSE(CONTROL!$C$15, $E$9, 100%, $G$9) + CHOOSE(CONTROL!$C$38, 0.0354, 0)</f>
        <v>52.251200000000004</v>
      </c>
      <c r="E712" s="46">
        <f>55.0637 * CHOOSE(CONTROL!$C$15, $E$9, 100%, $G$9) + CHOOSE(CONTROL!$C$38, 0.0354, 0)</f>
        <v>55.0991</v>
      </c>
      <c r="F712" s="45">
        <f>55.0637 * CHOOSE(CONTROL!$C$15, $E$9, 100%, $G$9) + CHOOSE(CONTROL!$C$38, 0.0264, 0)</f>
        <v>55.0901</v>
      </c>
      <c r="G712" s="14">
        <f>52.222 * CHOOSE(CONTROL!$C$15, $E$9, 100%, $G$9) + CHOOSE(CONTROL!$C$38, 0.0354, 0)</f>
        <v>52.257400000000004</v>
      </c>
      <c r="H712" s="14">
        <f>52.222 * CHOOSE(CONTROL!$C$15, $E$9, 100%, $G$9) + CHOOSE(CONTROL!$C$38, 0.0354, 0)</f>
        <v>52.257400000000004</v>
      </c>
      <c r="I712" s="14">
        <f>52.2236 * CHOOSE(CONTROL!$C$15, $E$9, 100%, $G$9) + CHOOSE(CONTROL!$C$38, 0.0354, 0)</f>
        <v>52.259</v>
      </c>
      <c r="J712" s="44">
        <f>471.4086</f>
        <v>471.40859999999998</v>
      </c>
    </row>
    <row r="713" spans="1:10" ht="15.75" x14ac:dyDescent="0.25">
      <c r="A713" s="32">
        <v>62639</v>
      </c>
      <c r="B713" s="14">
        <f>56.0067 * CHOOSE(CONTROL!$C$15, $E$9, 100%, $G$9) + CHOOSE(CONTROL!$C$38, 0.0264, 0)</f>
        <v>56.033100000000005</v>
      </c>
      <c r="C713" s="14">
        <f>52.9695 * CHOOSE(CONTROL!$C$15, $E$9, 100%, $G$9) + CHOOSE(CONTROL!$C$38, 0.0354, 0)</f>
        <v>53.004899999999999</v>
      </c>
      <c r="D713" s="14">
        <f>52.9616 * CHOOSE(CONTROL!$C$15, $E$9, 100%, $G$9) + CHOOSE(CONTROL!$C$38, 0.0354, 0)</f>
        <v>52.997</v>
      </c>
      <c r="E713" s="46">
        <f>55.8504 * CHOOSE(CONTROL!$C$15, $E$9, 100%, $G$9) + CHOOSE(CONTROL!$C$38, 0.0354, 0)</f>
        <v>55.885800000000003</v>
      </c>
      <c r="F713" s="45">
        <f>55.8504 * CHOOSE(CONTROL!$C$15, $E$9, 100%, $G$9) + CHOOSE(CONTROL!$C$38, 0.0264, 0)</f>
        <v>55.876800000000003</v>
      </c>
      <c r="G713" s="14">
        <f>52.9679 * CHOOSE(CONTROL!$C$15, $E$9, 100%, $G$9) + CHOOSE(CONTROL!$C$38, 0.0354, 0)</f>
        <v>53.003300000000003</v>
      </c>
      <c r="H713" s="14">
        <f>52.9679 * CHOOSE(CONTROL!$C$15, $E$9, 100%, $G$9) + CHOOSE(CONTROL!$C$38, 0.0354, 0)</f>
        <v>53.003300000000003</v>
      </c>
      <c r="I713" s="14">
        <f>52.9695 * CHOOSE(CONTROL!$C$15, $E$9, 100%, $G$9) + CHOOSE(CONTROL!$C$38, 0.0354, 0)</f>
        <v>53.004899999999999</v>
      </c>
      <c r="J713" s="44">
        <f>478.2011</f>
        <v>478.2011</v>
      </c>
    </row>
    <row r="714" spans="1:10" ht="15.75" x14ac:dyDescent="0.25">
      <c r="A714" s="32">
        <v>62670</v>
      </c>
      <c r="B714" s="14">
        <f>55.7476 * CHOOSE(CONTROL!$C$15, $E$9, 100%, $G$9) + CHOOSE(CONTROL!$C$38, 0.0264, 0)</f>
        <v>55.774000000000001</v>
      </c>
      <c r="C714" s="14">
        <f>52.7239 * CHOOSE(CONTROL!$C$15, $E$9, 100%, $G$9) + CHOOSE(CONTROL!$C$38, 0.0354, 0)</f>
        <v>52.759300000000003</v>
      </c>
      <c r="D714" s="14">
        <f>52.7161 * CHOOSE(CONTROL!$C$15, $E$9, 100%, $G$9) + CHOOSE(CONTROL!$C$38, 0.0354, 0)</f>
        <v>52.7515</v>
      </c>
      <c r="E714" s="46">
        <f>55.5914 * CHOOSE(CONTROL!$C$15, $E$9, 100%, $G$9) + CHOOSE(CONTROL!$C$38, 0.0354, 0)</f>
        <v>55.626800000000003</v>
      </c>
      <c r="F714" s="45">
        <f>55.5914 * CHOOSE(CONTROL!$C$15, $E$9, 100%, $G$9) + CHOOSE(CONTROL!$C$38, 0.0264, 0)</f>
        <v>55.617800000000003</v>
      </c>
      <c r="G714" s="14">
        <f>52.7223 * CHOOSE(CONTROL!$C$15, $E$9, 100%, $G$9) + CHOOSE(CONTROL!$C$38, 0.0354, 0)</f>
        <v>52.7577</v>
      </c>
      <c r="H714" s="14">
        <f>52.7223 * CHOOSE(CONTROL!$C$15, $E$9, 100%, $G$9) + CHOOSE(CONTROL!$C$38, 0.0354, 0)</f>
        <v>52.7577</v>
      </c>
      <c r="I714" s="14">
        <f>52.7239 * CHOOSE(CONTROL!$C$15, $E$9, 100%, $G$9) + CHOOSE(CONTROL!$C$38, 0.0354, 0)</f>
        <v>52.759300000000003</v>
      </c>
      <c r="J714" s="44">
        <f>475.9647</f>
        <v>475.96469999999999</v>
      </c>
    </row>
    <row r="715" spans="1:10" ht="15.75" x14ac:dyDescent="0.25">
      <c r="A715" s="32">
        <v>62701</v>
      </c>
      <c r="B715" s="14">
        <f>54.4642 * CHOOSE(CONTROL!$C$15, $E$9, 100%, $G$9) + CHOOSE(CONTROL!$C$38, 0.0264, 0)</f>
        <v>54.490600000000001</v>
      </c>
      <c r="C715" s="14">
        <f>51.5072 * CHOOSE(CONTROL!$C$15, $E$9, 100%, $G$9) + CHOOSE(CONTROL!$C$38, 0.0354, 0)</f>
        <v>51.5426</v>
      </c>
      <c r="D715" s="14">
        <f>51.4994 * CHOOSE(CONTROL!$C$15, $E$9, 100%, $G$9) + CHOOSE(CONTROL!$C$38, 0.0354, 0)</f>
        <v>51.534800000000004</v>
      </c>
      <c r="E715" s="46">
        <f>54.308 * CHOOSE(CONTROL!$C$15, $E$9, 100%, $G$9) + CHOOSE(CONTROL!$C$38, 0.0354, 0)</f>
        <v>54.343400000000003</v>
      </c>
      <c r="F715" s="45">
        <f>54.308 * CHOOSE(CONTROL!$C$15, $E$9, 100%, $G$9) + CHOOSE(CONTROL!$C$38, 0.0264, 0)</f>
        <v>54.334400000000002</v>
      </c>
      <c r="G715" s="14">
        <f>51.5057 * CHOOSE(CONTROL!$C$15, $E$9, 100%, $G$9) + CHOOSE(CONTROL!$C$38, 0.0354, 0)</f>
        <v>51.5411</v>
      </c>
      <c r="H715" s="14">
        <f>51.5057 * CHOOSE(CONTROL!$C$15, $E$9, 100%, $G$9) + CHOOSE(CONTROL!$C$38, 0.0354, 0)</f>
        <v>51.5411</v>
      </c>
      <c r="I715" s="14">
        <f>51.5072 * CHOOSE(CONTROL!$C$15, $E$9, 100%, $G$9) + CHOOSE(CONTROL!$C$38, 0.0354, 0)</f>
        <v>51.5426</v>
      </c>
      <c r="J715" s="44">
        <f>464.8845</f>
        <v>464.8845</v>
      </c>
    </row>
    <row r="716" spans="1:10" ht="15.75" x14ac:dyDescent="0.25">
      <c r="A716" s="32">
        <v>62731</v>
      </c>
      <c r="B716" s="14">
        <f>52.6744 * CHOOSE(CONTROL!$C$15, $E$9, 100%, $G$9) + CHOOSE(CONTROL!$C$38, 0.0264, 0)</f>
        <v>52.700800000000001</v>
      </c>
      <c r="C716" s="14">
        <f>49.8105 * CHOOSE(CONTROL!$C$15, $E$9, 100%, $G$9) + CHOOSE(CONTROL!$C$38, 0.0354, 0)</f>
        <v>49.8459</v>
      </c>
      <c r="D716" s="14">
        <f>49.8027 * CHOOSE(CONTROL!$C$15, $E$9, 100%, $G$9) + CHOOSE(CONTROL!$C$38, 0.0354, 0)</f>
        <v>49.838100000000004</v>
      </c>
      <c r="E716" s="46">
        <f>52.5182 * CHOOSE(CONTROL!$C$15, $E$9, 100%, $G$9) + CHOOSE(CONTROL!$C$38, 0.0354, 0)</f>
        <v>52.553600000000003</v>
      </c>
      <c r="F716" s="45">
        <f>52.5182 * CHOOSE(CONTROL!$C$15, $E$9, 100%, $G$9) + CHOOSE(CONTROL!$C$38, 0.0264, 0)</f>
        <v>52.544600000000003</v>
      </c>
      <c r="G716" s="14">
        <f>49.809 * CHOOSE(CONTROL!$C$15, $E$9, 100%, $G$9) + CHOOSE(CONTROL!$C$38, 0.0354, 0)</f>
        <v>49.8444</v>
      </c>
      <c r="H716" s="14">
        <f>49.809 * CHOOSE(CONTROL!$C$15, $E$9, 100%, $G$9) + CHOOSE(CONTROL!$C$38, 0.0354, 0)</f>
        <v>49.8444</v>
      </c>
      <c r="I716" s="14">
        <f>49.8105 * CHOOSE(CONTROL!$C$15, $E$9, 100%, $G$9) + CHOOSE(CONTROL!$C$38, 0.0354, 0)</f>
        <v>49.8459</v>
      </c>
      <c r="J716" s="44">
        <f>449.4325</f>
        <v>449.4325</v>
      </c>
    </row>
    <row r="717" spans="1:10" ht="15.75" x14ac:dyDescent="0.25">
      <c r="A717" s="32">
        <v>62762</v>
      </c>
      <c r="B717" s="14">
        <f>50.8743 * CHOOSE(CONTROL!$C$15, $E$9, 100%, $G$9) + CHOOSE(CONTROL!$C$38, 0.0251, 0)</f>
        <v>50.8994</v>
      </c>
      <c r="C717" s="14">
        <f>48.104 * CHOOSE(CONTROL!$C$15, $E$9, 100%, $G$9) + CHOOSE(CONTROL!$C$38, 0.0342, 0)</f>
        <v>48.138199999999998</v>
      </c>
      <c r="D717" s="14">
        <f>48.0962 * CHOOSE(CONTROL!$C$15, $E$9, 100%, $G$9) + CHOOSE(CONTROL!$C$38, 0.0342, 0)</f>
        <v>48.130400000000002</v>
      </c>
      <c r="E717" s="46">
        <f>50.718 * CHOOSE(CONTROL!$C$15, $E$9, 100%, $G$9) + CHOOSE(CONTROL!$C$38, 0.0342, 0)</f>
        <v>50.752200000000002</v>
      </c>
      <c r="F717" s="45">
        <f>50.718 * CHOOSE(CONTROL!$C$15, $E$9, 100%, $G$9) + CHOOSE(CONTROL!$C$38, 0.0251, 0)</f>
        <v>50.743100000000005</v>
      </c>
      <c r="G717" s="14">
        <f>48.1024 * CHOOSE(CONTROL!$C$15, $E$9, 100%, $G$9) + CHOOSE(CONTROL!$C$38, 0.0342, 0)</f>
        <v>48.136600000000001</v>
      </c>
      <c r="H717" s="14">
        <f>48.1024 * CHOOSE(CONTROL!$C$15, $E$9, 100%, $G$9) + CHOOSE(CONTROL!$C$38, 0.0342, 0)</f>
        <v>48.136600000000001</v>
      </c>
      <c r="I717" s="14">
        <f>48.104 * CHOOSE(CONTROL!$C$15, $E$9, 100%, $G$9) + CHOOSE(CONTROL!$C$38, 0.0342, 0)</f>
        <v>48.138199999999998</v>
      </c>
      <c r="J717" s="44">
        <f>433.8907</f>
        <v>433.89069999999998</v>
      </c>
    </row>
    <row r="718" spans="1:10" ht="15.75" x14ac:dyDescent="0.25">
      <c r="A718" s="32">
        <v>62792</v>
      </c>
      <c r="B718" s="14">
        <f>50.5162 * CHOOSE(CONTROL!$C$15, $E$9, 100%, $G$9) + CHOOSE(CONTROL!$C$38, 0.0251, 0)</f>
        <v>50.5413</v>
      </c>
      <c r="C718" s="14">
        <f>47.7645 * CHOOSE(CONTROL!$C$15, $E$9, 100%, $G$9) + CHOOSE(CONTROL!$C$38, 0.0342, 0)</f>
        <v>47.798699999999997</v>
      </c>
      <c r="D718" s="14">
        <f>47.7567 * CHOOSE(CONTROL!$C$15, $E$9, 100%, $G$9) + CHOOSE(CONTROL!$C$38, 0.0342, 0)</f>
        <v>47.790900000000001</v>
      </c>
      <c r="E718" s="46">
        <f>50.3599 * CHOOSE(CONTROL!$C$15, $E$9, 100%, $G$9) + CHOOSE(CONTROL!$C$38, 0.0342, 0)</f>
        <v>50.394100000000002</v>
      </c>
      <c r="F718" s="45">
        <f>50.3599 * CHOOSE(CONTROL!$C$15, $E$9, 100%, $G$9) + CHOOSE(CONTROL!$C$38, 0.0251, 0)</f>
        <v>50.385000000000005</v>
      </c>
      <c r="G718" s="14">
        <f>47.7629 * CHOOSE(CONTROL!$C$15, $E$9, 100%, $G$9) + CHOOSE(CONTROL!$C$38, 0.0342, 0)</f>
        <v>47.7971</v>
      </c>
      <c r="H718" s="14">
        <f>47.7629 * CHOOSE(CONTROL!$C$15, $E$9, 100%, $G$9) + CHOOSE(CONTROL!$C$38, 0.0342, 0)</f>
        <v>47.7971</v>
      </c>
      <c r="I718" s="14">
        <f>47.7645 * CHOOSE(CONTROL!$C$15, $E$9, 100%, $G$9) + CHOOSE(CONTROL!$C$38, 0.0342, 0)</f>
        <v>47.798699999999997</v>
      </c>
      <c r="J718" s="44">
        <f>430.7991</f>
        <v>430.79910000000001</v>
      </c>
    </row>
    <row r="719" spans="1:10" ht="15.75" x14ac:dyDescent="0.25">
      <c r="A719" s="32">
        <v>62823</v>
      </c>
      <c r="B719" s="14">
        <f>49.0354 * CHOOSE(CONTROL!$C$15, $E$9, 100%, $G$9) + CHOOSE(CONTROL!$C$38, 0.0251, 0)</f>
        <v>49.060500000000005</v>
      </c>
      <c r="C719" s="14">
        <f>46.3608 * CHOOSE(CONTROL!$C$15, $E$9, 100%, $G$9) + CHOOSE(CONTROL!$C$38, 0.0342, 0)</f>
        <v>46.394999999999996</v>
      </c>
      <c r="D719" s="14">
        <f>46.353 * CHOOSE(CONTROL!$C$15, $E$9, 100%, $G$9) + CHOOSE(CONTROL!$C$38, 0.0342, 0)</f>
        <v>46.3872</v>
      </c>
      <c r="E719" s="46">
        <f>48.8792 * CHOOSE(CONTROL!$C$15, $E$9, 100%, $G$9) + CHOOSE(CONTROL!$C$38, 0.0342, 0)</f>
        <v>48.913399999999996</v>
      </c>
      <c r="F719" s="45">
        <f>48.8792 * CHOOSE(CONTROL!$C$15, $E$9, 100%, $G$9) + CHOOSE(CONTROL!$C$38, 0.0251, 0)</f>
        <v>48.904299999999999</v>
      </c>
      <c r="G719" s="14">
        <f>46.3592 * CHOOSE(CONTROL!$C$15, $E$9, 100%, $G$9) + CHOOSE(CONTROL!$C$38, 0.0342, 0)</f>
        <v>46.3934</v>
      </c>
      <c r="H719" s="14">
        <f>46.3592 * CHOOSE(CONTROL!$C$15, $E$9, 100%, $G$9) + CHOOSE(CONTROL!$C$38, 0.0342, 0)</f>
        <v>46.3934</v>
      </c>
      <c r="I719" s="14">
        <f>46.3608 * CHOOSE(CONTROL!$C$15, $E$9, 100%, $G$9) + CHOOSE(CONTROL!$C$38, 0.0342, 0)</f>
        <v>46.394999999999996</v>
      </c>
      <c r="J719" s="44">
        <f>418.0151</f>
        <v>418.01510000000002</v>
      </c>
    </row>
    <row r="720" spans="1:10" ht="15.75" x14ac:dyDescent="0.25">
      <c r="A720" s="32">
        <v>62854</v>
      </c>
      <c r="B720" s="14">
        <f>48.6677 * CHOOSE(CONTROL!$C$15, $E$9, 100%, $G$9) + CHOOSE(CONTROL!$C$38, 0.0251, 0)</f>
        <v>48.692800000000005</v>
      </c>
      <c r="C720" s="14">
        <f>46.0122 * CHOOSE(CONTROL!$C$15, $E$9, 100%, $G$9) + CHOOSE(CONTROL!$C$38, 0.0342, 0)</f>
        <v>46.046399999999998</v>
      </c>
      <c r="D720" s="14">
        <f>46.0044 * CHOOSE(CONTROL!$C$15, $E$9, 100%, $G$9) + CHOOSE(CONTROL!$C$38, 0.0342, 0)</f>
        <v>46.038599999999995</v>
      </c>
      <c r="E720" s="46">
        <f>48.5114 * CHOOSE(CONTROL!$C$15, $E$9, 100%, $G$9) + CHOOSE(CONTROL!$C$38, 0.0342, 0)</f>
        <v>48.5456</v>
      </c>
      <c r="F720" s="45">
        <f>48.5114 * CHOOSE(CONTROL!$C$15, $E$9, 100%, $G$9) + CHOOSE(CONTROL!$C$38, 0.0251, 0)</f>
        <v>48.536500000000004</v>
      </c>
      <c r="G720" s="14">
        <f>46.0106 * CHOOSE(CONTROL!$C$15, $E$9, 100%, $G$9) + CHOOSE(CONTROL!$C$38, 0.0342, 0)</f>
        <v>46.044799999999995</v>
      </c>
      <c r="H720" s="14">
        <f>46.0106 * CHOOSE(CONTROL!$C$15, $E$9, 100%, $G$9) + CHOOSE(CONTROL!$C$38, 0.0342, 0)</f>
        <v>46.044799999999995</v>
      </c>
      <c r="I720" s="14">
        <f>46.0122 * CHOOSE(CONTROL!$C$15, $E$9, 100%, $G$9) + CHOOSE(CONTROL!$C$38, 0.0342, 0)</f>
        <v>46.046399999999998</v>
      </c>
      <c r="J720" s="44">
        <f>417.7133</f>
        <v>417.7133</v>
      </c>
    </row>
    <row r="721" spans="1:10" ht="15.75" x14ac:dyDescent="0.25">
      <c r="A721" s="32">
        <v>62883</v>
      </c>
      <c r="B721" s="14">
        <f>48.5341 * CHOOSE(CONTROL!$C$15, $E$9, 100%, $G$9) + CHOOSE(CONTROL!$C$38, 0.0251, 0)</f>
        <v>48.559200000000004</v>
      </c>
      <c r="C721" s="14">
        <f>45.8856 * CHOOSE(CONTROL!$C$15, $E$9, 100%, $G$9) + CHOOSE(CONTROL!$C$38, 0.0342, 0)</f>
        <v>45.919799999999995</v>
      </c>
      <c r="D721" s="14">
        <f>45.8777 * CHOOSE(CONTROL!$C$15, $E$9, 100%, $G$9) + CHOOSE(CONTROL!$C$38, 0.0342, 0)</f>
        <v>45.911899999999996</v>
      </c>
      <c r="E721" s="46">
        <f>48.3779 * CHOOSE(CONTROL!$C$15, $E$9, 100%, $G$9) + CHOOSE(CONTROL!$C$38, 0.0342, 0)</f>
        <v>48.412099999999995</v>
      </c>
      <c r="F721" s="45">
        <f>48.3779 * CHOOSE(CONTROL!$C$15, $E$9, 100%, $G$9) + CHOOSE(CONTROL!$C$38, 0.0251, 0)</f>
        <v>48.402999999999999</v>
      </c>
      <c r="G721" s="14">
        <f>45.884 * CHOOSE(CONTROL!$C$15, $E$9, 100%, $G$9) + CHOOSE(CONTROL!$C$38, 0.0342, 0)</f>
        <v>45.918199999999999</v>
      </c>
      <c r="H721" s="14">
        <f>45.884 * CHOOSE(CONTROL!$C$15, $E$9, 100%, $G$9) + CHOOSE(CONTROL!$C$38, 0.0342, 0)</f>
        <v>45.918199999999999</v>
      </c>
      <c r="I721" s="14">
        <f>45.8856 * CHOOSE(CONTROL!$C$15, $E$9, 100%, $G$9) + CHOOSE(CONTROL!$C$38, 0.0342, 0)</f>
        <v>45.919799999999995</v>
      </c>
      <c r="J721" s="44">
        <f>416.5522</f>
        <v>416.55220000000003</v>
      </c>
    </row>
    <row r="722" spans="1:10" ht="15.75" x14ac:dyDescent="0.25">
      <c r="A722" s="32">
        <v>62914</v>
      </c>
      <c r="B722" s="14">
        <f>51.0596 * CHOOSE(CONTROL!$C$15, $E$9, 100%, $G$9) + CHOOSE(CONTROL!$C$38, 0.0251, 0)</f>
        <v>51.084700000000005</v>
      </c>
      <c r="C722" s="14">
        <f>48.2797 * CHOOSE(CONTROL!$C$15, $E$9, 100%, $G$9) + CHOOSE(CONTROL!$C$38, 0.0342, 0)</f>
        <v>48.313899999999997</v>
      </c>
      <c r="D722" s="14">
        <f>48.2719 * CHOOSE(CONTROL!$C$15, $E$9, 100%, $G$9) + CHOOSE(CONTROL!$C$38, 0.0342, 0)</f>
        <v>48.306100000000001</v>
      </c>
      <c r="E722" s="46">
        <f>50.9034 * CHOOSE(CONTROL!$C$15, $E$9, 100%, $G$9) + CHOOSE(CONTROL!$C$38, 0.0342, 0)</f>
        <v>50.937599999999996</v>
      </c>
      <c r="F722" s="45">
        <f>50.9034 * CHOOSE(CONTROL!$C$15, $E$9, 100%, $G$9) + CHOOSE(CONTROL!$C$38, 0.0251, 0)</f>
        <v>50.9285</v>
      </c>
      <c r="G722" s="14">
        <f>48.2781 * CHOOSE(CONTROL!$C$15, $E$9, 100%, $G$9) + CHOOSE(CONTROL!$C$38, 0.0342, 0)</f>
        <v>48.3123</v>
      </c>
      <c r="H722" s="14">
        <f>48.2781 * CHOOSE(CONTROL!$C$15, $E$9, 100%, $G$9) + CHOOSE(CONTROL!$C$38, 0.0342, 0)</f>
        <v>48.3123</v>
      </c>
      <c r="I722" s="14">
        <f>48.2797 * CHOOSE(CONTROL!$C$15, $E$9, 100%, $G$9) + CHOOSE(CONTROL!$C$38, 0.0342, 0)</f>
        <v>48.313899999999997</v>
      </c>
      <c r="J722" s="44">
        <f>438.5069</f>
        <v>438.50689999999997</v>
      </c>
    </row>
    <row r="723" spans="1:10" ht="15.75" x14ac:dyDescent="0.25">
      <c r="A723" s="32">
        <v>62944</v>
      </c>
      <c r="B723" s="14">
        <f>54.3346 * CHOOSE(CONTROL!$C$15, $E$9, 100%, $G$9) + CHOOSE(CONTROL!$C$38, 0.0251, 0)</f>
        <v>54.359700000000004</v>
      </c>
      <c r="C723" s="14">
        <f>51.3843 * CHOOSE(CONTROL!$C$15, $E$9, 100%, $G$9) + CHOOSE(CONTROL!$C$38, 0.0342, 0)</f>
        <v>51.418500000000002</v>
      </c>
      <c r="D723" s="14">
        <f>51.3765 * CHOOSE(CONTROL!$C$15, $E$9, 100%, $G$9) + CHOOSE(CONTROL!$C$38, 0.0342, 0)</f>
        <v>51.410699999999999</v>
      </c>
      <c r="E723" s="46">
        <f>54.1783 * CHOOSE(CONTROL!$C$15, $E$9, 100%, $G$9) + CHOOSE(CONTROL!$C$38, 0.0342, 0)</f>
        <v>54.212499999999999</v>
      </c>
      <c r="F723" s="45">
        <f>54.1783 * CHOOSE(CONTROL!$C$15, $E$9, 100%, $G$9) + CHOOSE(CONTROL!$C$38, 0.0251, 0)</f>
        <v>54.203400000000002</v>
      </c>
      <c r="G723" s="14">
        <f>51.3828 * CHOOSE(CONTROL!$C$15, $E$9, 100%, $G$9) + CHOOSE(CONTROL!$C$38, 0.0342, 0)</f>
        <v>51.417000000000002</v>
      </c>
      <c r="H723" s="14">
        <f>51.3828 * CHOOSE(CONTROL!$C$15, $E$9, 100%, $G$9) + CHOOSE(CONTROL!$C$38, 0.0342, 0)</f>
        <v>51.417000000000002</v>
      </c>
      <c r="I723" s="14">
        <f>51.3843 * CHOOSE(CONTROL!$C$15, $E$9, 100%, $G$9) + CHOOSE(CONTROL!$C$38, 0.0342, 0)</f>
        <v>51.418500000000002</v>
      </c>
      <c r="J723" s="44">
        <f>466.9769</f>
        <v>466.9769</v>
      </c>
    </row>
    <row r="724" spans="1:10" ht="15.75" x14ac:dyDescent="0.25">
      <c r="A724" s="32">
        <v>62975</v>
      </c>
      <c r="B724" s="14">
        <f>56.1372 * CHOOSE(CONTROL!$C$15, $E$9, 100%, $G$9) + CHOOSE(CONTROL!$C$38, 0.0264, 0)</f>
        <v>56.163600000000002</v>
      </c>
      <c r="C724" s="14">
        <f>53.0932 * CHOOSE(CONTROL!$C$15, $E$9, 100%, $G$9) + CHOOSE(CONTROL!$C$38, 0.0354, 0)</f>
        <v>53.128600000000006</v>
      </c>
      <c r="D724" s="14">
        <f>53.0854 * CHOOSE(CONTROL!$C$15, $E$9, 100%, $G$9) + CHOOSE(CONTROL!$C$38, 0.0354, 0)</f>
        <v>53.120800000000003</v>
      </c>
      <c r="E724" s="46">
        <f>55.981 * CHOOSE(CONTROL!$C$15, $E$9, 100%, $G$9) + CHOOSE(CONTROL!$C$38, 0.0354, 0)</f>
        <v>56.016400000000004</v>
      </c>
      <c r="F724" s="45">
        <f>55.981 * CHOOSE(CONTROL!$C$15, $E$9, 100%, $G$9) + CHOOSE(CONTROL!$C$38, 0.0264, 0)</f>
        <v>56.007400000000004</v>
      </c>
      <c r="G724" s="14">
        <f>53.0916 * CHOOSE(CONTROL!$C$15, $E$9, 100%, $G$9) + CHOOSE(CONTROL!$C$38, 0.0354, 0)</f>
        <v>53.127000000000002</v>
      </c>
      <c r="H724" s="14">
        <f>53.0916 * CHOOSE(CONTROL!$C$15, $E$9, 100%, $G$9) + CHOOSE(CONTROL!$C$38, 0.0354, 0)</f>
        <v>53.127000000000002</v>
      </c>
      <c r="I724" s="14">
        <f>53.0932 * CHOOSE(CONTROL!$C$15, $E$9, 100%, $G$9) + CHOOSE(CONTROL!$C$38, 0.0354, 0)</f>
        <v>53.128600000000006</v>
      </c>
      <c r="J724" s="44">
        <f>482.6477</f>
        <v>482.64769999999999</v>
      </c>
    </row>
    <row r="725" spans="1:10" ht="15.75" x14ac:dyDescent="0.25">
      <c r="A725" s="32">
        <v>63005</v>
      </c>
      <c r="B725" s="14">
        <f>56.9372 * CHOOSE(CONTROL!$C$15, $E$9, 100%, $G$9) + CHOOSE(CONTROL!$C$38, 0.0264, 0)</f>
        <v>56.9636</v>
      </c>
      <c r="C725" s="14">
        <f>53.8516 * CHOOSE(CONTROL!$C$15, $E$9, 100%, $G$9) + CHOOSE(CONTROL!$C$38, 0.0354, 0)</f>
        <v>53.887</v>
      </c>
      <c r="D725" s="14">
        <f>53.8438 * CHOOSE(CONTROL!$C$15, $E$9, 100%, $G$9) + CHOOSE(CONTROL!$C$38, 0.0354, 0)</f>
        <v>53.879200000000004</v>
      </c>
      <c r="E725" s="46">
        <f>56.781 * CHOOSE(CONTROL!$C$15, $E$9, 100%, $G$9) + CHOOSE(CONTROL!$C$38, 0.0354, 0)</f>
        <v>56.816400000000002</v>
      </c>
      <c r="F725" s="45">
        <f>56.781 * CHOOSE(CONTROL!$C$15, $E$9, 100%, $G$9) + CHOOSE(CONTROL!$C$38, 0.0264, 0)</f>
        <v>56.807400000000001</v>
      </c>
      <c r="G725" s="14">
        <f>53.85 * CHOOSE(CONTROL!$C$15, $E$9, 100%, $G$9) + CHOOSE(CONTROL!$C$38, 0.0354, 0)</f>
        <v>53.885400000000004</v>
      </c>
      <c r="H725" s="14">
        <f>53.85 * CHOOSE(CONTROL!$C$15, $E$9, 100%, $G$9) + CHOOSE(CONTROL!$C$38, 0.0354, 0)</f>
        <v>53.885400000000004</v>
      </c>
      <c r="I725" s="14">
        <f>53.8516 * CHOOSE(CONTROL!$C$15, $E$9, 100%, $G$9) + CHOOSE(CONTROL!$C$38, 0.0354, 0)</f>
        <v>53.887</v>
      </c>
      <c r="J725" s="44">
        <f>489.6022</f>
        <v>489.60219999999998</v>
      </c>
    </row>
    <row r="726" spans="1:10" ht="15.75" x14ac:dyDescent="0.25">
      <c r="A726" s="32">
        <v>63036</v>
      </c>
      <c r="B726" s="14">
        <f>56.6738 * CHOOSE(CONTROL!$C$15, $E$9, 100%, $G$9) + CHOOSE(CONTROL!$C$38, 0.0264, 0)</f>
        <v>56.700200000000002</v>
      </c>
      <c r="C726" s="14">
        <f>53.6019 * CHOOSE(CONTROL!$C$15, $E$9, 100%, $G$9) + CHOOSE(CONTROL!$C$38, 0.0354, 0)</f>
        <v>53.637300000000003</v>
      </c>
      <c r="D726" s="14">
        <f>53.5941 * CHOOSE(CONTROL!$C$15, $E$9, 100%, $G$9) + CHOOSE(CONTROL!$C$38, 0.0354, 0)</f>
        <v>53.6295</v>
      </c>
      <c r="E726" s="46">
        <f>56.5176 * CHOOSE(CONTROL!$C$15, $E$9, 100%, $G$9) + CHOOSE(CONTROL!$C$38, 0.0354, 0)</f>
        <v>56.553000000000004</v>
      </c>
      <c r="F726" s="45">
        <f>56.5176 * CHOOSE(CONTROL!$C$15, $E$9, 100%, $G$9) + CHOOSE(CONTROL!$C$38, 0.0264, 0)</f>
        <v>56.544000000000004</v>
      </c>
      <c r="G726" s="14">
        <f>53.6003 * CHOOSE(CONTROL!$C$15, $E$9, 100%, $G$9) + CHOOSE(CONTROL!$C$38, 0.0354, 0)</f>
        <v>53.6357</v>
      </c>
      <c r="H726" s="14">
        <f>53.6003 * CHOOSE(CONTROL!$C$15, $E$9, 100%, $G$9) + CHOOSE(CONTROL!$C$38, 0.0354, 0)</f>
        <v>53.6357</v>
      </c>
      <c r="I726" s="14">
        <f>53.6019 * CHOOSE(CONTROL!$C$15, $E$9, 100%, $G$9) + CHOOSE(CONTROL!$C$38, 0.0354, 0)</f>
        <v>53.637300000000003</v>
      </c>
      <c r="J726" s="44">
        <f>487.3124</f>
        <v>487.31240000000003</v>
      </c>
    </row>
    <row r="727" spans="1:10" ht="15.75" x14ac:dyDescent="0.25">
      <c r="A727" s="32">
        <v>63067</v>
      </c>
      <c r="B727" s="14">
        <f>55.3688 * CHOOSE(CONTROL!$C$15, $E$9, 100%, $G$9) + CHOOSE(CONTROL!$C$38, 0.0264, 0)</f>
        <v>55.395200000000003</v>
      </c>
      <c r="C727" s="14">
        <f>52.3648 * CHOOSE(CONTROL!$C$15, $E$9, 100%, $G$9) + CHOOSE(CONTROL!$C$38, 0.0354, 0)</f>
        <v>52.400200000000005</v>
      </c>
      <c r="D727" s="14">
        <f>52.357 * CHOOSE(CONTROL!$C$15, $E$9, 100%, $G$9) + CHOOSE(CONTROL!$C$38, 0.0354, 0)</f>
        <v>52.392400000000002</v>
      </c>
      <c r="E727" s="46">
        <f>55.2126 * CHOOSE(CONTROL!$C$15, $E$9, 100%, $G$9) + CHOOSE(CONTROL!$C$38, 0.0354, 0)</f>
        <v>55.248000000000005</v>
      </c>
      <c r="F727" s="45">
        <f>55.2126 * CHOOSE(CONTROL!$C$15, $E$9, 100%, $G$9) + CHOOSE(CONTROL!$C$38, 0.0264, 0)</f>
        <v>55.239000000000004</v>
      </c>
      <c r="G727" s="14">
        <f>52.3632 * CHOOSE(CONTROL!$C$15, $E$9, 100%, $G$9) + CHOOSE(CONTROL!$C$38, 0.0354, 0)</f>
        <v>52.398600000000002</v>
      </c>
      <c r="H727" s="14">
        <f>52.3632 * CHOOSE(CONTROL!$C$15, $E$9, 100%, $G$9) + CHOOSE(CONTROL!$C$38, 0.0354, 0)</f>
        <v>52.398600000000002</v>
      </c>
      <c r="I727" s="14">
        <f>52.3648 * CHOOSE(CONTROL!$C$15, $E$9, 100%, $G$9) + CHOOSE(CONTROL!$C$38, 0.0354, 0)</f>
        <v>52.400200000000005</v>
      </c>
      <c r="J727" s="44">
        <f>475.968</f>
        <v>475.96800000000002</v>
      </c>
    </row>
    <row r="728" spans="1:10" ht="15.75" x14ac:dyDescent="0.25">
      <c r="A728" s="32">
        <v>63097</v>
      </c>
      <c r="B728" s="14">
        <f>53.549 * CHOOSE(CONTROL!$C$15, $E$9, 100%, $G$9) + CHOOSE(CONTROL!$C$38, 0.0264, 0)</f>
        <v>53.575400000000002</v>
      </c>
      <c r="C728" s="14">
        <f>50.6396 * CHOOSE(CONTROL!$C$15, $E$9, 100%, $G$9) + CHOOSE(CONTROL!$C$38, 0.0354, 0)</f>
        <v>50.675000000000004</v>
      </c>
      <c r="D728" s="14">
        <f>50.6318 * CHOOSE(CONTROL!$C$15, $E$9, 100%, $G$9) + CHOOSE(CONTROL!$C$38, 0.0354, 0)</f>
        <v>50.667200000000001</v>
      </c>
      <c r="E728" s="46">
        <f>53.3927 * CHOOSE(CONTROL!$C$15, $E$9, 100%, $G$9) + CHOOSE(CONTROL!$C$38, 0.0354, 0)</f>
        <v>53.428100000000001</v>
      </c>
      <c r="F728" s="45">
        <f>53.3927 * CHOOSE(CONTROL!$C$15, $E$9, 100%, $G$9) + CHOOSE(CONTROL!$C$38, 0.0264, 0)</f>
        <v>53.4191</v>
      </c>
      <c r="G728" s="14">
        <f>50.638 * CHOOSE(CONTROL!$C$15, $E$9, 100%, $G$9) + CHOOSE(CONTROL!$C$38, 0.0354, 0)</f>
        <v>50.673400000000001</v>
      </c>
      <c r="H728" s="14">
        <f>50.638 * CHOOSE(CONTROL!$C$15, $E$9, 100%, $G$9) + CHOOSE(CONTROL!$C$38, 0.0354, 0)</f>
        <v>50.673400000000001</v>
      </c>
      <c r="I728" s="14">
        <f>50.6396 * CHOOSE(CONTROL!$C$15, $E$9, 100%, $G$9) + CHOOSE(CONTROL!$C$38, 0.0354, 0)</f>
        <v>50.675000000000004</v>
      </c>
      <c r="J728" s="44">
        <f>460.1476</f>
        <v>460.14760000000001</v>
      </c>
    </row>
    <row r="729" spans="1:10" ht="15.75" x14ac:dyDescent="0.25">
      <c r="A729" s="32">
        <v>63128</v>
      </c>
      <c r="B729" s="14">
        <f>51.7186 * CHOOSE(CONTROL!$C$15, $E$9, 100%, $G$9) + CHOOSE(CONTROL!$C$38, 0.0251, 0)</f>
        <v>51.743700000000004</v>
      </c>
      <c r="C729" s="14">
        <f>48.9044 * CHOOSE(CONTROL!$C$15, $E$9, 100%, $G$9) + CHOOSE(CONTROL!$C$38, 0.0342, 0)</f>
        <v>48.938600000000001</v>
      </c>
      <c r="D729" s="14">
        <f>48.8966 * CHOOSE(CONTROL!$C$15, $E$9, 100%, $G$9) + CHOOSE(CONTROL!$C$38, 0.0342, 0)</f>
        <v>48.930799999999998</v>
      </c>
      <c r="E729" s="46">
        <f>51.5623 * CHOOSE(CONTROL!$C$15, $E$9, 100%, $G$9) + CHOOSE(CONTROL!$C$38, 0.0342, 0)</f>
        <v>51.596499999999999</v>
      </c>
      <c r="F729" s="45">
        <f>51.5623 * CHOOSE(CONTROL!$C$15, $E$9, 100%, $G$9) + CHOOSE(CONTROL!$C$38, 0.0251, 0)</f>
        <v>51.587400000000002</v>
      </c>
      <c r="G729" s="14">
        <f>48.9028 * CHOOSE(CONTROL!$C$15, $E$9, 100%, $G$9) + CHOOSE(CONTROL!$C$38, 0.0342, 0)</f>
        <v>48.936999999999998</v>
      </c>
      <c r="H729" s="14">
        <f>48.9028 * CHOOSE(CONTROL!$C$15, $E$9, 100%, $G$9) + CHOOSE(CONTROL!$C$38, 0.0342, 0)</f>
        <v>48.936999999999998</v>
      </c>
      <c r="I729" s="14">
        <f>48.9044 * CHOOSE(CONTROL!$C$15, $E$9, 100%, $G$9) + CHOOSE(CONTROL!$C$38, 0.0342, 0)</f>
        <v>48.938600000000001</v>
      </c>
      <c r="J729" s="44">
        <f>444.2353</f>
        <v>444.2353</v>
      </c>
    </row>
    <row r="730" spans="1:10" ht="15.75" x14ac:dyDescent="0.25">
      <c r="A730" s="32">
        <v>63158</v>
      </c>
      <c r="B730" s="14">
        <f>51.3545 * CHOOSE(CONTROL!$C$15, $E$9, 100%, $G$9) + CHOOSE(CONTROL!$C$38, 0.0251, 0)</f>
        <v>51.379600000000003</v>
      </c>
      <c r="C730" s="14">
        <f>48.5592 * CHOOSE(CONTROL!$C$15, $E$9, 100%, $G$9) + CHOOSE(CONTROL!$C$38, 0.0342, 0)</f>
        <v>48.593399999999995</v>
      </c>
      <c r="D730" s="14">
        <f>48.5514 * CHOOSE(CONTROL!$C$15, $E$9, 100%, $G$9) + CHOOSE(CONTROL!$C$38, 0.0342, 0)</f>
        <v>48.585599999999999</v>
      </c>
      <c r="E730" s="46">
        <f>51.1982 * CHOOSE(CONTROL!$C$15, $E$9, 100%, $G$9) + CHOOSE(CONTROL!$C$38, 0.0342, 0)</f>
        <v>51.232399999999998</v>
      </c>
      <c r="F730" s="45">
        <f>51.1982 * CHOOSE(CONTROL!$C$15, $E$9, 100%, $G$9) + CHOOSE(CONTROL!$C$38, 0.0251, 0)</f>
        <v>51.223300000000002</v>
      </c>
      <c r="G730" s="14">
        <f>48.5576 * CHOOSE(CONTROL!$C$15, $E$9, 100%, $G$9) + CHOOSE(CONTROL!$C$38, 0.0342, 0)</f>
        <v>48.591799999999999</v>
      </c>
      <c r="H730" s="14">
        <f>48.5576 * CHOOSE(CONTROL!$C$15, $E$9, 100%, $G$9) + CHOOSE(CONTROL!$C$38, 0.0342, 0)</f>
        <v>48.591799999999999</v>
      </c>
      <c r="I730" s="14">
        <f>48.5592 * CHOOSE(CONTROL!$C$15, $E$9, 100%, $G$9) + CHOOSE(CONTROL!$C$38, 0.0342, 0)</f>
        <v>48.593399999999995</v>
      </c>
      <c r="J730" s="44">
        <f>441.07</f>
        <v>441.07</v>
      </c>
    </row>
    <row r="731" spans="1:10" ht="15.75" x14ac:dyDescent="0.25">
      <c r="A731" s="32">
        <v>63189</v>
      </c>
      <c r="B731" s="14">
        <f>49.8488 * CHOOSE(CONTROL!$C$15, $E$9, 100%, $G$9) + CHOOSE(CONTROL!$C$38, 0.0251, 0)</f>
        <v>49.873899999999999</v>
      </c>
      <c r="C731" s="14">
        <f>47.1319 * CHOOSE(CONTROL!$C$15, $E$9, 100%, $G$9) + CHOOSE(CONTROL!$C$38, 0.0342, 0)</f>
        <v>47.1661</v>
      </c>
      <c r="D731" s="14">
        <f>47.1241 * CHOOSE(CONTROL!$C$15, $E$9, 100%, $G$9) + CHOOSE(CONTROL!$C$38, 0.0342, 0)</f>
        <v>47.158299999999997</v>
      </c>
      <c r="E731" s="46">
        <f>49.6926 * CHOOSE(CONTROL!$C$15, $E$9, 100%, $G$9) + CHOOSE(CONTROL!$C$38, 0.0342, 0)</f>
        <v>49.726799999999997</v>
      </c>
      <c r="F731" s="45">
        <f>49.6926 * CHOOSE(CONTROL!$C$15, $E$9, 100%, $G$9) + CHOOSE(CONTROL!$C$38, 0.0251, 0)</f>
        <v>49.717700000000001</v>
      </c>
      <c r="G731" s="14">
        <f>47.1303 * CHOOSE(CONTROL!$C$15, $E$9, 100%, $G$9) + CHOOSE(CONTROL!$C$38, 0.0342, 0)</f>
        <v>47.164499999999997</v>
      </c>
      <c r="H731" s="14">
        <f>47.1303 * CHOOSE(CONTROL!$C$15, $E$9, 100%, $G$9) + CHOOSE(CONTROL!$C$38, 0.0342, 0)</f>
        <v>47.164499999999997</v>
      </c>
      <c r="I731" s="14">
        <f>47.1319 * CHOOSE(CONTROL!$C$15, $E$9, 100%, $G$9) + CHOOSE(CONTROL!$C$38, 0.0342, 0)</f>
        <v>47.1661</v>
      </c>
      <c r="J731" s="44">
        <f>427.9812</f>
        <v>427.9812</v>
      </c>
    </row>
    <row r="732" spans="1:10" ht="15.75" x14ac:dyDescent="0.25">
      <c r="A732" s="32">
        <v>63220</v>
      </c>
      <c r="B732" s="14">
        <f>49.4749 * CHOOSE(CONTROL!$C$15, $E$9, 100%, $G$9) + CHOOSE(CONTROL!$C$38, 0.0251, 0)</f>
        <v>49.5</v>
      </c>
      <c r="C732" s="14">
        <f>46.7774 * CHOOSE(CONTROL!$C$15, $E$9, 100%, $G$9) + CHOOSE(CONTROL!$C$38, 0.0342, 0)</f>
        <v>46.811599999999999</v>
      </c>
      <c r="D732" s="14">
        <f>46.7696 * CHOOSE(CONTROL!$C$15, $E$9, 100%, $G$9) + CHOOSE(CONTROL!$C$38, 0.0342, 0)</f>
        <v>46.803799999999995</v>
      </c>
      <c r="E732" s="46">
        <f>49.3187 * CHOOSE(CONTROL!$C$15, $E$9, 100%, $G$9) + CHOOSE(CONTROL!$C$38, 0.0342, 0)</f>
        <v>49.352899999999998</v>
      </c>
      <c r="F732" s="45">
        <f>49.3187 * CHOOSE(CONTROL!$C$15, $E$9, 100%, $G$9) + CHOOSE(CONTROL!$C$38, 0.0251, 0)</f>
        <v>49.343800000000002</v>
      </c>
      <c r="G732" s="14">
        <f>46.7759 * CHOOSE(CONTROL!$C$15, $E$9, 100%, $G$9) + CHOOSE(CONTROL!$C$38, 0.0342, 0)</f>
        <v>46.810099999999998</v>
      </c>
      <c r="H732" s="14">
        <f>46.7759 * CHOOSE(CONTROL!$C$15, $E$9, 100%, $G$9) + CHOOSE(CONTROL!$C$38, 0.0342, 0)</f>
        <v>46.810099999999998</v>
      </c>
      <c r="I732" s="14">
        <f>46.7774 * CHOOSE(CONTROL!$C$15, $E$9, 100%, $G$9) + CHOOSE(CONTROL!$C$38, 0.0342, 0)</f>
        <v>46.811599999999999</v>
      </c>
      <c r="J732" s="44">
        <f>427.6722</f>
        <v>427.67219999999998</v>
      </c>
    </row>
    <row r="733" spans="1:10" ht="15.75" x14ac:dyDescent="0.25">
      <c r="A733" s="32">
        <v>63248</v>
      </c>
      <c r="B733" s="14">
        <f>49.3391 * CHOOSE(CONTROL!$C$15, $E$9, 100%, $G$9) + CHOOSE(CONTROL!$C$38, 0.0251, 0)</f>
        <v>49.364200000000004</v>
      </c>
      <c r="C733" s="14">
        <f>46.6487 * CHOOSE(CONTROL!$C$15, $E$9, 100%, $G$9) + CHOOSE(CONTROL!$C$38, 0.0342, 0)</f>
        <v>46.682899999999997</v>
      </c>
      <c r="D733" s="14">
        <f>46.6409 * CHOOSE(CONTROL!$C$15, $E$9, 100%, $G$9) + CHOOSE(CONTROL!$C$38, 0.0342, 0)</f>
        <v>46.6751</v>
      </c>
      <c r="E733" s="46">
        <f>49.1829 * CHOOSE(CONTROL!$C$15, $E$9, 100%, $G$9) + CHOOSE(CONTROL!$C$38, 0.0342, 0)</f>
        <v>49.217099999999995</v>
      </c>
      <c r="F733" s="45">
        <f>49.1829 * CHOOSE(CONTROL!$C$15, $E$9, 100%, $G$9) + CHOOSE(CONTROL!$C$38, 0.0251, 0)</f>
        <v>49.207999999999998</v>
      </c>
      <c r="G733" s="14">
        <f>46.6471 * CHOOSE(CONTROL!$C$15, $E$9, 100%, $G$9) + CHOOSE(CONTROL!$C$38, 0.0342, 0)</f>
        <v>46.6813</v>
      </c>
      <c r="H733" s="14">
        <f>46.6471 * CHOOSE(CONTROL!$C$15, $E$9, 100%, $G$9) + CHOOSE(CONTROL!$C$38, 0.0342, 0)</f>
        <v>46.6813</v>
      </c>
      <c r="I733" s="14">
        <f>46.6487 * CHOOSE(CONTROL!$C$15, $E$9, 100%, $G$9) + CHOOSE(CONTROL!$C$38, 0.0342, 0)</f>
        <v>46.682899999999997</v>
      </c>
      <c r="J733" s="44">
        <f>426.4834</f>
        <v>426.48340000000002</v>
      </c>
    </row>
    <row r="734" spans="1:10" ht="15.75" x14ac:dyDescent="0.25">
      <c r="A734" s="32">
        <v>63279</v>
      </c>
      <c r="B734" s="14">
        <f>51.907 * CHOOSE(CONTROL!$C$15, $E$9, 100%, $G$9) + CHOOSE(CONTROL!$C$38, 0.0251, 0)</f>
        <v>51.932099999999998</v>
      </c>
      <c r="C734" s="14">
        <f>49.083 * CHOOSE(CONTROL!$C$15, $E$9, 100%, $G$9) + CHOOSE(CONTROL!$C$38, 0.0342, 0)</f>
        <v>49.117199999999997</v>
      </c>
      <c r="D734" s="14">
        <f>49.0752 * CHOOSE(CONTROL!$C$15, $E$9, 100%, $G$9) + CHOOSE(CONTROL!$C$38, 0.0342, 0)</f>
        <v>49.109400000000001</v>
      </c>
      <c r="E734" s="46">
        <f>51.7508 * CHOOSE(CONTROL!$C$15, $E$9, 100%, $G$9) + CHOOSE(CONTROL!$C$38, 0.0342, 0)</f>
        <v>51.784999999999997</v>
      </c>
      <c r="F734" s="45">
        <f>51.7508 * CHOOSE(CONTROL!$C$15, $E$9, 100%, $G$9) + CHOOSE(CONTROL!$C$38, 0.0251, 0)</f>
        <v>51.7759</v>
      </c>
      <c r="G734" s="14">
        <f>49.0815 * CHOOSE(CONTROL!$C$15, $E$9, 100%, $G$9) + CHOOSE(CONTROL!$C$38, 0.0342, 0)</f>
        <v>49.115699999999997</v>
      </c>
      <c r="H734" s="14">
        <f>49.0815 * CHOOSE(CONTROL!$C$15, $E$9, 100%, $G$9) + CHOOSE(CONTROL!$C$38, 0.0342, 0)</f>
        <v>49.115699999999997</v>
      </c>
      <c r="I734" s="14">
        <f>49.083 * CHOOSE(CONTROL!$C$15, $E$9, 100%, $G$9) + CHOOSE(CONTROL!$C$38, 0.0342, 0)</f>
        <v>49.117199999999997</v>
      </c>
      <c r="J734" s="44">
        <f>448.9616</f>
        <v>448.96159999999998</v>
      </c>
    </row>
    <row r="735" spans="1:10" ht="15.75" x14ac:dyDescent="0.25">
      <c r="A735" s="32">
        <v>63309</v>
      </c>
      <c r="B735" s="14">
        <f>55.237 * CHOOSE(CONTROL!$C$15, $E$9, 100%, $G$9) + CHOOSE(CONTROL!$C$38, 0.0251, 0)</f>
        <v>55.262100000000004</v>
      </c>
      <c r="C735" s="14">
        <f>52.2398 * CHOOSE(CONTROL!$C$15, $E$9, 100%, $G$9) + CHOOSE(CONTROL!$C$38, 0.0342, 0)</f>
        <v>52.274000000000001</v>
      </c>
      <c r="D735" s="14">
        <f>52.232 * CHOOSE(CONTROL!$C$15, $E$9, 100%, $G$9) + CHOOSE(CONTROL!$C$38, 0.0342, 0)</f>
        <v>52.266199999999998</v>
      </c>
      <c r="E735" s="46">
        <f>55.0808 * CHOOSE(CONTROL!$C$15, $E$9, 100%, $G$9) + CHOOSE(CONTROL!$C$38, 0.0342, 0)</f>
        <v>55.115000000000002</v>
      </c>
      <c r="F735" s="45">
        <f>55.0808 * CHOOSE(CONTROL!$C$15, $E$9, 100%, $G$9) + CHOOSE(CONTROL!$C$38, 0.0251, 0)</f>
        <v>55.105900000000005</v>
      </c>
      <c r="G735" s="14">
        <f>52.2383 * CHOOSE(CONTROL!$C$15, $E$9, 100%, $G$9) + CHOOSE(CONTROL!$C$38, 0.0342, 0)</f>
        <v>52.272500000000001</v>
      </c>
      <c r="H735" s="14">
        <f>52.2383 * CHOOSE(CONTROL!$C$15, $E$9, 100%, $G$9) + CHOOSE(CONTROL!$C$38, 0.0342, 0)</f>
        <v>52.272500000000001</v>
      </c>
      <c r="I735" s="14">
        <f>52.2398 * CHOOSE(CONTROL!$C$15, $E$9, 100%, $G$9) + CHOOSE(CONTROL!$C$38, 0.0342, 0)</f>
        <v>52.274000000000001</v>
      </c>
      <c r="J735" s="44">
        <f>478.1103</f>
        <v>478.1103</v>
      </c>
    </row>
    <row r="736" spans="1:10" ht="15.75" x14ac:dyDescent="0.25">
      <c r="A736" s="32">
        <v>63340</v>
      </c>
      <c r="B736" s="14">
        <f>57.07 * CHOOSE(CONTROL!$C$15, $E$9, 100%, $G$9) + CHOOSE(CONTROL!$C$38, 0.0264, 0)</f>
        <v>57.096400000000003</v>
      </c>
      <c r="C736" s="14">
        <f>53.9774 * CHOOSE(CONTROL!$C$15, $E$9, 100%, $G$9) + CHOOSE(CONTROL!$C$38, 0.0354, 0)</f>
        <v>54.012800000000006</v>
      </c>
      <c r="D736" s="14">
        <f>53.9696 * CHOOSE(CONTROL!$C$15, $E$9, 100%, $G$9) + CHOOSE(CONTROL!$C$38, 0.0354, 0)</f>
        <v>54.005000000000003</v>
      </c>
      <c r="E736" s="46">
        <f>56.9137 * CHOOSE(CONTROL!$C$15, $E$9, 100%, $G$9) + CHOOSE(CONTROL!$C$38, 0.0354, 0)</f>
        <v>56.949100000000001</v>
      </c>
      <c r="F736" s="45">
        <f>56.9137 * CHOOSE(CONTROL!$C$15, $E$9, 100%, $G$9) + CHOOSE(CONTROL!$C$38, 0.0264, 0)</f>
        <v>56.940100000000001</v>
      </c>
      <c r="G736" s="14">
        <f>53.9759 * CHOOSE(CONTROL!$C$15, $E$9, 100%, $G$9) + CHOOSE(CONTROL!$C$38, 0.0354, 0)</f>
        <v>54.011300000000006</v>
      </c>
      <c r="H736" s="14">
        <f>53.9759 * CHOOSE(CONTROL!$C$15, $E$9, 100%, $G$9) + CHOOSE(CONTROL!$C$38, 0.0354, 0)</f>
        <v>54.011300000000006</v>
      </c>
      <c r="I736" s="14">
        <f>53.9774 * CHOOSE(CONTROL!$C$15, $E$9, 100%, $G$9) + CHOOSE(CONTROL!$C$38, 0.0354, 0)</f>
        <v>54.012800000000006</v>
      </c>
      <c r="J736" s="44">
        <f>494.1548</f>
        <v>494.15480000000002</v>
      </c>
    </row>
    <row r="737" spans="1:10" ht="15.75" x14ac:dyDescent="0.25">
      <c r="A737" s="32">
        <v>63370</v>
      </c>
      <c r="B737" s="14">
        <f>57.8834 * CHOOSE(CONTROL!$C$15, $E$9, 100%, $G$9) + CHOOSE(CONTROL!$C$38, 0.0264, 0)</f>
        <v>57.909800000000004</v>
      </c>
      <c r="C737" s="14">
        <f>54.7485 * CHOOSE(CONTROL!$C$15, $E$9, 100%, $G$9) + CHOOSE(CONTROL!$C$38, 0.0354, 0)</f>
        <v>54.783900000000003</v>
      </c>
      <c r="D737" s="14">
        <f>54.7407 * CHOOSE(CONTROL!$C$15, $E$9, 100%, $G$9) + CHOOSE(CONTROL!$C$38, 0.0354, 0)</f>
        <v>54.7761</v>
      </c>
      <c r="E737" s="46">
        <f>57.7271 * CHOOSE(CONTROL!$C$15, $E$9, 100%, $G$9) + CHOOSE(CONTROL!$C$38, 0.0354, 0)</f>
        <v>57.762500000000003</v>
      </c>
      <c r="F737" s="45">
        <f>57.7271 * CHOOSE(CONTROL!$C$15, $E$9, 100%, $G$9) + CHOOSE(CONTROL!$C$38, 0.0264, 0)</f>
        <v>57.753500000000003</v>
      </c>
      <c r="G737" s="14">
        <f>54.747 * CHOOSE(CONTROL!$C$15, $E$9, 100%, $G$9) + CHOOSE(CONTROL!$C$38, 0.0354, 0)</f>
        <v>54.782400000000003</v>
      </c>
      <c r="H737" s="14">
        <f>54.747 * CHOOSE(CONTROL!$C$15, $E$9, 100%, $G$9) + CHOOSE(CONTROL!$C$38, 0.0354, 0)</f>
        <v>54.782400000000003</v>
      </c>
      <c r="I737" s="14">
        <f>54.7485 * CHOOSE(CONTROL!$C$15, $E$9, 100%, $G$9) + CHOOSE(CONTROL!$C$38, 0.0354, 0)</f>
        <v>54.783900000000003</v>
      </c>
      <c r="J737" s="44">
        <f>501.275</f>
        <v>501.27499999999998</v>
      </c>
    </row>
    <row r="738" spans="1:10" ht="15.75" x14ac:dyDescent="0.25">
      <c r="A738" s="32">
        <v>63401</v>
      </c>
      <c r="B738" s="14">
        <f>57.6156 * CHOOSE(CONTROL!$C$15, $E$9, 100%, $G$9) + CHOOSE(CONTROL!$C$38, 0.0264, 0)</f>
        <v>57.642000000000003</v>
      </c>
      <c r="C738" s="14">
        <f>54.4946 * CHOOSE(CONTROL!$C$15, $E$9, 100%, $G$9) + CHOOSE(CONTROL!$C$38, 0.0354, 0)</f>
        <v>54.53</v>
      </c>
      <c r="D738" s="14">
        <f>54.4868 * CHOOSE(CONTROL!$C$15, $E$9, 100%, $G$9) + CHOOSE(CONTROL!$C$38, 0.0354, 0)</f>
        <v>54.522200000000005</v>
      </c>
      <c r="E738" s="46">
        <f>57.4593 * CHOOSE(CONTROL!$C$15, $E$9, 100%, $G$9) + CHOOSE(CONTROL!$C$38, 0.0354, 0)</f>
        <v>57.494700000000002</v>
      </c>
      <c r="F738" s="45">
        <f>57.4593 * CHOOSE(CONTROL!$C$15, $E$9, 100%, $G$9) + CHOOSE(CONTROL!$C$38, 0.0264, 0)</f>
        <v>57.485700000000001</v>
      </c>
      <c r="G738" s="14">
        <f>54.4931 * CHOOSE(CONTROL!$C$15, $E$9, 100%, $G$9) + CHOOSE(CONTROL!$C$38, 0.0354, 0)</f>
        <v>54.528500000000001</v>
      </c>
      <c r="H738" s="14">
        <f>54.4931 * CHOOSE(CONTROL!$C$15, $E$9, 100%, $G$9) + CHOOSE(CONTROL!$C$38, 0.0354, 0)</f>
        <v>54.528500000000001</v>
      </c>
      <c r="I738" s="14">
        <f>54.4946 * CHOOSE(CONTROL!$C$15, $E$9, 100%, $G$9) + CHOOSE(CONTROL!$C$38, 0.0354, 0)</f>
        <v>54.53</v>
      </c>
      <c r="J738" s="44">
        <f>498.9307</f>
        <v>498.9307</v>
      </c>
    </row>
    <row r="739" spans="1:10" ht="15.75" x14ac:dyDescent="0.25">
      <c r="A739" s="32">
        <v>63432</v>
      </c>
      <c r="B739" s="14">
        <f>56.2887 * CHOOSE(CONTROL!$C$15, $E$9, 100%, $G$9) + CHOOSE(CONTROL!$C$38, 0.0264, 0)</f>
        <v>56.315100000000001</v>
      </c>
      <c r="C739" s="14">
        <f>53.2368 * CHOOSE(CONTROL!$C$15, $E$9, 100%, $G$9) + CHOOSE(CONTROL!$C$38, 0.0354, 0)</f>
        <v>53.272200000000005</v>
      </c>
      <c r="D739" s="14">
        <f>53.229 * CHOOSE(CONTROL!$C$15, $E$9, 100%, $G$9) + CHOOSE(CONTROL!$C$38, 0.0354, 0)</f>
        <v>53.264400000000002</v>
      </c>
      <c r="E739" s="46">
        <f>56.1324 * CHOOSE(CONTROL!$C$15, $E$9, 100%, $G$9) + CHOOSE(CONTROL!$C$38, 0.0354, 0)</f>
        <v>56.1678</v>
      </c>
      <c r="F739" s="45">
        <f>56.1324 * CHOOSE(CONTROL!$C$15, $E$9, 100%, $G$9) + CHOOSE(CONTROL!$C$38, 0.0264, 0)</f>
        <v>56.158799999999999</v>
      </c>
      <c r="G739" s="14">
        <f>53.2352 * CHOOSE(CONTROL!$C$15, $E$9, 100%, $G$9) + CHOOSE(CONTROL!$C$38, 0.0354, 0)</f>
        <v>53.270600000000002</v>
      </c>
      <c r="H739" s="14">
        <f>53.2352 * CHOOSE(CONTROL!$C$15, $E$9, 100%, $G$9) + CHOOSE(CONTROL!$C$38, 0.0354, 0)</f>
        <v>53.270600000000002</v>
      </c>
      <c r="I739" s="14">
        <f>53.2368 * CHOOSE(CONTROL!$C$15, $E$9, 100%, $G$9) + CHOOSE(CONTROL!$C$38, 0.0354, 0)</f>
        <v>53.272200000000005</v>
      </c>
      <c r="J739" s="44">
        <f>487.3158</f>
        <v>487.31580000000002</v>
      </c>
    </row>
    <row r="740" spans="1:10" ht="15.75" x14ac:dyDescent="0.25">
      <c r="A740" s="32">
        <v>63462</v>
      </c>
      <c r="B740" s="14">
        <f>54.4382 * CHOOSE(CONTROL!$C$15, $E$9, 100%, $G$9) + CHOOSE(CONTROL!$C$38, 0.0264, 0)</f>
        <v>54.464600000000004</v>
      </c>
      <c r="C740" s="14">
        <f>51.4826 * CHOOSE(CONTROL!$C$15, $E$9, 100%, $G$9) + CHOOSE(CONTROL!$C$38, 0.0354, 0)</f>
        <v>51.518000000000001</v>
      </c>
      <c r="D740" s="14">
        <f>51.4748 * CHOOSE(CONTROL!$C$15, $E$9, 100%, $G$9) + CHOOSE(CONTROL!$C$38, 0.0354, 0)</f>
        <v>51.510200000000005</v>
      </c>
      <c r="E740" s="46">
        <f>54.282 * CHOOSE(CONTROL!$C$15, $E$9, 100%, $G$9) + CHOOSE(CONTROL!$C$38, 0.0354, 0)</f>
        <v>54.317399999999999</v>
      </c>
      <c r="F740" s="45">
        <f>54.282 * CHOOSE(CONTROL!$C$15, $E$9, 100%, $G$9) + CHOOSE(CONTROL!$C$38, 0.0264, 0)</f>
        <v>54.308399999999999</v>
      </c>
      <c r="G740" s="14">
        <f>51.481 * CHOOSE(CONTROL!$C$15, $E$9, 100%, $G$9) + CHOOSE(CONTROL!$C$38, 0.0354, 0)</f>
        <v>51.516400000000004</v>
      </c>
      <c r="H740" s="14">
        <f>51.481 * CHOOSE(CONTROL!$C$15, $E$9, 100%, $G$9) + CHOOSE(CONTROL!$C$38, 0.0354, 0)</f>
        <v>51.516400000000004</v>
      </c>
      <c r="I740" s="14">
        <f>51.4826 * CHOOSE(CONTROL!$C$15, $E$9, 100%, $G$9) + CHOOSE(CONTROL!$C$38, 0.0354, 0)</f>
        <v>51.518000000000001</v>
      </c>
      <c r="J740" s="44">
        <f>471.1183</f>
        <v>471.11829999999998</v>
      </c>
    </row>
    <row r="741" spans="1:10" ht="15.75" x14ac:dyDescent="0.25">
      <c r="A741" s="32">
        <v>63493</v>
      </c>
      <c r="B741" s="14">
        <f>52.5771 * CHOOSE(CONTROL!$C$15, $E$9, 100%, $G$9) + CHOOSE(CONTROL!$C$38, 0.0251, 0)</f>
        <v>52.602200000000003</v>
      </c>
      <c r="C741" s="14">
        <f>49.7182 * CHOOSE(CONTROL!$C$15, $E$9, 100%, $G$9) + CHOOSE(CONTROL!$C$38, 0.0342, 0)</f>
        <v>49.752400000000002</v>
      </c>
      <c r="D741" s="14">
        <f>49.7104 * CHOOSE(CONTROL!$C$15, $E$9, 100%, $G$9) + CHOOSE(CONTROL!$C$38, 0.0342, 0)</f>
        <v>49.744599999999998</v>
      </c>
      <c r="E741" s="46">
        <f>52.4208 * CHOOSE(CONTROL!$C$15, $E$9, 100%, $G$9) + CHOOSE(CONTROL!$C$38, 0.0342, 0)</f>
        <v>52.454999999999998</v>
      </c>
      <c r="F741" s="45">
        <f>52.4208 * CHOOSE(CONTROL!$C$15, $E$9, 100%, $G$9) + CHOOSE(CONTROL!$C$38, 0.0251, 0)</f>
        <v>52.445900000000002</v>
      </c>
      <c r="G741" s="14">
        <f>49.7166 * CHOOSE(CONTROL!$C$15, $E$9, 100%, $G$9) + CHOOSE(CONTROL!$C$38, 0.0342, 0)</f>
        <v>49.750799999999998</v>
      </c>
      <c r="H741" s="14">
        <f>49.7166 * CHOOSE(CONTROL!$C$15, $E$9, 100%, $G$9) + CHOOSE(CONTROL!$C$38, 0.0342, 0)</f>
        <v>49.750799999999998</v>
      </c>
      <c r="I741" s="14">
        <f>49.7182 * CHOOSE(CONTROL!$C$15, $E$9, 100%, $G$9) + CHOOSE(CONTROL!$C$38, 0.0342, 0)</f>
        <v>49.752400000000002</v>
      </c>
      <c r="J741" s="44">
        <f>454.8265</f>
        <v>454.82650000000001</v>
      </c>
    </row>
    <row r="742" spans="1:10" ht="15.75" x14ac:dyDescent="0.25">
      <c r="A742" s="32">
        <v>63523</v>
      </c>
      <c r="B742" s="14">
        <f>52.2068 * CHOOSE(CONTROL!$C$15, $E$9, 100%, $G$9) + CHOOSE(CONTROL!$C$38, 0.0251, 0)</f>
        <v>52.231900000000003</v>
      </c>
      <c r="C742" s="14">
        <f>49.3672 * CHOOSE(CONTROL!$C$15, $E$9, 100%, $G$9) + CHOOSE(CONTROL!$C$38, 0.0342, 0)</f>
        <v>49.401399999999995</v>
      </c>
      <c r="D742" s="14">
        <f>49.3594 * CHOOSE(CONTROL!$C$15, $E$9, 100%, $G$9) + CHOOSE(CONTROL!$C$38, 0.0342, 0)</f>
        <v>49.393599999999999</v>
      </c>
      <c r="E742" s="46">
        <f>52.0506 * CHOOSE(CONTROL!$C$15, $E$9, 100%, $G$9) + CHOOSE(CONTROL!$C$38, 0.0342, 0)</f>
        <v>52.084800000000001</v>
      </c>
      <c r="F742" s="45">
        <f>52.0506 * CHOOSE(CONTROL!$C$15, $E$9, 100%, $G$9) + CHOOSE(CONTROL!$C$38, 0.0251, 0)</f>
        <v>52.075700000000005</v>
      </c>
      <c r="G742" s="14">
        <f>49.3657 * CHOOSE(CONTROL!$C$15, $E$9, 100%, $G$9) + CHOOSE(CONTROL!$C$38, 0.0342, 0)</f>
        <v>49.399899999999995</v>
      </c>
      <c r="H742" s="14">
        <f>49.3657 * CHOOSE(CONTROL!$C$15, $E$9, 100%, $G$9) + CHOOSE(CONTROL!$C$38, 0.0342, 0)</f>
        <v>49.399899999999995</v>
      </c>
      <c r="I742" s="14">
        <f>49.3672 * CHOOSE(CONTROL!$C$15, $E$9, 100%, $G$9) + CHOOSE(CONTROL!$C$38, 0.0342, 0)</f>
        <v>49.401399999999995</v>
      </c>
      <c r="J742" s="44">
        <f>451.5858</f>
        <v>451.58580000000001</v>
      </c>
    </row>
    <row r="743" spans="1:10" ht="15.75" x14ac:dyDescent="0.25">
      <c r="A743" s="32">
        <v>63554</v>
      </c>
      <c r="B743" s="14">
        <f>50.6759 * CHOOSE(CONTROL!$C$15, $E$9, 100%, $G$9) + CHOOSE(CONTROL!$C$38, 0.0251, 0)</f>
        <v>50.701000000000001</v>
      </c>
      <c r="C743" s="14">
        <f>47.9159 * CHOOSE(CONTROL!$C$15, $E$9, 100%, $G$9) + CHOOSE(CONTROL!$C$38, 0.0342, 0)</f>
        <v>47.950099999999999</v>
      </c>
      <c r="D743" s="14">
        <f>47.9081 * CHOOSE(CONTROL!$C$15, $E$9, 100%, $G$9) + CHOOSE(CONTROL!$C$38, 0.0342, 0)</f>
        <v>47.942299999999996</v>
      </c>
      <c r="E743" s="46">
        <f>50.5196 * CHOOSE(CONTROL!$C$15, $E$9, 100%, $G$9) + CHOOSE(CONTROL!$C$38, 0.0342, 0)</f>
        <v>50.553799999999995</v>
      </c>
      <c r="F743" s="45">
        <f>50.5196 * CHOOSE(CONTROL!$C$15, $E$9, 100%, $G$9) + CHOOSE(CONTROL!$C$38, 0.0251, 0)</f>
        <v>50.544699999999999</v>
      </c>
      <c r="G743" s="14">
        <f>47.9144 * CHOOSE(CONTROL!$C$15, $E$9, 100%, $G$9) + CHOOSE(CONTROL!$C$38, 0.0342, 0)</f>
        <v>47.948599999999999</v>
      </c>
      <c r="H743" s="14">
        <f>47.9144 * CHOOSE(CONTROL!$C$15, $E$9, 100%, $G$9) + CHOOSE(CONTROL!$C$38, 0.0342, 0)</f>
        <v>47.948599999999999</v>
      </c>
      <c r="I743" s="14">
        <f>47.9159 * CHOOSE(CONTROL!$C$15, $E$9, 100%, $G$9) + CHOOSE(CONTROL!$C$38, 0.0342, 0)</f>
        <v>47.950099999999999</v>
      </c>
      <c r="J743" s="44">
        <f>438.1849</f>
        <v>438.18490000000003</v>
      </c>
    </row>
    <row r="744" spans="1:10" ht="15.75" x14ac:dyDescent="0.25">
      <c r="A744" s="32">
        <v>63585</v>
      </c>
      <c r="B744" s="14">
        <f>50.2957 * CHOOSE(CONTROL!$C$15, $E$9, 100%, $G$9) + CHOOSE(CONTROL!$C$38, 0.0251, 0)</f>
        <v>50.320799999999998</v>
      </c>
      <c r="C744" s="14">
        <f>47.5555 * CHOOSE(CONTROL!$C$15, $E$9, 100%, $G$9) + CHOOSE(CONTROL!$C$38, 0.0342, 0)</f>
        <v>47.589700000000001</v>
      </c>
      <c r="D744" s="14">
        <f>47.5477 * CHOOSE(CONTROL!$C$15, $E$9, 100%, $G$9) + CHOOSE(CONTROL!$C$38, 0.0342, 0)</f>
        <v>47.581899999999997</v>
      </c>
      <c r="E744" s="46">
        <f>50.1395 * CHOOSE(CONTROL!$C$15, $E$9, 100%, $G$9) + CHOOSE(CONTROL!$C$38, 0.0342, 0)</f>
        <v>50.173699999999997</v>
      </c>
      <c r="F744" s="45">
        <f>50.1395 * CHOOSE(CONTROL!$C$15, $E$9, 100%, $G$9) + CHOOSE(CONTROL!$C$38, 0.0251, 0)</f>
        <v>50.1646</v>
      </c>
      <c r="G744" s="14">
        <f>47.554 * CHOOSE(CONTROL!$C$15, $E$9, 100%, $G$9) + CHOOSE(CONTROL!$C$38, 0.0342, 0)</f>
        <v>47.588200000000001</v>
      </c>
      <c r="H744" s="14">
        <f>47.554 * CHOOSE(CONTROL!$C$15, $E$9, 100%, $G$9) + CHOOSE(CONTROL!$C$38, 0.0342, 0)</f>
        <v>47.588200000000001</v>
      </c>
      <c r="I744" s="14">
        <f>47.5555 * CHOOSE(CONTROL!$C$15, $E$9, 100%, $G$9) + CHOOSE(CONTROL!$C$38, 0.0342, 0)</f>
        <v>47.589700000000001</v>
      </c>
      <c r="J744" s="44">
        <f>437.8685</f>
        <v>437.86849999999998</v>
      </c>
    </row>
    <row r="745" spans="1:10" ht="15.75" x14ac:dyDescent="0.25">
      <c r="A745" s="32">
        <v>63613</v>
      </c>
      <c r="B745" s="14">
        <f>50.1576 * CHOOSE(CONTROL!$C$15, $E$9, 100%, $G$9) + CHOOSE(CONTROL!$C$38, 0.0251, 0)</f>
        <v>50.182700000000004</v>
      </c>
      <c r="C745" s="14">
        <f>47.4246 * CHOOSE(CONTROL!$C$15, $E$9, 100%, $G$9) + CHOOSE(CONTROL!$C$38, 0.0342, 0)</f>
        <v>47.458799999999997</v>
      </c>
      <c r="D745" s="14">
        <f>47.4168 * CHOOSE(CONTROL!$C$15, $E$9, 100%, $G$9) + CHOOSE(CONTROL!$C$38, 0.0342, 0)</f>
        <v>47.451000000000001</v>
      </c>
      <c r="E745" s="46">
        <f>50.0014 * CHOOSE(CONTROL!$C$15, $E$9, 100%, $G$9) + CHOOSE(CONTROL!$C$38, 0.0342, 0)</f>
        <v>50.035599999999995</v>
      </c>
      <c r="F745" s="45">
        <f>50.0014 * CHOOSE(CONTROL!$C$15, $E$9, 100%, $G$9) + CHOOSE(CONTROL!$C$38, 0.0251, 0)</f>
        <v>50.026499999999999</v>
      </c>
      <c r="G745" s="14">
        <f>47.4231 * CHOOSE(CONTROL!$C$15, $E$9, 100%, $G$9) + CHOOSE(CONTROL!$C$38, 0.0342, 0)</f>
        <v>47.457299999999996</v>
      </c>
      <c r="H745" s="14">
        <f>47.4231 * CHOOSE(CONTROL!$C$15, $E$9, 100%, $G$9) + CHOOSE(CONTROL!$C$38, 0.0342, 0)</f>
        <v>47.457299999999996</v>
      </c>
      <c r="I745" s="14">
        <f>47.4246 * CHOOSE(CONTROL!$C$15, $E$9, 100%, $G$9) + CHOOSE(CONTROL!$C$38, 0.0342, 0)</f>
        <v>47.458799999999997</v>
      </c>
      <c r="J745" s="44">
        <f>436.6514</f>
        <v>436.65140000000002</v>
      </c>
    </row>
    <row r="746" spans="1:10" ht="15.75" x14ac:dyDescent="0.25">
      <c r="A746" s="32">
        <v>63644</v>
      </c>
      <c r="B746" s="14">
        <f>52.7687 * CHOOSE(CONTROL!$C$15, $E$9, 100%, $G$9) + CHOOSE(CONTROL!$C$38, 0.0251, 0)</f>
        <v>52.793800000000005</v>
      </c>
      <c r="C746" s="14">
        <f>49.8999 * CHOOSE(CONTROL!$C$15, $E$9, 100%, $G$9) + CHOOSE(CONTROL!$C$38, 0.0342, 0)</f>
        <v>49.934100000000001</v>
      </c>
      <c r="D746" s="14">
        <f>49.8921 * CHOOSE(CONTROL!$C$15, $E$9, 100%, $G$9) + CHOOSE(CONTROL!$C$38, 0.0342, 0)</f>
        <v>49.926299999999998</v>
      </c>
      <c r="E746" s="46">
        <f>52.6124 * CHOOSE(CONTROL!$C$15, $E$9, 100%, $G$9) + CHOOSE(CONTROL!$C$38, 0.0342, 0)</f>
        <v>52.646599999999999</v>
      </c>
      <c r="F746" s="45">
        <f>52.6124 * CHOOSE(CONTROL!$C$15, $E$9, 100%, $G$9) + CHOOSE(CONTROL!$C$38, 0.0251, 0)</f>
        <v>52.637500000000003</v>
      </c>
      <c r="G746" s="14">
        <f>49.8983 * CHOOSE(CONTROL!$C$15, $E$9, 100%, $G$9) + CHOOSE(CONTROL!$C$38, 0.0342, 0)</f>
        <v>49.932499999999997</v>
      </c>
      <c r="H746" s="14">
        <f>49.8983 * CHOOSE(CONTROL!$C$15, $E$9, 100%, $G$9) + CHOOSE(CONTROL!$C$38, 0.0342, 0)</f>
        <v>49.932499999999997</v>
      </c>
      <c r="I746" s="14">
        <f>49.8999 * CHOOSE(CONTROL!$C$15, $E$9, 100%, $G$9) + CHOOSE(CONTROL!$C$38, 0.0342, 0)</f>
        <v>49.934100000000001</v>
      </c>
      <c r="J746" s="44">
        <f>459.6655</f>
        <v>459.66550000000001</v>
      </c>
    </row>
    <row r="747" spans="1:10" ht="15.75" x14ac:dyDescent="0.25">
      <c r="A747" s="32">
        <v>63674</v>
      </c>
      <c r="B747" s="14">
        <f>56.1546 * CHOOSE(CONTROL!$C$15, $E$9, 100%, $G$9) + CHOOSE(CONTROL!$C$38, 0.0251, 0)</f>
        <v>56.179700000000004</v>
      </c>
      <c r="C747" s="14">
        <f>53.1097 * CHOOSE(CONTROL!$C$15, $E$9, 100%, $G$9) + CHOOSE(CONTROL!$C$38, 0.0342, 0)</f>
        <v>53.143899999999995</v>
      </c>
      <c r="D747" s="14">
        <f>53.1019 * CHOOSE(CONTROL!$C$15, $E$9, 100%, $G$9) + CHOOSE(CONTROL!$C$38, 0.0342, 0)</f>
        <v>53.136099999999999</v>
      </c>
      <c r="E747" s="46">
        <f>55.9984 * CHOOSE(CONTROL!$C$15, $E$9, 100%, $G$9) + CHOOSE(CONTROL!$C$38, 0.0342, 0)</f>
        <v>56.032599999999995</v>
      </c>
      <c r="F747" s="45">
        <f>55.9984 * CHOOSE(CONTROL!$C$15, $E$9, 100%, $G$9) + CHOOSE(CONTROL!$C$38, 0.0251, 0)</f>
        <v>56.023499999999999</v>
      </c>
      <c r="G747" s="14">
        <f>53.1081 * CHOOSE(CONTROL!$C$15, $E$9, 100%, $G$9) + CHOOSE(CONTROL!$C$38, 0.0342, 0)</f>
        <v>53.142299999999999</v>
      </c>
      <c r="H747" s="14">
        <f>53.1081 * CHOOSE(CONTROL!$C$15, $E$9, 100%, $G$9) + CHOOSE(CONTROL!$C$38, 0.0342, 0)</f>
        <v>53.142299999999999</v>
      </c>
      <c r="I747" s="14">
        <f>53.1097 * CHOOSE(CONTROL!$C$15, $E$9, 100%, $G$9) + CHOOSE(CONTROL!$C$38, 0.0342, 0)</f>
        <v>53.143899999999995</v>
      </c>
      <c r="J747" s="44">
        <f>489.5092</f>
        <v>489.50920000000002</v>
      </c>
    </row>
    <row r="748" spans="1:10" ht="15.75" x14ac:dyDescent="0.25">
      <c r="A748" s="32">
        <v>63705</v>
      </c>
      <c r="B748" s="14">
        <f>58.0183 * CHOOSE(CONTROL!$C$15, $E$9, 100%, $G$9) + CHOOSE(CONTROL!$C$38, 0.0264, 0)</f>
        <v>58.044700000000006</v>
      </c>
      <c r="C748" s="14">
        <f>54.8765 * CHOOSE(CONTROL!$C$15, $E$9, 100%, $G$9) + CHOOSE(CONTROL!$C$38, 0.0354, 0)</f>
        <v>54.911900000000003</v>
      </c>
      <c r="D748" s="14">
        <f>54.8687 * CHOOSE(CONTROL!$C$15, $E$9, 100%, $G$9) + CHOOSE(CONTROL!$C$38, 0.0354, 0)</f>
        <v>54.9041</v>
      </c>
      <c r="E748" s="46">
        <f>57.8621 * CHOOSE(CONTROL!$C$15, $E$9, 100%, $G$9) + CHOOSE(CONTROL!$C$38, 0.0354, 0)</f>
        <v>57.897500000000001</v>
      </c>
      <c r="F748" s="45">
        <f>57.8621 * CHOOSE(CONTROL!$C$15, $E$9, 100%, $G$9) + CHOOSE(CONTROL!$C$38, 0.0264, 0)</f>
        <v>57.888500000000001</v>
      </c>
      <c r="G748" s="14">
        <f>54.8749 * CHOOSE(CONTROL!$C$15, $E$9, 100%, $G$9) + CHOOSE(CONTROL!$C$38, 0.0354, 0)</f>
        <v>54.910299999999999</v>
      </c>
      <c r="H748" s="14">
        <f>54.8749 * CHOOSE(CONTROL!$C$15, $E$9, 100%, $G$9) + CHOOSE(CONTROL!$C$38, 0.0354, 0)</f>
        <v>54.910299999999999</v>
      </c>
      <c r="I748" s="14">
        <f>54.8765 * CHOOSE(CONTROL!$C$15, $E$9, 100%, $G$9) + CHOOSE(CONTROL!$C$38, 0.0354, 0)</f>
        <v>54.911900000000003</v>
      </c>
      <c r="J748" s="44">
        <f>505.9362</f>
        <v>505.93619999999999</v>
      </c>
    </row>
    <row r="749" spans="1:10" ht="15.75" x14ac:dyDescent="0.25">
      <c r="A749" s="32">
        <v>63735</v>
      </c>
      <c r="B749" s="14">
        <f>58.8454 * CHOOSE(CONTROL!$C$15, $E$9, 100%, $G$9) + CHOOSE(CONTROL!$C$38, 0.0264, 0)</f>
        <v>58.8718</v>
      </c>
      <c r="C749" s="14">
        <f>55.6606 * CHOOSE(CONTROL!$C$15, $E$9, 100%, $G$9) + CHOOSE(CONTROL!$C$38, 0.0354, 0)</f>
        <v>55.696000000000005</v>
      </c>
      <c r="D749" s="14">
        <f>55.6527 * CHOOSE(CONTROL!$C$15, $E$9, 100%, $G$9) + CHOOSE(CONTROL!$C$38, 0.0354, 0)</f>
        <v>55.688100000000006</v>
      </c>
      <c r="E749" s="46">
        <f>58.6892 * CHOOSE(CONTROL!$C$15, $E$9, 100%, $G$9) + CHOOSE(CONTROL!$C$38, 0.0354, 0)</f>
        <v>58.724600000000002</v>
      </c>
      <c r="F749" s="45">
        <f>58.6892 * CHOOSE(CONTROL!$C$15, $E$9, 100%, $G$9) + CHOOSE(CONTROL!$C$38, 0.0264, 0)</f>
        <v>58.715600000000002</v>
      </c>
      <c r="G749" s="14">
        <f>55.659 * CHOOSE(CONTROL!$C$15, $E$9, 100%, $G$9) + CHOOSE(CONTROL!$C$38, 0.0354, 0)</f>
        <v>55.694400000000002</v>
      </c>
      <c r="H749" s="14">
        <f>55.659 * CHOOSE(CONTROL!$C$15, $E$9, 100%, $G$9) + CHOOSE(CONTROL!$C$38, 0.0354, 0)</f>
        <v>55.694400000000002</v>
      </c>
      <c r="I749" s="14">
        <f>55.6606 * CHOOSE(CONTROL!$C$15, $E$9, 100%, $G$9) + CHOOSE(CONTROL!$C$38, 0.0354, 0)</f>
        <v>55.696000000000005</v>
      </c>
      <c r="J749" s="44">
        <f>513.2262</f>
        <v>513.22619999999995</v>
      </c>
    </row>
    <row r="750" spans="1:10" ht="15.75" x14ac:dyDescent="0.25">
      <c r="A750" s="32">
        <v>63766</v>
      </c>
      <c r="B750" s="14">
        <f>58.5731 * CHOOSE(CONTROL!$C$15, $E$9, 100%, $G$9) + CHOOSE(CONTROL!$C$38, 0.0264, 0)</f>
        <v>58.599499999999999</v>
      </c>
      <c r="C750" s="14">
        <f>55.4024 * CHOOSE(CONTROL!$C$15, $E$9, 100%, $G$9) + CHOOSE(CONTROL!$C$38, 0.0354, 0)</f>
        <v>55.437800000000003</v>
      </c>
      <c r="D750" s="14">
        <f>55.3946 * CHOOSE(CONTROL!$C$15, $E$9, 100%, $G$9) + CHOOSE(CONTROL!$C$38, 0.0354, 0)</f>
        <v>55.43</v>
      </c>
      <c r="E750" s="46">
        <f>58.4169 * CHOOSE(CONTROL!$C$15, $E$9, 100%, $G$9) + CHOOSE(CONTROL!$C$38, 0.0354, 0)</f>
        <v>58.452300000000001</v>
      </c>
      <c r="F750" s="45">
        <f>58.4169 * CHOOSE(CONTROL!$C$15, $E$9, 100%, $G$9) + CHOOSE(CONTROL!$C$38, 0.0264, 0)</f>
        <v>58.443300000000001</v>
      </c>
      <c r="G750" s="14">
        <f>55.4008 * CHOOSE(CONTROL!$C$15, $E$9, 100%, $G$9) + CHOOSE(CONTROL!$C$38, 0.0354, 0)</f>
        <v>55.436199999999999</v>
      </c>
      <c r="H750" s="14">
        <f>55.4008 * CHOOSE(CONTROL!$C$15, $E$9, 100%, $G$9) + CHOOSE(CONTROL!$C$38, 0.0354, 0)</f>
        <v>55.436199999999999</v>
      </c>
      <c r="I750" s="14">
        <f>55.4024 * CHOOSE(CONTROL!$C$15, $E$9, 100%, $G$9) + CHOOSE(CONTROL!$C$38, 0.0354, 0)</f>
        <v>55.437800000000003</v>
      </c>
      <c r="J750" s="44">
        <f>510.8259</f>
        <v>510.82589999999999</v>
      </c>
    </row>
    <row r="751" spans="1:10" ht="15.75" x14ac:dyDescent="0.25">
      <c r="A751" s="32">
        <v>63797</v>
      </c>
      <c r="B751" s="14">
        <f>57.2239 * CHOOSE(CONTROL!$C$15, $E$9, 100%, $G$9) + CHOOSE(CONTROL!$C$38, 0.0264, 0)</f>
        <v>57.250300000000003</v>
      </c>
      <c r="C751" s="14">
        <f>54.1234 * CHOOSE(CONTROL!$C$15, $E$9, 100%, $G$9) + CHOOSE(CONTROL!$C$38, 0.0354, 0)</f>
        <v>54.158799999999999</v>
      </c>
      <c r="D751" s="14">
        <f>54.1156 * CHOOSE(CONTROL!$C$15, $E$9, 100%, $G$9) + CHOOSE(CONTROL!$C$38, 0.0354, 0)</f>
        <v>54.151000000000003</v>
      </c>
      <c r="E751" s="46">
        <f>57.0677 * CHOOSE(CONTROL!$C$15, $E$9, 100%, $G$9) + CHOOSE(CONTROL!$C$38, 0.0354, 0)</f>
        <v>57.103100000000005</v>
      </c>
      <c r="F751" s="45">
        <f>57.0677 * CHOOSE(CONTROL!$C$15, $E$9, 100%, $G$9) + CHOOSE(CONTROL!$C$38, 0.0264, 0)</f>
        <v>57.094100000000005</v>
      </c>
      <c r="G751" s="14">
        <f>54.1218 * CHOOSE(CONTROL!$C$15, $E$9, 100%, $G$9) + CHOOSE(CONTROL!$C$38, 0.0354, 0)</f>
        <v>54.157200000000003</v>
      </c>
      <c r="H751" s="14">
        <f>54.1218 * CHOOSE(CONTROL!$C$15, $E$9, 100%, $G$9) + CHOOSE(CONTROL!$C$38, 0.0354, 0)</f>
        <v>54.157200000000003</v>
      </c>
      <c r="I751" s="14">
        <f>54.1234 * CHOOSE(CONTROL!$C$15, $E$9, 100%, $G$9) + CHOOSE(CONTROL!$C$38, 0.0354, 0)</f>
        <v>54.158799999999999</v>
      </c>
      <c r="J751" s="44">
        <f>498.9341</f>
        <v>498.9341</v>
      </c>
    </row>
    <row r="752" spans="1:10" ht="15.75" x14ac:dyDescent="0.25">
      <c r="A752" s="32">
        <v>63827</v>
      </c>
      <c r="B752" s="14">
        <f>55.3424 * CHOOSE(CONTROL!$C$15, $E$9, 100%, $G$9) + CHOOSE(CONTROL!$C$38, 0.0264, 0)</f>
        <v>55.3688</v>
      </c>
      <c r="C752" s="14">
        <f>52.3397 * CHOOSE(CONTROL!$C$15, $E$9, 100%, $G$9) + CHOOSE(CONTROL!$C$38, 0.0354, 0)</f>
        <v>52.375100000000003</v>
      </c>
      <c r="D752" s="14">
        <f>52.3319 * CHOOSE(CONTROL!$C$15, $E$9, 100%, $G$9) + CHOOSE(CONTROL!$C$38, 0.0354, 0)</f>
        <v>52.3673</v>
      </c>
      <c r="E752" s="46">
        <f>55.1862 * CHOOSE(CONTROL!$C$15, $E$9, 100%, $G$9) + CHOOSE(CONTROL!$C$38, 0.0354, 0)</f>
        <v>55.221600000000002</v>
      </c>
      <c r="F752" s="45">
        <f>55.1862 * CHOOSE(CONTROL!$C$15, $E$9, 100%, $G$9) + CHOOSE(CONTROL!$C$38, 0.0264, 0)</f>
        <v>55.212600000000002</v>
      </c>
      <c r="G752" s="14">
        <f>52.3382 * CHOOSE(CONTROL!$C$15, $E$9, 100%, $G$9) + CHOOSE(CONTROL!$C$38, 0.0354, 0)</f>
        <v>52.373600000000003</v>
      </c>
      <c r="H752" s="14">
        <f>52.3382 * CHOOSE(CONTROL!$C$15, $E$9, 100%, $G$9) + CHOOSE(CONTROL!$C$38, 0.0354, 0)</f>
        <v>52.373600000000003</v>
      </c>
      <c r="I752" s="14">
        <f>52.3397 * CHOOSE(CONTROL!$C$15, $E$9, 100%, $G$9) + CHOOSE(CONTROL!$C$38, 0.0354, 0)</f>
        <v>52.375100000000003</v>
      </c>
      <c r="J752" s="44">
        <f>482.3504</f>
        <v>482.35039999999998</v>
      </c>
    </row>
    <row r="753" spans="1:10" ht="15.75" x14ac:dyDescent="0.25">
      <c r="A753" s="32">
        <v>63858</v>
      </c>
      <c r="B753" s="14">
        <f>53.45 * CHOOSE(CONTROL!$C$15, $E$9, 100%, $G$9) + CHOOSE(CONTROL!$C$38, 0.0251, 0)</f>
        <v>53.475100000000005</v>
      </c>
      <c r="C753" s="14">
        <f>50.5457 * CHOOSE(CONTROL!$C$15, $E$9, 100%, $G$9) + CHOOSE(CONTROL!$C$38, 0.0342, 0)</f>
        <v>50.579899999999995</v>
      </c>
      <c r="D753" s="14">
        <f>50.5379 * CHOOSE(CONTROL!$C$15, $E$9, 100%, $G$9) + CHOOSE(CONTROL!$C$38, 0.0342, 0)</f>
        <v>50.572099999999999</v>
      </c>
      <c r="E753" s="46">
        <f>53.2937 * CHOOSE(CONTROL!$C$15, $E$9, 100%, $G$9) + CHOOSE(CONTROL!$C$38, 0.0342, 0)</f>
        <v>53.3279</v>
      </c>
      <c r="F753" s="45">
        <f>53.2937 * CHOOSE(CONTROL!$C$15, $E$9, 100%, $G$9) + CHOOSE(CONTROL!$C$38, 0.0251, 0)</f>
        <v>53.318800000000003</v>
      </c>
      <c r="G753" s="14">
        <f>50.5442 * CHOOSE(CONTROL!$C$15, $E$9, 100%, $G$9) + CHOOSE(CONTROL!$C$38, 0.0342, 0)</f>
        <v>50.578399999999995</v>
      </c>
      <c r="H753" s="14">
        <f>50.5442 * CHOOSE(CONTROL!$C$15, $E$9, 100%, $G$9) + CHOOSE(CONTROL!$C$38, 0.0342, 0)</f>
        <v>50.578399999999995</v>
      </c>
      <c r="I753" s="14">
        <f>50.5457 * CHOOSE(CONTROL!$C$15, $E$9, 100%, $G$9) + CHOOSE(CONTROL!$C$38, 0.0342, 0)</f>
        <v>50.579899999999995</v>
      </c>
      <c r="J753" s="44">
        <f>465.6703</f>
        <v>465.6703</v>
      </c>
    </row>
    <row r="754" spans="1:10" ht="15.75" x14ac:dyDescent="0.25">
      <c r="A754" s="32">
        <v>63888</v>
      </c>
      <c r="B754" s="14">
        <f>53.0735 * CHOOSE(CONTROL!$C$15, $E$9, 100%, $G$9) + CHOOSE(CONTROL!$C$38, 0.0251, 0)</f>
        <v>53.098600000000005</v>
      </c>
      <c r="C754" s="14">
        <f>50.1889 * CHOOSE(CONTROL!$C$15, $E$9, 100%, $G$9) + CHOOSE(CONTROL!$C$38, 0.0342, 0)</f>
        <v>50.223099999999995</v>
      </c>
      <c r="D754" s="14">
        <f>50.181 * CHOOSE(CONTROL!$C$15, $E$9, 100%, $G$9) + CHOOSE(CONTROL!$C$38, 0.0342, 0)</f>
        <v>50.215199999999996</v>
      </c>
      <c r="E754" s="46">
        <f>52.9173 * CHOOSE(CONTROL!$C$15, $E$9, 100%, $G$9) + CHOOSE(CONTROL!$C$38, 0.0342, 0)</f>
        <v>52.951499999999996</v>
      </c>
      <c r="F754" s="45">
        <f>52.9173 * CHOOSE(CONTROL!$C$15, $E$9, 100%, $G$9) + CHOOSE(CONTROL!$C$38, 0.0251, 0)</f>
        <v>52.942399999999999</v>
      </c>
      <c r="G754" s="14">
        <f>50.1873 * CHOOSE(CONTROL!$C$15, $E$9, 100%, $G$9) + CHOOSE(CONTROL!$C$38, 0.0342, 0)</f>
        <v>50.221499999999999</v>
      </c>
      <c r="H754" s="14">
        <f>50.1873 * CHOOSE(CONTROL!$C$15, $E$9, 100%, $G$9) + CHOOSE(CONTROL!$C$38, 0.0342, 0)</f>
        <v>50.221499999999999</v>
      </c>
      <c r="I754" s="14">
        <f>50.1889 * CHOOSE(CONTROL!$C$15, $E$9, 100%, $G$9) + CHOOSE(CONTROL!$C$38, 0.0342, 0)</f>
        <v>50.223099999999995</v>
      </c>
      <c r="J754" s="44">
        <f>462.3522</f>
        <v>462.35219999999998</v>
      </c>
    </row>
    <row r="755" spans="1:10" ht="15.75" x14ac:dyDescent="0.25">
      <c r="A755" s="32">
        <v>63919</v>
      </c>
      <c r="B755" s="14">
        <f>51.5169 * CHOOSE(CONTROL!$C$15, $E$9, 100%, $G$9) + CHOOSE(CONTROL!$C$38, 0.0251, 0)</f>
        <v>51.542000000000002</v>
      </c>
      <c r="C755" s="14">
        <f>48.7132 * CHOOSE(CONTROL!$C$15, $E$9, 100%, $G$9) + CHOOSE(CONTROL!$C$38, 0.0342, 0)</f>
        <v>48.747399999999999</v>
      </c>
      <c r="D755" s="14">
        <f>48.7054 * CHOOSE(CONTROL!$C$15, $E$9, 100%, $G$9) + CHOOSE(CONTROL!$C$38, 0.0342, 0)</f>
        <v>48.739599999999996</v>
      </c>
      <c r="E755" s="46">
        <f>51.3606 * CHOOSE(CONTROL!$C$15, $E$9, 100%, $G$9) + CHOOSE(CONTROL!$C$38, 0.0342, 0)</f>
        <v>51.394799999999996</v>
      </c>
      <c r="F755" s="45">
        <f>51.3606 * CHOOSE(CONTROL!$C$15, $E$9, 100%, $G$9) + CHOOSE(CONTROL!$C$38, 0.0251, 0)</f>
        <v>51.3857</v>
      </c>
      <c r="G755" s="14">
        <f>48.7116 * CHOOSE(CONTROL!$C$15, $E$9, 100%, $G$9) + CHOOSE(CONTROL!$C$38, 0.0342, 0)</f>
        <v>48.745799999999996</v>
      </c>
      <c r="H755" s="14">
        <f>48.7116 * CHOOSE(CONTROL!$C$15, $E$9, 100%, $G$9) + CHOOSE(CONTROL!$C$38, 0.0342, 0)</f>
        <v>48.745799999999996</v>
      </c>
      <c r="I755" s="14">
        <f>48.7132 * CHOOSE(CONTROL!$C$15, $E$9, 100%, $G$9) + CHOOSE(CONTROL!$C$38, 0.0342, 0)</f>
        <v>48.747399999999999</v>
      </c>
      <c r="J755" s="44">
        <f>448.6319</f>
        <v>448.63189999999997</v>
      </c>
    </row>
    <row r="756" spans="1:10" ht="15.75" x14ac:dyDescent="0.25">
      <c r="A756" s="32">
        <v>63950</v>
      </c>
      <c r="B756" s="14">
        <f>51.1303 * CHOOSE(CONTROL!$C$15, $E$9, 100%, $G$9) + CHOOSE(CONTROL!$C$38, 0.0251, 0)</f>
        <v>51.1554</v>
      </c>
      <c r="C756" s="14">
        <f>48.3467 * CHOOSE(CONTROL!$C$15, $E$9, 100%, $G$9) + CHOOSE(CONTROL!$C$38, 0.0342, 0)</f>
        <v>48.380899999999997</v>
      </c>
      <c r="D756" s="14">
        <f>48.3389 * CHOOSE(CONTROL!$C$15, $E$9, 100%, $G$9) + CHOOSE(CONTROL!$C$38, 0.0342, 0)</f>
        <v>48.373100000000001</v>
      </c>
      <c r="E756" s="46">
        <f>50.974 * CHOOSE(CONTROL!$C$15, $E$9, 100%, $G$9) + CHOOSE(CONTROL!$C$38, 0.0342, 0)</f>
        <v>51.008199999999995</v>
      </c>
      <c r="F756" s="45">
        <f>50.974 * CHOOSE(CONTROL!$C$15, $E$9, 100%, $G$9) + CHOOSE(CONTROL!$C$38, 0.0251, 0)</f>
        <v>50.999099999999999</v>
      </c>
      <c r="G756" s="14">
        <f>48.3451 * CHOOSE(CONTROL!$C$15, $E$9, 100%, $G$9) + CHOOSE(CONTROL!$C$38, 0.0342, 0)</f>
        <v>48.379300000000001</v>
      </c>
      <c r="H756" s="14">
        <f>48.3451 * CHOOSE(CONTROL!$C$15, $E$9, 100%, $G$9) + CHOOSE(CONTROL!$C$38, 0.0342, 0)</f>
        <v>48.379300000000001</v>
      </c>
      <c r="I756" s="14">
        <f>48.3467 * CHOOSE(CONTROL!$C$15, $E$9, 100%, $G$9) + CHOOSE(CONTROL!$C$38, 0.0342, 0)</f>
        <v>48.380899999999997</v>
      </c>
      <c r="J756" s="44">
        <f>448.308</f>
        <v>448.30799999999999</v>
      </c>
    </row>
    <row r="757" spans="1:10" ht="15.75" x14ac:dyDescent="0.25">
      <c r="A757" s="32">
        <v>63978</v>
      </c>
      <c r="B757" s="14">
        <f>50.9899 * CHOOSE(CONTROL!$C$15, $E$9, 100%, $G$9) + CHOOSE(CONTROL!$C$38, 0.0251, 0)</f>
        <v>51.015000000000001</v>
      </c>
      <c r="C757" s="14">
        <f>48.2136 * CHOOSE(CONTROL!$C$15, $E$9, 100%, $G$9) + CHOOSE(CONTROL!$C$38, 0.0342, 0)</f>
        <v>48.247799999999998</v>
      </c>
      <c r="D757" s="14">
        <f>48.2058 * CHOOSE(CONTROL!$C$15, $E$9, 100%, $G$9) + CHOOSE(CONTROL!$C$38, 0.0342, 0)</f>
        <v>48.24</v>
      </c>
      <c r="E757" s="46">
        <f>50.8336 * CHOOSE(CONTROL!$C$15, $E$9, 100%, $G$9) + CHOOSE(CONTROL!$C$38, 0.0342, 0)</f>
        <v>50.867799999999995</v>
      </c>
      <c r="F757" s="45">
        <f>50.8336 * CHOOSE(CONTROL!$C$15, $E$9, 100%, $G$9) + CHOOSE(CONTROL!$C$38, 0.0251, 0)</f>
        <v>50.858699999999999</v>
      </c>
      <c r="G757" s="14">
        <f>48.212 * CHOOSE(CONTROL!$C$15, $E$9, 100%, $G$9) + CHOOSE(CONTROL!$C$38, 0.0342, 0)</f>
        <v>48.246200000000002</v>
      </c>
      <c r="H757" s="14">
        <f>48.212 * CHOOSE(CONTROL!$C$15, $E$9, 100%, $G$9) + CHOOSE(CONTROL!$C$38, 0.0342, 0)</f>
        <v>48.246200000000002</v>
      </c>
      <c r="I757" s="14">
        <f>48.2136 * CHOOSE(CONTROL!$C$15, $E$9, 100%, $G$9) + CHOOSE(CONTROL!$C$38, 0.0342, 0)</f>
        <v>48.247799999999998</v>
      </c>
      <c r="J757" s="44">
        <f>447.0618</f>
        <v>447.06180000000001</v>
      </c>
    </row>
    <row r="758" spans="1:10" ht="15.75" x14ac:dyDescent="0.25">
      <c r="A758" s="32">
        <v>64009</v>
      </c>
      <c r="B758" s="14">
        <f>53.6448 * CHOOSE(CONTROL!$C$15, $E$9, 100%, $G$9) + CHOOSE(CONTROL!$C$38, 0.0251, 0)</f>
        <v>53.669899999999998</v>
      </c>
      <c r="C758" s="14">
        <f>50.7304 * CHOOSE(CONTROL!$C$15, $E$9, 100%, $G$9) + CHOOSE(CONTROL!$C$38, 0.0342, 0)</f>
        <v>50.764600000000002</v>
      </c>
      <c r="D758" s="14">
        <f>50.7226 * CHOOSE(CONTROL!$C$15, $E$9, 100%, $G$9) + CHOOSE(CONTROL!$C$38, 0.0342, 0)</f>
        <v>50.756799999999998</v>
      </c>
      <c r="E758" s="46">
        <f>53.4886 * CHOOSE(CONTROL!$C$15, $E$9, 100%, $G$9) + CHOOSE(CONTROL!$C$38, 0.0342, 0)</f>
        <v>53.522799999999997</v>
      </c>
      <c r="F758" s="45">
        <f>53.4886 * CHOOSE(CONTROL!$C$15, $E$9, 100%, $G$9) + CHOOSE(CONTROL!$C$38, 0.0251, 0)</f>
        <v>53.5137</v>
      </c>
      <c r="G758" s="14">
        <f>50.7289 * CHOOSE(CONTROL!$C$15, $E$9, 100%, $G$9) + CHOOSE(CONTROL!$C$38, 0.0342, 0)</f>
        <v>50.763100000000001</v>
      </c>
      <c r="H758" s="14">
        <f>50.7289 * CHOOSE(CONTROL!$C$15, $E$9, 100%, $G$9) + CHOOSE(CONTROL!$C$38, 0.0342, 0)</f>
        <v>50.763100000000001</v>
      </c>
      <c r="I758" s="14">
        <f>50.7304 * CHOOSE(CONTROL!$C$15, $E$9, 100%, $G$9) + CHOOSE(CONTROL!$C$38, 0.0342, 0)</f>
        <v>50.764600000000002</v>
      </c>
      <c r="J758" s="44">
        <f>470.6246</f>
        <v>470.62459999999999</v>
      </c>
    </row>
    <row r="759" spans="1:10" ht="15.75" x14ac:dyDescent="0.25">
      <c r="A759" s="32">
        <v>64039</v>
      </c>
      <c r="B759" s="14">
        <f>57.0876 * CHOOSE(CONTROL!$C$15, $E$9, 100%, $G$9) + CHOOSE(CONTROL!$C$38, 0.0251, 0)</f>
        <v>57.112700000000004</v>
      </c>
      <c r="C759" s="14">
        <f>53.9942 * CHOOSE(CONTROL!$C$15, $E$9, 100%, $G$9) + CHOOSE(CONTROL!$C$38, 0.0342, 0)</f>
        <v>54.028399999999998</v>
      </c>
      <c r="D759" s="14">
        <f>53.9864 * CHOOSE(CONTROL!$C$15, $E$9, 100%, $G$9) + CHOOSE(CONTROL!$C$38, 0.0342, 0)</f>
        <v>54.020600000000002</v>
      </c>
      <c r="E759" s="46">
        <f>56.9314 * CHOOSE(CONTROL!$C$15, $E$9, 100%, $G$9) + CHOOSE(CONTROL!$C$38, 0.0342, 0)</f>
        <v>56.965599999999995</v>
      </c>
      <c r="F759" s="45">
        <f>56.9314 * CHOOSE(CONTROL!$C$15, $E$9, 100%, $G$9) + CHOOSE(CONTROL!$C$38, 0.0251, 0)</f>
        <v>56.956499999999998</v>
      </c>
      <c r="G759" s="14">
        <f>53.9926 * CHOOSE(CONTROL!$C$15, $E$9, 100%, $G$9) + CHOOSE(CONTROL!$C$38, 0.0342, 0)</f>
        <v>54.026800000000001</v>
      </c>
      <c r="H759" s="14">
        <f>53.9926 * CHOOSE(CONTROL!$C$15, $E$9, 100%, $G$9) + CHOOSE(CONTROL!$C$38, 0.0342, 0)</f>
        <v>54.026800000000001</v>
      </c>
      <c r="I759" s="14">
        <f>53.9942 * CHOOSE(CONTROL!$C$15, $E$9, 100%, $G$9) + CHOOSE(CONTROL!$C$38, 0.0342, 0)</f>
        <v>54.028399999999998</v>
      </c>
      <c r="J759" s="44">
        <f>501.1798</f>
        <v>501.1798</v>
      </c>
    </row>
    <row r="760" spans="1:10" ht="15.75" x14ac:dyDescent="0.25">
      <c r="A760" s="32">
        <v>64070</v>
      </c>
      <c r="B760" s="14">
        <f>58.9827 * CHOOSE(CONTROL!$C$15, $E$9, 100%, $G$9) + CHOOSE(CONTROL!$C$38, 0.0264, 0)</f>
        <v>59.009100000000004</v>
      </c>
      <c r="C760" s="14">
        <f>55.7907 * CHOOSE(CONTROL!$C$15, $E$9, 100%, $G$9) + CHOOSE(CONTROL!$C$38, 0.0354, 0)</f>
        <v>55.826100000000004</v>
      </c>
      <c r="D760" s="14">
        <f>55.7828 * CHOOSE(CONTROL!$C$15, $E$9, 100%, $G$9) + CHOOSE(CONTROL!$C$38, 0.0354, 0)</f>
        <v>55.818200000000004</v>
      </c>
      <c r="E760" s="46">
        <f>58.8264 * CHOOSE(CONTROL!$C$15, $E$9, 100%, $G$9) + CHOOSE(CONTROL!$C$38, 0.0354, 0)</f>
        <v>58.861800000000002</v>
      </c>
      <c r="F760" s="45">
        <f>58.8264 * CHOOSE(CONTROL!$C$15, $E$9, 100%, $G$9) + CHOOSE(CONTROL!$C$38, 0.0264, 0)</f>
        <v>58.852800000000002</v>
      </c>
      <c r="G760" s="14">
        <f>55.7891 * CHOOSE(CONTROL!$C$15, $E$9, 100%, $G$9) + CHOOSE(CONTROL!$C$38, 0.0354, 0)</f>
        <v>55.8245</v>
      </c>
      <c r="H760" s="14">
        <f>55.7891 * CHOOSE(CONTROL!$C$15, $E$9, 100%, $G$9) + CHOOSE(CONTROL!$C$38, 0.0354, 0)</f>
        <v>55.8245</v>
      </c>
      <c r="I760" s="14">
        <f>55.7907 * CHOOSE(CONTROL!$C$15, $E$9, 100%, $G$9) + CHOOSE(CONTROL!$C$38, 0.0354, 0)</f>
        <v>55.826100000000004</v>
      </c>
      <c r="J760" s="44">
        <f>517.9984</f>
        <v>517.99839999999995</v>
      </c>
    </row>
    <row r="761" spans="1:10" ht="15.75" x14ac:dyDescent="0.25">
      <c r="A761" s="32">
        <v>64100</v>
      </c>
      <c r="B761" s="14">
        <f>59.8237 * CHOOSE(CONTROL!$C$15, $E$9, 100%, $G$9) + CHOOSE(CONTROL!$C$38, 0.0264, 0)</f>
        <v>59.850100000000005</v>
      </c>
      <c r="C761" s="14">
        <f>56.5879 * CHOOSE(CONTROL!$C$15, $E$9, 100%, $G$9) + CHOOSE(CONTROL!$C$38, 0.0354, 0)</f>
        <v>56.6233</v>
      </c>
      <c r="D761" s="14">
        <f>56.5801 * CHOOSE(CONTROL!$C$15, $E$9, 100%, $G$9) + CHOOSE(CONTROL!$C$38, 0.0354, 0)</f>
        <v>56.615500000000004</v>
      </c>
      <c r="E761" s="46">
        <f>59.6674 * CHOOSE(CONTROL!$C$15, $E$9, 100%, $G$9) + CHOOSE(CONTROL!$C$38, 0.0354, 0)</f>
        <v>59.702800000000003</v>
      </c>
      <c r="F761" s="45">
        <f>59.6674 * CHOOSE(CONTROL!$C$15, $E$9, 100%, $G$9) + CHOOSE(CONTROL!$C$38, 0.0264, 0)</f>
        <v>59.693800000000003</v>
      </c>
      <c r="G761" s="14">
        <f>56.5863 * CHOOSE(CONTROL!$C$15, $E$9, 100%, $G$9) + CHOOSE(CONTROL!$C$38, 0.0354, 0)</f>
        <v>56.621700000000004</v>
      </c>
      <c r="H761" s="14">
        <f>56.5863 * CHOOSE(CONTROL!$C$15, $E$9, 100%, $G$9) + CHOOSE(CONTROL!$C$38, 0.0354, 0)</f>
        <v>56.621700000000004</v>
      </c>
      <c r="I761" s="14">
        <f>56.5879 * CHOOSE(CONTROL!$C$15, $E$9, 100%, $G$9) + CHOOSE(CONTROL!$C$38, 0.0354, 0)</f>
        <v>56.6233</v>
      </c>
      <c r="J761" s="44">
        <f>525.4622</f>
        <v>525.46220000000005</v>
      </c>
    </row>
    <row r="762" spans="1:10" ht="15.75" x14ac:dyDescent="0.25">
      <c r="A762" s="32">
        <v>64131</v>
      </c>
      <c r="B762" s="14">
        <f>59.5468 * CHOOSE(CONTROL!$C$15, $E$9, 100%, $G$9) + CHOOSE(CONTROL!$C$38, 0.0264, 0)</f>
        <v>59.5732</v>
      </c>
      <c r="C762" s="14">
        <f>56.3254 * CHOOSE(CONTROL!$C$15, $E$9, 100%, $G$9) + CHOOSE(CONTROL!$C$38, 0.0354, 0)</f>
        <v>56.360800000000005</v>
      </c>
      <c r="D762" s="14">
        <f>56.3176 * CHOOSE(CONTROL!$C$15, $E$9, 100%, $G$9) + CHOOSE(CONTROL!$C$38, 0.0354, 0)</f>
        <v>56.353000000000002</v>
      </c>
      <c r="E762" s="46">
        <f>59.3905 * CHOOSE(CONTROL!$C$15, $E$9, 100%, $G$9) + CHOOSE(CONTROL!$C$38, 0.0354, 0)</f>
        <v>59.425900000000006</v>
      </c>
      <c r="F762" s="45">
        <f>59.3905 * CHOOSE(CONTROL!$C$15, $E$9, 100%, $G$9) + CHOOSE(CONTROL!$C$38, 0.0264, 0)</f>
        <v>59.416900000000005</v>
      </c>
      <c r="G762" s="14">
        <f>56.3238 * CHOOSE(CONTROL!$C$15, $E$9, 100%, $G$9) + CHOOSE(CONTROL!$C$38, 0.0354, 0)</f>
        <v>56.359200000000001</v>
      </c>
      <c r="H762" s="14">
        <f>56.3238 * CHOOSE(CONTROL!$C$15, $E$9, 100%, $G$9) + CHOOSE(CONTROL!$C$38, 0.0354, 0)</f>
        <v>56.359200000000001</v>
      </c>
      <c r="I762" s="14">
        <f>56.3254 * CHOOSE(CONTROL!$C$15, $E$9, 100%, $G$9) + CHOOSE(CONTROL!$C$38, 0.0354, 0)</f>
        <v>56.360800000000005</v>
      </c>
      <c r="J762" s="44">
        <f>523.0048</f>
        <v>523.00480000000005</v>
      </c>
    </row>
    <row r="763" spans="1:10" ht="15.75" x14ac:dyDescent="0.25">
      <c r="A763" s="32">
        <v>64162</v>
      </c>
      <c r="B763" s="14">
        <f>58.1749 * CHOOSE(CONTROL!$C$15, $E$9, 100%, $G$9) + CHOOSE(CONTROL!$C$38, 0.0264, 0)</f>
        <v>58.201300000000003</v>
      </c>
      <c r="C763" s="14">
        <f>55.0249 * CHOOSE(CONTROL!$C$15, $E$9, 100%, $G$9) + CHOOSE(CONTROL!$C$38, 0.0354, 0)</f>
        <v>55.060300000000005</v>
      </c>
      <c r="D763" s="14">
        <f>55.0171 * CHOOSE(CONTROL!$C$15, $E$9, 100%, $G$9) + CHOOSE(CONTROL!$C$38, 0.0354, 0)</f>
        <v>55.052500000000002</v>
      </c>
      <c r="E763" s="46">
        <f>58.0187 * CHOOSE(CONTROL!$C$15, $E$9, 100%, $G$9) + CHOOSE(CONTROL!$C$38, 0.0354, 0)</f>
        <v>58.054100000000005</v>
      </c>
      <c r="F763" s="45">
        <f>58.0187 * CHOOSE(CONTROL!$C$15, $E$9, 100%, $G$9) + CHOOSE(CONTROL!$C$38, 0.0264, 0)</f>
        <v>58.045100000000005</v>
      </c>
      <c r="G763" s="14">
        <f>55.0233 * CHOOSE(CONTROL!$C$15, $E$9, 100%, $G$9) + CHOOSE(CONTROL!$C$38, 0.0354, 0)</f>
        <v>55.058700000000002</v>
      </c>
      <c r="H763" s="14">
        <f>55.0233 * CHOOSE(CONTROL!$C$15, $E$9, 100%, $G$9) + CHOOSE(CONTROL!$C$38, 0.0354, 0)</f>
        <v>55.058700000000002</v>
      </c>
      <c r="I763" s="14">
        <f>55.0249 * CHOOSE(CONTROL!$C$15, $E$9, 100%, $G$9) + CHOOSE(CONTROL!$C$38, 0.0354, 0)</f>
        <v>55.060300000000005</v>
      </c>
      <c r="J763" s="44">
        <f>510.8295</f>
        <v>510.8295</v>
      </c>
    </row>
    <row r="764" spans="1:10" ht="15.75" x14ac:dyDescent="0.25">
      <c r="A764" s="32">
        <v>64192</v>
      </c>
      <c r="B764" s="14">
        <f>56.2618 * CHOOSE(CONTROL!$C$15, $E$9, 100%, $G$9) + CHOOSE(CONTROL!$C$38, 0.0264, 0)</f>
        <v>56.288200000000003</v>
      </c>
      <c r="C764" s="14">
        <f>53.2113 * CHOOSE(CONTROL!$C$15, $E$9, 100%, $G$9) + CHOOSE(CONTROL!$C$38, 0.0354, 0)</f>
        <v>53.246700000000004</v>
      </c>
      <c r="D764" s="14">
        <f>53.2035 * CHOOSE(CONTROL!$C$15, $E$9, 100%, $G$9) + CHOOSE(CONTROL!$C$38, 0.0354, 0)</f>
        <v>53.238900000000001</v>
      </c>
      <c r="E764" s="46">
        <f>56.1055 * CHOOSE(CONTROL!$C$15, $E$9, 100%, $G$9) + CHOOSE(CONTROL!$C$38, 0.0354, 0)</f>
        <v>56.140900000000002</v>
      </c>
      <c r="F764" s="45">
        <f>56.1055 * CHOOSE(CONTROL!$C$15, $E$9, 100%, $G$9) + CHOOSE(CONTROL!$C$38, 0.0264, 0)</f>
        <v>56.131900000000002</v>
      </c>
      <c r="G764" s="14">
        <f>53.2097 * CHOOSE(CONTROL!$C$15, $E$9, 100%, $G$9) + CHOOSE(CONTROL!$C$38, 0.0354, 0)</f>
        <v>53.245100000000001</v>
      </c>
      <c r="H764" s="14">
        <f>53.2097 * CHOOSE(CONTROL!$C$15, $E$9, 100%, $G$9) + CHOOSE(CONTROL!$C$38, 0.0354, 0)</f>
        <v>53.245100000000001</v>
      </c>
      <c r="I764" s="14">
        <f>53.2113 * CHOOSE(CONTROL!$C$15, $E$9, 100%, $G$9) + CHOOSE(CONTROL!$C$38, 0.0354, 0)</f>
        <v>53.246700000000004</v>
      </c>
      <c r="J764" s="44">
        <f>493.8504</f>
        <v>493.85039999999998</v>
      </c>
    </row>
    <row r="765" spans="1:10" ht="15.75" x14ac:dyDescent="0.25">
      <c r="A765" s="32">
        <v>64223</v>
      </c>
      <c r="B765" s="14">
        <f>54.3375 * CHOOSE(CONTROL!$C$15, $E$9, 100%, $G$9) + CHOOSE(CONTROL!$C$38, 0.0251, 0)</f>
        <v>54.3626</v>
      </c>
      <c r="C765" s="14">
        <f>51.3871 * CHOOSE(CONTROL!$C$15, $E$9, 100%, $G$9) + CHOOSE(CONTROL!$C$38, 0.0342, 0)</f>
        <v>51.421299999999995</v>
      </c>
      <c r="D765" s="14">
        <f>51.3793 * CHOOSE(CONTROL!$C$15, $E$9, 100%, $G$9) + CHOOSE(CONTROL!$C$38, 0.0342, 0)</f>
        <v>51.413499999999999</v>
      </c>
      <c r="E765" s="46">
        <f>54.1813 * CHOOSE(CONTROL!$C$15, $E$9, 100%, $G$9) + CHOOSE(CONTROL!$C$38, 0.0342, 0)</f>
        <v>54.215499999999999</v>
      </c>
      <c r="F765" s="45">
        <f>54.1813 * CHOOSE(CONTROL!$C$15, $E$9, 100%, $G$9) + CHOOSE(CONTROL!$C$38, 0.0251, 0)</f>
        <v>54.206400000000002</v>
      </c>
      <c r="G765" s="14">
        <f>51.3856 * CHOOSE(CONTROL!$C$15, $E$9, 100%, $G$9) + CHOOSE(CONTROL!$C$38, 0.0342, 0)</f>
        <v>51.419799999999995</v>
      </c>
      <c r="H765" s="14">
        <f>51.3856 * CHOOSE(CONTROL!$C$15, $E$9, 100%, $G$9) + CHOOSE(CONTROL!$C$38, 0.0342, 0)</f>
        <v>51.419799999999995</v>
      </c>
      <c r="I765" s="14">
        <f>51.3871 * CHOOSE(CONTROL!$C$15, $E$9, 100%, $G$9) + CHOOSE(CONTROL!$C$38, 0.0342, 0)</f>
        <v>51.421299999999995</v>
      </c>
      <c r="J765" s="44">
        <f>476.7725</f>
        <v>476.77249999999998</v>
      </c>
    </row>
    <row r="766" spans="1:10" ht="15.75" x14ac:dyDescent="0.25">
      <c r="A766" s="32">
        <v>64253</v>
      </c>
      <c r="B766" s="14">
        <f>53.9548 * CHOOSE(CONTROL!$C$15, $E$9, 100%, $G$9) + CHOOSE(CONTROL!$C$38, 0.0251, 0)</f>
        <v>53.979900000000001</v>
      </c>
      <c r="C766" s="14">
        <f>51.0243 * CHOOSE(CONTROL!$C$15, $E$9, 100%, $G$9) + CHOOSE(CONTROL!$C$38, 0.0342, 0)</f>
        <v>51.058499999999995</v>
      </c>
      <c r="D766" s="14">
        <f>51.0165 * CHOOSE(CONTROL!$C$15, $E$9, 100%, $G$9) + CHOOSE(CONTROL!$C$38, 0.0342, 0)</f>
        <v>51.050699999999999</v>
      </c>
      <c r="E766" s="46">
        <f>53.7985 * CHOOSE(CONTROL!$C$15, $E$9, 100%, $G$9) + CHOOSE(CONTROL!$C$38, 0.0342, 0)</f>
        <v>53.832699999999996</v>
      </c>
      <c r="F766" s="45">
        <f>53.7985 * CHOOSE(CONTROL!$C$15, $E$9, 100%, $G$9) + CHOOSE(CONTROL!$C$38, 0.0251, 0)</f>
        <v>53.823599999999999</v>
      </c>
      <c r="G766" s="14">
        <f>51.0227 * CHOOSE(CONTROL!$C$15, $E$9, 100%, $G$9) + CHOOSE(CONTROL!$C$38, 0.0342, 0)</f>
        <v>51.056899999999999</v>
      </c>
      <c r="H766" s="14">
        <f>51.0227 * CHOOSE(CONTROL!$C$15, $E$9, 100%, $G$9) + CHOOSE(CONTROL!$C$38, 0.0342, 0)</f>
        <v>51.056899999999999</v>
      </c>
      <c r="I766" s="14">
        <f>51.0243 * CHOOSE(CONTROL!$C$15, $E$9, 100%, $G$9) + CHOOSE(CONTROL!$C$38, 0.0342, 0)</f>
        <v>51.058499999999995</v>
      </c>
      <c r="J766" s="44">
        <f>473.3754</f>
        <v>473.37540000000001</v>
      </c>
    </row>
    <row r="767" spans="1:10" ht="15.75" x14ac:dyDescent="0.25">
      <c r="A767" s="32">
        <v>64284</v>
      </c>
      <c r="B767" s="14">
        <f>52.372 * CHOOSE(CONTROL!$C$15, $E$9, 100%, $G$9) + CHOOSE(CONTROL!$C$38, 0.0251, 0)</f>
        <v>52.397100000000002</v>
      </c>
      <c r="C767" s="14">
        <f>49.5238 * CHOOSE(CONTROL!$C$15, $E$9, 100%, $G$9) + CHOOSE(CONTROL!$C$38, 0.0342, 0)</f>
        <v>49.558</v>
      </c>
      <c r="D767" s="14">
        <f>49.516 * CHOOSE(CONTROL!$C$15, $E$9, 100%, $G$9) + CHOOSE(CONTROL!$C$38, 0.0342, 0)</f>
        <v>49.550199999999997</v>
      </c>
      <c r="E767" s="46">
        <f>52.2157 * CHOOSE(CONTROL!$C$15, $E$9, 100%, $G$9) + CHOOSE(CONTROL!$C$38, 0.0342, 0)</f>
        <v>52.249899999999997</v>
      </c>
      <c r="F767" s="45">
        <f>52.2157 * CHOOSE(CONTROL!$C$15, $E$9, 100%, $G$9) + CHOOSE(CONTROL!$C$38, 0.0251, 0)</f>
        <v>52.2408</v>
      </c>
      <c r="G767" s="14">
        <f>49.5222 * CHOOSE(CONTROL!$C$15, $E$9, 100%, $G$9) + CHOOSE(CONTROL!$C$38, 0.0342, 0)</f>
        <v>49.556399999999996</v>
      </c>
      <c r="H767" s="14">
        <f>49.5222 * CHOOSE(CONTROL!$C$15, $E$9, 100%, $G$9) + CHOOSE(CONTROL!$C$38, 0.0342, 0)</f>
        <v>49.556399999999996</v>
      </c>
      <c r="I767" s="14">
        <f>49.5238 * CHOOSE(CONTROL!$C$15, $E$9, 100%, $G$9) + CHOOSE(CONTROL!$C$38, 0.0342, 0)</f>
        <v>49.558</v>
      </c>
      <c r="J767" s="44">
        <f>459.3279</f>
        <v>459.3279</v>
      </c>
    </row>
    <row r="768" spans="1:10" ht="15.75" x14ac:dyDescent="0.25">
      <c r="A768" s="32">
        <v>64315</v>
      </c>
      <c r="B768" s="14">
        <f>51.9789 * CHOOSE(CONTROL!$C$15, $E$9, 100%, $G$9) + CHOOSE(CONTROL!$C$38, 0.0251, 0)</f>
        <v>52.004000000000005</v>
      </c>
      <c r="C768" s="14">
        <f>49.1512 * CHOOSE(CONTROL!$C$15, $E$9, 100%, $G$9) + CHOOSE(CONTROL!$C$38, 0.0342, 0)</f>
        <v>49.185400000000001</v>
      </c>
      <c r="D768" s="14">
        <f>49.1434 * CHOOSE(CONTROL!$C$15, $E$9, 100%, $G$9) + CHOOSE(CONTROL!$C$38, 0.0342, 0)</f>
        <v>49.177599999999998</v>
      </c>
      <c r="E768" s="46">
        <f>51.8227 * CHOOSE(CONTROL!$C$15, $E$9, 100%, $G$9) + CHOOSE(CONTROL!$C$38, 0.0342, 0)</f>
        <v>51.856899999999996</v>
      </c>
      <c r="F768" s="45">
        <f>51.8227 * CHOOSE(CONTROL!$C$15, $E$9, 100%, $G$9) + CHOOSE(CONTROL!$C$38, 0.0251, 0)</f>
        <v>51.847799999999999</v>
      </c>
      <c r="G768" s="14">
        <f>49.1496 * CHOOSE(CONTROL!$C$15, $E$9, 100%, $G$9) + CHOOSE(CONTROL!$C$38, 0.0342, 0)</f>
        <v>49.183799999999998</v>
      </c>
      <c r="H768" s="14">
        <f>49.1496 * CHOOSE(CONTROL!$C$15, $E$9, 100%, $G$9) + CHOOSE(CONTROL!$C$38, 0.0342, 0)</f>
        <v>49.183799999999998</v>
      </c>
      <c r="I768" s="14">
        <f>49.1512 * CHOOSE(CONTROL!$C$15, $E$9, 100%, $G$9) + CHOOSE(CONTROL!$C$38, 0.0342, 0)</f>
        <v>49.185400000000001</v>
      </c>
      <c r="J768" s="44">
        <f>458.9963</f>
        <v>458.99630000000002</v>
      </c>
    </row>
    <row r="769" spans="1:10" ht="15.75" x14ac:dyDescent="0.25">
      <c r="A769" s="32">
        <v>64344</v>
      </c>
      <c r="B769" s="14">
        <f>51.8361 * CHOOSE(CONTROL!$C$15, $E$9, 100%, $G$9) + CHOOSE(CONTROL!$C$38, 0.0251, 0)</f>
        <v>51.861200000000004</v>
      </c>
      <c r="C769" s="14">
        <f>49.0158 * CHOOSE(CONTROL!$C$15, $E$9, 100%, $G$9) + CHOOSE(CONTROL!$C$38, 0.0342, 0)</f>
        <v>49.05</v>
      </c>
      <c r="D769" s="14">
        <f>49.008 * CHOOSE(CONTROL!$C$15, $E$9, 100%, $G$9) + CHOOSE(CONTROL!$C$38, 0.0342, 0)</f>
        <v>49.042200000000001</v>
      </c>
      <c r="E769" s="46">
        <f>51.6799 * CHOOSE(CONTROL!$C$15, $E$9, 100%, $G$9) + CHOOSE(CONTROL!$C$38, 0.0342, 0)</f>
        <v>51.714100000000002</v>
      </c>
      <c r="F769" s="45">
        <f>51.6799 * CHOOSE(CONTROL!$C$15, $E$9, 100%, $G$9) + CHOOSE(CONTROL!$C$38, 0.0251, 0)</f>
        <v>51.705000000000005</v>
      </c>
      <c r="G769" s="14">
        <f>49.0143 * CHOOSE(CONTROL!$C$15, $E$9, 100%, $G$9) + CHOOSE(CONTROL!$C$38, 0.0342, 0)</f>
        <v>49.048499999999997</v>
      </c>
      <c r="H769" s="14">
        <f>49.0143 * CHOOSE(CONTROL!$C$15, $E$9, 100%, $G$9) + CHOOSE(CONTROL!$C$38, 0.0342, 0)</f>
        <v>49.048499999999997</v>
      </c>
      <c r="I769" s="14">
        <f>49.0158 * CHOOSE(CONTROL!$C$15, $E$9, 100%, $G$9) + CHOOSE(CONTROL!$C$38, 0.0342, 0)</f>
        <v>49.05</v>
      </c>
      <c r="J769" s="44">
        <f>457.7205</f>
        <v>457.72050000000002</v>
      </c>
    </row>
    <row r="770" spans="1:10" ht="15.75" x14ac:dyDescent="0.25">
      <c r="A770" s="32">
        <v>64375</v>
      </c>
      <c r="B770" s="14">
        <f>54.5357 * CHOOSE(CONTROL!$C$15, $E$9, 100%, $G$9) + CHOOSE(CONTROL!$C$38, 0.0251, 0)</f>
        <v>54.5608</v>
      </c>
      <c r="C770" s="14">
        <f>51.575 * CHOOSE(CONTROL!$C$15, $E$9, 100%, $G$9) + CHOOSE(CONTROL!$C$38, 0.0342, 0)</f>
        <v>51.609200000000001</v>
      </c>
      <c r="D770" s="14">
        <f>51.5671 * CHOOSE(CONTROL!$C$15, $E$9, 100%, $G$9) + CHOOSE(CONTROL!$C$38, 0.0342, 0)</f>
        <v>51.601300000000002</v>
      </c>
      <c r="E770" s="46">
        <f>54.3794 * CHOOSE(CONTROL!$C$15, $E$9, 100%, $G$9) + CHOOSE(CONTROL!$C$38, 0.0342, 0)</f>
        <v>54.413599999999995</v>
      </c>
      <c r="F770" s="45">
        <f>54.3794 * CHOOSE(CONTROL!$C$15, $E$9, 100%, $G$9) + CHOOSE(CONTROL!$C$38, 0.0251, 0)</f>
        <v>54.404499999999999</v>
      </c>
      <c r="G770" s="14">
        <f>51.5734 * CHOOSE(CONTROL!$C$15, $E$9, 100%, $G$9) + CHOOSE(CONTROL!$C$38, 0.0342, 0)</f>
        <v>51.607599999999998</v>
      </c>
      <c r="H770" s="14">
        <f>51.5734 * CHOOSE(CONTROL!$C$15, $E$9, 100%, $G$9) + CHOOSE(CONTROL!$C$38, 0.0342, 0)</f>
        <v>51.607599999999998</v>
      </c>
      <c r="I770" s="14">
        <f>51.575 * CHOOSE(CONTROL!$C$15, $E$9, 100%, $G$9) + CHOOSE(CONTROL!$C$38, 0.0342, 0)</f>
        <v>51.609200000000001</v>
      </c>
      <c r="J770" s="44">
        <f>481.845</f>
        <v>481.84500000000003</v>
      </c>
    </row>
    <row r="771" spans="1:10" ht="15.75" x14ac:dyDescent="0.25">
      <c r="A771" s="32">
        <v>64405</v>
      </c>
      <c r="B771" s="14">
        <f>58.0363 * CHOOSE(CONTROL!$C$15, $E$9, 100%, $G$9) + CHOOSE(CONTROL!$C$38, 0.0251, 0)</f>
        <v>58.061399999999999</v>
      </c>
      <c r="C771" s="14">
        <f>54.8935 * CHOOSE(CONTROL!$C$15, $E$9, 100%, $G$9) + CHOOSE(CONTROL!$C$38, 0.0342, 0)</f>
        <v>54.927700000000002</v>
      </c>
      <c r="D771" s="14">
        <f>54.8857 * CHOOSE(CONTROL!$C$15, $E$9, 100%, $G$9) + CHOOSE(CONTROL!$C$38, 0.0342, 0)</f>
        <v>54.919899999999998</v>
      </c>
      <c r="E771" s="46">
        <f>57.8801 * CHOOSE(CONTROL!$C$15, $E$9, 100%, $G$9) + CHOOSE(CONTROL!$C$38, 0.0342, 0)</f>
        <v>57.914299999999997</v>
      </c>
      <c r="F771" s="45">
        <f>57.8801 * CHOOSE(CONTROL!$C$15, $E$9, 100%, $G$9) + CHOOSE(CONTROL!$C$38, 0.0251, 0)</f>
        <v>57.905200000000001</v>
      </c>
      <c r="G771" s="14">
        <f>54.892 * CHOOSE(CONTROL!$C$15, $E$9, 100%, $G$9) + CHOOSE(CONTROL!$C$38, 0.0342, 0)</f>
        <v>54.926200000000001</v>
      </c>
      <c r="H771" s="14">
        <f>54.892 * CHOOSE(CONTROL!$C$15, $E$9, 100%, $G$9) + CHOOSE(CONTROL!$C$38, 0.0342, 0)</f>
        <v>54.926200000000001</v>
      </c>
      <c r="I771" s="14">
        <f>54.8935 * CHOOSE(CONTROL!$C$15, $E$9, 100%, $G$9) + CHOOSE(CONTROL!$C$38, 0.0342, 0)</f>
        <v>54.927700000000002</v>
      </c>
      <c r="J771" s="44">
        <f>513.1287</f>
        <v>513.12869999999998</v>
      </c>
    </row>
    <row r="772" spans="1:10" ht="15.75" x14ac:dyDescent="0.25">
      <c r="A772" s="32">
        <v>64436</v>
      </c>
      <c r="B772" s="14">
        <f>59.9632 * CHOOSE(CONTROL!$C$15, $E$9, 100%, $G$9) + CHOOSE(CONTROL!$C$38, 0.0264, 0)</f>
        <v>59.989600000000003</v>
      </c>
      <c r="C772" s="14">
        <f>56.7202 * CHOOSE(CONTROL!$C$15, $E$9, 100%, $G$9) + CHOOSE(CONTROL!$C$38, 0.0354, 0)</f>
        <v>56.755600000000001</v>
      </c>
      <c r="D772" s="14">
        <f>56.7124 * CHOOSE(CONTROL!$C$15, $E$9, 100%, $G$9) + CHOOSE(CONTROL!$C$38, 0.0354, 0)</f>
        <v>56.747800000000005</v>
      </c>
      <c r="E772" s="46">
        <f>59.8069 * CHOOSE(CONTROL!$C$15, $E$9, 100%, $G$9) + CHOOSE(CONTROL!$C$38, 0.0354, 0)</f>
        <v>59.842300000000002</v>
      </c>
      <c r="F772" s="45">
        <f>59.8069 * CHOOSE(CONTROL!$C$15, $E$9, 100%, $G$9) + CHOOSE(CONTROL!$C$38, 0.0264, 0)</f>
        <v>59.833300000000001</v>
      </c>
      <c r="G772" s="14">
        <f>56.7186 * CHOOSE(CONTROL!$C$15, $E$9, 100%, $G$9) + CHOOSE(CONTROL!$C$38, 0.0354, 0)</f>
        <v>56.754000000000005</v>
      </c>
      <c r="H772" s="14">
        <f>56.7186 * CHOOSE(CONTROL!$C$15, $E$9, 100%, $G$9) + CHOOSE(CONTROL!$C$38, 0.0354, 0)</f>
        <v>56.754000000000005</v>
      </c>
      <c r="I772" s="14">
        <f>56.7202 * CHOOSE(CONTROL!$C$15, $E$9, 100%, $G$9) + CHOOSE(CONTROL!$C$38, 0.0354, 0)</f>
        <v>56.755600000000001</v>
      </c>
      <c r="J772" s="44">
        <f>530.3483</f>
        <v>530.34829999999999</v>
      </c>
    </row>
    <row r="773" spans="1:10" ht="15.75" x14ac:dyDescent="0.25">
      <c r="A773" s="32">
        <v>64466</v>
      </c>
      <c r="B773" s="14">
        <f>60.8183 * CHOOSE(CONTROL!$C$15, $E$9, 100%, $G$9) + CHOOSE(CONTROL!$C$38, 0.0264, 0)</f>
        <v>60.844700000000003</v>
      </c>
      <c r="C773" s="14">
        <f>57.5308 * CHOOSE(CONTROL!$C$15, $E$9, 100%, $G$9) + CHOOSE(CONTROL!$C$38, 0.0354, 0)</f>
        <v>57.566200000000002</v>
      </c>
      <c r="D773" s="14">
        <f>57.523 * CHOOSE(CONTROL!$C$15, $E$9, 100%, $G$9) + CHOOSE(CONTROL!$C$38, 0.0354, 0)</f>
        <v>57.558400000000006</v>
      </c>
      <c r="E773" s="46">
        <f>60.6621 * CHOOSE(CONTROL!$C$15, $E$9, 100%, $G$9) + CHOOSE(CONTROL!$C$38, 0.0354, 0)</f>
        <v>60.697500000000005</v>
      </c>
      <c r="F773" s="45">
        <f>60.6621 * CHOOSE(CONTROL!$C$15, $E$9, 100%, $G$9) + CHOOSE(CONTROL!$C$38, 0.0264, 0)</f>
        <v>60.688500000000005</v>
      </c>
      <c r="G773" s="14">
        <f>57.5292 * CHOOSE(CONTROL!$C$15, $E$9, 100%, $G$9) + CHOOSE(CONTROL!$C$38, 0.0354, 0)</f>
        <v>57.564600000000006</v>
      </c>
      <c r="H773" s="14">
        <f>57.5292 * CHOOSE(CONTROL!$C$15, $E$9, 100%, $G$9) + CHOOSE(CONTROL!$C$38, 0.0354, 0)</f>
        <v>57.564600000000006</v>
      </c>
      <c r="I773" s="14">
        <f>57.5308 * CHOOSE(CONTROL!$C$15, $E$9, 100%, $G$9) + CHOOSE(CONTROL!$C$38, 0.0354, 0)</f>
        <v>57.566200000000002</v>
      </c>
      <c r="J773" s="44">
        <f>537.99</f>
        <v>537.99</v>
      </c>
    </row>
    <row r="774" spans="1:10" ht="15.75" x14ac:dyDescent="0.25">
      <c r="A774" s="32">
        <v>64497</v>
      </c>
      <c r="B774" s="14">
        <f>60.5368 * CHOOSE(CONTROL!$C$15, $E$9, 100%, $G$9) + CHOOSE(CONTROL!$C$38, 0.0264, 0)</f>
        <v>60.563200000000002</v>
      </c>
      <c r="C774" s="14">
        <f>57.2639 * CHOOSE(CONTROL!$C$15, $E$9, 100%, $G$9) + CHOOSE(CONTROL!$C$38, 0.0354, 0)</f>
        <v>57.299300000000002</v>
      </c>
      <c r="D774" s="14">
        <f>57.2561 * CHOOSE(CONTROL!$C$15, $E$9, 100%, $G$9) + CHOOSE(CONTROL!$C$38, 0.0354, 0)</f>
        <v>57.291500000000006</v>
      </c>
      <c r="E774" s="46">
        <f>60.3805 * CHOOSE(CONTROL!$C$15, $E$9, 100%, $G$9) + CHOOSE(CONTROL!$C$38, 0.0354, 0)</f>
        <v>60.415900000000001</v>
      </c>
      <c r="F774" s="45">
        <f>60.3805 * CHOOSE(CONTROL!$C$15, $E$9, 100%, $G$9) + CHOOSE(CONTROL!$C$38, 0.0264, 0)</f>
        <v>60.4069</v>
      </c>
      <c r="G774" s="14">
        <f>57.2624 * CHOOSE(CONTROL!$C$15, $E$9, 100%, $G$9) + CHOOSE(CONTROL!$C$38, 0.0354, 0)</f>
        <v>57.297800000000002</v>
      </c>
      <c r="H774" s="14">
        <f>57.2624 * CHOOSE(CONTROL!$C$15, $E$9, 100%, $G$9) + CHOOSE(CONTROL!$C$38, 0.0354, 0)</f>
        <v>57.297800000000002</v>
      </c>
      <c r="I774" s="14">
        <f>57.2639 * CHOOSE(CONTROL!$C$15, $E$9, 100%, $G$9) + CHOOSE(CONTROL!$C$38, 0.0354, 0)</f>
        <v>57.299300000000002</v>
      </c>
      <c r="J774" s="44">
        <f>535.474</f>
        <v>535.47400000000005</v>
      </c>
    </row>
    <row r="775" spans="1:10" ht="15.75" x14ac:dyDescent="0.25">
      <c r="A775" s="32">
        <v>64528</v>
      </c>
      <c r="B775" s="14">
        <f>59.1419 * CHOOSE(CONTROL!$C$15, $E$9, 100%, $G$9) + CHOOSE(CONTROL!$C$38, 0.0264, 0)</f>
        <v>59.168300000000002</v>
      </c>
      <c r="C775" s="14">
        <f>55.9416 * CHOOSE(CONTROL!$C$15, $E$9, 100%, $G$9) + CHOOSE(CONTROL!$C$38, 0.0354, 0)</f>
        <v>55.977000000000004</v>
      </c>
      <c r="D775" s="14">
        <f>55.9338 * CHOOSE(CONTROL!$C$15, $E$9, 100%, $G$9) + CHOOSE(CONTROL!$C$38, 0.0354, 0)</f>
        <v>55.969200000000001</v>
      </c>
      <c r="E775" s="46">
        <f>58.9856 * CHOOSE(CONTROL!$C$15, $E$9, 100%, $G$9) + CHOOSE(CONTROL!$C$38, 0.0354, 0)</f>
        <v>59.021000000000001</v>
      </c>
      <c r="F775" s="45">
        <f>58.9856 * CHOOSE(CONTROL!$C$15, $E$9, 100%, $G$9) + CHOOSE(CONTROL!$C$38, 0.0264, 0)</f>
        <v>59.012</v>
      </c>
      <c r="G775" s="14">
        <f>55.94 * CHOOSE(CONTROL!$C$15, $E$9, 100%, $G$9) + CHOOSE(CONTROL!$C$38, 0.0354, 0)</f>
        <v>55.9754</v>
      </c>
      <c r="H775" s="14">
        <f>55.94 * CHOOSE(CONTROL!$C$15, $E$9, 100%, $G$9) + CHOOSE(CONTROL!$C$38, 0.0354, 0)</f>
        <v>55.9754</v>
      </c>
      <c r="I775" s="14">
        <f>55.9416 * CHOOSE(CONTROL!$C$15, $E$9, 100%, $G$9) + CHOOSE(CONTROL!$C$38, 0.0354, 0)</f>
        <v>55.977000000000004</v>
      </c>
      <c r="J775" s="44">
        <f>523.0084</f>
        <v>523.00840000000005</v>
      </c>
    </row>
    <row r="776" spans="1:10" ht="15.75" x14ac:dyDescent="0.25">
      <c r="A776" s="32">
        <v>64558</v>
      </c>
      <c r="B776" s="14">
        <f>57.1966 * CHOOSE(CONTROL!$C$15, $E$9, 100%, $G$9) + CHOOSE(CONTROL!$C$38, 0.0264, 0)</f>
        <v>57.222999999999999</v>
      </c>
      <c r="C776" s="14">
        <f>54.0975 * CHOOSE(CONTROL!$C$15, $E$9, 100%, $G$9) + CHOOSE(CONTROL!$C$38, 0.0354, 0)</f>
        <v>54.132899999999999</v>
      </c>
      <c r="D776" s="14">
        <f>54.0897 * CHOOSE(CONTROL!$C$15, $E$9, 100%, $G$9) + CHOOSE(CONTROL!$C$38, 0.0354, 0)</f>
        <v>54.125100000000003</v>
      </c>
      <c r="E776" s="46">
        <f>57.0404 * CHOOSE(CONTROL!$C$15, $E$9, 100%, $G$9) + CHOOSE(CONTROL!$C$38, 0.0354, 0)</f>
        <v>57.075800000000001</v>
      </c>
      <c r="F776" s="45">
        <f>57.0404 * CHOOSE(CONTROL!$C$15, $E$9, 100%, $G$9) + CHOOSE(CONTROL!$C$38, 0.0264, 0)</f>
        <v>57.066800000000001</v>
      </c>
      <c r="G776" s="14">
        <f>54.0959 * CHOOSE(CONTROL!$C$15, $E$9, 100%, $G$9) + CHOOSE(CONTROL!$C$38, 0.0354, 0)</f>
        <v>54.131300000000003</v>
      </c>
      <c r="H776" s="14">
        <f>54.0959 * CHOOSE(CONTROL!$C$15, $E$9, 100%, $G$9) + CHOOSE(CONTROL!$C$38, 0.0354, 0)</f>
        <v>54.131300000000003</v>
      </c>
      <c r="I776" s="14">
        <f>54.0975 * CHOOSE(CONTROL!$C$15, $E$9, 100%, $G$9) + CHOOSE(CONTROL!$C$38, 0.0354, 0)</f>
        <v>54.132899999999999</v>
      </c>
      <c r="J776" s="44">
        <f>505.6245</f>
        <v>505.62450000000001</v>
      </c>
    </row>
    <row r="777" spans="1:10" ht="15.75" x14ac:dyDescent="0.25">
      <c r="A777" s="32">
        <v>64589</v>
      </c>
      <c r="B777" s="14">
        <f>55.24 * CHOOSE(CONTROL!$C$15, $E$9, 100%, $G$9) + CHOOSE(CONTROL!$C$38, 0.0251, 0)</f>
        <v>55.265100000000004</v>
      </c>
      <c r="C777" s="14">
        <f>52.2427 * CHOOSE(CONTROL!$C$15, $E$9, 100%, $G$9) + CHOOSE(CONTROL!$C$38, 0.0342, 0)</f>
        <v>52.276899999999998</v>
      </c>
      <c r="D777" s="14">
        <f>52.2349 * CHOOSE(CONTROL!$C$15, $E$9, 100%, $G$9) + CHOOSE(CONTROL!$C$38, 0.0342, 0)</f>
        <v>52.269100000000002</v>
      </c>
      <c r="E777" s="46">
        <f>55.0838 * CHOOSE(CONTROL!$C$15, $E$9, 100%, $G$9) + CHOOSE(CONTROL!$C$38, 0.0342, 0)</f>
        <v>55.117999999999995</v>
      </c>
      <c r="F777" s="45">
        <f>55.0838 * CHOOSE(CONTROL!$C$15, $E$9, 100%, $G$9) + CHOOSE(CONTROL!$C$38, 0.0251, 0)</f>
        <v>55.108899999999998</v>
      </c>
      <c r="G777" s="14">
        <f>52.2411 * CHOOSE(CONTROL!$C$15, $E$9, 100%, $G$9) + CHOOSE(CONTROL!$C$38, 0.0342, 0)</f>
        <v>52.275300000000001</v>
      </c>
      <c r="H777" s="14">
        <f>52.2411 * CHOOSE(CONTROL!$C$15, $E$9, 100%, $G$9) + CHOOSE(CONTROL!$C$38, 0.0342, 0)</f>
        <v>52.275300000000001</v>
      </c>
      <c r="I777" s="14">
        <f>52.2427 * CHOOSE(CONTROL!$C$15, $E$9, 100%, $G$9) + CHOOSE(CONTROL!$C$38, 0.0342, 0)</f>
        <v>52.276899999999998</v>
      </c>
      <c r="J777" s="44">
        <f>488.1395</f>
        <v>488.1395</v>
      </c>
    </row>
    <row r="778" spans="1:10" ht="15.75" x14ac:dyDescent="0.25">
      <c r="A778" s="32">
        <v>64619</v>
      </c>
      <c r="B778" s="14">
        <f>54.8508 * CHOOSE(CONTROL!$C$15, $E$9, 100%, $G$9) + CHOOSE(CONTROL!$C$38, 0.0251, 0)</f>
        <v>54.875900000000001</v>
      </c>
      <c r="C778" s="14">
        <f>51.8737 * CHOOSE(CONTROL!$C$15, $E$9, 100%, $G$9) + CHOOSE(CONTROL!$C$38, 0.0342, 0)</f>
        <v>51.907899999999998</v>
      </c>
      <c r="D778" s="14">
        <f>51.8659 * CHOOSE(CONTROL!$C$15, $E$9, 100%, $G$9) + CHOOSE(CONTROL!$C$38, 0.0342, 0)</f>
        <v>51.900100000000002</v>
      </c>
      <c r="E778" s="46">
        <f>54.6946 * CHOOSE(CONTROL!$C$15, $E$9, 100%, $G$9) + CHOOSE(CONTROL!$C$38, 0.0342, 0)</f>
        <v>54.7288</v>
      </c>
      <c r="F778" s="45">
        <f>54.6946 * CHOOSE(CONTROL!$C$15, $E$9, 100%, $G$9) + CHOOSE(CONTROL!$C$38, 0.0251, 0)</f>
        <v>54.719700000000003</v>
      </c>
      <c r="G778" s="14">
        <f>51.8722 * CHOOSE(CONTROL!$C$15, $E$9, 100%, $G$9) + CHOOSE(CONTROL!$C$38, 0.0342, 0)</f>
        <v>51.906399999999998</v>
      </c>
      <c r="H778" s="14">
        <f>51.8722 * CHOOSE(CONTROL!$C$15, $E$9, 100%, $G$9) + CHOOSE(CONTROL!$C$38, 0.0342, 0)</f>
        <v>51.906399999999998</v>
      </c>
      <c r="I778" s="14">
        <f>51.8737 * CHOOSE(CONTROL!$C$15, $E$9, 100%, $G$9) + CHOOSE(CONTROL!$C$38, 0.0342, 0)</f>
        <v>51.907899999999998</v>
      </c>
      <c r="J778" s="44">
        <f>484.6614</f>
        <v>484.66140000000001</v>
      </c>
    </row>
    <row r="779" spans="1:10" ht="15.75" x14ac:dyDescent="0.25">
      <c r="A779" s="32">
        <v>64650</v>
      </c>
      <c r="B779" s="14">
        <f>53.2414 * CHOOSE(CONTROL!$C$15, $E$9, 100%, $G$9) + CHOOSE(CONTROL!$C$38, 0.0251, 0)</f>
        <v>53.266500000000001</v>
      </c>
      <c r="C779" s="14">
        <f>50.348 * CHOOSE(CONTROL!$C$15, $E$9, 100%, $G$9) + CHOOSE(CONTROL!$C$38, 0.0342, 0)</f>
        <v>50.382199999999997</v>
      </c>
      <c r="D779" s="14">
        <f>50.3402 * CHOOSE(CONTROL!$C$15, $E$9, 100%, $G$9) + CHOOSE(CONTROL!$C$38, 0.0342, 0)</f>
        <v>50.374400000000001</v>
      </c>
      <c r="E779" s="46">
        <f>53.0852 * CHOOSE(CONTROL!$C$15, $E$9, 100%, $G$9) + CHOOSE(CONTROL!$C$38, 0.0342, 0)</f>
        <v>53.119399999999999</v>
      </c>
      <c r="F779" s="45">
        <f>53.0852 * CHOOSE(CONTROL!$C$15, $E$9, 100%, $G$9) + CHOOSE(CONTROL!$C$38, 0.0251, 0)</f>
        <v>53.110300000000002</v>
      </c>
      <c r="G779" s="14">
        <f>50.3465 * CHOOSE(CONTROL!$C$15, $E$9, 100%, $G$9) + CHOOSE(CONTROL!$C$38, 0.0342, 0)</f>
        <v>50.380699999999997</v>
      </c>
      <c r="H779" s="14">
        <f>50.3465 * CHOOSE(CONTROL!$C$15, $E$9, 100%, $G$9) + CHOOSE(CONTROL!$C$38, 0.0342, 0)</f>
        <v>50.380699999999997</v>
      </c>
      <c r="I779" s="14">
        <f>50.348 * CHOOSE(CONTROL!$C$15, $E$9, 100%, $G$9) + CHOOSE(CONTROL!$C$38, 0.0342, 0)</f>
        <v>50.382199999999997</v>
      </c>
      <c r="J779" s="44">
        <f>470.279</f>
        <v>470.279</v>
      </c>
    </row>
    <row r="780" spans="1:10" ht="15.75" x14ac:dyDescent="0.25">
      <c r="A780" s="32">
        <v>64681</v>
      </c>
      <c r="B780" s="14">
        <f>52.8418 * CHOOSE(CONTROL!$C$15, $E$9, 100%, $G$9) + CHOOSE(CONTROL!$C$38, 0.0251, 0)</f>
        <v>52.866900000000001</v>
      </c>
      <c r="C780" s="14">
        <f>49.9692 * CHOOSE(CONTROL!$C$15, $E$9, 100%, $G$9) + CHOOSE(CONTROL!$C$38, 0.0342, 0)</f>
        <v>50.003399999999999</v>
      </c>
      <c r="D780" s="14">
        <f>49.9613 * CHOOSE(CONTROL!$C$15, $E$9, 100%, $G$9) + CHOOSE(CONTROL!$C$38, 0.0342, 0)</f>
        <v>49.9955</v>
      </c>
      <c r="E780" s="46">
        <f>52.6855 * CHOOSE(CONTROL!$C$15, $E$9, 100%, $G$9) + CHOOSE(CONTROL!$C$38, 0.0342, 0)</f>
        <v>52.719699999999996</v>
      </c>
      <c r="F780" s="45">
        <f>52.6855 * CHOOSE(CONTROL!$C$15, $E$9, 100%, $G$9) + CHOOSE(CONTROL!$C$38, 0.0251, 0)</f>
        <v>52.710599999999999</v>
      </c>
      <c r="G780" s="14">
        <f>49.9676 * CHOOSE(CONTROL!$C$15, $E$9, 100%, $G$9) + CHOOSE(CONTROL!$C$38, 0.0342, 0)</f>
        <v>50.001799999999996</v>
      </c>
      <c r="H780" s="14">
        <f>49.9676 * CHOOSE(CONTROL!$C$15, $E$9, 100%, $G$9) + CHOOSE(CONTROL!$C$38, 0.0342, 0)</f>
        <v>50.001799999999996</v>
      </c>
      <c r="I780" s="14">
        <f>49.9692 * CHOOSE(CONTROL!$C$15, $E$9, 100%, $G$9) + CHOOSE(CONTROL!$C$38, 0.0342, 0)</f>
        <v>50.003399999999999</v>
      </c>
      <c r="J780" s="44">
        <f>469.9395</f>
        <v>469.93950000000001</v>
      </c>
    </row>
    <row r="781" spans="1:10" ht="15.75" x14ac:dyDescent="0.25">
      <c r="A781" s="32">
        <v>64709</v>
      </c>
      <c r="B781" s="14">
        <f>52.6966 * CHOOSE(CONTROL!$C$15, $E$9, 100%, $G$9) + CHOOSE(CONTROL!$C$38, 0.0251, 0)</f>
        <v>52.721699999999998</v>
      </c>
      <c r="C781" s="14">
        <f>49.8315 * CHOOSE(CONTROL!$C$15, $E$9, 100%, $G$9) + CHOOSE(CONTROL!$C$38, 0.0342, 0)</f>
        <v>49.865699999999997</v>
      </c>
      <c r="D781" s="14">
        <f>49.8237 * CHOOSE(CONTROL!$C$15, $E$9, 100%, $G$9) + CHOOSE(CONTROL!$C$38, 0.0342, 0)</f>
        <v>49.857900000000001</v>
      </c>
      <c r="E781" s="46">
        <f>52.5404 * CHOOSE(CONTROL!$C$15, $E$9, 100%, $G$9) + CHOOSE(CONTROL!$C$38, 0.0342, 0)</f>
        <v>52.574599999999997</v>
      </c>
      <c r="F781" s="45">
        <f>52.5404 * CHOOSE(CONTROL!$C$15, $E$9, 100%, $G$9) + CHOOSE(CONTROL!$C$38, 0.0251, 0)</f>
        <v>52.5655</v>
      </c>
      <c r="G781" s="14">
        <f>49.83 * CHOOSE(CONTROL!$C$15, $E$9, 100%, $G$9) + CHOOSE(CONTROL!$C$38, 0.0342, 0)</f>
        <v>49.864199999999997</v>
      </c>
      <c r="H781" s="14">
        <f>49.83 * CHOOSE(CONTROL!$C$15, $E$9, 100%, $G$9) + CHOOSE(CONTROL!$C$38, 0.0342, 0)</f>
        <v>49.864199999999997</v>
      </c>
      <c r="I781" s="14">
        <f>49.8315 * CHOOSE(CONTROL!$C$15, $E$9, 100%, $G$9) + CHOOSE(CONTROL!$C$38, 0.0342, 0)</f>
        <v>49.865699999999997</v>
      </c>
      <c r="J781" s="44">
        <f>468.6332</f>
        <v>468.63319999999999</v>
      </c>
    </row>
    <row r="782" spans="1:10" ht="15.75" x14ac:dyDescent="0.25">
      <c r="A782" s="32">
        <v>64740</v>
      </c>
      <c r="B782" s="14">
        <f>55.4415 * CHOOSE(CONTROL!$C$15, $E$9, 100%, $G$9) + CHOOSE(CONTROL!$C$38, 0.0251, 0)</f>
        <v>55.4666</v>
      </c>
      <c r="C782" s="14">
        <f>52.4337 * CHOOSE(CONTROL!$C$15, $E$9, 100%, $G$9) + CHOOSE(CONTROL!$C$38, 0.0342, 0)</f>
        <v>52.4679</v>
      </c>
      <c r="D782" s="14">
        <f>52.4258 * CHOOSE(CONTROL!$C$15, $E$9, 100%, $G$9) + CHOOSE(CONTROL!$C$38, 0.0342, 0)</f>
        <v>52.46</v>
      </c>
      <c r="E782" s="46">
        <f>55.2852 * CHOOSE(CONTROL!$C$15, $E$9, 100%, $G$9) + CHOOSE(CONTROL!$C$38, 0.0342, 0)</f>
        <v>55.319400000000002</v>
      </c>
      <c r="F782" s="45">
        <f>55.2852 * CHOOSE(CONTROL!$C$15, $E$9, 100%, $G$9) + CHOOSE(CONTROL!$C$38, 0.0251, 0)</f>
        <v>55.310300000000005</v>
      </c>
      <c r="G782" s="14">
        <f>52.4321 * CHOOSE(CONTROL!$C$15, $E$9, 100%, $G$9) + CHOOSE(CONTROL!$C$38, 0.0342, 0)</f>
        <v>52.466299999999997</v>
      </c>
      <c r="H782" s="14">
        <f>52.4321 * CHOOSE(CONTROL!$C$15, $E$9, 100%, $G$9) + CHOOSE(CONTROL!$C$38, 0.0342, 0)</f>
        <v>52.466299999999997</v>
      </c>
      <c r="I782" s="14">
        <f>52.4337 * CHOOSE(CONTROL!$C$15, $E$9, 100%, $G$9) + CHOOSE(CONTROL!$C$38, 0.0342, 0)</f>
        <v>52.4679</v>
      </c>
      <c r="J782" s="44">
        <f>493.3329</f>
        <v>493.3329</v>
      </c>
    </row>
    <row r="783" spans="1:10" ht="15.75" x14ac:dyDescent="0.25">
      <c r="A783" s="32">
        <v>64770</v>
      </c>
      <c r="B783" s="14">
        <f>59.001 * CHOOSE(CONTROL!$C$15, $E$9, 100%, $G$9) + CHOOSE(CONTROL!$C$38, 0.0251, 0)</f>
        <v>59.0261</v>
      </c>
      <c r="C783" s="14">
        <f>55.808 * CHOOSE(CONTROL!$C$15, $E$9, 100%, $G$9) + CHOOSE(CONTROL!$C$38, 0.0342, 0)</f>
        <v>55.842199999999998</v>
      </c>
      <c r="D783" s="14">
        <f>55.8002 * CHOOSE(CONTROL!$C$15, $E$9, 100%, $G$9) + CHOOSE(CONTROL!$C$38, 0.0342, 0)</f>
        <v>55.834399999999995</v>
      </c>
      <c r="E783" s="46">
        <f>58.8447 * CHOOSE(CONTROL!$C$15, $E$9, 100%, $G$9) + CHOOSE(CONTROL!$C$38, 0.0342, 0)</f>
        <v>58.878900000000002</v>
      </c>
      <c r="F783" s="45">
        <f>58.8447 * CHOOSE(CONTROL!$C$15, $E$9, 100%, $G$9) + CHOOSE(CONTROL!$C$38, 0.0251, 0)</f>
        <v>58.869800000000005</v>
      </c>
      <c r="G783" s="14">
        <f>55.8064 * CHOOSE(CONTROL!$C$15, $E$9, 100%, $G$9) + CHOOSE(CONTROL!$C$38, 0.0342, 0)</f>
        <v>55.840599999999995</v>
      </c>
      <c r="H783" s="14">
        <f>55.8064 * CHOOSE(CONTROL!$C$15, $E$9, 100%, $G$9) + CHOOSE(CONTROL!$C$38, 0.0342, 0)</f>
        <v>55.840599999999995</v>
      </c>
      <c r="I783" s="14">
        <f>55.808 * CHOOSE(CONTROL!$C$15, $E$9, 100%, $G$9) + CHOOSE(CONTROL!$C$38, 0.0342, 0)</f>
        <v>55.842199999999998</v>
      </c>
      <c r="J783" s="44">
        <f>525.3625</f>
        <v>525.36249999999995</v>
      </c>
    </row>
    <row r="784" spans="1:10" ht="15.75" x14ac:dyDescent="0.25">
      <c r="A784" s="32">
        <v>64801</v>
      </c>
      <c r="B784" s="14">
        <f>60.9602 * CHOOSE(CONTROL!$C$15, $E$9, 100%, $G$9) + CHOOSE(CONTROL!$C$38, 0.0264, 0)</f>
        <v>60.986600000000003</v>
      </c>
      <c r="C784" s="14">
        <f>57.6653 * CHOOSE(CONTROL!$C$15, $E$9, 100%, $G$9) + CHOOSE(CONTROL!$C$38, 0.0354, 0)</f>
        <v>57.700700000000005</v>
      </c>
      <c r="D784" s="14">
        <f>57.6575 * CHOOSE(CONTROL!$C$15, $E$9, 100%, $G$9) + CHOOSE(CONTROL!$C$38, 0.0354, 0)</f>
        <v>57.692900000000002</v>
      </c>
      <c r="E784" s="46">
        <f>60.8039 * CHOOSE(CONTROL!$C$15, $E$9, 100%, $G$9) + CHOOSE(CONTROL!$C$38, 0.0354, 0)</f>
        <v>60.839300000000001</v>
      </c>
      <c r="F784" s="45">
        <f>60.8039 * CHOOSE(CONTROL!$C$15, $E$9, 100%, $G$9) + CHOOSE(CONTROL!$C$38, 0.0264, 0)</f>
        <v>60.830300000000001</v>
      </c>
      <c r="G784" s="14">
        <f>57.6638 * CHOOSE(CONTROL!$C$15, $E$9, 100%, $G$9) + CHOOSE(CONTROL!$C$38, 0.0354, 0)</f>
        <v>57.699200000000005</v>
      </c>
      <c r="H784" s="14">
        <f>57.6638 * CHOOSE(CONTROL!$C$15, $E$9, 100%, $G$9) + CHOOSE(CONTROL!$C$38, 0.0354, 0)</f>
        <v>57.699200000000005</v>
      </c>
      <c r="I784" s="14">
        <f>57.6653 * CHOOSE(CONTROL!$C$15, $E$9, 100%, $G$9) + CHOOSE(CONTROL!$C$38, 0.0354, 0)</f>
        <v>57.700700000000005</v>
      </c>
      <c r="J784" s="44">
        <f>542.9926</f>
        <v>542.99260000000004</v>
      </c>
    </row>
    <row r="785" spans="1:10" ht="15.75" x14ac:dyDescent="0.25">
      <c r="A785" s="32">
        <v>64831</v>
      </c>
      <c r="B785" s="14">
        <f>61.8297 * CHOOSE(CONTROL!$C$15, $E$9, 100%, $G$9) + CHOOSE(CONTROL!$C$38, 0.0264, 0)</f>
        <v>61.856100000000005</v>
      </c>
      <c r="C785" s="14">
        <f>58.4896 * CHOOSE(CONTROL!$C$15, $E$9, 100%, $G$9) + CHOOSE(CONTROL!$C$38, 0.0354, 0)</f>
        <v>58.525000000000006</v>
      </c>
      <c r="D785" s="14">
        <f>58.4818 * CHOOSE(CONTROL!$C$15, $E$9, 100%, $G$9) + CHOOSE(CONTROL!$C$38, 0.0354, 0)</f>
        <v>58.517200000000003</v>
      </c>
      <c r="E785" s="46">
        <f>61.6734 * CHOOSE(CONTROL!$C$15, $E$9, 100%, $G$9) + CHOOSE(CONTROL!$C$38, 0.0354, 0)</f>
        <v>61.708800000000004</v>
      </c>
      <c r="F785" s="45">
        <f>61.6734 * CHOOSE(CONTROL!$C$15, $E$9, 100%, $G$9) + CHOOSE(CONTROL!$C$38, 0.0264, 0)</f>
        <v>61.699800000000003</v>
      </c>
      <c r="G785" s="14">
        <f>58.488 * CHOOSE(CONTROL!$C$15, $E$9, 100%, $G$9) + CHOOSE(CONTROL!$C$38, 0.0354, 0)</f>
        <v>58.523400000000002</v>
      </c>
      <c r="H785" s="14">
        <f>58.488 * CHOOSE(CONTROL!$C$15, $E$9, 100%, $G$9) + CHOOSE(CONTROL!$C$38, 0.0354, 0)</f>
        <v>58.523400000000002</v>
      </c>
      <c r="I785" s="14">
        <f>58.4896 * CHOOSE(CONTROL!$C$15, $E$9, 100%, $G$9) + CHOOSE(CONTROL!$C$38, 0.0354, 0)</f>
        <v>58.525000000000006</v>
      </c>
      <c r="J785" s="44">
        <f>550.8165</f>
        <v>550.81650000000002</v>
      </c>
    </row>
    <row r="786" spans="1:10" ht="15.75" x14ac:dyDescent="0.25">
      <c r="A786" s="32">
        <v>64862</v>
      </c>
      <c r="B786" s="14">
        <f>61.5434 * CHOOSE(CONTROL!$C$15, $E$9, 100%, $G$9) + CHOOSE(CONTROL!$C$38, 0.0264, 0)</f>
        <v>61.569800000000001</v>
      </c>
      <c r="C786" s="14">
        <f>58.2182 * CHOOSE(CONTROL!$C$15, $E$9, 100%, $G$9) + CHOOSE(CONTROL!$C$38, 0.0354, 0)</f>
        <v>58.253600000000006</v>
      </c>
      <c r="D786" s="14">
        <f>58.2104 * CHOOSE(CONTROL!$C$15, $E$9, 100%, $G$9) + CHOOSE(CONTROL!$C$38, 0.0354, 0)</f>
        <v>58.245800000000003</v>
      </c>
      <c r="E786" s="46">
        <f>61.3871 * CHOOSE(CONTROL!$C$15, $E$9, 100%, $G$9) + CHOOSE(CONTROL!$C$38, 0.0354, 0)</f>
        <v>61.422499999999999</v>
      </c>
      <c r="F786" s="45">
        <f>61.3871 * CHOOSE(CONTROL!$C$15, $E$9, 100%, $G$9) + CHOOSE(CONTROL!$C$38, 0.0264, 0)</f>
        <v>61.413499999999999</v>
      </c>
      <c r="G786" s="14">
        <f>58.2166 * CHOOSE(CONTROL!$C$15, $E$9, 100%, $G$9) + CHOOSE(CONTROL!$C$38, 0.0354, 0)</f>
        <v>58.252000000000002</v>
      </c>
      <c r="H786" s="14">
        <f>58.2166 * CHOOSE(CONTROL!$C$15, $E$9, 100%, $G$9) + CHOOSE(CONTROL!$C$38, 0.0354, 0)</f>
        <v>58.252000000000002</v>
      </c>
      <c r="I786" s="14">
        <f>58.2182 * CHOOSE(CONTROL!$C$15, $E$9, 100%, $G$9) + CHOOSE(CONTROL!$C$38, 0.0354, 0)</f>
        <v>58.253600000000006</v>
      </c>
      <c r="J786" s="44">
        <f>548.2405</f>
        <v>548.2405</v>
      </c>
    </row>
    <row r="787" spans="1:10" ht="15.75" x14ac:dyDescent="0.25">
      <c r="A787" s="32">
        <v>64893</v>
      </c>
      <c r="B787" s="14">
        <f>60.1251 * CHOOSE(CONTROL!$C$15, $E$9, 100%, $G$9) + CHOOSE(CONTROL!$C$38, 0.0264, 0)</f>
        <v>60.151500000000006</v>
      </c>
      <c r="C787" s="14">
        <f>56.8736 * CHOOSE(CONTROL!$C$15, $E$9, 100%, $G$9) + CHOOSE(CONTROL!$C$38, 0.0354, 0)</f>
        <v>56.909000000000006</v>
      </c>
      <c r="D787" s="14">
        <f>56.8658 * CHOOSE(CONTROL!$C$15, $E$9, 100%, $G$9) + CHOOSE(CONTROL!$C$38, 0.0354, 0)</f>
        <v>56.901200000000003</v>
      </c>
      <c r="E787" s="46">
        <f>59.9688 * CHOOSE(CONTROL!$C$15, $E$9, 100%, $G$9) + CHOOSE(CONTROL!$C$38, 0.0354, 0)</f>
        <v>60.004200000000004</v>
      </c>
      <c r="F787" s="45">
        <f>59.9688 * CHOOSE(CONTROL!$C$15, $E$9, 100%, $G$9) + CHOOSE(CONTROL!$C$38, 0.0264, 0)</f>
        <v>59.995200000000004</v>
      </c>
      <c r="G787" s="14">
        <f>56.8721 * CHOOSE(CONTROL!$C$15, $E$9, 100%, $G$9) + CHOOSE(CONTROL!$C$38, 0.0354, 0)</f>
        <v>56.907500000000006</v>
      </c>
      <c r="H787" s="14">
        <f>56.8721 * CHOOSE(CONTROL!$C$15, $E$9, 100%, $G$9) + CHOOSE(CONTROL!$C$38, 0.0354, 0)</f>
        <v>56.907500000000006</v>
      </c>
      <c r="I787" s="14">
        <f>56.8736 * CHOOSE(CONTROL!$C$15, $E$9, 100%, $G$9) + CHOOSE(CONTROL!$C$38, 0.0354, 0)</f>
        <v>56.909000000000006</v>
      </c>
      <c r="J787" s="44">
        <f>535.4777</f>
        <v>535.47770000000003</v>
      </c>
    </row>
    <row r="788" spans="1:10" ht="15.75" x14ac:dyDescent="0.25">
      <c r="A788" s="32">
        <v>64923</v>
      </c>
      <c r="B788" s="14">
        <f>58.1471 * CHOOSE(CONTROL!$C$15, $E$9, 100%, $G$9) + CHOOSE(CONTROL!$C$38, 0.0264, 0)</f>
        <v>58.173500000000004</v>
      </c>
      <c r="C788" s="14">
        <f>54.9986 * CHOOSE(CONTROL!$C$15, $E$9, 100%, $G$9) + CHOOSE(CONTROL!$C$38, 0.0354, 0)</f>
        <v>55.034000000000006</v>
      </c>
      <c r="D788" s="14">
        <f>54.9908 * CHOOSE(CONTROL!$C$15, $E$9, 100%, $G$9) + CHOOSE(CONTROL!$C$38, 0.0354, 0)</f>
        <v>55.026200000000003</v>
      </c>
      <c r="E788" s="46">
        <f>57.9909 * CHOOSE(CONTROL!$C$15, $E$9, 100%, $G$9) + CHOOSE(CONTROL!$C$38, 0.0354, 0)</f>
        <v>58.026300000000006</v>
      </c>
      <c r="F788" s="45">
        <f>57.9909 * CHOOSE(CONTROL!$C$15, $E$9, 100%, $G$9) + CHOOSE(CONTROL!$C$38, 0.0264, 0)</f>
        <v>58.017300000000006</v>
      </c>
      <c r="G788" s="14">
        <f>54.997 * CHOOSE(CONTROL!$C$15, $E$9, 100%, $G$9) + CHOOSE(CONTROL!$C$38, 0.0354, 0)</f>
        <v>55.032400000000003</v>
      </c>
      <c r="H788" s="14">
        <f>54.997 * CHOOSE(CONTROL!$C$15, $E$9, 100%, $G$9) + CHOOSE(CONTROL!$C$38, 0.0354, 0)</f>
        <v>55.032400000000003</v>
      </c>
      <c r="I788" s="14">
        <f>54.9986 * CHOOSE(CONTROL!$C$15, $E$9, 100%, $G$9) + CHOOSE(CONTROL!$C$38, 0.0354, 0)</f>
        <v>55.034000000000006</v>
      </c>
      <c r="J788" s="44">
        <f>517.6794</f>
        <v>517.67939999999999</v>
      </c>
    </row>
    <row r="789" spans="1:10" ht="15.75" x14ac:dyDescent="0.25">
      <c r="A789" s="32">
        <v>64954</v>
      </c>
      <c r="B789" s="14">
        <f>56.1577 * CHOOSE(CONTROL!$C$15, $E$9, 100%, $G$9) + CHOOSE(CONTROL!$C$38, 0.0251, 0)</f>
        <v>56.1828</v>
      </c>
      <c r="C789" s="14">
        <f>53.1126 * CHOOSE(CONTROL!$C$15, $E$9, 100%, $G$9) + CHOOSE(CONTROL!$C$38, 0.0342, 0)</f>
        <v>53.146799999999999</v>
      </c>
      <c r="D789" s="14">
        <f>53.1048 * CHOOSE(CONTROL!$C$15, $E$9, 100%, $G$9) + CHOOSE(CONTROL!$C$38, 0.0342, 0)</f>
        <v>53.138999999999996</v>
      </c>
      <c r="E789" s="46">
        <f>56.0014 * CHOOSE(CONTROL!$C$15, $E$9, 100%, $G$9) + CHOOSE(CONTROL!$C$38, 0.0342, 0)</f>
        <v>56.035599999999995</v>
      </c>
      <c r="F789" s="45">
        <f>56.0014 * CHOOSE(CONTROL!$C$15, $E$9, 100%, $G$9) + CHOOSE(CONTROL!$C$38, 0.0251, 0)</f>
        <v>56.026499999999999</v>
      </c>
      <c r="G789" s="14">
        <f>53.111 * CHOOSE(CONTROL!$C$15, $E$9, 100%, $G$9) + CHOOSE(CONTROL!$C$38, 0.0342, 0)</f>
        <v>53.145199999999996</v>
      </c>
      <c r="H789" s="14">
        <f>53.111 * CHOOSE(CONTROL!$C$15, $E$9, 100%, $G$9) + CHOOSE(CONTROL!$C$38, 0.0342, 0)</f>
        <v>53.145199999999996</v>
      </c>
      <c r="I789" s="14">
        <f>53.1126 * CHOOSE(CONTROL!$C$15, $E$9, 100%, $G$9) + CHOOSE(CONTROL!$C$38, 0.0342, 0)</f>
        <v>53.146799999999999</v>
      </c>
      <c r="J789" s="44">
        <f>499.7775</f>
        <v>499.77749999999997</v>
      </c>
    </row>
    <row r="790" spans="1:10" ht="15.75" x14ac:dyDescent="0.25">
      <c r="A790" s="32">
        <v>64984</v>
      </c>
      <c r="B790" s="14">
        <f>55.7619 * CHOOSE(CONTROL!$C$15, $E$9, 100%, $G$9) + CHOOSE(CONTROL!$C$38, 0.0251, 0)</f>
        <v>55.786999999999999</v>
      </c>
      <c r="C790" s="14">
        <f>52.7374 * CHOOSE(CONTROL!$C$15, $E$9, 100%, $G$9) + CHOOSE(CONTROL!$C$38, 0.0342, 0)</f>
        <v>52.771599999999999</v>
      </c>
      <c r="D790" s="14">
        <f>52.7296 * CHOOSE(CONTROL!$C$15, $E$9, 100%, $G$9) + CHOOSE(CONTROL!$C$38, 0.0342, 0)</f>
        <v>52.763799999999996</v>
      </c>
      <c r="E790" s="46">
        <f>55.6057 * CHOOSE(CONTROL!$C$15, $E$9, 100%, $G$9) + CHOOSE(CONTROL!$C$38, 0.0342, 0)</f>
        <v>55.639899999999997</v>
      </c>
      <c r="F790" s="45">
        <f>55.6057 * CHOOSE(CONTROL!$C$15, $E$9, 100%, $G$9) + CHOOSE(CONTROL!$C$38, 0.0251, 0)</f>
        <v>55.630800000000001</v>
      </c>
      <c r="G790" s="14">
        <f>52.7359 * CHOOSE(CONTROL!$C$15, $E$9, 100%, $G$9) + CHOOSE(CONTROL!$C$38, 0.0342, 0)</f>
        <v>52.770099999999999</v>
      </c>
      <c r="H790" s="14">
        <f>52.7359 * CHOOSE(CONTROL!$C$15, $E$9, 100%, $G$9) + CHOOSE(CONTROL!$C$38, 0.0342, 0)</f>
        <v>52.770099999999999</v>
      </c>
      <c r="I790" s="14">
        <f>52.7374 * CHOOSE(CONTROL!$C$15, $E$9, 100%, $G$9) + CHOOSE(CONTROL!$C$38, 0.0342, 0)</f>
        <v>52.771599999999999</v>
      </c>
      <c r="J790" s="44">
        <f>496.2164</f>
        <v>496.21640000000002</v>
      </c>
    </row>
    <row r="791" spans="1:10" ht="15.75" x14ac:dyDescent="0.25">
      <c r="A791" s="32">
        <v>65015</v>
      </c>
      <c r="B791" s="14">
        <f>54.1255 * CHOOSE(CONTROL!$C$15, $E$9, 100%, $G$9) + CHOOSE(CONTROL!$C$38, 0.0251, 0)</f>
        <v>54.150600000000004</v>
      </c>
      <c r="C791" s="14">
        <f>51.1861 * CHOOSE(CONTROL!$C$15, $E$9, 100%, $G$9) + CHOOSE(CONTROL!$C$38, 0.0342, 0)</f>
        <v>51.220300000000002</v>
      </c>
      <c r="D791" s="14">
        <f>51.1783 * CHOOSE(CONTROL!$C$15, $E$9, 100%, $G$9) + CHOOSE(CONTROL!$C$38, 0.0342, 0)</f>
        <v>51.212499999999999</v>
      </c>
      <c r="E791" s="46">
        <f>53.9693 * CHOOSE(CONTROL!$C$15, $E$9, 100%, $G$9) + CHOOSE(CONTROL!$C$38, 0.0342, 0)</f>
        <v>54.003499999999995</v>
      </c>
      <c r="F791" s="45">
        <f>53.9693 * CHOOSE(CONTROL!$C$15, $E$9, 100%, $G$9) + CHOOSE(CONTROL!$C$38, 0.0251, 0)</f>
        <v>53.994399999999999</v>
      </c>
      <c r="G791" s="14">
        <f>51.1846 * CHOOSE(CONTROL!$C$15, $E$9, 100%, $G$9) + CHOOSE(CONTROL!$C$38, 0.0342, 0)</f>
        <v>51.218800000000002</v>
      </c>
      <c r="H791" s="14">
        <f>51.1846 * CHOOSE(CONTROL!$C$15, $E$9, 100%, $G$9) + CHOOSE(CONTROL!$C$38, 0.0342, 0)</f>
        <v>51.218800000000002</v>
      </c>
      <c r="I791" s="14">
        <f>51.1861 * CHOOSE(CONTROL!$C$15, $E$9, 100%, $G$9) + CHOOSE(CONTROL!$C$38, 0.0342, 0)</f>
        <v>51.220300000000002</v>
      </c>
      <c r="J791" s="44">
        <f>481.4912</f>
        <v>481.49119999999999</v>
      </c>
    </row>
    <row r="792" spans="1:10" ht="15.75" x14ac:dyDescent="0.25">
      <c r="A792" s="32">
        <v>65046</v>
      </c>
      <c r="B792" s="14">
        <f>53.7191 * CHOOSE(CONTROL!$C$15, $E$9, 100%, $G$9) + CHOOSE(CONTROL!$C$38, 0.0251, 0)</f>
        <v>53.744199999999999</v>
      </c>
      <c r="C792" s="14">
        <f>50.8009 * CHOOSE(CONTROL!$C$15, $E$9, 100%, $G$9) + CHOOSE(CONTROL!$C$38, 0.0342, 0)</f>
        <v>50.835099999999997</v>
      </c>
      <c r="D792" s="14">
        <f>50.7931 * CHOOSE(CONTROL!$C$15, $E$9, 100%, $G$9) + CHOOSE(CONTROL!$C$38, 0.0342, 0)</f>
        <v>50.827300000000001</v>
      </c>
      <c r="E792" s="46">
        <f>53.5629 * CHOOSE(CONTROL!$C$15, $E$9, 100%, $G$9) + CHOOSE(CONTROL!$C$38, 0.0342, 0)</f>
        <v>53.597099999999998</v>
      </c>
      <c r="F792" s="45">
        <f>53.5629 * CHOOSE(CONTROL!$C$15, $E$9, 100%, $G$9) + CHOOSE(CONTROL!$C$38, 0.0251, 0)</f>
        <v>53.588000000000001</v>
      </c>
      <c r="G792" s="14">
        <f>50.7993 * CHOOSE(CONTROL!$C$15, $E$9, 100%, $G$9) + CHOOSE(CONTROL!$C$38, 0.0342, 0)</f>
        <v>50.833500000000001</v>
      </c>
      <c r="H792" s="14">
        <f>50.7993 * CHOOSE(CONTROL!$C$15, $E$9, 100%, $G$9) + CHOOSE(CONTROL!$C$38, 0.0342, 0)</f>
        <v>50.833500000000001</v>
      </c>
      <c r="I792" s="14">
        <f>50.8009 * CHOOSE(CONTROL!$C$15, $E$9, 100%, $G$9) + CHOOSE(CONTROL!$C$38, 0.0342, 0)</f>
        <v>50.835099999999997</v>
      </c>
      <c r="J792" s="44">
        <f>481.1435</f>
        <v>481.14350000000002</v>
      </c>
    </row>
    <row r="793" spans="1:10" ht="15.75" x14ac:dyDescent="0.25">
      <c r="A793" s="32">
        <v>65074</v>
      </c>
      <c r="B793" s="14">
        <f>53.5715 * CHOOSE(CONTROL!$C$15, $E$9, 100%, $G$9) + CHOOSE(CONTROL!$C$38, 0.0251, 0)</f>
        <v>53.596600000000002</v>
      </c>
      <c r="C793" s="14">
        <f>50.661 * CHOOSE(CONTROL!$C$15, $E$9, 100%, $G$9) + CHOOSE(CONTROL!$C$38, 0.0342, 0)</f>
        <v>50.6952</v>
      </c>
      <c r="D793" s="14">
        <f>50.6531 * CHOOSE(CONTROL!$C$15, $E$9, 100%, $G$9) + CHOOSE(CONTROL!$C$38, 0.0342, 0)</f>
        <v>50.6873</v>
      </c>
      <c r="E793" s="46">
        <f>53.4153 * CHOOSE(CONTROL!$C$15, $E$9, 100%, $G$9) + CHOOSE(CONTROL!$C$38, 0.0342, 0)</f>
        <v>53.4495</v>
      </c>
      <c r="F793" s="45">
        <f>53.4153 * CHOOSE(CONTROL!$C$15, $E$9, 100%, $G$9) + CHOOSE(CONTROL!$C$38, 0.0251, 0)</f>
        <v>53.440400000000004</v>
      </c>
      <c r="G793" s="14">
        <f>50.6594 * CHOOSE(CONTROL!$C$15, $E$9, 100%, $G$9) + CHOOSE(CONTROL!$C$38, 0.0342, 0)</f>
        <v>50.693599999999996</v>
      </c>
      <c r="H793" s="14">
        <f>50.6594 * CHOOSE(CONTROL!$C$15, $E$9, 100%, $G$9) + CHOOSE(CONTROL!$C$38, 0.0342, 0)</f>
        <v>50.693599999999996</v>
      </c>
      <c r="I793" s="14">
        <f>50.661 * CHOOSE(CONTROL!$C$15, $E$9, 100%, $G$9) + CHOOSE(CONTROL!$C$38, 0.0342, 0)</f>
        <v>50.6952</v>
      </c>
      <c r="J793" s="44">
        <f>479.8061</f>
        <v>479.80610000000001</v>
      </c>
    </row>
    <row r="794" spans="1:10" ht="15.75" x14ac:dyDescent="0.25">
      <c r="A794" s="32">
        <v>65105</v>
      </c>
      <c r="B794" s="14">
        <f>56.3625 * CHOOSE(CONTROL!$C$15, $E$9, 100%, $G$9) + CHOOSE(CONTROL!$C$38, 0.0251, 0)</f>
        <v>56.387599999999999</v>
      </c>
      <c r="C794" s="14">
        <f>53.3068 * CHOOSE(CONTROL!$C$15, $E$9, 100%, $G$9) + CHOOSE(CONTROL!$C$38, 0.0342, 0)</f>
        <v>53.341000000000001</v>
      </c>
      <c r="D794" s="14">
        <f>53.299 * CHOOSE(CONTROL!$C$15, $E$9, 100%, $G$9) + CHOOSE(CONTROL!$C$38, 0.0342, 0)</f>
        <v>53.333199999999998</v>
      </c>
      <c r="E794" s="46">
        <f>56.2063 * CHOOSE(CONTROL!$C$15, $E$9, 100%, $G$9) + CHOOSE(CONTROL!$C$38, 0.0342, 0)</f>
        <v>56.240499999999997</v>
      </c>
      <c r="F794" s="45">
        <f>56.2063 * CHOOSE(CONTROL!$C$15, $E$9, 100%, $G$9) + CHOOSE(CONTROL!$C$38, 0.0251, 0)</f>
        <v>56.231400000000001</v>
      </c>
      <c r="G794" s="14">
        <f>53.3052 * CHOOSE(CONTROL!$C$15, $E$9, 100%, $G$9) + CHOOSE(CONTROL!$C$38, 0.0342, 0)</f>
        <v>53.339399999999998</v>
      </c>
      <c r="H794" s="14">
        <f>53.3052 * CHOOSE(CONTROL!$C$15, $E$9, 100%, $G$9) + CHOOSE(CONTROL!$C$38, 0.0342, 0)</f>
        <v>53.339399999999998</v>
      </c>
      <c r="I794" s="14">
        <f>53.3068 * CHOOSE(CONTROL!$C$15, $E$9, 100%, $G$9) + CHOOSE(CONTROL!$C$38, 0.0342, 0)</f>
        <v>53.341000000000001</v>
      </c>
      <c r="J794" s="44">
        <f>505.0947</f>
        <v>505.09469999999999</v>
      </c>
    </row>
    <row r="795" spans="1:10" ht="15.75" x14ac:dyDescent="0.25">
      <c r="A795" s="32">
        <v>65135</v>
      </c>
      <c r="B795" s="14">
        <f>59.9818 * CHOOSE(CONTROL!$C$15, $E$9, 100%, $G$9) + CHOOSE(CONTROL!$C$38, 0.0251, 0)</f>
        <v>60.006900000000002</v>
      </c>
      <c r="C795" s="14">
        <f>56.7378 * CHOOSE(CONTROL!$C$15, $E$9, 100%, $G$9) + CHOOSE(CONTROL!$C$38, 0.0342, 0)</f>
        <v>56.771999999999998</v>
      </c>
      <c r="D795" s="14">
        <f>56.73 * CHOOSE(CONTROL!$C$15, $E$9, 100%, $G$9) + CHOOSE(CONTROL!$C$38, 0.0342, 0)</f>
        <v>56.764199999999995</v>
      </c>
      <c r="E795" s="46">
        <f>59.8255 * CHOOSE(CONTROL!$C$15, $E$9, 100%, $G$9) + CHOOSE(CONTROL!$C$38, 0.0342, 0)</f>
        <v>59.859699999999997</v>
      </c>
      <c r="F795" s="45">
        <f>59.8255 * CHOOSE(CONTROL!$C$15, $E$9, 100%, $G$9) + CHOOSE(CONTROL!$C$38, 0.0251, 0)</f>
        <v>59.8506</v>
      </c>
      <c r="G795" s="14">
        <f>56.7362 * CHOOSE(CONTROL!$C$15, $E$9, 100%, $G$9) + CHOOSE(CONTROL!$C$38, 0.0342, 0)</f>
        <v>56.770399999999995</v>
      </c>
      <c r="H795" s="14">
        <f>56.7362 * CHOOSE(CONTROL!$C$15, $E$9, 100%, $G$9) + CHOOSE(CONTROL!$C$38, 0.0342, 0)</f>
        <v>56.770399999999995</v>
      </c>
      <c r="I795" s="14">
        <f>56.7378 * CHOOSE(CONTROL!$C$15, $E$9, 100%, $G$9) + CHOOSE(CONTROL!$C$38, 0.0342, 0)</f>
        <v>56.771999999999998</v>
      </c>
      <c r="J795" s="44">
        <f>537.8879</f>
        <v>537.88789999999995</v>
      </c>
    </row>
    <row r="796" spans="1:10" ht="15.75" x14ac:dyDescent="0.25">
      <c r="A796" s="32">
        <v>65166</v>
      </c>
      <c r="B796" s="14">
        <f>61.9739 * CHOOSE(CONTROL!$C$15, $E$9, 100%, $G$9) + CHOOSE(CONTROL!$C$38, 0.0264, 0)</f>
        <v>62.000300000000003</v>
      </c>
      <c r="C796" s="14">
        <f>58.6263 * CHOOSE(CONTROL!$C$15, $E$9, 100%, $G$9) + CHOOSE(CONTROL!$C$38, 0.0354, 0)</f>
        <v>58.661700000000003</v>
      </c>
      <c r="D796" s="14">
        <f>58.6185 * CHOOSE(CONTROL!$C$15, $E$9, 100%, $G$9) + CHOOSE(CONTROL!$C$38, 0.0354, 0)</f>
        <v>58.6539</v>
      </c>
      <c r="E796" s="46">
        <f>61.8177 * CHOOSE(CONTROL!$C$15, $E$9, 100%, $G$9) + CHOOSE(CONTROL!$C$38, 0.0354, 0)</f>
        <v>61.853100000000005</v>
      </c>
      <c r="F796" s="45">
        <f>61.8177 * CHOOSE(CONTROL!$C$15, $E$9, 100%, $G$9) + CHOOSE(CONTROL!$C$38, 0.0264, 0)</f>
        <v>61.844100000000005</v>
      </c>
      <c r="G796" s="14">
        <f>58.6248 * CHOOSE(CONTROL!$C$15, $E$9, 100%, $G$9) + CHOOSE(CONTROL!$C$38, 0.0354, 0)</f>
        <v>58.660200000000003</v>
      </c>
      <c r="H796" s="14">
        <f>58.6248 * CHOOSE(CONTROL!$C$15, $E$9, 100%, $G$9) + CHOOSE(CONTROL!$C$38, 0.0354, 0)</f>
        <v>58.660200000000003</v>
      </c>
      <c r="I796" s="14">
        <f>58.6263 * CHOOSE(CONTROL!$C$15, $E$9, 100%, $G$9) + CHOOSE(CONTROL!$C$38, 0.0354, 0)</f>
        <v>58.661700000000003</v>
      </c>
      <c r="J796" s="44">
        <f>555.9384</f>
        <v>555.9384</v>
      </c>
    </row>
    <row r="797" spans="1:10" ht="15.75" x14ac:dyDescent="0.25">
      <c r="A797" s="32">
        <v>65196</v>
      </c>
      <c r="B797" s="14">
        <f>62.858 * CHOOSE(CONTROL!$C$15, $E$9, 100%, $G$9) + CHOOSE(CONTROL!$C$38, 0.0264, 0)</f>
        <v>62.884399999999999</v>
      </c>
      <c r="C797" s="14">
        <f>59.4644 * CHOOSE(CONTROL!$C$15, $E$9, 100%, $G$9) + CHOOSE(CONTROL!$C$38, 0.0354, 0)</f>
        <v>59.4998</v>
      </c>
      <c r="D797" s="14">
        <f>59.4566 * CHOOSE(CONTROL!$C$15, $E$9, 100%, $G$9) + CHOOSE(CONTROL!$C$38, 0.0354, 0)</f>
        <v>59.492000000000004</v>
      </c>
      <c r="E797" s="46">
        <f>62.7018 * CHOOSE(CONTROL!$C$15, $E$9, 100%, $G$9) + CHOOSE(CONTROL!$C$38, 0.0354, 0)</f>
        <v>62.737200000000001</v>
      </c>
      <c r="F797" s="45">
        <f>62.7018 * CHOOSE(CONTROL!$C$15, $E$9, 100%, $G$9) + CHOOSE(CONTROL!$C$38, 0.0264, 0)</f>
        <v>62.728200000000001</v>
      </c>
      <c r="G797" s="14">
        <f>59.4629 * CHOOSE(CONTROL!$C$15, $E$9, 100%, $G$9) + CHOOSE(CONTROL!$C$38, 0.0354, 0)</f>
        <v>59.4983</v>
      </c>
      <c r="H797" s="14">
        <f>59.4629 * CHOOSE(CONTROL!$C$15, $E$9, 100%, $G$9) + CHOOSE(CONTROL!$C$38, 0.0354, 0)</f>
        <v>59.4983</v>
      </c>
      <c r="I797" s="14">
        <f>59.4644 * CHOOSE(CONTROL!$C$15, $E$9, 100%, $G$9) + CHOOSE(CONTROL!$C$38, 0.0354, 0)</f>
        <v>59.4998</v>
      </c>
      <c r="J797" s="44">
        <f>563.9488</f>
        <v>563.94880000000001</v>
      </c>
    </row>
    <row r="798" spans="1:10" ht="15.75" x14ac:dyDescent="0.25">
      <c r="A798" s="32">
        <v>65227</v>
      </c>
      <c r="B798" s="14">
        <f>62.5669 * CHOOSE(CONTROL!$C$15, $E$9, 100%, $G$9) + CHOOSE(CONTROL!$C$38, 0.0264, 0)</f>
        <v>62.593299999999999</v>
      </c>
      <c r="C798" s="14">
        <f>59.1885 * CHOOSE(CONTROL!$C$15, $E$9, 100%, $G$9) + CHOOSE(CONTROL!$C$38, 0.0354, 0)</f>
        <v>59.2239</v>
      </c>
      <c r="D798" s="14">
        <f>59.1807 * CHOOSE(CONTROL!$C$15, $E$9, 100%, $G$9) + CHOOSE(CONTROL!$C$38, 0.0354, 0)</f>
        <v>59.216100000000004</v>
      </c>
      <c r="E798" s="46">
        <f>62.4107 * CHOOSE(CONTROL!$C$15, $E$9, 100%, $G$9) + CHOOSE(CONTROL!$C$38, 0.0354, 0)</f>
        <v>62.446100000000001</v>
      </c>
      <c r="F798" s="45">
        <f>62.4107 * CHOOSE(CONTROL!$C$15, $E$9, 100%, $G$9) + CHOOSE(CONTROL!$C$38, 0.0264, 0)</f>
        <v>62.437100000000001</v>
      </c>
      <c r="G798" s="14">
        <f>59.1869 * CHOOSE(CONTROL!$C$15, $E$9, 100%, $G$9) + CHOOSE(CONTROL!$C$38, 0.0354, 0)</f>
        <v>59.222300000000004</v>
      </c>
      <c r="H798" s="14">
        <f>59.1869 * CHOOSE(CONTROL!$C$15, $E$9, 100%, $G$9) + CHOOSE(CONTROL!$C$38, 0.0354, 0)</f>
        <v>59.222300000000004</v>
      </c>
      <c r="I798" s="14">
        <f>59.1885 * CHOOSE(CONTROL!$C$15, $E$9, 100%, $G$9) + CHOOSE(CONTROL!$C$38, 0.0354, 0)</f>
        <v>59.2239</v>
      </c>
      <c r="J798" s="44">
        <f>561.3114</f>
        <v>561.31140000000005</v>
      </c>
    </row>
    <row r="799" spans="1:10" ht="15.75" x14ac:dyDescent="0.25">
      <c r="A799" s="32">
        <v>65258</v>
      </c>
      <c r="B799" s="14">
        <f>61.1248 * CHOOSE(CONTROL!$C$15, $E$9, 100%, $G$9) + CHOOSE(CONTROL!$C$38, 0.0264, 0)</f>
        <v>61.151200000000003</v>
      </c>
      <c r="C799" s="14">
        <f>57.8213 * CHOOSE(CONTROL!$C$15, $E$9, 100%, $G$9) + CHOOSE(CONTROL!$C$38, 0.0354, 0)</f>
        <v>57.856700000000004</v>
      </c>
      <c r="D799" s="14">
        <f>57.8135 * CHOOSE(CONTROL!$C$15, $E$9, 100%, $G$9) + CHOOSE(CONTROL!$C$38, 0.0354, 0)</f>
        <v>57.8489</v>
      </c>
      <c r="E799" s="46">
        <f>60.9685 * CHOOSE(CONTROL!$C$15, $E$9, 100%, $G$9) + CHOOSE(CONTROL!$C$38, 0.0354, 0)</f>
        <v>61.003900000000002</v>
      </c>
      <c r="F799" s="45">
        <f>60.9685 * CHOOSE(CONTROL!$C$15, $E$9, 100%, $G$9) + CHOOSE(CONTROL!$C$38, 0.0264, 0)</f>
        <v>60.994900000000001</v>
      </c>
      <c r="G799" s="14">
        <f>57.8198 * CHOOSE(CONTROL!$C$15, $E$9, 100%, $G$9) + CHOOSE(CONTROL!$C$38, 0.0354, 0)</f>
        <v>57.855200000000004</v>
      </c>
      <c r="H799" s="14">
        <f>57.8198 * CHOOSE(CONTROL!$C$15, $E$9, 100%, $G$9) + CHOOSE(CONTROL!$C$38, 0.0354, 0)</f>
        <v>57.855200000000004</v>
      </c>
      <c r="I799" s="14">
        <f>57.8213 * CHOOSE(CONTROL!$C$15, $E$9, 100%, $G$9) + CHOOSE(CONTROL!$C$38, 0.0354, 0)</f>
        <v>57.856700000000004</v>
      </c>
      <c r="J799" s="44">
        <f>548.2443</f>
        <v>548.24429999999995</v>
      </c>
    </row>
    <row r="800" spans="1:10" ht="15.75" x14ac:dyDescent="0.25">
      <c r="A800" s="32">
        <v>65288</v>
      </c>
      <c r="B800" s="14">
        <f>59.1136 * CHOOSE(CONTROL!$C$15, $E$9, 100%, $G$9) + CHOOSE(CONTROL!$C$38, 0.0264, 0)</f>
        <v>59.14</v>
      </c>
      <c r="C800" s="14">
        <f>55.9148 * CHOOSE(CONTROL!$C$15, $E$9, 100%, $G$9) + CHOOSE(CONTROL!$C$38, 0.0354, 0)</f>
        <v>55.950200000000002</v>
      </c>
      <c r="D800" s="14">
        <f>55.907 * CHOOSE(CONTROL!$C$15, $E$9, 100%, $G$9) + CHOOSE(CONTROL!$C$38, 0.0354, 0)</f>
        <v>55.942399999999999</v>
      </c>
      <c r="E800" s="46">
        <f>58.9574 * CHOOSE(CONTROL!$C$15, $E$9, 100%, $G$9) + CHOOSE(CONTROL!$C$38, 0.0354, 0)</f>
        <v>58.992800000000003</v>
      </c>
      <c r="F800" s="45">
        <f>58.9574 * CHOOSE(CONTROL!$C$15, $E$9, 100%, $G$9) + CHOOSE(CONTROL!$C$38, 0.0264, 0)</f>
        <v>58.983800000000002</v>
      </c>
      <c r="G800" s="14">
        <f>55.9132 * CHOOSE(CONTROL!$C$15, $E$9, 100%, $G$9) + CHOOSE(CONTROL!$C$38, 0.0354, 0)</f>
        <v>55.948600000000006</v>
      </c>
      <c r="H800" s="14">
        <f>55.9132 * CHOOSE(CONTROL!$C$15, $E$9, 100%, $G$9) + CHOOSE(CONTROL!$C$38, 0.0354, 0)</f>
        <v>55.948600000000006</v>
      </c>
      <c r="I800" s="14">
        <f>55.9148 * CHOOSE(CONTROL!$C$15, $E$9, 100%, $G$9) + CHOOSE(CONTROL!$C$38, 0.0354, 0)</f>
        <v>55.950200000000002</v>
      </c>
      <c r="J800" s="44">
        <f>530.0216</f>
        <v>530.02160000000003</v>
      </c>
    </row>
    <row r="801" spans="1:10" ht="15.75" x14ac:dyDescent="0.25">
      <c r="A801" s="32">
        <v>65319</v>
      </c>
      <c r="B801" s="14">
        <f>57.0907 * CHOOSE(CONTROL!$C$15, $E$9, 100%, $G$9) + CHOOSE(CONTROL!$C$38, 0.0251, 0)</f>
        <v>57.1158</v>
      </c>
      <c r="C801" s="14">
        <f>53.9971 * CHOOSE(CONTROL!$C$15, $E$9, 100%, $G$9) + CHOOSE(CONTROL!$C$38, 0.0342, 0)</f>
        <v>54.031300000000002</v>
      </c>
      <c r="D801" s="14">
        <f>53.9893 * CHOOSE(CONTROL!$C$15, $E$9, 100%, $G$9) + CHOOSE(CONTROL!$C$38, 0.0342, 0)</f>
        <v>54.023499999999999</v>
      </c>
      <c r="E801" s="46">
        <f>56.9345 * CHOOSE(CONTROL!$C$15, $E$9, 100%, $G$9) + CHOOSE(CONTROL!$C$38, 0.0342, 0)</f>
        <v>56.968699999999998</v>
      </c>
      <c r="F801" s="45">
        <f>56.9345 * CHOOSE(CONTROL!$C$15, $E$9, 100%, $G$9) + CHOOSE(CONTROL!$C$38, 0.0251, 0)</f>
        <v>56.959600000000002</v>
      </c>
      <c r="G801" s="14">
        <f>53.9956 * CHOOSE(CONTROL!$C$15, $E$9, 100%, $G$9) + CHOOSE(CONTROL!$C$38, 0.0342, 0)</f>
        <v>54.029800000000002</v>
      </c>
      <c r="H801" s="14">
        <f>53.9956 * CHOOSE(CONTROL!$C$15, $E$9, 100%, $G$9) + CHOOSE(CONTROL!$C$38, 0.0342, 0)</f>
        <v>54.029800000000002</v>
      </c>
      <c r="I801" s="14">
        <f>53.9971 * CHOOSE(CONTROL!$C$15, $E$9, 100%, $G$9) + CHOOSE(CONTROL!$C$38, 0.0342, 0)</f>
        <v>54.031300000000002</v>
      </c>
      <c r="J801" s="44">
        <f>511.6929</f>
        <v>511.69290000000001</v>
      </c>
    </row>
    <row r="802" spans="1:10" ht="15.75" x14ac:dyDescent="0.25">
      <c r="A802" s="32">
        <v>65349</v>
      </c>
      <c r="B802" s="14">
        <f>56.6884 * CHOOSE(CONTROL!$C$15, $E$9, 100%, $G$9) + CHOOSE(CONTROL!$C$38, 0.0251, 0)</f>
        <v>56.713500000000003</v>
      </c>
      <c r="C802" s="14">
        <f>53.6157 * CHOOSE(CONTROL!$C$15, $E$9, 100%, $G$9) + CHOOSE(CONTROL!$C$38, 0.0342, 0)</f>
        <v>53.649899999999995</v>
      </c>
      <c r="D802" s="14">
        <f>53.6079 * CHOOSE(CONTROL!$C$15, $E$9, 100%, $G$9) + CHOOSE(CONTROL!$C$38, 0.0342, 0)</f>
        <v>53.642099999999999</v>
      </c>
      <c r="E802" s="46">
        <f>56.5321 * CHOOSE(CONTROL!$C$15, $E$9, 100%, $G$9) + CHOOSE(CONTROL!$C$38, 0.0342, 0)</f>
        <v>56.566299999999998</v>
      </c>
      <c r="F802" s="45">
        <f>56.5321 * CHOOSE(CONTROL!$C$15, $E$9, 100%, $G$9) + CHOOSE(CONTROL!$C$38, 0.0251, 0)</f>
        <v>56.557200000000002</v>
      </c>
      <c r="G802" s="14">
        <f>53.6141 * CHOOSE(CONTROL!$C$15, $E$9, 100%, $G$9) + CHOOSE(CONTROL!$C$38, 0.0342, 0)</f>
        <v>53.648299999999999</v>
      </c>
      <c r="H802" s="14">
        <f>53.6141 * CHOOSE(CONTROL!$C$15, $E$9, 100%, $G$9) + CHOOSE(CONTROL!$C$38, 0.0342, 0)</f>
        <v>53.648299999999999</v>
      </c>
      <c r="I802" s="14">
        <f>53.6157 * CHOOSE(CONTROL!$C$15, $E$9, 100%, $G$9) + CHOOSE(CONTROL!$C$38, 0.0342, 0)</f>
        <v>53.649899999999995</v>
      </c>
      <c r="J802" s="44">
        <f>508.047</f>
        <v>508.04700000000003</v>
      </c>
    </row>
    <row r="803" spans="1:10" ht="15.75" x14ac:dyDescent="0.25">
      <c r="A803" s="32">
        <v>65380</v>
      </c>
      <c r="B803" s="14">
        <f>55.0244 * CHOOSE(CONTROL!$C$15, $E$9, 100%, $G$9) + CHOOSE(CONTROL!$C$38, 0.0251, 0)</f>
        <v>55.049500000000002</v>
      </c>
      <c r="C803" s="14">
        <f>52.0383 * CHOOSE(CONTROL!$C$15, $E$9, 100%, $G$9) + CHOOSE(CONTROL!$C$38, 0.0342, 0)</f>
        <v>52.072499999999998</v>
      </c>
      <c r="D803" s="14">
        <f>52.0305 * CHOOSE(CONTROL!$C$15, $E$9, 100%, $G$9) + CHOOSE(CONTROL!$C$38, 0.0342, 0)</f>
        <v>52.064700000000002</v>
      </c>
      <c r="E803" s="46">
        <f>54.8682 * CHOOSE(CONTROL!$C$15, $E$9, 100%, $G$9) + CHOOSE(CONTROL!$C$38, 0.0342, 0)</f>
        <v>54.9024</v>
      </c>
      <c r="F803" s="45">
        <f>54.8682 * CHOOSE(CONTROL!$C$15, $E$9, 100%, $G$9) + CHOOSE(CONTROL!$C$38, 0.0251, 0)</f>
        <v>54.893300000000004</v>
      </c>
      <c r="G803" s="14">
        <f>52.0367 * CHOOSE(CONTROL!$C$15, $E$9, 100%, $G$9) + CHOOSE(CONTROL!$C$38, 0.0342, 0)</f>
        <v>52.070900000000002</v>
      </c>
      <c r="H803" s="14">
        <f>52.0367 * CHOOSE(CONTROL!$C$15, $E$9, 100%, $G$9) + CHOOSE(CONTROL!$C$38, 0.0342, 0)</f>
        <v>52.070900000000002</v>
      </c>
      <c r="I803" s="14">
        <f>52.0383 * CHOOSE(CONTROL!$C$15, $E$9, 100%, $G$9) + CHOOSE(CONTROL!$C$38, 0.0342, 0)</f>
        <v>52.072499999999998</v>
      </c>
      <c r="J803" s="44">
        <f>492.9706</f>
        <v>492.97059999999999</v>
      </c>
    </row>
    <row r="804" spans="1:10" ht="15.75" x14ac:dyDescent="0.25">
      <c r="A804" s="32">
        <v>65411</v>
      </c>
      <c r="B804" s="14">
        <f>54.6112 * CHOOSE(CONTROL!$C$15, $E$9, 100%, $G$9) + CHOOSE(CONTROL!$C$38, 0.0251, 0)</f>
        <v>54.636299999999999</v>
      </c>
      <c r="C804" s="14">
        <f>51.6466 * CHOOSE(CONTROL!$C$15, $E$9, 100%, $G$9) + CHOOSE(CONTROL!$C$38, 0.0342, 0)</f>
        <v>51.680799999999998</v>
      </c>
      <c r="D804" s="14">
        <f>51.6388 * CHOOSE(CONTROL!$C$15, $E$9, 100%, $G$9) + CHOOSE(CONTROL!$C$38, 0.0342, 0)</f>
        <v>51.673000000000002</v>
      </c>
      <c r="E804" s="46">
        <f>54.455 * CHOOSE(CONTROL!$C$15, $E$9, 100%, $G$9) + CHOOSE(CONTROL!$C$38, 0.0342, 0)</f>
        <v>54.489199999999997</v>
      </c>
      <c r="F804" s="45">
        <f>54.455 * CHOOSE(CONTROL!$C$15, $E$9, 100%, $G$9) + CHOOSE(CONTROL!$C$38, 0.0251, 0)</f>
        <v>54.4801</v>
      </c>
      <c r="G804" s="14">
        <f>51.645 * CHOOSE(CONTROL!$C$15, $E$9, 100%, $G$9) + CHOOSE(CONTROL!$C$38, 0.0342, 0)</f>
        <v>51.679200000000002</v>
      </c>
      <c r="H804" s="14">
        <f>51.645 * CHOOSE(CONTROL!$C$15, $E$9, 100%, $G$9) + CHOOSE(CONTROL!$C$38, 0.0342, 0)</f>
        <v>51.679200000000002</v>
      </c>
      <c r="I804" s="14">
        <f>51.6466 * CHOOSE(CONTROL!$C$15, $E$9, 100%, $G$9) + CHOOSE(CONTROL!$C$38, 0.0342, 0)</f>
        <v>51.680799999999998</v>
      </c>
      <c r="J804" s="44">
        <f>492.6147</f>
        <v>492.61470000000003</v>
      </c>
    </row>
    <row r="805" spans="1:10" ht="15.75" x14ac:dyDescent="0.25">
      <c r="A805" s="32">
        <v>65439</v>
      </c>
      <c r="B805" s="14">
        <f>54.4611 * CHOOSE(CONTROL!$C$15, $E$9, 100%, $G$9) + CHOOSE(CONTROL!$C$38, 0.0251, 0)</f>
        <v>54.486200000000004</v>
      </c>
      <c r="C805" s="14">
        <f>51.5043 * CHOOSE(CONTROL!$C$15, $E$9, 100%, $G$9) + CHOOSE(CONTROL!$C$38, 0.0342, 0)</f>
        <v>51.538499999999999</v>
      </c>
      <c r="D805" s="14">
        <f>51.4965 * CHOOSE(CONTROL!$C$15, $E$9, 100%, $G$9) + CHOOSE(CONTROL!$C$38, 0.0342, 0)</f>
        <v>51.530699999999996</v>
      </c>
      <c r="E805" s="46">
        <f>54.3049 * CHOOSE(CONTROL!$C$15, $E$9, 100%, $G$9) + CHOOSE(CONTROL!$C$38, 0.0342, 0)</f>
        <v>54.339100000000002</v>
      </c>
      <c r="F805" s="45">
        <f>54.3049 * CHOOSE(CONTROL!$C$15, $E$9, 100%, $G$9) + CHOOSE(CONTROL!$C$38, 0.0251, 0)</f>
        <v>54.330000000000005</v>
      </c>
      <c r="G805" s="14">
        <f>51.5027 * CHOOSE(CONTROL!$C$15, $E$9, 100%, $G$9) + CHOOSE(CONTROL!$C$38, 0.0342, 0)</f>
        <v>51.536899999999996</v>
      </c>
      <c r="H805" s="14">
        <f>51.5027 * CHOOSE(CONTROL!$C$15, $E$9, 100%, $G$9) + CHOOSE(CONTROL!$C$38, 0.0342, 0)</f>
        <v>51.536899999999996</v>
      </c>
      <c r="I805" s="14">
        <f>51.5043 * CHOOSE(CONTROL!$C$15, $E$9, 100%, $G$9) + CHOOSE(CONTROL!$C$38, 0.0342, 0)</f>
        <v>51.538499999999999</v>
      </c>
      <c r="J805" s="44">
        <f>491.2454</f>
        <v>491.24540000000002</v>
      </c>
    </row>
    <row r="806" spans="1:10" ht="15.75" x14ac:dyDescent="0.25">
      <c r="A806" s="32">
        <v>65470</v>
      </c>
      <c r="B806" s="14">
        <f>57.299 * CHOOSE(CONTROL!$C$15, $E$9, 100%, $G$9) + CHOOSE(CONTROL!$C$38, 0.0251, 0)</f>
        <v>57.324100000000001</v>
      </c>
      <c r="C806" s="14">
        <f>54.1946 * CHOOSE(CONTROL!$C$15, $E$9, 100%, $G$9) + CHOOSE(CONTROL!$C$38, 0.0342, 0)</f>
        <v>54.2288</v>
      </c>
      <c r="D806" s="14">
        <f>54.1868 * CHOOSE(CONTROL!$C$15, $E$9, 100%, $G$9) + CHOOSE(CONTROL!$C$38, 0.0342, 0)</f>
        <v>54.220999999999997</v>
      </c>
      <c r="E806" s="46">
        <f>57.1428 * CHOOSE(CONTROL!$C$15, $E$9, 100%, $G$9) + CHOOSE(CONTROL!$C$38, 0.0342, 0)</f>
        <v>57.177</v>
      </c>
      <c r="F806" s="45">
        <f>57.1428 * CHOOSE(CONTROL!$C$15, $E$9, 100%, $G$9) + CHOOSE(CONTROL!$C$38, 0.0251, 0)</f>
        <v>57.167900000000003</v>
      </c>
      <c r="G806" s="14">
        <f>54.193 * CHOOSE(CONTROL!$C$15, $E$9, 100%, $G$9) + CHOOSE(CONTROL!$C$38, 0.0342, 0)</f>
        <v>54.227199999999996</v>
      </c>
      <c r="H806" s="14">
        <f>54.193 * CHOOSE(CONTROL!$C$15, $E$9, 100%, $G$9) + CHOOSE(CONTROL!$C$38, 0.0342, 0)</f>
        <v>54.227199999999996</v>
      </c>
      <c r="I806" s="14">
        <f>54.1946 * CHOOSE(CONTROL!$C$15, $E$9, 100%, $G$9) + CHOOSE(CONTROL!$C$38, 0.0342, 0)</f>
        <v>54.2288</v>
      </c>
      <c r="J806" s="44">
        <f>517.1369</f>
        <v>517.13689999999997</v>
      </c>
    </row>
    <row r="807" spans="1:10" ht="15.75" x14ac:dyDescent="0.25">
      <c r="A807" s="32">
        <v>65500</v>
      </c>
      <c r="B807" s="14">
        <f>60.9791 * CHOOSE(CONTROL!$C$15, $E$9, 100%, $G$9) + CHOOSE(CONTROL!$C$38, 0.0251, 0)</f>
        <v>61.004200000000004</v>
      </c>
      <c r="C807" s="14">
        <f>57.6832 * CHOOSE(CONTROL!$C$15, $E$9, 100%, $G$9) + CHOOSE(CONTROL!$C$38, 0.0342, 0)</f>
        <v>57.717399999999998</v>
      </c>
      <c r="D807" s="14">
        <f>57.6754 * CHOOSE(CONTROL!$C$15, $E$9, 100%, $G$9) + CHOOSE(CONTROL!$C$38, 0.0342, 0)</f>
        <v>57.709600000000002</v>
      </c>
      <c r="E807" s="46">
        <f>60.8228 * CHOOSE(CONTROL!$C$15, $E$9, 100%, $G$9) + CHOOSE(CONTROL!$C$38, 0.0342, 0)</f>
        <v>60.856999999999999</v>
      </c>
      <c r="F807" s="45">
        <f>60.8228 * CHOOSE(CONTROL!$C$15, $E$9, 100%, $G$9) + CHOOSE(CONTROL!$C$38, 0.0251, 0)</f>
        <v>60.847900000000003</v>
      </c>
      <c r="G807" s="14">
        <f>57.6817 * CHOOSE(CONTROL!$C$15, $E$9, 100%, $G$9) + CHOOSE(CONTROL!$C$38, 0.0342, 0)</f>
        <v>57.715899999999998</v>
      </c>
      <c r="H807" s="14">
        <f>57.6817 * CHOOSE(CONTROL!$C$15, $E$9, 100%, $G$9) + CHOOSE(CONTROL!$C$38, 0.0342, 0)</f>
        <v>57.715899999999998</v>
      </c>
      <c r="I807" s="14">
        <f>57.6832 * CHOOSE(CONTROL!$C$15, $E$9, 100%, $G$9) + CHOOSE(CONTROL!$C$38, 0.0342, 0)</f>
        <v>57.717399999999998</v>
      </c>
      <c r="J807" s="44">
        <f>550.712</f>
        <v>550.71199999999999</v>
      </c>
    </row>
    <row r="808" spans="1:10" ht="15.75" x14ac:dyDescent="0.25">
      <c r="A808" s="32">
        <v>65531</v>
      </c>
      <c r="B808" s="14">
        <f>63.0047 * CHOOSE(CONTROL!$C$15, $E$9, 100%, $G$9) + CHOOSE(CONTROL!$C$38, 0.0264, 0)</f>
        <v>63.031100000000002</v>
      </c>
      <c r="C808" s="14">
        <f>59.6035 * CHOOSE(CONTROL!$C$15, $E$9, 100%, $G$9) + CHOOSE(CONTROL!$C$38, 0.0354, 0)</f>
        <v>59.6389</v>
      </c>
      <c r="D808" s="14">
        <f>59.5957 * CHOOSE(CONTROL!$C$15, $E$9, 100%, $G$9) + CHOOSE(CONTROL!$C$38, 0.0354, 0)</f>
        <v>59.631100000000004</v>
      </c>
      <c r="E808" s="46">
        <f>62.8485 * CHOOSE(CONTROL!$C$15, $E$9, 100%, $G$9) + CHOOSE(CONTROL!$C$38, 0.0354, 0)</f>
        <v>62.883900000000004</v>
      </c>
      <c r="F808" s="45">
        <f>62.8485 * CHOOSE(CONTROL!$C$15, $E$9, 100%, $G$9) + CHOOSE(CONTROL!$C$38, 0.0264, 0)</f>
        <v>62.874900000000004</v>
      </c>
      <c r="G808" s="14">
        <f>59.6019 * CHOOSE(CONTROL!$C$15, $E$9, 100%, $G$9) + CHOOSE(CONTROL!$C$38, 0.0354, 0)</f>
        <v>59.637300000000003</v>
      </c>
      <c r="H808" s="14">
        <f>59.6019 * CHOOSE(CONTROL!$C$15, $E$9, 100%, $G$9) + CHOOSE(CONTROL!$C$38, 0.0354, 0)</f>
        <v>59.637300000000003</v>
      </c>
      <c r="I808" s="14">
        <f>59.6035 * CHOOSE(CONTROL!$C$15, $E$9, 100%, $G$9) + CHOOSE(CONTROL!$C$38, 0.0354, 0)</f>
        <v>59.6389</v>
      </c>
      <c r="J808" s="44">
        <f>569.1928</f>
        <v>569.19280000000003</v>
      </c>
    </row>
    <row r="809" spans="1:10" ht="15.75" x14ac:dyDescent="0.25">
      <c r="A809" s="32">
        <v>65561</v>
      </c>
      <c r="B809" s="14">
        <f>63.9037 * CHOOSE(CONTROL!$C$15, $E$9, 100%, $G$9) + CHOOSE(CONTROL!$C$38, 0.0264, 0)</f>
        <v>63.930100000000003</v>
      </c>
      <c r="C809" s="14">
        <f>60.4557 * CHOOSE(CONTROL!$C$15, $E$9, 100%, $G$9) + CHOOSE(CONTROL!$C$38, 0.0354, 0)</f>
        <v>60.491100000000003</v>
      </c>
      <c r="D809" s="14">
        <f>60.4479 * CHOOSE(CONTROL!$C$15, $E$9, 100%, $G$9) + CHOOSE(CONTROL!$C$38, 0.0354, 0)</f>
        <v>60.4833</v>
      </c>
      <c r="E809" s="46">
        <f>63.7474 * CHOOSE(CONTROL!$C$15, $E$9, 100%, $G$9) + CHOOSE(CONTROL!$C$38, 0.0354, 0)</f>
        <v>63.782800000000002</v>
      </c>
      <c r="F809" s="45">
        <f>63.7474 * CHOOSE(CONTROL!$C$15, $E$9, 100%, $G$9) + CHOOSE(CONTROL!$C$38, 0.0264, 0)</f>
        <v>63.773800000000001</v>
      </c>
      <c r="G809" s="14">
        <f>60.4541 * CHOOSE(CONTROL!$C$15, $E$9, 100%, $G$9) + CHOOSE(CONTROL!$C$38, 0.0354, 0)</f>
        <v>60.4895</v>
      </c>
      <c r="H809" s="14">
        <f>60.4541 * CHOOSE(CONTROL!$C$15, $E$9, 100%, $G$9) + CHOOSE(CONTROL!$C$38, 0.0354, 0)</f>
        <v>60.4895</v>
      </c>
      <c r="I809" s="14">
        <f>60.4557 * CHOOSE(CONTROL!$C$15, $E$9, 100%, $G$9) + CHOOSE(CONTROL!$C$38, 0.0354, 0)</f>
        <v>60.491100000000003</v>
      </c>
      <c r="J809" s="44">
        <f>577.3942</f>
        <v>577.39419999999996</v>
      </c>
    </row>
    <row r="810" spans="1:10" ht="15.75" x14ac:dyDescent="0.25">
      <c r="A810" s="32">
        <v>65592</v>
      </c>
      <c r="B810" s="14">
        <f>63.6077 * CHOOSE(CONTROL!$C$15, $E$9, 100%, $G$9) + CHOOSE(CONTROL!$C$38, 0.0264, 0)</f>
        <v>63.634100000000004</v>
      </c>
      <c r="C810" s="14">
        <f>60.1751 * CHOOSE(CONTROL!$C$15, $E$9, 100%, $G$9) + CHOOSE(CONTROL!$C$38, 0.0354, 0)</f>
        <v>60.210500000000003</v>
      </c>
      <c r="D810" s="14">
        <f>60.1673 * CHOOSE(CONTROL!$C$15, $E$9, 100%, $G$9) + CHOOSE(CONTROL!$C$38, 0.0354, 0)</f>
        <v>60.2027</v>
      </c>
      <c r="E810" s="46">
        <f>63.4514 * CHOOSE(CONTROL!$C$15, $E$9, 100%, $G$9) + CHOOSE(CONTROL!$C$38, 0.0354, 0)</f>
        <v>63.486800000000002</v>
      </c>
      <c r="F810" s="45">
        <f>63.4514 * CHOOSE(CONTROL!$C$15, $E$9, 100%, $G$9) + CHOOSE(CONTROL!$C$38, 0.0264, 0)</f>
        <v>63.477800000000002</v>
      </c>
      <c r="G810" s="14">
        <f>60.1735 * CHOOSE(CONTROL!$C$15, $E$9, 100%, $G$9) + CHOOSE(CONTROL!$C$38, 0.0354, 0)</f>
        <v>60.2089</v>
      </c>
      <c r="H810" s="14">
        <f>60.1735 * CHOOSE(CONTROL!$C$15, $E$9, 100%, $G$9) + CHOOSE(CONTROL!$C$38, 0.0354, 0)</f>
        <v>60.2089</v>
      </c>
      <c r="I810" s="14">
        <f>60.1751 * CHOOSE(CONTROL!$C$15, $E$9, 100%, $G$9) + CHOOSE(CONTROL!$C$38, 0.0354, 0)</f>
        <v>60.210500000000003</v>
      </c>
      <c r="J810" s="44">
        <f>574.6939</f>
        <v>574.69389999999999</v>
      </c>
    </row>
    <row r="811" spans="1:10" ht="15.75" x14ac:dyDescent="0.25">
      <c r="A811" s="32">
        <v>65623</v>
      </c>
      <c r="B811" s="14">
        <f>62.1413 * CHOOSE(CONTROL!$C$15, $E$9, 100%, $G$9) + CHOOSE(CONTROL!$C$38, 0.0264, 0)</f>
        <v>62.167700000000004</v>
      </c>
      <c r="C811" s="14">
        <f>58.785 * CHOOSE(CONTROL!$C$15, $E$9, 100%, $G$9) + CHOOSE(CONTROL!$C$38, 0.0354, 0)</f>
        <v>58.820399999999999</v>
      </c>
      <c r="D811" s="14">
        <f>58.7772 * CHOOSE(CONTROL!$C$15, $E$9, 100%, $G$9) + CHOOSE(CONTROL!$C$38, 0.0354, 0)</f>
        <v>58.812600000000003</v>
      </c>
      <c r="E811" s="46">
        <f>61.985 * CHOOSE(CONTROL!$C$15, $E$9, 100%, $G$9) + CHOOSE(CONTROL!$C$38, 0.0354, 0)</f>
        <v>62.020400000000002</v>
      </c>
      <c r="F811" s="45">
        <f>61.985 * CHOOSE(CONTROL!$C$15, $E$9, 100%, $G$9) + CHOOSE(CONTROL!$C$38, 0.0264, 0)</f>
        <v>62.011400000000002</v>
      </c>
      <c r="G811" s="14">
        <f>58.7834 * CHOOSE(CONTROL!$C$15, $E$9, 100%, $G$9) + CHOOSE(CONTROL!$C$38, 0.0354, 0)</f>
        <v>58.818800000000003</v>
      </c>
      <c r="H811" s="14">
        <f>58.7834 * CHOOSE(CONTROL!$C$15, $E$9, 100%, $G$9) + CHOOSE(CONTROL!$C$38, 0.0354, 0)</f>
        <v>58.818800000000003</v>
      </c>
      <c r="I811" s="14">
        <f>58.785 * CHOOSE(CONTROL!$C$15, $E$9, 100%, $G$9) + CHOOSE(CONTROL!$C$38, 0.0354, 0)</f>
        <v>58.820399999999999</v>
      </c>
      <c r="J811" s="44">
        <f>561.3153</f>
        <v>561.31529999999998</v>
      </c>
    </row>
    <row r="812" spans="1:10" ht="15.75" x14ac:dyDescent="0.25">
      <c r="A812" s="32">
        <v>65653</v>
      </c>
      <c r="B812" s="14">
        <f>60.0963 * CHOOSE(CONTROL!$C$15, $E$9, 100%, $G$9) + CHOOSE(CONTROL!$C$38, 0.0264, 0)</f>
        <v>60.122700000000002</v>
      </c>
      <c r="C812" s="14">
        <f>56.8464 * CHOOSE(CONTROL!$C$15, $E$9, 100%, $G$9) + CHOOSE(CONTROL!$C$38, 0.0354, 0)</f>
        <v>56.881800000000005</v>
      </c>
      <c r="D812" s="14">
        <f>56.8386 * CHOOSE(CONTROL!$C$15, $E$9, 100%, $G$9) + CHOOSE(CONTROL!$C$38, 0.0354, 0)</f>
        <v>56.874000000000002</v>
      </c>
      <c r="E812" s="46">
        <f>59.9401 * CHOOSE(CONTROL!$C$15, $E$9, 100%, $G$9) + CHOOSE(CONTROL!$C$38, 0.0354, 0)</f>
        <v>59.975500000000004</v>
      </c>
      <c r="F812" s="45">
        <f>59.9401 * CHOOSE(CONTROL!$C$15, $E$9, 100%, $G$9) + CHOOSE(CONTROL!$C$38, 0.0264, 0)</f>
        <v>59.966500000000003</v>
      </c>
      <c r="G812" s="14">
        <f>56.8448 * CHOOSE(CONTROL!$C$15, $E$9, 100%, $G$9) + CHOOSE(CONTROL!$C$38, 0.0354, 0)</f>
        <v>56.880200000000002</v>
      </c>
      <c r="H812" s="14">
        <f>56.8448 * CHOOSE(CONTROL!$C$15, $E$9, 100%, $G$9) + CHOOSE(CONTROL!$C$38, 0.0354, 0)</f>
        <v>56.880200000000002</v>
      </c>
      <c r="I812" s="14">
        <f>56.8464 * CHOOSE(CONTROL!$C$15, $E$9, 100%, $G$9) + CHOOSE(CONTROL!$C$38, 0.0354, 0)</f>
        <v>56.881800000000005</v>
      </c>
      <c r="J812" s="44">
        <f>542.6581</f>
        <v>542.65809999999999</v>
      </c>
    </row>
    <row r="813" spans="1:10" ht="15.75" x14ac:dyDescent="0.25">
      <c r="A813" s="32">
        <v>65684</v>
      </c>
      <c r="B813" s="14">
        <f>58.0395 * CHOOSE(CONTROL!$C$15, $E$9, 100%, $G$9) + CHOOSE(CONTROL!$C$38, 0.0251, 0)</f>
        <v>58.064599999999999</v>
      </c>
      <c r="C813" s="14">
        <f>54.8965 * CHOOSE(CONTROL!$C$15, $E$9, 100%, $G$9) + CHOOSE(CONTROL!$C$38, 0.0342, 0)</f>
        <v>54.930700000000002</v>
      </c>
      <c r="D813" s="14">
        <f>54.8887 * CHOOSE(CONTROL!$C$15, $E$9, 100%, $G$9) + CHOOSE(CONTROL!$C$38, 0.0342, 0)</f>
        <v>54.922899999999998</v>
      </c>
      <c r="E813" s="46">
        <f>57.8832 * CHOOSE(CONTROL!$C$15, $E$9, 100%, $G$9) + CHOOSE(CONTROL!$C$38, 0.0342, 0)</f>
        <v>57.917400000000001</v>
      </c>
      <c r="F813" s="45">
        <f>57.8832 * CHOOSE(CONTROL!$C$15, $E$9, 100%, $G$9) + CHOOSE(CONTROL!$C$38, 0.0251, 0)</f>
        <v>57.908300000000004</v>
      </c>
      <c r="G813" s="14">
        <f>54.895 * CHOOSE(CONTROL!$C$15, $E$9, 100%, $G$9) + CHOOSE(CONTROL!$C$38, 0.0342, 0)</f>
        <v>54.929200000000002</v>
      </c>
      <c r="H813" s="14">
        <f>54.895 * CHOOSE(CONTROL!$C$15, $E$9, 100%, $G$9) + CHOOSE(CONTROL!$C$38, 0.0342, 0)</f>
        <v>54.929200000000002</v>
      </c>
      <c r="I813" s="14">
        <f>54.8965 * CHOOSE(CONTROL!$C$15, $E$9, 100%, $G$9) + CHOOSE(CONTROL!$C$38, 0.0342, 0)</f>
        <v>54.930700000000002</v>
      </c>
      <c r="J813" s="44">
        <f>523.8925</f>
        <v>523.89250000000004</v>
      </c>
    </row>
    <row r="814" spans="1:10" ht="15.75" x14ac:dyDescent="0.25">
      <c r="A814" s="32">
        <v>65714</v>
      </c>
      <c r="B814" s="14">
        <f>57.6303 * CHOOSE(CONTROL!$C$15, $E$9, 100%, $G$9) + CHOOSE(CONTROL!$C$38, 0.0251, 0)</f>
        <v>57.6554</v>
      </c>
      <c r="C814" s="14">
        <f>54.5087 * CHOOSE(CONTROL!$C$15, $E$9, 100%, $G$9) + CHOOSE(CONTROL!$C$38, 0.0342, 0)</f>
        <v>54.542899999999996</v>
      </c>
      <c r="D814" s="14">
        <f>54.5008 * CHOOSE(CONTROL!$C$15, $E$9, 100%, $G$9) + CHOOSE(CONTROL!$C$38, 0.0342, 0)</f>
        <v>54.534999999999997</v>
      </c>
      <c r="E814" s="46">
        <f>57.4741 * CHOOSE(CONTROL!$C$15, $E$9, 100%, $G$9) + CHOOSE(CONTROL!$C$38, 0.0342, 0)</f>
        <v>57.508299999999998</v>
      </c>
      <c r="F814" s="45">
        <f>57.4741 * CHOOSE(CONTROL!$C$15, $E$9, 100%, $G$9) + CHOOSE(CONTROL!$C$38, 0.0251, 0)</f>
        <v>57.499200000000002</v>
      </c>
      <c r="G814" s="14">
        <f>54.5071 * CHOOSE(CONTROL!$C$15, $E$9, 100%, $G$9) + CHOOSE(CONTROL!$C$38, 0.0342, 0)</f>
        <v>54.5413</v>
      </c>
      <c r="H814" s="14">
        <f>54.5071 * CHOOSE(CONTROL!$C$15, $E$9, 100%, $G$9) + CHOOSE(CONTROL!$C$38, 0.0342, 0)</f>
        <v>54.5413</v>
      </c>
      <c r="I814" s="14">
        <f>54.5087 * CHOOSE(CONTROL!$C$15, $E$9, 100%, $G$9) + CHOOSE(CONTROL!$C$38, 0.0342, 0)</f>
        <v>54.542899999999996</v>
      </c>
      <c r="J814" s="44">
        <f>520.1596</f>
        <v>520.15959999999995</v>
      </c>
    </row>
    <row r="815" spans="1:10" ht="15.75" x14ac:dyDescent="0.25">
      <c r="A815" s="32">
        <v>65745</v>
      </c>
      <c r="B815" s="14">
        <f>55.9385 * CHOOSE(CONTROL!$C$15, $E$9, 100%, $G$9) + CHOOSE(CONTROL!$C$38, 0.0251, 0)</f>
        <v>55.9636</v>
      </c>
      <c r="C815" s="14">
        <f>52.9048 * CHOOSE(CONTROL!$C$15, $E$9, 100%, $G$9) + CHOOSE(CONTROL!$C$38, 0.0342, 0)</f>
        <v>52.939</v>
      </c>
      <c r="D815" s="14">
        <f>52.897 * CHOOSE(CONTROL!$C$15, $E$9, 100%, $G$9) + CHOOSE(CONTROL!$C$38, 0.0342, 0)</f>
        <v>52.931199999999997</v>
      </c>
      <c r="E815" s="46">
        <f>55.7822 * CHOOSE(CONTROL!$C$15, $E$9, 100%, $G$9) + CHOOSE(CONTROL!$C$38, 0.0342, 0)</f>
        <v>55.816400000000002</v>
      </c>
      <c r="F815" s="45">
        <f>55.7822 * CHOOSE(CONTROL!$C$15, $E$9, 100%, $G$9) + CHOOSE(CONTROL!$C$38, 0.0251, 0)</f>
        <v>55.807300000000005</v>
      </c>
      <c r="G815" s="14">
        <f>52.9032 * CHOOSE(CONTROL!$C$15, $E$9, 100%, $G$9) + CHOOSE(CONTROL!$C$38, 0.0342, 0)</f>
        <v>52.937399999999997</v>
      </c>
      <c r="H815" s="14">
        <f>52.9032 * CHOOSE(CONTROL!$C$15, $E$9, 100%, $G$9) + CHOOSE(CONTROL!$C$38, 0.0342, 0)</f>
        <v>52.937399999999997</v>
      </c>
      <c r="I815" s="14">
        <f>52.9048 * CHOOSE(CONTROL!$C$15, $E$9, 100%, $G$9) + CHOOSE(CONTROL!$C$38, 0.0342, 0)</f>
        <v>52.939</v>
      </c>
      <c r="J815" s="44">
        <f>504.7238</f>
        <v>504.72379999999998</v>
      </c>
    </row>
    <row r="816" spans="1:10" ht="15.75" x14ac:dyDescent="0.25">
      <c r="A816" s="32">
        <v>65776</v>
      </c>
      <c r="B816" s="14">
        <f>55.5183 * CHOOSE(CONTROL!$C$15, $E$9, 100%, $G$9) + CHOOSE(CONTROL!$C$38, 0.0251, 0)</f>
        <v>55.543400000000005</v>
      </c>
      <c r="C816" s="14">
        <f>52.5065 * CHOOSE(CONTROL!$C$15, $E$9, 100%, $G$9) + CHOOSE(CONTROL!$C$38, 0.0342, 0)</f>
        <v>52.540700000000001</v>
      </c>
      <c r="D816" s="14">
        <f>52.4987 * CHOOSE(CONTROL!$C$15, $E$9, 100%, $G$9) + CHOOSE(CONTROL!$C$38, 0.0342, 0)</f>
        <v>52.532899999999998</v>
      </c>
      <c r="E816" s="46">
        <f>55.3621 * CHOOSE(CONTROL!$C$15, $E$9, 100%, $G$9) + CHOOSE(CONTROL!$C$38, 0.0342, 0)</f>
        <v>55.396299999999997</v>
      </c>
      <c r="F816" s="45">
        <f>55.3621 * CHOOSE(CONTROL!$C$15, $E$9, 100%, $G$9) + CHOOSE(CONTROL!$C$38, 0.0251, 0)</f>
        <v>55.3872</v>
      </c>
      <c r="G816" s="14">
        <f>52.5049 * CHOOSE(CONTROL!$C$15, $E$9, 100%, $G$9) + CHOOSE(CONTROL!$C$38, 0.0342, 0)</f>
        <v>52.539099999999998</v>
      </c>
      <c r="H816" s="14">
        <f>52.5049 * CHOOSE(CONTROL!$C$15, $E$9, 100%, $G$9) + CHOOSE(CONTROL!$C$38, 0.0342, 0)</f>
        <v>52.539099999999998</v>
      </c>
      <c r="I816" s="14">
        <f>52.5065 * CHOOSE(CONTROL!$C$15, $E$9, 100%, $G$9) + CHOOSE(CONTROL!$C$38, 0.0342, 0)</f>
        <v>52.540700000000001</v>
      </c>
      <c r="J816" s="44">
        <f>504.3594</f>
        <v>504.35939999999999</v>
      </c>
    </row>
    <row r="817" spans="1:10" ht="15.75" x14ac:dyDescent="0.25">
      <c r="A817" s="32">
        <v>65805</v>
      </c>
      <c r="B817" s="14">
        <f>55.3657 * CHOOSE(CONTROL!$C$15, $E$9, 100%, $G$9) + CHOOSE(CONTROL!$C$38, 0.0251, 0)</f>
        <v>55.390799999999999</v>
      </c>
      <c r="C817" s="14">
        <f>52.3618 * CHOOSE(CONTROL!$C$15, $E$9, 100%, $G$9) + CHOOSE(CONTROL!$C$38, 0.0342, 0)</f>
        <v>52.396000000000001</v>
      </c>
      <c r="D817" s="14">
        <f>52.354 * CHOOSE(CONTROL!$C$15, $E$9, 100%, $G$9) + CHOOSE(CONTROL!$C$38, 0.0342, 0)</f>
        <v>52.388199999999998</v>
      </c>
      <c r="E817" s="46">
        <f>55.2095 * CHOOSE(CONTROL!$C$15, $E$9, 100%, $G$9) + CHOOSE(CONTROL!$C$38, 0.0342, 0)</f>
        <v>55.243699999999997</v>
      </c>
      <c r="F817" s="45">
        <f>55.2095 * CHOOSE(CONTROL!$C$15, $E$9, 100%, $G$9) + CHOOSE(CONTROL!$C$38, 0.0251, 0)</f>
        <v>55.2346</v>
      </c>
      <c r="G817" s="14">
        <f>52.3603 * CHOOSE(CONTROL!$C$15, $E$9, 100%, $G$9) + CHOOSE(CONTROL!$C$38, 0.0342, 0)</f>
        <v>52.394500000000001</v>
      </c>
      <c r="H817" s="14">
        <f>52.3603 * CHOOSE(CONTROL!$C$15, $E$9, 100%, $G$9) + CHOOSE(CONTROL!$C$38, 0.0342, 0)</f>
        <v>52.394500000000001</v>
      </c>
      <c r="I817" s="14">
        <f>52.3618 * CHOOSE(CONTROL!$C$15, $E$9, 100%, $G$9) + CHOOSE(CONTROL!$C$38, 0.0342, 0)</f>
        <v>52.396000000000001</v>
      </c>
      <c r="J817" s="44">
        <f>502.9575</f>
        <v>502.95749999999998</v>
      </c>
    </row>
    <row r="818" spans="1:10" ht="15.75" x14ac:dyDescent="0.25">
      <c r="A818" s="32">
        <v>65836</v>
      </c>
      <c r="B818" s="14">
        <f>58.2513 * CHOOSE(CONTROL!$C$15, $E$9, 100%, $G$9) + CHOOSE(CONTROL!$C$38, 0.0251, 0)</f>
        <v>58.276400000000002</v>
      </c>
      <c r="C818" s="14">
        <f>55.0973 * CHOOSE(CONTROL!$C$15, $E$9, 100%, $G$9) + CHOOSE(CONTROL!$C$38, 0.0342, 0)</f>
        <v>55.131499999999996</v>
      </c>
      <c r="D818" s="14">
        <f>55.0895 * CHOOSE(CONTROL!$C$15, $E$9, 100%, $G$9) + CHOOSE(CONTROL!$C$38, 0.0342, 0)</f>
        <v>55.123699999999999</v>
      </c>
      <c r="E818" s="46">
        <f>58.095 * CHOOSE(CONTROL!$C$15, $E$9, 100%, $G$9) + CHOOSE(CONTROL!$C$38, 0.0342, 0)</f>
        <v>58.129199999999997</v>
      </c>
      <c r="F818" s="45">
        <f>58.095 * CHOOSE(CONTROL!$C$15, $E$9, 100%, $G$9) + CHOOSE(CONTROL!$C$38, 0.0251, 0)</f>
        <v>58.120100000000001</v>
      </c>
      <c r="G818" s="14">
        <f>55.0957 * CHOOSE(CONTROL!$C$15, $E$9, 100%, $G$9) + CHOOSE(CONTROL!$C$38, 0.0342, 0)</f>
        <v>55.129899999999999</v>
      </c>
      <c r="H818" s="14">
        <f>55.0957 * CHOOSE(CONTROL!$C$15, $E$9, 100%, $G$9) + CHOOSE(CONTROL!$C$38, 0.0342, 0)</f>
        <v>55.129899999999999</v>
      </c>
      <c r="I818" s="14">
        <f>55.0973 * CHOOSE(CONTROL!$C$15, $E$9, 100%, $G$9) + CHOOSE(CONTROL!$C$38, 0.0342, 0)</f>
        <v>55.131499999999996</v>
      </c>
      <c r="J818" s="44">
        <f>529.4662</f>
        <v>529.46619999999996</v>
      </c>
    </row>
    <row r="819" spans="1:10" ht="15.75" x14ac:dyDescent="0.25">
      <c r="A819" s="32">
        <v>65866</v>
      </c>
      <c r="B819" s="14">
        <f>61.9932 * CHOOSE(CONTROL!$C$15, $E$9, 100%, $G$9) + CHOOSE(CONTROL!$C$38, 0.0251, 0)</f>
        <v>62.018300000000004</v>
      </c>
      <c r="C819" s="14">
        <f>58.6446 * CHOOSE(CONTROL!$C$15, $E$9, 100%, $G$9) + CHOOSE(CONTROL!$C$38, 0.0342, 0)</f>
        <v>58.678799999999995</v>
      </c>
      <c r="D819" s="14">
        <f>58.6367 * CHOOSE(CONTROL!$C$15, $E$9, 100%, $G$9) + CHOOSE(CONTROL!$C$38, 0.0342, 0)</f>
        <v>58.670899999999996</v>
      </c>
      <c r="E819" s="46">
        <f>61.8369 * CHOOSE(CONTROL!$C$15, $E$9, 100%, $G$9) + CHOOSE(CONTROL!$C$38, 0.0342, 0)</f>
        <v>61.871099999999998</v>
      </c>
      <c r="F819" s="45">
        <f>61.8369 * CHOOSE(CONTROL!$C$15, $E$9, 100%, $G$9) + CHOOSE(CONTROL!$C$38, 0.0251, 0)</f>
        <v>61.862000000000002</v>
      </c>
      <c r="G819" s="14">
        <f>58.643 * CHOOSE(CONTROL!$C$15, $E$9, 100%, $G$9) + CHOOSE(CONTROL!$C$38, 0.0342, 0)</f>
        <v>58.677199999999999</v>
      </c>
      <c r="H819" s="14">
        <f>58.643 * CHOOSE(CONTROL!$C$15, $E$9, 100%, $G$9) + CHOOSE(CONTROL!$C$38, 0.0342, 0)</f>
        <v>58.677199999999999</v>
      </c>
      <c r="I819" s="14">
        <f>58.6446 * CHOOSE(CONTROL!$C$15, $E$9, 100%, $G$9) + CHOOSE(CONTROL!$C$38, 0.0342, 0)</f>
        <v>58.678799999999995</v>
      </c>
      <c r="J819" s="44">
        <f>563.8418</f>
        <v>563.84180000000003</v>
      </c>
    </row>
    <row r="820" spans="1:10" ht="15.75" x14ac:dyDescent="0.25">
      <c r="A820" s="32">
        <v>65897</v>
      </c>
      <c r="B820" s="14">
        <f>64.0528 * CHOOSE(CONTROL!$C$15, $E$9, 100%, $G$9) + CHOOSE(CONTROL!$C$38, 0.0264, 0)</f>
        <v>64.0792</v>
      </c>
      <c r="C820" s="14">
        <f>60.5971 * CHOOSE(CONTROL!$C$15, $E$9, 100%, $G$9) + CHOOSE(CONTROL!$C$38, 0.0354, 0)</f>
        <v>60.6325</v>
      </c>
      <c r="D820" s="14">
        <f>60.5893 * CHOOSE(CONTROL!$C$15, $E$9, 100%, $G$9) + CHOOSE(CONTROL!$C$38, 0.0354, 0)</f>
        <v>60.624700000000004</v>
      </c>
      <c r="E820" s="46">
        <f>63.8966 * CHOOSE(CONTROL!$C$15, $E$9, 100%, $G$9) + CHOOSE(CONTROL!$C$38, 0.0354, 0)</f>
        <v>63.932000000000002</v>
      </c>
      <c r="F820" s="45">
        <f>63.8966 * CHOOSE(CONTROL!$C$15, $E$9, 100%, $G$9) + CHOOSE(CONTROL!$C$38, 0.0264, 0)</f>
        <v>63.923000000000002</v>
      </c>
      <c r="G820" s="14">
        <f>60.5955 * CHOOSE(CONTROL!$C$15, $E$9, 100%, $G$9) + CHOOSE(CONTROL!$C$38, 0.0354, 0)</f>
        <v>60.630900000000004</v>
      </c>
      <c r="H820" s="14">
        <f>60.5955 * CHOOSE(CONTROL!$C$15, $E$9, 100%, $G$9) + CHOOSE(CONTROL!$C$38, 0.0354, 0)</f>
        <v>60.630900000000004</v>
      </c>
      <c r="I820" s="14">
        <f>60.5971 * CHOOSE(CONTROL!$C$15, $E$9, 100%, $G$9) + CHOOSE(CONTROL!$C$38, 0.0354, 0)</f>
        <v>60.6325</v>
      </c>
      <c r="J820" s="44">
        <f>582.7632</f>
        <v>582.76319999999998</v>
      </c>
    </row>
    <row r="821" spans="1:10" ht="15.75" x14ac:dyDescent="0.25">
      <c r="A821" s="32">
        <v>65927</v>
      </c>
      <c r="B821" s="14">
        <f>64.9669 * CHOOSE(CONTROL!$C$15, $E$9, 100%, $G$9) + CHOOSE(CONTROL!$C$38, 0.0264, 0)</f>
        <v>64.993299999999991</v>
      </c>
      <c r="C821" s="14">
        <f>61.4636 * CHOOSE(CONTROL!$C$15, $E$9, 100%, $G$9) + CHOOSE(CONTROL!$C$38, 0.0354, 0)</f>
        <v>61.499000000000002</v>
      </c>
      <c r="D821" s="14">
        <f>61.4558 * CHOOSE(CONTROL!$C$15, $E$9, 100%, $G$9) + CHOOSE(CONTROL!$C$38, 0.0354, 0)</f>
        <v>61.491200000000006</v>
      </c>
      <c r="E821" s="46">
        <f>64.8106 * CHOOSE(CONTROL!$C$15, $E$9, 100%, $G$9) + CHOOSE(CONTROL!$C$38, 0.0354, 0)</f>
        <v>64.845999999999989</v>
      </c>
      <c r="F821" s="45">
        <f>64.8106 * CHOOSE(CONTROL!$C$15, $E$9, 100%, $G$9) + CHOOSE(CONTROL!$C$38, 0.0264, 0)</f>
        <v>64.836999999999989</v>
      </c>
      <c r="G821" s="14">
        <f>61.462 * CHOOSE(CONTROL!$C$15, $E$9, 100%, $G$9) + CHOOSE(CONTROL!$C$38, 0.0354, 0)</f>
        <v>61.497400000000006</v>
      </c>
      <c r="H821" s="14">
        <f>61.462 * CHOOSE(CONTROL!$C$15, $E$9, 100%, $G$9) + CHOOSE(CONTROL!$C$38, 0.0354, 0)</f>
        <v>61.497400000000006</v>
      </c>
      <c r="I821" s="14">
        <f>61.4636 * CHOOSE(CONTROL!$C$15, $E$9, 100%, $G$9) + CHOOSE(CONTROL!$C$38, 0.0354, 0)</f>
        <v>61.499000000000002</v>
      </c>
      <c r="J821" s="44">
        <f>591.1602</f>
        <v>591.16020000000003</v>
      </c>
    </row>
    <row r="822" spans="1:10" ht="15.75" x14ac:dyDescent="0.25">
      <c r="A822" s="32">
        <v>65958</v>
      </c>
      <c r="B822" s="14">
        <f>64.6659 * CHOOSE(CONTROL!$C$15, $E$9, 100%, $G$9) + CHOOSE(CONTROL!$C$38, 0.0264, 0)</f>
        <v>64.692299999999989</v>
      </c>
      <c r="C822" s="14">
        <f>61.1783 * CHOOSE(CONTROL!$C$15, $E$9, 100%, $G$9) + CHOOSE(CONTROL!$C$38, 0.0354, 0)</f>
        <v>61.213700000000003</v>
      </c>
      <c r="D822" s="14">
        <f>61.1705 * CHOOSE(CONTROL!$C$15, $E$9, 100%, $G$9) + CHOOSE(CONTROL!$C$38, 0.0354, 0)</f>
        <v>61.2059</v>
      </c>
      <c r="E822" s="46">
        <f>64.5097 * CHOOSE(CONTROL!$C$15, $E$9, 100%, $G$9) + CHOOSE(CONTROL!$C$38, 0.0354, 0)</f>
        <v>64.545099999999991</v>
      </c>
      <c r="F822" s="45">
        <f>64.5097 * CHOOSE(CONTROL!$C$15, $E$9, 100%, $G$9) + CHOOSE(CONTROL!$C$38, 0.0264, 0)</f>
        <v>64.53609999999999</v>
      </c>
      <c r="G822" s="14">
        <f>61.1767 * CHOOSE(CONTROL!$C$15, $E$9, 100%, $G$9) + CHOOSE(CONTROL!$C$38, 0.0354, 0)</f>
        <v>61.2121</v>
      </c>
      <c r="H822" s="14">
        <f>61.1767 * CHOOSE(CONTROL!$C$15, $E$9, 100%, $G$9) + CHOOSE(CONTROL!$C$38, 0.0354, 0)</f>
        <v>61.2121</v>
      </c>
      <c r="I822" s="14">
        <f>61.1783 * CHOOSE(CONTROL!$C$15, $E$9, 100%, $G$9) + CHOOSE(CONTROL!$C$38, 0.0354, 0)</f>
        <v>61.213700000000003</v>
      </c>
      <c r="J822" s="44">
        <f>588.3955</f>
        <v>588.39549999999997</v>
      </c>
    </row>
    <row r="823" spans="1:10" ht="15.75" x14ac:dyDescent="0.25">
      <c r="A823" s="32">
        <v>65989</v>
      </c>
      <c r="B823" s="14">
        <f>63.1749 * CHOOSE(CONTROL!$C$15, $E$9, 100%, $G$9) + CHOOSE(CONTROL!$C$38, 0.0264, 0)</f>
        <v>63.201300000000003</v>
      </c>
      <c r="C823" s="14">
        <f>59.7648 * CHOOSE(CONTROL!$C$15, $E$9, 100%, $G$9) + CHOOSE(CONTROL!$C$38, 0.0354, 0)</f>
        <v>59.800200000000004</v>
      </c>
      <c r="D823" s="14">
        <f>59.757 * CHOOSE(CONTROL!$C$15, $E$9, 100%, $G$9) + CHOOSE(CONTROL!$C$38, 0.0354, 0)</f>
        <v>59.792400000000001</v>
      </c>
      <c r="E823" s="46">
        <f>63.0186 * CHOOSE(CONTROL!$C$15, $E$9, 100%, $G$9) + CHOOSE(CONTROL!$C$38, 0.0354, 0)</f>
        <v>63.054000000000002</v>
      </c>
      <c r="F823" s="45">
        <f>63.0186 * CHOOSE(CONTROL!$C$15, $E$9, 100%, $G$9) + CHOOSE(CONTROL!$C$38, 0.0264, 0)</f>
        <v>63.045000000000002</v>
      </c>
      <c r="G823" s="14">
        <f>59.7633 * CHOOSE(CONTROL!$C$15, $E$9, 100%, $G$9) + CHOOSE(CONTROL!$C$38, 0.0354, 0)</f>
        <v>59.798700000000004</v>
      </c>
      <c r="H823" s="14">
        <f>59.7633 * CHOOSE(CONTROL!$C$15, $E$9, 100%, $G$9) + CHOOSE(CONTROL!$C$38, 0.0354, 0)</f>
        <v>59.798700000000004</v>
      </c>
      <c r="I823" s="14">
        <f>59.7648 * CHOOSE(CONTROL!$C$15, $E$9, 100%, $G$9) + CHOOSE(CONTROL!$C$38, 0.0354, 0)</f>
        <v>59.800200000000004</v>
      </c>
      <c r="J823" s="44">
        <f>574.6979</f>
        <v>574.6979</v>
      </c>
    </row>
    <row r="824" spans="1:10" ht="15.75" x14ac:dyDescent="0.25">
      <c r="A824" s="32">
        <v>66019</v>
      </c>
      <c r="B824" s="14">
        <f>61.0956 * CHOOSE(CONTROL!$C$15, $E$9, 100%, $G$9) + CHOOSE(CONTROL!$C$38, 0.0264, 0)</f>
        <v>61.122</v>
      </c>
      <c r="C824" s="14">
        <f>57.7937 * CHOOSE(CONTROL!$C$15, $E$9, 100%, $G$9) + CHOOSE(CONTROL!$C$38, 0.0354, 0)</f>
        <v>57.829100000000004</v>
      </c>
      <c r="D824" s="14">
        <f>57.7858 * CHOOSE(CONTROL!$C$15, $E$9, 100%, $G$9) + CHOOSE(CONTROL!$C$38, 0.0354, 0)</f>
        <v>57.821200000000005</v>
      </c>
      <c r="E824" s="46">
        <f>60.9393 * CHOOSE(CONTROL!$C$15, $E$9, 100%, $G$9) + CHOOSE(CONTROL!$C$38, 0.0354, 0)</f>
        <v>60.974700000000006</v>
      </c>
      <c r="F824" s="45">
        <f>60.9393 * CHOOSE(CONTROL!$C$15, $E$9, 100%, $G$9) + CHOOSE(CONTROL!$C$38, 0.0264, 0)</f>
        <v>60.965700000000005</v>
      </c>
      <c r="G824" s="14">
        <f>57.7921 * CHOOSE(CONTROL!$C$15, $E$9, 100%, $G$9) + CHOOSE(CONTROL!$C$38, 0.0354, 0)</f>
        <v>57.827500000000001</v>
      </c>
      <c r="H824" s="14">
        <f>57.7921 * CHOOSE(CONTROL!$C$15, $E$9, 100%, $G$9) + CHOOSE(CONTROL!$C$38, 0.0354, 0)</f>
        <v>57.827500000000001</v>
      </c>
      <c r="I824" s="14">
        <f>57.7937 * CHOOSE(CONTROL!$C$15, $E$9, 100%, $G$9) + CHOOSE(CONTROL!$C$38, 0.0354, 0)</f>
        <v>57.829100000000004</v>
      </c>
      <c r="J824" s="44">
        <f>555.5959</f>
        <v>555.59590000000003</v>
      </c>
    </row>
    <row r="825" spans="1:10" ht="15.75" x14ac:dyDescent="0.25">
      <c r="A825" s="32">
        <v>66050</v>
      </c>
      <c r="B825" s="14">
        <f>59.0042 * CHOOSE(CONTROL!$C$15, $E$9, 100%, $G$9) + CHOOSE(CONTROL!$C$38, 0.0251, 0)</f>
        <v>59.029299999999999</v>
      </c>
      <c r="C825" s="14">
        <f>55.811 * CHOOSE(CONTROL!$C$15, $E$9, 100%, $G$9) + CHOOSE(CONTROL!$C$38, 0.0342, 0)</f>
        <v>55.845199999999998</v>
      </c>
      <c r="D825" s="14">
        <f>55.8032 * CHOOSE(CONTROL!$C$15, $E$9, 100%, $G$9) + CHOOSE(CONTROL!$C$38, 0.0342, 0)</f>
        <v>55.837399999999995</v>
      </c>
      <c r="E825" s="46">
        <f>58.8479 * CHOOSE(CONTROL!$C$15, $E$9, 100%, $G$9) + CHOOSE(CONTROL!$C$38, 0.0342, 0)</f>
        <v>58.882100000000001</v>
      </c>
      <c r="F825" s="45">
        <f>58.8479 * CHOOSE(CONTROL!$C$15, $E$9, 100%, $G$9) + CHOOSE(CONTROL!$C$38, 0.0251, 0)</f>
        <v>58.873000000000005</v>
      </c>
      <c r="G825" s="14">
        <f>55.8095 * CHOOSE(CONTROL!$C$15, $E$9, 100%, $G$9) + CHOOSE(CONTROL!$C$38, 0.0342, 0)</f>
        <v>55.843699999999998</v>
      </c>
      <c r="H825" s="14">
        <f>55.8095 * CHOOSE(CONTROL!$C$15, $E$9, 100%, $G$9) + CHOOSE(CONTROL!$C$38, 0.0342, 0)</f>
        <v>55.843699999999998</v>
      </c>
      <c r="I825" s="14">
        <f>55.811 * CHOOSE(CONTROL!$C$15, $E$9, 100%, $G$9) + CHOOSE(CONTROL!$C$38, 0.0342, 0)</f>
        <v>55.845199999999998</v>
      </c>
      <c r="J825" s="44">
        <f>536.3828</f>
        <v>536.38279999999997</v>
      </c>
    </row>
    <row r="826" spans="1:10" ht="15.75" x14ac:dyDescent="0.25">
      <c r="A826" s="32">
        <v>66080</v>
      </c>
      <c r="B826" s="14">
        <f>58.5881 * CHOOSE(CONTROL!$C$15, $E$9, 100%, $G$9) + CHOOSE(CONTROL!$C$38, 0.0251, 0)</f>
        <v>58.613199999999999</v>
      </c>
      <c r="C826" s="14">
        <f>55.4166 * CHOOSE(CONTROL!$C$15, $E$9, 100%, $G$9) + CHOOSE(CONTROL!$C$38, 0.0342, 0)</f>
        <v>55.450800000000001</v>
      </c>
      <c r="D826" s="14">
        <f>55.4088 * CHOOSE(CONTROL!$C$15, $E$9, 100%, $G$9) + CHOOSE(CONTROL!$C$38, 0.0342, 0)</f>
        <v>55.442999999999998</v>
      </c>
      <c r="E826" s="46">
        <f>58.4319 * CHOOSE(CONTROL!$C$15, $E$9, 100%, $G$9) + CHOOSE(CONTROL!$C$38, 0.0342, 0)</f>
        <v>58.466099999999997</v>
      </c>
      <c r="F826" s="45">
        <f>58.4319 * CHOOSE(CONTROL!$C$15, $E$9, 100%, $G$9) + CHOOSE(CONTROL!$C$38, 0.0251, 0)</f>
        <v>58.457000000000001</v>
      </c>
      <c r="G826" s="14">
        <f>55.4151 * CHOOSE(CONTROL!$C$15, $E$9, 100%, $G$9) + CHOOSE(CONTROL!$C$38, 0.0342, 0)</f>
        <v>55.449300000000001</v>
      </c>
      <c r="H826" s="14">
        <f>55.4151 * CHOOSE(CONTROL!$C$15, $E$9, 100%, $G$9) + CHOOSE(CONTROL!$C$38, 0.0342, 0)</f>
        <v>55.449300000000001</v>
      </c>
      <c r="I826" s="14">
        <f>55.4166 * CHOOSE(CONTROL!$C$15, $E$9, 100%, $G$9) + CHOOSE(CONTROL!$C$38, 0.0342, 0)</f>
        <v>55.450800000000001</v>
      </c>
      <c r="J826" s="44">
        <f>532.561</f>
        <v>532.56100000000004</v>
      </c>
    </row>
    <row r="827" spans="1:10" ht="15.75" x14ac:dyDescent="0.25">
      <c r="A827" s="32">
        <v>66111</v>
      </c>
      <c r="B827" s="14">
        <f>56.8679 * CHOOSE(CONTROL!$C$15, $E$9, 100%, $G$9) + CHOOSE(CONTROL!$C$38, 0.0251, 0)</f>
        <v>56.893000000000001</v>
      </c>
      <c r="C827" s="14">
        <f>53.7858 * CHOOSE(CONTROL!$C$15, $E$9, 100%, $G$9) + CHOOSE(CONTROL!$C$38, 0.0342, 0)</f>
        <v>53.82</v>
      </c>
      <c r="D827" s="14">
        <f>53.778 * CHOOSE(CONTROL!$C$15, $E$9, 100%, $G$9) + CHOOSE(CONTROL!$C$38, 0.0342, 0)</f>
        <v>53.812199999999997</v>
      </c>
      <c r="E827" s="46">
        <f>56.7116 * CHOOSE(CONTROL!$C$15, $E$9, 100%, $G$9) + CHOOSE(CONTROL!$C$38, 0.0342, 0)</f>
        <v>56.745799999999996</v>
      </c>
      <c r="F827" s="45">
        <f>56.7116 * CHOOSE(CONTROL!$C$15, $E$9, 100%, $G$9) + CHOOSE(CONTROL!$C$38, 0.0251, 0)</f>
        <v>56.736699999999999</v>
      </c>
      <c r="G827" s="14">
        <f>53.7843 * CHOOSE(CONTROL!$C$15, $E$9, 100%, $G$9) + CHOOSE(CONTROL!$C$38, 0.0342, 0)</f>
        <v>53.8185</v>
      </c>
      <c r="H827" s="14">
        <f>53.7843 * CHOOSE(CONTROL!$C$15, $E$9, 100%, $G$9) + CHOOSE(CONTROL!$C$38, 0.0342, 0)</f>
        <v>53.8185</v>
      </c>
      <c r="I827" s="14">
        <f>53.7858 * CHOOSE(CONTROL!$C$15, $E$9, 100%, $G$9) + CHOOSE(CONTROL!$C$38, 0.0342, 0)</f>
        <v>53.82</v>
      </c>
      <c r="J827" s="44">
        <f>516.7572</f>
        <v>516.75720000000001</v>
      </c>
    </row>
    <row r="828" spans="1:10" ht="15.75" x14ac:dyDescent="0.25">
      <c r="A828" s="32">
        <v>66142</v>
      </c>
      <c r="B828" s="14">
        <f>56.4406 * CHOOSE(CONTROL!$C$15, $E$9, 100%, $G$9) + CHOOSE(CONTROL!$C$38, 0.0251, 0)</f>
        <v>56.465700000000005</v>
      </c>
      <c r="C828" s="14">
        <f>53.3808 * CHOOSE(CONTROL!$C$15, $E$9, 100%, $G$9) + CHOOSE(CONTROL!$C$38, 0.0342, 0)</f>
        <v>53.414999999999999</v>
      </c>
      <c r="D828" s="14">
        <f>53.373 * CHOOSE(CONTROL!$C$15, $E$9, 100%, $G$9) + CHOOSE(CONTROL!$C$38, 0.0342, 0)</f>
        <v>53.407199999999996</v>
      </c>
      <c r="E828" s="46">
        <f>56.2844 * CHOOSE(CONTROL!$C$15, $E$9, 100%, $G$9) + CHOOSE(CONTROL!$C$38, 0.0342, 0)</f>
        <v>56.318599999999996</v>
      </c>
      <c r="F828" s="45">
        <f>56.2844 * CHOOSE(CONTROL!$C$15, $E$9, 100%, $G$9) + CHOOSE(CONTROL!$C$38, 0.0251, 0)</f>
        <v>56.3095</v>
      </c>
      <c r="G828" s="14">
        <f>53.3793 * CHOOSE(CONTROL!$C$15, $E$9, 100%, $G$9) + CHOOSE(CONTROL!$C$38, 0.0342, 0)</f>
        <v>53.413499999999999</v>
      </c>
      <c r="H828" s="14">
        <f>53.3793 * CHOOSE(CONTROL!$C$15, $E$9, 100%, $G$9) + CHOOSE(CONTROL!$C$38, 0.0342, 0)</f>
        <v>53.413499999999999</v>
      </c>
      <c r="I828" s="14">
        <f>53.3808 * CHOOSE(CONTROL!$C$15, $E$9, 100%, $G$9) + CHOOSE(CONTROL!$C$38, 0.0342, 0)</f>
        <v>53.414999999999999</v>
      </c>
      <c r="J828" s="44">
        <f>516.3841</f>
        <v>516.38409999999999</v>
      </c>
    </row>
    <row r="829" spans="1:10" ht="15.75" x14ac:dyDescent="0.25">
      <c r="A829" s="32">
        <v>66170</v>
      </c>
      <c r="B829" s="14">
        <f>56.2855 * CHOOSE(CONTROL!$C$15, $E$9, 100%, $G$9) + CHOOSE(CONTROL!$C$38, 0.0251, 0)</f>
        <v>56.310600000000001</v>
      </c>
      <c r="C829" s="14">
        <f>53.2337 * CHOOSE(CONTROL!$C$15, $E$9, 100%, $G$9) + CHOOSE(CONTROL!$C$38, 0.0342, 0)</f>
        <v>53.267899999999997</v>
      </c>
      <c r="D829" s="14">
        <f>53.2259 * CHOOSE(CONTROL!$C$15, $E$9, 100%, $G$9) + CHOOSE(CONTROL!$C$38, 0.0342, 0)</f>
        <v>53.260100000000001</v>
      </c>
      <c r="E829" s="46">
        <f>56.1292 * CHOOSE(CONTROL!$C$15, $E$9, 100%, $G$9) + CHOOSE(CONTROL!$C$38, 0.0342, 0)</f>
        <v>56.163399999999996</v>
      </c>
      <c r="F829" s="45">
        <f>56.1292 * CHOOSE(CONTROL!$C$15, $E$9, 100%, $G$9) + CHOOSE(CONTROL!$C$38, 0.0251, 0)</f>
        <v>56.154299999999999</v>
      </c>
      <c r="G829" s="14">
        <f>53.2322 * CHOOSE(CONTROL!$C$15, $E$9, 100%, $G$9) + CHOOSE(CONTROL!$C$38, 0.0342, 0)</f>
        <v>53.266399999999997</v>
      </c>
      <c r="H829" s="14">
        <f>53.2322 * CHOOSE(CONTROL!$C$15, $E$9, 100%, $G$9) + CHOOSE(CONTROL!$C$38, 0.0342, 0)</f>
        <v>53.266399999999997</v>
      </c>
      <c r="I829" s="14">
        <f>53.2337 * CHOOSE(CONTROL!$C$15, $E$9, 100%, $G$9) + CHOOSE(CONTROL!$C$38, 0.0342, 0)</f>
        <v>53.267899999999997</v>
      </c>
      <c r="J829" s="44">
        <f>514.9487</f>
        <v>514.94870000000003</v>
      </c>
    </row>
    <row r="830" spans="1:10" ht="15.75" x14ac:dyDescent="0.25">
      <c r="A830" s="32">
        <v>66201</v>
      </c>
      <c r="B830" s="14">
        <f>59.2195 * CHOOSE(CONTROL!$C$15, $E$9, 100%, $G$9) + CHOOSE(CONTROL!$C$38, 0.0251, 0)</f>
        <v>59.244599999999998</v>
      </c>
      <c r="C830" s="14">
        <f>56.0152 * CHOOSE(CONTROL!$C$15, $E$9, 100%, $G$9) + CHOOSE(CONTROL!$C$38, 0.0342, 0)</f>
        <v>56.049399999999999</v>
      </c>
      <c r="D830" s="14">
        <f>56.0074 * CHOOSE(CONTROL!$C$15, $E$9, 100%, $G$9) + CHOOSE(CONTROL!$C$38, 0.0342, 0)</f>
        <v>56.041599999999995</v>
      </c>
      <c r="E830" s="46">
        <f>59.0633 * CHOOSE(CONTROL!$C$15, $E$9, 100%, $G$9) + CHOOSE(CONTROL!$C$38, 0.0342, 0)</f>
        <v>59.097499999999997</v>
      </c>
      <c r="F830" s="45">
        <f>59.0633 * CHOOSE(CONTROL!$C$15, $E$9, 100%, $G$9) + CHOOSE(CONTROL!$C$38, 0.0251, 0)</f>
        <v>59.0884</v>
      </c>
      <c r="G830" s="14">
        <f>56.0136 * CHOOSE(CONTROL!$C$15, $E$9, 100%, $G$9) + CHOOSE(CONTROL!$C$38, 0.0342, 0)</f>
        <v>56.047799999999995</v>
      </c>
      <c r="H830" s="14">
        <f>56.0136 * CHOOSE(CONTROL!$C$15, $E$9, 100%, $G$9) + CHOOSE(CONTROL!$C$38, 0.0342, 0)</f>
        <v>56.047799999999995</v>
      </c>
      <c r="I830" s="14">
        <f>56.0152 * CHOOSE(CONTROL!$C$15, $E$9, 100%, $G$9) + CHOOSE(CONTROL!$C$38, 0.0342, 0)</f>
        <v>56.049399999999999</v>
      </c>
      <c r="J830" s="44">
        <f>542.0895</f>
        <v>542.08950000000004</v>
      </c>
    </row>
    <row r="831" spans="1:10" ht="15.75" x14ac:dyDescent="0.25">
      <c r="A831" s="32">
        <v>66231</v>
      </c>
      <c r="B831" s="14">
        <f>63.0243 * CHOOSE(CONTROL!$C$15, $E$9, 100%, $G$9) + CHOOSE(CONTROL!$C$38, 0.0251, 0)</f>
        <v>63.049399999999999</v>
      </c>
      <c r="C831" s="14">
        <f>59.622 * CHOOSE(CONTROL!$C$15, $E$9, 100%, $G$9) + CHOOSE(CONTROL!$C$38, 0.0342, 0)</f>
        <v>59.656199999999998</v>
      </c>
      <c r="D831" s="14">
        <f>59.6142 * CHOOSE(CONTROL!$C$15, $E$9, 100%, $G$9) + CHOOSE(CONTROL!$C$38, 0.0342, 0)</f>
        <v>59.648399999999995</v>
      </c>
      <c r="E831" s="46">
        <f>62.868 * CHOOSE(CONTROL!$C$15, $E$9, 100%, $G$9) + CHOOSE(CONTROL!$C$38, 0.0342, 0)</f>
        <v>62.902200000000001</v>
      </c>
      <c r="F831" s="45">
        <f>62.868 * CHOOSE(CONTROL!$C$15, $E$9, 100%, $G$9) + CHOOSE(CONTROL!$C$38, 0.0251, 0)</f>
        <v>62.893100000000004</v>
      </c>
      <c r="G831" s="14">
        <f>59.6205 * CHOOSE(CONTROL!$C$15, $E$9, 100%, $G$9) + CHOOSE(CONTROL!$C$38, 0.0342, 0)</f>
        <v>59.654699999999998</v>
      </c>
      <c r="H831" s="14">
        <f>59.6205 * CHOOSE(CONTROL!$C$15, $E$9, 100%, $G$9) + CHOOSE(CONTROL!$C$38, 0.0342, 0)</f>
        <v>59.654699999999998</v>
      </c>
      <c r="I831" s="14">
        <f>59.622 * CHOOSE(CONTROL!$C$15, $E$9, 100%, $G$9) + CHOOSE(CONTROL!$C$38, 0.0342, 0)</f>
        <v>59.656199999999998</v>
      </c>
      <c r="J831" s="44">
        <f>577.2846</f>
        <v>577.28459999999995</v>
      </c>
    </row>
    <row r="832" spans="1:10" ht="15.75" x14ac:dyDescent="0.25">
      <c r="A832" s="32">
        <v>66262</v>
      </c>
      <c r="B832" s="14">
        <f>65.1185 * CHOOSE(CONTROL!$C$15, $E$9, 100%, $G$9) + CHOOSE(CONTROL!$C$38, 0.0264, 0)</f>
        <v>65.144899999999993</v>
      </c>
      <c r="C832" s="14">
        <f>61.6074 * CHOOSE(CONTROL!$C$15, $E$9, 100%, $G$9) + CHOOSE(CONTROL!$C$38, 0.0354, 0)</f>
        <v>61.642800000000001</v>
      </c>
      <c r="D832" s="14">
        <f>61.5995 * CHOOSE(CONTROL!$C$15, $E$9, 100%, $G$9) + CHOOSE(CONTROL!$C$38, 0.0354, 0)</f>
        <v>61.634900000000002</v>
      </c>
      <c r="E832" s="46">
        <f>64.9623 * CHOOSE(CONTROL!$C$15, $E$9, 100%, $G$9) + CHOOSE(CONTROL!$C$38, 0.0354, 0)</f>
        <v>64.997699999999995</v>
      </c>
      <c r="F832" s="45">
        <f>64.9623 * CHOOSE(CONTROL!$C$15, $E$9, 100%, $G$9) + CHOOSE(CONTROL!$C$38, 0.0264, 0)</f>
        <v>64.988699999999994</v>
      </c>
      <c r="G832" s="14">
        <f>61.6058 * CHOOSE(CONTROL!$C$15, $E$9, 100%, $G$9) + CHOOSE(CONTROL!$C$38, 0.0354, 0)</f>
        <v>61.641200000000005</v>
      </c>
      <c r="H832" s="14">
        <f>61.6058 * CHOOSE(CONTROL!$C$15, $E$9, 100%, $G$9) + CHOOSE(CONTROL!$C$38, 0.0354, 0)</f>
        <v>61.641200000000005</v>
      </c>
      <c r="I832" s="14">
        <f>61.6074 * CHOOSE(CONTROL!$C$15, $E$9, 100%, $G$9) + CHOOSE(CONTROL!$C$38, 0.0354, 0)</f>
        <v>61.642800000000001</v>
      </c>
      <c r="J832" s="44">
        <f>596.6571</f>
        <v>596.65710000000001</v>
      </c>
    </row>
    <row r="833" spans="1:10" ht="15.75" x14ac:dyDescent="0.25">
      <c r="A833" s="32">
        <v>66292</v>
      </c>
      <c r="B833" s="14">
        <f>66.0479 * CHOOSE(CONTROL!$C$15, $E$9, 100%, $G$9) + CHOOSE(CONTROL!$C$38, 0.0264, 0)</f>
        <v>66.074299999999994</v>
      </c>
      <c r="C833" s="14">
        <f>62.4884 * CHOOSE(CONTROL!$C$15, $E$9, 100%, $G$9) + CHOOSE(CONTROL!$C$38, 0.0354, 0)</f>
        <v>62.523800000000001</v>
      </c>
      <c r="D833" s="14">
        <f>62.4806 * CHOOSE(CONTROL!$C$15, $E$9, 100%, $G$9) + CHOOSE(CONTROL!$C$38, 0.0354, 0)</f>
        <v>62.516000000000005</v>
      </c>
      <c r="E833" s="46">
        <f>65.8917 * CHOOSE(CONTROL!$C$15, $E$9, 100%, $G$9) + CHOOSE(CONTROL!$C$38, 0.0354, 0)</f>
        <v>65.927099999999996</v>
      </c>
      <c r="F833" s="45">
        <f>65.8917 * CHOOSE(CONTROL!$C$15, $E$9, 100%, $G$9) + CHOOSE(CONTROL!$C$38, 0.0264, 0)</f>
        <v>65.918099999999995</v>
      </c>
      <c r="G833" s="14">
        <f>62.4868 * CHOOSE(CONTROL!$C$15, $E$9, 100%, $G$9) + CHOOSE(CONTROL!$C$38, 0.0354, 0)</f>
        <v>62.522200000000005</v>
      </c>
      <c r="H833" s="14">
        <f>62.4868 * CHOOSE(CONTROL!$C$15, $E$9, 100%, $G$9) + CHOOSE(CONTROL!$C$38, 0.0354, 0)</f>
        <v>62.522200000000005</v>
      </c>
      <c r="I833" s="14">
        <f>62.4884 * CHOOSE(CONTROL!$C$15, $E$9, 100%, $G$9) + CHOOSE(CONTROL!$C$38, 0.0354, 0)</f>
        <v>62.523800000000001</v>
      </c>
      <c r="J833" s="44">
        <f>605.2543</f>
        <v>605.25429999999994</v>
      </c>
    </row>
    <row r="834" spans="1:10" ht="15.75" x14ac:dyDescent="0.25">
      <c r="A834" s="32">
        <v>66323</v>
      </c>
      <c r="B834" s="14">
        <f>65.7419 * CHOOSE(CONTROL!$C$15, $E$9, 100%, $G$9) + CHOOSE(CONTROL!$C$38, 0.0264, 0)</f>
        <v>65.768299999999996</v>
      </c>
      <c r="C834" s="14">
        <f>62.1983 * CHOOSE(CONTROL!$C$15, $E$9, 100%, $G$9) + CHOOSE(CONTROL!$C$38, 0.0354, 0)</f>
        <v>62.233700000000006</v>
      </c>
      <c r="D834" s="14">
        <f>62.1905 * CHOOSE(CONTROL!$C$15, $E$9, 100%, $G$9) + CHOOSE(CONTROL!$C$38, 0.0354, 0)</f>
        <v>62.225900000000003</v>
      </c>
      <c r="E834" s="46">
        <f>65.5857 * CHOOSE(CONTROL!$C$15, $E$9, 100%, $G$9) + CHOOSE(CONTROL!$C$38, 0.0354, 0)</f>
        <v>65.621099999999998</v>
      </c>
      <c r="F834" s="45">
        <f>65.5857 * CHOOSE(CONTROL!$C$15, $E$9, 100%, $G$9) + CHOOSE(CONTROL!$C$38, 0.0264, 0)</f>
        <v>65.612099999999998</v>
      </c>
      <c r="G834" s="14">
        <f>62.1968 * CHOOSE(CONTROL!$C$15, $E$9, 100%, $G$9) + CHOOSE(CONTROL!$C$38, 0.0354, 0)</f>
        <v>62.232200000000006</v>
      </c>
      <c r="H834" s="14">
        <f>62.1968 * CHOOSE(CONTROL!$C$15, $E$9, 100%, $G$9) + CHOOSE(CONTROL!$C$38, 0.0354, 0)</f>
        <v>62.232200000000006</v>
      </c>
      <c r="I834" s="14">
        <f>62.1983 * CHOOSE(CONTROL!$C$15, $E$9, 100%, $G$9) + CHOOSE(CONTROL!$C$38, 0.0354, 0)</f>
        <v>62.233700000000006</v>
      </c>
      <c r="J834" s="44">
        <f>602.4237</f>
        <v>602.42370000000005</v>
      </c>
    </row>
    <row r="835" spans="1:10" ht="15.75" x14ac:dyDescent="0.25">
      <c r="A835" s="32">
        <v>66354</v>
      </c>
      <c r="B835" s="14">
        <f>64.2258 * CHOOSE(CONTROL!$C$15, $E$9, 100%, $G$9) + CHOOSE(CONTROL!$C$38, 0.0264, 0)</f>
        <v>64.252200000000002</v>
      </c>
      <c r="C835" s="14">
        <f>60.7611 * CHOOSE(CONTROL!$C$15, $E$9, 100%, $G$9) + CHOOSE(CONTROL!$C$38, 0.0354, 0)</f>
        <v>60.796500000000002</v>
      </c>
      <c r="D835" s="14">
        <f>60.7533 * CHOOSE(CONTROL!$C$15, $E$9, 100%, $G$9) + CHOOSE(CONTROL!$C$38, 0.0354, 0)</f>
        <v>60.788700000000006</v>
      </c>
      <c r="E835" s="46">
        <f>64.0696 * CHOOSE(CONTROL!$C$15, $E$9, 100%, $G$9) + CHOOSE(CONTROL!$C$38, 0.0354, 0)</f>
        <v>64.10499999999999</v>
      </c>
      <c r="F835" s="45">
        <f>64.0696 * CHOOSE(CONTROL!$C$15, $E$9, 100%, $G$9) + CHOOSE(CONTROL!$C$38, 0.0264, 0)</f>
        <v>64.095999999999989</v>
      </c>
      <c r="G835" s="14">
        <f>60.7595 * CHOOSE(CONTROL!$C$15, $E$9, 100%, $G$9) + CHOOSE(CONTROL!$C$38, 0.0354, 0)</f>
        <v>60.794900000000005</v>
      </c>
      <c r="H835" s="14">
        <f>60.7595 * CHOOSE(CONTROL!$C$15, $E$9, 100%, $G$9) + CHOOSE(CONTROL!$C$38, 0.0354, 0)</f>
        <v>60.794900000000005</v>
      </c>
      <c r="I835" s="14">
        <f>60.7611 * CHOOSE(CONTROL!$C$15, $E$9, 100%, $G$9) + CHOOSE(CONTROL!$C$38, 0.0354, 0)</f>
        <v>60.796500000000002</v>
      </c>
      <c r="J835" s="44">
        <f>588.3995</f>
        <v>588.39949999999999</v>
      </c>
    </row>
    <row r="836" spans="1:10" ht="15.75" x14ac:dyDescent="0.25">
      <c r="A836" s="32">
        <v>66384</v>
      </c>
      <c r="B836" s="14">
        <f>62.1116 * CHOOSE(CONTROL!$C$15, $E$9, 100%, $G$9) + CHOOSE(CONTROL!$C$38, 0.0264, 0)</f>
        <v>62.138000000000005</v>
      </c>
      <c r="C836" s="14">
        <f>58.7568 * CHOOSE(CONTROL!$C$15, $E$9, 100%, $G$9) + CHOOSE(CONTROL!$C$38, 0.0354, 0)</f>
        <v>58.792200000000001</v>
      </c>
      <c r="D836" s="14">
        <f>58.749 * CHOOSE(CONTROL!$C$15, $E$9, 100%, $G$9) + CHOOSE(CONTROL!$C$38, 0.0354, 0)</f>
        <v>58.784400000000005</v>
      </c>
      <c r="E836" s="46">
        <f>61.9553 * CHOOSE(CONTROL!$C$15, $E$9, 100%, $G$9) + CHOOSE(CONTROL!$C$38, 0.0354, 0)</f>
        <v>61.990700000000004</v>
      </c>
      <c r="F836" s="45">
        <f>61.9553 * CHOOSE(CONTROL!$C$15, $E$9, 100%, $G$9) + CHOOSE(CONTROL!$C$38, 0.0264, 0)</f>
        <v>61.981700000000004</v>
      </c>
      <c r="G836" s="14">
        <f>58.7553 * CHOOSE(CONTROL!$C$15, $E$9, 100%, $G$9) + CHOOSE(CONTROL!$C$38, 0.0354, 0)</f>
        <v>58.790700000000001</v>
      </c>
      <c r="H836" s="14">
        <f>58.7553 * CHOOSE(CONTROL!$C$15, $E$9, 100%, $G$9) + CHOOSE(CONTROL!$C$38, 0.0354, 0)</f>
        <v>58.790700000000001</v>
      </c>
      <c r="I836" s="14">
        <f>58.7568 * CHOOSE(CONTROL!$C$15, $E$9, 100%, $G$9) + CHOOSE(CONTROL!$C$38, 0.0354, 0)</f>
        <v>58.792200000000001</v>
      </c>
      <c r="J836" s="44">
        <f>568.8422</f>
        <v>568.84220000000005</v>
      </c>
    </row>
    <row r="837" spans="1:10" ht="15.75" x14ac:dyDescent="0.25">
      <c r="A837" s="32">
        <v>66415</v>
      </c>
      <c r="B837" s="14">
        <f>59.9851 * CHOOSE(CONTROL!$C$15, $E$9, 100%, $G$9) + CHOOSE(CONTROL!$C$38, 0.0251, 0)</f>
        <v>60.010200000000005</v>
      </c>
      <c r="C837" s="14">
        <f>56.7409 * CHOOSE(CONTROL!$C$15, $E$9, 100%, $G$9) + CHOOSE(CONTROL!$C$38, 0.0342, 0)</f>
        <v>56.775100000000002</v>
      </c>
      <c r="D837" s="14">
        <f>56.7331 * CHOOSE(CONTROL!$C$15, $E$9, 100%, $G$9) + CHOOSE(CONTROL!$C$38, 0.0342, 0)</f>
        <v>56.767299999999999</v>
      </c>
      <c r="E837" s="46">
        <f>59.8288 * CHOOSE(CONTROL!$C$15, $E$9, 100%, $G$9) + CHOOSE(CONTROL!$C$38, 0.0342, 0)</f>
        <v>59.863</v>
      </c>
      <c r="F837" s="45">
        <f>59.8288 * CHOOSE(CONTROL!$C$15, $E$9, 100%, $G$9) + CHOOSE(CONTROL!$C$38, 0.0251, 0)</f>
        <v>59.853900000000003</v>
      </c>
      <c r="G837" s="14">
        <f>56.7393 * CHOOSE(CONTROL!$C$15, $E$9, 100%, $G$9) + CHOOSE(CONTROL!$C$38, 0.0342, 0)</f>
        <v>56.773499999999999</v>
      </c>
      <c r="H837" s="14">
        <f>56.7393 * CHOOSE(CONTROL!$C$15, $E$9, 100%, $G$9) + CHOOSE(CONTROL!$C$38, 0.0342, 0)</f>
        <v>56.773499999999999</v>
      </c>
      <c r="I837" s="14">
        <f>56.7409 * CHOOSE(CONTROL!$C$15, $E$9, 100%, $G$9) + CHOOSE(CONTROL!$C$38, 0.0342, 0)</f>
        <v>56.775100000000002</v>
      </c>
      <c r="J837" s="44">
        <f>549.171</f>
        <v>549.17100000000005</v>
      </c>
    </row>
    <row r="838" spans="1:10" ht="15.75" x14ac:dyDescent="0.25">
      <c r="A838" s="32">
        <v>66445</v>
      </c>
      <c r="B838" s="14">
        <f>59.562 * CHOOSE(CONTROL!$C$15, $E$9, 100%, $G$9) + CHOOSE(CONTROL!$C$38, 0.0251, 0)</f>
        <v>59.5871</v>
      </c>
      <c r="C838" s="14">
        <f>56.3399 * CHOOSE(CONTROL!$C$15, $E$9, 100%, $G$9) + CHOOSE(CONTROL!$C$38, 0.0342, 0)</f>
        <v>56.374099999999999</v>
      </c>
      <c r="D838" s="14">
        <f>56.3321 * CHOOSE(CONTROL!$C$15, $E$9, 100%, $G$9) + CHOOSE(CONTROL!$C$38, 0.0342, 0)</f>
        <v>56.366299999999995</v>
      </c>
      <c r="E838" s="46">
        <f>59.4058 * CHOOSE(CONTROL!$C$15, $E$9, 100%, $G$9) + CHOOSE(CONTROL!$C$38, 0.0342, 0)</f>
        <v>59.44</v>
      </c>
      <c r="F838" s="45">
        <f>59.4058 * CHOOSE(CONTROL!$C$15, $E$9, 100%, $G$9) + CHOOSE(CONTROL!$C$38, 0.0251, 0)</f>
        <v>59.430900000000001</v>
      </c>
      <c r="G838" s="14">
        <f>56.3383 * CHOOSE(CONTROL!$C$15, $E$9, 100%, $G$9) + CHOOSE(CONTROL!$C$38, 0.0342, 0)</f>
        <v>56.372499999999995</v>
      </c>
      <c r="H838" s="14">
        <f>56.3383 * CHOOSE(CONTROL!$C$15, $E$9, 100%, $G$9) + CHOOSE(CONTROL!$C$38, 0.0342, 0)</f>
        <v>56.372499999999995</v>
      </c>
      <c r="I838" s="14">
        <f>56.3399 * CHOOSE(CONTROL!$C$15, $E$9, 100%, $G$9) + CHOOSE(CONTROL!$C$38, 0.0342, 0)</f>
        <v>56.374099999999999</v>
      </c>
      <c r="J838" s="44">
        <f>545.258</f>
        <v>545.25800000000004</v>
      </c>
    </row>
    <row r="839" spans="1:10" ht="15.75" x14ac:dyDescent="0.25">
      <c r="A839" s="32">
        <v>66476</v>
      </c>
      <c r="B839" s="14">
        <f>57.8129 * CHOOSE(CONTROL!$C$15, $E$9, 100%, $G$9) + CHOOSE(CONTROL!$C$38, 0.0251, 0)</f>
        <v>57.838000000000001</v>
      </c>
      <c r="C839" s="14">
        <f>54.6817 * CHOOSE(CONTROL!$C$15, $E$9, 100%, $G$9) + CHOOSE(CONTROL!$C$38, 0.0342, 0)</f>
        <v>54.715899999999998</v>
      </c>
      <c r="D839" s="14">
        <f>54.6739 * CHOOSE(CONTROL!$C$15, $E$9, 100%, $G$9) + CHOOSE(CONTROL!$C$38, 0.0342, 0)</f>
        <v>54.708100000000002</v>
      </c>
      <c r="E839" s="46">
        <f>57.6566 * CHOOSE(CONTROL!$C$15, $E$9, 100%, $G$9) + CHOOSE(CONTROL!$C$38, 0.0342, 0)</f>
        <v>57.690799999999996</v>
      </c>
      <c r="F839" s="45">
        <f>57.6566 * CHOOSE(CONTROL!$C$15, $E$9, 100%, $G$9) + CHOOSE(CONTROL!$C$38, 0.0251, 0)</f>
        <v>57.681699999999999</v>
      </c>
      <c r="G839" s="14">
        <f>54.6801 * CHOOSE(CONTROL!$C$15, $E$9, 100%, $G$9) + CHOOSE(CONTROL!$C$38, 0.0342, 0)</f>
        <v>54.714300000000001</v>
      </c>
      <c r="H839" s="14">
        <f>54.6801 * CHOOSE(CONTROL!$C$15, $E$9, 100%, $G$9) + CHOOSE(CONTROL!$C$38, 0.0342, 0)</f>
        <v>54.714300000000001</v>
      </c>
      <c r="I839" s="14">
        <f>54.6817 * CHOOSE(CONTROL!$C$15, $E$9, 100%, $G$9) + CHOOSE(CONTROL!$C$38, 0.0342, 0)</f>
        <v>54.715899999999998</v>
      </c>
      <c r="J839" s="44">
        <f>529.0774</f>
        <v>529.07740000000001</v>
      </c>
    </row>
    <row r="840" spans="1:10" ht="15.75" x14ac:dyDescent="0.25">
      <c r="A840" s="32">
        <v>66507</v>
      </c>
      <c r="B840" s="14">
        <f>57.3785 * CHOOSE(CONTROL!$C$15, $E$9, 100%, $G$9) + CHOOSE(CONTROL!$C$38, 0.0251, 0)</f>
        <v>57.403600000000004</v>
      </c>
      <c r="C840" s="14">
        <f>54.2699 * CHOOSE(CONTROL!$C$15, $E$9, 100%, $G$9) + CHOOSE(CONTROL!$C$38, 0.0342, 0)</f>
        <v>54.304099999999998</v>
      </c>
      <c r="D840" s="14">
        <f>54.2621 * CHOOSE(CONTROL!$C$15, $E$9, 100%, $G$9) + CHOOSE(CONTROL!$C$38, 0.0342, 0)</f>
        <v>54.296299999999995</v>
      </c>
      <c r="E840" s="46">
        <f>57.2222 * CHOOSE(CONTROL!$C$15, $E$9, 100%, $G$9) + CHOOSE(CONTROL!$C$38, 0.0342, 0)</f>
        <v>57.256399999999999</v>
      </c>
      <c r="F840" s="45">
        <f>57.2222 * CHOOSE(CONTROL!$C$15, $E$9, 100%, $G$9) + CHOOSE(CONTROL!$C$38, 0.0251, 0)</f>
        <v>57.247300000000003</v>
      </c>
      <c r="G840" s="14">
        <f>54.2683 * CHOOSE(CONTROL!$C$15, $E$9, 100%, $G$9) + CHOOSE(CONTROL!$C$38, 0.0342, 0)</f>
        <v>54.302500000000002</v>
      </c>
      <c r="H840" s="14">
        <f>54.2683 * CHOOSE(CONTROL!$C$15, $E$9, 100%, $G$9) + CHOOSE(CONTROL!$C$38, 0.0342, 0)</f>
        <v>54.302500000000002</v>
      </c>
      <c r="I840" s="14">
        <f>54.2699 * CHOOSE(CONTROL!$C$15, $E$9, 100%, $G$9) + CHOOSE(CONTROL!$C$38, 0.0342, 0)</f>
        <v>54.304099999999998</v>
      </c>
      <c r="J840" s="44">
        <f>528.6955</f>
        <v>528.69550000000004</v>
      </c>
    </row>
    <row r="841" spans="1:10" ht="15.75" x14ac:dyDescent="0.25">
      <c r="A841" s="32">
        <v>66535</v>
      </c>
      <c r="B841" s="14">
        <f>57.2207 * CHOOSE(CONTROL!$C$15, $E$9, 100%, $G$9) + CHOOSE(CONTROL!$C$38, 0.0251, 0)</f>
        <v>57.245800000000003</v>
      </c>
      <c r="C841" s="14">
        <f>54.1203 * CHOOSE(CONTROL!$C$15, $E$9, 100%, $G$9) + CHOOSE(CONTROL!$C$38, 0.0342, 0)</f>
        <v>54.154499999999999</v>
      </c>
      <c r="D841" s="14">
        <f>54.1125 * CHOOSE(CONTROL!$C$15, $E$9, 100%, $G$9) + CHOOSE(CONTROL!$C$38, 0.0342, 0)</f>
        <v>54.146699999999996</v>
      </c>
      <c r="E841" s="46">
        <f>57.0644 * CHOOSE(CONTROL!$C$15, $E$9, 100%, $G$9) + CHOOSE(CONTROL!$C$38, 0.0342, 0)</f>
        <v>57.098599999999998</v>
      </c>
      <c r="F841" s="45">
        <f>57.0644 * CHOOSE(CONTROL!$C$15, $E$9, 100%, $G$9) + CHOOSE(CONTROL!$C$38, 0.0251, 0)</f>
        <v>57.089500000000001</v>
      </c>
      <c r="G841" s="14">
        <f>54.1187 * CHOOSE(CONTROL!$C$15, $E$9, 100%, $G$9) + CHOOSE(CONTROL!$C$38, 0.0342, 0)</f>
        <v>54.152899999999995</v>
      </c>
      <c r="H841" s="14">
        <f>54.1187 * CHOOSE(CONTROL!$C$15, $E$9, 100%, $G$9) + CHOOSE(CONTROL!$C$38, 0.0342, 0)</f>
        <v>54.152899999999995</v>
      </c>
      <c r="I841" s="14">
        <f>54.1203 * CHOOSE(CONTROL!$C$15, $E$9, 100%, $G$9) + CHOOSE(CONTROL!$C$38, 0.0342, 0)</f>
        <v>54.154499999999999</v>
      </c>
      <c r="J841" s="44">
        <f>527.2259</f>
        <v>527.22590000000002</v>
      </c>
    </row>
    <row r="842" spans="1:10" ht="15.75" x14ac:dyDescent="0.25">
      <c r="A842" s="32">
        <v>66566</v>
      </c>
      <c r="B842" s="14">
        <f>60.204 * CHOOSE(CONTROL!$C$15, $E$9, 100%, $G$9) + CHOOSE(CONTROL!$C$38, 0.0251, 0)</f>
        <v>60.229100000000003</v>
      </c>
      <c r="C842" s="14">
        <f>56.9485 * CHOOSE(CONTROL!$C$15, $E$9, 100%, $G$9) + CHOOSE(CONTROL!$C$38, 0.0342, 0)</f>
        <v>56.982700000000001</v>
      </c>
      <c r="D842" s="14">
        <f>56.9407 * CHOOSE(CONTROL!$C$15, $E$9, 100%, $G$9) + CHOOSE(CONTROL!$C$38, 0.0342, 0)</f>
        <v>56.974899999999998</v>
      </c>
      <c r="E842" s="46">
        <f>60.0478 * CHOOSE(CONTROL!$C$15, $E$9, 100%, $G$9) + CHOOSE(CONTROL!$C$38, 0.0342, 0)</f>
        <v>60.082000000000001</v>
      </c>
      <c r="F842" s="45">
        <f>60.0478 * CHOOSE(CONTROL!$C$15, $E$9, 100%, $G$9) + CHOOSE(CONTROL!$C$38, 0.0251, 0)</f>
        <v>60.072900000000004</v>
      </c>
      <c r="G842" s="14">
        <f>56.9469 * CHOOSE(CONTROL!$C$15, $E$9, 100%, $G$9) + CHOOSE(CONTROL!$C$38, 0.0342, 0)</f>
        <v>56.981099999999998</v>
      </c>
      <c r="H842" s="14">
        <f>56.9469 * CHOOSE(CONTROL!$C$15, $E$9, 100%, $G$9) + CHOOSE(CONTROL!$C$38, 0.0342, 0)</f>
        <v>56.981099999999998</v>
      </c>
      <c r="I842" s="14">
        <f>56.9485 * CHOOSE(CONTROL!$C$15, $E$9, 100%, $G$9) + CHOOSE(CONTROL!$C$38, 0.0342, 0)</f>
        <v>56.982700000000001</v>
      </c>
      <c r="J842" s="44">
        <f>555.0137</f>
        <v>555.01369999999997</v>
      </c>
    </row>
    <row r="843" spans="1:10" ht="15.75" x14ac:dyDescent="0.25">
      <c r="A843" s="32">
        <v>66596</v>
      </c>
      <c r="B843" s="14">
        <f>64.0727 * CHOOSE(CONTROL!$C$15, $E$9, 100%, $G$9) + CHOOSE(CONTROL!$C$38, 0.0251, 0)</f>
        <v>64.097799999999992</v>
      </c>
      <c r="C843" s="14">
        <f>60.6159 * CHOOSE(CONTROL!$C$15, $E$9, 100%, $G$9) + CHOOSE(CONTROL!$C$38, 0.0342, 0)</f>
        <v>60.650100000000002</v>
      </c>
      <c r="D843" s="14">
        <f>60.6081 * CHOOSE(CONTROL!$C$15, $E$9, 100%, $G$9) + CHOOSE(CONTROL!$C$38, 0.0342, 0)</f>
        <v>60.642299999999999</v>
      </c>
      <c r="E843" s="46">
        <f>63.9164 * CHOOSE(CONTROL!$C$15, $E$9, 100%, $G$9) + CHOOSE(CONTROL!$C$38, 0.0342, 0)</f>
        <v>63.950600000000001</v>
      </c>
      <c r="F843" s="45">
        <f>63.9164 * CHOOSE(CONTROL!$C$15, $E$9, 100%, $G$9) + CHOOSE(CONTROL!$C$38, 0.0251, 0)</f>
        <v>63.941500000000005</v>
      </c>
      <c r="G843" s="14">
        <f>60.6144 * CHOOSE(CONTROL!$C$15, $E$9, 100%, $G$9) + CHOOSE(CONTROL!$C$38, 0.0342, 0)</f>
        <v>60.648600000000002</v>
      </c>
      <c r="H843" s="14">
        <f>60.6144 * CHOOSE(CONTROL!$C$15, $E$9, 100%, $G$9) + CHOOSE(CONTROL!$C$38, 0.0342, 0)</f>
        <v>60.648600000000002</v>
      </c>
      <c r="I843" s="14">
        <f>60.6159 * CHOOSE(CONTROL!$C$15, $E$9, 100%, $G$9) + CHOOSE(CONTROL!$C$38, 0.0342, 0)</f>
        <v>60.650100000000002</v>
      </c>
      <c r="J843" s="44">
        <f>591.0479</f>
        <v>591.04790000000003</v>
      </c>
    </row>
    <row r="844" spans="1:10" ht="15.75" x14ac:dyDescent="0.25">
      <c r="A844" s="32">
        <v>66627</v>
      </c>
      <c r="B844" s="14">
        <f>66.2021 * CHOOSE(CONTROL!$C$15, $E$9, 100%, $G$9) + CHOOSE(CONTROL!$C$38, 0.0264, 0)</f>
        <v>66.228499999999997</v>
      </c>
      <c r="C844" s="14">
        <f>62.6346 * CHOOSE(CONTROL!$C$15, $E$9, 100%, $G$9) + CHOOSE(CONTROL!$C$38, 0.0354, 0)</f>
        <v>62.67</v>
      </c>
      <c r="D844" s="14">
        <f>62.6268 * CHOOSE(CONTROL!$C$15, $E$9, 100%, $G$9) + CHOOSE(CONTROL!$C$38, 0.0354, 0)</f>
        <v>62.662200000000006</v>
      </c>
      <c r="E844" s="46">
        <f>66.0459 * CHOOSE(CONTROL!$C$15, $E$9, 100%, $G$9) + CHOOSE(CONTROL!$C$38, 0.0354, 0)</f>
        <v>66.081299999999999</v>
      </c>
      <c r="F844" s="45">
        <f>66.0459 * CHOOSE(CONTROL!$C$15, $E$9, 100%, $G$9) + CHOOSE(CONTROL!$C$38, 0.0264, 0)</f>
        <v>66.072299999999998</v>
      </c>
      <c r="G844" s="14">
        <f>62.633 * CHOOSE(CONTROL!$C$15, $E$9, 100%, $G$9) + CHOOSE(CONTROL!$C$38, 0.0354, 0)</f>
        <v>62.668400000000005</v>
      </c>
      <c r="H844" s="14">
        <f>62.633 * CHOOSE(CONTROL!$C$15, $E$9, 100%, $G$9) + CHOOSE(CONTROL!$C$38, 0.0354, 0)</f>
        <v>62.668400000000005</v>
      </c>
      <c r="I844" s="14">
        <f>62.6346 * CHOOSE(CONTROL!$C$15, $E$9, 100%, $G$9) + CHOOSE(CONTROL!$C$38, 0.0354, 0)</f>
        <v>62.67</v>
      </c>
      <c r="J844" s="44">
        <f>610.8823</f>
        <v>610.88229999999999</v>
      </c>
    </row>
    <row r="845" spans="1:10" ht="15.75" x14ac:dyDescent="0.25">
      <c r="A845" s="32">
        <v>66657</v>
      </c>
      <c r="B845" s="14">
        <f>67.1471 * CHOOSE(CONTROL!$C$15, $E$9, 100%, $G$9) + CHOOSE(CONTROL!$C$38, 0.0264, 0)</f>
        <v>67.17349999999999</v>
      </c>
      <c r="C845" s="14">
        <f>63.5305 * CHOOSE(CONTROL!$C$15, $E$9, 100%, $G$9) + CHOOSE(CONTROL!$C$38, 0.0354, 0)</f>
        <v>63.565900000000006</v>
      </c>
      <c r="D845" s="14">
        <f>63.5226 * CHOOSE(CONTROL!$C$15, $E$9, 100%, $G$9) + CHOOSE(CONTROL!$C$38, 0.0354, 0)</f>
        <v>63.558</v>
      </c>
      <c r="E845" s="46">
        <f>66.9909 * CHOOSE(CONTROL!$C$15, $E$9, 100%, $G$9) + CHOOSE(CONTROL!$C$38, 0.0354, 0)</f>
        <v>67.026299999999992</v>
      </c>
      <c r="F845" s="45">
        <f>66.9909 * CHOOSE(CONTROL!$C$15, $E$9, 100%, $G$9) + CHOOSE(CONTROL!$C$38, 0.0264, 0)</f>
        <v>67.017299999999992</v>
      </c>
      <c r="G845" s="14">
        <f>63.5289 * CHOOSE(CONTROL!$C$15, $E$9, 100%, $G$9) + CHOOSE(CONTROL!$C$38, 0.0354, 0)</f>
        <v>63.564300000000003</v>
      </c>
      <c r="H845" s="14">
        <f>63.5289 * CHOOSE(CONTROL!$C$15, $E$9, 100%, $G$9) + CHOOSE(CONTROL!$C$38, 0.0354, 0)</f>
        <v>63.564300000000003</v>
      </c>
      <c r="I845" s="14">
        <f>63.5305 * CHOOSE(CONTROL!$C$15, $E$9, 100%, $G$9) + CHOOSE(CONTROL!$C$38, 0.0354, 0)</f>
        <v>63.565900000000006</v>
      </c>
      <c r="J845" s="44">
        <f>619.6845</f>
        <v>619.68449999999996</v>
      </c>
    </row>
    <row r="846" spans="1:10" ht="15.75" x14ac:dyDescent="0.25">
      <c r="A846" s="32">
        <v>66688</v>
      </c>
      <c r="B846" s="14">
        <f>66.836 * CHOOSE(CONTROL!$C$15, $E$9, 100%, $G$9) + CHOOSE(CONTROL!$C$38, 0.0264, 0)</f>
        <v>66.862399999999994</v>
      </c>
      <c r="C846" s="14">
        <f>63.2355 * CHOOSE(CONTROL!$C$15, $E$9, 100%, $G$9) + CHOOSE(CONTROL!$C$38, 0.0354, 0)</f>
        <v>63.270900000000005</v>
      </c>
      <c r="D846" s="14">
        <f>63.2277 * CHOOSE(CONTROL!$C$15, $E$9, 100%, $G$9) + CHOOSE(CONTROL!$C$38, 0.0354, 0)</f>
        <v>63.263100000000001</v>
      </c>
      <c r="E846" s="46">
        <f>66.6797 * CHOOSE(CONTROL!$C$15, $E$9, 100%, $G$9) + CHOOSE(CONTROL!$C$38, 0.0354, 0)</f>
        <v>66.715099999999993</v>
      </c>
      <c r="F846" s="45">
        <f>66.6797 * CHOOSE(CONTROL!$C$15, $E$9, 100%, $G$9) + CHOOSE(CONTROL!$C$38, 0.0264, 0)</f>
        <v>66.706099999999992</v>
      </c>
      <c r="G846" s="14">
        <f>63.2339 * CHOOSE(CONTROL!$C$15, $E$9, 100%, $G$9) + CHOOSE(CONTROL!$C$38, 0.0354, 0)</f>
        <v>63.269300000000001</v>
      </c>
      <c r="H846" s="14">
        <f>63.2339 * CHOOSE(CONTROL!$C$15, $E$9, 100%, $G$9) + CHOOSE(CONTROL!$C$38, 0.0354, 0)</f>
        <v>63.269300000000001</v>
      </c>
      <c r="I846" s="14">
        <f>63.2355 * CHOOSE(CONTROL!$C$15, $E$9, 100%, $G$9) + CHOOSE(CONTROL!$C$38, 0.0354, 0)</f>
        <v>63.270900000000005</v>
      </c>
      <c r="J846" s="44">
        <f>616.7864</f>
        <v>616.78639999999996</v>
      </c>
    </row>
    <row r="847" spans="1:10" ht="15.75" x14ac:dyDescent="0.25">
      <c r="A847" s="32">
        <v>66719</v>
      </c>
      <c r="B847" s="14">
        <f>65.2944 * CHOOSE(CONTROL!$C$15, $E$9, 100%, $G$9) + CHOOSE(CONTROL!$C$38, 0.0264, 0)</f>
        <v>65.320799999999991</v>
      </c>
      <c r="C847" s="14">
        <f>61.7741 * CHOOSE(CONTROL!$C$15, $E$9, 100%, $G$9) + CHOOSE(CONTROL!$C$38, 0.0354, 0)</f>
        <v>61.8095</v>
      </c>
      <c r="D847" s="14">
        <f>61.7663 * CHOOSE(CONTROL!$C$15, $E$9, 100%, $G$9) + CHOOSE(CONTROL!$C$38, 0.0354, 0)</f>
        <v>61.801700000000004</v>
      </c>
      <c r="E847" s="46">
        <f>65.1382 * CHOOSE(CONTROL!$C$15, $E$9, 100%, $G$9) + CHOOSE(CONTROL!$C$38, 0.0354, 0)</f>
        <v>65.173599999999993</v>
      </c>
      <c r="F847" s="45">
        <f>65.1382 * CHOOSE(CONTROL!$C$15, $E$9, 100%, $G$9) + CHOOSE(CONTROL!$C$38, 0.0264, 0)</f>
        <v>65.164599999999993</v>
      </c>
      <c r="G847" s="14">
        <f>61.7726 * CHOOSE(CONTROL!$C$15, $E$9, 100%, $G$9) + CHOOSE(CONTROL!$C$38, 0.0354, 0)</f>
        <v>61.808</v>
      </c>
      <c r="H847" s="14">
        <f>61.7726 * CHOOSE(CONTROL!$C$15, $E$9, 100%, $G$9) + CHOOSE(CONTROL!$C$38, 0.0354, 0)</f>
        <v>61.808</v>
      </c>
      <c r="I847" s="14">
        <f>61.7741 * CHOOSE(CONTROL!$C$15, $E$9, 100%, $G$9) + CHOOSE(CONTROL!$C$38, 0.0354, 0)</f>
        <v>61.8095</v>
      </c>
      <c r="J847" s="44">
        <f>602.4279</f>
        <v>602.42790000000002</v>
      </c>
    </row>
    <row r="848" spans="1:10" ht="15.75" x14ac:dyDescent="0.25">
      <c r="A848" s="32">
        <v>66749</v>
      </c>
      <c r="B848" s="14">
        <f>63.1447 * CHOOSE(CONTROL!$C$15, $E$9, 100%, $G$9) + CHOOSE(CONTROL!$C$38, 0.0264, 0)</f>
        <v>63.171100000000003</v>
      </c>
      <c r="C848" s="14">
        <f>59.7362 * CHOOSE(CONTROL!$C$15, $E$9, 100%, $G$9) + CHOOSE(CONTROL!$C$38, 0.0354, 0)</f>
        <v>59.771599999999999</v>
      </c>
      <c r="D848" s="14">
        <f>59.7284 * CHOOSE(CONTROL!$C$15, $E$9, 100%, $G$9) + CHOOSE(CONTROL!$C$38, 0.0354, 0)</f>
        <v>59.763800000000003</v>
      </c>
      <c r="E848" s="46">
        <f>62.9884 * CHOOSE(CONTROL!$C$15, $E$9, 100%, $G$9) + CHOOSE(CONTROL!$C$38, 0.0354, 0)</f>
        <v>63.023800000000001</v>
      </c>
      <c r="F848" s="45">
        <f>62.9884 * CHOOSE(CONTROL!$C$15, $E$9, 100%, $G$9) + CHOOSE(CONTROL!$C$38, 0.0264, 0)</f>
        <v>63.014800000000001</v>
      </c>
      <c r="G848" s="14">
        <f>59.7346 * CHOOSE(CONTROL!$C$15, $E$9, 100%, $G$9) + CHOOSE(CONTROL!$C$38, 0.0354, 0)</f>
        <v>59.77</v>
      </c>
      <c r="H848" s="14">
        <f>59.7346 * CHOOSE(CONTROL!$C$15, $E$9, 100%, $G$9) + CHOOSE(CONTROL!$C$38, 0.0354, 0)</f>
        <v>59.77</v>
      </c>
      <c r="I848" s="14">
        <f>59.7362 * CHOOSE(CONTROL!$C$15, $E$9, 100%, $G$9) + CHOOSE(CONTROL!$C$38, 0.0354, 0)</f>
        <v>59.771599999999999</v>
      </c>
      <c r="J848" s="44">
        <f>582.4042</f>
        <v>582.40419999999995</v>
      </c>
    </row>
    <row r="849" spans="1:10" ht="15.75" x14ac:dyDescent="0.25">
      <c r="A849" s="32">
        <v>66780</v>
      </c>
      <c r="B849" s="14">
        <f>60.9824 * CHOOSE(CONTROL!$C$15, $E$9, 100%, $G$9) + CHOOSE(CONTROL!$C$38, 0.0251, 0)</f>
        <v>61.0075</v>
      </c>
      <c r="C849" s="14">
        <f>57.6864 * CHOOSE(CONTROL!$C$15, $E$9, 100%, $G$9) + CHOOSE(CONTROL!$C$38, 0.0342, 0)</f>
        <v>57.720599999999997</v>
      </c>
      <c r="D849" s="14">
        <f>57.6786 * CHOOSE(CONTROL!$C$15, $E$9, 100%, $G$9) + CHOOSE(CONTROL!$C$38, 0.0342, 0)</f>
        <v>57.712800000000001</v>
      </c>
      <c r="E849" s="46">
        <f>60.8262 * CHOOSE(CONTROL!$C$15, $E$9, 100%, $G$9) + CHOOSE(CONTROL!$C$38, 0.0342, 0)</f>
        <v>60.860399999999998</v>
      </c>
      <c r="F849" s="45">
        <f>60.8262 * CHOOSE(CONTROL!$C$15, $E$9, 100%, $G$9) + CHOOSE(CONTROL!$C$38, 0.0251, 0)</f>
        <v>60.851300000000002</v>
      </c>
      <c r="G849" s="14">
        <f>57.6848 * CHOOSE(CONTROL!$C$15, $E$9, 100%, $G$9) + CHOOSE(CONTROL!$C$38, 0.0342, 0)</f>
        <v>57.719000000000001</v>
      </c>
      <c r="H849" s="14">
        <f>57.6848 * CHOOSE(CONTROL!$C$15, $E$9, 100%, $G$9) + CHOOSE(CONTROL!$C$38, 0.0342, 0)</f>
        <v>57.719000000000001</v>
      </c>
      <c r="I849" s="14">
        <f>57.6864 * CHOOSE(CONTROL!$C$15, $E$9, 100%, $G$9) + CHOOSE(CONTROL!$C$38, 0.0342, 0)</f>
        <v>57.720599999999997</v>
      </c>
      <c r="J849" s="44">
        <f>562.2641</f>
        <v>562.26409999999998</v>
      </c>
    </row>
    <row r="850" spans="1:10" ht="15.75" x14ac:dyDescent="0.25">
      <c r="A850" s="32">
        <v>66810</v>
      </c>
      <c r="B850" s="14">
        <f>60.5523 * CHOOSE(CONTROL!$C$15, $E$9, 100%, $G$9) + CHOOSE(CONTROL!$C$38, 0.0251, 0)</f>
        <v>60.577400000000004</v>
      </c>
      <c r="C850" s="14">
        <f>57.2786 * CHOOSE(CONTROL!$C$15, $E$9, 100%, $G$9) + CHOOSE(CONTROL!$C$38, 0.0342, 0)</f>
        <v>57.312799999999996</v>
      </c>
      <c r="D850" s="14">
        <f>57.2708 * CHOOSE(CONTROL!$C$15, $E$9, 100%, $G$9) + CHOOSE(CONTROL!$C$38, 0.0342, 0)</f>
        <v>57.305</v>
      </c>
      <c r="E850" s="46">
        <f>60.3961 * CHOOSE(CONTROL!$C$15, $E$9, 100%, $G$9) + CHOOSE(CONTROL!$C$38, 0.0342, 0)</f>
        <v>60.430299999999995</v>
      </c>
      <c r="F850" s="45">
        <f>60.3961 * CHOOSE(CONTROL!$C$15, $E$9, 100%, $G$9) + CHOOSE(CONTROL!$C$38, 0.0251, 0)</f>
        <v>60.421199999999999</v>
      </c>
      <c r="G850" s="14">
        <f>57.2771 * CHOOSE(CONTROL!$C$15, $E$9, 100%, $G$9) + CHOOSE(CONTROL!$C$38, 0.0342, 0)</f>
        <v>57.311299999999996</v>
      </c>
      <c r="H850" s="14">
        <f>57.2771 * CHOOSE(CONTROL!$C$15, $E$9, 100%, $G$9) + CHOOSE(CONTROL!$C$38, 0.0342, 0)</f>
        <v>57.311299999999996</v>
      </c>
      <c r="I850" s="14">
        <f>57.2786 * CHOOSE(CONTROL!$C$15, $E$9, 100%, $G$9) + CHOOSE(CONTROL!$C$38, 0.0342, 0)</f>
        <v>57.312799999999996</v>
      </c>
      <c r="J850" s="44">
        <f>558.2578</f>
        <v>558.25779999999997</v>
      </c>
    </row>
    <row r="851" spans="1:10" ht="15.75" x14ac:dyDescent="0.25">
      <c r="A851" s="32">
        <v>66841</v>
      </c>
      <c r="B851" s="14">
        <f>58.7737 * CHOOSE(CONTROL!$C$15, $E$9, 100%, $G$9) + CHOOSE(CONTROL!$C$38, 0.0251, 0)</f>
        <v>58.7988</v>
      </c>
      <c r="C851" s="14">
        <f>55.5926 * CHOOSE(CONTROL!$C$15, $E$9, 100%, $G$9) + CHOOSE(CONTROL!$C$38, 0.0342, 0)</f>
        <v>55.626799999999996</v>
      </c>
      <c r="D851" s="14">
        <f>55.5848 * CHOOSE(CONTROL!$C$15, $E$9, 100%, $G$9) + CHOOSE(CONTROL!$C$38, 0.0342, 0)</f>
        <v>55.619</v>
      </c>
      <c r="E851" s="46">
        <f>58.6175 * CHOOSE(CONTROL!$C$15, $E$9, 100%, $G$9) + CHOOSE(CONTROL!$C$38, 0.0342, 0)</f>
        <v>58.651699999999998</v>
      </c>
      <c r="F851" s="45">
        <f>58.6175 * CHOOSE(CONTROL!$C$15, $E$9, 100%, $G$9) + CHOOSE(CONTROL!$C$38, 0.0251, 0)</f>
        <v>58.642600000000002</v>
      </c>
      <c r="G851" s="14">
        <f>55.591 * CHOOSE(CONTROL!$C$15, $E$9, 100%, $G$9) + CHOOSE(CONTROL!$C$38, 0.0342, 0)</f>
        <v>55.6252</v>
      </c>
      <c r="H851" s="14">
        <f>55.591 * CHOOSE(CONTROL!$C$15, $E$9, 100%, $G$9) + CHOOSE(CONTROL!$C$38, 0.0342, 0)</f>
        <v>55.6252</v>
      </c>
      <c r="I851" s="14">
        <f>55.5926 * CHOOSE(CONTROL!$C$15, $E$9, 100%, $G$9) + CHOOSE(CONTROL!$C$38, 0.0342, 0)</f>
        <v>55.626799999999996</v>
      </c>
      <c r="J851" s="44">
        <f>541.6914</f>
        <v>541.69140000000004</v>
      </c>
    </row>
    <row r="852" spans="1:10" ht="15.75" x14ac:dyDescent="0.25">
      <c r="A852" s="32">
        <v>66872</v>
      </c>
      <c r="B852" s="14">
        <f>58.332 * CHOOSE(CONTROL!$C$15, $E$9, 100%, $G$9) + CHOOSE(CONTROL!$C$38, 0.0251, 0)</f>
        <v>58.357100000000003</v>
      </c>
      <c r="C852" s="14">
        <f>55.1739 * CHOOSE(CONTROL!$C$15, $E$9, 100%, $G$9) + CHOOSE(CONTROL!$C$38, 0.0342, 0)</f>
        <v>55.208100000000002</v>
      </c>
      <c r="D852" s="14">
        <f>55.166 * CHOOSE(CONTROL!$C$15, $E$9, 100%, $G$9) + CHOOSE(CONTROL!$C$38, 0.0342, 0)</f>
        <v>55.200199999999995</v>
      </c>
      <c r="E852" s="46">
        <f>58.1758 * CHOOSE(CONTROL!$C$15, $E$9, 100%, $G$9) + CHOOSE(CONTROL!$C$38, 0.0342, 0)</f>
        <v>58.21</v>
      </c>
      <c r="F852" s="45">
        <f>58.1758 * CHOOSE(CONTROL!$C$15, $E$9, 100%, $G$9) + CHOOSE(CONTROL!$C$38, 0.0251, 0)</f>
        <v>58.200900000000004</v>
      </c>
      <c r="G852" s="14">
        <f>55.1723 * CHOOSE(CONTROL!$C$15, $E$9, 100%, $G$9) + CHOOSE(CONTROL!$C$38, 0.0342, 0)</f>
        <v>55.206499999999998</v>
      </c>
      <c r="H852" s="14">
        <f>55.1723 * CHOOSE(CONTROL!$C$15, $E$9, 100%, $G$9) + CHOOSE(CONTROL!$C$38, 0.0342, 0)</f>
        <v>55.206499999999998</v>
      </c>
      <c r="I852" s="14">
        <f>55.1739 * CHOOSE(CONTROL!$C$15, $E$9, 100%, $G$9) + CHOOSE(CONTROL!$C$38, 0.0342, 0)</f>
        <v>55.208100000000002</v>
      </c>
      <c r="J852" s="44">
        <f>541.3004</f>
        <v>541.30039999999997</v>
      </c>
    </row>
    <row r="853" spans="1:10" ht="15.75" x14ac:dyDescent="0.25">
      <c r="A853" s="32">
        <v>66900</v>
      </c>
      <c r="B853" s="14">
        <f>58.1716 * CHOOSE(CONTROL!$C$15, $E$9, 100%, $G$9) + CHOOSE(CONTROL!$C$38, 0.0251, 0)</f>
        <v>58.1967</v>
      </c>
      <c r="C853" s="14">
        <f>55.0218 * CHOOSE(CONTROL!$C$15, $E$9, 100%, $G$9) + CHOOSE(CONTROL!$C$38, 0.0342, 0)</f>
        <v>55.055999999999997</v>
      </c>
      <c r="D853" s="14">
        <f>55.014 * CHOOSE(CONTROL!$C$15, $E$9, 100%, $G$9) + CHOOSE(CONTROL!$C$38, 0.0342, 0)</f>
        <v>55.048200000000001</v>
      </c>
      <c r="E853" s="46">
        <f>58.0154 * CHOOSE(CONTROL!$C$15, $E$9, 100%, $G$9) + CHOOSE(CONTROL!$C$38, 0.0342, 0)</f>
        <v>58.049599999999998</v>
      </c>
      <c r="F853" s="45">
        <f>58.0154 * CHOOSE(CONTROL!$C$15, $E$9, 100%, $G$9) + CHOOSE(CONTROL!$C$38, 0.0251, 0)</f>
        <v>58.040500000000002</v>
      </c>
      <c r="G853" s="14">
        <f>55.0202 * CHOOSE(CONTROL!$C$15, $E$9, 100%, $G$9) + CHOOSE(CONTROL!$C$38, 0.0342, 0)</f>
        <v>55.054400000000001</v>
      </c>
      <c r="H853" s="14">
        <f>55.0202 * CHOOSE(CONTROL!$C$15, $E$9, 100%, $G$9) + CHOOSE(CONTROL!$C$38, 0.0342, 0)</f>
        <v>55.054400000000001</v>
      </c>
      <c r="I853" s="14">
        <f>55.0218 * CHOOSE(CONTROL!$C$15, $E$9, 100%, $G$9) + CHOOSE(CONTROL!$C$38, 0.0342, 0)</f>
        <v>55.055999999999997</v>
      </c>
      <c r="J853" s="44">
        <f>539.7957</f>
        <v>539.79570000000001</v>
      </c>
    </row>
    <row r="854" spans="1:10" ht="15.75" x14ac:dyDescent="0.25">
      <c r="A854" s="32">
        <v>66931</v>
      </c>
      <c r="B854" s="14">
        <f>61.2051 * CHOOSE(CONTROL!$C$15, $E$9, 100%, $G$9) + CHOOSE(CONTROL!$C$38, 0.0251, 0)</f>
        <v>61.230200000000004</v>
      </c>
      <c r="C854" s="14">
        <f>57.8974 * CHOOSE(CONTROL!$C$15, $E$9, 100%, $G$9) + CHOOSE(CONTROL!$C$38, 0.0342, 0)</f>
        <v>57.931599999999996</v>
      </c>
      <c r="D854" s="14">
        <f>57.8896 * CHOOSE(CONTROL!$C$15, $E$9, 100%, $G$9) + CHOOSE(CONTROL!$C$38, 0.0342, 0)</f>
        <v>57.9238</v>
      </c>
      <c r="E854" s="46">
        <f>61.0488 * CHOOSE(CONTROL!$C$15, $E$9, 100%, $G$9) + CHOOSE(CONTROL!$C$38, 0.0342, 0)</f>
        <v>61.082999999999998</v>
      </c>
      <c r="F854" s="45">
        <f>61.0488 * CHOOSE(CONTROL!$C$15, $E$9, 100%, $G$9) + CHOOSE(CONTROL!$C$38, 0.0251, 0)</f>
        <v>61.073900000000002</v>
      </c>
      <c r="G854" s="14">
        <f>57.8959 * CHOOSE(CONTROL!$C$15, $E$9, 100%, $G$9) + CHOOSE(CONTROL!$C$38, 0.0342, 0)</f>
        <v>57.930099999999996</v>
      </c>
      <c r="H854" s="14">
        <f>57.8959 * CHOOSE(CONTROL!$C$15, $E$9, 100%, $G$9) + CHOOSE(CONTROL!$C$38, 0.0342, 0)</f>
        <v>57.930099999999996</v>
      </c>
      <c r="I854" s="14">
        <f>57.8974 * CHOOSE(CONTROL!$C$15, $E$9, 100%, $G$9) + CHOOSE(CONTROL!$C$38, 0.0342, 0)</f>
        <v>57.931599999999996</v>
      </c>
      <c r="J854" s="44">
        <f>568.2461</f>
        <v>568.24609999999996</v>
      </c>
    </row>
    <row r="855" spans="1:10" ht="15.75" x14ac:dyDescent="0.25">
      <c r="A855" s="32">
        <v>66961</v>
      </c>
      <c r="B855" s="14">
        <f>65.1387 * CHOOSE(CONTROL!$C$15, $E$9, 100%, $G$9) + CHOOSE(CONTROL!$C$38, 0.0251, 0)</f>
        <v>65.163799999999995</v>
      </c>
      <c r="C855" s="14">
        <f>61.6265 * CHOOSE(CONTROL!$C$15, $E$9, 100%, $G$9) + CHOOSE(CONTROL!$C$38, 0.0342, 0)</f>
        <v>61.660699999999999</v>
      </c>
      <c r="D855" s="14">
        <f>61.6187 * CHOOSE(CONTROL!$C$15, $E$9, 100%, $G$9) + CHOOSE(CONTROL!$C$38, 0.0342, 0)</f>
        <v>61.652899999999995</v>
      </c>
      <c r="E855" s="46">
        <f>64.9825 * CHOOSE(CONTROL!$C$15, $E$9, 100%, $G$9) + CHOOSE(CONTROL!$C$38, 0.0342, 0)</f>
        <v>65.0167</v>
      </c>
      <c r="F855" s="45">
        <f>64.9825 * CHOOSE(CONTROL!$C$15, $E$9, 100%, $G$9) + CHOOSE(CONTROL!$C$38, 0.0251, 0)</f>
        <v>65.007599999999996</v>
      </c>
      <c r="G855" s="14">
        <f>61.6249 * CHOOSE(CONTROL!$C$15, $E$9, 100%, $G$9) + CHOOSE(CONTROL!$C$38, 0.0342, 0)</f>
        <v>61.659099999999995</v>
      </c>
      <c r="H855" s="14">
        <f>61.6249 * CHOOSE(CONTROL!$C$15, $E$9, 100%, $G$9) + CHOOSE(CONTROL!$C$38, 0.0342, 0)</f>
        <v>61.659099999999995</v>
      </c>
      <c r="I855" s="14">
        <f>61.6265 * CHOOSE(CONTROL!$C$15, $E$9, 100%, $G$9) + CHOOSE(CONTROL!$C$38, 0.0342, 0)</f>
        <v>61.660699999999999</v>
      </c>
      <c r="J855" s="44">
        <f>605.1394</f>
        <v>605.13940000000002</v>
      </c>
    </row>
    <row r="856" spans="1:10" ht="15.75" x14ac:dyDescent="0.25">
      <c r="A856" s="32">
        <v>66992</v>
      </c>
      <c r="B856" s="14">
        <f>67.3039 * CHOOSE(CONTROL!$C$15, $E$9, 100%, $G$9) + CHOOSE(CONTROL!$C$38, 0.0264, 0)</f>
        <v>67.330299999999994</v>
      </c>
      <c r="C856" s="14">
        <f>63.6791 * CHOOSE(CONTROL!$C$15, $E$9, 100%, $G$9) + CHOOSE(CONTROL!$C$38, 0.0354, 0)</f>
        <v>63.714500000000001</v>
      </c>
      <c r="D856" s="14">
        <f>63.6713 * CHOOSE(CONTROL!$C$15, $E$9, 100%, $G$9) + CHOOSE(CONTROL!$C$38, 0.0354, 0)</f>
        <v>63.706700000000005</v>
      </c>
      <c r="E856" s="46">
        <f>67.1477 * CHOOSE(CONTROL!$C$15, $E$9, 100%, $G$9) + CHOOSE(CONTROL!$C$38, 0.0354, 0)</f>
        <v>67.183099999999996</v>
      </c>
      <c r="F856" s="45">
        <f>67.1477 * CHOOSE(CONTROL!$C$15, $E$9, 100%, $G$9) + CHOOSE(CONTROL!$C$38, 0.0264, 0)</f>
        <v>67.174099999999996</v>
      </c>
      <c r="G856" s="14">
        <f>63.6775 * CHOOSE(CONTROL!$C$15, $E$9, 100%, $G$9) + CHOOSE(CONTROL!$C$38, 0.0354, 0)</f>
        <v>63.712900000000005</v>
      </c>
      <c r="H856" s="14">
        <f>63.6775 * CHOOSE(CONTROL!$C$15, $E$9, 100%, $G$9) + CHOOSE(CONTROL!$C$38, 0.0354, 0)</f>
        <v>63.712900000000005</v>
      </c>
      <c r="I856" s="14">
        <f>63.6791 * CHOOSE(CONTROL!$C$15, $E$9, 100%, $G$9) + CHOOSE(CONTROL!$C$38, 0.0354, 0)</f>
        <v>63.714500000000001</v>
      </c>
      <c r="J856" s="44">
        <f>625.4467</f>
        <v>625.44669999999996</v>
      </c>
    </row>
    <row r="857" spans="1:10" ht="15.75" x14ac:dyDescent="0.25">
      <c r="A857" s="32">
        <v>67022</v>
      </c>
      <c r="B857" s="14">
        <f>68.2648 * CHOOSE(CONTROL!$C$15, $E$9, 100%, $G$9) + CHOOSE(CONTROL!$C$38, 0.0264, 0)</f>
        <v>68.291199999999989</v>
      </c>
      <c r="C857" s="14">
        <f>64.59 * CHOOSE(CONTROL!$C$15, $E$9, 100%, $G$9) + CHOOSE(CONTROL!$C$38, 0.0354, 0)</f>
        <v>64.625399999999999</v>
      </c>
      <c r="D857" s="14">
        <f>64.5822 * CHOOSE(CONTROL!$C$15, $E$9, 100%, $G$9) + CHOOSE(CONTROL!$C$38, 0.0354, 0)</f>
        <v>64.617599999999996</v>
      </c>
      <c r="E857" s="46">
        <f>68.1086 * CHOOSE(CONTROL!$C$15, $E$9, 100%, $G$9) + CHOOSE(CONTROL!$C$38, 0.0354, 0)</f>
        <v>68.143999999999991</v>
      </c>
      <c r="F857" s="45">
        <f>68.1086 * CHOOSE(CONTROL!$C$15, $E$9, 100%, $G$9) + CHOOSE(CONTROL!$C$38, 0.0264, 0)</f>
        <v>68.134999999999991</v>
      </c>
      <c r="G857" s="14">
        <f>64.5884 * CHOOSE(CONTROL!$C$15, $E$9, 100%, $G$9) + CHOOSE(CONTROL!$C$38, 0.0354, 0)</f>
        <v>64.623799999999989</v>
      </c>
      <c r="H857" s="14">
        <f>64.5884 * CHOOSE(CONTROL!$C$15, $E$9, 100%, $G$9) + CHOOSE(CONTROL!$C$38, 0.0354, 0)</f>
        <v>64.623799999999989</v>
      </c>
      <c r="I857" s="14">
        <f>64.59 * CHOOSE(CONTROL!$C$15, $E$9, 100%, $G$9) + CHOOSE(CONTROL!$C$38, 0.0354, 0)</f>
        <v>64.625399999999999</v>
      </c>
      <c r="J857" s="44">
        <f>634.4587</f>
        <v>634.45870000000002</v>
      </c>
    </row>
    <row r="858" spans="1:10" ht="15.75" x14ac:dyDescent="0.25">
      <c r="A858" s="32">
        <v>67053</v>
      </c>
      <c r="B858" s="14">
        <f>67.9485 * CHOOSE(CONTROL!$C$15, $E$9, 100%, $G$9) + CHOOSE(CONTROL!$C$38, 0.0264, 0)</f>
        <v>67.974899999999991</v>
      </c>
      <c r="C858" s="14">
        <f>64.2901 * CHOOSE(CONTROL!$C$15, $E$9, 100%, $G$9) + CHOOSE(CONTROL!$C$38, 0.0354, 0)</f>
        <v>64.325499999999991</v>
      </c>
      <c r="D858" s="14">
        <f>64.2823 * CHOOSE(CONTROL!$C$15, $E$9, 100%, $G$9) + CHOOSE(CONTROL!$C$38, 0.0354, 0)</f>
        <v>64.317700000000002</v>
      </c>
      <c r="E858" s="46">
        <f>67.7922 * CHOOSE(CONTROL!$C$15, $E$9, 100%, $G$9) + CHOOSE(CONTROL!$C$38, 0.0354, 0)</f>
        <v>67.82759999999999</v>
      </c>
      <c r="F858" s="45">
        <f>67.7922 * CHOOSE(CONTROL!$C$15, $E$9, 100%, $G$9) + CHOOSE(CONTROL!$C$38, 0.0264, 0)</f>
        <v>67.818599999999989</v>
      </c>
      <c r="G858" s="14">
        <f>64.2885 * CHOOSE(CONTROL!$C$15, $E$9, 100%, $G$9) + CHOOSE(CONTROL!$C$38, 0.0354, 0)</f>
        <v>64.323899999999995</v>
      </c>
      <c r="H858" s="14">
        <f>64.2885 * CHOOSE(CONTROL!$C$15, $E$9, 100%, $G$9) + CHOOSE(CONTROL!$C$38, 0.0354, 0)</f>
        <v>64.323899999999995</v>
      </c>
      <c r="I858" s="14">
        <f>64.2901 * CHOOSE(CONTROL!$C$15, $E$9, 100%, $G$9) + CHOOSE(CONTROL!$C$38, 0.0354, 0)</f>
        <v>64.325499999999991</v>
      </c>
      <c r="J858" s="44">
        <f>631.4915</f>
        <v>631.49149999999997</v>
      </c>
    </row>
    <row r="859" spans="1:10" ht="15.75" x14ac:dyDescent="0.25">
      <c r="A859" s="32">
        <v>67084</v>
      </c>
      <c r="B859" s="14">
        <f>66.381 * CHOOSE(CONTROL!$C$15, $E$9, 100%, $G$9) + CHOOSE(CONTROL!$C$38, 0.0264, 0)</f>
        <v>66.407399999999996</v>
      </c>
      <c r="C859" s="14">
        <f>62.8042 * CHOOSE(CONTROL!$C$15, $E$9, 100%, $G$9) + CHOOSE(CONTROL!$C$38, 0.0354, 0)</f>
        <v>62.839600000000004</v>
      </c>
      <c r="D859" s="14">
        <f>62.7964 * CHOOSE(CONTROL!$C$15, $E$9, 100%, $G$9) + CHOOSE(CONTROL!$C$38, 0.0354, 0)</f>
        <v>62.831800000000001</v>
      </c>
      <c r="E859" s="46">
        <f>66.2248 * CHOOSE(CONTROL!$C$15, $E$9, 100%, $G$9) + CHOOSE(CONTROL!$C$38, 0.0354, 0)</f>
        <v>66.260199999999998</v>
      </c>
      <c r="F859" s="45">
        <f>66.2248 * CHOOSE(CONTROL!$C$15, $E$9, 100%, $G$9) + CHOOSE(CONTROL!$C$38, 0.0264, 0)</f>
        <v>66.251199999999997</v>
      </c>
      <c r="G859" s="14">
        <f>62.8026 * CHOOSE(CONTROL!$C$15, $E$9, 100%, $G$9) + CHOOSE(CONTROL!$C$38, 0.0354, 0)</f>
        <v>62.838000000000001</v>
      </c>
      <c r="H859" s="14">
        <f>62.8026 * CHOOSE(CONTROL!$C$15, $E$9, 100%, $G$9) + CHOOSE(CONTROL!$C$38, 0.0354, 0)</f>
        <v>62.838000000000001</v>
      </c>
      <c r="I859" s="14">
        <f>62.8042 * CHOOSE(CONTROL!$C$15, $E$9, 100%, $G$9) + CHOOSE(CONTROL!$C$38, 0.0354, 0)</f>
        <v>62.839600000000004</v>
      </c>
      <c r="J859" s="44">
        <f>616.7906</f>
        <v>616.79060000000004</v>
      </c>
    </row>
    <row r="860" spans="1:10" ht="15.75" x14ac:dyDescent="0.25">
      <c r="A860" s="32">
        <v>67114</v>
      </c>
      <c r="B860" s="14">
        <f>64.1951 * CHOOSE(CONTROL!$C$15, $E$9, 100%, $G$9) + CHOOSE(CONTROL!$C$38, 0.0264, 0)</f>
        <v>64.221499999999992</v>
      </c>
      <c r="C860" s="14">
        <f>60.732 * CHOOSE(CONTROL!$C$15, $E$9, 100%, $G$9) + CHOOSE(CONTROL!$C$38, 0.0354, 0)</f>
        <v>60.767400000000002</v>
      </c>
      <c r="D860" s="14">
        <f>60.7242 * CHOOSE(CONTROL!$C$15, $E$9, 100%, $G$9) + CHOOSE(CONTROL!$C$38, 0.0354, 0)</f>
        <v>60.759600000000006</v>
      </c>
      <c r="E860" s="46">
        <f>64.0389 * CHOOSE(CONTROL!$C$15, $E$9, 100%, $G$9) + CHOOSE(CONTROL!$C$38, 0.0354, 0)</f>
        <v>64.074299999999994</v>
      </c>
      <c r="F860" s="45">
        <f>64.0389 * CHOOSE(CONTROL!$C$15, $E$9, 100%, $G$9) + CHOOSE(CONTROL!$C$38, 0.0264, 0)</f>
        <v>64.065299999999993</v>
      </c>
      <c r="G860" s="14">
        <f>60.7304 * CHOOSE(CONTROL!$C$15, $E$9, 100%, $G$9) + CHOOSE(CONTROL!$C$38, 0.0354, 0)</f>
        <v>60.765800000000006</v>
      </c>
      <c r="H860" s="14">
        <f>60.7304 * CHOOSE(CONTROL!$C$15, $E$9, 100%, $G$9) + CHOOSE(CONTROL!$C$38, 0.0354, 0)</f>
        <v>60.765800000000006</v>
      </c>
      <c r="I860" s="14">
        <f>60.732 * CHOOSE(CONTROL!$C$15, $E$9, 100%, $G$9) + CHOOSE(CONTROL!$C$38, 0.0354, 0)</f>
        <v>60.767400000000002</v>
      </c>
      <c r="J860" s="44">
        <f>596.2896</f>
        <v>596.28959999999995</v>
      </c>
    </row>
    <row r="861" spans="1:10" ht="15.75" x14ac:dyDescent="0.25">
      <c r="A861" s="32">
        <v>67145</v>
      </c>
      <c r="B861" s="14">
        <f>61.9965 * CHOOSE(CONTROL!$C$15, $E$9, 100%, $G$9) + CHOOSE(CONTROL!$C$38, 0.0251, 0)</f>
        <v>62.021599999999999</v>
      </c>
      <c r="C861" s="14">
        <f>58.6478 * CHOOSE(CONTROL!$C$15, $E$9, 100%, $G$9) + CHOOSE(CONTROL!$C$38, 0.0342, 0)</f>
        <v>58.681999999999995</v>
      </c>
      <c r="D861" s="14">
        <f>58.6399 * CHOOSE(CONTROL!$C$15, $E$9, 100%, $G$9) + CHOOSE(CONTROL!$C$38, 0.0342, 0)</f>
        <v>58.674099999999996</v>
      </c>
      <c r="E861" s="46">
        <f>61.8403 * CHOOSE(CONTROL!$C$15, $E$9, 100%, $G$9) + CHOOSE(CONTROL!$C$38, 0.0342, 0)</f>
        <v>61.874499999999998</v>
      </c>
      <c r="F861" s="45">
        <f>61.8403 * CHOOSE(CONTROL!$C$15, $E$9, 100%, $G$9) + CHOOSE(CONTROL!$C$38, 0.0251, 0)</f>
        <v>61.865400000000001</v>
      </c>
      <c r="G861" s="14">
        <f>58.6462 * CHOOSE(CONTROL!$C$15, $E$9, 100%, $G$9) + CHOOSE(CONTROL!$C$38, 0.0342, 0)</f>
        <v>58.680399999999999</v>
      </c>
      <c r="H861" s="14">
        <f>58.6462 * CHOOSE(CONTROL!$C$15, $E$9, 100%, $G$9) + CHOOSE(CONTROL!$C$38, 0.0342, 0)</f>
        <v>58.680399999999999</v>
      </c>
      <c r="I861" s="14">
        <f>58.6478 * CHOOSE(CONTROL!$C$15, $E$9, 100%, $G$9) + CHOOSE(CONTROL!$C$38, 0.0342, 0)</f>
        <v>58.681999999999995</v>
      </c>
      <c r="J861" s="44">
        <f>575.6693</f>
        <v>575.66930000000002</v>
      </c>
    </row>
    <row r="862" spans="1:10" ht="15.75" x14ac:dyDescent="0.25">
      <c r="A862" s="32">
        <v>67175</v>
      </c>
      <c r="B862" s="14">
        <f>61.5592 * CHOOSE(CONTROL!$C$15, $E$9, 100%, $G$9) + CHOOSE(CONTROL!$C$38, 0.0251, 0)</f>
        <v>61.584299999999999</v>
      </c>
      <c r="C862" s="14">
        <f>58.2332 * CHOOSE(CONTROL!$C$15, $E$9, 100%, $G$9) + CHOOSE(CONTROL!$C$38, 0.0342, 0)</f>
        <v>58.267399999999995</v>
      </c>
      <c r="D862" s="14">
        <f>58.2254 * CHOOSE(CONTROL!$C$15, $E$9, 100%, $G$9) + CHOOSE(CONTROL!$C$38, 0.0342, 0)</f>
        <v>58.259599999999999</v>
      </c>
      <c r="E862" s="46">
        <f>61.4029 * CHOOSE(CONTROL!$C$15, $E$9, 100%, $G$9) + CHOOSE(CONTROL!$C$38, 0.0342, 0)</f>
        <v>61.437100000000001</v>
      </c>
      <c r="F862" s="45">
        <f>61.4029 * CHOOSE(CONTROL!$C$15, $E$9, 100%, $G$9) + CHOOSE(CONTROL!$C$38, 0.0251, 0)</f>
        <v>61.428000000000004</v>
      </c>
      <c r="G862" s="14">
        <f>58.2316 * CHOOSE(CONTROL!$C$15, $E$9, 100%, $G$9) + CHOOSE(CONTROL!$C$38, 0.0342, 0)</f>
        <v>58.265799999999999</v>
      </c>
      <c r="H862" s="14">
        <f>58.2316 * CHOOSE(CONTROL!$C$15, $E$9, 100%, $G$9) + CHOOSE(CONTROL!$C$38, 0.0342, 0)</f>
        <v>58.265799999999999</v>
      </c>
      <c r="I862" s="14">
        <f>58.2332 * CHOOSE(CONTROL!$C$15, $E$9, 100%, $G$9) + CHOOSE(CONTROL!$C$38, 0.0342, 0)</f>
        <v>58.267399999999995</v>
      </c>
      <c r="J862" s="44">
        <f>571.5675</f>
        <v>571.5675</v>
      </c>
    </row>
    <row r="863" spans="1:10" ht="15.75" x14ac:dyDescent="0.25">
      <c r="A863" s="32">
        <v>67206</v>
      </c>
      <c r="B863" s="14">
        <f>59.7507 * CHOOSE(CONTROL!$C$15, $E$9, 100%, $G$9) + CHOOSE(CONTROL!$C$38, 0.0251, 0)</f>
        <v>59.775800000000004</v>
      </c>
      <c r="C863" s="14">
        <f>56.5188 * CHOOSE(CONTROL!$C$15, $E$9, 100%, $G$9) + CHOOSE(CONTROL!$C$38, 0.0342, 0)</f>
        <v>56.552999999999997</v>
      </c>
      <c r="D863" s="14">
        <f>56.511 * CHOOSE(CONTROL!$C$15, $E$9, 100%, $G$9) + CHOOSE(CONTROL!$C$38, 0.0342, 0)</f>
        <v>56.545200000000001</v>
      </c>
      <c r="E863" s="46">
        <f>59.5945 * CHOOSE(CONTROL!$C$15, $E$9, 100%, $G$9) + CHOOSE(CONTROL!$C$38, 0.0342, 0)</f>
        <v>59.628699999999995</v>
      </c>
      <c r="F863" s="45">
        <f>59.5945 * CHOOSE(CONTROL!$C$15, $E$9, 100%, $G$9) + CHOOSE(CONTROL!$C$38, 0.0251, 0)</f>
        <v>59.619599999999998</v>
      </c>
      <c r="G863" s="14">
        <f>56.5172 * CHOOSE(CONTROL!$C$15, $E$9, 100%, $G$9) + CHOOSE(CONTROL!$C$38, 0.0342, 0)</f>
        <v>56.551400000000001</v>
      </c>
      <c r="H863" s="14">
        <f>56.5172 * CHOOSE(CONTROL!$C$15, $E$9, 100%, $G$9) + CHOOSE(CONTROL!$C$38, 0.0342, 0)</f>
        <v>56.551400000000001</v>
      </c>
      <c r="I863" s="14">
        <f>56.5188 * CHOOSE(CONTROL!$C$15, $E$9, 100%, $G$9) + CHOOSE(CONTROL!$C$38, 0.0342, 0)</f>
        <v>56.552999999999997</v>
      </c>
      <c r="J863" s="44">
        <f>554.6062</f>
        <v>554.60619999999994</v>
      </c>
    </row>
    <row r="864" spans="1:10" ht="15.75" x14ac:dyDescent="0.25">
      <c r="A864" s="32">
        <v>67237</v>
      </c>
      <c r="B864" s="14">
        <f>59.3016 * CHOOSE(CONTROL!$C$15, $E$9, 100%, $G$9) + CHOOSE(CONTROL!$C$38, 0.0251, 0)</f>
        <v>59.326700000000002</v>
      </c>
      <c r="C864" s="14">
        <f>56.093 * CHOOSE(CONTROL!$C$15, $E$9, 100%, $G$9) + CHOOSE(CONTROL!$C$38, 0.0342, 0)</f>
        <v>56.127200000000002</v>
      </c>
      <c r="D864" s="14">
        <f>56.0852 * CHOOSE(CONTROL!$C$15, $E$9, 100%, $G$9) + CHOOSE(CONTROL!$C$38, 0.0342, 0)</f>
        <v>56.119399999999999</v>
      </c>
      <c r="E864" s="46">
        <f>59.1454 * CHOOSE(CONTROL!$C$15, $E$9, 100%, $G$9) + CHOOSE(CONTROL!$C$38, 0.0342, 0)</f>
        <v>59.179600000000001</v>
      </c>
      <c r="F864" s="45">
        <f>59.1454 * CHOOSE(CONTROL!$C$15, $E$9, 100%, $G$9) + CHOOSE(CONTROL!$C$38, 0.0251, 0)</f>
        <v>59.170500000000004</v>
      </c>
      <c r="G864" s="14">
        <f>56.0915 * CHOOSE(CONTROL!$C$15, $E$9, 100%, $G$9) + CHOOSE(CONTROL!$C$38, 0.0342, 0)</f>
        <v>56.125700000000002</v>
      </c>
      <c r="H864" s="14">
        <f>56.0915 * CHOOSE(CONTROL!$C$15, $E$9, 100%, $G$9) + CHOOSE(CONTROL!$C$38, 0.0342, 0)</f>
        <v>56.125700000000002</v>
      </c>
      <c r="I864" s="14">
        <f>56.093 * CHOOSE(CONTROL!$C$15, $E$9, 100%, $G$9) + CHOOSE(CONTROL!$C$38, 0.0342, 0)</f>
        <v>56.127200000000002</v>
      </c>
      <c r="J864" s="44">
        <f>554.2058</f>
        <v>554.20579999999995</v>
      </c>
    </row>
    <row r="865" spans="1:10" ht="15.75" x14ac:dyDescent="0.25">
      <c r="A865" s="32">
        <v>67266</v>
      </c>
      <c r="B865" s="14">
        <f>59.1385 * CHOOSE(CONTROL!$C$15, $E$9, 100%, $G$9) + CHOOSE(CONTROL!$C$38, 0.0251, 0)</f>
        <v>59.163600000000002</v>
      </c>
      <c r="C865" s="14">
        <f>55.9384 * CHOOSE(CONTROL!$C$15, $E$9, 100%, $G$9) + CHOOSE(CONTROL!$C$38, 0.0342, 0)</f>
        <v>55.9726</v>
      </c>
      <c r="D865" s="14">
        <f>55.9306 * CHOOSE(CONTROL!$C$15, $E$9, 100%, $G$9) + CHOOSE(CONTROL!$C$38, 0.0342, 0)</f>
        <v>55.964799999999997</v>
      </c>
      <c r="E865" s="46">
        <f>58.9823 * CHOOSE(CONTROL!$C$15, $E$9, 100%, $G$9) + CHOOSE(CONTROL!$C$38, 0.0342, 0)</f>
        <v>59.016500000000001</v>
      </c>
      <c r="F865" s="45">
        <f>58.9823 * CHOOSE(CONTROL!$C$15, $E$9, 100%, $G$9) + CHOOSE(CONTROL!$C$38, 0.0251, 0)</f>
        <v>59.007400000000004</v>
      </c>
      <c r="G865" s="14">
        <f>55.9368 * CHOOSE(CONTROL!$C$15, $E$9, 100%, $G$9) + CHOOSE(CONTROL!$C$38, 0.0342, 0)</f>
        <v>55.970999999999997</v>
      </c>
      <c r="H865" s="14">
        <f>55.9368 * CHOOSE(CONTROL!$C$15, $E$9, 100%, $G$9) + CHOOSE(CONTROL!$C$38, 0.0342, 0)</f>
        <v>55.970999999999997</v>
      </c>
      <c r="I865" s="14">
        <f>55.9384 * CHOOSE(CONTROL!$C$15, $E$9, 100%, $G$9) + CHOOSE(CONTROL!$C$38, 0.0342, 0)</f>
        <v>55.9726</v>
      </c>
      <c r="J865" s="44">
        <f>552.6653</f>
        <v>552.6653</v>
      </c>
    </row>
    <row r="866" spans="1:10" ht="15.75" x14ac:dyDescent="0.25">
      <c r="A866" s="32">
        <v>67297</v>
      </c>
      <c r="B866" s="14">
        <f>62.2229 * CHOOSE(CONTROL!$C$15, $E$9, 100%, $G$9) + CHOOSE(CONTROL!$C$38, 0.0251, 0)</f>
        <v>62.248000000000005</v>
      </c>
      <c r="C866" s="14">
        <f>58.8624 * CHOOSE(CONTROL!$C$15, $E$9, 100%, $G$9) + CHOOSE(CONTROL!$C$38, 0.0342, 0)</f>
        <v>58.896599999999999</v>
      </c>
      <c r="D866" s="14">
        <f>58.8546 * CHOOSE(CONTROL!$C$15, $E$9, 100%, $G$9) + CHOOSE(CONTROL!$C$38, 0.0342, 0)</f>
        <v>58.888799999999996</v>
      </c>
      <c r="E866" s="46">
        <f>62.0667 * CHOOSE(CONTROL!$C$15, $E$9, 100%, $G$9) + CHOOSE(CONTROL!$C$38, 0.0342, 0)</f>
        <v>62.100899999999996</v>
      </c>
      <c r="F866" s="45">
        <f>62.0667 * CHOOSE(CONTROL!$C$15, $E$9, 100%, $G$9) + CHOOSE(CONTROL!$C$38, 0.0251, 0)</f>
        <v>62.091799999999999</v>
      </c>
      <c r="G866" s="14">
        <f>58.8608 * CHOOSE(CONTROL!$C$15, $E$9, 100%, $G$9) + CHOOSE(CONTROL!$C$38, 0.0342, 0)</f>
        <v>58.894999999999996</v>
      </c>
      <c r="H866" s="14">
        <f>58.8608 * CHOOSE(CONTROL!$C$15, $E$9, 100%, $G$9) + CHOOSE(CONTROL!$C$38, 0.0342, 0)</f>
        <v>58.894999999999996</v>
      </c>
      <c r="I866" s="14">
        <f>58.8624 * CHOOSE(CONTROL!$C$15, $E$9, 100%, $G$9) + CHOOSE(CONTROL!$C$38, 0.0342, 0)</f>
        <v>58.896599999999999</v>
      </c>
      <c r="J866" s="44">
        <f>581.7939</f>
        <v>581.79390000000001</v>
      </c>
    </row>
    <row r="867" spans="1:10" ht="15.75" x14ac:dyDescent="0.25">
      <c r="A867" s="32">
        <v>67327</v>
      </c>
      <c r="B867" s="14">
        <f>66.2227 * CHOOSE(CONTROL!$C$15, $E$9, 100%, $G$9) + CHOOSE(CONTROL!$C$38, 0.0251, 0)</f>
        <v>66.247799999999998</v>
      </c>
      <c r="C867" s="14">
        <f>62.6541 * CHOOSE(CONTROL!$C$15, $E$9, 100%, $G$9) + CHOOSE(CONTROL!$C$38, 0.0342, 0)</f>
        <v>62.688299999999998</v>
      </c>
      <c r="D867" s="14">
        <f>62.6463 * CHOOSE(CONTROL!$C$15, $E$9, 100%, $G$9) + CHOOSE(CONTROL!$C$38, 0.0342, 0)</f>
        <v>62.680499999999995</v>
      </c>
      <c r="E867" s="46">
        <f>66.0664 * CHOOSE(CONTROL!$C$15, $E$9, 100%, $G$9) + CHOOSE(CONTROL!$C$38, 0.0342, 0)</f>
        <v>66.1006</v>
      </c>
      <c r="F867" s="45">
        <f>66.0664 * CHOOSE(CONTROL!$C$15, $E$9, 100%, $G$9) + CHOOSE(CONTROL!$C$38, 0.0251, 0)</f>
        <v>66.091499999999996</v>
      </c>
      <c r="G867" s="14">
        <f>62.6525 * CHOOSE(CONTROL!$C$15, $E$9, 100%, $G$9) + CHOOSE(CONTROL!$C$38, 0.0342, 0)</f>
        <v>62.686700000000002</v>
      </c>
      <c r="H867" s="14">
        <f>62.6525 * CHOOSE(CONTROL!$C$15, $E$9, 100%, $G$9) + CHOOSE(CONTROL!$C$38, 0.0342, 0)</f>
        <v>62.686700000000002</v>
      </c>
      <c r="I867" s="14">
        <f>62.6541 * CHOOSE(CONTROL!$C$15, $E$9, 100%, $G$9) + CHOOSE(CONTROL!$C$38, 0.0342, 0)</f>
        <v>62.688299999999998</v>
      </c>
      <c r="J867" s="44">
        <f>619.5668</f>
        <v>619.56679999999994</v>
      </c>
    </row>
    <row r="868" spans="1:10" ht="15.75" x14ac:dyDescent="0.25">
      <c r="A868" s="32">
        <v>67358</v>
      </c>
      <c r="B868" s="14">
        <f>68.4243 * CHOOSE(CONTROL!$C$15, $E$9, 100%, $G$9) + CHOOSE(CONTROL!$C$38, 0.0264, 0)</f>
        <v>68.450699999999998</v>
      </c>
      <c r="C868" s="14">
        <f>64.7412 * CHOOSE(CONTROL!$C$15, $E$9, 100%, $G$9) + CHOOSE(CONTROL!$C$38, 0.0354, 0)</f>
        <v>64.776600000000002</v>
      </c>
      <c r="D868" s="14">
        <f>64.7333 * CHOOSE(CONTROL!$C$15, $E$9, 100%, $G$9) + CHOOSE(CONTROL!$C$38, 0.0354, 0)</f>
        <v>64.768699999999995</v>
      </c>
      <c r="E868" s="46">
        <f>68.268 * CHOOSE(CONTROL!$C$15, $E$9, 100%, $G$9) + CHOOSE(CONTROL!$C$38, 0.0354, 0)</f>
        <v>68.303399999999996</v>
      </c>
      <c r="F868" s="45">
        <f>68.268 * CHOOSE(CONTROL!$C$15, $E$9, 100%, $G$9) + CHOOSE(CONTROL!$C$38, 0.0264, 0)</f>
        <v>68.294399999999996</v>
      </c>
      <c r="G868" s="14">
        <f>64.7396 * CHOOSE(CONTROL!$C$15, $E$9, 100%, $G$9) + CHOOSE(CONTROL!$C$38, 0.0354, 0)</f>
        <v>64.774999999999991</v>
      </c>
      <c r="H868" s="14">
        <f>64.7396 * CHOOSE(CONTROL!$C$15, $E$9, 100%, $G$9) + CHOOSE(CONTROL!$C$38, 0.0354, 0)</f>
        <v>64.774999999999991</v>
      </c>
      <c r="I868" s="14">
        <f>64.7412 * CHOOSE(CONTROL!$C$15, $E$9, 100%, $G$9) + CHOOSE(CONTROL!$C$38, 0.0354, 0)</f>
        <v>64.776600000000002</v>
      </c>
      <c r="J868" s="44">
        <f>640.3583</f>
        <v>640.35829999999999</v>
      </c>
    </row>
    <row r="869" spans="1:10" ht="15.75" x14ac:dyDescent="0.25">
      <c r="A869" s="32">
        <v>67388</v>
      </c>
      <c r="B869" s="14">
        <f>69.4013 * CHOOSE(CONTROL!$C$15, $E$9, 100%, $G$9) + CHOOSE(CONTROL!$C$38, 0.0264, 0)</f>
        <v>69.427700000000002</v>
      </c>
      <c r="C869" s="14">
        <f>65.6674 * CHOOSE(CONTROL!$C$15, $E$9, 100%, $G$9) + CHOOSE(CONTROL!$C$38, 0.0354, 0)</f>
        <v>65.702799999999996</v>
      </c>
      <c r="D869" s="14">
        <f>65.6595 * CHOOSE(CONTROL!$C$15, $E$9, 100%, $G$9) + CHOOSE(CONTROL!$C$38, 0.0354, 0)</f>
        <v>65.69489999999999</v>
      </c>
      <c r="E869" s="46">
        <f>69.245 * CHOOSE(CONTROL!$C$15, $E$9, 100%, $G$9) + CHOOSE(CONTROL!$C$38, 0.0354, 0)</f>
        <v>69.2804</v>
      </c>
      <c r="F869" s="45">
        <f>69.245 * CHOOSE(CONTROL!$C$15, $E$9, 100%, $G$9) + CHOOSE(CONTROL!$C$38, 0.0264, 0)</f>
        <v>69.2714</v>
      </c>
      <c r="G869" s="14">
        <f>65.6658 * CHOOSE(CONTROL!$C$15, $E$9, 100%, $G$9) + CHOOSE(CONTROL!$C$38, 0.0354, 0)</f>
        <v>65.7012</v>
      </c>
      <c r="H869" s="14">
        <f>65.6658 * CHOOSE(CONTROL!$C$15, $E$9, 100%, $G$9) + CHOOSE(CONTROL!$C$38, 0.0354, 0)</f>
        <v>65.7012</v>
      </c>
      <c r="I869" s="14">
        <f>65.6674 * CHOOSE(CONTROL!$C$15, $E$9, 100%, $G$9) + CHOOSE(CONTROL!$C$38, 0.0354, 0)</f>
        <v>65.702799999999996</v>
      </c>
      <c r="J869" s="44">
        <f>649.5851</f>
        <v>649.58510000000001</v>
      </c>
    </row>
    <row r="870" spans="1:10" ht="15.75" x14ac:dyDescent="0.25">
      <c r="A870" s="32">
        <v>67419</v>
      </c>
      <c r="B870" s="14">
        <f>69.0796 * CHOOSE(CONTROL!$C$15, $E$9, 100%, $G$9) + CHOOSE(CONTROL!$C$38, 0.0264, 0)</f>
        <v>69.105999999999995</v>
      </c>
      <c r="C870" s="14">
        <f>65.3624 * CHOOSE(CONTROL!$C$15, $E$9, 100%, $G$9) + CHOOSE(CONTROL!$C$38, 0.0354, 0)</f>
        <v>65.397799999999989</v>
      </c>
      <c r="D870" s="14">
        <f>65.3546 * CHOOSE(CONTROL!$C$15, $E$9, 100%, $G$9) + CHOOSE(CONTROL!$C$38, 0.0354, 0)</f>
        <v>65.39</v>
      </c>
      <c r="E870" s="46">
        <f>68.9233 * CHOOSE(CONTROL!$C$15, $E$9, 100%, $G$9) + CHOOSE(CONTROL!$C$38, 0.0354, 0)</f>
        <v>68.958699999999993</v>
      </c>
      <c r="F870" s="45">
        <f>68.9233 * CHOOSE(CONTROL!$C$15, $E$9, 100%, $G$9) + CHOOSE(CONTROL!$C$38, 0.0264, 0)</f>
        <v>68.949699999999993</v>
      </c>
      <c r="G870" s="14">
        <f>65.3608 * CHOOSE(CONTROL!$C$15, $E$9, 100%, $G$9) + CHOOSE(CONTROL!$C$38, 0.0354, 0)</f>
        <v>65.396199999999993</v>
      </c>
      <c r="H870" s="14">
        <f>65.3608 * CHOOSE(CONTROL!$C$15, $E$9, 100%, $G$9) + CHOOSE(CONTROL!$C$38, 0.0354, 0)</f>
        <v>65.396199999999993</v>
      </c>
      <c r="I870" s="14">
        <f>65.3624 * CHOOSE(CONTROL!$C$15, $E$9, 100%, $G$9) + CHOOSE(CONTROL!$C$38, 0.0354, 0)</f>
        <v>65.397799999999989</v>
      </c>
      <c r="J870" s="44">
        <f>646.5472</f>
        <v>646.54719999999998</v>
      </c>
    </row>
    <row r="871" spans="1:10" ht="15.75" x14ac:dyDescent="0.25">
      <c r="A871" s="32">
        <v>67450</v>
      </c>
      <c r="B871" s="14">
        <f>67.4858 * CHOOSE(CONTROL!$C$15, $E$9, 100%, $G$9) + CHOOSE(CONTROL!$C$38, 0.0264, 0)</f>
        <v>67.512199999999993</v>
      </c>
      <c r="C871" s="14">
        <f>63.8515 * CHOOSE(CONTROL!$C$15, $E$9, 100%, $G$9) + CHOOSE(CONTROL!$C$38, 0.0354, 0)</f>
        <v>63.886900000000004</v>
      </c>
      <c r="D871" s="14">
        <f>63.8437 * CHOOSE(CONTROL!$C$15, $E$9, 100%, $G$9) + CHOOSE(CONTROL!$C$38, 0.0354, 0)</f>
        <v>63.879100000000001</v>
      </c>
      <c r="E871" s="46">
        <f>67.3296 * CHOOSE(CONTROL!$C$15, $E$9, 100%, $G$9) + CHOOSE(CONTROL!$C$38, 0.0354, 0)</f>
        <v>67.364999999999995</v>
      </c>
      <c r="F871" s="45">
        <f>67.3296 * CHOOSE(CONTROL!$C$15, $E$9, 100%, $G$9) + CHOOSE(CONTROL!$C$38, 0.0264, 0)</f>
        <v>67.355999999999995</v>
      </c>
      <c r="G871" s="14">
        <f>63.85 * CHOOSE(CONTROL!$C$15, $E$9, 100%, $G$9) + CHOOSE(CONTROL!$C$38, 0.0354, 0)</f>
        <v>63.885400000000004</v>
      </c>
      <c r="H871" s="14">
        <f>63.85 * CHOOSE(CONTROL!$C$15, $E$9, 100%, $G$9) + CHOOSE(CONTROL!$C$38, 0.0354, 0)</f>
        <v>63.885400000000004</v>
      </c>
      <c r="I871" s="14">
        <f>63.8515 * CHOOSE(CONTROL!$C$15, $E$9, 100%, $G$9) + CHOOSE(CONTROL!$C$38, 0.0354, 0)</f>
        <v>63.886900000000004</v>
      </c>
      <c r="J871" s="44">
        <f>631.4959</f>
        <v>631.49590000000001</v>
      </c>
    </row>
    <row r="872" spans="1:10" ht="15.75" x14ac:dyDescent="0.25">
      <c r="A872" s="32">
        <v>67480</v>
      </c>
      <c r="B872" s="14">
        <f>65.2632 * CHOOSE(CONTROL!$C$15, $E$9, 100%, $G$9) + CHOOSE(CONTROL!$C$38, 0.0264, 0)</f>
        <v>65.289599999999993</v>
      </c>
      <c r="C872" s="14">
        <f>61.7445 * CHOOSE(CONTROL!$C$15, $E$9, 100%, $G$9) + CHOOSE(CONTROL!$C$38, 0.0354, 0)</f>
        <v>61.779900000000005</v>
      </c>
      <c r="D872" s="14">
        <f>61.7367 * CHOOSE(CONTROL!$C$15, $E$9, 100%, $G$9) + CHOOSE(CONTROL!$C$38, 0.0354, 0)</f>
        <v>61.772100000000002</v>
      </c>
      <c r="E872" s="46">
        <f>65.107 * CHOOSE(CONTROL!$C$15, $E$9, 100%, $G$9) + CHOOSE(CONTROL!$C$38, 0.0354, 0)</f>
        <v>65.142399999999995</v>
      </c>
      <c r="F872" s="45">
        <f>65.107 * CHOOSE(CONTROL!$C$15, $E$9, 100%, $G$9) + CHOOSE(CONTROL!$C$38, 0.0264, 0)</f>
        <v>65.133399999999995</v>
      </c>
      <c r="G872" s="14">
        <f>61.743 * CHOOSE(CONTROL!$C$15, $E$9, 100%, $G$9) + CHOOSE(CONTROL!$C$38, 0.0354, 0)</f>
        <v>61.778400000000005</v>
      </c>
      <c r="H872" s="14">
        <f>61.743 * CHOOSE(CONTROL!$C$15, $E$9, 100%, $G$9) + CHOOSE(CONTROL!$C$38, 0.0354, 0)</f>
        <v>61.778400000000005</v>
      </c>
      <c r="I872" s="14">
        <f>61.7445 * CHOOSE(CONTROL!$C$15, $E$9, 100%, $G$9) + CHOOSE(CONTROL!$C$38, 0.0354, 0)</f>
        <v>61.779900000000005</v>
      </c>
      <c r="J872" s="44">
        <f>610.506</f>
        <v>610.50599999999997</v>
      </c>
    </row>
    <row r="873" spans="1:10" ht="15.75" x14ac:dyDescent="0.25">
      <c r="A873" s="32">
        <v>67511</v>
      </c>
      <c r="B873" s="14">
        <f>63.0277 * CHOOSE(CONTROL!$C$15, $E$9, 100%, $G$9) + CHOOSE(CONTROL!$C$38, 0.0251, 0)</f>
        <v>63.052800000000005</v>
      </c>
      <c r="C873" s="14">
        <f>59.6253 * CHOOSE(CONTROL!$C$15, $E$9, 100%, $G$9) + CHOOSE(CONTROL!$C$38, 0.0342, 0)</f>
        <v>59.659500000000001</v>
      </c>
      <c r="D873" s="14">
        <f>59.6175 * CHOOSE(CONTROL!$C$15, $E$9, 100%, $G$9) + CHOOSE(CONTROL!$C$38, 0.0342, 0)</f>
        <v>59.651699999999998</v>
      </c>
      <c r="E873" s="46">
        <f>62.8714 * CHOOSE(CONTROL!$C$15, $E$9, 100%, $G$9) + CHOOSE(CONTROL!$C$38, 0.0342, 0)</f>
        <v>62.9056</v>
      </c>
      <c r="F873" s="45">
        <f>62.8714 * CHOOSE(CONTROL!$C$15, $E$9, 100%, $G$9) + CHOOSE(CONTROL!$C$38, 0.0251, 0)</f>
        <v>62.896500000000003</v>
      </c>
      <c r="G873" s="14">
        <f>59.6237 * CHOOSE(CONTROL!$C$15, $E$9, 100%, $G$9) + CHOOSE(CONTROL!$C$38, 0.0342, 0)</f>
        <v>59.657899999999998</v>
      </c>
      <c r="H873" s="14">
        <f>59.6237 * CHOOSE(CONTROL!$C$15, $E$9, 100%, $G$9) + CHOOSE(CONTROL!$C$38, 0.0342, 0)</f>
        <v>59.657899999999998</v>
      </c>
      <c r="I873" s="14">
        <f>59.6253 * CHOOSE(CONTROL!$C$15, $E$9, 100%, $G$9) + CHOOSE(CONTROL!$C$38, 0.0342, 0)</f>
        <v>59.659500000000001</v>
      </c>
      <c r="J873" s="44">
        <f>589.3941</f>
        <v>589.39409999999998</v>
      </c>
    </row>
    <row r="874" spans="1:10" ht="15.75" x14ac:dyDescent="0.25">
      <c r="A874" s="32">
        <v>67541</v>
      </c>
      <c r="B874" s="14">
        <f>62.583 * CHOOSE(CONTROL!$C$15, $E$9, 100%, $G$9) + CHOOSE(CONTROL!$C$38, 0.0251, 0)</f>
        <v>62.6081</v>
      </c>
      <c r="C874" s="14">
        <f>59.2037 * CHOOSE(CONTROL!$C$15, $E$9, 100%, $G$9) + CHOOSE(CONTROL!$C$38, 0.0342, 0)</f>
        <v>59.237899999999996</v>
      </c>
      <c r="D874" s="14">
        <f>59.1959 * CHOOSE(CONTROL!$C$15, $E$9, 100%, $G$9) + CHOOSE(CONTROL!$C$38, 0.0342, 0)</f>
        <v>59.2301</v>
      </c>
      <c r="E874" s="46">
        <f>62.4268 * CHOOSE(CONTROL!$C$15, $E$9, 100%, $G$9) + CHOOSE(CONTROL!$C$38, 0.0342, 0)</f>
        <v>62.460999999999999</v>
      </c>
      <c r="F874" s="45">
        <f>62.4268 * CHOOSE(CONTROL!$C$15, $E$9, 100%, $G$9) + CHOOSE(CONTROL!$C$38, 0.0251, 0)</f>
        <v>62.451900000000002</v>
      </c>
      <c r="G874" s="14">
        <f>59.2022 * CHOOSE(CONTROL!$C$15, $E$9, 100%, $G$9) + CHOOSE(CONTROL!$C$38, 0.0342, 0)</f>
        <v>59.236399999999996</v>
      </c>
      <c r="H874" s="14">
        <f>59.2022 * CHOOSE(CONTROL!$C$15, $E$9, 100%, $G$9) + CHOOSE(CONTROL!$C$38, 0.0342, 0)</f>
        <v>59.236399999999996</v>
      </c>
      <c r="I874" s="14">
        <f>59.2037 * CHOOSE(CONTROL!$C$15, $E$9, 100%, $G$9) + CHOOSE(CONTROL!$C$38, 0.0342, 0)</f>
        <v>59.237899999999996</v>
      </c>
      <c r="J874" s="44">
        <f>585.1945</f>
        <v>585.19449999999995</v>
      </c>
    </row>
    <row r="875" spans="1:10" ht="15.75" x14ac:dyDescent="0.25">
      <c r="A875" s="32">
        <v>67572</v>
      </c>
      <c r="B875" s="14">
        <f>60.7442 * CHOOSE(CONTROL!$C$15, $E$9, 100%, $G$9) + CHOOSE(CONTROL!$C$38, 0.0251, 0)</f>
        <v>60.769300000000001</v>
      </c>
      <c r="C875" s="14">
        <f>57.4605 * CHOOSE(CONTROL!$C$15, $E$9, 100%, $G$9) + CHOOSE(CONTROL!$C$38, 0.0342, 0)</f>
        <v>57.494700000000002</v>
      </c>
      <c r="D875" s="14">
        <f>57.4527 * CHOOSE(CONTROL!$C$15, $E$9, 100%, $G$9) + CHOOSE(CONTROL!$C$38, 0.0342, 0)</f>
        <v>57.486899999999999</v>
      </c>
      <c r="E875" s="46">
        <f>60.5879 * CHOOSE(CONTROL!$C$15, $E$9, 100%, $G$9) + CHOOSE(CONTROL!$C$38, 0.0342, 0)</f>
        <v>60.622099999999996</v>
      </c>
      <c r="F875" s="45">
        <f>60.5879 * CHOOSE(CONTROL!$C$15, $E$9, 100%, $G$9) + CHOOSE(CONTROL!$C$38, 0.0251, 0)</f>
        <v>60.613</v>
      </c>
      <c r="G875" s="14">
        <f>57.459 * CHOOSE(CONTROL!$C$15, $E$9, 100%, $G$9) + CHOOSE(CONTROL!$C$38, 0.0342, 0)</f>
        <v>57.493200000000002</v>
      </c>
      <c r="H875" s="14">
        <f>57.459 * CHOOSE(CONTROL!$C$15, $E$9, 100%, $G$9) + CHOOSE(CONTROL!$C$38, 0.0342, 0)</f>
        <v>57.493200000000002</v>
      </c>
      <c r="I875" s="14">
        <f>57.4605 * CHOOSE(CONTROL!$C$15, $E$9, 100%, $G$9) + CHOOSE(CONTROL!$C$38, 0.0342, 0)</f>
        <v>57.494700000000002</v>
      </c>
      <c r="J875" s="44">
        <f>567.8288</f>
        <v>567.8288</v>
      </c>
    </row>
    <row r="876" spans="1:10" ht="15.75" x14ac:dyDescent="0.25">
      <c r="A876" s="32">
        <v>67603</v>
      </c>
      <c r="B876" s="14">
        <f>60.2875 * CHOOSE(CONTROL!$C$15, $E$9, 100%, $G$9) + CHOOSE(CONTROL!$C$38, 0.0251, 0)</f>
        <v>60.312600000000003</v>
      </c>
      <c r="C876" s="14">
        <f>57.0276 * CHOOSE(CONTROL!$C$15, $E$9, 100%, $G$9) + CHOOSE(CONTROL!$C$38, 0.0342, 0)</f>
        <v>57.061799999999998</v>
      </c>
      <c r="D876" s="14">
        <f>57.0198 * CHOOSE(CONTROL!$C$15, $E$9, 100%, $G$9) + CHOOSE(CONTROL!$C$38, 0.0342, 0)</f>
        <v>57.053999999999995</v>
      </c>
      <c r="E876" s="46">
        <f>60.1313 * CHOOSE(CONTROL!$C$15, $E$9, 100%, $G$9) + CHOOSE(CONTROL!$C$38, 0.0342, 0)</f>
        <v>60.165500000000002</v>
      </c>
      <c r="F876" s="45">
        <f>60.1313 * CHOOSE(CONTROL!$C$15, $E$9, 100%, $G$9) + CHOOSE(CONTROL!$C$38, 0.0251, 0)</f>
        <v>60.156400000000005</v>
      </c>
      <c r="G876" s="14">
        <f>57.0261 * CHOOSE(CONTROL!$C$15, $E$9, 100%, $G$9) + CHOOSE(CONTROL!$C$38, 0.0342, 0)</f>
        <v>57.060299999999998</v>
      </c>
      <c r="H876" s="14">
        <f>57.0261 * CHOOSE(CONTROL!$C$15, $E$9, 100%, $G$9) + CHOOSE(CONTROL!$C$38, 0.0342, 0)</f>
        <v>57.060299999999998</v>
      </c>
      <c r="I876" s="14">
        <f>57.0276 * CHOOSE(CONTROL!$C$15, $E$9, 100%, $G$9) + CHOOSE(CONTROL!$C$38, 0.0342, 0)</f>
        <v>57.061799999999998</v>
      </c>
      <c r="J876" s="44">
        <f>567.4189</f>
        <v>567.41890000000001</v>
      </c>
    </row>
    <row r="877" spans="1:10" ht="15.75" x14ac:dyDescent="0.25">
      <c r="A877" s="32">
        <v>67631</v>
      </c>
      <c r="B877" s="14">
        <f>60.1217 * CHOOSE(CONTROL!$C$15, $E$9, 100%, $G$9) + CHOOSE(CONTROL!$C$38, 0.0251, 0)</f>
        <v>60.146799999999999</v>
      </c>
      <c r="C877" s="14">
        <f>56.8704 * CHOOSE(CONTROL!$C$15, $E$9, 100%, $G$9) + CHOOSE(CONTROL!$C$38, 0.0342, 0)</f>
        <v>56.904599999999995</v>
      </c>
      <c r="D877" s="14">
        <f>56.8626 * CHOOSE(CONTROL!$C$15, $E$9, 100%, $G$9) + CHOOSE(CONTROL!$C$38, 0.0342, 0)</f>
        <v>56.896799999999999</v>
      </c>
      <c r="E877" s="46">
        <f>59.9654 * CHOOSE(CONTROL!$C$15, $E$9, 100%, $G$9) + CHOOSE(CONTROL!$C$38, 0.0342, 0)</f>
        <v>59.999600000000001</v>
      </c>
      <c r="F877" s="45">
        <f>59.9654 * CHOOSE(CONTROL!$C$15, $E$9, 100%, $G$9) + CHOOSE(CONTROL!$C$38, 0.0251, 0)</f>
        <v>59.990500000000004</v>
      </c>
      <c r="G877" s="14">
        <f>56.8688 * CHOOSE(CONTROL!$C$15, $E$9, 100%, $G$9) + CHOOSE(CONTROL!$C$38, 0.0342, 0)</f>
        <v>56.902999999999999</v>
      </c>
      <c r="H877" s="14">
        <f>56.8688 * CHOOSE(CONTROL!$C$15, $E$9, 100%, $G$9) + CHOOSE(CONTROL!$C$38, 0.0342, 0)</f>
        <v>56.902999999999999</v>
      </c>
      <c r="I877" s="14">
        <f>56.8704 * CHOOSE(CONTROL!$C$15, $E$9, 100%, $G$9) + CHOOSE(CONTROL!$C$38, 0.0342, 0)</f>
        <v>56.904599999999995</v>
      </c>
      <c r="J877" s="44">
        <f>565.8416</f>
        <v>565.84159999999997</v>
      </c>
    </row>
    <row r="878" spans="1:10" ht="15.75" x14ac:dyDescent="0.25">
      <c r="A878" s="32">
        <v>67662</v>
      </c>
      <c r="B878" s="14">
        <f>63.2579 * CHOOSE(CONTROL!$C$15, $E$9, 100%, $G$9) + CHOOSE(CONTROL!$C$38, 0.0251, 0)</f>
        <v>63.283000000000001</v>
      </c>
      <c r="C878" s="14">
        <f>59.8435 * CHOOSE(CONTROL!$C$15, $E$9, 100%, $G$9) + CHOOSE(CONTROL!$C$38, 0.0342, 0)</f>
        <v>59.877699999999997</v>
      </c>
      <c r="D878" s="14">
        <f>59.8357 * CHOOSE(CONTROL!$C$15, $E$9, 100%, $G$9) + CHOOSE(CONTROL!$C$38, 0.0342, 0)</f>
        <v>59.869900000000001</v>
      </c>
      <c r="E878" s="46">
        <f>63.1016 * CHOOSE(CONTROL!$C$15, $E$9, 100%, $G$9) + CHOOSE(CONTROL!$C$38, 0.0342, 0)</f>
        <v>63.135799999999996</v>
      </c>
      <c r="F878" s="45">
        <f>63.1016 * CHOOSE(CONTROL!$C$15, $E$9, 100%, $G$9) + CHOOSE(CONTROL!$C$38, 0.0251, 0)</f>
        <v>63.1267</v>
      </c>
      <c r="G878" s="14">
        <f>59.8419 * CHOOSE(CONTROL!$C$15, $E$9, 100%, $G$9) + CHOOSE(CONTROL!$C$38, 0.0342, 0)</f>
        <v>59.876100000000001</v>
      </c>
      <c r="H878" s="14">
        <f>59.8419 * CHOOSE(CONTROL!$C$15, $E$9, 100%, $G$9) + CHOOSE(CONTROL!$C$38, 0.0342, 0)</f>
        <v>59.876100000000001</v>
      </c>
      <c r="I878" s="14">
        <f>59.8435 * CHOOSE(CONTROL!$C$15, $E$9, 100%, $G$9) + CHOOSE(CONTROL!$C$38, 0.0342, 0)</f>
        <v>59.877699999999997</v>
      </c>
      <c r="J878" s="44">
        <f>595.6648</f>
        <v>595.66480000000001</v>
      </c>
    </row>
    <row r="879" spans="1:10" ht="15.75" x14ac:dyDescent="0.25">
      <c r="A879" s="32">
        <v>67692</v>
      </c>
      <c r="B879" s="14">
        <f>67.3248 * CHOOSE(CONTROL!$C$15, $E$9, 100%, $G$9) + CHOOSE(CONTROL!$C$38, 0.0251, 0)</f>
        <v>67.349899999999991</v>
      </c>
      <c r="C879" s="14">
        <f>63.6989 * CHOOSE(CONTROL!$C$15, $E$9, 100%, $G$9) + CHOOSE(CONTROL!$C$38, 0.0342, 0)</f>
        <v>63.7331</v>
      </c>
      <c r="D879" s="14">
        <f>63.6911 * CHOOSE(CONTROL!$C$15, $E$9, 100%, $G$9) + CHOOSE(CONTROL!$C$38, 0.0342, 0)</f>
        <v>63.725299999999997</v>
      </c>
      <c r="E879" s="46">
        <f>67.1686 * CHOOSE(CONTROL!$C$15, $E$9, 100%, $G$9) + CHOOSE(CONTROL!$C$38, 0.0342, 0)</f>
        <v>67.202799999999996</v>
      </c>
      <c r="F879" s="45">
        <f>67.1686 * CHOOSE(CONTROL!$C$15, $E$9, 100%, $G$9) + CHOOSE(CONTROL!$C$38, 0.0251, 0)</f>
        <v>67.193699999999993</v>
      </c>
      <c r="G879" s="14">
        <f>63.6973 * CHOOSE(CONTROL!$C$15, $E$9, 100%, $G$9) + CHOOSE(CONTROL!$C$38, 0.0342, 0)</f>
        <v>63.731499999999997</v>
      </c>
      <c r="H879" s="14">
        <f>63.6973 * CHOOSE(CONTROL!$C$15, $E$9, 100%, $G$9) + CHOOSE(CONTROL!$C$38, 0.0342, 0)</f>
        <v>63.731499999999997</v>
      </c>
      <c r="I879" s="14">
        <f>63.6989 * CHOOSE(CONTROL!$C$15, $E$9, 100%, $G$9) + CHOOSE(CONTROL!$C$38, 0.0342, 0)</f>
        <v>63.7331</v>
      </c>
      <c r="J879" s="44">
        <f>634.3382</f>
        <v>634.33820000000003</v>
      </c>
    </row>
    <row r="880" spans="1:10" ht="15.75" x14ac:dyDescent="0.25">
      <c r="A880" s="32">
        <v>67723</v>
      </c>
      <c r="B880" s="14">
        <f>69.5634 * CHOOSE(CONTROL!$C$15, $E$9, 100%, $G$9) + CHOOSE(CONTROL!$C$38, 0.0264, 0)</f>
        <v>69.589799999999997</v>
      </c>
      <c r="C880" s="14">
        <f>65.821 * CHOOSE(CONTROL!$C$15, $E$9, 100%, $G$9) + CHOOSE(CONTROL!$C$38, 0.0354, 0)</f>
        <v>65.856399999999994</v>
      </c>
      <c r="D880" s="14">
        <f>65.8132 * CHOOSE(CONTROL!$C$15, $E$9, 100%, $G$9) + CHOOSE(CONTROL!$C$38, 0.0354, 0)</f>
        <v>65.84859999999999</v>
      </c>
      <c r="E880" s="46">
        <f>69.4071 * CHOOSE(CONTROL!$C$15, $E$9, 100%, $G$9) + CHOOSE(CONTROL!$C$38, 0.0354, 0)</f>
        <v>69.442499999999995</v>
      </c>
      <c r="F880" s="45">
        <f>69.4071 * CHOOSE(CONTROL!$C$15, $E$9, 100%, $G$9) + CHOOSE(CONTROL!$C$38, 0.0264, 0)</f>
        <v>69.433499999999995</v>
      </c>
      <c r="G880" s="14">
        <f>65.8195 * CHOOSE(CONTROL!$C$15, $E$9, 100%, $G$9) + CHOOSE(CONTROL!$C$38, 0.0354, 0)</f>
        <v>65.854900000000001</v>
      </c>
      <c r="H880" s="14">
        <f>65.8195 * CHOOSE(CONTROL!$C$15, $E$9, 100%, $G$9) + CHOOSE(CONTROL!$C$38, 0.0354, 0)</f>
        <v>65.854900000000001</v>
      </c>
      <c r="I880" s="14">
        <f>65.821 * CHOOSE(CONTROL!$C$15, $E$9, 100%, $G$9) + CHOOSE(CONTROL!$C$38, 0.0354, 0)</f>
        <v>65.856399999999994</v>
      </c>
      <c r="J880" s="44">
        <f>655.6254</f>
        <v>655.62540000000001</v>
      </c>
    </row>
    <row r="881" spans="1:10" ht="15.75" x14ac:dyDescent="0.25">
      <c r="A881" s="32">
        <v>67753</v>
      </c>
      <c r="B881" s="14">
        <f>70.5568 * CHOOSE(CONTROL!$C$15, $E$9, 100%, $G$9) + CHOOSE(CONTROL!$C$38, 0.0264, 0)</f>
        <v>70.583199999999991</v>
      </c>
      <c r="C881" s="14">
        <f>66.7628 * CHOOSE(CONTROL!$C$15, $E$9, 100%, $G$9) + CHOOSE(CONTROL!$C$38, 0.0354, 0)</f>
        <v>66.798199999999994</v>
      </c>
      <c r="D881" s="14">
        <f>66.755 * CHOOSE(CONTROL!$C$15, $E$9, 100%, $G$9) + CHOOSE(CONTROL!$C$38, 0.0354, 0)</f>
        <v>66.790399999999991</v>
      </c>
      <c r="E881" s="46">
        <f>70.4006 * CHOOSE(CONTROL!$C$15, $E$9, 100%, $G$9) + CHOOSE(CONTROL!$C$38, 0.0354, 0)</f>
        <v>70.435999999999993</v>
      </c>
      <c r="F881" s="45">
        <f>70.4006 * CHOOSE(CONTROL!$C$15, $E$9, 100%, $G$9) + CHOOSE(CONTROL!$C$38, 0.0264, 0)</f>
        <v>70.426999999999992</v>
      </c>
      <c r="G881" s="14">
        <f>66.7612 * CHOOSE(CONTROL!$C$15, $E$9, 100%, $G$9) + CHOOSE(CONTROL!$C$38, 0.0354, 0)</f>
        <v>66.796599999999998</v>
      </c>
      <c r="H881" s="14">
        <f>66.7612 * CHOOSE(CONTROL!$C$15, $E$9, 100%, $G$9) + CHOOSE(CONTROL!$C$38, 0.0354, 0)</f>
        <v>66.796599999999998</v>
      </c>
      <c r="I881" s="14">
        <f>66.7628 * CHOOSE(CONTROL!$C$15, $E$9, 100%, $G$9) + CHOOSE(CONTROL!$C$38, 0.0354, 0)</f>
        <v>66.798199999999994</v>
      </c>
      <c r="J881" s="44">
        <f>665.0722</f>
        <v>665.07219999999995</v>
      </c>
    </row>
    <row r="882" spans="1:10" ht="15.75" x14ac:dyDescent="0.25">
      <c r="A882" s="32">
        <v>67784</v>
      </c>
      <c r="B882" s="14">
        <f>70.2298 * CHOOSE(CONTROL!$C$15, $E$9, 100%, $G$9) + CHOOSE(CONTROL!$C$38, 0.0264, 0)</f>
        <v>70.256199999999993</v>
      </c>
      <c r="C882" s="14">
        <f>66.4527 * CHOOSE(CONTROL!$C$15, $E$9, 100%, $G$9) + CHOOSE(CONTROL!$C$38, 0.0354, 0)</f>
        <v>66.488099999999989</v>
      </c>
      <c r="D882" s="14">
        <f>66.4449 * CHOOSE(CONTROL!$C$15, $E$9, 100%, $G$9) + CHOOSE(CONTROL!$C$38, 0.0354, 0)</f>
        <v>66.4803</v>
      </c>
      <c r="E882" s="46">
        <f>70.0735 * CHOOSE(CONTROL!$C$15, $E$9, 100%, $G$9) + CHOOSE(CONTROL!$C$38, 0.0354, 0)</f>
        <v>70.108899999999991</v>
      </c>
      <c r="F882" s="45">
        <f>70.0735 * CHOOSE(CONTROL!$C$15, $E$9, 100%, $G$9) + CHOOSE(CONTROL!$C$38, 0.0264, 0)</f>
        <v>70.099899999999991</v>
      </c>
      <c r="G882" s="14">
        <f>66.4512 * CHOOSE(CONTROL!$C$15, $E$9, 100%, $G$9) + CHOOSE(CONTROL!$C$38, 0.0354, 0)</f>
        <v>66.486599999999996</v>
      </c>
      <c r="H882" s="14">
        <f>66.4512 * CHOOSE(CONTROL!$C$15, $E$9, 100%, $G$9) + CHOOSE(CONTROL!$C$38, 0.0354, 0)</f>
        <v>66.486599999999996</v>
      </c>
      <c r="I882" s="14">
        <f>66.4527 * CHOOSE(CONTROL!$C$15, $E$9, 100%, $G$9) + CHOOSE(CONTROL!$C$38, 0.0354, 0)</f>
        <v>66.488099999999989</v>
      </c>
      <c r="J882" s="44">
        <f>661.9619</f>
        <v>661.96190000000001</v>
      </c>
    </row>
    <row r="883" spans="1:10" ht="15.75" x14ac:dyDescent="0.25">
      <c r="A883" s="32">
        <v>67815</v>
      </c>
      <c r="B883" s="14">
        <f>68.6092 * CHOOSE(CONTROL!$C$15, $E$9, 100%, $G$9) + CHOOSE(CONTROL!$C$38, 0.0264, 0)</f>
        <v>68.635599999999997</v>
      </c>
      <c r="C883" s="14">
        <f>64.9165 * CHOOSE(CONTROL!$C$15, $E$9, 100%, $G$9) + CHOOSE(CONTROL!$C$38, 0.0354, 0)</f>
        <v>64.951899999999995</v>
      </c>
      <c r="D883" s="14">
        <f>64.9087 * CHOOSE(CONTROL!$C$15, $E$9, 100%, $G$9) + CHOOSE(CONTROL!$C$38, 0.0354, 0)</f>
        <v>64.944099999999992</v>
      </c>
      <c r="E883" s="46">
        <f>68.4529 * CHOOSE(CONTROL!$C$15, $E$9, 100%, $G$9) + CHOOSE(CONTROL!$C$38, 0.0354, 0)</f>
        <v>68.488299999999995</v>
      </c>
      <c r="F883" s="45">
        <f>68.4529 * CHOOSE(CONTROL!$C$15, $E$9, 100%, $G$9) + CHOOSE(CONTROL!$C$38, 0.0264, 0)</f>
        <v>68.479299999999995</v>
      </c>
      <c r="G883" s="14">
        <f>64.9149 * CHOOSE(CONTROL!$C$15, $E$9, 100%, $G$9) + CHOOSE(CONTROL!$C$38, 0.0354, 0)</f>
        <v>64.950299999999999</v>
      </c>
      <c r="H883" s="14">
        <f>64.9149 * CHOOSE(CONTROL!$C$15, $E$9, 100%, $G$9) + CHOOSE(CONTROL!$C$38, 0.0354, 0)</f>
        <v>64.950299999999999</v>
      </c>
      <c r="I883" s="14">
        <f>64.9165 * CHOOSE(CONTROL!$C$15, $E$9, 100%, $G$9) + CHOOSE(CONTROL!$C$38, 0.0354, 0)</f>
        <v>64.951899999999995</v>
      </c>
      <c r="J883" s="44">
        <f>646.5517</f>
        <v>646.55169999999998</v>
      </c>
    </row>
    <row r="884" spans="1:10" ht="15.75" x14ac:dyDescent="0.25">
      <c r="A884" s="32">
        <v>67845</v>
      </c>
      <c r="B884" s="14">
        <f>66.3493 * CHOOSE(CONTROL!$C$15, $E$9, 100%, $G$9) + CHOOSE(CONTROL!$C$38, 0.0264, 0)</f>
        <v>66.375699999999995</v>
      </c>
      <c r="C884" s="14">
        <f>62.7741 * CHOOSE(CONTROL!$C$15, $E$9, 100%, $G$9) + CHOOSE(CONTROL!$C$38, 0.0354, 0)</f>
        <v>62.8095</v>
      </c>
      <c r="D884" s="14">
        <f>62.7663 * CHOOSE(CONTROL!$C$15, $E$9, 100%, $G$9) + CHOOSE(CONTROL!$C$38, 0.0354, 0)</f>
        <v>62.801700000000004</v>
      </c>
      <c r="E884" s="46">
        <f>66.193 * CHOOSE(CONTROL!$C$15, $E$9, 100%, $G$9) + CHOOSE(CONTROL!$C$38, 0.0354, 0)</f>
        <v>66.228399999999993</v>
      </c>
      <c r="F884" s="45">
        <f>66.193 * CHOOSE(CONTROL!$C$15, $E$9, 100%, $G$9) + CHOOSE(CONTROL!$C$38, 0.0264, 0)</f>
        <v>66.219399999999993</v>
      </c>
      <c r="G884" s="14">
        <f>62.7725 * CHOOSE(CONTROL!$C$15, $E$9, 100%, $G$9) + CHOOSE(CONTROL!$C$38, 0.0354, 0)</f>
        <v>62.807900000000004</v>
      </c>
      <c r="H884" s="14">
        <f>62.7725 * CHOOSE(CONTROL!$C$15, $E$9, 100%, $G$9) + CHOOSE(CONTROL!$C$38, 0.0354, 0)</f>
        <v>62.807900000000004</v>
      </c>
      <c r="I884" s="14">
        <f>62.7741 * CHOOSE(CONTROL!$C$15, $E$9, 100%, $G$9) + CHOOSE(CONTROL!$C$38, 0.0354, 0)</f>
        <v>62.8095</v>
      </c>
      <c r="J884" s="44">
        <f>625.0614</f>
        <v>625.06140000000005</v>
      </c>
    </row>
    <row r="885" spans="1:10" ht="15.75" x14ac:dyDescent="0.25">
      <c r="A885" s="32">
        <v>67876</v>
      </c>
      <c r="B885" s="14">
        <f>64.0762 * CHOOSE(CONTROL!$C$15, $E$9, 100%, $G$9) + CHOOSE(CONTROL!$C$38, 0.0251, 0)</f>
        <v>64.101299999999995</v>
      </c>
      <c r="C885" s="14">
        <f>60.6192 * CHOOSE(CONTROL!$C$15, $E$9, 100%, $G$9) + CHOOSE(CONTROL!$C$38, 0.0342, 0)</f>
        <v>60.653399999999998</v>
      </c>
      <c r="D885" s="14">
        <f>60.6114 * CHOOSE(CONTROL!$C$15, $E$9, 100%, $G$9) + CHOOSE(CONTROL!$C$38, 0.0342, 0)</f>
        <v>60.645600000000002</v>
      </c>
      <c r="E885" s="46">
        <f>63.9199 * CHOOSE(CONTROL!$C$15, $E$9, 100%, $G$9) + CHOOSE(CONTROL!$C$38, 0.0342, 0)</f>
        <v>63.954099999999997</v>
      </c>
      <c r="F885" s="45">
        <f>63.9199 * CHOOSE(CONTROL!$C$15, $E$9, 100%, $G$9) + CHOOSE(CONTROL!$C$38, 0.0251, 0)</f>
        <v>63.945</v>
      </c>
      <c r="G885" s="14">
        <f>60.6177 * CHOOSE(CONTROL!$C$15, $E$9, 100%, $G$9) + CHOOSE(CONTROL!$C$38, 0.0342, 0)</f>
        <v>60.651899999999998</v>
      </c>
      <c r="H885" s="14">
        <f>60.6177 * CHOOSE(CONTROL!$C$15, $E$9, 100%, $G$9) + CHOOSE(CONTROL!$C$38, 0.0342, 0)</f>
        <v>60.651899999999998</v>
      </c>
      <c r="I885" s="14">
        <f>60.6192 * CHOOSE(CONTROL!$C$15, $E$9, 100%, $G$9) + CHOOSE(CONTROL!$C$38, 0.0342, 0)</f>
        <v>60.653399999999998</v>
      </c>
      <c r="J885" s="44">
        <f>603.4461</f>
        <v>603.4461</v>
      </c>
    </row>
    <row r="886" spans="1:10" ht="15.75" x14ac:dyDescent="0.25">
      <c r="A886" s="32">
        <v>67906</v>
      </c>
      <c r="B886" s="14">
        <f>63.624 * CHOOSE(CONTROL!$C$15, $E$9, 100%, $G$9) + CHOOSE(CONTROL!$C$38, 0.0251, 0)</f>
        <v>63.649100000000004</v>
      </c>
      <c r="C886" s="14">
        <f>60.1906 * CHOOSE(CONTROL!$C$15, $E$9, 100%, $G$9) + CHOOSE(CONTROL!$C$38, 0.0342, 0)</f>
        <v>60.224800000000002</v>
      </c>
      <c r="D886" s="14">
        <f>60.1828 * CHOOSE(CONTROL!$C$15, $E$9, 100%, $G$9) + CHOOSE(CONTROL!$C$38, 0.0342, 0)</f>
        <v>60.216999999999999</v>
      </c>
      <c r="E886" s="46">
        <f>63.4678 * CHOOSE(CONTROL!$C$15, $E$9, 100%, $G$9) + CHOOSE(CONTROL!$C$38, 0.0342, 0)</f>
        <v>63.501999999999995</v>
      </c>
      <c r="F886" s="45">
        <f>63.4678 * CHOOSE(CONTROL!$C$15, $E$9, 100%, $G$9) + CHOOSE(CONTROL!$C$38, 0.0251, 0)</f>
        <v>63.492899999999999</v>
      </c>
      <c r="G886" s="14">
        <f>60.189 * CHOOSE(CONTROL!$C$15, $E$9, 100%, $G$9) + CHOOSE(CONTROL!$C$38, 0.0342, 0)</f>
        <v>60.223199999999999</v>
      </c>
      <c r="H886" s="14">
        <f>60.189 * CHOOSE(CONTROL!$C$15, $E$9, 100%, $G$9) + CHOOSE(CONTROL!$C$38, 0.0342, 0)</f>
        <v>60.223199999999999</v>
      </c>
      <c r="I886" s="14">
        <f>60.1906 * CHOOSE(CONTROL!$C$15, $E$9, 100%, $G$9) + CHOOSE(CONTROL!$C$38, 0.0342, 0)</f>
        <v>60.224800000000002</v>
      </c>
      <c r="J886" s="44">
        <f>599.1464</f>
        <v>599.14639999999997</v>
      </c>
    </row>
    <row r="887" spans="1:10" ht="15.75" x14ac:dyDescent="0.25">
      <c r="A887" s="32">
        <v>67937</v>
      </c>
      <c r="B887" s="14">
        <f>61.7543 * CHOOSE(CONTROL!$C$15, $E$9, 100%, $G$9) + CHOOSE(CONTROL!$C$38, 0.0251, 0)</f>
        <v>61.779400000000003</v>
      </c>
      <c r="C887" s="14">
        <f>58.4181 * CHOOSE(CONTROL!$C$15, $E$9, 100%, $G$9) + CHOOSE(CONTROL!$C$38, 0.0342, 0)</f>
        <v>58.452300000000001</v>
      </c>
      <c r="D887" s="14">
        <f>58.4103 * CHOOSE(CONTROL!$C$15, $E$9, 100%, $G$9) + CHOOSE(CONTROL!$C$38, 0.0342, 0)</f>
        <v>58.444499999999998</v>
      </c>
      <c r="E887" s="46">
        <f>61.598 * CHOOSE(CONTROL!$C$15, $E$9, 100%, $G$9) + CHOOSE(CONTROL!$C$38, 0.0342, 0)</f>
        <v>61.632199999999997</v>
      </c>
      <c r="F887" s="45">
        <f>61.598 * CHOOSE(CONTROL!$C$15, $E$9, 100%, $G$9) + CHOOSE(CONTROL!$C$38, 0.0251, 0)</f>
        <v>61.623100000000001</v>
      </c>
      <c r="G887" s="14">
        <f>58.4165 * CHOOSE(CONTROL!$C$15, $E$9, 100%, $G$9) + CHOOSE(CONTROL!$C$38, 0.0342, 0)</f>
        <v>58.450699999999998</v>
      </c>
      <c r="H887" s="14">
        <f>58.4165 * CHOOSE(CONTROL!$C$15, $E$9, 100%, $G$9) + CHOOSE(CONTROL!$C$38, 0.0342, 0)</f>
        <v>58.450699999999998</v>
      </c>
      <c r="I887" s="14">
        <f>58.4181 * CHOOSE(CONTROL!$C$15, $E$9, 100%, $G$9) + CHOOSE(CONTROL!$C$38, 0.0342, 0)</f>
        <v>58.452300000000001</v>
      </c>
      <c r="J887" s="44">
        <f>581.3667</f>
        <v>581.36670000000004</v>
      </c>
    </row>
    <row r="888" spans="1:10" ht="15.75" x14ac:dyDescent="0.25">
      <c r="A888" s="32">
        <v>67968</v>
      </c>
      <c r="B888" s="14">
        <f>61.29 * CHOOSE(CONTROL!$C$15, $E$9, 100%, $G$9) + CHOOSE(CONTROL!$C$38, 0.0251, 0)</f>
        <v>61.315100000000001</v>
      </c>
      <c r="C888" s="14">
        <f>57.9779 * CHOOSE(CONTROL!$C$15, $E$9, 100%, $G$9) + CHOOSE(CONTROL!$C$38, 0.0342, 0)</f>
        <v>58.012099999999997</v>
      </c>
      <c r="D888" s="14">
        <f>57.9701 * CHOOSE(CONTROL!$C$15, $E$9, 100%, $G$9) + CHOOSE(CONTROL!$C$38, 0.0342, 0)</f>
        <v>58.004300000000001</v>
      </c>
      <c r="E888" s="46">
        <f>61.1337 * CHOOSE(CONTROL!$C$15, $E$9, 100%, $G$9) + CHOOSE(CONTROL!$C$38, 0.0342, 0)</f>
        <v>61.167899999999996</v>
      </c>
      <c r="F888" s="45">
        <f>61.1337 * CHOOSE(CONTROL!$C$15, $E$9, 100%, $G$9) + CHOOSE(CONTROL!$C$38, 0.0251, 0)</f>
        <v>61.158799999999999</v>
      </c>
      <c r="G888" s="14">
        <f>57.9764 * CHOOSE(CONTROL!$C$15, $E$9, 100%, $G$9) + CHOOSE(CONTROL!$C$38, 0.0342, 0)</f>
        <v>58.010599999999997</v>
      </c>
      <c r="H888" s="14">
        <f>57.9764 * CHOOSE(CONTROL!$C$15, $E$9, 100%, $G$9) + CHOOSE(CONTROL!$C$38, 0.0342, 0)</f>
        <v>58.010599999999997</v>
      </c>
      <c r="I888" s="14">
        <f>57.9779 * CHOOSE(CONTROL!$C$15, $E$9, 100%, $G$9) + CHOOSE(CONTROL!$C$38, 0.0342, 0)</f>
        <v>58.012099999999997</v>
      </c>
      <c r="J888" s="44">
        <f>580.947</f>
        <v>580.947</v>
      </c>
    </row>
    <row r="889" spans="1:10" ht="15.75" x14ac:dyDescent="0.25">
      <c r="A889" s="32">
        <v>67996</v>
      </c>
      <c r="B889" s="14">
        <f>61.1213 * CHOOSE(CONTROL!$C$15, $E$9, 100%, $G$9) + CHOOSE(CONTROL!$C$38, 0.0251, 0)</f>
        <v>61.1464</v>
      </c>
      <c r="C889" s="14">
        <f>57.8181 * CHOOSE(CONTROL!$C$15, $E$9, 100%, $G$9) + CHOOSE(CONTROL!$C$38, 0.0342, 0)</f>
        <v>57.8523</v>
      </c>
      <c r="D889" s="14">
        <f>57.8102 * CHOOSE(CONTROL!$C$15, $E$9, 100%, $G$9) + CHOOSE(CONTROL!$C$38, 0.0342, 0)</f>
        <v>57.8444</v>
      </c>
      <c r="E889" s="46">
        <f>60.9651 * CHOOSE(CONTROL!$C$15, $E$9, 100%, $G$9) + CHOOSE(CONTROL!$C$38, 0.0342, 0)</f>
        <v>60.999299999999998</v>
      </c>
      <c r="F889" s="45">
        <f>60.9651 * CHOOSE(CONTROL!$C$15, $E$9, 100%, $G$9) + CHOOSE(CONTROL!$C$38, 0.0251, 0)</f>
        <v>60.990200000000002</v>
      </c>
      <c r="G889" s="14">
        <f>57.8165 * CHOOSE(CONTROL!$C$15, $E$9, 100%, $G$9) + CHOOSE(CONTROL!$C$38, 0.0342, 0)</f>
        <v>57.850699999999996</v>
      </c>
      <c r="H889" s="14">
        <f>57.8165 * CHOOSE(CONTROL!$C$15, $E$9, 100%, $G$9) + CHOOSE(CONTROL!$C$38, 0.0342, 0)</f>
        <v>57.850699999999996</v>
      </c>
      <c r="I889" s="14">
        <f>57.8181 * CHOOSE(CONTROL!$C$15, $E$9, 100%, $G$9) + CHOOSE(CONTROL!$C$38, 0.0342, 0)</f>
        <v>57.8523</v>
      </c>
      <c r="J889" s="44">
        <f>579.3321</f>
        <v>579.33209999999997</v>
      </c>
    </row>
    <row r="890" spans="1:10" ht="15.75" x14ac:dyDescent="0.25">
      <c r="A890" s="32">
        <v>68027</v>
      </c>
      <c r="B890" s="14">
        <f>64.3102 * CHOOSE(CONTROL!$C$15, $E$9, 100%, $G$9) + CHOOSE(CONTROL!$C$38, 0.0251, 0)</f>
        <v>64.335299999999989</v>
      </c>
      <c r="C890" s="14">
        <f>60.8411 * CHOOSE(CONTROL!$C$15, $E$9, 100%, $G$9) + CHOOSE(CONTROL!$C$38, 0.0342, 0)</f>
        <v>60.875299999999996</v>
      </c>
      <c r="D890" s="14">
        <f>60.8333 * CHOOSE(CONTROL!$C$15, $E$9, 100%, $G$9) + CHOOSE(CONTROL!$C$38, 0.0342, 0)</f>
        <v>60.8675</v>
      </c>
      <c r="E890" s="46">
        <f>64.154 * CHOOSE(CONTROL!$C$15, $E$9, 100%, $G$9) + CHOOSE(CONTROL!$C$38, 0.0342, 0)</f>
        <v>64.188199999999995</v>
      </c>
      <c r="F890" s="45">
        <f>64.154 * CHOOSE(CONTROL!$C$15, $E$9, 100%, $G$9) + CHOOSE(CONTROL!$C$38, 0.0251, 0)</f>
        <v>64.179099999999991</v>
      </c>
      <c r="G890" s="14">
        <f>60.8395 * CHOOSE(CONTROL!$C$15, $E$9, 100%, $G$9) + CHOOSE(CONTROL!$C$38, 0.0342, 0)</f>
        <v>60.873699999999999</v>
      </c>
      <c r="H890" s="14">
        <f>60.8395 * CHOOSE(CONTROL!$C$15, $E$9, 100%, $G$9) + CHOOSE(CONTROL!$C$38, 0.0342, 0)</f>
        <v>60.873699999999999</v>
      </c>
      <c r="I890" s="14">
        <f>60.8411 * CHOOSE(CONTROL!$C$15, $E$9, 100%, $G$9) + CHOOSE(CONTROL!$C$38, 0.0342, 0)</f>
        <v>60.875299999999996</v>
      </c>
      <c r="J890" s="44">
        <f>609.8663</f>
        <v>609.86630000000002</v>
      </c>
    </row>
    <row r="891" spans="1:10" ht="15.75" x14ac:dyDescent="0.25">
      <c r="A891" s="32">
        <v>68057</v>
      </c>
      <c r="B891" s="14">
        <f>68.4455 * CHOOSE(CONTROL!$C$15, $E$9, 100%, $G$9) + CHOOSE(CONTROL!$C$38, 0.0251, 0)</f>
        <v>68.47059999999999</v>
      </c>
      <c r="C891" s="14">
        <f>64.7613 * CHOOSE(CONTROL!$C$15, $E$9, 100%, $G$9) + CHOOSE(CONTROL!$C$38, 0.0342, 0)</f>
        <v>64.795500000000004</v>
      </c>
      <c r="D891" s="14">
        <f>64.7535 * CHOOSE(CONTROL!$C$15, $E$9, 100%, $G$9) + CHOOSE(CONTROL!$C$38, 0.0342, 0)</f>
        <v>64.787700000000001</v>
      </c>
      <c r="E891" s="46">
        <f>68.2892 * CHOOSE(CONTROL!$C$15, $E$9, 100%, $G$9) + CHOOSE(CONTROL!$C$38, 0.0342, 0)</f>
        <v>68.323399999999992</v>
      </c>
      <c r="F891" s="45">
        <f>68.2892 * CHOOSE(CONTROL!$C$15, $E$9, 100%, $G$9) + CHOOSE(CONTROL!$C$38, 0.0251, 0)</f>
        <v>68.314299999999989</v>
      </c>
      <c r="G891" s="14">
        <f>64.7597 * CHOOSE(CONTROL!$C$15, $E$9, 100%, $G$9) + CHOOSE(CONTROL!$C$38, 0.0342, 0)</f>
        <v>64.793899999999994</v>
      </c>
      <c r="H891" s="14">
        <f>64.7597 * CHOOSE(CONTROL!$C$15, $E$9, 100%, $G$9) + CHOOSE(CONTROL!$C$38, 0.0342, 0)</f>
        <v>64.793899999999994</v>
      </c>
      <c r="I891" s="14">
        <f>64.7613 * CHOOSE(CONTROL!$C$15, $E$9, 100%, $G$9) + CHOOSE(CONTROL!$C$38, 0.0342, 0)</f>
        <v>64.795500000000004</v>
      </c>
      <c r="J891" s="44">
        <f>649.4618</f>
        <v>649.46180000000004</v>
      </c>
    </row>
    <row r="892" spans="1:10" ht="15.75" x14ac:dyDescent="0.25">
      <c r="A892" s="32">
        <v>68088</v>
      </c>
      <c r="B892" s="14">
        <f>70.7217 * CHOOSE(CONTROL!$C$15, $E$9, 100%, $G$9) + CHOOSE(CONTROL!$C$38, 0.0264, 0)</f>
        <v>70.748099999999994</v>
      </c>
      <c r="C892" s="14">
        <f>66.9191 * CHOOSE(CONTROL!$C$15, $E$9, 100%, $G$9) + CHOOSE(CONTROL!$C$38, 0.0354, 0)</f>
        <v>66.954499999999996</v>
      </c>
      <c r="D892" s="14">
        <f>66.9113 * CHOOSE(CONTROL!$C$15, $E$9, 100%, $G$9) + CHOOSE(CONTROL!$C$38, 0.0354, 0)</f>
        <v>66.946699999999993</v>
      </c>
      <c r="E892" s="46">
        <f>70.5654 * CHOOSE(CONTROL!$C$15, $E$9, 100%, $G$9) + CHOOSE(CONTROL!$C$38, 0.0354, 0)</f>
        <v>70.600799999999992</v>
      </c>
      <c r="F892" s="45">
        <f>70.5654 * CHOOSE(CONTROL!$C$15, $E$9, 100%, $G$9) + CHOOSE(CONTROL!$C$38, 0.0264, 0)</f>
        <v>70.591799999999992</v>
      </c>
      <c r="G892" s="14">
        <f>66.9175 * CHOOSE(CONTROL!$C$15, $E$9, 100%, $G$9) + CHOOSE(CONTROL!$C$38, 0.0354, 0)</f>
        <v>66.9529</v>
      </c>
      <c r="H892" s="14">
        <f>66.9175 * CHOOSE(CONTROL!$C$15, $E$9, 100%, $G$9) + CHOOSE(CONTROL!$C$38, 0.0354, 0)</f>
        <v>66.9529</v>
      </c>
      <c r="I892" s="14">
        <f>66.9191 * CHOOSE(CONTROL!$C$15, $E$9, 100%, $G$9) + CHOOSE(CONTROL!$C$38, 0.0354, 0)</f>
        <v>66.954499999999996</v>
      </c>
      <c r="J892" s="44">
        <f>671.2565</f>
        <v>671.25649999999996</v>
      </c>
    </row>
    <row r="893" spans="1:10" ht="15.75" x14ac:dyDescent="0.25">
      <c r="A893" s="32">
        <v>68118</v>
      </c>
      <c r="B893" s="14">
        <f>71.7318 * CHOOSE(CONTROL!$C$15, $E$9, 100%, $G$9) + CHOOSE(CONTROL!$C$38, 0.0264, 0)</f>
        <v>71.758200000000002</v>
      </c>
      <c r="C893" s="14">
        <f>67.8767 * CHOOSE(CONTROL!$C$15, $E$9, 100%, $G$9) + CHOOSE(CONTROL!$C$38, 0.0354, 0)</f>
        <v>67.912099999999995</v>
      </c>
      <c r="D893" s="14">
        <f>67.8689 * CHOOSE(CONTROL!$C$15, $E$9, 100%, $G$9) + CHOOSE(CONTROL!$C$38, 0.0354, 0)</f>
        <v>67.904299999999992</v>
      </c>
      <c r="E893" s="46">
        <f>71.5756 * CHOOSE(CONTROL!$C$15, $E$9, 100%, $G$9) + CHOOSE(CONTROL!$C$38, 0.0354, 0)</f>
        <v>71.61099999999999</v>
      </c>
      <c r="F893" s="45">
        <f>71.5756 * CHOOSE(CONTROL!$C$15, $E$9, 100%, $G$9) + CHOOSE(CONTROL!$C$38, 0.0264, 0)</f>
        <v>71.60199999999999</v>
      </c>
      <c r="G893" s="14">
        <f>67.8751 * CHOOSE(CONTROL!$C$15, $E$9, 100%, $G$9) + CHOOSE(CONTROL!$C$38, 0.0354, 0)</f>
        <v>67.910499999999999</v>
      </c>
      <c r="H893" s="14">
        <f>67.8751 * CHOOSE(CONTROL!$C$15, $E$9, 100%, $G$9) + CHOOSE(CONTROL!$C$38, 0.0354, 0)</f>
        <v>67.910499999999999</v>
      </c>
      <c r="I893" s="14">
        <f>67.8767 * CHOOSE(CONTROL!$C$15, $E$9, 100%, $G$9) + CHOOSE(CONTROL!$C$38, 0.0354, 0)</f>
        <v>67.912099999999995</v>
      </c>
      <c r="J893" s="44">
        <f>680.9285</f>
        <v>680.92849999999999</v>
      </c>
    </row>
    <row r="894" spans="1:10" ht="15.75" x14ac:dyDescent="0.25">
      <c r="A894" s="32">
        <v>68149</v>
      </c>
      <c r="B894" s="14">
        <f>71.3992 * CHOOSE(CONTROL!$C$15, $E$9, 100%, $G$9) + CHOOSE(CONTROL!$C$38, 0.0264, 0)</f>
        <v>71.425599999999989</v>
      </c>
      <c r="C894" s="14">
        <f>67.5614 * CHOOSE(CONTROL!$C$15, $E$9, 100%, $G$9) + CHOOSE(CONTROL!$C$38, 0.0354, 0)</f>
        <v>67.596800000000002</v>
      </c>
      <c r="D894" s="14">
        <f>67.5536 * CHOOSE(CONTROL!$C$15, $E$9, 100%, $G$9) + CHOOSE(CONTROL!$C$38, 0.0354, 0)</f>
        <v>67.588999999999999</v>
      </c>
      <c r="E894" s="46">
        <f>71.243 * CHOOSE(CONTROL!$C$15, $E$9, 100%, $G$9) + CHOOSE(CONTROL!$C$38, 0.0354, 0)</f>
        <v>71.278399999999991</v>
      </c>
      <c r="F894" s="45">
        <f>71.243 * CHOOSE(CONTROL!$C$15, $E$9, 100%, $G$9) + CHOOSE(CONTROL!$C$38, 0.0264, 0)</f>
        <v>71.26939999999999</v>
      </c>
      <c r="G894" s="14">
        <f>67.5598 * CHOOSE(CONTROL!$C$15, $E$9, 100%, $G$9) + CHOOSE(CONTROL!$C$38, 0.0354, 0)</f>
        <v>67.595199999999991</v>
      </c>
      <c r="H894" s="14">
        <f>67.5598 * CHOOSE(CONTROL!$C$15, $E$9, 100%, $G$9) + CHOOSE(CONTROL!$C$38, 0.0354, 0)</f>
        <v>67.595199999999991</v>
      </c>
      <c r="I894" s="14">
        <f>67.5614 * CHOOSE(CONTROL!$C$15, $E$9, 100%, $G$9) + CHOOSE(CONTROL!$C$38, 0.0354, 0)</f>
        <v>67.596800000000002</v>
      </c>
      <c r="J894" s="44">
        <f>677.744</f>
        <v>677.74400000000003</v>
      </c>
    </row>
    <row r="895" spans="1:10" ht="15.75" x14ac:dyDescent="0.25">
      <c r="A895" s="32">
        <v>68180</v>
      </c>
      <c r="B895" s="14">
        <f>69.7514 * CHOOSE(CONTROL!$C$15, $E$9, 100%, $G$9) + CHOOSE(CONTROL!$C$38, 0.0264, 0)</f>
        <v>69.777799999999999</v>
      </c>
      <c r="C895" s="14">
        <f>65.9993 * CHOOSE(CONTROL!$C$15, $E$9, 100%, $G$9) + CHOOSE(CONTROL!$C$38, 0.0354, 0)</f>
        <v>66.034700000000001</v>
      </c>
      <c r="D895" s="14">
        <f>65.9915 * CHOOSE(CONTROL!$C$15, $E$9, 100%, $G$9) + CHOOSE(CONTROL!$C$38, 0.0354, 0)</f>
        <v>66.026899999999998</v>
      </c>
      <c r="E895" s="46">
        <f>69.5952 * CHOOSE(CONTROL!$C$15, $E$9, 100%, $G$9) + CHOOSE(CONTROL!$C$38, 0.0354, 0)</f>
        <v>69.630600000000001</v>
      </c>
      <c r="F895" s="45">
        <f>69.5952 * CHOOSE(CONTROL!$C$15, $E$9, 100%, $G$9) + CHOOSE(CONTROL!$C$38, 0.0264, 0)</f>
        <v>69.621600000000001</v>
      </c>
      <c r="G895" s="14">
        <f>65.9977 * CHOOSE(CONTROL!$C$15, $E$9, 100%, $G$9) + CHOOSE(CONTROL!$C$38, 0.0354, 0)</f>
        <v>66.03309999999999</v>
      </c>
      <c r="H895" s="14">
        <f>65.9977 * CHOOSE(CONTROL!$C$15, $E$9, 100%, $G$9) + CHOOSE(CONTROL!$C$38, 0.0354, 0)</f>
        <v>66.03309999999999</v>
      </c>
      <c r="I895" s="14">
        <f>65.9993 * CHOOSE(CONTROL!$C$15, $E$9, 100%, $G$9) + CHOOSE(CONTROL!$C$38, 0.0354, 0)</f>
        <v>66.034700000000001</v>
      </c>
      <c r="J895" s="44">
        <f>661.9664</f>
        <v>661.96640000000002</v>
      </c>
    </row>
    <row r="896" spans="1:10" ht="15.75" x14ac:dyDescent="0.25">
      <c r="A896" s="32">
        <v>68210</v>
      </c>
      <c r="B896" s="14">
        <f>67.4535 * CHOOSE(CONTROL!$C$15, $E$9, 100%, $G$9) + CHOOSE(CONTROL!$C$38, 0.0264, 0)</f>
        <v>67.479900000000001</v>
      </c>
      <c r="C896" s="14">
        <f>63.8209 * CHOOSE(CONTROL!$C$15, $E$9, 100%, $G$9) + CHOOSE(CONTROL!$C$38, 0.0354, 0)</f>
        <v>63.856300000000005</v>
      </c>
      <c r="D896" s="14">
        <f>63.8131 * CHOOSE(CONTROL!$C$15, $E$9, 100%, $G$9) + CHOOSE(CONTROL!$C$38, 0.0354, 0)</f>
        <v>63.848500000000001</v>
      </c>
      <c r="E896" s="46">
        <f>67.2973 * CHOOSE(CONTROL!$C$15, $E$9, 100%, $G$9) + CHOOSE(CONTROL!$C$38, 0.0354, 0)</f>
        <v>67.332700000000003</v>
      </c>
      <c r="F896" s="45">
        <f>67.2973 * CHOOSE(CONTROL!$C$15, $E$9, 100%, $G$9) + CHOOSE(CONTROL!$C$38, 0.0264, 0)</f>
        <v>67.323700000000002</v>
      </c>
      <c r="G896" s="14">
        <f>63.8194 * CHOOSE(CONTROL!$C$15, $E$9, 100%, $G$9) + CHOOSE(CONTROL!$C$38, 0.0354, 0)</f>
        <v>63.854800000000004</v>
      </c>
      <c r="H896" s="14">
        <f>63.8194 * CHOOSE(CONTROL!$C$15, $E$9, 100%, $G$9) + CHOOSE(CONTROL!$C$38, 0.0354, 0)</f>
        <v>63.854800000000004</v>
      </c>
      <c r="I896" s="14">
        <f>63.8209 * CHOOSE(CONTROL!$C$15, $E$9, 100%, $G$9) + CHOOSE(CONTROL!$C$38, 0.0354, 0)</f>
        <v>63.856300000000005</v>
      </c>
      <c r="J896" s="44">
        <f>639.9638</f>
        <v>639.96379999999999</v>
      </c>
    </row>
    <row r="897" spans="1:10" ht="15.75" x14ac:dyDescent="0.25">
      <c r="A897" s="32">
        <v>68241</v>
      </c>
      <c r="B897" s="14">
        <f>65.1423 * CHOOSE(CONTROL!$C$15, $E$9, 100%, $G$9) + CHOOSE(CONTROL!$C$38, 0.0251, 0)</f>
        <v>65.167400000000001</v>
      </c>
      <c r="C897" s="14">
        <f>61.6299 * CHOOSE(CONTROL!$C$15, $E$9, 100%, $G$9) + CHOOSE(CONTROL!$C$38, 0.0342, 0)</f>
        <v>61.664099999999998</v>
      </c>
      <c r="D897" s="14">
        <f>61.6221 * CHOOSE(CONTROL!$C$15, $E$9, 100%, $G$9) + CHOOSE(CONTROL!$C$38, 0.0342, 0)</f>
        <v>61.656300000000002</v>
      </c>
      <c r="E897" s="46">
        <f>64.986 * CHOOSE(CONTROL!$C$15, $E$9, 100%, $G$9) + CHOOSE(CONTROL!$C$38, 0.0342, 0)</f>
        <v>65.020200000000003</v>
      </c>
      <c r="F897" s="45">
        <f>64.986 * CHOOSE(CONTROL!$C$15, $E$9, 100%, $G$9) + CHOOSE(CONTROL!$C$38, 0.0251, 0)</f>
        <v>65.011099999999999</v>
      </c>
      <c r="G897" s="14">
        <f>61.6283 * CHOOSE(CONTROL!$C$15, $E$9, 100%, $G$9) + CHOOSE(CONTROL!$C$38, 0.0342, 0)</f>
        <v>61.662500000000001</v>
      </c>
      <c r="H897" s="14">
        <f>61.6283 * CHOOSE(CONTROL!$C$15, $E$9, 100%, $G$9) + CHOOSE(CONTROL!$C$38, 0.0342, 0)</f>
        <v>61.662500000000001</v>
      </c>
      <c r="I897" s="14">
        <f>61.6299 * CHOOSE(CONTROL!$C$15, $E$9, 100%, $G$9) + CHOOSE(CONTROL!$C$38, 0.0342, 0)</f>
        <v>61.664099999999998</v>
      </c>
      <c r="J897" s="44">
        <f>617.8332</f>
        <v>617.83320000000003</v>
      </c>
    </row>
    <row r="898" spans="1:10" ht="15.75" x14ac:dyDescent="0.25">
      <c r="A898" s="32">
        <v>68271</v>
      </c>
      <c r="B898" s="14">
        <f>64.6825 * CHOOSE(CONTROL!$C$15, $E$9, 100%, $G$9) + CHOOSE(CONTROL!$C$38, 0.0251, 0)</f>
        <v>64.707599999999999</v>
      </c>
      <c r="C898" s="14">
        <f>61.194 * CHOOSE(CONTROL!$C$15, $E$9, 100%, $G$9) + CHOOSE(CONTROL!$C$38, 0.0342, 0)</f>
        <v>61.228200000000001</v>
      </c>
      <c r="D898" s="14">
        <f>61.1862 * CHOOSE(CONTROL!$C$15, $E$9, 100%, $G$9) + CHOOSE(CONTROL!$C$38, 0.0342, 0)</f>
        <v>61.220399999999998</v>
      </c>
      <c r="E898" s="46">
        <f>64.5263 * CHOOSE(CONTROL!$C$15, $E$9, 100%, $G$9) + CHOOSE(CONTROL!$C$38, 0.0342, 0)</f>
        <v>64.560500000000005</v>
      </c>
      <c r="F898" s="45">
        <f>64.5263 * CHOOSE(CONTROL!$C$15, $E$9, 100%, $G$9) + CHOOSE(CONTROL!$C$38, 0.0251, 0)</f>
        <v>64.551400000000001</v>
      </c>
      <c r="G898" s="14">
        <f>61.1925 * CHOOSE(CONTROL!$C$15, $E$9, 100%, $G$9) + CHOOSE(CONTROL!$C$38, 0.0342, 0)</f>
        <v>61.226700000000001</v>
      </c>
      <c r="H898" s="14">
        <f>61.1925 * CHOOSE(CONTROL!$C$15, $E$9, 100%, $G$9) + CHOOSE(CONTROL!$C$38, 0.0342, 0)</f>
        <v>61.226700000000001</v>
      </c>
      <c r="I898" s="14">
        <f>61.194 * CHOOSE(CONTROL!$C$15, $E$9, 100%, $G$9) + CHOOSE(CONTROL!$C$38, 0.0342, 0)</f>
        <v>61.228200000000001</v>
      </c>
      <c r="J898" s="44">
        <f>613.431</f>
        <v>613.43100000000004</v>
      </c>
    </row>
    <row r="899" spans="1:10" ht="15.75" x14ac:dyDescent="0.25">
      <c r="A899" s="32">
        <v>68302</v>
      </c>
      <c r="B899" s="14">
        <f>62.7814 * CHOOSE(CONTROL!$C$15, $E$9, 100%, $G$9) + CHOOSE(CONTROL!$C$38, 0.0251, 0)</f>
        <v>62.8065</v>
      </c>
      <c r="C899" s="14">
        <f>59.3918 * CHOOSE(CONTROL!$C$15, $E$9, 100%, $G$9) + CHOOSE(CONTROL!$C$38, 0.0342, 0)</f>
        <v>59.426000000000002</v>
      </c>
      <c r="D899" s="14">
        <f>59.384 * CHOOSE(CONTROL!$C$15, $E$9, 100%, $G$9) + CHOOSE(CONTROL!$C$38, 0.0342, 0)</f>
        <v>59.418199999999999</v>
      </c>
      <c r="E899" s="46">
        <f>62.6251 * CHOOSE(CONTROL!$C$15, $E$9, 100%, $G$9) + CHOOSE(CONTROL!$C$38, 0.0342, 0)</f>
        <v>62.659300000000002</v>
      </c>
      <c r="F899" s="45">
        <f>62.6251 * CHOOSE(CONTROL!$C$15, $E$9, 100%, $G$9) + CHOOSE(CONTROL!$C$38, 0.0251, 0)</f>
        <v>62.650200000000005</v>
      </c>
      <c r="G899" s="14">
        <f>59.3902 * CHOOSE(CONTROL!$C$15, $E$9, 100%, $G$9) + CHOOSE(CONTROL!$C$38, 0.0342, 0)</f>
        <v>59.424399999999999</v>
      </c>
      <c r="H899" s="14">
        <f>59.3902 * CHOOSE(CONTROL!$C$15, $E$9, 100%, $G$9) + CHOOSE(CONTROL!$C$38, 0.0342, 0)</f>
        <v>59.424399999999999</v>
      </c>
      <c r="I899" s="14">
        <f>59.3918 * CHOOSE(CONTROL!$C$15, $E$9, 100%, $G$9) + CHOOSE(CONTROL!$C$38, 0.0342, 0)</f>
        <v>59.426000000000002</v>
      </c>
      <c r="J899" s="44">
        <f>595.2274</f>
        <v>595.22739999999999</v>
      </c>
    </row>
    <row r="900" spans="1:10" ht="15.75" x14ac:dyDescent="0.25">
      <c r="A900" s="32">
        <v>68333</v>
      </c>
      <c r="B900" s="14">
        <f>62.3092 * CHOOSE(CONTROL!$C$15, $E$9, 100%, $G$9) + CHOOSE(CONTROL!$C$38, 0.0251, 0)</f>
        <v>62.334299999999999</v>
      </c>
      <c r="C900" s="14">
        <f>58.9442 * CHOOSE(CONTROL!$C$15, $E$9, 100%, $G$9) + CHOOSE(CONTROL!$C$38, 0.0342, 0)</f>
        <v>58.978400000000001</v>
      </c>
      <c r="D900" s="14">
        <f>58.9364 * CHOOSE(CONTROL!$C$15, $E$9, 100%, $G$9) + CHOOSE(CONTROL!$C$38, 0.0342, 0)</f>
        <v>58.970599999999997</v>
      </c>
      <c r="E900" s="46">
        <f>62.153 * CHOOSE(CONTROL!$C$15, $E$9, 100%, $G$9) + CHOOSE(CONTROL!$C$38, 0.0342, 0)</f>
        <v>62.187199999999997</v>
      </c>
      <c r="F900" s="45">
        <f>62.153 * CHOOSE(CONTROL!$C$15, $E$9, 100%, $G$9) + CHOOSE(CONTROL!$C$38, 0.0251, 0)</f>
        <v>62.178100000000001</v>
      </c>
      <c r="G900" s="14">
        <f>58.9426 * CHOOSE(CONTROL!$C$15, $E$9, 100%, $G$9) + CHOOSE(CONTROL!$C$38, 0.0342, 0)</f>
        <v>58.976799999999997</v>
      </c>
      <c r="H900" s="14">
        <f>58.9426 * CHOOSE(CONTROL!$C$15, $E$9, 100%, $G$9) + CHOOSE(CONTROL!$C$38, 0.0342, 0)</f>
        <v>58.976799999999997</v>
      </c>
      <c r="I900" s="14">
        <f>58.9442 * CHOOSE(CONTROL!$C$15, $E$9, 100%, $G$9) + CHOOSE(CONTROL!$C$38, 0.0342, 0)</f>
        <v>58.978400000000001</v>
      </c>
      <c r="J900" s="44">
        <f>594.7976</f>
        <v>594.79759999999999</v>
      </c>
    </row>
    <row r="901" spans="1:10" ht="15.75" x14ac:dyDescent="0.25">
      <c r="A901" s="32">
        <v>68361</v>
      </c>
      <c r="B901" s="14">
        <f>62.1378 * CHOOSE(CONTROL!$C$15, $E$9, 100%, $G$9) + CHOOSE(CONTROL!$C$38, 0.0251, 0)</f>
        <v>62.1629</v>
      </c>
      <c r="C901" s="14">
        <f>58.7816 * CHOOSE(CONTROL!$C$15, $E$9, 100%, $G$9) + CHOOSE(CONTROL!$C$38, 0.0342, 0)</f>
        <v>58.815799999999996</v>
      </c>
      <c r="D901" s="14">
        <f>58.7738 * CHOOSE(CONTROL!$C$15, $E$9, 100%, $G$9) + CHOOSE(CONTROL!$C$38, 0.0342, 0)</f>
        <v>58.808</v>
      </c>
      <c r="E901" s="46">
        <f>61.9815 * CHOOSE(CONTROL!$C$15, $E$9, 100%, $G$9) + CHOOSE(CONTROL!$C$38, 0.0342, 0)</f>
        <v>62.015699999999995</v>
      </c>
      <c r="F901" s="45">
        <f>61.9815 * CHOOSE(CONTROL!$C$15, $E$9, 100%, $G$9) + CHOOSE(CONTROL!$C$38, 0.0251, 0)</f>
        <v>62.006599999999999</v>
      </c>
      <c r="G901" s="14">
        <f>58.7801 * CHOOSE(CONTROL!$C$15, $E$9, 100%, $G$9) + CHOOSE(CONTROL!$C$38, 0.0342, 0)</f>
        <v>58.814299999999996</v>
      </c>
      <c r="H901" s="14">
        <f>58.7801 * CHOOSE(CONTROL!$C$15, $E$9, 100%, $G$9) + CHOOSE(CONTROL!$C$38, 0.0342, 0)</f>
        <v>58.814299999999996</v>
      </c>
      <c r="I901" s="14">
        <f>58.7816 * CHOOSE(CONTROL!$C$15, $E$9, 100%, $G$9) + CHOOSE(CONTROL!$C$38, 0.0342, 0)</f>
        <v>58.815799999999996</v>
      </c>
      <c r="J901" s="44">
        <f>593.1443</f>
        <v>593.14430000000004</v>
      </c>
    </row>
    <row r="902" spans="1:10" ht="15.75" x14ac:dyDescent="0.25">
      <c r="A902" s="32">
        <v>68392</v>
      </c>
      <c r="B902" s="14">
        <f>65.3803 * CHOOSE(CONTROL!$C$15, $E$9, 100%, $G$9) + CHOOSE(CONTROL!$C$38, 0.0251, 0)</f>
        <v>65.4054</v>
      </c>
      <c r="C902" s="14">
        <f>61.8555 * CHOOSE(CONTROL!$C$15, $E$9, 100%, $G$9) + CHOOSE(CONTROL!$C$38, 0.0342, 0)</f>
        <v>61.889699999999998</v>
      </c>
      <c r="D902" s="14">
        <f>61.8477 * CHOOSE(CONTROL!$C$15, $E$9, 100%, $G$9) + CHOOSE(CONTROL!$C$38, 0.0342, 0)</f>
        <v>61.881900000000002</v>
      </c>
      <c r="E902" s="46">
        <f>65.224 * CHOOSE(CONTROL!$C$15, $E$9, 100%, $G$9) + CHOOSE(CONTROL!$C$38, 0.0342, 0)</f>
        <v>65.258200000000002</v>
      </c>
      <c r="F902" s="45">
        <f>65.224 * CHOOSE(CONTROL!$C$15, $E$9, 100%, $G$9) + CHOOSE(CONTROL!$C$38, 0.0251, 0)</f>
        <v>65.249099999999999</v>
      </c>
      <c r="G902" s="14">
        <f>61.8539 * CHOOSE(CONTROL!$C$15, $E$9, 100%, $G$9) + CHOOSE(CONTROL!$C$38, 0.0342, 0)</f>
        <v>61.888100000000001</v>
      </c>
      <c r="H902" s="14">
        <f>61.8539 * CHOOSE(CONTROL!$C$15, $E$9, 100%, $G$9) + CHOOSE(CONTROL!$C$38, 0.0342, 0)</f>
        <v>61.888100000000001</v>
      </c>
      <c r="I902" s="14">
        <f>61.8555 * CHOOSE(CONTROL!$C$15, $E$9, 100%, $G$9) + CHOOSE(CONTROL!$C$38, 0.0342, 0)</f>
        <v>61.889699999999998</v>
      </c>
      <c r="J902" s="44">
        <f>624.4064</f>
        <v>624.40639999999996</v>
      </c>
    </row>
    <row r="903" spans="1:10" ht="15.75" x14ac:dyDescent="0.25">
      <c r="A903" s="32">
        <v>68422</v>
      </c>
      <c r="B903" s="14">
        <f>69.585 * CHOOSE(CONTROL!$C$15, $E$9, 100%, $G$9) + CHOOSE(CONTROL!$C$38, 0.0251, 0)</f>
        <v>69.610099999999989</v>
      </c>
      <c r="C903" s="14">
        <f>65.8415 * CHOOSE(CONTROL!$C$15, $E$9, 100%, $G$9) + CHOOSE(CONTROL!$C$38, 0.0342, 0)</f>
        <v>65.875699999999995</v>
      </c>
      <c r="D903" s="14">
        <f>65.8337 * CHOOSE(CONTROL!$C$15, $E$9, 100%, $G$9) + CHOOSE(CONTROL!$C$38, 0.0342, 0)</f>
        <v>65.867899999999992</v>
      </c>
      <c r="E903" s="46">
        <f>69.4287 * CHOOSE(CONTROL!$C$15, $E$9, 100%, $G$9) + CHOOSE(CONTROL!$C$38, 0.0342, 0)</f>
        <v>69.462900000000005</v>
      </c>
      <c r="F903" s="45">
        <f>69.4287 * CHOOSE(CONTROL!$C$15, $E$9, 100%, $G$9) + CHOOSE(CONTROL!$C$38, 0.0251, 0)</f>
        <v>69.453800000000001</v>
      </c>
      <c r="G903" s="14">
        <f>65.8399 * CHOOSE(CONTROL!$C$15, $E$9, 100%, $G$9) + CHOOSE(CONTROL!$C$38, 0.0342, 0)</f>
        <v>65.874099999999999</v>
      </c>
      <c r="H903" s="14">
        <f>65.8399 * CHOOSE(CONTROL!$C$15, $E$9, 100%, $G$9) + CHOOSE(CONTROL!$C$38, 0.0342, 0)</f>
        <v>65.874099999999999</v>
      </c>
      <c r="I903" s="14">
        <f>65.8415 * CHOOSE(CONTROL!$C$15, $E$9, 100%, $G$9) + CHOOSE(CONTROL!$C$38, 0.0342, 0)</f>
        <v>65.875699999999995</v>
      </c>
      <c r="J903" s="44">
        <f>664.9459</f>
        <v>664.94590000000005</v>
      </c>
    </row>
    <row r="904" spans="1:10" ht="15.75" x14ac:dyDescent="0.25">
      <c r="A904" s="32">
        <v>68453</v>
      </c>
      <c r="B904" s="14">
        <f>71.8994 * CHOOSE(CONTROL!$C$15, $E$9, 100%, $G$9) + CHOOSE(CONTROL!$C$38, 0.0264, 0)</f>
        <v>71.925799999999995</v>
      </c>
      <c r="C904" s="14">
        <f>68.0356 * CHOOSE(CONTROL!$C$15, $E$9, 100%, $G$9) + CHOOSE(CONTROL!$C$38, 0.0354, 0)</f>
        <v>68.070999999999998</v>
      </c>
      <c r="D904" s="14">
        <f>68.0277 * CHOOSE(CONTROL!$C$15, $E$9, 100%, $G$9) + CHOOSE(CONTROL!$C$38, 0.0354, 0)</f>
        <v>68.063099999999991</v>
      </c>
      <c r="E904" s="46">
        <f>71.7432 * CHOOSE(CONTROL!$C$15, $E$9, 100%, $G$9) + CHOOSE(CONTROL!$C$38, 0.0354, 0)</f>
        <v>71.778599999999997</v>
      </c>
      <c r="F904" s="45">
        <f>71.7432 * CHOOSE(CONTROL!$C$15, $E$9, 100%, $G$9) + CHOOSE(CONTROL!$C$38, 0.0264, 0)</f>
        <v>71.769599999999997</v>
      </c>
      <c r="G904" s="14">
        <f>68.034 * CHOOSE(CONTROL!$C$15, $E$9, 100%, $G$9) + CHOOSE(CONTROL!$C$38, 0.0354, 0)</f>
        <v>68.069400000000002</v>
      </c>
      <c r="H904" s="14">
        <f>68.034 * CHOOSE(CONTROL!$C$15, $E$9, 100%, $G$9) + CHOOSE(CONTROL!$C$38, 0.0354, 0)</f>
        <v>68.069400000000002</v>
      </c>
      <c r="I904" s="14">
        <f>68.0356 * CHOOSE(CONTROL!$C$15, $E$9, 100%, $G$9) + CHOOSE(CONTROL!$C$38, 0.0354, 0)</f>
        <v>68.070999999999998</v>
      </c>
      <c r="J904" s="44">
        <f>687.2602</f>
        <v>687.26020000000005</v>
      </c>
    </row>
    <row r="905" spans="1:10" ht="15.75" x14ac:dyDescent="0.25">
      <c r="A905" s="32">
        <v>68483</v>
      </c>
      <c r="B905" s="14">
        <f>72.9265 * CHOOSE(CONTROL!$C$15, $E$9, 100%, $G$9) + CHOOSE(CONTROL!$C$38, 0.0264, 0)</f>
        <v>72.9529</v>
      </c>
      <c r="C905" s="14">
        <f>69.0092 * CHOOSE(CONTROL!$C$15, $E$9, 100%, $G$9) + CHOOSE(CONTROL!$C$38, 0.0354, 0)</f>
        <v>69.044600000000003</v>
      </c>
      <c r="D905" s="14">
        <f>69.0014 * CHOOSE(CONTROL!$C$15, $E$9, 100%, $G$9) + CHOOSE(CONTROL!$C$38, 0.0354, 0)</f>
        <v>69.036799999999999</v>
      </c>
      <c r="E905" s="46">
        <f>72.7703 * CHOOSE(CONTROL!$C$15, $E$9, 100%, $G$9) + CHOOSE(CONTROL!$C$38, 0.0354, 0)</f>
        <v>72.805700000000002</v>
      </c>
      <c r="F905" s="45">
        <f>72.7703 * CHOOSE(CONTROL!$C$15, $E$9, 100%, $G$9) + CHOOSE(CONTROL!$C$38, 0.0264, 0)</f>
        <v>72.796700000000001</v>
      </c>
      <c r="G905" s="14">
        <f>69.0077 * CHOOSE(CONTROL!$C$15, $E$9, 100%, $G$9) + CHOOSE(CONTROL!$C$38, 0.0354, 0)</f>
        <v>69.043099999999995</v>
      </c>
      <c r="H905" s="14">
        <f>69.0077 * CHOOSE(CONTROL!$C$15, $E$9, 100%, $G$9) + CHOOSE(CONTROL!$C$38, 0.0354, 0)</f>
        <v>69.043099999999995</v>
      </c>
      <c r="I905" s="14">
        <f>69.0092 * CHOOSE(CONTROL!$C$15, $E$9, 100%, $G$9) + CHOOSE(CONTROL!$C$38, 0.0354, 0)</f>
        <v>69.044600000000003</v>
      </c>
      <c r="J905" s="44">
        <f>697.1629</f>
        <v>697.16290000000004</v>
      </c>
    </row>
    <row r="906" spans="1:10" ht="15.75" x14ac:dyDescent="0.25">
      <c r="A906" s="32">
        <v>68514</v>
      </c>
      <c r="B906" s="14">
        <f>72.5883 * CHOOSE(CONTROL!$C$15, $E$9, 100%, $G$9) + CHOOSE(CONTROL!$C$38, 0.0264, 0)</f>
        <v>72.614699999999999</v>
      </c>
      <c r="C906" s="14">
        <f>68.6887 * CHOOSE(CONTROL!$C$15, $E$9, 100%, $G$9) + CHOOSE(CONTROL!$C$38, 0.0354, 0)</f>
        <v>68.724099999999993</v>
      </c>
      <c r="D906" s="14">
        <f>68.6808 * CHOOSE(CONTROL!$C$15, $E$9, 100%, $G$9) + CHOOSE(CONTROL!$C$38, 0.0354, 0)</f>
        <v>68.716200000000001</v>
      </c>
      <c r="E906" s="46">
        <f>72.4321 * CHOOSE(CONTROL!$C$15, $E$9, 100%, $G$9) + CHOOSE(CONTROL!$C$38, 0.0354, 0)</f>
        <v>72.467500000000001</v>
      </c>
      <c r="F906" s="45">
        <f>72.4321 * CHOOSE(CONTROL!$C$15, $E$9, 100%, $G$9) + CHOOSE(CONTROL!$C$38, 0.0264, 0)</f>
        <v>72.458500000000001</v>
      </c>
      <c r="G906" s="14">
        <f>68.6871 * CHOOSE(CONTROL!$C$15, $E$9, 100%, $G$9) + CHOOSE(CONTROL!$C$38, 0.0354, 0)</f>
        <v>68.722499999999997</v>
      </c>
      <c r="H906" s="14">
        <f>68.6871 * CHOOSE(CONTROL!$C$15, $E$9, 100%, $G$9) + CHOOSE(CONTROL!$C$38, 0.0354, 0)</f>
        <v>68.722499999999997</v>
      </c>
      <c r="I906" s="14">
        <f>68.6887 * CHOOSE(CONTROL!$C$15, $E$9, 100%, $G$9) + CHOOSE(CONTROL!$C$38, 0.0354, 0)</f>
        <v>68.724099999999993</v>
      </c>
      <c r="J906" s="44">
        <f>693.9025</f>
        <v>693.90250000000003</v>
      </c>
    </row>
    <row r="907" spans="1:10" ht="15.75" x14ac:dyDescent="0.25">
      <c r="A907" s="32">
        <v>68545</v>
      </c>
      <c r="B907" s="14">
        <f>70.9129 * CHOOSE(CONTROL!$C$15, $E$9, 100%, $G$9) + CHOOSE(CONTROL!$C$38, 0.0264, 0)</f>
        <v>70.939299999999989</v>
      </c>
      <c r="C907" s="14">
        <f>67.1003 * CHOOSE(CONTROL!$C$15, $E$9, 100%, $G$9) + CHOOSE(CONTROL!$C$38, 0.0354, 0)</f>
        <v>67.1357</v>
      </c>
      <c r="D907" s="14">
        <f>67.0925 * CHOOSE(CONTROL!$C$15, $E$9, 100%, $G$9) + CHOOSE(CONTROL!$C$38, 0.0354, 0)</f>
        <v>67.127899999999997</v>
      </c>
      <c r="E907" s="46">
        <f>70.7566 * CHOOSE(CONTROL!$C$15, $E$9, 100%, $G$9) + CHOOSE(CONTROL!$C$38, 0.0354, 0)</f>
        <v>70.792000000000002</v>
      </c>
      <c r="F907" s="45">
        <f>70.7566 * CHOOSE(CONTROL!$C$15, $E$9, 100%, $G$9) + CHOOSE(CONTROL!$C$38, 0.0264, 0)</f>
        <v>70.783000000000001</v>
      </c>
      <c r="G907" s="14">
        <f>67.0988 * CHOOSE(CONTROL!$C$15, $E$9, 100%, $G$9) + CHOOSE(CONTROL!$C$38, 0.0354, 0)</f>
        <v>67.134199999999993</v>
      </c>
      <c r="H907" s="14">
        <f>67.0988 * CHOOSE(CONTROL!$C$15, $E$9, 100%, $G$9) + CHOOSE(CONTROL!$C$38, 0.0354, 0)</f>
        <v>67.134199999999993</v>
      </c>
      <c r="I907" s="14">
        <f>67.1003 * CHOOSE(CONTROL!$C$15, $E$9, 100%, $G$9) + CHOOSE(CONTROL!$C$38, 0.0354, 0)</f>
        <v>67.1357</v>
      </c>
      <c r="J907" s="44">
        <f>677.7487</f>
        <v>677.74869999999999</v>
      </c>
    </row>
    <row r="908" spans="1:10" ht="15.75" x14ac:dyDescent="0.25">
      <c r="A908" s="32">
        <v>68575</v>
      </c>
      <c r="B908" s="14">
        <f>68.5764 * CHOOSE(CONTROL!$C$15, $E$9, 100%, $G$9) + CHOOSE(CONTROL!$C$38, 0.0264, 0)</f>
        <v>68.602800000000002</v>
      </c>
      <c r="C908" s="14">
        <f>64.8854 * CHOOSE(CONTROL!$C$15, $E$9, 100%, $G$9) + CHOOSE(CONTROL!$C$38, 0.0354, 0)</f>
        <v>64.9208</v>
      </c>
      <c r="D908" s="14">
        <f>64.8775 * CHOOSE(CONTROL!$C$15, $E$9, 100%, $G$9) + CHOOSE(CONTROL!$C$38, 0.0354, 0)</f>
        <v>64.912899999999993</v>
      </c>
      <c r="E908" s="46">
        <f>68.4201 * CHOOSE(CONTROL!$C$15, $E$9, 100%, $G$9) + CHOOSE(CONTROL!$C$38, 0.0354, 0)</f>
        <v>68.455500000000001</v>
      </c>
      <c r="F908" s="45">
        <f>68.4201 * CHOOSE(CONTROL!$C$15, $E$9, 100%, $G$9) + CHOOSE(CONTROL!$C$38, 0.0264, 0)</f>
        <v>68.4465</v>
      </c>
      <c r="G908" s="14">
        <f>64.8838 * CHOOSE(CONTROL!$C$15, $E$9, 100%, $G$9) + CHOOSE(CONTROL!$C$38, 0.0354, 0)</f>
        <v>64.919199999999989</v>
      </c>
      <c r="H908" s="14">
        <f>64.8838 * CHOOSE(CONTROL!$C$15, $E$9, 100%, $G$9) + CHOOSE(CONTROL!$C$38, 0.0354, 0)</f>
        <v>64.919199999999989</v>
      </c>
      <c r="I908" s="14">
        <f>64.8854 * CHOOSE(CONTROL!$C$15, $E$9, 100%, $G$9) + CHOOSE(CONTROL!$C$38, 0.0354, 0)</f>
        <v>64.9208</v>
      </c>
      <c r="J908" s="44">
        <f>655.2215</f>
        <v>655.22149999999999</v>
      </c>
    </row>
    <row r="909" spans="1:10" ht="15.75" x14ac:dyDescent="0.25">
      <c r="A909" s="32">
        <v>68606</v>
      </c>
      <c r="B909" s="14">
        <f>66.2263 * CHOOSE(CONTROL!$C$15, $E$9, 100%, $G$9) + CHOOSE(CONTROL!$C$38, 0.0251, 0)</f>
        <v>66.25139999999999</v>
      </c>
      <c r="C909" s="14">
        <f>62.6575 * CHOOSE(CONTROL!$C$15, $E$9, 100%, $G$9) + CHOOSE(CONTROL!$C$38, 0.0342, 0)</f>
        <v>62.691699999999997</v>
      </c>
      <c r="D909" s="14">
        <f>62.6497 * CHOOSE(CONTROL!$C$15, $E$9, 100%, $G$9) + CHOOSE(CONTROL!$C$38, 0.0342, 0)</f>
        <v>62.683900000000001</v>
      </c>
      <c r="E909" s="46">
        <f>66.07 * CHOOSE(CONTROL!$C$15, $E$9, 100%, $G$9) + CHOOSE(CONTROL!$C$38, 0.0342, 0)</f>
        <v>66.104199999999992</v>
      </c>
      <c r="F909" s="45">
        <f>66.07 * CHOOSE(CONTROL!$C$15, $E$9, 100%, $G$9) + CHOOSE(CONTROL!$C$38, 0.0251, 0)</f>
        <v>66.095099999999988</v>
      </c>
      <c r="G909" s="14">
        <f>62.6559 * CHOOSE(CONTROL!$C$15, $E$9, 100%, $G$9) + CHOOSE(CONTROL!$C$38, 0.0342, 0)</f>
        <v>62.690100000000001</v>
      </c>
      <c r="H909" s="14">
        <f>62.6559 * CHOOSE(CONTROL!$C$15, $E$9, 100%, $G$9) + CHOOSE(CONTROL!$C$38, 0.0342, 0)</f>
        <v>62.690100000000001</v>
      </c>
      <c r="I909" s="14">
        <f>62.6575 * CHOOSE(CONTROL!$C$15, $E$9, 100%, $G$9) + CHOOSE(CONTROL!$C$38, 0.0342, 0)</f>
        <v>62.691699999999997</v>
      </c>
      <c r="J909" s="44">
        <f>632.5633</f>
        <v>632.56330000000003</v>
      </c>
    </row>
    <row r="910" spans="1:10" ht="15.75" x14ac:dyDescent="0.25">
      <c r="A910" s="32">
        <v>68636</v>
      </c>
      <c r="B910" s="14">
        <f>65.7588 * CHOOSE(CONTROL!$C$15, $E$9, 100%, $G$9) + CHOOSE(CONTROL!$C$38, 0.0251, 0)</f>
        <v>65.783899999999988</v>
      </c>
      <c r="C910" s="14">
        <f>62.2143 * CHOOSE(CONTROL!$C$15, $E$9, 100%, $G$9) + CHOOSE(CONTROL!$C$38, 0.0342, 0)</f>
        <v>62.2485</v>
      </c>
      <c r="D910" s="14">
        <f>62.2065 * CHOOSE(CONTROL!$C$15, $E$9, 100%, $G$9) + CHOOSE(CONTROL!$C$38, 0.0342, 0)</f>
        <v>62.240699999999997</v>
      </c>
      <c r="E910" s="46">
        <f>65.6025 * CHOOSE(CONTROL!$C$15, $E$9, 100%, $G$9) + CHOOSE(CONTROL!$C$38, 0.0342, 0)</f>
        <v>65.636700000000005</v>
      </c>
      <c r="F910" s="45">
        <f>65.6025 * CHOOSE(CONTROL!$C$15, $E$9, 100%, $G$9) + CHOOSE(CONTROL!$C$38, 0.0251, 0)</f>
        <v>65.627600000000001</v>
      </c>
      <c r="G910" s="14">
        <f>62.2128 * CHOOSE(CONTROL!$C$15, $E$9, 100%, $G$9) + CHOOSE(CONTROL!$C$38, 0.0342, 0)</f>
        <v>62.247</v>
      </c>
      <c r="H910" s="14">
        <f>62.2128 * CHOOSE(CONTROL!$C$15, $E$9, 100%, $G$9) + CHOOSE(CONTROL!$C$38, 0.0342, 0)</f>
        <v>62.247</v>
      </c>
      <c r="I910" s="14">
        <f>62.2143 * CHOOSE(CONTROL!$C$15, $E$9, 100%, $G$9) + CHOOSE(CONTROL!$C$38, 0.0342, 0)</f>
        <v>62.2485</v>
      </c>
      <c r="J910" s="44">
        <f>628.0561</f>
        <v>628.05610000000001</v>
      </c>
    </row>
    <row r="911" spans="1:10" ht="15.75" x14ac:dyDescent="0.25">
      <c r="A911" s="32">
        <v>68667</v>
      </c>
      <c r="B911" s="14">
        <f>63.8257 * CHOOSE(CONTROL!$C$15, $E$9, 100%, $G$9) + CHOOSE(CONTROL!$C$38, 0.0251, 0)</f>
        <v>63.8508</v>
      </c>
      <c r="C911" s="14">
        <f>60.3818 * CHOOSE(CONTROL!$C$15, $E$9, 100%, $G$9) + CHOOSE(CONTROL!$C$38, 0.0342, 0)</f>
        <v>60.415999999999997</v>
      </c>
      <c r="D911" s="14">
        <f>60.374 * CHOOSE(CONTROL!$C$15, $E$9, 100%, $G$9) + CHOOSE(CONTROL!$C$38, 0.0342, 0)</f>
        <v>60.408200000000001</v>
      </c>
      <c r="E911" s="46">
        <f>63.6695 * CHOOSE(CONTROL!$C$15, $E$9, 100%, $G$9) + CHOOSE(CONTROL!$C$38, 0.0342, 0)</f>
        <v>63.703699999999998</v>
      </c>
      <c r="F911" s="45">
        <f>63.6695 * CHOOSE(CONTROL!$C$15, $E$9, 100%, $G$9) + CHOOSE(CONTROL!$C$38, 0.0251, 0)</f>
        <v>63.694600000000001</v>
      </c>
      <c r="G911" s="14">
        <f>60.3802 * CHOOSE(CONTROL!$C$15, $E$9, 100%, $G$9) + CHOOSE(CONTROL!$C$38, 0.0342, 0)</f>
        <v>60.414400000000001</v>
      </c>
      <c r="H911" s="14">
        <f>60.3802 * CHOOSE(CONTROL!$C$15, $E$9, 100%, $G$9) + CHOOSE(CONTROL!$C$38, 0.0342, 0)</f>
        <v>60.414400000000001</v>
      </c>
      <c r="I911" s="14">
        <f>60.3818 * CHOOSE(CONTROL!$C$15, $E$9, 100%, $G$9) + CHOOSE(CONTROL!$C$38, 0.0342, 0)</f>
        <v>60.415999999999997</v>
      </c>
      <c r="J911" s="44">
        <f>609.4185</f>
        <v>609.41849999999999</v>
      </c>
    </row>
    <row r="912" spans="1:10" ht="15.75" x14ac:dyDescent="0.25">
      <c r="A912" s="32">
        <v>68698</v>
      </c>
      <c r="B912" s="14">
        <f>63.3457 * CHOOSE(CONTROL!$C$15, $E$9, 100%, $G$9) + CHOOSE(CONTROL!$C$38, 0.0251, 0)</f>
        <v>63.370800000000003</v>
      </c>
      <c r="C912" s="14">
        <f>59.9267 * CHOOSE(CONTROL!$C$15, $E$9, 100%, $G$9) + CHOOSE(CONTROL!$C$38, 0.0342, 0)</f>
        <v>59.960899999999995</v>
      </c>
      <c r="D912" s="14">
        <f>59.9189 * CHOOSE(CONTROL!$C$15, $E$9, 100%, $G$9) + CHOOSE(CONTROL!$C$38, 0.0342, 0)</f>
        <v>59.953099999999999</v>
      </c>
      <c r="E912" s="46">
        <f>63.1894 * CHOOSE(CONTROL!$C$15, $E$9, 100%, $G$9) + CHOOSE(CONTROL!$C$38, 0.0342, 0)</f>
        <v>63.223599999999998</v>
      </c>
      <c r="F912" s="45">
        <f>63.1894 * CHOOSE(CONTROL!$C$15, $E$9, 100%, $G$9) + CHOOSE(CONTROL!$C$38, 0.0251, 0)</f>
        <v>63.214500000000001</v>
      </c>
      <c r="G912" s="14">
        <f>59.9251 * CHOOSE(CONTROL!$C$15, $E$9, 100%, $G$9) + CHOOSE(CONTROL!$C$38, 0.0342, 0)</f>
        <v>59.959299999999999</v>
      </c>
      <c r="H912" s="14">
        <f>59.9251 * CHOOSE(CONTROL!$C$15, $E$9, 100%, $G$9) + CHOOSE(CONTROL!$C$38, 0.0342, 0)</f>
        <v>59.959299999999999</v>
      </c>
      <c r="I912" s="14">
        <f>59.9267 * CHOOSE(CONTROL!$C$15, $E$9, 100%, $G$9) + CHOOSE(CONTROL!$C$38, 0.0342, 0)</f>
        <v>59.960899999999995</v>
      </c>
      <c r="J912" s="44">
        <f>608.9785</f>
        <v>608.97850000000005</v>
      </c>
    </row>
    <row r="913" spans="1:10" ht="15.75" x14ac:dyDescent="0.25">
      <c r="A913" s="32">
        <v>68727</v>
      </c>
      <c r="B913" s="14">
        <f>63.1713 * CHOOSE(CONTROL!$C$15, $E$9, 100%, $G$9) + CHOOSE(CONTROL!$C$38, 0.0251, 0)</f>
        <v>63.196400000000004</v>
      </c>
      <c r="C913" s="14">
        <f>59.7614 * CHOOSE(CONTROL!$C$15, $E$9, 100%, $G$9) + CHOOSE(CONTROL!$C$38, 0.0342, 0)</f>
        <v>59.7956</v>
      </c>
      <c r="D913" s="14">
        <f>59.7536 * CHOOSE(CONTROL!$C$15, $E$9, 100%, $G$9) + CHOOSE(CONTROL!$C$38, 0.0342, 0)</f>
        <v>59.787799999999997</v>
      </c>
      <c r="E913" s="46">
        <f>63.015 * CHOOSE(CONTROL!$C$15, $E$9, 100%, $G$9) + CHOOSE(CONTROL!$C$38, 0.0342, 0)</f>
        <v>63.049199999999999</v>
      </c>
      <c r="F913" s="45">
        <f>63.015 * CHOOSE(CONTROL!$C$15, $E$9, 100%, $G$9) + CHOOSE(CONTROL!$C$38, 0.0251, 0)</f>
        <v>63.040100000000002</v>
      </c>
      <c r="G913" s="14">
        <f>59.7599 * CHOOSE(CONTROL!$C$15, $E$9, 100%, $G$9) + CHOOSE(CONTROL!$C$38, 0.0342, 0)</f>
        <v>59.7941</v>
      </c>
      <c r="H913" s="14">
        <f>59.7599 * CHOOSE(CONTROL!$C$15, $E$9, 100%, $G$9) + CHOOSE(CONTROL!$C$38, 0.0342, 0)</f>
        <v>59.7941</v>
      </c>
      <c r="I913" s="14">
        <f>59.7614 * CHOOSE(CONTROL!$C$15, $E$9, 100%, $G$9) + CHOOSE(CONTROL!$C$38, 0.0342, 0)</f>
        <v>59.7956</v>
      </c>
      <c r="J913" s="44">
        <f>607.2857</f>
        <v>607.28570000000002</v>
      </c>
    </row>
    <row r="914" spans="1:10" ht="15.75" x14ac:dyDescent="0.25">
      <c r="A914" s="32">
        <v>68758</v>
      </c>
      <c r="B914" s="14">
        <f>66.4683 * CHOOSE(CONTROL!$C$15, $E$9, 100%, $G$9) + CHOOSE(CONTROL!$C$38, 0.0251, 0)</f>
        <v>66.493399999999994</v>
      </c>
      <c r="C914" s="14">
        <f>62.8869 * CHOOSE(CONTROL!$C$15, $E$9, 100%, $G$9) + CHOOSE(CONTROL!$C$38, 0.0342, 0)</f>
        <v>62.921099999999996</v>
      </c>
      <c r="D914" s="14">
        <f>62.8791 * CHOOSE(CONTROL!$C$15, $E$9, 100%, $G$9) + CHOOSE(CONTROL!$C$38, 0.0342, 0)</f>
        <v>62.9133</v>
      </c>
      <c r="E914" s="46">
        <f>66.312 * CHOOSE(CONTROL!$C$15, $E$9, 100%, $G$9) + CHOOSE(CONTROL!$C$38, 0.0342, 0)</f>
        <v>66.346199999999996</v>
      </c>
      <c r="F914" s="45">
        <f>66.312 * CHOOSE(CONTROL!$C$15, $E$9, 100%, $G$9) + CHOOSE(CONTROL!$C$38, 0.0251, 0)</f>
        <v>66.337099999999992</v>
      </c>
      <c r="G914" s="14">
        <f>62.8853 * CHOOSE(CONTROL!$C$15, $E$9, 100%, $G$9) + CHOOSE(CONTROL!$C$38, 0.0342, 0)</f>
        <v>62.919499999999999</v>
      </c>
      <c r="H914" s="14">
        <f>62.8853 * CHOOSE(CONTROL!$C$15, $E$9, 100%, $G$9) + CHOOSE(CONTROL!$C$38, 0.0342, 0)</f>
        <v>62.919499999999999</v>
      </c>
      <c r="I914" s="14">
        <f>62.8869 * CHOOSE(CONTROL!$C$15, $E$9, 100%, $G$9) + CHOOSE(CONTROL!$C$38, 0.0342, 0)</f>
        <v>62.921099999999996</v>
      </c>
      <c r="J914" s="44">
        <f>639.2932</f>
        <v>639.29319999999996</v>
      </c>
    </row>
    <row r="915" spans="1:10" ht="15.75" x14ac:dyDescent="0.25">
      <c r="A915" s="32">
        <v>68788</v>
      </c>
      <c r="B915" s="14">
        <f>70.7436 * CHOOSE(CONTROL!$C$15, $E$9, 100%, $G$9) + CHOOSE(CONTROL!$C$38, 0.0251, 0)</f>
        <v>70.768699999999995</v>
      </c>
      <c r="C915" s="14">
        <f>66.9399 * CHOOSE(CONTROL!$C$15, $E$9, 100%, $G$9) + CHOOSE(CONTROL!$C$38, 0.0342, 0)</f>
        <v>66.974099999999993</v>
      </c>
      <c r="D915" s="14">
        <f>66.9321 * CHOOSE(CONTROL!$C$15, $E$9, 100%, $G$9) + CHOOSE(CONTROL!$C$38, 0.0342, 0)</f>
        <v>66.966300000000004</v>
      </c>
      <c r="E915" s="46">
        <f>70.5874 * CHOOSE(CONTROL!$C$15, $E$9, 100%, $G$9) + CHOOSE(CONTROL!$C$38, 0.0342, 0)</f>
        <v>70.621600000000001</v>
      </c>
      <c r="F915" s="45">
        <f>70.5874 * CHOOSE(CONTROL!$C$15, $E$9, 100%, $G$9) + CHOOSE(CONTROL!$C$38, 0.0251, 0)</f>
        <v>70.612499999999997</v>
      </c>
      <c r="G915" s="14">
        <f>66.9383 * CHOOSE(CONTROL!$C$15, $E$9, 100%, $G$9) + CHOOSE(CONTROL!$C$38, 0.0342, 0)</f>
        <v>66.972499999999997</v>
      </c>
      <c r="H915" s="14">
        <f>66.9383 * CHOOSE(CONTROL!$C$15, $E$9, 100%, $G$9) + CHOOSE(CONTROL!$C$38, 0.0342, 0)</f>
        <v>66.972499999999997</v>
      </c>
      <c r="I915" s="14">
        <f>66.9399 * CHOOSE(CONTROL!$C$15, $E$9, 100%, $G$9) + CHOOSE(CONTROL!$C$38, 0.0342, 0)</f>
        <v>66.974099999999993</v>
      </c>
      <c r="J915" s="44">
        <f>680.7993</f>
        <v>680.79930000000002</v>
      </c>
    </row>
    <row r="916" spans="1:10" ht="15.75" x14ac:dyDescent="0.25">
      <c r="A916" s="32">
        <v>68819</v>
      </c>
      <c r="B916" s="14">
        <f>73.0969 * CHOOSE(CONTROL!$C$15, $E$9, 100%, $G$9) + CHOOSE(CONTROL!$C$38, 0.0264, 0)</f>
        <v>73.1233</v>
      </c>
      <c r="C916" s="14">
        <f>69.1708 * CHOOSE(CONTROL!$C$15, $E$9, 100%, $G$9) + CHOOSE(CONTROL!$C$38, 0.0354, 0)</f>
        <v>69.206199999999995</v>
      </c>
      <c r="D916" s="14">
        <f>69.163 * CHOOSE(CONTROL!$C$15, $E$9, 100%, $G$9) + CHOOSE(CONTROL!$C$38, 0.0354, 0)</f>
        <v>69.198399999999992</v>
      </c>
      <c r="E916" s="46">
        <f>72.9407 * CHOOSE(CONTROL!$C$15, $E$9, 100%, $G$9) + CHOOSE(CONTROL!$C$38, 0.0354, 0)</f>
        <v>72.976100000000002</v>
      </c>
      <c r="F916" s="45">
        <f>72.9407 * CHOOSE(CONTROL!$C$15, $E$9, 100%, $G$9) + CHOOSE(CONTROL!$C$38, 0.0264, 0)</f>
        <v>72.967100000000002</v>
      </c>
      <c r="G916" s="14">
        <f>69.1692 * CHOOSE(CONTROL!$C$15, $E$9, 100%, $G$9) + CHOOSE(CONTROL!$C$38, 0.0354, 0)</f>
        <v>69.204599999999999</v>
      </c>
      <c r="H916" s="14">
        <f>69.1692 * CHOOSE(CONTROL!$C$15, $E$9, 100%, $G$9) + CHOOSE(CONTROL!$C$38, 0.0354, 0)</f>
        <v>69.204599999999999</v>
      </c>
      <c r="I916" s="14">
        <f>69.1708 * CHOOSE(CONTROL!$C$15, $E$9, 100%, $G$9) + CHOOSE(CONTROL!$C$38, 0.0354, 0)</f>
        <v>69.206199999999995</v>
      </c>
      <c r="J916" s="44">
        <f>703.6455</f>
        <v>703.64549999999997</v>
      </c>
    </row>
    <row r="917" spans="1:10" ht="15.75" x14ac:dyDescent="0.25">
      <c r="A917" s="32">
        <v>68849</v>
      </c>
      <c r="B917" s="14">
        <f>74.1413 * CHOOSE(CONTROL!$C$15, $E$9, 100%, $G$9) + CHOOSE(CONTROL!$C$38, 0.0264, 0)</f>
        <v>74.167699999999996</v>
      </c>
      <c r="C917" s="14">
        <f>70.1608 * CHOOSE(CONTROL!$C$15, $E$9, 100%, $G$9) + CHOOSE(CONTROL!$C$38, 0.0354, 0)</f>
        <v>70.19619999999999</v>
      </c>
      <c r="D917" s="14">
        <f>70.153 * CHOOSE(CONTROL!$C$15, $E$9, 100%, $G$9) + CHOOSE(CONTROL!$C$38, 0.0354, 0)</f>
        <v>70.188400000000001</v>
      </c>
      <c r="E917" s="46">
        <f>73.985 * CHOOSE(CONTROL!$C$15, $E$9, 100%, $G$9) + CHOOSE(CONTROL!$C$38, 0.0354, 0)</f>
        <v>74.020399999999995</v>
      </c>
      <c r="F917" s="45">
        <f>73.985 * CHOOSE(CONTROL!$C$15, $E$9, 100%, $G$9) + CHOOSE(CONTROL!$C$38, 0.0264, 0)</f>
        <v>74.011399999999995</v>
      </c>
      <c r="G917" s="14">
        <f>70.1593 * CHOOSE(CONTROL!$C$15, $E$9, 100%, $G$9) + CHOOSE(CONTROL!$C$38, 0.0354, 0)</f>
        <v>70.194699999999997</v>
      </c>
      <c r="H917" s="14">
        <f>70.1593 * CHOOSE(CONTROL!$C$15, $E$9, 100%, $G$9) + CHOOSE(CONTROL!$C$38, 0.0354, 0)</f>
        <v>70.194699999999997</v>
      </c>
      <c r="I917" s="14">
        <f>70.1608 * CHOOSE(CONTROL!$C$15, $E$9, 100%, $G$9) + CHOOSE(CONTROL!$C$38, 0.0354, 0)</f>
        <v>70.19619999999999</v>
      </c>
      <c r="J917" s="44">
        <f>713.7843</f>
        <v>713.78430000000003</v>
      </c>
    </row>
    <row r="918" spans="1:10" ht="15.75" x14ac:dyDescent="0.25">
      <c r="A918" s="32">
        <v>68880</v>
      </c>
      <c r="B918" s="14">
        <f>73.7974 * CHOOSE(CONTROL!$C$15, $E$9, 100%, $G$9) + CHOOSE(CONTROL!$C$38, 0.0264, 0)</f>
        <v>73.823799999999991</v>
      </c>
      <c r="C918" s="14">
        <f>69.8349 * CHOOSE(CONTROL!$C$15, $E$9, 100%, $G$9) + CHOOSE(CONTROL!$C$38, 0.0354, 0)</f>
        <v>69.8703</v>
      </c>
      <c r="D918" s="14">
        <f>69.827 * CHOOSE(CONTROL!$C$15, $E$9, 100%, $G$9) + CHOOSE(CONTROL!$C$38, 0.0354, 0)</f>
        <v>69.862399999999994</v>
      </c>
      <c r="E918" s="46">
        <f>73.6412 * CHOOSE(CONTROL!$C$15, $E$9, 100%, $G$9) + CHOOSE(CONTROL!$C$38, 0.0354, 0)</f>
        <v>73.676599999999993</v>
      </c>
      <c r="F918" s="45">
        <f>73.6412 * CHOOSE(CONTROL!$C$15, $E$9, 100%, $G$9) + CHOOSE(CONTROL!$C$38, 0.0264, 0)</f>
        <v>73.667599999999993</v>
      </c>
      <c r="G918" s="14">
        <f>69.8333 * CHOOSE(CONTROL!$C$15, $E$9, 100%, $G$9) + CHOOSE(CONTROL!$C$38, 0.0354, 0)</f>
        <v>69.86869999999999</v>
      </c>
      <c r="H918" s="14">
        <f>69.8333 * CHOOSE(CONTROL!$C$15, $E$9, 100%, $G$9) + CHOOSE(CONTROL!$C$38, 0.0354, 0)</f>
        <v>69.86869999999999</v>
      </c>
      <c r="I918" s="14">
        <f>69.8349 * CHOOSE(CONTROL!$C$15, $E$9, 100%, $G$9) + CHOOSE(CONTROL!$C$38, 0.0354, 0)</f>
        <v>69.8703</v>
      </c>
      <c r="J918" s="44">
        <f>710.4461</f>
        <v>710.4461</v>
      </c>
    </row>
    <row r="919" spans="1:10" ht="15.75" x14ac:dyDescent="0.25">
      <c r="A919" s="32">
        <v>68911</v>
      </c>
      <c r="B919" s="14">
        <f>72.0938 * CHOOSE(CONTROL!$C$15, $E$9, 100%, $G$9) + CHOOSE(CONTROL!$C$38, 0.0264, 0)</f>
        <v>72.120199999999997</v>
      </c>
      <c r="C919" s="14">
        <f>68.2199 * CHOOSE(CONTROL!$C$15, $E$9, 100%, $G$9) + CHOOSE(CONTROL!$C$38, 0.0354, 0)</f>
        <v>68.255299999999991</v>
      </c>
      <c r="D919" s="14">
        <f>68.2121 * CHOOSE(CONTROL!$C$15, $E$9, 100%, $G$9) + CHOOSE(CONTROL!$C$38, 0.0354, 0)</f>
        <v>68.247500000000002</v>
      </c>
      <c r="E919" s="46">
        <f>71.9376 * CHOOSE(CONTROL!$C$15, $E$9, 100%, $G$9) + CHOOSE(CONTROL!$C$38, 0.0354, 0)</f>
        <v>71.972999999999999</v>
      </c>
      <c r="F919" s="45">
        <f>71.9376 * CHOOSE(CONTROL!$C$15, $E$9, 100%, $G$9) + CHOOSE(CONTROL!$C$38, 0.0264, 0)</f>
        <v>71.963999999999999</v>
      </c>
      <c r="G919" s="14">
        <f>68.2183 * CHOOSE(CONTROL!$C$15, $E$9, 100%, $G$9) + CHOOSE(CONTROL!$C$38, 0.0354, 0)</f>
        <v>68.253699999999995</v>
      </c>
      <c r="H919" s="14">
        <f>68.2183 * CHOOSE(CONTROL!$C$15, $E$9, 100%, $G$9) + CHOOSE(CONTROL!$C$38, 0.0354, 0)</f>
        <v>68.253699999999995</v>
      </c>
      <c r="I919" s="14">
        <f>68.2199 * CHOOSE(CONTROL!$C$15, $E$9, 100%, $G$9) + CHOOSE(CONTROL!$C$38, 0.0354, 0)</f>
        <v>68.255299999999991</v>
      </c>
      <c r="J919" s="44">
        <f>693.9073</f>
        <v>693.90729999999996</v>
      </c>
    </row>
    <row r="920" spans="1:10" ht="15.75" x14ac:dyDescent="0.25">
      <c r="A920" s="32">
        <v>68941</v>
      </c>
      <c r="B920" s="14">
        <f>69.7181 * CHOOSE(CONTROL!$C$15, $E$9, 100%, $G$9) + CHOOSE(CONTROL!$C$38, 0.0264, 0)</f>
        <v>69.744500000000002</v>
      </c>
      <c r="C920" s="14">
        <f>65.9677 * CHOOSE(CONTROL!$C$15, $E$9, 100%, $G$9) + CHOOSE(CONTROL!$C$38, 0.0354, 0)</f>
        <v>66.003099999999989</v>
      </c>
      <c r="D920" s="14">
        <f>65.9599 * CHOOSE(CONTROL!$C$15, $E$9, 100%, $G$9) + CHOOSE(CONTROL!$C$38, 0.0354, 0)</f>
        <v>65.9953</v>
      </c>
      <c r="E920" s="46">
        <f>69.5618 * CHOOSE(CONTROL!$C$15, $E$9, 100%, $G$9) + CHOOSE(CONTROL!$C$38, 0.0354, 0)</f>
        <v>69.597200000000001</v>
      </c>
      <c r="F920" s="45">
        <f>69.5618 * CHOOSE(CONTROL!$C$15, $E$9, 100%, $G$9) + CHOOSE(CONTROL!$C$38, 0.0264, 0)</f>
        <v>69.588200000000001</v>
      </c>
      <c r="G920" s="14">
        <f>65.9661 * CHOOSE(CONTROL!$C$15, $E$9, 100%, $G$9) + CHOOSE(CONTROL!$C$38, 0.0354, 0)</f>
        <v>66.001499999999993</v>
      </c>
      <c r="H920" s="14">
        <f>65.9661 * CHOOSE(CONTROL!$C$15, $E$9, 100%, $G$9) + CHOOSE(CONTROL!$C$38, 0.0354, 0)</f>
        <v>66.001499999999993</v>
      </c>
      <c r="I920" s="14">
        <f>65.9677 * CHOOSE(CONTROL!$C$15, $E$9, 100%, $G$9) + CHOOSE(CONTROL!$C$38, 0.0354, 0)</f>
        <v>66.003099999999989</v>
      </c>
      <c r="J920" s="44">
        <f>670.843</f>
        <v>670.84299999999996</v>
      </c>
    </row>
    <row r="921" spans="1:10" ht="15.75" x14ac:dyDescent="0.25">
      <c r="A921" s="32">
        <v>68972</v>
      </c>
      <c r="B921" s="14">
        <f>67.3285 * CHOOSE(CONTROL!$C$15, $E$9, 100%, $G$9) + CHOOSE(CONTROL!$C$38, 0.0251, 0)</f>
        <v>67.3536</v>
      </c>
      <c r="C921" s="14">
        <f>63.7024 * CHOOSE(CONTROL!$C$15, $E$9, 100%, $G$9) + CHOOSE(CONTROL!$C$38, 0.0342, 0)</f>
        <v>63.736599999999996</v>
      </c>
      <c r="D921" s="14">
        <f>63.6946 * CHOOSE(CONTROL!$C$15, $E$9, 100%, $G$9) + CHOOSE(CONTROL!$C$38, 0.0342, 0)</f>
        <v>63.7288</v>
      </c>
      <c r="E921" s="46">
        <f>67.1722 * CHOOSE(CONTROL!$C$15, $E$9, 100%, $G$9) + CHOOSE(CONTROL!$C$38, 0.0342, 0)</f>
        <v>67.206400000000002</v>
      </c>
      <c r="F921" s="45">
        <f>67.1722 * CHOOSE(CONTROL!$C$15, $E$9, 100%, $G$9) + CHOOSE(CONTROL!$C$38, 0.0251, 0)</f>
        <v>67.197299999999998</v>
      </c>
      <c r="G921" s="14">
        <f>63.7008 * CHOOSE(CONTROL!$C$15, $E$9, 100%, $G$9) + CHOOSE(CONTROL!$C$38, 0.0342, 0)</f>
        <v>63.734999999999999</v>
      </c>
      <c r="H921" s="14">
        <f>63.7008 * CHOOSE(CONTROL!$C$15, $E$9, 100%, $G$9) + CHOOSE(CONTROL!$C$38, 0.0342, 0)</f>
        <v>63.734999999999999</v>
      </c>
      <c r="I921" s="14">
        <f>63.7024 * CHOOSE(CONTROL!$C$15, $E$9, 100%, $G$9) + CHOOSE(CONTROL!$C$38, 0.0342, 0)</f>
        <v>63.736599999999996</v>
      </c>
      <c r="J921" s="44">
        <f>647.6445</f>
        <v>647.64449999999999</v>
      </c>
    </row>
    <row r="922" spans="1:10" ht="15.75" x14ac:dyDescent="0.25">
      <c r="A922" s="32">
        <v>69002</v>
      </c>
      <c r="B922" s="14">
        <f>66.8532 * CHOOSE(CONTROL!$C$15, $E$9, 100%, $G$9) + CHOOSE(CONTROL!$C$38, 0.0251, 0)</f>
        <v>66.878299999999996</v>
      </c>
      <c r="C922" s="14">
        <f>63.2518 * CHOOSE(CONTROL!$C$15, $E$9, 100%, $G$9) + CHOOSE(CONTROL!$C$38, 0.0342, 0)</f>
        <v>63.286000000000001</v>
      </c>
      <c r="D922" s="14">
        <f>63.244 * CHOOSE(CONTROL!$C$15, $E$9, 100%, $G$9) + CHOOSE(CONTROL!$C$38, 0.0342, 0)</f>
        <v>63.278199999999998</v>
      </c>
      <c r="E922" s="46">
        <f>66.6969 * CHOOSE(CONTROL!$C$15, $E$9, 100%, $G$9) + CHOOSE(CONTROL!$C$38, 0.0342, 0)</f>
        <v>66.731099999999998</v>
      </c>
      <c r="F922" s="45">
        <f>66.6969 * CHOOSE(CONTROL!$C$15, $E$9, 100%, $G$9) + CHOOSE(CONTROL!$C$38, 0.0251, 0)</f>
        <v>66.721999999999994</v>
      </c>
      <c r="G922" s="14">
        <f>63.2502 * CHOOSE(CONTROL!$C$15, $E$9, 100%, $G$9) + CHOOSE(CONTROL!$C$38, 0.0342, 0)</f>
        <v>63.284399999999998</v>
      </c>
      <c r="H922" s="14">
        <f>63.2502 * CHOOSE(CONTROL!$C$15, $E$9, 100%, $G$9) + CHOOSE(CONTROL!$C$38, 0.0342, 0)</f>
        <v>63.284399999999998</v>
      </c>
      <c r="I922" s="14">
        <f>63.2518 * CHOOSE(CONTROL!$C$15, $E$9, 100%, $G$9) + CHOOSE(CONTROL!$C$38, 0.0342, 0)</f>
        <v>63.286000000000001</v>
      </c>
      <c r="J922" s="44">
        <f>643.0299</f>
        <v>643.0299</v>
      </c>
    </row>
    <row r="923" spans="1:10" ht="15.75" x14ac:dyDescent="0.25">
      <c r="A923" s="32">
        <v>69033</v>
      </c>
      <c r="B923" s="14">
        <f>64.8876 * CHOOSE(CONTROL!$C$15, $E$9, 100%, $G$9) + CHOOSE(CONTROL!$C$38, 0.0251, 0)</f>
        <v>64.912700000000001</v>
      </c>
      <c r="C923" s="14">
        <f>61.3885 * CHOOSE(CONTROL!$C$15, $E$9, 100%, $G$9) + CHOOSE(CONTROL!$C$38, 0.0342, 0)</f>
        <v>61.422699999999999</v>
      </c>
      <c r="D923" s="14">
        <f>61.3806 * CHOOSE(CONTROL!$C$15, $E$9, 100%, $G$9) + CHOOSE(CONTROL!$C$38, 0.0342, 0)</f>
        <v>61.4148</v>
      </c>
      <c r="E923" s="46">
        <f>64.7314 * CHOOSE(CONTROL!$C$15, $E$9, 100%, $G$9) + CHOOSE(CONTROL!$C$38, 0.0342, 0)</f>
        <v>64.765599999999992</v>
      </c>
      <c r="F923" s="45">
        <f>64.7314 * CHOOSE(CONTROL!$C$15, $E$9, 100%, $G$9) + CHOOSE(CONTROL!$C$38, 0.0251, 0)</f>
        <v>64.756499999999988</v>
      </c>
      <c r="G923" s="14">
        <f>61.3869 * CHOOSE(CONTROL!$C$15, $E$9, 100%, $G$9) + CHOOSE(CONTROL!$C$38, 0.0342, 0)</f>
        <v>61.421099999999996</v>
      </c>
      <c r="H923" s="14">
        <f>61.3869 * CHOOSE(CONTROL!$C$15, $E$9, 100%, $G$9) + CHOOSE(CONTROL!$C$38, 0.0342, 0)</f>
        <v>61.421099999999996</v>
      </c>
      <c r="I923" s="14">
        <f>61.3885 * CHOOSE(CONTROL!$C$15, $E$9, 100%, $G$9) + CHOOSE(CONTROL!$C$38, 0.0342, 0)</f>
        <v>61.422699999999999</v>
      </c>
      <c r="J923" s="44">
        <f>623.9479</f>
        <v>623.9479</v>
      </c>
    </row>
    <row r="924" spans="1:10" ht="15.75" x14ac:dyDescent="0.25">
      <c r="A924" s="32">
        <v>69064</v>
      </c>
      <c r="B924" s="14">
        <f>64.3995 * CHOOSE(CONTROL!$C$15, $E$9, 100%, $G$9) + CHOOSE(CONTROL!$C$38, 0.0251, 0)</f>
        <v>64.424599999999998</v>
      </c>
      <c r="C924" s="14">
        <f>60.9257 * CHOOSE(CONTROL!$C$15, $E$9, 100%, $G$9) + CHOOSE(CONTROL!$C$38, 0.0342, 0)</f>
        <v>60.959899999999998</v>
      </c>
      <c r="D924" s="14">
        <f>60.9179 * CHOOSE(CONTROL!$C$15, $E$9, 100%, $G$9) + CHOOSE(CONTROL!$C$38, 0.0342, 0)</f>
        <v>60.952100000000002</v>
      </c>
      <c r="E924" s="46">
        <f>64.2432 * CHOOSE(CONTROL!$C$15, $E$9, 100%, $G$9) + CHOOSE(CONTROL!$C$38, 0.0342, 0)</f>
        <v>64.2774</v>
      </c>
      <c r="F924" s="45">
        <f>64.2432 * CHOOSE(CONTROL!$C$15, $E$9, 100%, $G$9) + CHOOSE(CONTROL!$C$38, 0.0251, 0)</f>
        <v>64.268299999999996</v>
      </c>
      <c r="G924" s="14">
        <f>60.9242 * CHOOSE(CONTROL!$C$15, $E$9, 100%, $G$9) + CHOOSE(CONTROL!$C$38, 0.0342, 0)</f>
        <v>60.958399999999997</v>
      </c>
      <c r="H924" s="14">
        <f>60.9242 * CHOOSE(CONTROL!$C$15, $E$9, 100%, $G$9) + CHOOSE(CONTROL!$C$38, 0.0342, 0)</f>
        <v>60.958399999999997</v>
      </c>
      <c r="I924" s="14">
        <f>60.9257 * CHOOSE(CONTROL!$C$15, $E$9, 100%, $G$9) + CHOOSE(CONTROL!$C$38, 0.0342, 0)</f>
        <v>60.959899999999998</v>
      </c>
      <c r="J924" s="44">
        <f>623.4975</f>
        <v>623.49749999999995</v>
      </c>
    </row>
    <row r="925" spans="1:10" ht="15.75" x14ac:dyDescent="0.25">
      <c r="A925" s="32">
        <v>69092</v>
      </c>
      <c r="B925" s="14">
        <f>64.2222 * CHOOSE(CONTROL!$C$15, $E$9, 100%, $G$9) + CHOOSE(CONTROL!$C$38, 0.0251, 0)</f>
        <v>64.247299999999996</v>
      </c>
      <c r="C925" s="14">
        <f>60.7576 * CHOOSE(CONTROL!$C$15, $E$9, 100%, $G$9) + CHOOSE(CONTROL!$C$38, 0.0342, 0)</f>
        <v>60.791799999999995</v>
      </c>
      <c r="D925" s="14">
        <f>60.7498 * CHOOSE(CONTROL!$C$15, $E$9, 100%, $G$9) + CHOOSE(CONTROL!$C$38, 0.0342, 0)</f>
        <v>60.783999999999999</v>
      </c>
      <c r="E925" s="46">
        <f>64.0659 * CHOOSE(CONTROL!$C$15, $E$9, 100%, $G$9) + CHOOSE(CONTROL!$C$38, 0.0342, 0)</f>
        <v>64.100099999999998</v>
      </c>
      <c r="F925" s="45">
        <f>64.0659 * CHOOSE(CONTROL!$C$15, $E$9, 100%, $G$9) + CHOOSE(CONTROL!$C$38, 0.0251, 0)</f>
        <v>64.090999999999994</v>
      </c>
      <c r="G925" s="14">
        <f>60.7561 * CHOOSE(CONTROL!$C$15, $E$9, 100%, $G$9) + CHOOSE(CONTROL!$C$38, 0.0342, 0)</f>
        <v>60.790300000000002</v>
      </c>
      <c r="H925" s="14">
        <f>60.7561 * CHOOSE(CONTROL!$C$15, $E$9, 100%, $G$9) + CHOOSE(CONTROL!$C$38, 0.0342, 0)</f>
        <v>60.790300000000002</v>
      </c>
      <c r="I925" s="14">
        <f>60.7576 * CHOOSE(CONTROL!$C$15, $E$9, 100%, $G$9) + CHOOSE(CONTROL!$C$38, 0.0342, 0)</f>
        <v>60.791799999999995</v>
      </c>
      <c r="J925" s="44">
        <f>621.7643</f>
        <v>621.76430000000005</v>
      </c>
    </row>
    <row r="926" spans="1:10" ht="15.75" x14ac:dyDescent="0.25">
      <c r="A926" s="32">
        <v>69123</v>
      </c>
      <c r="B926" s="14">
        <f>67.5745 * CHOOSE(CONTROL!$C$15, $E$9, 100%, $G$9) + CHOOSE(CONTROL!$C$38, 0.0251, 0)</f>
        <v>67.599599999999995</v>
      </c>
      <c r="C926" s="14">
        <f>63.9356 * CHOOSE(CONTROL!$C$15, $E$9, 100%, $G$9) + CHOOSE(CONTROL!$C$38, 0.0342, 0)</f>
        <v>63.969799999999999</v>
      </c>
      <c r="D926" s="14">
        <f>63.9278 * CHOOSE(CONTROL!$C$15, $E$9, 100%, $G$9) + CHOOSE(CONTROL!$C$38, 0.0342, 0)</f>
        <v>63.961999999999996</v>
      </c>
      <c r="E926" s="46">
        <f>67.4183 * CHOOSE(CONTROL!$C$15, $E$9, 100%, $G$9) + CHOOSE(CONTROL!$C$38, 0.0342, 0)</f>
        <v>67.452500000000001</v>
      </c>
      <c r="F926" s="45">
        <f>67.4183 * CHOOSE(CONTROL!$C$15, $E$9, 100%, $G$9) + CHOOSE(CONTROL!$C$38, 0.0251, 0)</f>
        <v>67.443399999999997</v>
      </c>
      <c r="G926" s="14">
        <f>63.9341 * CHOOSE(CONTROL!$C$15, $E$9, 100%, $G$9) + CHOOSE(CONTROL!$C$38, 0.0342, 0)</f>
        <v>63.968299999999999</v>
      </c>
      <c r="H926" s="14">
        <f>63.9341 * CHOOSE(CONTROL!$C$15, $E$9, 100%, $G$9) + CHOOSE(CONTROL!$C$38, 0.0342, 0)</f>
        <v>63.968299999999999</v>
      </c>
      <c r="I926" s="14">
        <f>63.9356 * CHOOSE(CONTROL!$C$15, $E$9, 100%, $G$9) + CHOOSE(CONTROL!$C$38, 0.0342, 0)</f>
        <v>63.969799999999999</v>
      </c>
      <c r="J926" s="44">
        <f>654.5349</f>
        <v>654.53489999999999</v>
      </c>
    </row>
    <row r="927" spans="1:10" ht="15.75" x14ac:dyDescent="0.25">
      <c r="A927" s="32">
        <v>69153</v>
      </c>
      <c r="B927" s="14">
        <f>71.9217 * CHOOSE(CONTROL!$C$15, $E$9, 100%, $G$9) + CHOOSE(CONTROL!$C$38, 0.0251, 0)</f>
        <v>71.946799999999996</v>
      </c>
      <c r="C927" s="14">
        <f>68.0567 * CHOOSE(CONTROL!$C$15, $E$9, 100%, $G$9) + CHOOSE(CONTROL!$C$38, 0.0342, 0)</f>
        <v>68.090900000000005</v>
      </c>
      <c r="D927" s="14">
        <f>68.0489 * CHOOSE(CONTROL!$C$15, $E$9, 100%, $G$9) + CHOOSE(CONTROL!$C$38, 0.0342, 0)</f>
        <v>68.083100000000002</v>
      </c>
      <c r="E927" s="46">
        <f>71.7655 * CHOOSE(CONTROL!$C$15, $E$9, 100%, $G$9) + CHOOSE(CONTROL!$C$38, 0.0342, 0)</f>
        <v>71.799700000000001</v>
      </c>
      <c r="F927" s="45">
        <f>71.7655 * CHOOSE(CONTROL!$C$15, $E$9, 100%, $G$9) + CHOOSE(CONTROL!$C$38, 0.0251, 0)</f>
        <v>71.790599999999998</v>
      </c>
      <c r="G927" s="14">
        <f>68.0552 * CHOOSE(CONTROL!$C$15, $E$9, 100%, $G$9) + CHOOSE(CONTROL!$C$38, 0.0342, 0)</f>
        <v>68.089399999999998</v>
      </c>
      <c r="H927" s="14">
        <f>68.0552 * CHOOSE(CONTROL!$C$15, $E$9, 100%, $G$9) + CHOOSE(CONTROL!$C$38, 0.0342, 0)</f>
        <v>68.089399999999998</v>
      </c>
      <c r="I927" s="14">
        <f>68.0567 * CHOOSE(CONTROL!$C$15, $E$9, 100%, $G$9) + CHOOSE(CONTROL!$C$38, 0.0342, 0)</f>
        <v>68.090900000000005</v>
      </c>
      <c r="J927" s="44">
        <f>697.0305</f>
        <v>697.03049999999996</v>
      </c>
    </row>
    <row r="928" spans="1:10" ht="15.75" x14ac:dyDescent="0.25">
      <c r="A928" s="32">
        <v>69184</v>
      </c>
      <c r="B928" s="14">
        <f>74.3146 * CHOOSE(CONTROL!$C$15, $E$9, 100%, $G$9) + CHOOSE(CONTROL!$C$38, 0.0264, 0)</f>
        <v>74.340999999999994</v>
      </c>
      <c r="C928" s="14">
        <f>70.3251 * CHOOSE(CONTROL!$C$15, $E$9, 100%, $G$9) + CHOOSE(CONTROL!$C$38, 0.0354, 0)</f>
        <v>70.360500000000002</v>
      </c>
      <c r="D928" s="14">
        <f>70.3173 * CHOOSE(CONTROL!$C$15, $E$9, 100%, $G$9) + CHOOSE(CONTROL!$C$38, 0.0354, 0)</f>
        <v>70.352699999999999</v>
      </c>
      <c r="E928" s="46">
        <f>74.1583 * CHOOSE(CONTROL!$C$15, $E$9, 100%, $G$9) + CHOOSE(CONTROL!$C$38, 0.0354, 0)</f>
        <v>74.193699999999993</v>
      </c>
      <c r="F928" s="45">
        <f>74.1583 * CHOOSE(CONTROL!$C$15, $E$9, 100%, $G$9) + CHOOSE(CONTROL!$C$38, 0.0264, 0)</f>
        <v>74.184699999999992</v>
      </c>
      <c r="G928" s="14">
        <f>70.3235 * CHOOSE(CONTROL!$C$15, $E$9, 100%, $G$9) + CHOOSE(CONTROL!$C$38, 0.0354, 0)</f>
        <v>70.358899999999991</v>
      </c>
      <c r="H928" s="14">
        <f>70.3235 * CHOOSE(CONTROL!$C$15, $E$9, 100%, $G$9) + CHOOSE(CONTROL!$C$38, 0.0354, 0)</f>
        <v>70.358899999999991</v>
      </c>
      <c r="I928" s="14">
        <f>70.3251 * CHOOSE(CONTROL!$C$15, $E$9, 100%, $G$9) + CHOOSE(CONTROL!$C$38, 0.0354, 0)</f>
        <v>70.360500000000002</v>
      </c>
      <c r="J928" s="44">
        <f>720.4215</f>
        <v>720.42150000000004</v>
      </c>
    </row>
    <row r="929" spans="1:10" ht="15.75" x14ac:dyDescent="0.25">
      <c r="A929" s="32">
        <v>69214</v>
      </c>
      <c r="B929" s="14">
        <f>75.3765 * CHOOSE(CONTROL!$C$15, $E$9, 100%, $G$9) + CHOOSE(CONTROL!$C$38, 0.0264, 0)</f>
        <v>75.402899999999988</v>
      </c>
      <c r="C929" s="14">
        <f>71.3318 * CHOOSE(CONTROL!$C$15, $E$9, 100%, $G$9) + CHOOSE(CONTROL!$C$38, 0.0354, 0)</f>
        <v>71.367199999999997</v>
      </c>
      <c r="D929" s="14">
        <f>71.324 * CHOOSE(CONTROL!$C$15, $E$9, 100%, $G$9) + CHOOSE(CONTROL!$C$38, 0.0354, 0)</f>
        <v>71.359399999999994</v>
      </c>
      <c r="E929" s="46">
        <f>75.2202 * CHOOSE(CONTROL!$C$15, $E$9, 100%, $G$9) + CHOOSE(CONTROL!$C$38, 0.0354, 0)</f>
        <v>75.255600000000001</v>
      </c>
      <c r="F929" s="45">
        <f>75.2202 * CHOOSE(CONTROL!$C$15, $E$9, 100%, $G$9) + CHOOSE(CONTROL!$C$38, 0.0264, 0)</f>
        <v>75.246600000000001</v>
      </c>
      <c r="G929" s="14">
        <f>71.3302 * CHOOSE(CONTROL!$C$15, $E$9, 100%, $G$9) + CHOOSE(CONTROL!$C$38, 0.0354, 0)</f>
        <v>71.365600000000001</v>
      </c>
      <c r="H929" s="14">
        <f>71.3302 * CHOOSE(CONTROL!$C$15, $E$9, 100%, $G$9) + CHOOSE(CONTROL!$C$38, 0.0354, 0)</f>
        <v>71.365600000000001</v>
      </c>
      <c r="I929" s="14">
        <f>71.3318 * CHOOSE(CONTROL!$C$15, $E$9, 100%, $G$9) + CHOOSE(CONTROL!$C$38, 0.0354, 0)</f>
        <v>71.367199999999997</v>
      </c>
      <c r="J929" s="44">
        <f>730.802</f>
        <v>730.80200000000002</v>
      </c>
    </row>
    <row r="930" spans="1:10" ht="15.75" x14ac:dyDescent="0.25">
      <c r="A930" s="32">
        <v>69245</v>
      </c>
      <c r="B930" s="14">
        <f>75.0269 * CHOOSE(CONTROL!$C$15, $E$9, 100%, $G$9) + CHOOSE(CONTROL!$C$38, 0.0264, 0)</f>
        <v>75.053299999999993</v>
      </c>
      <c r="C930" s="14">
        <f>71.0003 * CHOOSE(CONTROL!$C$15, $E$9, 100%, $G$9) + CHOOSE(CONTROL!$C$38, 0.0354, 0)</f>
        <v>71.035699999999991</v>
      </c>
      <c r="D930" s="14">
        <f>70.9925 * CHOOSE(CONTROL!$C$15, $E$9, 100%, $G$9) + CHOOSE(CONTROL!$C$38, 0.0354, 0)</f>
        <v>71.027900000000002</v>
      </c>
      <c r="E930" s="46">
        <f>74.8706 * CHOOSE(CONTROL!$C$15, $E$9, 100%, $G$9) + CHOOSE(CONTROL!$C$38, 0.0354, 0)</f>
        <v>74.905999999999992</v>
      </c>
      <c r="F930" s="45">
        <f>74.8706 * CHOOSE(CONTROL!$C$15, $E$9, 100%, $G$9) + CHOOSE(CONTROL!$C$38, 0.0264, 0)</f>
        <v>74.896999999999991</v>
      </c>
      <c r="G930" s="14">
        <f>70.9988 * CHOOSE(CONTROL!$C$15, $E$9, 100%, $G$9) + CHOOSE(CONTROL!$C$38, 0.0354, 0)</f>
        <v>71.034199999999998</v>
      </c>
      <c r="H930" s="14">
        <f>70.9988 * CHOOSE(CONTROL!$C$15, $E$9, 100%, $G$9) + CHOOSE(CONTROL!$C$38, 0.0354, 0)</f>
        <v>71.034199999999998</v>
      </c>
      <c r="I930" s="14">
        <f>71.0003 * CHOOSE(CONTROL!$C$15, $E$9, 100%, $G$9) + CHOOSE(CONTROL!$C$38, 0.0354, 0)</f>
        <v>71.035699999999991</v>
      </c>
      <c r="J930" s="44">
        <f>727.3842</f>
        <v>727.38419999999996</v>
      </c>
    </row>
    <row r="931" spans="1:10" ht="15.75" x14ac:dyDescent="0.25">
      <c r="A931" s="32">
        <v>69276</v>
      </c>
      <c r="B931" s="14">
        <f>73.2946 * CHOOSE(CONTROL!$C$15, $E$9, 100%, $G$9) + CHOOSE(CONTROL!$C$38, 0.0264, 0)</f>
        <v>73.320999999999998</v>
      </c>
      <c r="C931" s="14">
        <f>69.3582 * CHOOSE(CONTROL!$C$15, $E$9, 100%, $G$9) + CHOOSE(CONTROL!$C$38, 0.0354, 0)</f>
        <v>69.393599999999992</v>
      </c>
      <c r="D931" s="14">
        <f>69.3504 * CHOOSE(CONTROL!$C$15, $E$9, 100%, $G$9) + CHOOSE(CONTROL!$C$38, 0.0354, 0)</f>
        <v>69.385799999999989</v>
      </c>
      <c r="E931" s="46">
        <f>73.1384 * CHOOSE(CONTROL!$C$15, $E$9, 100%, $G$9) + CHOOSE(CONTROL!$C$38, 0.0354, 0)</f>
        <v>73.1738</v>
      </c>
      <c r="F931" s="45">
        <f>73.1384 * CHOOSE(CONTROL!$C$15, $E$9, 100%, $G$9) + CHOOSE(CONTROL!$C$38, 0.0264, 0)</f>
        <v>73.1648</v>
      </c>
      <c r="G931" s="14">
        <f>69.3566 * CHOOSE(CONTROL!$C$15, $E$9, 100%, $G$9) + CHOOSE(CONTROL!$C$38, 0.0354, 0)</f>
        <v>69.391999999999996</v>
      </c>
      <c r="H931" s="14">
        <f>69.3566 * CHOOSE(CONTROL!$C$15, $E$9, 100%, $G$9) + CHOOSE(CONTROL!$C$38, 0.0354, 0)</f>
        <v>69.391999999999996</v>
      </c>
      <c r="I931" s="14">
        <f>69.3582 * CHOOSE(CONTROL!$C$15, $E$9, 100%, $G$9) + CHOOSE(CONTROL!$C$38, 0.0354, 0)</f>
        <v>69.393599999999992</v>
      </c>
      <c r="J931" s="44">
        <f>710.451</f>
        <v>710.45100000000002</v>
      </c>
    </row>
    <row r="932" spans="1:10" ht="15.75" x14ac:dyDescent="0.25">
      <c r="A932" s="32">
        <v>69306</v>
      </c>
      <c r="B932" s="14">
        <f>70.879 * CHOOSE(CONTROL!$C$15, $E$9, 100%, $G$9) + CHOOSE(CONTROL!$C$38, 0.0264, 0)</f>
        <v>70.9054</v>
      </c>
      <c r="C932" s="14">
        <f>67.0682 * CHOOSE(CONTROL!$C$15, $E$9, 100%, $G$9) + CHOOSE(CONTROL!$C$38, 0.0354, 0)</f>
        <v>67.1036</v>
      </c>
      <c r="D932" s="14">
        <f>67.0604 * CHOOSE(CONTROL!$C$15, $E$9, 100%, $G$9) + CHOOSE(CONTROL!$C$38, 0.0354, 0)</f>
        <v>67.095799999999997</v>
      </c>
      <c r="E932" s="46">
        <f>70.7227 * CHOOSE(CONTROL!$C$15, $E$9, 100%, $G$9) + CHOOSE(CONTROL!$C$38, 0.0354, 0)</f>
        <v>70.758099999999999</v>
      </c>
      <c r="F932" s="45">
        <f>70.7227 * CHOOSE(CONTROL!$C$15, $E$9, 100%, $G$9) + CHOOSE(CONTROL!$C$38, 0.0264, 0)</f>
        <v>70.749099999999999</v>
      </c>
      <c r="G932" s="14">
        <f>67.0666 * CHOOSE(CONTROL!$C$15, $E$9, 100%, $G$9) + CHOOSE(CONTROL!$C$38, 0.0354, 0)</f>
        <v>67.10199999999999</v>
      </c>
      <c r="H932" s="14">
        <f>67.0666 * CHOOSE(CONTROL!$C$15, $E$9, 100%, $G$9) + CHOOSE(CONTROL!$C$38, 0.0354, 0)</f>
        <v>67.10199999999999</v>
      </c>
      <c r="I932" s="14">
        <f>67.0682 * CHOOSE(CONTROL!$C$15, $E$9, 100%, $G$9) + CHOOSE(CONTROL!$C$38, 0.0354, 0)</f>
        <v>67.1036</v>
      </c>
      <c r="J932" s="44">
        <f>686.8369</f>
        <v>686.83690000000001</v>
      </c>
    </row>
    <row r="933" spans="1:10" ht="15.75" x14ac:dyDescent="0.25">
      <c r="A933" s="32">
        <v>69337</v>
      </c>
      <c r="B933" s="14">
        <f>68.4492 * CHOOSE(CONTROL!$C$15, $E$9, 100%, $G$9) + CHOOSE(CONTROL!$C$38, 0.0251, 0)</f>
        <v>68.474299999999999</v>
      </c>
      <c r="C933" s="14">
        <f>64.7648 * CHOOSE(CONTROL!$C$15, $E$9, 100%, $G$9) + CHOOSE(CONTROL!$C$38, 0.0342, 0)</f>
        <v>64.798999999999992</v>
      </c>
      <c r="D933" s="14">
        <f>64.757 * CHOOSE(CONTROL!$C$15, $E$9, 100%, $G$9) + CHOOSE(CONTROL!$C$38, 0.0342, 0)</f>
        <v>64.791200000000003</v>
      </c>
      <c r="E933" s="46">
        <f>68.293 * CHOOSE(CONTROL!$C$15, $E$9, 100%, $G$9) + CHOOSE(CONTROL!$C$38, 0.0342, 0)</f>
        <v>68.327200000000005</v>
      </c>
      <c r="F933" s="45">
        <f>68.293 * CHOOSE(CONTROL!$C$15, $E$9, 100%, $G$9) + CHOOSE(CONTROL!$C$38, 0.0251, 0)</f>
        <v>68.318100000000001</v>
      </c>
      <c r="G933" s="14">
        <f>64.7633 * CHOOSE(CONTROL!$C$15, $E$9, 100%, $G$9) + CHOOSE(CONTROL!$C$38, 0.0342, 0)</f>
        <v>64.797499999999999</v>
      </c>
      <c r="H933" s="14">
        <f>64.7633 * CHOOSE(CONTROL!$C$15, $E$9, 100%, $G$9) + CHOOSE(CONTROL!$C$38, 0.0342, 0)</f>
        <v>64.797499999999999</v>
      </c>
      <c r="I933" s="14">
        <f>64.7648 * CHOOSE(CONTROL!$C$15, $E$9, 100%, $G$9) + CHOOSE(CONTROL!$C$38, 0.0342, 0)</f>
        <v>64.798999999999992</v>
      </c>
      <c r="J933" s="44">
        <f>663.0853</f>
        <v>663.08529999999996</v>
      </c>
    </row>
    <row r="934" spans="1:10" ht="15.75" x14ac:dyDescent="0.25">
      <c r="A934" s="32">
        <v>69367</v>
      </c>
      <c r="B934" s="14">
        <f>67.9659 * CHOOSE(CONTROL!$C$15, $E$9, 100%, $G$9) + CHOOSE(CONTROL!$C$38, 0.0251, 0)</f>
        <v>67.991</v>
      </c>
      <c r="C934" s="14">
        <f>64.3066 * CHOOSE(CONTROL!$C$15, $E$9, 100%, $G$9) + CHOOSE(CONTROL!$C$38, 0.0342, 0)</f>
        <v>64.340800000000002</v>
      </c>
      <c r="D934" s="14">
        <f>64.2988 * CHOOSE(CONTROL!$C$15, $E$9, 100%, $G$9) + CHOOSE(CONTROL!$C$38, 0.0342, 0)</f>
        <v>64.332999999999998</v>
      </c>
      <c r="E934" s="46">
        <f>67.8097 * CHOOSE(CONTROL!$C$15, $E$9, 100%, $G$9) + CHOOSE(CONTROL!$C$38, 0.0342, 0)</f>
        <v>67.843900000000005</v>
      </c>
      <c r="F934" s="45">
        <f>67.8097 * CHOOSE(CONTROL!$C$15, $E$9, 100%, $G$9) + CHOOSE(CONTROL!$C$38, 0.0251, 0)</f>
        <v>67.834800000000001</v>
      </c>
      <c r="G934" s="14">
        <f>64.3051 * CHOOSE(CONTROL!$C$15, $E$9, 100%, $G$9) + CHOOSE(CONTROL!$C$38, 0.0342, 0)</f>
        <v>64.339299999999994</v>
      </c>
      <c r="H934" s="14">
        <f>64.3051 * CHOOSE(CONTROL!$C$15, $E$9, 100%, $G$9) + CHOOSE(CONTROL!$C$38, 0.0342, 0)</f>
        <v>64.339299999999994</v>
      </c>
      <c r="I934" s="14">
        <f>64.3066 * CHOOSE(CONTROL!$C$15, $E$9, 100%, $G$9) + CHOOSE(CONTROL!$C$38, 0.0342, 0)</f>
        <v>64.340800000000002</v>
      </c>
      <c r="J934" s="44">
        <f>658.3607</f>
        <v>658.36069999999995</v>
      </c>
    </row>
    <row r="935" spans="1:10" ht="15.75" x14ac:dyDescent="0.25">
      <c r="A935" s="32">
        <v>69398</v>
      </c>
      <c r="B935" s="14">
        <f>65.9673 * CHOOSE(CONTROL!$C$15, $E$9, 100%, $G$9) + CHOOSE(CONTROL!$C$38, 0.0251, 0)</f>
        <v>65.992399999999989</v>
      </c>
      <c r="C935" s="14">
        <f>62.412 * CHOOSE(CONTROL!$C$15, $E$9, 100%, $G$9) + CHOOSE(CONTROL!$C$38, 0.0342, 0)</f>
        <v>62.446199999999997</v>
      </c>
      <c r="D935" s="14">
        <f>62.4042 * CHOOSE(CONTROL!$C$15, $E$9, 100%, $G$9) + CHOOSE(CONTROL!$C$38, 0.0342, 0)</f>
        <v>62.438400000000001</v>
      </c>
      <c r="E935" s="46">
        <f>65.8111 * CHOOSE(CONTROL!$C$15, $E$9, 100%, $G$9) + CHOOSE(CONTROL!$C$38, 0.0342, 0)</f>
        <v>65.845299999999995</v>
      </c>
      <c r="F935" s="45">
        <f>65.8111 * CHOOSE(CONTROL!$C$15, $E$9, 100%, $G$9) + CHOOSE(CONTROL!$C$38, 0.0251, 0)</f>
        <v>65.836199999999991</v>
      </c>
      <c r="G935" s="14">
        <f>62.4105 * CHOOSE(CONTROL!$C$15, $E$9, 100%, $G$9) + CHOOSE(CONTROL!$C$38, 0.0342, 0)</f>
        <v>62.444699999999997</v>
      </c>
      <c r="H935" s="14">
        <f>62.4105 * CHOOSE(CONTROL!$C$15, $E$9, 100%, $G$9) + CHOOSE(CONTROL!$C$38, 0.0342, 0)</f>
        <v>62.444699999999997</v>
      </c>
      <c r="I935" s="14">
        <f>62.412 * CHOOSE(CONTROL!$C$15, $E$9, 100%, $G$9) + CHOOSE(CONTROL!$C$38, 0.0342, 0)</f>
        <v>62.446199999999997</v>
      </c>
      <c r="J935" s="44">
        <f>638.8238</f>
        <v>638.82380000000001</v>
      </c>
    </row>
    <row r="936" spans="1:10" ht="15.75" x14ac:dyDescent="0.25">
      <c r="A936" s="32">
        <v>69429</v>
      </c>
      <c r="B936" s="14">
        <f>65.471 * CHOOSE(CONTROL!$C$15, $E$9, 100%, $G$9) + CHOOSE(CONTROL!$C$38, 0.0251, 0)</f>
        <v>65.496099999999998</v>
      </c>
      <c r="C936" s="14">
        <f>61.9415 * CHOOSE(CONTROL!$C$15, $E$9, 100%, $G$9) + CHOOSE(CONTROL!$C$38, 0.0342, 0)</f>
        <v>61.975699999999996</v>
      </c>
      <c r="D936" s="14">
        <f>61.9337 * CHOOSE(CONTROL!$C$15, $E$9, 100%, $G$9) + CHOOSE(CONTROL!$C$38, 0.0342, 0)</f>
        <v>61.9679</v>
      </c>
      <c r="E936" s="46">
        <f>65.3148 * CHOOSE(CONTROL!$C$15, $E$9, 100%, $G$9) + CHOOSE(CONTROL!$C$38, 0.0342, 0)</f>
        <v>65.349000000000004</v>
      </c>
      <c r="F936" s="45">
        <f>65.3148 * CHOOSE(CONTROL!$C$15, $E$9, 100%, $G$9) + CHOOSE(CONTROL!$C$38, 0.0251, 0)</f>
        <v>65.3399</v>
      </c>
      <c r="G936" s="14">
        <f>61.9399 * CHOOSE(CONTROL!$C$15, $E$9, 100%, $G$9) + CHOOSE(CONTROL!$C$38, 0.0342, 0)</f>
        <v>61.9741</v>
      </c>
      <c r="H936" s="14">
        <f>61.9399 * CHOOSE(CONTROL!$C$15, $E$9, 100%, $G$9) + CHOOSE(CONTROL!$C$38, 0.0342, 0)</f>
        <v>61.9741</v>
      </c>
      <c r="I936" s="14">
        <f>61.9415 * CHOOSE(CONTROL!$C$15, $E$9, 100%, $G$9) + CHOOSE(CONTROL!$C$38, 0.0342, 0)</f>
        <v>61.975699999999996</v>
      </c>
      <c r="J936" s="44">
        <f>638.3626</f>
        <v>638.36260000000004</v>
      </c>
    </row>
    <row r="937" spans="1:10" ht="15.75" x14ac:dyDescent="0.25">
      <c r="A937" s="32">
        <v>69457</v>
      </c>
      <c r="B937" s="14">
        <f>65.2907 * CHOOSE(CONTROL!$C$15, $E$9, 100%, $G$9) + CHOOSE(CONTROL!$C$38, 0.0251, 0)</f>
        <v>65.315799999999996</v>
      </c>
      <c r="C937" s="14">
        <f>61.7706 * CHOOSE(CONTROL!$C$15, $E$9, 100%, $G$9) + CHOOSE(CONTROL!$C$38, 0.0342, 0)</f>
        <v>61.8048</v>
      </c>
      <c r="D937" s="14">
        <f>61.7628 * CHOOSE(CONTROL!$C$15, $E$9, 100%, $G$9) + CHOOSE(CONTROL!$C$38, 0.0342, 0)</f>
        <v>61.796999999999997</v>
      </c>
      <c r="E937" s="46">
        <f>65.1345 * CHOOSE(CONTROL!$C$15, $E$9, 100%, $G$9) + CHOOSE(CONTROL!$C$38, 0.0342, 0)</f>
        <v>65.168700000000001</v>
      </c>
      <c r="F937" s="45">
        <f>65.1345 * CHOOSE(CONTROL!$C$15, $E$9, 100%, $G$9) + CHOOSE(CONTROL!$C$38, 0.0251, 0)</f>
        <v>65.159599999999998</v>
      </c>
      <c r="G937" s="14">
        <f>61.7691 * CHOOSE(CONTROL!$C$15, $E$9, 100%, $G$9) + CHOOSE(CONTROL!$C$38, 0.0342, 0)</f>
        <v>61.8033</v>
      </c>
      <c r="H937" s="14">
        <f>61.7691 * CHOOSE(CONTROL!$C$15, $E$9, 100%, $G$9) + CHOOSE(CONTROL!$C$38, 0.0342, 0)</f>
        <v>61.8033</v>
      </c>
      <c r="I937" s="14">
        <f>61.7706 * CHOOSE(CONTROL!$C$15, $E$9, 100%, $G$9) + CHOOSE(CONTROL!$C$38, 0.0342, 0)</f>
        <v>61.8048</v>
      </c>
      <c r="J937" s="44">
        <f>636.5881</f>
        <v>636.58810000000005</v>
      </c>
    </row>
    <row r="938" spans="1:10" ht="15.75" x14ac:dyDescent="0.25">
      <c r="A938" s="32">
        <v>69488</v>
      </c>
      <c r="B938" s="14">
        <f>68.6994 * CHOOSE(CONTROL!$C$15, $E$9, 100%, $G$9) + CHOOSE(CONTROL!$C$38, 0.0251, 0)</f>
        <v>68.724499999999992</v>
      </c>
      <c r="C938" s="14">
        <f>65.002 * CHOOSE(CONTROL!$C$15, $E$9, 100%, $G$9) + CHOOSE(CONTROL!$C$38, 0.0342, 0)</f>
        <v>65.036199999999994</v>
      </c>
      <c r="D938" s="14">
        <f>64.9942 * CHOOSE(CONTROL!$C$15, $E$9, 100%, $G$9) + CHOOSE(CONTROL!$C$38, 0.0342, 0)</f>
        <v>65.028400000000005</v>
      </c>
      <c r="E938" s="46">
        <f>68.5432 * CHOOSE(CONTROL!$C$15, $E$9, 100%, $G$9) + CHOOSE(CONTROL!$C$38, 0.0342, 0)</f>
        <v>68.577399999999997</v>
      </c>
      <c r="F938" s="45">
        <f>68.5432 * CHOOSE(CONTROL!$C$15, $E$9, 100%, $G$9) + CHOOSE(CONTROL!$C$38, 0.0251, 0)</f>
        <v>68.568299999999994</v>
      </c>
      <c r="G938" s="14">
        <f>65.0004 * CHOOSE(CONTROL!$C$15, $E$9, 100%, $G$9) + CHOOSE(CONTROL!$C$38, 0.0342, 0)</f>
        <v>65.034599999999998</v>
      </c>
      <c r="H938" s="14">
        <f>65.0004 * CHOOSE(CONTROL!$C$15, $E$9, 100%, $G$9) + CHOOSE(CONTROL!$C$38, 0.0342, 0)</f>
        <v>65.034599999999998</v>
      </c>
      <c r="I938" s="14">
        <f>65.002 * CHOOSE(CONTROL!$C$15, $E$9, 100%, $G$9) + CHOOSE(CONTROL!$C$38, 0.0342, 0)</f>
        <v>65.036199999999994</v>
      </c>
      <c r="J938" s="44">
        <f>670.14</f>
        <v>670.14</v>
      </c>
    </row>
    <row r="939" spans="1:10" ht="15.75" x14ac:dyDescent="0.25">
      <c r="A939" s="32">
        <v>69518</v>
      </c>
      <c r="B939" s="14">
        <f>73.1196 * CHOOSE(CONTROL!$C$15, $E$9, 100%, $G$9) + CHOOSE(CONTROL!$C$38, 0.0251, 0)</f>
        <v>73.1447</v>
      </c>
      <c r="C939" s="14">
        <f>69.1923 * CHOOSE(CONTROL!$C$15, $E$9, 100%, $G$9) + CHOOSE(CONTROL!$C$38, 0.0342, 0)</f>
        <v>69.226500000000001</v>
      </c>
      <c r="D939" s="14">
        <f>69.1845 * CHOOSE(CONTROL!$C$15, $E$9, 100%, $G$9) + CHOOSE(CONTROL!$C$38, 0.0342, 0)</f>
        <v>69.218699999999998</v>
      </c>
      <c r="E939" s="46">
        <f>72.9634 * CHOOSE(CONTROL!$C$15, $E$9, 100%, $G$9) + CHOOSE(CONTROL!$C$38, 0.0342, 0)</f>
        <v>72.997599999999991</v>
      </c>
      <c r="F939" s="45">
        <f>72.9634 * CHOOSE(CONTROL!$C$15, $E$9, 100%, $G$9) + CHOOSE(CONTROL!$C$38, 0.0251, 0)</f>
        <v>72.988499999999988</v>
      </c>
      <c r="G939" s="14">
        <f>69.1907 * CHOOSE(CONTROL!$C$15, $E$9, 100%, $G$9) + CHOOSE(CONTROL!$C$38, 0.0342, 0)</f>
        <v>69.224900000000005</v>
      </c>
      <c r="H939" s="14">
        <f>69.1907 * CHOOSE(CONTROL!$C$15, $E$9, 100%, $G$9) + CHOOSE(CONTROL!$C$38, 0.0342, 0)</f>
        <v>69.224900000000005</v>
      </c>
      <c r="I939" s="14">
        <f>69.1923 * CHOOSE(CONTROL!$C$15, $E$9, 100%, $G$9) + CHOOSE(CONTROL!$C$38, 0.0342, 0)</f>
        <v>69.226500000000001</v>
      </c>
      <c r="J939" s="44">
        <f>713.6488</f>
        <v>713.64880000000005</v>
      </c>
    </row>
    <row r="940" spans="1:10" ht="15.75" x14ac:dyDescent="0.25">
      <c r="A940" s="32">
        <v>69549</v>
      </c>
      <c r="B940" s="14">
        <f>75.5527 * CHOOSE(CONTROL!$C$15, $E$9, 100%, $G$9) + CHOOSE(CONTROL!$C$38, 0.0264, 0)</f>
        <v>75.579099999999997</v>
      </c>
      <c r="C940" s="14">
        <f>71.4988 * CHOOSE(CONTROL!$C$15, $E$9, 100%, $G$9) + CHOOSE(CONTROL!$C$38, 0.0354, 0)</f>
        <v>71.534199999999998</v>
      </c>
      <c r="D940" s="14">
        <f>71.491 * CHOOSE(CONTROL!$C$15, $E$9, 100%, $G$9) + CHOOSE(CONTROL!$C$38, 0.0354, 0)</f>
        <v>71.526399999999995</v>
      </c>
      <c r="E940" s="46">
        <f>75.3964 * CHOOSE(CONTROL!$C$15, $E$9, 100%, $G$9) + CHOOSE(CONTROL!$C$38, 0.0354, 0)</f>
        <v>75.431799999999996</v>
      </c>
      <c r="F940" s="45">
        <f>75.3964 * CHOOSE(CONTROL!$C$15, $E$9, 100%, $G$9) + CHOOSE(CONTROL!$C$38, 0.0264, 0)</f>
        <v>75.422799999999995</v>
      </c>
      <c r="G940" s="14">
        <f>71.4972 * CHOOSE(CONTROL!$C$15, $E$9, 100%, $G$9) + CHOOSE(CONTROL!$C$38, 0.0354, 0)</f>
        <v>71.532600000000002</v>
      </c>
      <c r="H940" s="14">
        <f>71.4972 * CHOOSE(CONTROL!$C$15, $E$9, 100%, $G$9) + CHOOSE(CONTROL!$C$38, 0.0354, 0)</f>
        <v>71.532600000000002</v>
      </c>
      <c r="I940" s="14">
        <f>71.4988 * CHOOSE(CONTROL!$C$15, $E$9, 100%, $G$9) + CHOOSE(CONTROL!$C$38, 0.0354, 0)</f>
        <v>71.534199999999998</v>
      </c>
      <c r="J940" s="44">
        <f>737.5974</f>
        <v>737.59739999999999</v>
      </c>
    </row>
    <row r="941" spans="1:10" ht="15.75" x14ac:dyDescent="0.25">
      <c r="A941" s="32">
        <v>69579</v>
      </c>
      <c r="B941" s="14">
        <f>76.6324 * CHOOSE(CONTROL!$C$15, $E$9, 100%, $G$9) + CHOOSE(CONTROL!$C$38, 0.0264, 0)</f>
        <v>76.658799999999999</v>
      </c>
      <c r="C941" s="14">
        <f>72.5224 * CHOOSE(CONTROL!$C$15, $E$9, 100%, $G$9) + CHOOSE(CONTROL!$C$38, 0.0354, 0)</f>
        <v>72.5578</v>
      </c>
      <c r="D941" s="14">
        <f>72.5146 * CHOOSE(CONTROL!$C$15, $E$9, 100%, $G$9) + CHOOSE(CONTROL!$C$38, 0.0354, 0)</f>
        <v>72.55</v>
      </c>
      <c r="E941" s="46">
        <f>76.4762 * CHOOSE(CONTROL!$C$15, $E$9, 100%, $G$9) + CHOOSE(CONTROL!$C$38, 0.0354, 0)</f>
        <v>76.511600000000001</v>
      </c>
      <c r="F941" s="45">
        <f>76.4762 * CHOOSE(CONTROL!$C$15, $E$9, 100%, $G$9) + CHOOSE(CONTROL!$C$38, 0.0264, 0)</f>
        <v>76.502600000000001</v>
      </c>
      <c r="G941" s="14">
        <f>72.5208 * CHOOSE(CONTROL!$C$15, $E$9, 100%, $G$9) + CHOOSE(CONTROL!$C$38, 0.0354, 0)</f>
        <v>72.55619999999999</v>
      </c>
      <c r="H941" s="14">
        <f>72.5208 * CHOOSE(CONTROL!$C$15, $E$9, 100%, $G$9) + CHOOSE(CONTROL!$C$38, 0.0354, 0)</f>
        <v>72.55619999999999</v>
      </c>
      <c r="I941" s="14">
        <f>72.5224 * CHOOSE(CONTROL!$C$15, $E$9, 100%, $G$9) + CHOOSE(CONTROL!$C$38, 0.0354, 0)</f>
        <v>72.5578</v>
      </c>
      <c r="J941" s="44">
        <f>748.2254</f>
        <v>748.22540000000004</v>
      </c>
    </row>
    <row r="942" spans="1:10" ht="15.75" x14ac:dyDescent="0.25">
      <c r="A942" s="32">
        <v>69610</v>
      </c>
      <c r="B942" s="14">
        <f>76.2769 * CHOOSE(CONTROL!$C$15, $E$9, 100%, $G$9) + CHOOSE(CONTROL!$C$38, 0.0264, 0)</f>
        <v>76.303299999999993</v>
      </c>
      <c r="C942" s="14">
        <f>72.1854 * CHOOSE(CONTROL!$C$15, $E$9, 100%, $G$9) + CHOOSE(CONTROL!$C$38, 0.0354, 0)</f>
        <v>72.220799999999997</v>
      </c>
      <c r="D942" s="14">
        <f>72.1776 * CHOOSE(CONTROL!$C$15, $E$9, 100%, $G$9) + CHOOSE(CONTROL!$C$38, 0.0354, 0)</f>
        <v>72.212999999999994</v>
      </c>
      <c r="E942" s="46">
        <f>76.1207 * CHOOSE(CONTROL!$C$15, $E$9, 100%, $G$9) + CHOOSE(CONTROL!$C$38, 0.0354, 0)</f>
        <v>76.156099999999995</v>
      </c>
      <c r="F942" s="45">
        <f>76.1207 * CHOOSE(CONTROL!$C$15, $E$9, 100%, $G$9) + CHOOSE(CONTROL!$C$38, 0.0264, 0)</f>
        <v>76.147099999999995</v>
      </c>
      <c r="G942" s="14">
        <f>72.1838 * CHOOSE(CONTROL!$C$15, $E$9, 100%, $G$9) + CHOOSE(CONTROL!$C$38, 0.0354, 0)</f>
        <v>72.219200000000001</v>
      </c>
      <c r="H942" s="14">
        <f>72.1838 * CHOOSE(CONTROL!$C$15, $E$9, 100%, $G$9) + CHOOSE(CONTROL!$C$38, 0.0354, 0)</f>
        <v>72.219200000000001</v>
      </c>
      <c r="I942" s="14">
        <f>72.1854 * CHOOSE(CONTROL!$C$15, $E$9, 100%, $G$9) + CHOOSE(CONTROL!$C$38, 0.0354, 0)</f>
        <v>72.220799999999997</v>
      </c>
      <c r="J942" s="44">
        <f>744.7262</f>
        <v>744.72619999999995</v>
      </c>
    </row>
    <row r="943" spans="1:10" ht="15.75" x14ac:dyDescent="0.25">
      <c r="A943" s="32">
        <v>69641</v>
      </c>
      <c r="B943" s="14">
        <f>74.5156 * CHOOSE(CONTROL!$C$15, $E$9, 100%, $G$9) + CHOOSE(CONTROL!$C$38, 0.0264, 0)</f>
        <v>74.542000000000002</v>
      </c>
      <c r="C943" s="14">
        <f>70.5157 * CHOOSE(CONTROL!$C$15, $E$9, 100%, $G$9) + CHOOSE(CONTROL!$C$38, 0.0354, 0)</f>
        <v>70.551099999999991</v>
      </c>
      <c r="D943" s="14">
        <f>70.5078 * CHOOSE(CONTROL!$C$15, $E$9, 100%, $G$9) + CHOOSE(CONTROL!$C$38, 0.0354, 0)</f>
        <v>70.543199999999999</v>
      </c>
      <c r="E943" s="46">
        <f>74.3593 * CHOOSE(CONTROL!$C$15, $E$9, 100%, $G$9) + CHOOSE(CONTROL!$C$38, 0.0354, 0)</f>
        <v>74.3947</v>
      </c>
      <c r="F943" s="45">
        <f>74.3593 * CHOOSE(CONTROL!$C$15, $E$9, 100%, $G$9) + CHOOSE(CONTROL!$C$38, 0.0264, 0)</f>
        <v>74.3857</v>
      </c>
      <c r="G943" s="14">
        <f>70.5141 * CHOOSE(CONTROL!$C$15, $E$9, 100%, $G$9) + CHOOSE(CONTROL!$C$38, 0.0354, 0)</f>
        <v>70.549499999999995</v>
      </c>
      <c r="H943" s="14">
        <f>70.5141 * CHOOSE(CONTROL!$C$15, $E$9, 100%, $G$9) + CHOOSE(CONTROL!$C$38, 0.0354, 0)</f>
        <v>70.549499999999995</v>
      </c>
      <c r="I943" s="14">
        <f>70.5157 * CHOOSE(CONTROL!$C$15, $E$9, 100%, $G$9) + CHOOSE(CONTROL!$C$38, 0.0354, 0)</f>
        <v>70.551099999999991</v>
      </c>
      <c r="J943" s="44">
        <f>727.3893</f>
        <v>727.38930000000005</v>
      </c>
    </row>
    <row r="944" spans="1:10" ht="15.75" x14ac:dyDescent="0.25">
      <c r="A944" s="32">
        <v>69671</v>
      </c>
      <c r="B944" s="14">
        <f>72.0593 * CHOOSE(CONTROL!$C$15, $E$9, 100%, $G$9) + CHOOSE(CONTROL!$C$38, 0.0264, 0)</f>
        <v>72.085699999999989</v>
      </c>
      <c r="C944" s="14">
        <f>68.1872 * CHOOSE(CONTROL!$C$15, $E$9, 100%, $G$9) + CHOOSE(CONTROL!$C$38, 0.0354, 0)</f>
        <v>68.2226</v>
      </c>
      <c r="D944" s="14">
        <f>68.1793 * CHOOSE(CONTROL!$C$15, $E$9, 100%, $G$9) + CHOOSE(CONTROL!$C$38, 0.0354, 0)</f>
        <v>68.214699999999993</v>
      </c>
      <c r="E944" s="46">
        <f>71.9031 * CHOOSE(CONTROL!$C$15, $E$9, 100%, $G$9) + CHOOSE(CONTROL!$C$38, 0.0354, 0)</f>
        <v>71.938499999999991</v>
      </c>
      <c r="F944" s="45">
        <f>71.9031 * CHOOSE(CONTROL!$C$15, $E$9, 100%, $G$9) + CHOOSE(CONTROL!$C$38, 0.0264, 0)</f>
        <v>71.92949999999999</v>
      </c>
      <c r="G944" s="14">
        <f>68.1856 * CHOOSE(CONTROL!$C$15, $E$9, 100%, $G$9) + CHOOSE(CONTROL!$C$38, 0.0354, 0)</f>
        <v>68.220999999999989</v>
      </c>
      <c r="H944" s="14">
        <f>68.1856 * CHOOSE(CONTROL!$C$15, $E$9, 100%, $G$9) + CHOOSE(CONTROL!$C$38, 0.0354, 0)</f>
        <v>68.220999999999989</v>
      </c>
      <c r="I944" s="14">
        <f>68.1872 * CHOOSE(CONTROL!$C$15, $E$9, 100%, $G$9) + CHOOSE(CONTROL!$C$38, 0.0354, 0)</f>
        <v>68.2226</v>
      </c>
      <c r="J944" s="44">
        <f>703.2121</f>
        <v>703.21209999999996</v>
      </c>
    </row>
    <row r="945" spans="1:10" ht="15.75" x14ac:dyDescent="0.25">
      <c r="A945" s="32">
        <v>69702</v>
      </c>
      <c r="B945" s="14">
        <f>69.5888 * CHOOSE(CONTROL!$C$15, $E$9, 100%, $G$9) + CHOOSE(CONTROL!$C$38, 0.0251, 0)</f>
        <v>69.613900000000001</v>
      </c>
      <c r="C945" s="14">
        <f>65.8451 * CHOOSE(CONTROL!$C$15, $E$9, 100%, $G$9) + CHOOSE(CONTROL!$C$38, 0.0342, 0)</f>
        <v>65.879300000000001</v>
      </c>
      <c r="D945" s="14">
        <f>65.8373 * CHOOSE(CONTROL!$C$15, $E$9, 100%, $G$9) + CHOOSE(CONTROL!$C$38, 0.0342, 0)</f>
        <v>65.871499999999997</v>
      </c>
      <c r="E945" s="46">
        <f>69.4325 * CHOOSE(CONTROL!$C$15, $E$9, 100%, $G$9) + CHOOSE(CONTROL!$C$38, 0.0342, 0)</f>
        <v>69.466700000000003</v>
      </c>
      <c r="F945" s="45">
        <f>69.4325 * CHOOSE(CONTROL!$C$15, $E$9, 100%, $G$9) + CHOOSE(CONTROL!$C$38, 0.0251, 0)</f>
        <v>69.457599999999999</v>
      </c>
      <c r="G945" s="14">
        <f>65.8436 * CHOOSE(CONTROL!$C$15, $E$9, 100%, $G$9) + CHOOSE(CONTROL!$C$38, 0.0342, 0)</f>
        <v>65.877799999999993</v>
      </c>
      <c r="H945" s="14">
        <f>65.8436 * CHOOSE(CONTROL!$C$15, $E$9, 100%, $G$9) + CHOOSE(CONTROL!$C$38, 0.0342, 0)</f>
        <v>65.877799999999993</v>
      </c>
      <c r="I945" s="14">
        <f>65.8451 * CHOOSE(CONTROL!$C$15, $E$9, 100%, $G$9) + CHOOSE(CONTROL!$C$38, 0.0342, 0)</f>
        <v>65.879300000000001</v>
      </c>
      <c r="J945" s="44">
        <f>678.8943</f>
        <v>678.89430000000004</v>
      </c>
    </row>
    <row r="946" spans="1:10" ht="15.75" x14ac:dyDescent="0.25">
      <c r="A946" s="32">
        <v>69732</v>
      </c>
      <c r="B946" s="14">
        <f>69.0974 * CHOOSE(CONTROL!$C$15, $E$9, 100%, $G$9) + CHOOSE(CONTROL!$C$38, 0.0251, 0)</f>
        <v>69.122499999999988</v>
      </c>
      <c r="C946" s="14">
        <f>65.3792 * CHOOSE(CONTROL!$C$15, $E$9, 100%, $G$9) + CHOOSE(CONTROL!$C$38, 0.0342, 0)</f>
        <v>65.413399999999996</v>
      </c>
      <c r="D946" s="14">
        <f>65.3714 * CHOOSE(CONTROL!$C$15, $E$9, 100%, $G$9) + CHOOSE(CONTROL!$C$38, 0.0342, 0)</f>
        <v>65.405599999999993</v>
      </c>
      <c r="E946" s="46">
        <f>68.9411 * CHOOSE(CONTROL!$C$15, $E$9, 100%, $G$9) + CHOOSE(CONTROL!$C$38, 0.0342, 0)</f>
        <v>68.975300000000004</v>
      </c>
      <c r="F946" s="45">
        <f>68.9411 * CHOOSE(CONTROL!$C$15, $E$9, 100%, $G$9) + CHOOSE(CONTROL!$C$38, 0.0251, 0)</f>
        <v>68.966200000000001</v>
      </c>
      <c r="G946" s="14">
        <f>65.3777 * CHOOSE(CONTROL!$C$15, $E$9, 100%, $G$9) + CHOOSE(CONTROL!$C$38, 0.0342, 0)</f>
        <v>65.411900000000003</v>
      </c>
      <c r="H946" s="14">
        <f>65.3777 * CHOOSE(CONTROL!$C$15, $E$9, 100%, $G$9) + CHOOSE(CONTROL!$C$38, 0.0342, 0)</f>
        <v>65.411900000000003</v>
      </c>
      <c r="I946" s="14">
        <f>65.3792 * CHOOSE(CONTROL!$C$15, $E$9, 100%, $G$9) + CHOOSE(CONTROL!$C$38, 0.0342, 0)</f>
        <v>65.413399999999996</v>
      </c>
      <c r="J946" s="44">
        <f>674.057</f>
        <v>674.05700000000002</v>
      </c>
    </row>
    <row r="947" spans="1:10" ht="15.75" x14ac:dyDescent="0.25">
      <c r="A947" s="32">
        <v>69763</v>
      </c>
      <c r="B947" s="14">
        <f>67.0652 * CHOOSE(CONTROL!$C$15, $E$9, 100%, $G$9) + CHOOSE(CONTROL!$C$38, 0.0251, 0)</f>
        <v>67.090299999999999</v>
      </c>
      <c r="C947" s="14">
        <f>63.4528 * CHOOSE(CONTROL!$C$15, $E$9, 100%, $G$9) + CHOOSE(CONTROL!$C$38, 0.0342, 0)</f>
        <v>63.487000000000002</v>
      </c>
      <c r="D947" s="14">
        <f>63.445 * CHOOSE(CONTROL!$C$15, $E$9, 100%, $G$9) + CHOOSE(CONTROL!$C$38, 0.0342, 0)</f>
        <v>63.479199999999999</v>
      </c>
      <c r="E947" s="46">
        <f>66.9089 * CHOOSE(CONTROL!$C$15, $E$9, 100%, $G$9) + CHOOSE(CONTROL!$C$38, 0.0342, 0)</f>
        <v>66.943100000000001</v>
      </c>
      <c r="F947" s="45">
        <f>66.9089 * CHOOSE(CONTROL!$C$15, $E$9, 100%, $G$9) + CHOOSE(CONTROL!$C$38, 0.0251, 0)</f>
        <v>66.933999999999997</v>
      </c>
      <c r="G947" s="14">
        <f>63.4512 * CHOOSE(CONTROL!$C$15, $E$9, 100%, $G$9) + CHOOSE(CONTROL!$C$38, 0.0342, 0)</f>
        <v>63.485399999999998</v>
      </c>
      <c r="H947" s="14">
        <f>63.4512 * CHOOSE(CONTROL!$C$15, $E$9, 100%, $G$9) + CHOOSE(CONTROL!$C$38, 0.0342, 0)</f>
        <v>63.485399999999998</v>
      </c>
      <c r="I947" s="14">
        <f>63.4528 * CHOOSE(CONTROL!$C$15, $E$9, 100%, $G$9) + CHOOSE(CONTROL!$C$38, 0.0342, 0)</f>
        <v>63.487000000000002</v>
      </c>
      <c r="J947" s="44">
        <f>654.0543</f>
        <v>654.05430000000001</v>
      </c>
    </row>
    <row r="948" spans="1:10" ht="15.75" x14ac:dyDescent="0.25">
      <c r="A948" s="32">
        <v>69794</v>
      </c>
      <c r="B948" s="14">
        <f>66.5605 * CHOOSE(CONTROL!$C$15, $E$9, 100%, $G$9) + CHOOSE(CONTROL!$C$38, 0.0251, 0)</f>
        <v>66.585599999999999</v>
      </c>
      <c r="C948" s="14">
        <f>62.9744 * CHOOSE(CONTROL!$C$15, $E$9, 100%, $G$9) + CHOOSE(CONTROL!$C$38, 0.0342, 0)</f>
        <v>63.008600000000001</v>
      </c>
      <c r="D948" s="14">
        <f>62.9666 * CHOOSE(CONTROL!$C$15, $E$9, 100%, $G$9) + CHOOSE(CONTROL!$C$38, 0.0342, 0)</f>
        <v>63.000799999999998</v>
      </c>
      <c r="E948" s="46">
        <f>66.4043 * CHOOSE(CONTROL!$C$15, $E$9, 100%, $G$9) + CHOOSE(CONTROL!$C$38, 0.0342, 0)</f>
        <v>66.438500000000005</v>
      </c>
      <c r="F948" s="45">
        <f>66.4043 * CHOOSE(CONTROL!$C$15, $E$9, 100%, $G$9) + CHOOSE(CONTROL!$C$38, 0.0251, 0)</f>
        <v>66.429400000000001</v>
      </c>
      <c r="G948" s="14">
        <f>62.9728 * CHOOSE(CONTROL!$C$15, $E$9, 100%, $G$9) + CHOOSE(CONTROL!$C$38, 0.0342, 0)</f>
        <v>63.006999999999998</v>
      </c>
      <c r="H948" s="14">
        <f>62.9728 * CHOOSE(CONTROL!$C$15, $E$9, 100%, $G$9) + CHOOSE(CONTROL!$C$38, 0.0342, 0)</f>
        <v>63.006999999999998</v>
      </c>
      <c r="I948" s="14">
        <f>62.9744 * CHOOSE(CONTROL!$C$15, $E$9, 100%, $G$9) + CHOOSE(CONTROL!$C$38, 0.0342, 0)</f>
        <v>63.008600000000001</v>
      </c>
      <c r="J948" s="44">
        <f>653.5821</f>
        <v>653.58209999999997</v>
      </c>
    </row>
    <row r="949" spans="1:10" ht="15.75" x14ac:dyDescent="0.25">
      <c r="A949" s="32">
        <v>69822</v>
      </c>
      <c r="B949" s="14">
        <f>66.3772 * CHOOSE(CONTROL!$C$15, $E$9, 100%, $G$9) + CHOOSE(CONTROL!$C$38, 0.0251, 0)</f>
        <v>66.402299999999997</v>
      </c>
      <c r="C949" s="14">
        <f>62.8006 * CHOOSE(CONTROL!$C$15, $E$9, 100%, $G$9) + CHOOSE(CONTROL!$C$38, 0.0342, 0)</f>
        <v>62.834800000000001</v>
      </c>
      <c r="D949" s="14">
        <f>62.7928 * CHOOSE(CONTROL!$C$15, $E$9, 100%, $G$9) + CHOOSE(CONTROL!$C$38, 0.0342, 0)</f>
        <v>62.826999999999998</v>
      </c>
      <c r="E949" s="46">
        <f>66.221 * CHOOSE(CONTROL!$C$15, $E$9, 100%, $G$9) + CHOOSE(CONTROL!$C$38, 0.0342, 0)</f>
        <v>66.255200000000002</v>
      </c>
      <c r="F949" s="45">
        <f>66.221 * CHOOSE(CONTROL!$C$15, $E$9, 100%, $G$9) + CHOOSE(CONTROL!$C$38, 0.0251, 0)</f>
        <v>66.246099999999998</v>
      </c>
      <c r="G949" s="14">
        <f>62.799 * CHOOSE(CONTROL!$C$15, $E$9, 100%, $G$9) + CHOOSE(CONTROL!$C$38, 0.0342, 0)</f>
        <v>62.833199999999998</v>
      </c>
      <c r="H949" s="14">
        <f>62.799 * CHOOSE(CONTROL!$C$15, $E$9, 100%, $G$9) + CHOOSE(CONTROL!$C$38, 0.0342, 0)</f>
        <v>62.833199999999998</v>
      </c>
      <c r="I949" s="14">
        <f>62.8006 * CHOOSE(CONTROL!$C$15, $E$9, 100%, $G$9) + CHOOSE(CONTROL!$C$38, 0.0342, 0)</f>
        <v>62.834800000000001</v>
      </c>
      <c r="J949" s="44">
        <f>651.7654</f>
        <v>651.7654</v>
      </c>
    </row>
    <row r="950" spans="1:10" ht="15.75" x14ac:dyDescent="0.25">
      <c r="A950" s="32">
        <v>69853</v>
      </c>
      <c r="B950" s="14">
        <f>69.8432 * CHOOSE(CONTROL!$C$15, $E$9, 100%, $G$9) + CHOOSE(CONTROL!$C$38, 0.0251, 0)</f>
        <v>69.868299999999991</v>
      </c>
      <c r="C950" s="14">
        <f>66.0863 * CHOOSE(CONTROL!$C$15, $E$9, 100%, $G$9) + CHOOSE(CONTROL!$C$38, 0.0342, 0)</f>
        <v>66.120499999999993</v>
      </c>
      <c r="D950" s="14">
        <f>66.0785 * CHOOSE(CONTROL!$C$15, $E$9, 100%, $G$9) + CHOOSE(CONTROL!$C$38, 0.0342, 0)</f>
        <v>66.112700000000004</v>
      </c>
      <c r="E950" s="46">
        <f>69.6869 * CHOOSE(CONTROL!$C$15, $E$9, 100%, $G$9) + CHOOSE(CONTROL!$C$38, 0.0342, 0)</f>
        <v>69.721099999999993</v>
      </c>
      <c r="F950" s="45">
        <f>69.6869 * CHOOSE(CONTROL!$C$15, $E$9, 100%, $G$9) + CHOOSE(CONTROL!$C$38, 0.0251, 0)</f>
        <v>69.711999999999989</v>
      </c>
      <c r="G950" s="14">
        <f>66.0847 * CHOOSE(CONTROL!$C$15, $E$9, 100%, $G$9) + CHOOSE(CONTROL!$C$38, 0.0342, 0)</f>
        <v>66.118899999999996</v>
      </c>
      <c r="H950" s="14">
        <f>66.0847 * CHOOSE(CONTROL!$C$15, $E$9, 100%, $G$9) + CHOOSE(CONTROL!$C$38, 0.0342, 0)</f>
        <v>66.118899999999996</v>
      </c>
      <c r="I950" s="14">
        <f>66.0863 * CHOOSE(CONTROL!$C$15, $E$9, 100%, $G$9) + CHOOSE(CONTROL!$C$38, 0.0342, 0)</f>
        <v>66.120499999999993</v>
      </c>
      <c r="J950" s="44">
        <f>686.1172</f>
        <v>686.11720000000003</v>
      </c>
    </row>
    <row r="951" spans="1:10" ht="15.75" x14ac:dyDescent="0.25">
      <c r="A951" s="32">
        <v>69883</v>
      </c>
      <c r="B951" s="14">
        <f>74.3377 * CHOOSE(CONTROL!$C$15, $E$9, 100%, $G$9) + CHOOSE(CONTROL!$C$38, 0.0251, 0)</f>
        <v>74.362799999999993</v>
      </c>
      <c r="C951" s="14">
        <f>70.347 * CHOOSE(CONTROL!$C$15, $E$9, 100%, $G$9) + CHOOSE(CONTROL!$C$38, 0.0342, 0)</f>
        <v>70.381199999999993</v>
      </c>
      <c r="D951" s="14">
        <f>70.3392 * CHOOSE(CONTROL!$C$15, $E$9, 100%, $G$9) + CHOOSE(CONTROL!$C$38, 0.0342, 0)</f>
        <v>70.373400000000004</v>
      </c>
      <c r="E951" s="46">
        <f>74.1814 * CHOOSE(CONTROL!$C$15, $E$9, 100%, $G$9) + CHOOSE(CONTROL!$C$38, 0.0342, 0)</f>
        <v>74.215599999999995</v>
      </c>
      <c r="F951" s="45">
        <f>74.1814 * CHOOSE(CONTROL!$C$15, $E$9, 100%, $G$9) + CHOOSE(CONTROL!$C$38, 0.0251, 0)</f>
        <v>74.206499999999991</v>
      </c>
      <c r="G951" s="14">
        <f>70.3454 * CHOOSE(CONTROL!$C$15, $E$9, 100%, $G$9) + CHOOSE(CONTROL!$C$38, 0.0342, 0)</f>
        <v>70.379599999999996</v>
      </c>
      <c r="H951" s="14">
        <f>70.3454 * CHOOSE(CONTROL!$C$15, $E$9, 100%, $G$9) + CHOOSE(CONTROL!$C$38, 0.0342, 0)</f>
        <v>70.379599999999996</v>
      </c>
      <c r="I951" s="14">
        <f>70.347 * CHOOSE(CONTROL!$C$15, $E$9, 100%, $G$9) + CHOOSE(CONTROL!$C$38, 0.0342, 0)</f>
        <v>70.381199999999993</v>
      </c>
      <c r="J951" s="44">
        <f>730.6632</f>
        <v>730.66319999999996</v>
      </c>
    </row>
    <row r="952" spans="1:10" ht="15.75" x14ac:dyDescent="0.25">
      <c r="A952" s="32">
        <v>69914</v>
      </c>
      <c r="B952" s="14">
        <f>76.8116 * CHOOSE(CONTROL!$C$15, $E$9, 100%, $G$9) + CHOOSE(CONTROL!$C$38, 0.0264, 0)</f>
        <v>76.837999999999994</v>
      </c>
      <c r="C952" s="14">
        <f>72.6922 * CHOOSE(CONTROL!$C$15, $E$9, 100%, $G$9) + CHOOSE(CONTROL!$C$38, 0.0354, 0)</f>
        <v>72.727599999999995</v>
      </c>
      <c r="D952" s="14">
        <f>72.6844 * CHOOSE(CONTROL!$C$15, $E$9, 100%, $G$9) + CHOOSE(CONTROL!$C$38, 0.0354, 0)</f>
        <v>72.719799999999992</v>
      </c>
      <c r="E952" s="46">
        <f>76.6553 * CHOOSE(CONTROL!$C$15, $E$9, 100%, $G$9) + CHOOSE(CONTROL!$C$38, 0.0354, 0)</f>
        <v>76.690699999999993</v>
      </c>
      <c r="F952" s="45">
        <f>76.6553 * CHOOSE(CONTROL!$C$15, $E$9, 100%, $G$9) + CHOOSE(CONTROL!$C$38, 0.0264, 0)</f>
        <v>76.681699999999992</v>
      </c>
      <c r="G952" s="14">
        <f>72.6907 * CHOOSE(CONTROL!$C$15, $E$9, 100%, $G$9) + CHOOSE(CONTROL!$C$38, 0.0354, 0)</f>
        <v>72.726100000000002</v>
      </c>
      <c r="H952" s="14">
        <f>72.6907 * CHOOSE(CONTROL!$C$15, $E$9, 100%, $G$9) + CHOOSE(CONTROL!$C$38, 0.0354, 0)</f>
        <v>72.726100000000002</v>
      </c>
      <c r="I952" s="14">
        <f>72.6922 * CHOOSE(CONTROL!$C$15, $E$9, 100%, $G$9) + CHOOSE(CONTROL!$C$38, 0.0354, 0)</f>
        <v>72.727599999999995</v>
      </c>
      <c r="J952" s="44">
        <f>755.1828</f>
        <v>755.18280000000004</v>
      </c>
    </row>
    <row r="953" spans="1:10" ht="15.75" x14ac:dyDescent="0.25">
      <c r="A953" s="32">
        <v>69944</v>
      </c>
      <c r="B953" s="14">
        <f>77.9095 * CHOOSE(CONTROL!$C$15, $E$9, 100%, $G$9) + CHOOSE(CONTROL!$C$38, 0.0264, 0)</f>
        <v>77.93589999999999</v>
      </c>
      <c r="C953" s="14">
        <f>73.733 * CHOOSE(CONTROL!$C$15, $E$9, 100%, $G$9) + CHOOSE(CONTROL!$C$38, 0.0354, 0)</f>
        <v>73.7684</v>
      </c>
      <c r="D953" s="14">
        <f>73.7252 * CHOOSE(CONTROL!$C$15, $E$9, 100%, $G$9) + CHOOSE(CONTROL!$C$38, 0.0354, 0)</f>
        <v>73.760599999999997</v>
      </c>
      <c r="E953" s="46">
        <f>77.7532 * CHOOSE(CONTROL!$C$15, $E$9, 100%, $G$9) + CHOOSE(CONTROL!$C$38, 0.0354, 0)</f>
        <v>77.788600000000002</v>
      </c>
      <c r="F953" s="45">
        <f>77.7532 * CHOOSE(CONTROL!$C$15, $E$9, 100%, $G$9) + CHOOSE(CONTROL!$C$38, 0.0264, 0)</f>
        <v>77.779600000000002</v>
      </c>
      <c r="G953" s="14">
        <f>73.7314 * CHOOSE(CONTROL!$C$15, $E$9, 100%, $G$9) + CHOOSE(CONTROL!$C$38, 0.0354, 0)</f>
        <v>73.766799999999989</v>
      </c>
      <c r="H953" s="14">
        <f>73.7314 * CHOOSE(CONTROL!$C$15, $E$9, 100%, $G$9) + CHOOSE(CONTROL!$C$38, 0.0354, 0)</f>
        <v>73.766799999999989</v>
      </c>
      <c r="I953" s="14">
        <f>73.733 * CHOOSE(CONTROL!$C$15, $E$9, 100%, $G$9) + CHOOSE(CONTROL!$C$38, 0.0354, 0)</f>
        <v>73.7684</v>
      </c>
      <c r="J953" s="44">
        <f>766.0642</f>
        <v>766.06420000000003</v>
      </c>
    </row>
    <row r="954" spans="1:10" ht="15.75" x14ac:dyDescent="0.25">
      <c r="A954" s="32">
        <v>69975</v>
      </c>
      <c r="B954" s="14">
        <f>77.548 * CHOOSE(CONTROL!$C$15, $E$9, 100%, $G$9) + CHOOSE(CONTROL!$C$38, 0.0264, 0)</f>
        <v>77.574399999999997</v>
      </c>
      <c r="C954" s="14">
        <f>73.3903 * CHOOSE(CONTROL!$C$15, $E$9, 100%, $G$9) + CHOOSE(CONTROL!$C$38, 0.0354, 0)</f>
        <v>73.425699999999992</v>
      </c>
      <c r="D954" s="14">
        <f>73.3825 * CHOOSE(CONTROL!$C$15, $E$9, 100%, $G$9) + CHOOSE(CONTROL!$C$38, 0.0354, 0)</f>
        <v>73.417899999999989</v>
      </c>
      <c r="E954" s="46">
        <f>77.3917 * CHOOSE(CONTROL!$C$15, $E$9, 100%, $G$9) + CHOOSE(CONTROL!$C$38, 0.0354, 0)</f>
        <v>77.427099999999996</v>
      </c>
      <c r="F954" s="45">
        <f>77.3917 * CHOOSE(CONTROL!$C$15, $E$9, 100%, $G$9) + CHOOSE(CONTROL!$C$38, 0.0264, 0)</f>
        <v>77.418099999999995</v>
      </c>
      <c r="G954" s="14">
        <f>73.3888 * CHOOSE(CONTROL!$C$15, $E$9, 100%, $G$9) + CHOOSE(CONTROL!$C$38, 0.0354, 0)</f>
        <v>73.424199999999999</v>
      </c>
      <c r="H954" s="14">
        <f>73.3888 * CHOOSE(CONTROL!$C$15, $E$9, 100%, $G$9) + CHOOSE(CONTROL!$C$38, 0.0354, 0)</f>
        <v>73.424199999999999</v>
      </c>
      <c r="I954" s="14">
        <f>73.3903 * CHOOSE(CONTROL!$C$15, $E$9, 100%, $G$9) + CHOOSE(CONTROL!$C$38, 0.0354, 0)</f>
        <v>73.425699999999992</v>
      </c>
      <c r="J954" s="44">
        <f>762.4816</f>
        <v>762.48159999999996</v>
      </c>
    </row>
    <row r="955" spans="1:10" ht="15.75" x14ac:dyDescent="0.25">
      <c r="A955" s="32">
        <v>70006</v>
      </c>
      <c r="B955" s="14">
        <f>75.7571 * CHOOSE(CONTROL!$C$15, $E$9, 100%, $G$9) + CHOOSE(CONTROL!$C$38, 0.0264, 0)</f>
        <v>75.783499999999989</v>
      </c>
      <c r="C955" s="14">
        <f>71.6926 * CHOOSE(CONTROL!$C$15, $E$9, 100%, $G$9) + CHOOSE(CONTROL!$C$38, 0.0354, 0)</f>
        <v>71.727999999999994</v>
      </c>
      <c r="D955" s="14">
        <f>71.6847 * CHOOSE(CONTROL!$C$15, $E$9, 100%, $G$9) + CHOOSE(CONTROL!$C$38, 0.0354, 0)</f>
        <v>71.720100000000002</v>
      </c>
      <c r="E955" s="46">
        <f>75.6008 * CHOOSE(CONTROL!$C$15, $E$9, 100%, $G$9) + CHOOSE(CONTROL!$C$38, 0.0354, 0)</f>
        <v>75.636200000000002</v>
      </c>
      <c r="F955" s="45">
        <f>75.6008 * CHOOSE(CONTROL!$C$15, $E$9, 100%, $G$9) + CHOOSE(CONTROL!$C$38, 0.0264, 0)</f>
        <v>75.627200000000002</v>
      </c>
      <c r="G955" s="14">
        <f>71.691 * CHOOSE(CONTROL!$C$15, $E$9, 100%, $G$9) + CHOOSE(CONTROL!$C$38, 0.0354, 0)</f>
        <v>71.726399999999998</v>
      </c>
      <c r="H955" s="14">
        <f>71.691 * CHOOSE(CONTROL!$C$15, $E$9, 100%, $G$9) + CHOOSE(CONTROL!$C$38, 0.0354, 0)</f>
        <v>71.726399999999998</v>
      </c>
      <c r="I955" s="14">
        <f>71.6926 * CHOOSE(CONTROL!$C$15, $E$9, 100%, $G$9) + CHOOSE(CONTROL!$C$38, 0.0354, 0)</f>
        <v>71.727999999999994</v>
      </c>
      <c r="J955" s="44">
        <f>744.7313</f>
        <v>744.73130000000003</v>
      </c>
    </row>
    <row r="956" spans="1:10" ht="15.75" x14ac:dyDescent="0.25">
      <c r="A956" s="32">
        <v>70036</v>
      </c>
      <c r="B956" s="14">
        <f>73.2595 * CHOOSE(CONTROL!$C$15, $E$9, 100%, $G$9) + CHOOSE(CONTROL!$C$38, 0.0264, 0)</f>
        <v>73.285899999999998</v>
      </c>
      <c r="C956" s="14">
        <f>69.3249 * CHOOSE(CONTROL!$C$15, $E$9, 100%, $G$9) + CHOOSE(CONTROL!$C$38, 0.0354, 0)</f>
        <v>69.360299999999995</v>
      </c>
      <c r="D956" s="14">
        <f>69.3171 * CHOOSE(CONTROL!$C$15, $E$9, 100%, $G$9) + CHOOSE(CONTROL!$C$38, 0.0354, 0)</f>
        <v>69.352499999999992</v>
      </c>
      <c r="E956" s="46">
        <f>73.1033 * CHOOSE(CONTROL!$C$15, $E$9, 100%, $G$9) + CHOOSE(CONTROL!$C$38, 0.0354, 0)</f>
        <v>73.1387</v>
      </c>
      <c r="F956" s="45">
        <f>73.1033 * CHOOSE(CONTROL!$C$15, $E$9, 100%, $G$9) + CHOOSE(CONTROL!$C$38, 0.0264, 0)</f>
        <v>73.1297</v>
      </c>
      <c r="G956" s="14">
        <f>69.3234 * CHOOSE(CONTROL!$C$15, $E$9, 100%, $G$9) + CHOOSE(CONTROL!$C$38, 0.0354, 0)</f>
        <v>69.358800000000002</v>
      </c>
      <c r="H956" s="14">
        <f>69.3234 * CHOOSE(CONTROL!$C$15, $E$9, 100%, $G$9) + CHOOSE(CONTROL!$C$38, 0.0354, 0)</f>
        <v>69.358800000000002</v>
      </c>
      <c r="I956" s="14">
        <f>69.3249 * CHOOSE(CONTROL!$C$15, $E$9, 100%, $G$9) + CHOOSE(CONTROL!$C$38, 0.0354, 0)</f>
        <v>69.360299999999995</v>
      </c>
      <c r="J956" s="44">
        <f>719.9777</f>
        <v>719.97770000000003</v>
      </c>
    </row>
    <row r="957" spans="1:10" ht="15.75" x14ac:dyDescent="0.25">
      <c r="A957" s="32">
        <v>70067</v>
      </c>
      <c r="B957" s="14">
        <f>70.7475 * CHOOSE(CONTROL!$C$15, $E$9, 100%, $G$9) + CHOOSE(CONTROL!$C$38, 0.0251, 0)</f>
        <v>70.772599999999997</v>
      </c>
      <c r="C957" s="14">
        <f>66.9436 * CHOOSE(CONTROL!$C$15, $E$9, 100%, $G$9) + CHOOSE(CONTROL!$C$38, 0.0342, 0)</f>
        <v>66.977800000000002</v>
      </c>
      <c r="D957" s="14">
        <f>66.9357 * CHOOSE(CONTROL!$C$15, $E$9, 100%, $G$9) + CHOOSE(CONTROL!$C$38, 0.0342, 0)</f>
        <v>66.969899999999996</v>
      </c>
      <c r="E957" s="46">
        <f>70.5912 * CHOOSE(CONTROL!$C$15, $E$9, 100%, $G$9) + CHOOSE(CONTROL!$C$38, 0.0342, 0)</f>
        <v>70.625399999999999</v>
      </c>
      <c r="F957" s="45">
        <f>70.5912 * CHOOSE(CONTROL!$C$15, $E$9, 100%, $G$9) + CHOOSE(CONTROL!$C$38, 0.0251, 0)</f>
        <v>70.616299999999995</v>
      </c>
      <c r="G957" s="14">
        <f>66.942 * CHOOSE(CONTROL!$C$15, $E$9, 100%, $G$9) + CHOOSE(CONTROL!$C$38, 0.0342, 0)</f>
        <v>66.976199999999992</v>
      </c>
      <c r="H957" s="14">
        <f>66.942 * CHOOSE(CONTROL!$C$15, $E$9, 100%, $G$9) + CHOOSE(CONTROL!$C$38, 0.0342, 0)</f>
        <v>66.976199999999992</v>
      </c>
      <c r="I957" s="14">
        <f>66.9436 * CHOOSE(CONTROL!$C$15, $E$9, 100%, $G$9) + CHOOSE(CONTROL!$C$38, 0.0342, 0)</f>
        <v>66.977800000000002</v>
      </c>
      <c r="J957" s="44">
        <f>695.0802</f>
        <v>695.08019999999999</v>
      </c>
    </row>
    <row r="958" spans="1:10" ht="15.75" x14ac:dyDescent="0.25">
      <c r="A958" s="32">
        <v>70097</v>
      </c>
      <c r="B958" s="14">
        <f>70.2478 * CHOOSE(CONTROL!$C$15, $E$9, 100%, $G$9) + CHOOSE(CONTROL!$C$38, 0.0251, 0)</f>
        <v>70.272899999999993</v>
      </c>
      <c r="C958" s="14">
        <f>66.4698 * CHOOSE(CONTROL!$C$15, $E$9, 100%, $G$9) + CHOOSE(CONTROL!$C$38, 0.0342, 0)</f>
        <v>66.504000000000005</v>
      </c>
      <c r="D958" s="14">
        <f>66.462 * CHOOSE(CONTROL!$C$15, $E$9, 100%, $G$9) + CHOOSE(CONTROL!$C$38, 0.0342, 0)</f>
        <v>66.496200000000002</v>
      </c>
      <c r="E958" s="46">
        <f>70.0916 * CHOOSE(CONTROL!$C$15, $E$9, 100%, $G$9) + CHOOSE(CONTROL!$C$38, 0.0342, 0)</f>
        <v>70.125799999999998</v>
      </c>
      <c r="F958" s="45">
        <f>70.0916 * CHOOSE(CONTROL!$C$15, $E$9, 100%, $G$9) + CHOOSE(CONTROL!$C$38, 0.0251, 0)</f>
        <v>70.116699999999994</v>
      </c>
      <c r="G958" s="14">
        <f>66.4683 * CHOOSE(CONTROL!$C$15, $E$9, 100%, $G$9) + CHOOSE(CONTROL!$C$38, 0.0342, 0)</f>
        <v>66.502499999999998</v>
      </c>
      <c r="H958" s="14">
        <f>66.4683 * CHOOSE(CONTROL!$C$15, $E$9, 100%, $G$9) + CHOOSE(CONTROL!$C$38, 0.0342, 0)</f>
        <v>66.502499999999998</v>
      </c>
      <c r="I958" s="14">
        <f>66.4698 * CHOOSE(CONTROL!$C$15, $E$9, 100%, $G$9) + CHOOSE(CONTROL!$C$38, 0.0342, 0)</f>
        <v>66.504000000000005</v>
      </c>
      <c r="J958" s="44">
        <f>690.1275</f>
        <v>690.12750000000005</v>
      </c>
    </row>
    <row r="959" spans="1:10" ht="15.75" x14ac:dyDescent="0.25">
      <c r="A959" s="32">
        <v>70128</v>
      </c>
      <c r="B959" s="14">
        <f>68.1815 * CHOOSE(CONTROL!$C$15, $E$9, 100%, $G$9) + CHOOSE(CONTROL!$C$38, 0.0251, 0)</f>
        <v>68.206599999999995</v>
      </c>
      <c r="C959" s="14">
        <f>64.511 * CHOOSE(CONTROL!$C$15, $E$9, 100%, $G$9) + CHOOSE(CONTROL!$C$38, 0.0342, 0)</f>
        <v>64.545199999999994</v>
      </c>
      <c r="D959" s="14">
        <f>64.5032 * CHOOSE(CONTROL!$C$15, $E$9, 100%, $G$9) + CHOOSE(CONTROL!$C$38, 0.0342, 0)</f>
        <v>64.537400000000005</v>
      </c>
      <c r="E959" s="46">
        <f>68.0253 * CHOOSE(CONTROL!$C$15, $E$9, 100%, $G$9) + CHOOSE(CONTROL!$C$38, 0.0342, 0)</f>
        <v>68.0595</v>
      </c>
      <c r="F959" s="45">
        <f>68.0253 * CHOOSE(CONTROL!$C$15, $E$9, 100%, $G$9) + CHOOSE(CONTROL!$C$38, 0.0251, 0)</f>
        <v>68.050399999999996</v>
      </c>
      <c r="G959" s="14">
        <f>64.5095 * CHOOSE(CONTROL!$C$15, $E$9, 100%, $G$9) + CHOOSE(CONTROL!$C$38, 0.0342, 0)</f>
        <v>64.543700000000001</v>
      </c>
      <c r="H959" s="14">
        <f>64.5095 * CHOOSE(CONTROL!$C$15, $E$9, 100%, $G$9) + CHOOSE(CONTROL!$C$38, 0.0342, 0)</f>
        <v>64.543700000000001</v>
      </c>
      <c r="I959" s="14">
        <f>64.511 * CHOOSE(CONTROL!$C$15, $E$9, 100%, $G$9) + CHOOSE(CONTROL!$C$38, 0.0342, 0)</f>
        <v>64.545199999999994</v>
      </c>
      <c r="J959" s="44">
        <f>669.6479</f>
        <v>669.64790000000005</v>
      </c>
    </row>
    <row r="960" spans="1:10" ht="15.75" x14ac:dyDescent="0.25">
      <c r="A960" s="32">
        <v>70159</v>
      </c>
      <c r="B960" s="14">
        <f>67.6684 * CHOOSE(CONTROL!$C$15, $E$9, 100%, $G$9) + CHOOSE(CONTROL!$C$38, 0.0251, 0)</f>
        <v>67.6935</v>
      </c>
      <c r="C960" s="14">
        <f>64.0246 * CHOOSE(CONTROL!$C$15, $E$9, 100%, $G$9) + CHOOSE(CONTROL!$C$38, 0.0342, 0)</f>
        <v>64.058800000000005</v>
      </c>
      <c r="D960" s="14">
        <f>64.0168 * CHOOSE(CONTROL!$C$15, $E$9, 100%, $G$9) + CHOOSE(CONTROL!$C$38, 0.0342, 0)</f>
        <v>64.051000000000002</v>
      </c>
      <c r="E960" s="46">
        <f>67.5121 * CHOOSE(CONTROL!$C$15, $E$9, 100%, $G$9) + CHOOSE(CONTROL!$C$38, 0.0342, 0)</f>
        <v>67.546300000000002</v>
      </c>
      <c r="F960" s="45">
        <f>67.5121 * CHOOSE(CONTROL!$C$15, $E$9, 100%, $G$9) + CHOOSE(CONTROL!$C$38, 0.0251, 0)</f>
        <v>67.537199999999999</v>
      </c>
      <c r="G960" s="14">
        <f>64.023 * CHOOSE(CONTROL!$C$15, $E$9, 100%, $G$9) + CHOOSE(CONTROL!$C$38, 0.0342, 0)</f>
        <v>64.057199999999995</v>
      </c>
      <c r="H960" s="14">
        <f>64.023 * CHOOSE(CONTROL!$C$15, $E$9, 100%, $G$9) + CHOOSE(CONTROL!$C$38, 0.0342, 0)</f>
        <v>64.057199999999995</v>
      </c>
      <c r="I960" s="14">
        <f>64.0246 * CHOOSE(CONTROL!$C$15, $E$9, 100%, $G$9) + CHOOSE(CONTROL!$C$38, 0.0342, 0)</f>
        <v>64.058800000000005</v>
      </c>
      <c r="J960" s="44">
        <f>669.1645</f>
        <v>669.16449999999998</v>
      </c>
    </row>
    <row r="961" spans="1:10" ht="15.75" x14ac:dyDescent="0.25">
      <c r="A961" s="32">
        <v>70188</v>
      </c>
      <c r="B961" s="14">
        <f>67.482 * CHOOSE(CONTROL!$C$15, $E$9, 100%, $G$9) + CHOOSE(CONTROL!$C$38, 0.0251, 0)</f>
        <v>67.507099999999994</v>
      </c>
      <c r="C961" s="14">
        <f>63.8479 * CHOOSE(CONTROL!$C$15, $E$9, 100%, $G$9) + CHOOSE(CONTROL!$C$38, 0.0342, 0)</f>
        <v>63.882100000000001</v>
      </c>
      <c r="D961" s="14">
        <f>63.8401 * CHOOSE(CONTROL!$C$15, $E$9, 100%, $G$9) + CHOOSE(CONTROL!$C$38, 0.0342, 0)</f>
        <v>63.874299999999998</v>
      </c>
      <c r="E961" s="46">
        <f>67.3257 * CHOOSE(CONTROL!$C$15, $E$9, 100%, $G$9) + CHOOSE(CONTROL!$C$38, 0.0342, 0)</f>
        <v>67.359899999999996</v>
      </c>
      <c r="F961" s="45">
        <f>67.3257 * CHOOSE(CONTROL!$C$15, $E$9, 100%, $G$9) + CHOOSE(CONTROL!$C$38, 0.0251, 0)</f>
        <v>67.350799999999992</v>
      </c>
      <c r="G961" s="14">
        <f>63.8463 * CHOOSE(CONTROL!$C$15, $E$9, 100%, $G$9) + CHOOSE(CONTROL!$C$38, 0.0342, 0)</f>
        <v>63.880499999999998</v>
      </c>
      <c r="H961" s="14">
        <f>63.8463 * CHOOSE(CONTROL!$C$15, $E$9, 100%, $G$9) + CHOOSE(CONTROL!$C$38, 0.0342, 0)</f>
        <v>63.880499999999998</v>
      </c>
      <c r="I961" s="14">
        <f>63.8479 * CHOOSE(CONTROL!$C$15, $E$9, 100%, $G$9) + CHOOSE(CONTROL!$C$38, 0.0342, 0)</f>
        <v>63.882100000000001</v>
      </c>
      <c r="J961" s="44">
        <f>667.3044</f>
        <v>667.30439999999999</v>
      </c>
    </row>
    <row r="962" spans="1:10" ht="15.75" x14ac:dyDescent="0.25">
      <c r="A962" s="32">
        <v>70219</v>
      </c>
      <c r="B962" s="14">
        <f>71.0062 * CHOOSE(CONTROL!$C$15, $E$9, 100%, $G$9) + CHOOSE(CONTROL!$C$38, 0.0251, 0)</f>
        <v>71.031300000000002</v>
      </c>
      <c r="C962" s="14">
        <f>67.1888 * CHOOSE(CONTROL!$C$15, $E$9, 100%, $G$9) + CHOOSE(CONTROL!$C$38, 0.0342, 0)</f>
        <v>67.222999999999999</v>
      </c>
      <c r="D962" s="14">
        <f>67.1809 * CHOOSE(CONTROL!$C$15, $E$9, 100%, $G$9) + CHOOSE(CONTROL!$C$38, 0.0342, 0)</f>
        <v>67.215099999999993</v>
      </c>
      <c r="E962" s="46">
        <f>70.8499 * CHOOSE(CONTROL!$C$15, $E$9, 100%, $G$9) + CHOOSE(CONTROL!$C$38, 0.0342, 0)</f>
        <v>70.884100000000004</v>
      </c>
      <c r="F962" s="45">
        <f>70.8499 * CHOOSE(CONTROL!$C$15, $E$9, 100%, $G$9) + CHOOSE(CONTROL!$C$38, 0.0251, 0)</f>
        <v>70.875</v>
      </c>
      <c r="G962" s="14">
        <f>67.1872 * CHOOSE(CONTROL!$C$15, $E$9, 100%, $G$9) + CHOOSE(CONTROL!$C$38, 0.0342, 0)</f>
        <v>67.221400000000003</v>
      </c>
      <c r="H962" s="14">
        <f>67.1872 * CHOOSE(CONTROL!$C$15, $E$9, 100%, $G$9) + CHOOSE(CONTROL!$C$38, 0.0342, 0)</f>
        <v>67.221400000000003</v>
      </c>
      <c r="I962" s="14">
        <f>67.1888 * CHOOSE(CONTROL!$C$15, $E$9, 100%, $G$9) + CHOOSE(CONTROL!$C$38, 0.0342, 0)</f>
        <v>67.222999999999999</v>
      </c>
      <c r="J962" s="44">
        <f>702.4752</f>
        <v>702.47519999999997</v>
      </c>
    </row>
    <row r="963" spans="1:10" ht="15.75" x14ac:dyDescent="0.25">
      <c r="A963" s="32">
        <v>70249</v>
      </c>
      <c r="B963" s="14">
        <f>75.5761 * CHOOSE(CONTROL!$C$15, $E$9, 100%, $G$9) + CHOOSE(CONTROL!$C$38, 0.0251, 0)</f>
        <v>75.601199999999992</v>
      </c>
      <c r="C963" s="14">
        <f>71.521 * CHOOSE(CONTROL!$C$15, $E$9, 100%, $G$9) + CHOOSE(CONTROL!$C$38, 0.0342, 0)</f>
        <v>71.555199999999999</v>
      </c>
      <c r="D963" s="14">
        <f>71.5132 * CHOOSE(CONTROL!$C$15, $E$9, 100%, $G$9) + CHOOSE(CONTROL!$C$38, 0.0342, 0)</f>
        <v>71.547399999999996</v>
      </c>
      <c r="E963" s="46">
        <f>75.4199 * CHOOSE(CONTROL!$C$15, $E$9, 100%, $G$9) + CHOOSE(CONTROL!$C$38, 0.0342, 0)</f>
        <v>75.454099999999997</v>
      </c>
      <c r="F963" s="45">
        <f>75.4199 * CHOOSE(CONTROL!$C$15, $E$9, 100%, $G$9) + CHOOSE(CONTROL!$C$38, 0.0251, 0)</f>
        <v>75.444999999999993</v>
      </c>
      <c r="G963" s="14">
        <f>71.5195 * CHOOSE(CONTROL!$C$15, $E$9, 100%, $G$9) + CHOOSE(CONTROL!$C$38, 0.0342, 0)</f>
        <v>71.553699999999992</v>
      </c>
      <c r="H963" s="14">
        <f>71.5195 * CHOOSE(CONTROL!$C$15, $E$9, 100%, $G$9) + CHOOSE(CONTROL!$C$38, 0.0342, 0)</f>
        <v>71.553699999999992</v>
      </c>
      <c r="I963" s="14">
        <f>71.521 * CHOOSE(CONTROL!$C$15, $E$9, 100%, $G$9) + CHOOSE(CONTROL!$C$38, 0.0342, 0)</f>
        <v>71.555199999999999</v>
      </c>
      <c r="J963" s="44">
        <f>748.0833</f>
        <v>748.08330000000001</v>
      </c>
    </row>
    <row r="964" spans="1:10" ht="15.75" x14ac:dyDescent="0.25">
      <c r="A964" s="32">
        <v>70280</v>
      </c>
      <c r="B964" s="14">
        <f>78.0916 * CHOOSE(CONTROL!$C$15, $E$9, 100%, $G$9) + CHOOSE(CONTROL!$C$38, 0.0264, 0)</f>
        <v>78.117999999999995</v>
      </c>
      <c r="C964" s="14">
        <f>73.9057 * CHOOSE(CONTROL!$C$15, $E$9, 100%, $G$9) + CHOOSE(CONTROL!$C$38, 0.0354, 0)</f>
        <v>73.941099999999992</v>
      </c>
      <c r="D964" s="14">
        <f>73.8979 * CHOOSE(CONTROL!$C$15, $E$9, 100%, $G$9) + CHOOSE(CONTROL!$C$38, 0.0354, 0)</f>
        <v>73.933300000000003</v>
      </c>
      <c r="E964" s="46">
        <f>77.9354 * CHOOSE(CONTROL!$C$15, $E$9, 100%, $G$9) + CHOOSE(CONTROL!$C$38, 0.0354, 0)</f>
        <v>77.970799999999997</v>
      </c>
      <c r="F964" s="45">
        <f>77.9354 * CHOOSE(CONTROL!$C$15, $E$9, 100%, $G$9) + CHOOSE(CONTROL!$C$38, 0.0264, 0)</f>
        <v>77.961799999999997</v>
      </c>
      <c r="G964" s="14">
        <f>73.9041 * CHOOSE(CONTROL!$C$15, $E$9, 100%, $G$9) + CHOOSE(CONTROL!$C$38, 0.0354, 0)</f>
        <v>73.939499999999995</v>
      </c>
      <c r="H964" s="14">
        <f>73.9041 * CHOOSE(CONTROL!$C$15, $E$9, 100%, $G$9) + CHOOSE(CONTROL!$C$38, 0.0354, 0)</f>
        <v>73.939499999999995</v>
      </c>
      <c r="I964" s="14">
        <f>73.9057 * CHOOSE(CONTROL!$C$15, $E$9, 100%, $G$9) + CHOOSE(CONTROL!$C$38, 0.0354, 0)</f>
        <v>73.941099999999992</v>
      </c>
      <c r="J964" s="44">
        <f>773.1875</f>
        <v>773.1875</v>
      </c>
    </row>
    <row r="965" spans="1:10" ht="15.75" x14ac:dyDescent="0.25">
      <c r="A965" s="32">
        <v>70310</v>
      </c>
      <c r="B965" s="14">
        <f>79.2079 * CHOOSE(CONTROL!$C$15, $E$9, 100%, $G$9) + CHOOSE(CONTROL!$C$38, 0.0264, 0)</f>
        <v>79.23429999999999</v>
      </c>
      <c r="C965" s="14">
        <f>74.9639 * CHOOSE(CONTROL!$C$15, $E$9, 100%, $G$9) + CHOOSE(CONTROL!$C$38, 0.0354, 0)</f>
        <v>74.999299999999991</v>
      </c>
      <c r="D965" s="14">
        <f>74.9561 * CHOOSE(CONTROL!$C$15, $E$9, 100%, $G$9) + CHOOSE(CONTROL!$C$38, 0.0354, 0)</f>
        <v>74.991500000000002</v>
      </c>
      <c r="E965" s="46">
        <f>79.0517 * CHOOSE(CONTROL!$C$15, $E$9, 100%, $G$9) + CHOOSE(CONTROL!$C$38, 0.0354, 0)</f>
        <v>79.087099999999992</v>
      </c>
      <c r="F965" s="45">
        <f>79.0517 * CHOOSE(CONTROL!$C$15, $E$9, 100%, $G$9) + CHOOSE(CONTROL!$C$38, 0.0264, 0)</f>
        <v>79.078099999999992</v>
      </c>
      <c r="G965" s="14">
        <f>74.9624 * CHOOSE(CONTROL!$C$15, $E$9, 100%, $G$9) + CHOOSE(CONTROL!$C$38, 0.0354, 0)</f>
        <v>74.997799999999998</v>
      </c>
      <c r="H965" s="14">
        <f>74.9624 * CHOOSE(CONTROL!$C$15, $E$9, 100%, $G$9) + CHOOSE(CONTROL!$C$38, 0.0354, 0)</f>
        <v>74.997799999999998</v>
      </c>
      <c r="I965" s="14">
        <f>74.9639 * CHOOSE(CONTROL!$C$15, $E$9, 100%, $G$9) + CHOOSE(CONTROL!$C$38, 0.0354, 0)</f>
        <v>74.999299999999991</v>
      </c>
      <c r="J965" s="44">
        <f>784.3283</f>
        <v>784.32830000000001</v>
      </c>
    </row>
    <row r="966" spans="1:10" ht="15.75" x14ac:dyDescent="0.25">
      <c r="A966" s="32">
        <v>70341</v>
      </c>
      <c r="B966" s="14">
        <f>78.8404 * CHOOSE(CONTROL!$C$15, $E$9, 100%, $G$9) + CHOOSE(CONTROL!$C$38, 0.0264, 0)</f>
        <v>78.866799999999998</v>
      </c>
      <c r="C966" s="14">
        <f>74.6155 * CHOOSE(CONTROL!$C$15, $E$9, 100%, $G$9) + CHOOSE(CONTROL!$C$38, 0.0354, 0)</f>
        <v>74.650899999999993</v>
      </c>
      <c r="D966" s="14">
        <f>74.6077 * CHOOSE(CONTROL!$C$15, $E$9, 100%, $G$9) + CHOOSE(CONTROL!$C$38, 0.0354, 0)</f>
        <v>74.64309999999999</v>
      </c>
      <c r="E966" s="46">
        <f>78.6841 * CHOOSE(CONTROL!$C$15, $E$9, 100%, $G$9) + CHOOSE(CONTROL!$C$38, 0.0354, 0)</f>
        <v>78.719499999999996</v>
      </c>
      <c r="F966" s="45">
        <f>78.6841 * CHOOSE(CONTROL!$C$15, $E$9, 100%, $G$9) + CHOOSE(CONTROL!$C$38, 0.0264, 0)</f>
        <v>78.710499999999996</v>
      </c>
      <c r="G966" s="14">
        <f>74.614 * CHOOSE(CONTROL!$C$15, $E$9, 100%, $G$9) + CHOOSE(CONTROL!$C$38, 0.0354, 0)</f>
        <v>74.6494</v>
      </c>
      <c r="H966" s="14">
        <f>74.614 * CHOOSE(CONTROL!$C$15, $E$9, 100%, $G$9) + CHOOSE(CONTROL!$C$38, 0.0354, 0)</f>
        <v>74.6494</v>
      </c>
      <c r="I966" s="14">
        <f>74.6155 * CHOOSE(CONTROL!$C$15, $E$9, 100%, $G$9) + CHOOSE(CONTROL!$C$38, 0.0354, 0)</f>
        <v>74.650899999999993</v>
      </c>
      <c r="J966" s="44">
        <f>780.6603</f>
        <v>780.66030000000001</v>
      </c>
    </row>
    <row r="967" spans="1:10" ht="15.75" x14ac:dyDescent="0.25">
      <c r="A967" s="32">
        <v>70372</v>
      </c>
      <c r="B967" s="14">
        <f>77.0194 * CHOOSE(CONTROL!$C$15, $E$9, 100%, $G$9) + CHOOSE(CONTROL!$C$38, 0.0264, 0)</f>
        <v>77.0458</v>
      </c>
      <c r="C967" s="14">
        <f>72.8892 * CHOOSE(CONTROL!$C$15, $E$9, 100%, $G$9) + CHOOSE(CONTROL!$C$38, 0.0354, 0)</f>
        <v>72.924599999999998</v>
      </c>
      <c r="D967" s="14">
        <f>72.8814 * CHOOSE(CONTROL!$C$15, $E$9, 100%, $G$9) + CHOOSE(CONTROL!$C$38, 0.0354, 0)</f>
        <v>72.916799999999995</v>
      </c>
      <c r="E967" s="46">
        <f>76.8631 * CHOOSE(CONTROL!$C$15, $E$9, 100%, $G$9) + CHOOSE(CONTROL!$C$38, 0.0354, 0)</f>
        <v>76.898499999999999</v>
      </c>
      <c r="F967" s="45">
        <f>76.8631 * CHOOSE(CONTROL!$C$15, $E$9, 100%, $G$9) + CHOOSE(CONTROL!$C$38, 0.0264, 0)</f>
        <v>76.889499999999998</v>
      </c>
      <c r="G967" s="14">
        <f>72.8877 * CHOOSE(CONTROL!$C$15, $E$9, 100%, $G$9) + CHOOSE(CONTROL!$C$38, 0.0354, 0)</f>
        <v>72.923099999999991</v>
      </c>
      <c r="H967" s="14">
        <f>72.8877 * CHOOSE(CONTROL!$C$15, $E$9, 100%, $G$9) + CHOOSE(CONTROL!$C$38, 0.0354, 0)</f>
        <v>72.923099999999991</v>
      </c>
      <c r="I967" s="14">
        <f>72.8892 * CHOOSE(CONTROL!$C$15, $E$9, 100%, $G$9) + CHOOSE(CONTROL!$C$38, 0.0354, 0)</f>
        <v>72.924599999999998</v>
      </c>
      <c r="J967" s="44">
        <f>762.4868</f>
        <v>762.48680000000002</v>
      </c>
    </row>
    <row r="968" spans="1:10" ht="15.75" x14ac:dyDescent="0.25">
      <c r="A968" s="32">
        <v>70402</v>
      </c>
      <c r="B968" s="14">
        <f>74.4799 * CHOOSE(CONTROL!$C$15, $E$9, 100%, $G$9) + CHOOSE(CONTROL!$C$38, 0.0264, 0)</f>
        <v>74.506299999999996</v>
      </c>
      <c r="C968" s="14">
        <f>70.4818 * CHOOSE(CONTROL!$C$15, $E$9, 100%, $G$9) + CHOOSE(CONTROL!$C$38, 0.0354, 0)</f>
        <v>70.517200000000003</v>
      </c>
      <c r="D968" s="14">
        <f>70.474 * CHOOSE(CONTROL!$C$15, $E$9, 100%, $G$9) + CHOOSE(CONTROL!$C$38, 0.0354, 0)</f>
        <v>70.509399999999999</v>
      </c>
      <c r="E968" s="46">
        <f>74.3237 * CHOOSE(CONTROL!$C$15, $E$9, 100%, $G$9) + CHOOSE(CONTROL!$C$38, 0.0354, 0)</f>
        <v>74.359099999999998</v>
      </c>
      <c r="F968" s="45">
        <f>74.3237 * CHOOSE(CONTROL!$C$15, $E$9, 100%, $G$9) + CHOOSE(CONTROL!$C$38, 0.0264, 0)</f>
        <v>74.350099999999998</v>
      </c>
      <c r="G968" s="14">
        <f>70.4803 * CHOOSE(CONTROL!$C$15, $E$9, 100%, $G$9) + CHOOSE(CONTROL!$C$38, 0.0354, 0)</f>
        <v>70.515699999999995</v>
      </c>
      <c r="H968" s="14">
        <f>70.4803 * CHOOSE(CONTROL!$C$15, $E$9, 100%, $G$9) + CHOOSE(CONTROL!$C$38, 0.0354, 0)</f>
        <v>70.515699999999995</v>
      </c>
      <c r="I968" s="14">
        <f>70.4818 * CHOOSE(CONTROL!$C$15, $E$9, 100%, $G$9) + CHOOSE(CONTROL!$C$38, 0.0354, 0)</f>
        <v>70.517200000000003</v>
      </c>
      <c r="J968" s="44">
        <f>737.1431</f>
        <v>737.1431</v>
      </c>
    </row>
    <row r="969" spans="1:10" ht="15.75" x14ac:dyDescent="0.25">
      <c r="A969" s="32">
        <v>70433</v>
      </c>
      <c r="B969" s="14">
        <f>71.9257 * CHOOSE(CONTROL!$C$15, $E$9, 100%, $G$9) + CHOOSE(CONTROL!$C$38, 0.0251, 0)</f>
        <v>71.950800000000001</v>
      </c>
      <c r="C969" s="14">
        <f>68.0604 * CHOOSE(CONTROL!$C$15, $E$9, 100%, $G$9) + CHOOSE(CONTROL!$C$38, 0.0342, 0)</f>
        <v>68.0946</v>
      </c>
      <c r="D969" s="14">
        <f>68.0526 * CHOOSE(CONTROL!$C$15, $E$9, 100%, $G$9) + CHOOSE(CONTROL!$C$38, 0.0342, 0)</f>
        <v>68.086799999999997</v>
      </c>
      <c r="E969" s="46">
        <f>71.7694 * CHOOSE(CONTROL!$C$15, $E$9, 100%, $G$9) + CHOOSE(CONTROL!$C$38, 0.0342, 0)</f>
        <v>71.803600000000003</v>
      </c>
      <c r="F969" s="45">
        <f>71.7694 * CHOOSE(CONTROL!$C$15, $E$9, 100%, $G$9) + CHOOSE(CONTROL!$C$38, 0.0251, 0)</f>
        <v>71.794499999999999</v>
      </c>
      <c r="G969" s="14">
        <f>68.0589 * CHOOSE(CONTROL!$C$15, $E$9, 100%, $G$9) + CHOOSE(CONTROL!$C$38, 0.0342, 0)</f>
        <v>68.093099999999993</v>
      </c>
      <c r="H969" s="14">
        <f>68.0589 * CHOOSE(CONTROL!$C$15, $E$9, 100%, $G$9) + CHOOSE(CONTROL!$C$38, 0.0342, 0)</f>
        <v>68.093099999999993</v>
      </c>
      <c r="I969" s="14">
        <f>68.0604 * CHOOSE(CONTROL!$C$15, $E$9, 100%, $G$9) + CHOOSE(CONTROL!$C$38, 0.0342, 0)</f>
        <v>68.0946</v>
      </c>
      <c r="J969" s="44">
        <f>711.6519</f>
        <v>711.65189999999996</v>
      </c>
    </row>
    <row r="970" spans="1:10" ht="15.75" x14ac:dyDescent="0.25">
      <c r="A970" s="32">
        <v>70463</v>
      </c>
      <c r="B970" s="14">
        <f>71.4176 * CHOOSE(CONTROL!$C$15, $E$9, 100%, $G$9) + CHOOSE(CONTROL!$C$38, 0.0251, 0)</f>
        <v>71.442699999999988</v>
      </c>
      <c r="C970" s="14">
        <f>67.5788 * CHOOSE(CONTROL!$C$15, $E$9, 100%, $G$9) + CHOOSE(CONTROL!$C$38, 0.0342, 0)</f>
        <v>67.613</v>
      </c>
      <c r="D970" s="14">
        <f>67.571 * CHOOSE(CONTROL!$C$15, $E$9, 100%, $G$9) + CHOOSE(CONTROL!$C$38, 0.0342, 0)</f>
        <v>67.605199999999996</v>
      </c>
      <c r="E970" s="46">
        <f>71.2613 * CHOOSE(CONTROL!$C$15, $E$9, 100%, $G$9) + CHOOSE(CONTROL!$C$38, 0.0342, 0)</f>
        <v>71.295500000000004</v>
      </c>
      <c r="F970" s="45">
        <f>71.2613 * CHOOSE(CONTROL!$C$15, $E$9, 100%, $G$9) + CHOOSE(CONTROL!$C$38, 0.0251, 0)</f>
        <v>71.2864</v>
      </c>
      <c r="G970" s="14">
        <f>67.5772 * CHOOSE(CONTROL!$C$15, $E$9, 100%, $G$9) + CHOOSE(CONTROL!$C$38, 0.0342, 0)</f>
        <v>67.611400000000003</v>
      </c>
      <c r="H970" s="14">
        <f>67.5772 * CHOOSE(CONTROL!$C$15, $E$9, 100%, $G$9) + CHOOSE(CONTROL!$C$38, 0.0342, 0)</f>
        <v>67.611400000000003</v>
      </c>
      <c r="I970" s="14">
        <f>67.5788 * CHOOSE(CONTROL!$C$15, $E$9, 100%, $G$9) + CHOOSE(CONTROL!$C$38, 0.0342, 0)</f>
        <v>67.613</v>
      </c>
      <c r="J970" s="44">
        <f>706.5812</f>
        <v>706.58119999999997</v>
      </c>
    </row>
    <row r="971" spans="1:10" ht="15.75" x14ac:dyDescent="0.25">
      <c r="A971" s="32">
        <v>70494</v>
      </c>
      <c r="B971" s="14">
        <f>69.3166 * CHOOSE(CONTROL!$C$15, $E$9, 100%, $G$9) + CHOOSE(CONTROL!$C$38, 0.0251, 0)</f>
        <v>69.341699999999989</v>
      </c>
      <c r="C971" s="14">
        <f>65.5871 * CHOOSE(CONTROL!$C$15, $E$9, 100%, $G$9) + CHOOSE(CONTROL!$C$38, 0.0342, 0)</f>
        <v>65.621300000000005</v>
      </c>
      <c r="D971" s="14">
        <f>65.5792 * CHOOSE(CONTROL!$C$15, $E$9, 100%, $G$9) + CHOOSE(CONTROL!$C$38, 0.0342, 0)</f>
        <v>65.613399999999999</v>
      </c>
      <c r="E971" s="46">
        <f>69.1603 * CHOOSE(CONTROL!$C$15, $E$9, 100%, $G$9) + CHOOSE(CONTROL!$C$38, 0.0342, 0)</f>
        <v>69.194500000000005</v>
      </c>
      <c r="F971" s="45">
        <f>69.1603 * CHOOSE(CONTROL!$C$15, $E$9, 100%, $G$9) + CHOOSE(CONTROL!$C$38, 0.0251, 0)</f>
        <v>69.185400000000001</v>
      </c>
      <c r="G971" s="14">
        <f>65.5855 * CHOOSE(CONTROL!$C$15, $E$9, 100%, $G$9) + CHOOSE(CONTROL!$C$38, 0.0342, 0)</f>
        <v>65.619699999999995</v>
      </c>
      <c r="H971" s="14">
        <f>65.5855 * CHOOSE(CONTROL!$C$15, $E$9, 100%, $G$9) + CHOOSE(CONTROL!$C$38, 0.0342, 0)</f>
        <v>65.619699999999995</v>
      </c>
      <c r="I971" s="14">
        <f>65.5871 * CHOOSE(CONTROL!$C$15, $E$9, 100%, $G$9) + CHOOSE(CONTROL!$C$38, 0.0342, 0)</f>
        <v>65.621300000000005</v>
      </c>
      <c r="J971" s="44">
        <f>685.6134</f>
        <v>685.61339999999996</v>
      </c>
    </row>
    <row r="972" spans="1:10" ht="15.75" x14ac:dyDescent="0.25">
      <c r="A972" s="32">
        <v>70525</v>
      </c>
      <c r="B972" s="14">
        <f>68.7948 * CHOOSE(CONTROL!$C$15, $E$9, 100%, $G$9) + CHOOSE(CONTROL!$C$38, 0.0251, 0)</f>
        <v>68.81989999999999</v>
      </c>
      <c r="C972" s="14">
        <f>65.0924 * CHOOSE(CONTROL!$C$15, $E$9, 100%, $G$9) + CHOOSE(CONTROL!$C$38, 0.0342, 0)</f>
        <v>65.126599999999996</v>
      </c>
      <c r="D972" s="14">
        <f>65.0846 * CHOOSE(CONTROL!$C$15, $E$9, 100%, $G$9) + CHOOSE(CONTROL!$C$38, 0.0342, 0)</f>
        <v>65.118799999999993</v>
      </c>
      <c r="E972" s="46">
        <f>68.6386 * CHOOSE(CONTROL!$C$15, $E$9, 100%, $G$9) + CHOOSE(CONTROL!$C$38, 0.0342, 0)</f>
        <v>68.672799999999995</v>
      </c>
      <c r="F972" s="45">
        <f>68.6386 * CHOOSE(CONTROL!$C$15, $E$9, 100%, $G$9) + CHOOSE(CONTROL!$C$38, 0.0251, 0)</f>
        <v>68.663699999999992</v>
      </c>
      <c r="G972" s="14">
        <f>65.0909 * CHOOSE(CONTROL!$C$15, $E$9, 100%, $G$9) + CHOOSE(CONTROL!$C$38, 0.0342, 0)</f>
        <v>65.125100000000003</v>
      </c>
      <c r="H972" s="14">
        <f>65.0909 * CHOOSE(CONTROL!$C$15, $E$9, 100%, $G$9) + CHOOSE(CONTROL!$C$38, 0.0342, 0)</f>
        <v>65.125100000000003</v>
      </c>
      <c r="I972" s="14">
        <f>65.0924 * CHOOSE(CONTROL!$C$15, $E$9, 100%, $G$9) + CHOOSE(CONTROL!$C$38, 0.0342, 0)</f>
        <v>65.126599999999996</v>
      </c>
      <c r="J972" s="44">
        <f>685.1184</f>
        <v>685.11839999999995</v>
      </c>
    </row>
    <row r="973" spans="1:10" ht="15.75" x14ac:dyDescent="0.25">
      <c r="A973" s="32">
        <v>70553</v>
      </c>
      <c r="B973" s="14">
        <f>68.6053 * CHOOSE(CONTROL!$C$15, $E$9, 100%, $G$9) + CHOOSE(CONTROL!$C$38, 0.0251, 0)</f>
        <v>68.630399999999995</v>
      </c>
      <c r="C973" s="14">
        <f>64.9128 * CHOOSE(CONTROL!$C$15, $E$9, 100%, $G$9) + CHOOSE(CONTROL!$C$38, 0.0342, 0)</f>
        <v>64.947000000000003</v>
      </c>
      <c r="D973" s="14">
        <f>64.905 * CHOOSE(CONTROL!$C$15, $E$9, 100%, $G$9) + CHOOSE(CONTROL!$C$38, 0.0342, 0)</f>
        <v>64.9392</v>
      </c>
      <c r="E973" s="46">
        <f>68.4491 * CHOOSE(CONTROL!$C$15, $E$9, 100%, $G$9) + CHOOSE(CONTROL!$C$38, 0.0342, 0)</f>
        <v>68.4833</v>
      </c>
      <c r="F973" s="45">
        <f>68.4491 * CHOOSE(CONTROL!$C$15, $E$9, 100%, $G$9) + CHOOSE(CONTROL!$C$38, 0.0251, 0)</f>
        <v>68.474199999999996</v>
      </c>
      <c r="G973" s="14">
        <f>64.9112 * CHOOSE(CONTROL!$C$15, $E$9, 100%, $G$9) + CHOOSE(CONTROL!$C$38, 0.0342, 0)</f>
        <v>64.945399999999992</v>
      </c>
      <c r="H973" s="14">
        <f>64.9112 * CHOOSE(CONTROL!$C$15, $E$9, 100%, $G$9) + CHOOSE(CONTROL!$C$38, 0.0342, 0)</f>
        <v>64.945399999999992</v>
      </c>
      <c r="I973" s="14">
        <f>64.9128 * CHOOSE(CONTROL!$C$15, $E$9, 100%, $G$9) + CHOOSE(CONTROL!$C$38, 0.0342, 0)</f>
        <v>64.947000000000003</v>
      </c>
      <c r="J973" s="44">
        <f>683.214</f>
        <v>683.21400000000006</v>
      </c>
    </row>
    <row r="974" spans="1:10" ht="15.75" x14ac:dyDescent="0.25">
      <c r="A974" s="32">
        <v>70584</v>
      </c>
      <c r="B974" s="14">
        <f>72.1887 * CHOOSE(CONTROL!$C$15, $E$9, 100%, $G$9) + CHOOSE(CONTROL!$C$38, 0.0251, 0)</f>
        <v>72.213799999999992</v>
      </c>
      <c r="C974" s="14">
        <f>68.3098 * CHOOSE(CONTROL!$C$15, $E$9, 100%, $G$9) + CHOOSE(CONTROL!$C$38, 0.0342, 0)</f>
        <v>68.343999999999994</v>
      </c>
      <c r="D974" s="14">
        <f>68.302 * CHOOSE(CONTROL!$C$15, $E$9, 100%, $G$9) + CHOOSE(CONTROL!$C$38, 0.0342, 0)</f>
        <v>68.336200000000005</v>
      </c>
      <c r="E974" s="46">
        <f>72.0324 * CHOOSE(CONTROL!$C$15, $E$9, 100%, $G$9) + CHOOSE(CONTROL!$C$38, 0.0342, 0)</f>
        <v>72.066599999999994</v>
      </c>
      <c r="F974" s="45">
        <f>72.0324 * CHOOSE(CONTROL!$C$15, $E$9, 100%, $G$9) + CHOOSE(CONTROL!$C$38, 0.0251, 0)</f>
        <v>72.05749999999999</v>
      </c>
      <c r="G974" s="14">
        <f>68.3082 * CHOOSE(CONTROL!$C$15, $E$9, 100%, $G$9) + CHOOSE(CONTROL!$C$38, 0.0342, 0)</f>
        <v>68.342399999999998</v>
      </c>
      <c r="H974" s="14">
        <f>68.3082 * CHOOSE(CONTROL!$C$15, $E$9, 100%, $G$9) + CHOOSE(CONTROL!$C$38, 0.0342, 0)</f>
        <v>68.342399999999998</v>
      </c>
      <c r="I974" s="14">
        <f>68.3098 * CHOOSE(CONTROL!$C$15, $E$9, 100%, $G$9) + CHOOSE(CONTROL!$C$38, 0.0342, 0)</f>
        <v>68.343999999999994</v>
      </c>
      <c r="J974" s="44">
        <f>719.2233</f>
        <v>719.22329999999999</v>
      </c>
    </row>
    <row r="975" spans="1:10" ht="15.75" x14ac:dyDescent="0.25">
      <c r="A975" s="32">
        <v>70614</v>
      </c>
      <c r="B975" s="14">
        <f>76.8354 * CHOOSE(CONTROL!$C$15, $E$9, 100%, $G$9) + CHOOSE(CONTROL!$C$38, 0.0251, 0)</f>
        <v>76.860500000000002</v>
      </c>
      <c r="C975" s="14">
        <f>72.7148 * CHOOSE(CONTROL!$C$15, $E$9, 100%, $G$9) + CHOOSE(CONTROL!$C$38, 0.0342, 0)</f>
        <v>72.748999999999995</v>
      </c>
      <c r="D975" s="14">
        <f>72.707 * CHOOSE(CONTROL!$C$15, $E$9, 100%, $G$9) + CHOOSE(CONTROL!$C$38, 0.0342, 0)</f>
        <v>72.741199999999992</v>
      </c>
      <c r="E975" s="46">
        <f>76.6792 * CHOOSE(CONTROL!$C$15, $E$9, 100%, $G$9) + CHOOSE(CONTROL!$C$38, 0.0342, 0)</f>
        <v>76.713399999999993</v>
      </c>
      <c r="F975" s="45">
        <f>76.6792 * CHOOSE(CONTROL!$C$15, $E$9, 100%, $G$9) + CHOOSE(CONTROL!$C$38, 0.0251, 0)</f>
        <v>76.704299999999989</v>
      </c>
      <c r="G975" s="14">
        <f>72.7133 * CHOOSE(CONTROL!$C$15, $E$9, 100%, $G$9) + CHOOSE(CONTROL!$C$38, 0.0342, 0)</f>
        <v>72.747500000000002</v>
      </c>
      <c r="H975" s="14">
        <f>72.7133 * CHOOSE(CONTROL!$C$15, $E$9, 100%, $G$9) + CHOOSE(CONTROL!$C$38, 0.0342, 0)</f>
        <v>72.747500000000002</v>
      </c>
      <c r="I975" s="14">
        <f>72.7148 * CHOOSE(CONTROL!$C$15, $E$9, 100%, $G$9) + CHOOSE(CONTROL!$C$38, 0.0342, 0)</f>
        <v>72.748999999999995</v>
      </c>
      <c r="J975" s="44">
        <f>765.9188</f>
        <v>765.91880000000003</v>
      </c>
    </row>
    <row r="976" spans="1:10" ht="15.75" x14ac:dyDescent="0.25">
      <c r="A976" s="32">
        <v>70645</v>
      </c>
      <c r="B976" s="14">
        <f>79.3932 * CHOOSE(CONTROL!$C$15, $E$9, 100%, $G$9) + CHOOSE(CONTROL!$C$38, 0.0264, 0)</f>
        <v>79.419599999999988</v>
      </c>
      <c r="C976" s="14">
        <f>75.1395 * CHOOSE(CONTROL!$C$15, $E$9, 100%, $G$9) + CHOOSE(CONTROL!$C$38, 0.0354, 0)</f>
        <v>75.174899999999994</v>
      </c>
      <c r="D976" s="14">
        <f>75.1317 * CHOOSE(CONTROL!$C$15, $E$9, 100%, $G$9) + CHOOSE(CONTROL!$C$38, 0.0354, 0)</f>
        <v>75.167099999999991</v>
      </c>
      <c r="E976" s="46">
        <f>79.2369 * CHOOSE(CONTROL!$C$15, $E$9, 100%, $G$9) + CHOOSE(CONTROL!$C$38, 0.0354, 0)</f>
        <v>79.272300000000001</v>
      </c>
      <c r="F976" s="45">
        <f>79.2369 * CHOOSE(CONTROL!$C$15, $E$9, 100%, $G$9) + CHOOSE(CONTROL!$C$38, 0.0264, 0)</f>
        <v>79.263300000000001</v>
      </c>
      <c r="G976" s="14">
        <f>75.138 * CHOOSE(CONTROL!$C$15, $E$9, 100%, $G$9) + CHOOSE(CONTROL!$C$38, 0.0354, 0)</f>
        <v>75.173400000000001</v>
      </c>
      <c r="H976" s="14">
        <f>75.138 * CHOOSE(CONTROL!$C$15, $E$9, 100%, $G$9) + CHOOSE(CONTROL!$C$38, 0.0354, 0)</f>
        <v>75.173400000000001</v>
      </c>
      <c r="I976" s="14">
        <f>75.1395 * CHOOSE(CONTROL!$C$15, $E$9, 100%, $G$9) + CHOOSE(CONTROL!$C$38, 0.0354, 0)</f>
        <v>75.174899999999994</v>
      </c>
      <c r="J976" s="44">
        <f>791.6215</f>
        <v>791.62149999999997</v>
      </c>
    </row>
    <row r="977" spans="1:10" ht="15.75" x14ac:dyDescent="0.25">
      <c r="A977" s="32">
        <v>70675</v>
      </c>
      <c r="B977" s="14">
        <f>80.5283 * CHOOSE(CONTROL!$C$15, $E$9, 100%, $G$9) + CHOOSE(CONTROL!$C$38, 0.0264, 0)</f>
        <v>80.554699999999997</v>
      </c>
      <c r="C977" s="14">
        <f>76.2156 * CHOOSE(CONTROL!$C$15, $E$9, 100%, $G$9) + CHOOSE(CONTROL!$C$38, 0.0354, 0)</f>
        <v>76.250999999999991</v>
      </c>
      <c r="D977" s="14">
        <f>76.2078 * CHOOSE(CONTROL!$C$15, $E$9, 100%, $G$9) + CHOOSE(CONTROL!$C$38, 0.0354, 0)</f>
        <v>76.243200000000002</v>
      </c>
      <c r="E977" s="46">
        <f>80.372 * CHOOSE(CONTROL!$C$15, $E$9, 100%, $G$9) + CHOOSE(CONTROL!$C$38, 0.0354, 0)</f>
        <v>80.407399999999996</v>
      </c>
      <c r="F977" s="45">
        <f>80.372 * CHOOSE(CONTROL!$C$15, $E$9, 100%, $G$9) + CHOOSE(CONTROL!$C$38, 0.0264, 0)</f>
        <v>80.398399999999995</v>
      </c>
      <c r="G977" s="14">
        <f>76.214 * CHOOSE(CONTROL!$C$15, $E$9, 100%, $G$9) + CHOOSE(CONTROL!$C$38, 0.0354, 0)</f>
        <v>76.249399999999994</v>
      </c>
      <c r="H977" s="14">
        <f>76.214 * CHOOSE(CONTROL!$C$15, $E$9, 100%, $G$9) + CHOOSE(CONTROL!$C$38, 0.0354, 0)</f>
        <v>76.249399999999994</v>
      </c>
      <c r="I977" s="14">
        <f>76.2156 * CHOOSE(CONTROL!$C$15, $E$9, 100%, $G$9) + CHOOSE(CONTROL!$C$38, 0.0354, 0)</f>
        <v>76.250999999999991</v>
      </c>
      <c r="J977" s="44">
        <f>803.0279</f>
        <v>803.02790000000005</v>
      </c>
    </row>
    <row r="978" spans="1:10" ht="15.75" x14ac:dyDescent="0.25">
      <c r="A978" s="32">
        <v>70706</v>
      </c>
      <c r="B978" s="14">
        <f>80.1545 * CHOOSE(CONTROL!$C$15, $E$9, 100%, $G$9) + CHOOSE(CONTROL!$C$38, 0.0264, 0)</f>
        <v>80.180899999999994</v>
      </c>
      <c r="C978" s="14">
        <f>75.8613 * CHOOSE(CONTROL!$C$15, $E$9, 100%, $G$9) + CHOOSE(CONTROL!$C$38, 0.0354, 0)</f>
        <v>75.896699999999996</v>
      </c>
      <c r="D978" s="14">
        <f>75.8535 * CHOOSE(CONTROL!$C$15, $E$9, 100%, $G$9) + CHOOSE(CONTROL!$C$38, 0.0354, 0)</f>
        <v>75.888899999999992</v>
      </c>
      <c r="E978" s="46">
        <f>79.9983 * CHOOSE(CONTROL!$C$15, $E$9, 100%, $G$9) + CHOOSE(CONTROL!$C$38, 0.0354, 0)</f>
        <v>80.033699999999996</v>
      </c>
      <c r="F978" s="45">
        <f>79.9983 * CHOOSE(CONTROL!$C$15, $E$9, 100%, $G$9) + CHOOSE(CONTROL!$C$38, 0.0264, 0)</f>
        <v>80.024699999999996</v>
      </c>
      <c r="G978" s="14">
        <f>75.8597 * CHOOSE(CONTROL!$C$15, $E$9, 100%, $G$9) + CHOOSE(CONTROL!$C$38, 0.0354, 0)</f>
        <v>75.895099999999999</v>
      </c>
      <c r="H978" s="14">
        <f>75.8597 * CHOOSE(CONTROL!$C$15, $E$9, 100%, $G$9) + CHOOSE(CONTROL!$C$38, 0.0354, 0)</f>
        <v>75.895099999999999</v>
      </c>
      <c r="I978" s="14">
        <f>75.8613 * CHOOSE(CONTROL!$C$15, $E$9, 100%, $G$9) + CHOOSE(CONTROL!$C$38, 0.0354, 0)</f>
        <v>75.896699999999996</v>
      </c>
      <c r="J978" s="44">
        <f>799.2724</f>
        <v>799.27239999999995</v>
      </c>
    </row>
    <row r="979" spans="1:10" ht="15.75" x14ac:dyDescent="0.25">
      <c r="A979" s="32">
        <v>70737</v>
      </c>
      <c r="B979" s="14">
        <f>78.3029 * CHOOSE(CONTROL!$C$15, $E$9, 100%, $G$9) + CHOOSE(CONTROL!$C$38, 0.0264, 0)</f>
        <v>78.329299999999989</v>
      </c>
      <c r="C979" s="14">
        <f>74.106 * CHOOSE(CONTROL!$C$15, $E$9, 100%, $G$9) + CHOOSE(CONTROL!$C$38, 0.0354, 0)</f>
        <v>74.14139999999999</v>
      </c>
      <c r="D979" s="14">
        <f>74.0982 * CHOOSE(CONTROL!$C$15, $E$9, 100%, $G$9) + CHOOSE(CONTROL!$C$38, 0.0354, 0)</f>
        <v>74.133600000000001</v>
      </c>
      <c r="E979" s="46">
        <f>78.1467 * CHOOSE(CONTROL!$C$15, $E$9, 100%, $G$9) + CHOOSE(CONTROL!$C$38, 0.0354, 0)</f>
        <v>78.182099999999991</v>
      </c>
      <c r="F979" s="45">
        <f>78.1467 * CHOOSE(CONTROL!$C$15, $E$9, 100%, $G$9) + CHOOSE(CONTROL!$C$38, 0.0264, 0)</f>
        <v>78.173099999999991</v>
      </c>
      <c r="G979" s="14">
        <f>74.1044 * CHOOSE(CONTROL!$C$15, $E$9, 100%, $G$9) + CHOOSE(CONTROL!$C$38, 0.0354, 0)</f>
        <v>74.139799999999994</v>
      </c>
      <c r="H979" s="14">
        <f>74.1044 * CHOOSE(CONTROL!$C$15, $E$9, 100%, $G$9) + CHOOSE(CONTROL!$C$38, 0.0354, 0)</f>
        <v>74.139799999999994</v>
      </c>
      <c r="I979" s="14">
        <f>74.106 * CHOOSE(CONTROL!$C$15, $E$9, 100%, $G$9) + CHOOSE(CONTROL!$C$38, 0.0354, 0)</f>
        <v>74.14139999999999</v>
      </c>
      <c r="J979" s="44">
        <f>780.6657</f>
        <v>780.66570000000002</v>
      </c>
    </row>
    <row r="980" spans="1:10" ht="15.75" x14ac:dyDescent="0.25">
      <c r="A980" s="32">
        <v>70767</v>
      </c>
      <c r="B980" s="14">
        <f>75.7208 * CHOOSE(CONTROL!$C$15, $E$9, 100%, $G$9) + CHOOSE(CONTROL!$C$38, 0.0264, 0)</f>
        <v>75.747199999999992</v>
      </c>
      <c r="C980" s="14">
        <f>71.6582 * CHOOSE(CONTROL!$C$15, $E$9, 100%, $G$9) + CHOOSE(CONTROL!$C$38, 0.0354, 0)</f>
        <v>71.693599999999989</v>
      </c>
      <c r="D980" s="14">
        <f>71.6504 * CHOOSE(CONTROL!$C$15, $E$9, 100%, $G$9) + CHOOSE(CONTROL!$C$38, 0.0354, 0)</f>
        <v>71.6858</v>
      </c>
      <c r="E980" s="46">
        <f>75.5645 * CHOOSE(CONTROL!$C$15, $E$9, 100%, $G$9) + CHOOSE(CONTROL!$C$38, 0.0354, 0)</f>
        <v>75.599899999999991</v>
      </c>
      <c r="F980" s="45">
        <f>75.5645 * CHOOSE(CONTROL!$C$15, $E$9, 100%, $G$9) + CHOOSE(CONTROL!$C$38, 0.0264, 0)</f>
        <v>75.590899999999991</v>
      </c>
      <c r="G980" s="14">
        <f>71.6566 * CHOOSE(CONTROL!$C$15, $E$9, 100%, $G$9) + CHOOSE(CONTROL!$C$38, 0.0354, 0)</f>
        <v>71.691999999999993</v>
      </c>
      <c r="H980" s="14">
        <f>71.6566 * CHOOSE(CONTROL!$C$15, $E$9, 100%, $G$9) + CHOOSE(CONTROL!$C$38, 0.0354, 0)</f>
        <v>71.691999999999993</v>
      </c>
      <c r="I980" s="14">
        <f>71.6582 * CHOOSE(CONTROL!$C$15, $E$9, 100%, $G$9) + CHOOSE(CONTROL!$C$38, 0.0354, 0)</f>
        <v>71.693599999999989</v>
      </c>
      <c r="J980" s="44">
        <f>754.7177</f>
        <v>754.71770000000004</v>
      </c>
    </row>
    <row r="981" spans="1:10" ht="15.75" x14ac:dyDescent="0.25">
      <c r="A981" s="32">
        <v>70798</v>
      </c>
      <c r="B981" s="14">
        <f>73.1236 * CHOOSE(CONTROL!$C$15, $E$9, 100%, $G$9) + CHOOSE(CONTROL!$C$38, 0.0251, 0)</f>
        <v>73.148699999999991</v>
      </c>
      <c r="C981" s="14">
        <f>69.1961 * CHOOSE(CONTROL!$C$15, $E$9, 100%, $G$9) + CHOOSE(CONTROL!$C$38, 0.0342, 0)</f>
        <v>69.2303</v>
      </c>
      <c r="D981" s="14">
        <f>69.1883 * CHOOSE(CONTROL!$C$15, $E$9, 100%, $G$9) + CHOOSE(CONTROL!$C$38, 0.0342, 0)</f>
        <v>69.222499999999997</v>
      </c>
      <c r="E981" s="46">
        <f>72.9674 * CHOOSE(CONTROL!$C$15, $E$9, 100%, $G$9) + CHOOSE(CONTROL!$C$38, 0.0342, 0)</f>
        <v>73.001599999999996</v>
      </c>
      <c r="F981" s="45">
        <f>72.9674 * CHOOSE(CONTROL!$C$15, $E$9, 100%, $G$9) + CHOOSE(CONTROL!$C$38, 0.0251, 0)</f>
        <v>72.992499999999993</v>
      </c>
      <c r="G981" s="14">
        <f>69.1945 * CHOOSE(CONTROL!$C$15, $E$9, 100%, $G$9) + CHOOSE(CONTROL!$C$38, 0.0342, 0)</f>
        <v>69.228700000000003</v>
      </c>
      <c r="H981" s="14">
        <f>69.1945 * CHOOSE(CONTROL!$C$15, $E$9, 100%, $G$9) + CHOOSE(CONTROL!$C$38, 0.0342, 0)</f>
        <v>69.228700000000003</v>
      </c>
      <c r="I981" s="14">
        <f>69.1961 * CHOOSE(CONTROL!$C$15, $E$9, 100%, $G$9) + CHOOSE(CONTROL!$C$38, 0.0342, 0)</f>
        <v>69.2303</v>
      </c>
      <c r="J981" s="44">
        <f>728.6188</f>
        <v>728.61879999999996</v>
      </c>
    </row>
    <row r="982" spans="1:10" ht="15.75" x14ac:dyDescent="0.25">
      <c r="A982" s="32">
        <v>70828</v>
      </c>
      <c r="B982" s="14">
        <f>72.607 * CHOOSE(CONTROL!$C$15, $E$9, 100%, $G$9) + CHOOSE(CONTROL!$C$38, 0.0251, 0)</f>
        <v>72.632099999999994</v>
      </c>
      <c r="C982" s="14">
        <f>68.7063 * CHOOSE(CONTROL!$C$15, $E$9, 100%, $G$9) + CHOOSE(CONTROL!$C$38, 0.0342, 0)</f>
        <v>68.740499999999997</v>
      </c>
      <c r="D982" s="14">
        <f>68.6985 * CHOOSE(CONTROL!$C$15, $E$9, 100%, $G$9) + CHOOSE(CONTROL!$C$38, 0.0342, 0)</f>
        <v>68.732699999999994</v>
      </c>
      <c r="E982" s="46">
        <f>72.4508 * CHOOSE(CONTROL!$C$15, $E$9, 100%, $G$9) + CHOOSE(CONTROL!$C$38, 0.0342, 0)</f>
        <v>72.484999999999999</v>
      </c>
      <c r="F982" s="45">
        <f>72.4508 * CHOOSE(CONTROL!$C$15, $E$9, 100%, $G$9) + CHOOSE(CONTROL!$C$38, 0.0251, 0)</f>
        <v>72.475899999999996</v>
      </c>
      <c r="G982" s="14">
        <f>68.7048 * CHOOSE(CONTROL!$C$15, $E$9, 100%, $G$9) + CHOOSE(CONTROL!$C$38, 0.0342, 0)</f>
        <v>68.739000000000004</v>
      </c>
      <c r="H982" s="14">
        <f>68.7048 * CHOOSE(CONTROL!$C$15, $E$9, 100%, $G$9) + CHOOSE(CONTROL!$C$38, 0.0342, 0)</f>
        <v>68.739000000000004</v>
      </c>
      <c r="I982" s="14">
        <f>68.7063 * CHOOSE(CONTROL!$C$15, $E$9, 100%, $G$9) + CHOOSE(CONTROL!$C$38, 0.0342, 0)</f>
        <v>68.740499999999997</v>
      </c>
      <c r="J982" s="44">
        <f>723.4272</f>
        <v>723.42719999999997</v>
      </c>
    </row>
    <row r="983" spans="1:10" ht="15.75" x14ac:dyDescent="0.25">
      <c r="A983" s="32">
        <v>70859</v>
      </c>
      <c r="B983" s="14">
        <f>70.4707 * CHOOSE(CONTROL!$C$15, $E$9, 100%, $G$9) + CHOOSE(CONTROL!$C$38, 0.0251, 0)</f>
        <v>70.495799999999988</v>
      </c>
      <c r="C983" s="14">
        <f>66.6812 * CHOOSE(CONTROL!$C$15, $E$9, 100%, $G$9) + CHOOSE(CONTROL!$C$38, 0.0342, 0)</f>
        <v>66.715400000000002</v>
      </c>
      <c r="D983" s="14">
        <f>66.6733 * CHOOSE(CONTROL!$C$15, $E$9, 100%, $G$9) + CHOOSE(CONTROL!$C$38, 0.0342, 0)</f>
        <v>66.707499999999996</v>
      </c>
      <c r="E983" s="46">
        <f>70.3145 * CHOOSE(CONTROL!$C$15, $E$9, 100%, $G$9) + CHOOSE(CONTROL!$C$38, 0.0342, 0)</f>
        <v>70.348699999999994</v>
      </c>
      <c r="F983" s="45">
        <f>70.3145 * CHOOSE(CONTROL!$C$15, $E$9, 100%, $G$9) + CHOOSE(CONTROL!$C$38, 0.0251, 0)</f>
        <v>70.33959999999999</v>
      </c>
      <c r="G983" s="14">
        <f>66.6796 * CHOOSE(CONTROL!$C$15, $E$9, 100%, $G$9) + CHOOSE(CONTROL!$C$38, 0.0342, 0)</f>
        <v>66.713799999999992</v>
      </c>
      <c r="H983" s="14">
        <f>66.6796 * CHOOSE(CONTROL!$C$15, $E$9, 100%, $G$9) + CHOOSE(CONTROL!$C$38, 0.0342, 0)</f>
        <v>66.713799999999992</v>
      </c>
      <c r="I983" s="14">
        <f>66.6812 * CHOOSE(CONTROL!$C$15, $E$9, 100%, $G$9) + CHOOSE(CONTROL!$C$38, 0.0342, 0)</f>
        <v>66.715400000000002</v>
      </c>
      <c r="J983" s="44">
        <f>701.9594</f>
        <v>701.95939999999996</v>
      </c>
    </row>
    <row r="984" spans="1:10" ht="15.75" x14ac:dyDescent="0.25">
      <c r="A984" s="32">
        <v>70890</v>
      </c>
      <c r="B984" s="14">
        <f>69.9402 * CHOOSE(CONTROL!$C$15, $E$9, 100%, $G$9) + CHOOSE(CONTROL!$C$38, 0.0251, 0)</f>
        <v>69.965299999999999</v>
      </c>
      <c r="C984" s="14">
        <f>66.1782 * CHOOSE(CONTROL!$C$15, $E$9, 100%, $G$9) + CHOOSE(CONTROL!$C$38, 0.0342, 0)</f>
        <v>66.212400000000002</v>
      </c>
      <c r="D984" s="14">
        <f>66.1704 * CHOOSE(CONTROL!$C$15, $E$9, 100%, $G$9) + CHOOSE(CONTROL!$C$38, 0.0342, 0)</f>
        <v>66.204599999999999</v>
      </c>
      <c r="E984" s="46">
        <f>69.7839 * CHOOSE(CONTROL!$C$15, $E$9, 100%, $G$9) + CHOOSE(CONTROL!$C$38, 0.0342, 0)</f>
        <v>69.818100000000001</v>
      </c>
      <c r="F984" s="45">
        <f>69.7839 * CHOOSE(CONTROL!$C$15, $E$9, 100%, $G$9) + CHOOSE(CONTROL!$C$38, 0.0251, 0)</f>
        <v>69.808999999999997</v>
      </c>
      <c r="G984" s="14">
        <f>66.1767 * CHOOSE(CONTROL!$C$15, $E$9, 100%, $G$9) + CHOOSE(CONTROL!$C$38, 0.0342, 0)</f>
        <v>66.210899999999995</v>
      </c>
      <c r="H984" s="14">
        <f>66.1767 * CHOOSE(CONTROL!$C$15, $E$9, 100%, $G$9) + CHOOSE(CONTROL!$C$38, 0.0342, 0)</f>
        <v>66.210899999999995</v>
      </c>
      <c r="I984" s="14">
        <f>66.1782 * CHOOSE(CONTROL!$C$15, $E$9, 100%, $G$9) + CHOOSE(CONTROL!$C$38, 0.0342, 0)</f>
        <v>66.212400000000002</v>
      </c>
      <c r="J984" s="44">
        <f>701.4526</f>
        <v>701.45259999999996</v>
      </c>
    </row>
    <row r="985" spans="1:10" ht="15.75" x14ac:dyDescent="0.25">
      <c r="A985" s="32">
        <v>70918</v>
      </c>
      <c r="B985" s="14">
        <f>69.7475 * CHOOSE(CONTROL!$C$15, $E$9, 100%, $G$9) + CHOOSE(CONTROL!$C$38, 0.0251, 0)</f>
        <v>69.772599999999997</v>
      </c>
      <c r="C985" s="14">
        <f>65.9956 * CHOOSE(CONTROL!$C$15, $E$9, 100%, $G$9) + CHOOSE(CONTROL!$C$38, 0.0342, 0)</f>
        <v>66.029799999999994</v>
      </c>
      <c r="D985" s="14">
        <f>65.9877 * CHOOSE(CONTROL!$C$15, $E$9, 100%, $G$9) + CHOOSE(CONTROL!$C$38, 0.0342, 0)</f>
        <v>66.021900000000002</v>
      </c>
      <c r="E985" s="46">
        <f>69.5912 * CHOOSE(CONTROL!$C$15, $E$9, 100%, $G$9) + CHOOSE(CONTROL!$C$38, 0.0342, 0)</f>
        <v>69.625399999999999</v>
      </c>
      <c r="F985" s="45">
        <f>69.5912 * CHOOSE(CONTROL!$C$15, $E$9, 100%, $G$9) + CHOOSE(CONTROL!$C$38, 0.0251, 0)</f>
        <v>69.616299999999995</v>
      </c>
      <c r="G985" s="14">
        <f>65.994 * CHOOSE(CONTROL!$C$15, $E$9, 100%, $G$9) + CHOOSE(CONTROL!$C$38, 0.0342, 0)</f>
        <v>66.028199999999998</v>
      </c>
      <c r="H985" s="14">
        <f>65.994 * CHOOSE(CONTROL!$C$15, $E$9, 100%, $G$9) + CHOOSE(CONTROL!$C$38, 0.0342, 0)</f>
        <v>66.028199999999998</v>
      </c>
      <c r="I985" s="14">
        <f>65.9956 * CHOOSE(CONTROL!$C$15, $E$9, 100%, $G$9) + CHOOSE(CONTROL!$C$38, 0.0342, 0)</f>
        <v>66.029799999999994</v>
      </c>
      <c r="J985" s="44">
        <f>699.5028</f>
        <v>699.50279999999998</v>
      </c>
    </row>
    <row r="986" spans="1:10" ht="15.75" x14ac:dyDescent="0.25">
      <c r="A986" s="32">
        <v>70949</v>
      </c>
      <c r="B986" s="14">
        <f>73.3911 * CHOOSE(CONTROL!$C$15, $E$9, 100%, $G$9) + CHOOSE(CONTROL!$C$38, 0.0251, 0)</f>
        <v>73.416199999999989</v>
      </c>
      <c r="C986" s="14">
        <f>69.4496 * CHOOSE(CONTROL!$C$15, $E$9, 100%, $G$9) + CHOOSE(CONTROL!$C$38, 0.0342, 0)</f>
        <v>69.483800000000002</v>
      </c>
      <c r="D986" s="14">
        <f>69.4418 * CHOOSE(CONTROL!$C$15, $E$9, 100%, $G$9) + CHOOSE(CONTROL!$C$38, 0.0342, 0)</f>
        <v>69.475999999999999</v>
      </c>
      <c r="E986" s="46">
        <f>73.2348 * CHOOSE(CONTROL!$C$15, $E$9, 100%, $G$9) + CHOOSE(CONTROL!$C$38, 0.0342, 0)</f>
        <v>73.269000000000005</v>
      </c>
      <c r="F986" s="45">
        <f>73.2348 * CHOOSE(CONTROL!$C$15, $E$9, 100%, $G$9) + CHOOSE(CONTROL!$C$38, 0.0251, 0)</f>
        <v>73.259900000000002</v>
      </c>
      <c r="G986" s="14">
        <f>69.448 * CHOOSE(CONTROL!$C$15, $E$9, 100%, $G$9) + CHOOSE(CONTROL!$C$38, 0.0342, 0)</f>
        <v>69.482199999999992</v>
      </c>
      <c r="H986" s="14">
        <f>69.448 * CHOOSE(CONTROL!$C$15, $E$9, 100%, $G$9) + CHOOSE(CONTROL!$C$38, 0.0342, 0)</f>
        <v>69.482199999999992</v>
      </c>
      <c r="I986" s="14">
        <f>69.4496 * CHOOSE(CONTROL!$C$15, $E$9, 100%, $G$9) + CHOOSE(CONTROL!$C$38, 0.0342, 0)</f>
        <v>69.483800000000002</v>
      </c>
      <c r="J986" s="44">
        <f>736.3706</f>
        <v>736.37059999999997</v>
      </c>
    </row>
    <row r="987" spans="1:10" ht="15.75" x14ac:dyDescent="0.25">
      <c r="A987" s="32">
        <v>70979</v>
      </c>
      <c r="B987" s="14">
        <f>78.1159 * CHOOSE(CONTROL!$C$15, $E$9, 100%, $G$9) + CHOOSE(CONTROL!$C$38, 0.0251, 0)</f>
        <v>78.140999999999991</v>
      </c>
      <c r="C987" s="14">
        <f>73.9287 * CHOOSE(CONTROL!$C$15, $E$9, 100%, $G$9) + CHOOSE(CONTROL!$C$38, 0.0342, 0)</f>
        <v>73.962900000000005</v>
      </c>
      <c r="D987" s="14">
        <f>73.9209 * CHOOSE(CONTROL!$C$15, $E$9, 100%, $G$9) + CHOOSE(CONTROL!$C$38, 0.0342, 0)</f>
        <v>73.955100000000002</v>
      </c>
      <c r="E987" s="46">
        <f>77.9596 * CHOOSE(CONTROL!$C$15, $E$9, 100%, $G$9) + CHOOSE(CONTROL!$C$38, 0.0342, 0)</f>
        <v>77.993799999999993</v>
      </c>
      <c r="F987" s="45">
        <f>77.9596 * CHOOSE(CONTROL!$C$15, $E$9, 100%, $G$9) + CHOOSE(CONTROL!$C$38, 0.0251, 0)</f>
        <v>77.984699999999989</v>
      </c>
      <c r="G987" s="14">
        <f>73.9271 * CHOOSE(CONTROL!$C$15, $E$9, 100%, $G$9) + CHOOSE(CONTROL!$C$38, 0.0342, 0)</f>
        <v>73.961299999999994</v>
      </c>
      <c r="H987" s="14">
        <f>73.9271 * CHOOSE(CONTROL!$C$15, $E$9, 100%, $G$9) + CHOOSE(CONTROL!$C$38, 0.0342, 0)</f>
        <v>73.961299999999994</v>
      </c>
      <c r="I987" s="14">
        <f>73.9287 * CHOOSE(CONTROL!$C$15, $E$9, 100%, $G$9) + CHOOSE(CONTROL!$C$38, 0.0342, 0)</f>
        <v>73.962900000000005</v>
      </c>
      <c r="J987" s="44">
        <f>784.1794</f>
        <v>784.17939999999999</v>
      </c>
    </row>
    <row r="988" spans="1:10" ht="15.75" x14ac:dyDescent="0.25">
      <c r="A988" s="32">
        <v>71010</v>
      </c>
      <c r="B988" s="14">
        <f>80.7166 * CHOOSE(CONTROL!$C$15, $E$9, 100%, $G$9) + CHOOSE(CONTROL!$C$38, 0.0264, 0)</f>
        <v>80.742999999999995</v>
      </c>
      <c r="C988" s="14">
        <f>76.3941 * CHOOSE(CONTROL!$C$15, $E$9, 100%, $G$9) + CHOOSE(CONTROL!$C$38, 0.0354, 0)</f>
        <v>76.42949999999999</v>
      </c>
      <c r="D988" s="14">
        <f>76.3863 * CHOOSE(CONTROL!$C$15, $E$9, 100%, $G$9) + CHOOSE(CONTROL!$C$38, 0.0354, 0)</f>
        <v>76.421700000000001</v>
      </c>
      <c r="E988" s="46">
        <f>80.5603 * CHOOSE(CONTROL!$C$15, $E$9, 100%, $G$9) + CHOOSE(CONTROL!$C$38, 0.0354, 0)</f>
        <v>80.595699999999994</v>
      </c>
      <c r="F988" s="45">
        <f>80.5603 * CHOOSE(CONTROL!$C$15, $E$9, 100%, $G$9) + CHOOSE(CONTROL!$C$38, 0.0264, 0)</f>
        <v>80.586699999999993</v>
      </c>
      <c r="G988" s="14">
        <f>76.3926 * CHOOSE(CONTROL!$C$15, $E$9, 100%, $G$9) + CHOOSE(CONTROL!$C$38, 0.0354, 0)</f>
        <v>76.427999999999997</v>
      </c>
      <c r="H988" s="14">
        <f>76.3926 * CHOOSE(CONTROL!$C$15, $E$9, 100%, $G$9) + CHOOSE(CONTROL!$C$38, 0.0354, 0)</f>
        <v>76.427999999999997</v>
      </c>
      <c r="I988" s="14">
        <f>76.3941 * CHOOSE(CONTROL!$C$15, $E$9, 100%, $G$9) + CHOOSE(CONTROL!$C$38, 0.0354, 0)</f>
        <v>76.42949999999999</v>
      </c>
      <c r="J988" s="44">
        <f>810.4949</f>
        <v>810.49490000000003</v>
      </c>
    </row>
    <row r="989" spans="1:10" ht="15.75" x14ac:dyDescent="0.25">
      <c r="A989" s="32">
        <v>71040</v>
      </c>
      <c r="B989" s="14">
        <f>81.8707 * CHOOSE(CONTROL!$C$15, $E$9, 100%, $G$9) + CHOOSE(CONTROL!$C$38, 0.0264, 0)</f>
        <v>81.897099999999995</v>
      </c>
      <c r="C989" s="14">
        <f>77.4882 * CHOOSE(CONTROL!$C$15, $E$9, 100%, $G$9) + CHOOSE(CONTROL!$C$38, 0.0354, 0)</f>
        <v>77.523600000000002</v>
      </c>
      <c r="D989" s="14">
        <f>77.4804 * CHOOSE(CONTROL!$C$15, $E$9, 100%, $G$9) + CHOOSE(CONTROL!$C$38, 0.0354, 0)</f>
        <v>77.515799999999999</v>
      </c>
      <c r="E989" s="46">
        <f>81.7145 * CHOOSE(CONTROL!$C$15, $E$9, 100%, $G$9) + CHOOSE(CONTROL!$C$38, 0.0354, 0)</f>
        <v>81.749899999999997</v>
      </c>
      <c r="F989" s="45">
        <f>81.7145 * CHOOSE(CONTROL!$C$15, $E$9, 100%, $G$9) + CHOOSE(CONTROL!$C$38, 0.0264, 0)</f>
        <v>81.740899999999996</v>
      </c>
      <c r="G989" s="14">
        <f>77.4867 * CHOOSE(CONTROL!$C$15, $E$9, 100%, $G$9) + CHOOSE(CONTROL!$C$38, 0.0354, 0)</f>
        <v>77.522099999999995</v>
      </c>
      <c r="H989" s="14">
        <f>77.4867 * CHOOSE(CONTROL!$C$15, $E$9, 100%, $G$9) + CHOOSE(CONTROL!$C$38, 0.0354, 0)</f>
        <v>77.522099999999995</v>
      </c>
      <c r="I989" s="14">
        <f>77.4882 * CHOOSE(CONTROL!$C$15, $E$9, 100%, $G$9) + CHOOSE(CONTROL!$C$38, 0.0354, 0)</f>
        <v>77.523600000000002</v>
      </c>
      <c r="J989" s="44">
        <f>822.1733</f>
        <v>822.17330000000004</v>
      </c>
    </row>
    <row r="990" spans="1:10" ht="15.75" x14ac:dyDescent="0.25">
      <c r="A990" s="32">
        <v>71071</v>
      </c>
      <c r="B990" s="14">
        <f>81.4907 * CHOOSE(CONTROL!$C$15, $E$9, 100%, $G$9) + CHOOSE(CONTROL!$C$38, 0.0264, 0)</f>
        <v>81.517099999999999</v>
      </c>
      <c r="C990" s="14">
        <f>77.128 * CHOOSE(CONTROL!$C$15, $E$9, 100%, $G$9) + CHOOSE(CONTROL!$C$38, 0.0354, 0)</f>
        <v>77.163399999999996</v>
      </c>
      <c r="D990" s="14">
        <f>77.1202 * CHOOSE(CONTROL!$C$15, $E$9, 100%, $G$9) + CHOOSE(CONTROL!$C$38, 0.0354, 0)</f>
        <v>77.155599999999993</v>
      </c>
      <c r="E990" s="46">
        <f>81.3345 * CHOOSE(CONTROL!$C$15, $E$9, 100%, $G$9) + CHOOSE(CONTROL!$C$38, 0.0354, 0)</f>
        <v>81.369900000000001</v>
      </c>
      <c r="F990" s="45">
        <f>81.3345 * CHOOSE(CONTROL!$C$15, $E$9, 100%, $G$9) + CHOOSE(CONTROL!$C$38, 0.0264, 0)</f>
        <v>81.360900000000001</v>
      </c>
      <c r="G990" s="14">
        <f>77.1264 * CHOOSE(CONTROL!$C$15, $E$9, 100%, $G$9) + CHOOSE(CONTROL!$C$38, 0.0354, 0)</f>
        <v>77.161799999999999</v>
      </c>
      <c r="H990" s="14">
        <f>77.1264 * CHOOSE(CONTROL!$C$15, $E$9, 100%, $G$9) + CHOOSE(CONTROL!$C$38, 0.0354, 0)</f>
        <v>77.161799999999999</v>
      </c>
      <c r="I990" s="14">
        <f>77.128 * CHOOSE(CONTROL!$C$15, $E$9, 100%, $G$9) + CHOOSE(CONTROL!$C$38, 0.0354, 0)</f>
        <v>77.163399999999996</v>
      </c>
      <c r="J990" s="44">
        <f>818.3282</f>
        <v>818.32820000000004</v>
      </c>
    </row>
    <row r="991" spans="1:10" ht="15.75" x14ac:dyDescent="0.25">
      <c r="A991" s="32">
        <v>71102</v>
      </c>
      <c r="B991" s="14">
        <f>79.608 * CHOOSE(CONTROL!$C$15, $E$9, 100%, $G$9) + CHOOSE(CONTROL!$C$38, 0.0264, 0)</f>
        <v>79.634399999999999</v>
      </c>
      <c r="C991" s="14">
        <f>75.3432 * CHOOSE(CONTROL!$C$15, $E$9, 100%, $G$9) + CHOOSE(CONTROL!$C$38, 0.0354, 0)</f>
        <v>75.378599999999992</v>
      </c>
      <c r="D991" s="14">
        <f>75.3354 * CHOOSE(CONTROL!$C$15, $E$9, 100%, $G$9) + CHOOSE(CONTROL!$C$38, 0.0354, 0)</f>
        <v>75.370800000000003</v>
      </c>
      <c r="E991" s="46">
        <f>79.4518 * CHOOSE(CONTROL!$C$15, $E$9, 100%, $G$9) + CHOOSE(CONTROL!$C$38, 0.0354, 0)</f>
        <v>79.487200000000001</v>
      </c>
      <c r="F991" s="45">
        <f>79.4518 * CHOOSE(CONTROL!$C$15, $E$9, 100%, $G$9) + CHOOSE(CONTROL!$C$38, 0.0264, 0)</f>
        <v>79.478200000000001</v>
      </c>
      <c r="G991" s="14">
        <f>75.3417 * CHOOSE(CONTROL!$C$15, $E$9, 100%, $G$9) + CHOOSE(CONTROL!$C$38, 0.0354, 0)</f>
        <v>75.377099999999999</v>
      </c>
      <c r="H991" s="14">
        <f>75.3417 * CHOOSE(CONTROL!$C$15, $E$9, 100%, $G$9) + CHOOSE(CONTROL!$C$38, 0.0354, 0)</f>
        <v>75.377099999999999</v>
      </c>
      <c r="I991" s="14">
        <f>75.3432 * CHOOSE(CONTROL!$C$15, $E$9, 100%, $G$9) + CHOOSE(CONTROL!$C$38, 0.0354, 0)</f>
        <v>75.378599999999992</v>
      </c>
      <c r="J991" s="44">
        <f>799.2779</f>
        <v>799.27790000000005</v>
      </c>
    </row>
    <row r="992" spans="1:10" ht="15.75" x14ac:dyDescent="0.25">
      <c r="A992" s="32">
        <v>71132</v>
      </c>
      <c r="B992" s="14">
        <f>76.9825 * CHOOSE(CONTROL!$C$15, $E$9, 100%, $G$9) + CHOOSE(CONTROL!$C$38, 0.0264, 0)</f>
        <v>77.008899999999997</v>
      </c>
      <c r="C992" s="14">
        <f>72.8543 * CHOOSE(CONTROL!$C$15, $E$9, 100%, $G$9) + CHOOSE(CONTROL!$C$38, 0.0354, 0)</f>
        <v>72.889699999999991</v>
      </c>
      <c r="D992" s="14">
        <f>72.8465 * CHOOSE(CONTROL!$C$15, $E$9, 100%, $G$9) + CHOOSE(CONTROL!$C$38, 0.0354, 0)</f>
        <v>72.881900000000002</v>
      </c>
      <c r="E992" s="46">
        <f>76.8263 * CHOOSE(CONTROL!$C$15, $E$9, 100%, $G$9) + CHOOSE(CONTROL!$C$38, 0.0354, 0)</f>
        <v>76.861699999999999</v>
      </c>
      <c r="F992" s="45">
        <f>76.8263 * CHOOSE(CONTROL!$C$15, $E$9, 100%, $G$9) + CHOOSE(CONTROL!$C$38, 0.0264, 0)</f>
        <v>76.852699999999999</v>
      </c>
      <c r="G992" s="14">
        <f>72.8527 * CHOOSE(CONTROL!$C$15, $E$9, 100%, $G$9) + CHOOSE(CONTROL!$C$38, 0.0354, 0)</f>
        <v>72.888099999999994</v>
      </c>
      <c r="H992" s="14">
        <f>72.8527 * CHOOSE(CONTROL!$C$15, $E$9, 100%, $G$9) + CHOOSE(CONTROL!$C$38, 0.0354, 0)</f>
        <v>72.888099999999994</v>
      </c>
      <c r="I992" s="14">
        <f>72.8543 * CHOOSE(CONTROL!$C$15, $E$9, 100%, $G$9) + CHOOSE(CONTROL!$C$38, 0.0354, 0)</f>
        <v>72.889699999999991</v>
      </c>
      <c r="J992" s="44">
        <f>772.7113</f>
        <v>772.71130000000005</v>
      </c>
    </row>
    <row r="993" spans="1:10" ht="15.75" x14ac:dyDescent="0.25">
      <c r="A993" s="32">
        <v>71163</v>
      </c>
      <c r="B993" s="14">
        <f>74.3417 * CHOOSE(CONTROL!$C$15, $E$9, 100%, $G$9) + CHOOSE(CONTROL!$C$38, 0.0251, 0)</f>
        <v>74.366799999999998</v>
      </c>
      <c r="C993" s="14">
        <f>70.3508 * CHOOSE(CONTROL!$C$15, $E$9, 100%, $G$9) + CHOOSE(CONTROL!$C$38, 0.0342, 0)</f>
        <v>70.385000000000005</v>
      </c>
      <c r="D993" s="14">
        <f>70.343 * CHOOSE(CONTROL!$C$15, $E$9, 100%, $G$9) + CHOOSE(CONTROL!$C$38, 0.0342, 0)</f>
        <v>70.377200000000002</v>
      </c>
      <c r="E993" s="46">
        <f>74.1855 * CHOOSE(CONTROL!$C$15, $E$9, 100%, $G$9) + CHOOSE(CONTROL!$C$38, 0.0342, 0)</f>
        <v>74.219700000000003</v>
      </c>
      <c r="F993" s="45">
        <f>74.1855 * CHOOSE(CONTROL!$C$15, $E$9, 100%, $G$9) + CHOOSE(CONTROL!$C$38, 0.0251, 0)</f>
        <v>74.210599999999999</v>
      </c>
      <c r="G993" s="14">
        <f>70.3493 * CHOOSE(CONTROL!$C$15, $E$9, 100%, $G$9) + CHOOSE(CONTROL!$C$38, 0.0342, 0)</f>
        <v>70.383499999999998</v>
      </c>
      <c r="H993" s="14">
        <f>70.3493 * CHOOSE(CONTROL!$C$15, $E$9, 100%, $G$9) + CHOOSE(CONTROL!$C$38, 0.0342, 0)</f>
        <v>70.383499999999998</v>
      </c>
      <c r="I993" s="14">
        <f>70.3508 * CHOOSE(CONTROL!$C$15, $E$9, 100%, $G$9) + CHOOSE(CONTROL!$C$38, 0.0342, 0)</f>
        <v>70.385000000000005</v>
      </c>
      <c r="J993" s="44">
        <f>745.9901</f>
        <v>745.99009999999998</v>
      </c>
    </row>
    <row r="994" spans="1:10" ht="15.75" x14ac:dyDescent="0.25">
      <c r="A994" s="32">
        <v>71193</v>
      </c>
      <c r="B994" s="14">
        <f>73.8164 * CHOOSE(CONTROL!$C$15, $E$9, 100%, $G$9) + CHOOSE(CONTROL!$C$38, 0.0251, 0)</f>
        <v>73.841499999999996</v>
      </c>
      <c r="C994" s="14">
        <f>69.8528 * CHOOSE(CONTROL!$C$15, $E$9, 100%, $G$9) + CHOOSE(CONTROL!$C$38, 0.0342, 0)</f>
        <v>69.887</v>
      </c>
      <c r="D994" s="14">
        <f>69.845 * CHOOSE(CONTROL!$C$15, $E$9, 100%, $G$9) + CHOOSE(CONTROL!$C$38, 0.0342, 0)</f>
        <v>69.879199999999997</v>
      </c>
      <c r="E994" s="46">
        <f>73.6602 * CHOOSE(CONTROL!$C$15, $E$9, 100%, $G$9) + CHOOSE(CONTROL!$C$38, 0.0342, 0)</f>
        <v>73.694400000000002</v>
      </c>
      <c r="F994" s="45">
        <f>73.6602 * CHOOSE(CONTROL!$C$15, $E$9, 100%, $G$9) + CHOOSE(CONTROL!$C$38, 0.0251, 0)</f>
        <v>73.685299999999998</v>
      </c>
      <c r="G994" s="14">
        <f>69.8513 * CHOOSE(CONTROL!$C$15, $E$9, 100%, $G$9) + CHOOSE(CONTROL!$C$38, 0.0342, 0)</f>
        <v>69.885499999999993</v>
      </c>
      <c r="H994" s="14">
        <f>69.8513 * CHOOSE(CONTROL!$C$15, $E$9, 100%, $G$9) + CHOOSE(CONTROL!$C$38, 0.0342, 0)</f>
        <v>69.885499999999993</v>
      </c>
      <c r="I994" s="14">
        <f>69.8528 * CHOOSE(CONTROL!$C$15, $E$9, 100%, $G$9) + CHOOSE(CONTROL!$C$38, 0.0342, 0)</f>
        <v>69.887</v>
      </c>
      <c r="J994" s="44">
        <f>740.6748</f>
        <v>740.6748</v>
      </c>
    </row>
    <row r="995" spans="1:10" ht="15.75" x14ac:dyDescent="0.25">
      <c r="A995" s="32">
        <v>71224</v>
      </c>
      <c r="B995" s="14">
        <f>71.6442 * CHOOSE(CONTROL!$C$15, $E$9, 100%, $G$9) + CHOOSE(CONTROL!$C$38, 0.0251, 0)</f>
        <v>71.669299999999993</v>
      </c>
      <c r="C995" s="14">
        <f>67.7936 * CHOOSE(CONTROL!$C$15, $E$9, 100%, $G$9) + CHOOSE(CONTROL!$C$38, 0.0342, 0)</f>
        <v>67.827799999999996</v>
      </c>
      <c r="D995" s="14">
        <f>67.7858 * CHOOSE(CONTROL!$C$15, $E$9, 100%, $G$9) + CHOOSE(CONTROL!$C$38, 0.0342, 0)</f>
        <v>67.819999999999993</v>
      </c>
      <c r="E995" s="46">
        <f>71.488 * CHOOSE(CONTROL!$C$15, $E$9, 100%, $G$9) + CHOOSE(CONTROL!$C$38, 0.0342, 0)</f>
        <v>71.522199999999998</v>
      </c>
      <c r="F995" s="45">
        <f>71.488 * CHOOSE(CONTROL!$C$15, $E$9, 100%, $G$9) + CHOOSE(CONTROL!$C$38, 0.0251, 0)</f>
        <v>71.513099999999994</v>
      </c>
      <c r="G995" s="14">
        <f>67.7921 * CHOOSE(CONTROL!$C$15, $E$9, 100%, $G$9) + CHOOSE(CONTROL!$C$38, 0.0342, 0)</f>
        <v>67.826300000000003</v>
      </c>
      <c r="H995" s="14">
        <f>67.7921 * CHOOSE(CONTROL!$C$15, $E$9, 100%, $G$9) + CHOOSE(CONTROL!$C$38, 0.0342, 0)</f>
        <v>67.826300000000003</v>
      </c>
      <c r="I995" s="14">
        <f>67.7936 * CHOOSE(CONTROL!$C$15, $E$9, 100%, $G$9) + CHOOSE(CONTROL!$C$38, 0.0342, 0)</f>
        <v>67.827799999999996</v>
      </c>
      <c r="J995" s="44">
        <f>718.6952</f>
        <v>718.6952</v>
      </c>
    </row>
    <row r="996" spans="1:10" ht="15.75" x14ac:dyDescent="0.25">
      <c r="A996" s="32">
        <v>71255</v>
      </c>
      <c r="B996" s="14">
        <f>71.1048 * CHOOSE(CONTROL!$C$15, $E$9, 100%, $G$9) + CHOOSE(CONTROL!$C$38, 0.0251, 0)</f>
        <v>71.129899999999992</v>
      </c>
      <c r="C996" s="14">
        <f>67.2823 * CHOOSE(CONTROL!$C$15, $E$9, 100%, $G$9) + CHOOSE(CONTROL!$C$38, 0.0342, 0)</f>
        <v>67.316500000000005</v>
      </c>
      <c r="D996" s="14">
        <f>67.2744 * CHOOSE(CONTROL!$C$15, $E$9, 100%, $G$9) + CHOOSE(CONTROL!$C$38, 0.0342, 0)</f>
        <v>67.308599999999998</v>
      </c>
      <c r="E996" s="46">
        <f>70.9485 * CHOOSE(CONTROL!$C$15, $E$9, 100%, $G$9) + CHOOSE(CONTROL!$C$38, 0.0342, 0)</f>
        <v>70.982699999999994</v>
      </c>
      <c r="F996" s="45">
        <f>70.9485 * CHOOSE(CONTROL!$C$15, $E$9, 100%, $G$9) + CHOOSE(CONTROL!$C$38, 0.0251, 0)</f>
        <v>70.97359999999999</v>
      </c>
      <c r="G996" s="14">
        <f>67.2807 * CHOOSE(CONTROL!$C$15, $E$9, 100%, $G$9) + CHOOSE(CONTROL!$C$38, 0.0342, 0)</f>
        <v>67.314899999999994</v>
      </c>
      <c r="H996" s="14">
        <f>67.2807 * CHOOSE(CONTROL!$C$15, $E$9, 100%, $G$9) + CHOOSE(CONTROL!$C$38, 0.0342, 0)</f>
        <v>67.314899999999994</v>
      </c>
      <c r="I996" s="14">
        <f>67.2823 * CHOOSE(CONTROL!$C$15, $E$9, 100%, $G$9) + CHOOSE(CONTROL!$C$38, 0.0342, 0)</f>
        <v>67.316500000000005</v>
      </c>
      <c r="J996" s="44">
        <f>718.1763</f>
        <v>718.17629999999997</v>
      </c>
    </row>
    <row r="997" spans="1:10" ht="15.75" x14ac:dyDescent="0.25">
      <c r="A997" s="32">
        <v>71283</v>
      </c>
      <c r="B997" s="14">
        <f>70.9089 * CHOOSE(CONTROL!$C$15, $E$9, 100%, $G$9) + CHOOSE(CONTROL!$C$38, 0.0251, 0)</f>
        <v>70.933999999999997</v>
      </c>
      <c r="C997" s="14">
        <f>67.0965 * CHOOSE(CONTROL!$C$15, $E$9, 100%, $G$9) + CHOOSE(CONTROL!$C$38, 0.0342, 0)</f>
        <v>67.130700000000004</v>
      </c>
      <c r="D997" s="14">
        <f>67.0887 * CHOOSE(CONTROL!$C$15, $E$9, 100%, $G$9) + CHOOSE(CONTROL!$C$38, 0.0342, 0)</f>
        <v>67.122900000000001</v>
      </c>
      <c r="E997" s="46">
        <f>70.7526 * CHOOSE(CONTROL!$C$15, $E$9, 100%, $G$9) + CHOOSE(CONTROL!$C$38, 0.0342, 0)</f>
        <v>70.786799999999999</v>
      </c>
      <c r="F997" s="45">
        <f>70.7526 * CHOOSE(CONTROL!$C$15, $E$9, 100%, $G$9) + CHOOSE(CONTROL!$C$38, 0.0251, 0)</f>
        <v>70.777699999999996</v>
      </c>
      <c r="G997" s="14">
        <f>67.095 * CHOOSE(CONTROL!$C$15, $E$9, 100%, $G$9) + CHOOSE(CONTROL!$C$38, 0.0342, 0)</f>
        <v>67.129199999999997</v>
      </c>
      <c r="H997" s="14">
        <f>67.095 * CHOOSE(CONTROL!$C$15, $E$9, 100%, $G$9) + CHOOSE(CONTROL!$C$38, 0.0342, 0)</f>
        <v>67.129199999999997</v>
      </c>
      <c r="I997" s="14">
        <f>67.0965 * CHOOSE(CONTROL!$C$15, $E$9, 100%, $G$9) + CHOOSE(CONTROL!$C$38, 0.0342, 0)</f>
        <v>67.130700000000004</v>
      </c>
      <c r="J997" s="44">
        <f>716.18</f>
        <v>716.18</v>
      </c>
    </row>
    <row r="998" spans="1:10" ht="15.75" x14ac:dyDescent="0.25">
      <c r="A998" s="32">
        <v>71314</v>
      </c>
      <c r="B998" s="14">
        <f>74.6136 * CHOOSE(CONTROL!$C$15, $E$9, 100%, $G$9) + CHOOSE(CONTROL!$C$38, 0.0251, 0)</f>
        <v>74.6387</v>
      </c>
      <c r="C998" s="14">
        <f>70.6086 * CHOOSE(CONTROL!$C$15, $E$9, 100%, $G$9) + CHOOSE(CONTROL!$C$38, 0.0342, 0)</f>
        <v>70.642799999999994</v>
      </c>
      <c r="D998" s="14">
        <f>70.6008 * CHOOSE(CONTROL!$C$15, $E$9, 100%, $G$9) + CHOOSE(CONTROL!$C$38, 0.0342, 0)</f>
        <v>70.635000000000005</v>
      </c>
      <c r="E998" s="46">
        <f>74.4574 * CHOOSE(CONTROL!$C$15, $E$9, 100%, $G$9) + CHOOSE(CONTROL!$C$38, 0.0342, 0)</f>
        <v>74.491600000000005</v>
      </c>
      <c r="F998" s="45">
        <f>74.4574 * CHOOSE(CONTROL!$C$15, $E$9, 100%, $G$9) + CHOOSE(CONTROL!$C$38, 0.0251, 0)</f>
        <v>74.482500000000002</v>
      </c>
      <c r="G998" s="14">
        <f>70.607 * CHOOSE(CONTROL!$C$15, $E$9, 100%, $G$9) + CHOOSE(CONTROL!$C$38, 0.0342, 0)</f>
        <v>70.641199999999998</v>
      </c>
      <c r="H998" s="14">
        <f>70.607 * CHOOSE(CONTROL!$C$15, $E$9, 100%, $G$9) + CHOOSE(CONTROL!$C$38, 0.0342, 0)</f>
        <v>70.641199999999998</v>
      </c>
      <c r="I998" s="14">
        <f>70.6086 * CHOOSE(CONTROL!$C$15, $E$9, 100%, $G$9) + CHOOSE(CONTROL!$C$38, 0.0342, 0)</f>
        <v>70.642799999999994</v>
      </c>
      <c r="J998" s="44">
        <f>753.9268</f>
        <v>753.92679999999996</v>
      </c>
    </row>
    <row r="999" spans="1:10" ht="15.75" x14ac:dyDescent="0.25">
      <c r="A999" s="32">
        <v>71344</v>
      </c>
      <c r="B999" s="14">
        <f>79.4178 * CHOOSE(CONTROL!$C$15, $E$9, 100%, $G$9) + CHOOSE(CONTROL!$C$38, 0.0251, 0)</f>
        <v>79.442899999999995</v>
      </c>
      <c r="C999" s="14">
        <f>75.1629 * CHOOSE(CONTROL!$C$15, $E$9, 100%, $G$9) + CHOOSE(CONTROL!$C$38, 0.0342, 0)</f>
        <v>75.197099999999992</v>
      </c>
      <c r="D999" s="14">
        <f>75.1551 * CHOOSE(CONTROL!$C$15, $E$9, 100%, $G$9) + CHOOSE(CONTROL!$C$38, 0.0342, 0)</f>
        <v>75.189300000000003</v>
      </c>
      <c r="E999" s="46">
        <f>79.2616 * CHOOSE(CONTROL!$C$15, $E$9, 100%, $G$9) + CHOOSE(CONTROL!$C$38, 0.0342, 0)</f>
        <v>79.2958</v>
      </c>
      <c r="F999" s="45">
        <f>79.2616 * CHOOSE(CONTROL!$C$15, $E$9, 100%, $G$9) + CHOOSE(CONTROL!$C$38, 0.0251, 0)</f>
        <v>79.286699999999996</v>
      </c>
      <c r="G999" s="14">
        <f>75.1614 * CHOOSE(CONTROL!$C$15, $E$9, 100%, $G$9) + CHOOSE(CONTROL!$C$38, 0.0342, 0)</f>
        <v>75.195599999999999</v>
      </c>
      <c r="H999" s="14">
        <f>75.1614 * CHOOSE(CONTROL!$C$15, $E$9, 100%, $G$9) + CHOOSE(CONTROL!$C$38, 0.0342, 0)</f>
        <v>75.195599999999999</v>
      </c>
      <c r="I999" s="14">
        <f>75.1629 * CHOOSE(CONTROL!$C$15, $E$9, 100%, $G$9) + CHOOSE(CONTROL!$C$38, 0.0342, 0)</f>
        <v>75.197099999999992</v>
      </c>
      <c r="J999" s="44">
        <f>802.8754</f>
        <v>802.87540000000001</v>
      </c>
    </row>
    <row r="1000" spans="1:10" ht="15.75" x14ac:dyDescent="0.25">
      <c r="A1000" s="32">
        <v>71375</v>
      </c>
      <c r="B1000" s="14">
        <f>82.0622 * CHOOSE(CONTROL!$C$15, $E$9, 100%, $G$9) + CHOOSE(CONTROL!$C$38, 0.0264, 0)</f>
        <v>82.0886</v>
      </c>
      <c r="C1000" s="14">
        <f>77.6698 * CHOOSE(CONTROL!$C$15, $E$9, 100%, $G$9) + CHOOSE(CONTROL!$C$38, 0.0354, 0)</f>
        <v>77.705199999999991</v>
      </c>
      <c r="D1000" s="14">
        <f>77.662 * CHOOSE(CONTROL!$C$15, $E$9, 100%, $G$9) + CHOOSE(CONTROL!$C$38, 0.0354, 0)</f>
        <v>77.697400000000002</v>
      </c>
      <c r="E1000" s="46">
        <f>81.906 * CHOOSE(CONTROL!$C$15, $E$9, 100%, $G$9) + CHOOSE(CONTROL!$C$38, 0.0354, 0)</f>
        <v>81.941400000000002</v>
      </c>
      <c r="F1000" s="45">
        <f>81.906 * CHOOSE(CONTROL!$C$15, $E$9, 100%, $G$9) + CHOOSE(CONTROL!$C$38, 0.0264, 0)</f>
        <v>81.932400000000001</v>
      </c>
      <c r="G1000" s="14">
        <f>77.6682 * CHOOSE(CONTROL!$C$15, $E$9, 100%, $G$9) + CHOOSE(CONTROL!$C$38, 0.0354, 0)</f>
        <v>77.703599999999994</v>
      </c>
      <c r="H1000" s="14">
        <f>77.6682 * CHOOSE(CONTROL!$C$15, $E$9, 100%, $G$9) + CHOOSE(CONTROL!$C$38, 0.0354, 0)</f>
        <v>77.703599999999994</v>
      </c>
      <c r="I1000" s="14">
        <f>77.6698 * CHOOSE(CONTROL!$C$15, $E$9, 100%, $G$9) + CHOOSE(CONTROL!$C$38, 0.0354, 0)</f>
        <v>77.705199999999991</v>
      </c>
      <c r="J1000" s="44">
        <f>829.8183</f>
        <v>829.81830000000002</v>
      </c>
    </row>
    <row r="1001" spans="1:10" ht="15.75" x14ac:dyDescent="0.25">
      <c r="A1001" s="32">
        <v>71405</v>
      </c>
      <c r="B1001" s="14">
        <f>83.2358 * CHOOSE(CONTROL!$C$15, $E$9, 100%, $G$9) + CHOOSE(CONTROL!$C$38, 0.0264, 0)</f>
        <v>83.262199999999993</v>
      </c>
      <c r="C1001" s="14">
        <f>78.7823 * CHOOSE(CONTROL!$C$15, $E$9, 100%, $G$9) + CHOOSE(CONTROL!$C$38, 0.0354, 0)</f>
        <v>78.817700000000002</v>
      </c>
      <c r="D1001" s="14">
        <f>78.7745 * CHOOSE(CONTROL!$C$15, $E$9, 100%, $G$9) + CHOOSE(CONTROL!$C$38, 0.0354, 0)</f>
        <v>78.809899999999999</v>
      </c>
      <c r="E1001" s="46">
        <f>83.0795 * CHOOSE(CONTROL!$C$15, $E$9, 100%, $G$9) + CHOOSE(CONTROL!$C$38, 0.0354, 0)</f>
        <v>83.114899999999992</v>
      </c>
      <c r="F1001" s="45">
        <f>83.0795 * CHOOSE(CONTROL!$C$15, $E$9, 100%, $G$9) + CHOOSE(CONTROL!$C$38, 0.0264, 0)</f>
        <v>83.105899999999991</v>
      </c>
      <c r="G1001" s="14">
        <f>78.7807 * CHOOSE(CONTROL!$C$15, $E$9, 100%, $G$9) + CHOOSE(CONTROL!$C$38, 0.0354, 0)</f>
        <v>78.816099999999992</v>
      </c>
      <c r="H1001" s="14">
        <f>78.7807 * CHOOSE(CONTROL!$C$15, $E$9, 100%, $G$9) + CHOOSE(CONTROL!$C$38, 0.0354, 0)</f>
        <v>78.816099999999992</v>
      </c>
      <c r="I1001" s="14">
        <f>78.7823 * CHOOSE(CONTROL!$C$15, $E$9, 100%, $G$9) + CHOOSE(CONTROL!$C$38, 0.0354, 0)</f>
        <v>78.817700000000002</v>
      </c>
      <c r="J1001" s="44">
        <f>841.7751</f>
        <v>841.77509999999995</v>
      </c>
    </row>
    <row r="1002" spans="1:10" ht="15.75" x14ac:dyDescent="0.25">
      <c r="A1002" s="32">
        <v>71436</v>
      </c>
      <c r="B1002" s="14">
        <f>82.8494 * CHOOSE(CONTROL!$C$15, $E$9, 100%, $G$9) + CHOOSE(CONTROL!$C$38, 0.0264, 0)</f>
        <v>82.875799999999998</v>
      </c>
      <c r="C1002" s="14">
        <f>78.416 * CHOOSE(CONTROL!$C$15, $E$9, 100%, $G$9) + CHOOSE(CONTROL!$C$38, 0.0354, 0)</f>
        <v>78.451399999999992</v>
      </c>
      <c r="D1002" s="14">
        <f>78.4082 * CHOOSE(CONTROL!$C$15, $E$9, 100%, $G$9) + CHOOSE(CONTROL!$C$38, 0.0354, 0)</f>
        <v>78.443599999999989</v>
      </c>
      <c r="E1002" s="46">
        <f>82.6931 * CHOOSE(CONTROL!$C$15, $E$9, 100%, $G$9) + CHOOSE(CONTROL!$C$38, 0.0354, 0)</f>
        <v>82.728499999999997</v>
      </c>
      <c r="F1002" s="45">
        <f>82.6931 * CHOOSE(CONTROL!$C$15, $E$9, 100%, $G$9) + CHOOSE(CONTROL!$C$38, 0.0264, 0)</f>
        <v>82.719499999999996</v>
      </c>
      <c r="G1002" s="14">
        <f>78.4144 * CHOOSE(CONTROL!$C$15, $E$9, 100%, $G$9) + CHOOSE(CONTROL!$C$38, 0.0354, 0)</f>
        <v>78.449799999999996</v>
      </c>
      <c r="H1002" s="14">
        <f>78.4144 * CHOOSE(CONTROL!$C$15, $E$9, 100%, $G$9) + CHOOSE(CONTROL!$C$38, 0.0354, 0)</f>
        <v>78.449799999999996</v>
      </c>
      <c r="I1002" s="14">
        <f>78.416 * CHOOSE(CONTROL!$C$15, $E$9, 100%, $G$9) + CHOOSE(CONTROL!$C$38, 0.0354, 0)</f>
        <v>78.451399999999992</v>
      </c>
      <c r="J1002" s="44">
        <f>837.8384</f>
        <v>837.83839999999998</v>
      </c>
    </row>
    <row r="1003" spans="1:10" ht="15.75" x14ac:dyDescent="0.25">
      <c r="A1003" s="32">
        <v>71467</v>
      </c>
      <c r="B1003" s="14">
        <f>80.9351 * CHOOSE(CONTROL!$C$15, $E$9, 100%, $G$9) + CHOOSE(CONTROL!$C$38, 0.0264, 0)</f>
        <v>80.961500000000001</v>
      </c>
      <c r="C1003" s="14">
        <f>76.6012 * CHOOSE(CONTROL!$C$15, $E$9, 100%, $G$9) + CHOOSE(CONTROL!$C$38, 0.0354, 0)</f>
        <v>76.636600000000001</v>
      </c>
      <c r="D1003" s="14">
        <f>76.5934 * CHOOSE(CONTROL!$C$15, $E$9, 100%, $G$9) + CHOOSE(CONTROL!$C$38, 0.0354, 0)</f>
        <v>76.628799999999998</v>
      </c>
      <c r="E1003" s="46">
        <f>80.7788 * CHOOSE(CONTROL!$C$15, $E$9, 100%, $G$9) + CHOOSE(CONTROL!$C$38, 0.0354, 0)</f>
        <v>80.8142</v>
      </c>
      <c r="F1003" s="45">
        <f>80.7788 * CHOOSE(CONTROL!$C$15, $E$9, 100%, $G$9) + CHOOSE(CONTROL!$C$38, 0.0264, 0)</f>
        <v>80.805199999999999</v>
      </c>
      <c r="G1003" s="14">
        <f>76.5997 * CHOOSE(CONTROL!$C$15, $E$9, 100%, $G$9) + CHOOSE(CONTROL!$C$38, 0.0354, 0)</f>
        <v>76.635099999999994</v>
      </c>
      <c r="H1003" s="14">
        <f>76.5997 * CHOOSE(CONTROL!$C$15, $E$9, 100%, $G$9) + CHOOSE(CONTROL!$C$38, 0.0354, 0)</f>
        <v>76.635099999999994</v>
      </c>
      <c r="I1003" s="14">
        <f>76.6012 * CHOOSE(CONTROL!$C$15, $E$9, 100%, $G$9) + CHOOSE(CONTROL!$C$38, 0.0354, 0)</f>
        <v>76.636600000000001</v>
      </c>
      <c r="J1003" s="44">
        <f>818.3339</f>
        <v>818.33389999999997</v>
      </c>
    </row>
    <row r="1004" spans="1:10" ht="15.75" x14ac:dyDescent="0.25">
      <c r="A1004" s="32">
        <v>71497</v>
      </c>
      <c r="B1004" s="14">
        <f>78.2654 * CHOOSE(CONTROL!$C$15, $E$9, 100%, $G$9) + CHOOSE(CONTROL!$C$38, 0.0264, 0)</f>
        <v>78.291799999999995</v>
      </c>
      <c r="C1004" s="14">
        <f>74.0705 * CHOOSE(CONTROL!$C$15, $E$9, 100%, $G$9) + CHOOSE(CONTROL!$C$38, 0.0354, 0)</f>
        <v>74.105899999999991</v>
      </c>
      <c r="D1004" s="14">
        <f>74.0626 * CHOOSE(CONTROL!$C$15, $E$9, 100%, $G$9) + CHOOSE(CONTROL!$C$38, 0.0354, 0)</f>
        <v>74.097999999999999</v>
      </c>
      <c r="E1004" s="46">
        <f>78.1092 * CHOOSE(CONTROL!$C$15, $E$9, 100%, $G$9) + CHOOSE(CONTROL!$C$38, 0.0354, 0)</f>
        <v>78.144599999999997</v>
      </c>
      <c r="F1004" s="45">
        <f>78.1092 * CHOOSE(CONTROL!$C$15, $E$9, 100%, $G$9) + CHOOSE(CONTROL!$C$38, 0.0264, 0)</f>
        <v>78.135599999999997</v>
      </c>
      <c r="G1004" s="14">
        <f>74.0689 * CHOOSE(CONTROL!$C$15, $E$9, 100%, $G$9) + CHOOSE(CONTROL!$C$38, 0.0354, 0)</f>
        <v>74.104299999999995</v>
      </c>
      <c r="H1004" s="14">
        <f>74.0689 * CHOOSE(CONTROL!$C$15, $E$9, 100%, $G$9) + CHOOSE(CONTROL!$C$38, 0.0354, 0)</f>
        <v>74.104299999999995</v>
      </c>
      <c r="I1004" s="14">
        <f>74.0705 * CHOOSE(CONTROL!$C$15, $E$9, 100%, $G$9) + CHOOSE(CONTROL!$C$38, 0.0354, 0)</f>
        <v>74.105899999999991</v>
      </c>
      <c r="J1004" s="44">
        <f>791.1339</f>
        <v>791.13390000000004</v>
      </c>
    </row>
    <row r="1005" spans="1:10" ht="15.75" x14ac:dyDescent="0.25">
      <c r="A1005" s="32">
        <v>71528</v>
      </c>
      <c r="B1005" s="14">
        <f>75.5803 * CHOOSE(CONTROL!$C$15, $E$9, 100%, $G$9) + CHOOSE(CONTROL!$C$38, 0.0251, 0)</f>
        <v>75.605399999999989</v>
      </c>
      <c r="C1005" s="14">
        <f>71.525 * CHOOSE(CONTROL!$C$15, $E$9, 100%, $G$9) + CHOOSE(CONTROL!$C$38, 0.0342, 0)</f>
        <v>71.559200000000004</v>
      </c>
      <c r="D1005" s="14">
        <f>71.5172 * CHOOSE(CONTROL!$C$15, $E$9, 100%, $G$9) + CHOOSE(CONTROL!$C$38, 0.0342, 0)</f>
        <v>71.551400000000001</v>
      </c>
      <c r="E1005" s="46">
        <f>75.424 * CHOOSE(CONTROL!$C$15, $E$9, 100%, $G$9) + CHOOSE(CONTROL!$C$38, 0.0342, 0)</f>
        <v>75.458200000000005</v>
      </c>
      <c r="F1005" s="45">
        <f>75.424 * CHOOSE(CONTROL!$C$15, $E$9, 100%, $G$9) + CHOOSE(CONTROL!$C$38, 0.0251, 0)</f>
        <v>75.449100000000001</v>
      </c>
      <c r="G1005" s="14">
        <f>71.5234 * CHOOSE(CONTROL!$C$15, $E$9, 100%, $G$9) + CHOOSE(CONTROL!$C$38, 0.0342, 0)</f>
        <v>71.557599999999994</v>
      </c>
      <c r="H1005" s="14">
        <f>71.5234 * CHOOSE(CONTROL!$C$15, $E$9, 100%, $G$9) + CHOOSE(CONTROL!$C$38, 0.0342, 0)</f>
        <v>71.557599999999994</v>
      </c>
      <c r="I1005" s="14">
        <f>71.525 * CHOOSE(CONTROL!$C$15, $E$9, 100%, $G$9) + CHOOSE(CONTROL!$C$38, 0.0342, 0)</f>
        <v>71.559200000000004</v>
      </c>
      <c r="J1005" s="44">
        <f>763.7756</f>
        <v>763.77560000000005</v>
      </c>
    </row>
    <row r="1006" spans="1:10" ht="15.75" x14ac:dyDescent="0.25">
      <c r="A1006" s="32">
        <v>71558</v>
      </c>
      <c r="B1006" s="14">
        <f>75.0461 * CHOOSE(CONTROL!$C$15, $E$9, 100%, $G$9) + CHOOSE(CONTROL!$C$38, 0.0251, 0)</f>
        <v>75.07119999999999</v>
      </c>
      <c r="C1006" s="14">
        <f>71.0186 * CHOOSE(CONTROL!$C$15, $E$9, 100%, $G$9) + CHOOSE(CONTROL!$C$38, 0.0342, 0)</f>
        <v>71.052800000000005</v>
      </c>
      <c r="D1006" s="14">
        <f>71.0108 * CHOOSE(CONTROL!$C$15, $E$9, 100%, $G$9) + CHOOSE(CONTROL!$C$38, 0.0342, 0)</f>
        <v>71.045000000000002</v>
      </c>
      <c r="E1006" s="46">
        <f>74.8899 * CHOOSE(CONTROL!$C$15, $E$9, 100%, $G$9) + CHOOSE(CONTROL!$C$38, 0.0342, 0)</f>
        <v>74.924099999999996</v>
      </c>
      <c r="F1006" s="45">
        <f>74.8899 * CHOOSE(CONTROL!$C$15, $E$9, 100%, $G$9) + CHOOSE(CONTROL!$C$38, 0.0251, 0)</f>
        <v>74.914999999999992</v>
      </c>
      <c r="G1006" s="14">
        <f>71.0171 * CHOOSE(CONTROL!$C$15, $E$9, 100%, $G$9) + CHOOSE(CONTROL!$C$38, 0.0342, 0)</f>
        <v>71.051299999999998</v>
      </c>
      <c r="H1006" s="14">
        <f>71.0171 * CHOOSE(CONTROL!$C$15, $E$9, 100%, $G$9) + CHOOSE(CONTROL!$C$38, 0.0342, 0)</f>
        <v>71.051299999999998</v>
      </c>
      <c r="I1006" s="14">
        <f>71.0186 * CHOOSE(CONTROL!$C$15, $E$9, 100%, $G$9) + CHOOSE(CONTROL!$C$38, 0.0342, 0)</f>
        <v>71.052800000000005</v>
      </c>
      <c r="J1006" s="44">
        <f>758.3336</f>
        <v>758.33360000000005</v>
      </c>
    </row>
    <row r="1007" spans="1:10" ht="15.75" x14ac:dyDescent="0.25">
      <c r="A1007" s="32">
        <v>71589</v>
      </c>
      <c r="B1007" s="14">
        <f>72.8375 * CHOOSE(CONTROL!$C$15, $E$9, 100%, $G$9) + CHOOSE(CONTROL!$C$38, 0.0251, 0)</f>
        <v>72.8626</v>
      </c>
      <c r="C1007" s="14">
        <f>68.9248 * CHOOSE(CONTROL!$C$15, $E$9, 100%, $G$9) + CHOOSE(CONTROL!$C$38, 0.0342, 0)</f>
        <v>68.959000000000003</v>
      </c>
      <c r="D1007" s="14">
        <f>68.917 * CHOOSE(CONTROL!$C$15, $E$9, 100%, $G$9) + CHOOSE(CONTROL!$C$38, 0.0342, 0)</f>
        <v>68.9512</v>
      </c>
      <c r="E1007" s="46">
        <f>72.6812 * CHOOSE(CONTROL!$C$15, $E$9, 100%, $G$9) + CHOOSE(CONTROL!$C$38, 0.0342, 0)</f>
        <v>72.715400000000002</v>
      </c>
      <c r="F1007" s="45">
        <f>72.6812 * CHOOSE(CONTROL!$C$15, $E$9, 100%, $G$9) + CHOOSE(CONTROL!$C$38, 0.0251, 0)</f>
        <v>72.706299999999999</v>
      </c>
      <c r="G1007" s="14">
        <f>68.9232 * CHOOSE(CONTROL!$C$15, $E$9, 100%, $G$9) + CHOOSE(CONTROL!$C$38, 0.0342, 0)</f>
        <v>68.957399999999993</v>
      </c>
      <c r="H1007" s="14">
        <f>68.9232 * CHOOSE(CONTROL!$C$15, $E$9, 100%, $G$9) + CHOOSE(CONTROL!$C$38, 0.0342, 0)</f>
        <v>68.957399999999993</v>
      </c>
      <c r="I1007" s="14">
        <f>68.9248 * CHOOSE(CONTROL!$C$15, $E$9, 100%, $G$9) + CHOOSE(CONTROL!$C$38, 0.0342, 0)</f>
        <v>68.959000000000003</v>
      </c>
      <c r="J1007" s="44">
        <f>735.8299</f>
        <v>735.82989999999995</v>
      </c>
    </row>
    <row r="1008" spans="1:10" ht="15.75" x14ac:dyDescent="0.25">
      <c r="A1008" s="32">
        <v>71620</v>
      </c>
      <c r="B1008" s="14">
        <f>72.289 * CHOOSE(CONTROL!$C$15, $E$9, 100%, $G$9) + CHOOSE(CONTROL!$C$38, 0.0251, 0)</f>
        <v>72.314099999999996</v>
      </c>
      <c r="C1008" s="14">
        <f>68.4048 * CHOOSE(CONTROL!$C$15, $E$9, 100%, $G$9) + CHOOSE(CONTROL!$C$38, 0.0342, 0)</f>
        <v>68.438999999999993</v>
      </c>
      <c r="D1008" s="14">
        <f>68.397 * CHOOSE(CONTROL!$C$15, $E$9, 100%, $G$9) + CHOOSE(CONTROL!$C$38, 0.0342, 0)</f>
        <v>68.431200000000004</v>
      </c>
      <c r="E1008" s="46">
        <f>72.1327 * CHOOSE(CONTROL!$C$15, $E$9, 100%, $G$9) + CHOOSE(CONTROL!$C$38, 0.0342, 0)</f>
        <v>72.166899999999998</v>
      </c>
      <c r="F1008" s="45">
        <f>72.1327 * CHOOSE(CONTROL!$C$15, $E$9, 100%, $G$9) + CHOOSE(CONTROL!$C$38, 0.0251, 0)</f>
        <v>72.157799999999995</v>
      </c>
      <c r="G1008" s="14">
        <f>68.4033 * CHOOSE(CONTROL!$C$15, $E$9, 100%, $G$9) + CHOOSE(CONTROL!$C$38, 0.0342, 0)</f>
        <v>68.4375</v>
      </c>
      <c r="H1008" s="14">
        <f>68.4033 * CHOOSE(CONTROL!$C$15, $E$9, 100%, $G$9) + CHOOSE(CONTROL!$C$38, 0.0342, 0)</f>
        <v>68.4375</v>
      </c>
      <c r="I1008" s="14">
        <f>68.4048 * CHOOSE(CONTROL!$C$15, $E$9, 100%, $G$9) + CHOOSE(CONTROL!$C$38, 0.0342, 0)</f>
        <v>68.438999999999993</v>
      </c>
      <c r="J1008" s="44">
        <f>735.2987</f>
        <v>735.29870000000005</v>
      </c>
    </row>
    <row r="1009" spans="1:10" ht="15.75" x14ac:dyDescent="0.25">
      <c r="A1009" s="32">
        <v>71649</v>
      </c>
      <c r="B1009" s="14">
        <f>72.0897 * CHOOSE(CONTROL!$C$15, $E$9, 100%, $G$9) + CHOOSE(CONTROL!$C$38, 0.0251, 0)</f>
        <v>72.114799999999988</v>
      </c>
      <c r="C1009" s="14">
        <f>68.216 * CHOOSE(CONTROL!$C$15, $E$9, 100%, $G$9) + CHOOSE(CONTROL!$C$38, 0.0342, 0)</f>
        <v>68.250199999999992</v>
      </c>
      <c r="D1009" s="14">
        <f>68.2082 * CHOOSE(CONTROL!$C$15, $E$9, 100%, $G$9) + CHOOSE(CONTROL!$C$38, 0.0342, 0)</f>
        <v>68.242400000000004</v>
      </c>
      <c r="E1009" s="46">
        <f>71.9335 * CHOOSE(CONTROL!$C$15, $E$9, 100%, $G$9) + CHOOSE(CONTROL!$C$38, 0.0342, 0)</f>
        <v>71.967699999999994</v>
      </c>
      <c r="F1009" s="45">
        <f>71.9335 * CHOOSE(CONTROL!$C$15, $E$9, 100%, $G$9) + CHOOSE(CONTROL!$C$38, 0.0251, 0)</f>
        <v>71.95859999999999</v>
      </c>
      <c r="G1009" s="14">
        <f>68.2144 * CHOOSE(CONTROL!$C$15, $E$9, 100%, $G$9) + CHOOSE(CONTROL!$C$38, 0.0342, 0)</f>
        <v>68.248599999999996</v>
      </c>
      <c r="H1009" s="14">
        <f>68.2144 * CHOOSE(CONTROL!$C$15, $E$9, 100%, $G$9) + CHOOSE(CONTROL!$C$38, 0.0342, 0)</f>
        <v>68.248599999999996</v>
      </c>
      <c r="I1009" s="14">
        <f>68.216 * CHOOSE(CONTROL!$C$15, $E$9, 100%, $G$9) + CHOOSE(CONTROL!$C$38, 0.0342, 0)</f>
        <v>68.250199999999992</v>
      </c>
      <c r="J1009" s="44">
        <f>733.2548</f>
        <v>733.25480000000005</v>
      </c>
    </row>
    <row r="1010" spans="1:10" ht="15.75" x14ac:dyDescent="0.25">
      <c r="A1010" s="32">
        <v>71680</v>
      </c>
      <c r="B1010" s="14">
        <f>75.8568 * CHOOSE(CONTROL!$C$15, $E$9, 100%, $G$9) + CHOOSE(CONTROL!$C$38, 0.0251, 0)</f>
        <v>75.881900000000002</v>
      </c>
      <c r="C1010" s="14">
        <f>71.7871 * CHOOSE(CONTROL!$C$15, $E$9, 100%, $G$9) + CHOOSE(CONTROL!$C$38, 0.0342, 0)</f>
        <v>71.821299999999994</v>
      </c>
      <c r="D1010" s="14">
        <f>71.7793 * CHOOSE(CONTROL!$C$15, $E$9, 100%, $G$9) + CHOOSE(CONTROL!$C$38, 0.0342, 0)</f>
        <v>71.813500000000005</v>
      </c>
      <c r="E1010" s="46">
        <f>75.7005 * CHOOSE(CONTROL!$C$15, $E$9, 100%, $G$9) + CHOOSE(CONTROL!$C$38, 0.0342, 0)</f>
        <v>75.734700000000004</v>
      </c>
      <c r="F1010" s="45">
        <f>75.7005 * CHOOSE(CONTROL!$C$15, $E$9, 100%, $G$9) + CHOOSE(CONTROL!$C$38, 0.0251, 0)</f>
        <v>75.7256</v>
      </c>
      <c r="G1010" s="14">
        <f>71.7855 * CHOOSE(CONTROL!$C$15, $E$9, 100%, $G$9) + CHOOSE(CONTROL!$C$38, 0.0342, 0)</f>
        <v>71.819699999999997</v>
      </c>
      <c r="H1010" s="14">
        <f>71.7855 * CHOOSE(CONTROL!$C$15, $E$9, 100%, $G$9) + CHOOSE(CONTROL!$C$38, 0.0342, 0)</f>
        <v>71.819699999999997</v>
      </c>
      <c r="I1010" s="14">
        <f>71.7871 * CHOOSE(CONTROL!$C$15, $E$9, 100%, $G$9) + CHOOSE(CONTROL!$C$38, 0.0342, 0)</f>
        <v>71.821299999999994</v>
      </c>
      <c r="J1010" s="44">
        <f>771.9016</f>
        <v>771.90160000000003</v>
      </c>
    </row>
    <row r="1011" spans="1:10" ht="15.75" x14ac:dyDescent="0.25">
      <c r="A1011" s="32">
        <v>71710</v>
      </c>
      <c r="B1011" s="14">
        <f>80.7417 * CHOOSE(CONTROL!$C$15, $E$9, 100%, $G$9) + CHOOSE(CONTROL!$C$38, 0.0251, 0)</f>
        <v>80.766799999999989</v>
      </c>
      <c r="C1011" s="14">
        <f>76.4179 * CHOOSE(CONTROL!$C$15, $E$9, 100%, $G$9) + CHOOSE(CONTROL!$C$38, 0.0342, 0)</f>
        <v>76.452100000000002</v>
      </c>
      <c r="D1011" s="14">
        <f>76.4101 * CHOOSE(CONTROL!$C$15, $E$9, 100%, $G$9) + CHOOSE(CONTROL!$C$38, 0.0342, 0)</f>
        <v>76.444299999999998</v>
      </c>
      <c r="E1011" s="46">
        <f>80.5854 * CHOOSE(CONTROL!$C$15, $E$9, 100%, $G$9) + CHOOSE(CONTROL!$C$38, 0.0342, 0)</f>
        <v>80.619600000000005</v>
      </c>
      <c r="F1011" s="45">
        <f>80.5854 * CHOOSE(CONTROL!$C$15, $E$9, 100%, $G$9) + CHOOSE(CONTROL!$C$38, 0.0251, 0)</f>
        <v>80.610500000000002</v>
      </c>
      <c r="G1011" s="14">
        <f>76.4163 * CHOOSE(CONTROL!$C$15, $E$9, 100%, $G$9) + CHOOSE(CONTROL!$C$38, 0.0342, 0)</f>
        <v>76.450500000000005</v>
      </c>
      <c r="H1011" s="14">
        <f>76.4163 * CHOOSE(CONTROL!$C$15, $E$9, 100%, $G$9) + CHOOSE(CONTROL!$C$38, 0.0342, 0)</f>
        <v>76.450500000000005</v>
      </c>
      <c r="I1011" s="14">
        <f>76.4179 * CHOOSE(CONTROL!$C$15, $E$9, 100%, $G$9) + CHOOSE(CONTROL!$C$38, 0.0342, 0)</f>
        <v>76.452100000000002</v>
      </c>
      <c r="J1011" s="44">
        <f>822.0172</f>
        <v>822.0172</v>
      </c>
    </row>
    <row r="1012" spans="1:10" ht="15.75" x14ac:dyDescent="0.25">
      <c r="A1012" s="32">
        <v>71741</v>
      </c>
      <c r="B1012" s="14">
        <f>83.4305 * CHOOSE(CONTROL!$C$15, $E$9, 100%, $G$9) + CHOOSE(CONTROL!$C$38, 0.0264, 0)</f>
        <v>83.45689999999999</v>
      </c>
      <c r="C1012" s="14">
        <f>78.9669 * CHOOSE(CONTROL!$C$15, $E$9, 100%, $G$9) + CHOOSE(CONTROL!$C$38, 0.0354, 0)</f>
        <v>79.002299999999991</v>
      </c>
      <c r="D1012" s="14">
        <f>78.9591 * CHOOSE(CONTROL!$C$15, $E$9, 100%, $G$9) + CHOOSE(CONTROL!$C$38, 0.0354, 0)</f>
        <v>78.994500000000002</v>
      </c>
      <c r="E1012" s="46">
        <f>83.2742 * CHOOSE(CONTROL!$C$15, $E$9, 100%, $G$9) + CHOOSE(CONTROL!$C$38, 0.0354, 0)</f>
        <v>83.309599999999989</v>
      </c>
      <c r="F1012" s="45">
        <f>83.2742 * CHOOSE(CONTROL!$C$15, $E$9, 100%, $G$9) + CHOOSE(CONTROL!$C$38, 0.0264, 0)</f>
        <v>83.300599999999989</v>
      </c>
      <c r="G1012" s="14">
        <f>78.9653 * CHOOSE(CONTROL!$C$15, $E$9, 100%, $G$9) + CHOOSE(CONTROL!$C$38, 0.0354, 0)</f>
        <v>79.000699999999995</v>
      </c>
      <c r="H1012" s="14">
        <f>78.9653 * CHOOSE(CONTROL!$C$15, $E$9, 100%, $G$9) + CHOOSE(CONTROL!$C$38, 0.0354, 0)</f>
        <v>79.000699999999995</v>
      </c>
      <c r="I1012" s="14">
        <f>78.9669 * CHOOSE(CONTROL!$C$15, $E$9, 100%, $G$9) + CHOOSE(CONTROL!$C$38, 0.0354, 0)</f>
        <v>79.002299999999991</v>
      </c>
      <c r="J1012" s="44">
        <f>849.6025</f>
        <v>849.60249999999996</v>
      </c>
    </row>
    <row r="1013" spans="1:10" ht="15.75" x14ac:dyDescent="0.25">
      <c r="A1013" s="32">
        <v>71771</v>
      </c>
      <c r="B1013" s="14">
        <f>84.6237 * CHOOSE(CONTROL!$C$15, $E$9, 100%, $G$9) + CHOOSE(CONTROL!$C$38, 0.0264, 0)</f>
        <v>84.650099999999995</v>
      </c>
      <c r="C1013" s="14">
        <f>80.0981 * CHOOSE(CONTROL!$C$15, $E$9, 100%, $G$9) + CHOOSE(CONTROL!$C$38, 0.0354, 0)</f>
        <v>80.133499999999998</v>
      </c>
      <c r="D1013" s="14">
        <f>80.0902 * CHOOSE(CONTROL!$C$15, $E$9, 100%, $G$9) + CHOOSE(CONTROL!$C$38, 0.0354, 0)</f>
        <v>80.125599999999991</v>
      </c>
      <c r="E1013" s="46">
        <f>84.4675 * CHOOSE(CONTROL!$C$15, $E$9, 100%, $G$9) + CHOOSE(CONTROL!$C$38, 0.0354, 0)</f>
        <v>84.502899999999997</v>
      </c>
      <c r="F1013" s="45">
        <f>84.4675 * CHOOSE(CONTROL!$C$15, $E$9, 100%, $G$9) + CHOOSE(CONTROL!$C$38, 0.0264, 0)</f>
        <v>84.493899999999996</v>
      </c>
      <c r="G1013" s="14">
        <f>80.0965 * CHOOSE(CONTROL!$C$15, $E$9, 100%, $G$9) + CHOOSE(CONTROL!$C$38, 0.0354, 0)</f>
        <v>80.131900000000002</v>
      </c>
      <c r="H1013" s="14">
        <f>80.0965 * CHOOSE(CONTROL!$C$15, $E$9, 100%, $G$9) + CHOOSE(CONTROL!$C$38, 0.0354, 0)</f>
        <v>80.131900000000002</v>
      </c>
      <c r="I1013" s="14">
        <f>80.0981 * CHOOSE(CONTROL!$C$15, $E$9, 100%, $G$9) + CHOOSE(CONTROL!$C$38, 0.0354, 0)</f>
        <v>80.133499999999998</v>
      </c>
      <c r="J1013" s="44">
        <f>861.8443</f>
        <v>861.84429999999998</v>
      </c>
    </row>
    <row r="1014" spans="1:10" ht="15.75" x14ac:dyDescent="0.25">
      <c r="A1014" s="32">
        <v>71802</v>
      </c>
      <c r="B1014" s="14">
        <f>84.2309 * CHOOSE(CONTROL!$C$15, $E$9, 100%, $G$9) + CHOOSE(CONTROL!$C$38, 0.0264, 0)</f>
        <v>84.257300000000001</v>
      </c>
      <c r="C1014" s="14">
        <f>79.7256 * CHOOSE(CONTROL!$C$15, $E$9, 100%, $G$9) + CHOOSE(CONTROL!$C$38, 0.0354, 0)</f>
        <v>79.760999999999996</v>
      </c>
      <c r="D1014" s="14">
        <f>79.7178 * CHOOSE(CONTROL!$C$15, $E$9, 100%, $G$9) + CHOOSE(CONTROL!$C$38, 0.0354, 0)</f>
        <v>79.753199999999993</v>
      </c>
      <c r="E1014" s="46">
        <f>84.0746 * CHOOSE(CONTROL!$C$15, $E$9, 100%, $G$9) + CHOOSE(CONTROL!$C$38, 0.0354, 0)</f>
        <v>84.11</v>
      </c>
      <c r="F1014" s="45">
        <f>84.0746 * CHOOSE(CONTROL!$C$15, $E$9, 100%, $G$9) + CHOOSE(CONTROL!$C$38, 0.0264, 0)</f>
        <v>84.100999999999999</v>
      </c>
      <c r="G1014" s="14">
        <f>79.7241 * CHOOSE(CONTROL!$C$15, $E$9, 100%, $G$9) + CHOOSE(CONTROL!$C$38, 0.0354, 0)</f>
        <v>79.759500000000003</v>
      </c>
      <c r="H1014" s="14">
        <f>79.7241 * CHOOSE(CONTROL!$C$15, $E$9, 100%, $G$9) + CHOOSE(CONTROL!$C$38, 0.0354, 0)</f>
        <v>79.759500000000003</v>
      </c>
      <c r="I1014" s="14">
        <f>79.7256 * CHOOSE(CONTROL!$C$15, $E$9, 100%, $G$9) + CHOOSE(CONTROL!$C$38, 0.0354, 0)</f>
        <v>79.760999999999996</v>
      </c>
      <c r="J1014" s="44">
        <f>857.8137</f>
        <v>857.81370000000004</v>
      </c>
    </row>
    <row r="1015" spans="1:10" ht="15.75" x14ac:dyDescent="0.25">
      <c r="A1015" s="32">
        <v>71833</v>
      </c>
      <c r="B1015" s="14">
        <f>82.2844 * CHOOSE(CONTROL!$C$15, $E$9, 100%, $G$9) + CHOOSE(CONTROL!$C$38, 0.0264, 0)</f>
        <v>82.3108</v>
      </c>
      <c r="C1015" s="14">
        <f>77.8804 * CHOOSE(CONTROL!$C$15, $E$9, 100%, $G$9) + CHOOSE(CONTROL!$C$38, 0.0354, 0)</f>
        <v>77.91579999999999</v>
      </c>
      <c r="D1015" s="14">
        <f>77.8726 * CHOOSE(CONTROL!$C$15, $E$9, 100%, $G$9) + CHOOSE(CONTROL!$C$38, 0.0354, 0)</f>
        <v>77.908000000000001</v>
      </c>
      <c r="E1015" s="46">
        <f>82.1281 * CHOOSE(CONTROL!$C$15, $E$9, 100%, $G$9) + CHOOSE(CONTROL!$C$38, 0.0354, 0)</f>
        <v>82.163499999999999</v>
      </c>
      <c r="F1015" s="45">
        <f>82.1281 * CHOOSE(CONTROL!$C$15, $E$9, 100%, $G$9) + CHOOSE(CONTROL!$C$38, 0.0264, 0)</f>
        <v>82.154499999999999</v>
      </c>
      <c r="G1015" s="14">
        <f>77.8788 * CHOOSE(CONTROL!$C$15, $E$9, 100%, $G$9) + CHOOSE(CONTROL!$C$38, 0.0354, 0)</f>
        <v>77.914199999999994</v>
      </c>
      <c r="H1015" s="14">
        <f>77.8788 * CHOOSE(CONTROL!$C$15, $E$9, 100%, $G$9) + CHOOSE(CONTROL!$C$38, 0.0354, 0)</f>
        <v>77.914199999999994</v>
      </c>
      <c r="I1015" s="14">
        <f>77.8804 * CHOOSE(CONTROL!$C$15, $E$9, 100%, $G$9) + CHOOSE(CONTROL!$C$38, 0.0354, 0)</f>
        <v>77.91579999999999</v>
      </c>
      <c r="J1015" s="44">
        <f>837.8442</f>
        <v>837.8442</v>
      </c>
    </row>
    <row r="1016" spans="1:10" ht="15.75" x14ac:dyDescent="0.25">
      <c r="A1016" s="32">
        <v>71863</v>
      </c>
      <c r="B1016" s="14">
        <f>79.5699 * CHOOSE(CONTROL!$C$15, $E$9, 100%, $G$9) + CHOOSE(CONTROL!$C$38, 0.0264, 0)</f>
        <v>79.596299999999999</v>
      </c>
      <c r="C1016" s="14">
        <f>75.3071 * CHOOSE(CONTROL!$C$15, $E$9, 100%, $G$9) + CHOOSE(CONTROL!$C$38, 0.0354, 0)</f>
        <v>75.342500000000001</v>
      </c>
      <c r="D1016" s="14">
        <f>75.2993 * CHOOSE(CONTROL!$C$15, $E$9, 100%, $G$9) + CHOOSE(CONTROL!$C$38, 0.0354, 0)</f>
        <v>75.334699999999998</v>
      </c>
      <c r="E1016" s="46">
        <f>79.4137 * CHOOSE(CONTROL!$C$15, $E$9, 100%, $G$9) + CHOOSE(CONTROL!$C$38, 0.0354, 0)</f>
        <v>79.449100000000001</v>
      </c>
      <c r="F1016" s="45">
        <f>79.4137 * CHOOSE(CONTROL!$C$15, $E$9, 100%, $G$9) + CHOOSE(CONTROL!$C$38, 0.0264, 0)</f>
        <v>79.440100000000001</v>
      </c>
      <c r="G1016" s="14">
        <f>75.3055 * CHOOSE(CONTROL!$C$15, $E$9, 100%, $G$9) + CHOOSE(CONTROL!$C$38, 0.0354, 0)</f>
        <v>75.340899999999991</v>
      </c>
      <c r="H1016" s="14">
        <f>75.3055 * CHOOSE(CONTROL!$C$15, $E$9, 100%, $G$9) + CHOOSE(CONTROL!$C$38, 0.0354, 0)</f>
        <v>75.340899999999991</v>
      </c>
      <c r="I1016" s="14">
        <f>75.3071 * CHOOSE(CONTROL!$C$15, $E$9, 100%, $G$9) + CHOOSE(CONTROL!$C$38, 0.0354, 0)</f>
        <v>75.342500000000001</v>
      </c>
      <c r="J1016" s="44">
        <f>809.9957</f>
        <v>809.99570000000006</v>
      </c>
    </row>
    <row r="1017" spans="1:10" ht="15.75" x14ac:dyDescent="0.25">
      <c r="A1017" s="32">
        <v>71894</v>
      </c>
      <c r="B1017" s="14">
        <f>76.8396 * CHOOSE(CONTROL!$C$15, $E$9, 100%, $G$9) + CHOOSE(CONTROL!$C$38, 0.0251, 0)</f>
        <v>76.864699999999999</v>
      </c>
      <c r="C1017" s="14">
        <f>72.7188 * CHOOSE(CONTROL!$C$15, $E$9, 100%, $G$9) + CHOOSE(CONTROL!$C$38, 0.0342, 0)</f>
        <v>72.753</v>
      </c>
      <c r="D1017" s="14">
        <f>72.711 * CHOOSE(CONTROL!$C$15, $E$9, 100%, $G$9) + CHOOSE(CONTROL!$C$38, 0.0342, 0)</f>
        <v>72.745199999999997</v>
      </c>
      <c r="E1017" s="46">
        <f>76.6834 * CHOOSE(CONTROL!$C$15, $E$9, 100%, $G$9) + CHOOSE(CONTROL!$C$38, 0.0342, 0)</f>
        <v>76.717600000000004</v>
      </c>
      <c r="F1017" s="45">
        <f>76.6834 * CHOOSE(CONTROL!$C$15, $E$9, 100%, $G$9) + CHOOSE(CONTROL!$C$38, 0.0251, 0)</f>
        <v>76.708500000000001</v>
      </c>
      <c r="G1017" s="14">
        <f>72.7173 * CHOOSE(CONTROL!$C$15, $E$9, 100%, $G$9) + CHOOSE(CONTROL!$C$38, 0.0342, 0)</f>
        <v>72.751499999999993</v>
      </c>
      <c r="H1017" s="14">
        <f>72.7173 * CHOOSE(CONTROL!$C$15, $E$9, 100%, $G$9) + CHOOSE(CONTROL!$C$38, 0.0342, 0)</f>
        <v>72.751499999999993</v>
      </c>
      <c r="I1017" s="14">
        <f>72.7188 * CHOOSE(CONTROL!$C$15, $E$9, 100%, $G$9) + CHOOSE(CONTROL!$C$38, 0.0342, 0)</f>
        <v>72.753</v>
      </c>
      <c r="J1017" s="44">
        <f>781.9852</f>
        <v>781.98519999999996</v>
      </c>
    </row>
    <row r="1018" spans="1:10" ht="15.75" x14ac:dyDescent="0.25">
      <c r="A1018" s="32">
        <v>71924</v>
      </c>
      <c r="B1018" s="14">
        <f>76.2965 * CHOOSE(CONTROL!$C$15, $E$9, 100%, $G$9) + CHOOSE(CONTROL!$C$38, 0.0251, 0)</f>
        <v>76.321599999999989</v>
      </c>
      <c r="C1018" s="14">
        <f>72.204 * CHOOSE(CONTROL!$C$15, $E$9, 100%, $G$9) + CHOOSE(CONTROL!$C$38, 0.0342, 0)</f>
        <v>72.238199999999992</v>
      </c>
      <c r="D1018" s="14">
        <f>72.1962 * CHOOSE(CONTROL!$C$15, $E$9, 100%, $G$9) + CHOOSE(CONTROL!$C$38, 0.0342, 0)</f>
        <v>72.230400000000003</v>
      </c>
      <c r="E1018" s="46">
        <f>76.1403 * CHOOSE(CONTROL!$C$15, $E$9, 100%, $G$9) + CHOOSE(CONTROL!$C$38, 0.0342, 0)</f>
        <v>76.174499999999995</v>
      </c>
      <c r="F1018" s="45">
        <f>76.1403 * CHOOSE(CONTROL!$C$15, $E$9, 100%, $G$9) + CHOOSE(CONTROL!$C$38, 0.0251, 0)</f>
        <v>76.165399999999991</v>
      </c>
      <c r="G1018" s="14">
        <f>72.2024 * CHOOSE(CONTROL!$C$15, $E$9, 100%, $G$9) + CHOOSE(CONTROL!$C$38, 0.0342, 0)</f>
        <v>72.236599999999996</v>
      </c>
      <c r="H1018" s="14">
        <f>72.2024 * CHOOSE(CONTROL!$C$15, $E$9, 100%, $G$9) + CHOOSE(CONTROL!$C$38, 0.0342, 0)</f>
        <v>72.236599999999996</v>
      </c>
      <c r="I1018" s="14">
        <f>72.204 * CHOOSE(CONTROL!$C$15, $E$9, 100%, $G$9) + CHOOSE(CONTROL!$C$38, 0.0342, 0)</f>
        <v>72.238199999999992</v>
      </c>
      <c r="J1018" s="44">
        <f>776.4134</f>
        <v>776.41340000000002</v>
      </c>
    </row>
    <row r="1019" spans="1:10" ht="15.75" x14ac:dyDescent="0.25">
      <c r="A1019" s="32">
        <v>71955</v>
      </c>
      <c r="B1019" s="14">
        <f>74.0507 * CHOOSE(CONTROL!$C$15, $E$9, 100%, $G$9) + CHOOSE(CONTROL!$C$38, 0.0251, 0)</f>
        <v>74.075800000000001</v>
      </c>
      <c r="C1019" s="14">
        <f>70.075 * CHOOSE(CONTROL!$C$15, $E$9, 100%, $G$9) + CHOOSE(CONTROL!$C$38, 0.0342, 0)</f>
        <v>70.109200000000001</v>
      </c>
      <c r="D1019" s="14">
        <f>70.0672 * CHOOSE(CONTROL!$C$15, $E$9, 100%, $G$9) + CHOOSE(CONTROL!$C$38, 0.0342, 0)</f>
        <v>70.101399999999998</v>
      </c>
      <c r="E1019" s="46">
        <f>73.8945 * CHOOSE(CONTROL!$C$15, $E$9, 100%, $G$9) + CHOOSE(CONTROL!$C$38, 0.0342, 0)</f>
        <v>73.928699999999992</v>
      </c>
      <c r="F1019" s="45">
        <f>73.8945 * CHOOSE(CONTROL!$C$15, $E$9, 100%, $G$9) + CHOOSE(CONTROL!$C$38, 0.0251, 0)</f>
        <v>73.919599999999988</v>
      </c>
      <c r="G1019" s="14">
        <f>70.0734 * CHOOSE(CONTROL!$C$15, $E$9, 100%, $G$9) + CHOOSE(CONTROL!$C$38, 0.0342, 0)</f>
        <v>70.107600000000005</v>
      </c>
      <c r="H1019" s="14">
        <f>70.0734 * CHOOSE(CONTROL!$C$15, $E$9, 100%, $G$9) + CHOOSE(CONTROL!$C$38, 0.0342, 0)</f>
        <v>70.107600000000005</v>
      </c>
      <c r="I1019" s="14">
        <f>70.075 * CHOOSE(CONTROL!$C$15, $E$9, 100%, $G$9) + CHOOSE(CONTROL!$C$38, 0.0342, 0)</f>
        <v>70.109200000000001</v>
      </c>
      <c r="J1019" s="44">
        <f>753.3732</f>
        <v>753.3732</v>
      </c>
    </row>
    <row r="1020" spans="1:10" ht="15.75" x14ac:dyDescent="0.25">
      <c r="A1020" s="32">
        <v>71986</v>
      </c>
      <c r="B1020" s="14">
        <f>73.493 * CHOOSE(CONTROL!$C$15, $E$9, 100%, $G$9) + CHOOSE(CONTROL!$C$38, 0.0251, 0)</f>
        <v>73.51809999999999</v>
      </c>
      <c r="C1020" s="14">
        <f>69.5463 * CHOOSE(CONTROL!$C$15, $E$9, 100%, $G$9) + CHOOSE(CONTROL!$C$38, 0.0342, 0)</f>
        <v>69.580500000000001</v>
      </c>
      <c r="D1020" s="14">
        <f>69.5385 * CHOOSE(CONTROL!$C$15, $E$9, 100%, $G$9) + CHOOSE(CONTROL!$C$38, 0.0342, 0)</f>
        <v>69.572699999999998</v>
      </c>
      <c r="E1020" s="46">
        <f>73.3368 * CHOOSE(CONTROL!$C$15, $E$9, 100%, $G$9) + CHOOSE(CONTROL!$C$38, 0.0342, 0)</f>
        <v>73.370999999999995</v>
      </c>
      <c r="F1020" s="45">
        <f>73.3368 * CHOOSE(CONTROL!$C$15, $E$9, 100%, $G$9) + CHOOSE(CONTROL!$C$38, 0.0251, 0)</f>
        <v>73.361899999999991</v>
      </c>
      <c r="G1020" s="14">
        <f>69.5447 * CHOOSE(CONTROL!$C$15, $E$9, 100%, $G$9) + CHOOSE(CONTROL!$C$38, 0.0342, 0)</f>
        <v>69.578900000000004</v>
      </c>
      <c r="H1020" s="14">
        <f>69.5447 * CHOOSE(CONTROL!$C$15, $E$9, 100%, $G$9) + CHOOSE(CONTROL!$C$38, 0.0342, 0)</f>
        <v>69.578900000000004</v>
      </c>
      <c r="I1020" s="14">
        <f>69.5463 * CHOOSE(CONTROL!$C$15, $E$9, 100%, $G$9) + CHOOSE(CONTROL!$C$38, 0.0342, 0)</f>
        <v>69.580500000000001</v>
      </c>
      <c r="J1020" s="44">
        <f>752.8293</f>
        <v>752.82929999999999</v>
      </c>
    </row>
    <row r="1021" spans="1:10" ht="15.75" x14ac:dyDescent="0.25">
      <c r="A1021" s="32">
        <v>72014</v>
      </c>
      <c r="B1021" s="14">
        <f>73.2905 * CHOOSE(CONTROL!$C$15, $E$9, 100%, $G$9) + CHOOSE(CONTROL!$C$38, 0.0251, 0)</f>
        <v>73.315599999999989</v>
      </c>
      <c r="C1021" s="14">
        <f>69.3542 * CHOOSE(CONTROL!$C$15, $E$9, 100%, $G$9) + CHOOSE(CONTROL!$C$38, 0.0342, 0)</f>
        <v>69.388400000000004</v>
      </c>
      <c r="D1021" s="14">
        <f>69.3464 * CHOOSE(CONTROL!$C$15, $E$9, 100%, $G$9) + CHOOSE(CONTROL!$C$38, 0.0342, 0)</f>
        <v>69.380600000000001</v>
      </c>
      <c r="E1021" s="46">
        <f>73.1342 * CHOOSE(CONTROL!$C$15, $E$9, 100%, $G$9) + CHOOSE(CONTROL!$C$38, 0.0342, 0)</f>
        <v>73.168400000000005</v>
      </c>
      <c r="F1021" s="45">
        <f>73.1342 * CHOOSE(CONTROL!$C$15, $E$9, 100%, $G$9) + CHOOSE(CONTROL!$C$38, 0.0251, 0)</f>
        <v>73.159300000000002</v>
      </c>
      <c r="G1021" s="14">
        <f>69.3527 * CHOOSE(CONTROL!$C$15, $E$9, 100%, $G$9) + CHOOSE(CONTROL!$C$38, 0.0342, 0)</f>
        <v>69.386899999999997</v>
      </c>
      <c r="H1021" s="14">
        <f>69.3527 * CHOOSE(CONTROL!$C$15, $E$9, 100%, $G$9) + CHOOSE(CONTROL!$C$38, 0.0342, 0)</f>
        <v>69.386899999999997</v>
      </c>
      <c r="I1021" s="14">
        <f>69.3542 * CHOOSE(CONTROL!$C$15, $E$9, 100%, $G$9) + CHOOSE(CONTROL!$C$38, 0.0342, 0)</f>
        <v>69.388400000000004</v>
      </c>
      <c r="J1021" s="44">
        <f>750.7367</f>
        <v>750.73670000000004</v>
      </c>
    </row>
    <row r="1022" spans="1:10" ht="15.75" x14ac:dyDescent="0.25">
      <c r="A1022" s="32">
        <v>72045</v>
      </c>
      <c r="B1022" s="14">
        <f>77.1208 * CHOOSE(CONTROL!$C$15, $E$9, 100%, $G$9) + CHOOSE(CONTROL!$C$38, 0.0251, 0)</f>
        <v>77.145899999999997</v>
      </c>
      <c r="C1022" s="14">
        <f>72.9853 * CHOOSE(CONTROL!$C$15, $E$9, 100%, $G$9) + CHOOSE(CONTROL!$C$38, 0.0342, 0)</f>
        <v>73.019499999999994</v>
      </c>
      <c r="D1022" s="14">
        <f>72.9775 * CHOOSE(CONTROL!$C$15, $E$9, 100%, $G$9) + CHOOSE(CONTROL!$C$38, 0.0342, 0)</f>
        <v>73.011700000000005</v>
      </c>
      <c r="E1022" s="46">
        <f>76.9645 * CHOOSE(CONTROL!$C$15, $E$9, 100%, $G$9) + CHOOSE(CONTROL!$C$38, 0.0342, 0)</f>
        <v>76.998699999999999</v>
      </c>
      <c r="F1022" s="45">
        <f>76.9645 * CHOOSE(CONTROL!$C$15, $E$9, 100%, $G$9) + CHOOSE(CONTROL!$C$38, 0.0251, 0)</f>
        <v>76.989599999999996</v>
      </c>
      <c r="G1022" s="14">
        <f>72.9838 * CHOOSE(CONTROL!$C$15, $E$9, 100%, $G$9) + CHOOSE(CONTROL!$C$38, 0.0342, 0)</f>
        <v>73.018000000000001</v>
      </c>
      <c r="H1022" s="14">
        <f>72.9838 * CHOOSE(CONTROL!$C$15, $E$9, 100%, $G$9) + CHOOSE(CONTROL!$C$38, 0.0342, 0)</f>
        <v>73.018000000000001</v>
      </c>
      <c r="I1022" s="14">
        <f>72.9853 * CHOOSE(CONTROL!$C$15, $E$9, 100%, $G$9) + CHOOSE(CONTROL!$C$38, 0.0342, 0)</f>
        <v>73.019499999999994</v>
      </c>
      <c r="J1022" s="44">
        <f>790.3049</f>
        <v>790.30489999999998</v>
      </c>
    </row>
    <row r="1023" spans="1:10" ht="15.75" x14ac:dyDescent="0.25">
      <c r="A1023" s="32">
        <v>72075</v>
      </c>
      <c r="B1023" s="14">
        <f>82.0877 * CHOOSE(CONTROL!$C$15, $E$9, 100%, $G$9) + CHOOSE(CONTROL!$C$38, 0.0251, 0)</f>
        <v>82.112799999999993</v>
      </c>
      <c r="C1023" s="14">
        <f>77.694 * CHOOSE(CONTROL!$C$15, $E$9, 100%, $G$9) + CHOOSE(CONTROL!$C$38, 0.0342, 0)</f>
        <v>77.728200000000001</v>
      </c>
      <c r="D1023" s="14">
        <f>77.6861 * CHOOSE(CONTROL!$C$15, $E$9, 100%, $G$9) + CHOOSE(CONTROL!$C$38, 0.0342, 0)</f>
        <v>77.720299999999995</v>
      </c>
      <c r="E1023" s="46">
        <f>81.9315 * CHOOSE(CONTROL!$C$15, $E$9, 100%, $G$9) + CHOOSE(CONTROL!$C$38, 0.0342, 0)</f>
        <v>81.965699999999998</v>
      </c>
      <c r="F1023" s="45">
        <f>81.9315 * CHOOSE(CONTROL!$C$15, $E$9, 100%, $G$9) + CHOOSE(CONTROL!$C$38, 0.0251, 0)</f>
        <v>81.956599999999995</v>
      </c>
      <c r="G1023" s="14">
        <f>77.6924 * CHOOSE(CONTROL!$C$15, $E$9, 100%, $G$9) + CHOOSE(CONTROL!$C$38, 0.0342, 0)</f>
        <v>77.726600000000005</v>
      </c>
      <c r="H1023" s="14">
        <f>77.6924 * CHOOSE(CONTROL!$C$15, $E$9, 100%, $G$9) + CHOOSE(CONTROL!$C$38, 0.0342, 0)</f>
        <v>77.726600000000005</v>
      </c>
      <c r="I1023" s="14">
        <f>77.694 * CHOOSE(CONTROL!$C$15, $E$9, 100%, $G$9) + CHOOSE(CONTROL!$C$38, 0.0342, 0)</f>
        <v>77.728200000000001</v>
      </c>
      <c r="J1023" s="44">
        <f>841.6153</f>
        <v>841.61530000000005</v>
      </c>
    </row>
    <row r="1024" spans="1:10" ht="15.75" x14ac:dyDescent="0.25">
      <c r="A1024" s="32">
        <v>72106</v>
      </c>
      <c r="B1024" s="14">
        <f>84.8217 * CHOOSE(CONTROL!$C$15, $E$9, 100%, $G$9) + CHOOSE(CONTROL!$C$38, 0.0264, 0)</f>
        <v>84.848100000000002</v>
      </c>
      <c r="C1024" s="14">
        <f>80.2857 * CHOOSE(CONTROL!$C$15, $E$9, 100%, $G$9) + CHOOSE(CONTROL!$C$38, 0.0354, 0)</f>
        <v>80.321100000000001</v>
      </c>
      <c r="D1024" s="14">
        <f>80.2779 * CHOOSE(CONTROL!$C$15, $E$9, 100%, $G$9) + CHOOSE(CONTROL!$C$38, 0.0354, 0)</f>
        <v>80.313299999999998</v>
      </c>
      <c r="E1024" s="46">
        <f>84.6655 * CHOOSE(CONTROL!$C$15, $E$9, 100%, $G$9) + CHOOSE(CONTROL!$C$38, 0.0354, 0)</f>
        <v>84.70089999999999</v>
      </c>
      <c r="F1024" s="45">
        <f>84.6655 * CHOOSE(CONTROL!$C$15, $E$9, 100%, $G$9) + CHOOSE(CONTROL!$C$38, 0.0264, 0)</f>
        <v>84.69189999999999</v>
      </c>
      <c r="G1024" s="14">
        <f>80.2842 * CHOOSE(CONTROL!$C$15, $E$9, 100%, $G$9) + CHOOSE(CONTROL!$C$38, 0.0354, 0)</f>
        <v>80.319599999999994</v>
      </c>
      <c r="H1024" s="14">
        <f>80.2842 * CHOOSE(CONTROL!$C$15, $E$9, 100%, $G$9) + CHOOSE(CONTROL!$C$38, 0.0354, 0)</f>
        <v>80.319599999999994</v>
      </c>
      <c r="I1024" s="14">
        <f>80.2857 * CHOOSE(CONTROL!$C$15, $E$9, 100%, $G$9) + CHOOSE(CONTROL!$C$38, 0.0354, 0)</f>
        <v>80.321100000000001</v>
      </c>
      <c r="J1024" s="44">
        <f>869.8583</f>
        <v>869.85829999999999</v>
      </c>
    </row>
    <row r="1025" spans="1:10" ht="15.75" x14ac:dyDescent="0.25">
      <c r="A1025" s="32">
        <v>72136</v>
      </c>
      <c r="B1025" s="14">
        <f>86.035 * CHOOSE(CONTROL!$C$15, $E$9, 100%, $G$9) + CHOOSE(CONTROL!$C$38, 0.0264, 0)</f>
        <v>86.061399999999992</v>
      </c>
      <c r="C1025" s="14">
        <f>81.4359 * CHOOSE(CONTROL!$C$15, $E$9, 100%, $G$9) + CHOOSE(CONTROL!$C$38, 0.0354, 0)</f>
        <v>81.471299999999999</v>
      </c>
      <c r="D1025" s="14">
        <f>81.4281 * CHOOSE(CONTROL!$C$15, $E$9, 100%, $G$9) + CHOOSE(CONTROL!$C$38, 0.0354, 0)</f>
        <v>81.463499999999996</v>
      </c>
      <c r="E1025" s="46">
        <f>85.8788 * CHOOSE(CONTROL!$C$15, $E$9, 100%, $G$9) + CHOOSE(CONTROL!$C$38, 0.0354, 0)</f>
        <v>85.914199999999994</v>
      </c>
      <c r="F1025" s="45">
        <f>85.8788 * CHOOSE(CONTROL!$C$15, $E$9, 100%, $G$9) + CHOOSE(CONTROL!$C$38, 0.0264, 0)</f>
        <v>85.905199999999994</v>
      </c>
      <c r="G1025" s="14">
        <f>81.4344 * CHOOSE(CONTROL!$C$15, $E$9, 100%, $G$9) + CHOOSE(CONTROL!$C$38, 0.0354, 0)</f>
        <v>81.469799999999992</v>
      </c>
      <c r="H1025" s="14">
        <f>81.4344 * CHOOSE(CONTROL!$C$15, $E$9, 100%, $G$9) + CHOOSE(CONTROL!$C$38, 0.0354, 0)</f>
        <v>81.469799999999992</v>
      </c>
      <c r="I1025" s="14">
        <f>81.4359 * CHOOSE(CONTROL!$C$15, $E$9, 100%, $G$9) + CHOOSE(CONTROL!$C$38, 0.0354, 0)</f>
        <v>81.471299999999999</v>
      </c>
      <c r="J1025" s="44">
        <f>882.392</f>
        <v>882.39200000000005</v>
      </c>
    </row>
    <row r="1026" spans="1:10" ht="15.75" x14ac:dyDescent="0.25">
      <c r="A1026" s="32">
        <v>72167</v>
      </c>
      <c r="B1026" s="14">
        <f>85.6356 * CHOOSE(CONTROL!$C$15, $E$9, 100%, $G$9) + CHOOSE(CONTROL!$C$38, 0.0264, 0)</f>
        <v>85.661999999999992</v>
      </c>
      <c r="C1026" s="14">
        <f>81.0572 * CHOOSE(CONTROL!$C$15, $E$9, 100%, $G$9) + CHOOSE(CONTROL!$C$38, 0.0354, 0)</f>
        <v>81.09259999999999</v>
      </c>
      <c r="D1026" s="14">
        <f>81.0494 * CHOOSE(CONTROL!$C$15, $E$9, 100%, $G$9) + CHOOSE(CONTROL!$C$38, 0.0354, 0)</f>
        <v>81.084800000000001</v>
      </c>
      <c r="E1026" s="46">
        <f>85.4793 * CHOOSE(CONTROL!$C$15, $E$9, 100%, $G$9) + CHOOSE(CONTROL!$C$38, 0.0354, 0)</f>
        <v>85.514699999999991</v>
      </c>
      <c r="F1026" s="45">
        <f>85.4793 * CHOOSE(CONTROL!$C$15, $E$9, 100%, $G$9) + CHOOSE(CONTROL!$C$38, 0.0264, 0)</f>
        <v>85.50569999999999</v>
      </c>
      <c r="G1026" s="14">
        <f>81.0557 * CHOOSE(CONTROL!$C$15, $E$9, 100%, $G$9) + CHOOSE(CONTROL!$C$38, 0.0354, 0)</f>
        <v>81.091099999999997</v>
      </c>
      <c r="H1026" s="14">
        <f>81.0557 * CHOOSE(CONTROL!$C$15, $E$9, 100%, $G$9) + CHOOSE(CONTROL!$C$38, 0.0354, 0)</f>
        <v>81.091099999999997</v>
      </c>
      <c r="I1026" s="14">
        <f>81.0572 * CHOOSE(CONTROL!$C$15, $E$9, 100%, $G$9) + CHOOSE(CONTROL!$C$38, 0.0354, 0)</f>
        <v>81.09259999999999</v>
      </c>
      <c r="J1026" s="44">
        <f>878.2653</f>
        <v>878.26530000000002</v>
      </c>
    </row>
    <row r="1027" spans="1:10" ht="15.75" x14ac:dyDescent="0.25">
      <c r="A1027" s="32">
        <v>72198</v>
      </c>
      <c r="B1027" s="14">
        <f>83.6564 * CHOOSE(CONTROL!$C$15, $E$9, 100%, $G$9) + CHOOSE(CONTROL!$C$38, 0.0264, 0)</f>
        <v>83.6828</v>
      </c>
      <c r="C1027" s="14">
        <f>79.181 * CHOOSE(CONTROL!$C$15, $E$9, 100%, $G$9) + CHOOSE(CONTROL!$C$38, 0.0354, 0)</f>
        <v>79.216399999999993</v>
      </c>
      <c r="D1027" s="14">
        <f>79.1732 * CHOOSE(CONTROL!$C$15, $E$9, 100%, $G$9) + CHOOSE(CONTROL!$C$38, 0.0354, 0)</f>
        <v>79.20859999999999</v>
      </c>
      <c r="E1027" s="46">
        <f>83.5001 * CHOOSE(CONTROL!$C$15, $E$9, 100%, $G$9) + CHOOSE(CONTROL!$C$38, 0.0354, 0)</f>
        <v>83.535499999999999</v>
      </c>
      <c r="F1027" s="45">
        <f>83.5001 * CHOOSE(CONTROL!$C$15, $E$9, 100%, $G$9) + CHOOSE(CONTROL!$C$38, 0.0264, 0)</f>
        <v>83.526499999999999</v>
      </c>
      <c r="G1027" s="14">
        <f>79.1794 * CHOOSE(CONTROL!$C$15, $E$9, 100%, $G$9) + CHOOSE(CONTROL!$C$38, 0.0354, 0)</f>
        <v>79.214799999999997</v>
      </c>
      <c r="H1027" s="14">
        <f>79.1794 * CHOOSE(CONTROL!$C$15, $E$9, 100%, $G$9) + CHOOSE(CONTROL!$C$38, 0.0354, 0)</f>
        <v>79.214799999999997</v>
      </c>
      <c r="I1027" s="14">
        <f>79.181 * CHOOSE(CONTROL!$C$15, $E$9, 100%, $G$9) + CHOOSE(CONTROL!$C$38, 0.0354, 0)</f>
        <v>79.216399999999993</v>
      </c>
      <c r="J1027" s="44">
        <f>857.8196</f>
        <v>857.81960000000004</v>
      </c>
    </row>
    <row r="1028" spans="1:10" ht="15.75" x14ac:dyDescent="0.25">
      <c r="A1028" s="32">
        <v>72228</v>
      </c>
      <c r="B1028" s="14">
        <f>80.8963 * CHOOSE(CONTROL!$C$15, $E$9, 100%, $G$9) + CHOOSE(CONTROL!$C$38, 0.0264, 0)</f>
        <v>80.922699999999992</v>
      </c>
      <c r="C1028" s="14">
        <f>76.5645 * CHOOSE(CONTROL!$C$15, $E$9, 100%, $G$9) + CHOOSE(CONTROL!$C$38, 0.0354, 0)</f>
        <v>76.599899999999991</v>
      </c>
      <c r="D1028" s="14">
        <f>76.5567 * CHOOSE(CONTROL!$C$15, $E$9, 100%, $G$9) + CHOOSE(CONTROL!$C$38, 0.0354, 0)</f>
        <v>76.592100000000002</v>
      </c>
      <c r="E1028" s="46">
        <f>80.74 * CHOOSE(CONTROL!$C$15, $E$9, 100%, $G$9) + CHOOSE(CONTROL!$C$38, 0.0354, 0)</f>
        <v>80.775399999999991</v>
      </c>
      <c r="F1028" s="45">
        <f>80.74 * CHOOSE(CONTROL!$C$15, $E$9, 100%, $G$9) + CHOOSE(CONTROL!$C$38, 0.0264, 0)</f>
        <v>80.76639999999999</v>
      </c>
      <c r="G1028" s="14">
        <f>76.5629 * CHOOSE(CONTROL!$C$15, $E$9, 100%, $G$9) + CHOOSE(CONTROL!$C$38, 0.0354, 0)</f>
        <v>76.598299999999995</v>
      </c>
      <c r="H1028" s="14">
        <f>76.5629 * CHOOSE(CONTROL!$C$15, $E$9, 100%, $G$9) + CHOOSE(CONTROL!$C$38, 0.0354, 0)</f>
        <v>76.598299999999995</v>
      </c>
      <c r="I1028" s="14">
        <f>76.5645 * CHOOSE(CONTROL!$C$15, $E$9, 100%, $G$9) + CHOOSE(CONTROL!$C$38, 0.0354, 0)</f>
        <v>76.599899999999991</v>
      </c>
      <c r="J1028" s="44">
        <f>829.3072</f>
        <v>829.30719999999997</v>
      </c>
    </row>
    <row r="1029" spans="1:10" ht="15.75" x14ac:dyDescent="0.25">
      <c r="A1029" s="32">
        <v>72259</v>
      </c>
      <c r="B1029" s="14">
        <f>78.1202 * CHOOSE(CONTROL!$C$15, $E$9, 100%, $G$9) + CHOOSE(CONTROL!$C$38, 0.0251, 0)</f>
        <v>78.145299999999992</v>
      </c>
      <c r="C1029" s="14">
        <f>73.9327 * CHOOSE(CONTROL!$C$15, $E$9, 100%, $G$9) + CHOOSE(CONTROL!$C$38, 0.0342, 0)</f>
        <v>73.966899999999995</v>
      </c>
      <c r="D1029" s="14">
        <f>73.9249 * CHOOSE(CONTROL!$C$15, $E$9, 100%, $G$9) + CHOOSE(CONTROL!$C$38, 0.0342, 0)</f>
        <v>73.959099999999992</v>
      </c>
      <c r="E1029" s="46">
        <f>77.9639 * CHOOSE(CONTROL!$C$15, $E$9, 100%, $G$9) + CHOOSE(CONTROL!$C$38, 0.0342, 0)</f>
        <v>77.998099999999994</v>
      </c>
      <c r="F1029" s="45">
        <f>77.9639 * CHOOSE(CONTROL!$C$15, $E$9, 100%, $G$9) + CHOOSE(CONTROL!$C$38, 0.0251, 0)</f>
        <v>77.98899999999999</v>
      </c>
      <c r="G1029" s="14">
        <f>73.9312 * CHOOSE(CONTROL!$C$15, $E$9, 100%, $G$9) + CHOOSE(CONTROL!$C$38, 0.0342, 0)</f>
        <v>73.965400000000002</v>
      </c>
      <c r="H1029" s="14">
        <f>73.9312 * CHOOSE(CONTROL!$C$15, $E$9, 100%, $G$9) + CHOOSE(CONTROL!$C$38, 0.0342, 0)</f>
        <v>73.965400000000002</v>
      </c>
      <c r="I1029" s="14">
        <f>73.9327 * CHOOSE(CONTROL!$C$15, $E$9, 100%, $G$9) + CHOOSE(CONTROL!$C$38, 0.0342, 0)</f>
        <v>73.966899999999995</v>
      </c>
      <c r="J1029" s="44">
        <f>800.6289</f>
        <v>800.62890000000004</v>
      </c>
    </row>
    <row r="1030" spans="1:10" ht="15.75" x14ac:dyDescent="0.25">
      <c r="A1030" s="32">
        <v>72289</v>
      </c>
      <c r="B1030" s="14">
        <f>77.5679 * CHOOSE(CONTROL!$C$15, $E$9, 100%, $G$9) + CHOOSE(CONTROL!$C$38, 0.0251, 0)</f>
        <v>77.592999999999989</v>
      </c>
      <c r="C1030" s="14">
        <f>73.4092 * CHOOSE(CONTROL!$C$15, $E$9, 100%, $G$9) + CHOOSE(CONTROL!$C$38, 0.0342, 0)</f>
        <v>73.443399999999997</v>
      </c>
      <c r="D1030" s="14">
        <f>73.4014 * CHOOSE(CONTROL!$C$15, $E$9, 100%, $G$9) + CHOOSE(CONTROL!$C$38, 0.0342, 0)</f>
        <v>73.435599999999994</v>
      </c>
      <c r="E1030" s="46">
        <f>77.4117 * CHOOSE(CONTROL!$C$15, $E$9, 100%, $G$9) + CHOOSE(CONTROL!$C$38, 0.0342, 0)</f>
        <v>77.445899999999995</v>
      </c>
      <c r="F1030" s="45">
        <f>77.4117 * CHOOSE(CONTROL!$C$15, $E$9, 100%, $G$9) + CHOOSE(CONTROL!$C$38, 0.0251, 0)</f>
        <v>77.436799999999991</v>
      </c>
      <c r="G1030" s="14">
        <f>73.4077 * CHOOSE(CONTROL!$C$15, $E$9, 100%, $G$9) + CHOOSE(CONTROL!$C$38, 0.0342, 0)</f>
        <v>73.441900000000004</v>
      </c>
      <c r="H1030" s="14">
        <f>73.4077 * CHOOSE(CONTROL!$C$15, $E$9, 100%, $G$9) + CHOOSE(CONTROL!$C$38, 0.0342, 0)</f>
        <v>73.441900000000004</v>
      </c>
      <c r="I1030" s="14">
        <f>73.4092 * CHOOSE(CONTROL!$C$15, $E$9, 100%, $G$9) + CHOOSE(CONTROL!$C$38, 0.0342, 0)</f>
        <v>73.443399999999997</v>
      </c>
      <c r="J1030" s="44">
        <f>794.9242</f>
        <v>794.92420000000004</v>
      </c>
    </row>
    <row r="1031" spans="1:10" ht="15.75" x14ac:dyDescent="0.25">
      <c r="A1031" s="32">
        <v>72320</v>
      </c>
      <c r="B1031" s="14">
        <f>75.2844 * CHOOSE(CONTROL!$C$15, $E$9, 100%, $G$9) + CHOOSE(CONTROL!$C$38, 0.0251, 0)</f>
        <v>75.3095</v>
      </c>
      <c r="C1031" s="14">
        <f>71.2445 * CHOOSE(CONTROL!$C$15, $E$9, 100%, $G$9) + CHOOSE(CONTROL!$C$38, 0.0342, 0)</f>
        <v>71.278700000000001</v>
      </c>
      <c r="D1031" s="14">
        <f>71.2367 * CHOOSE(CONTROL!$C$15, $E$9, 100%, $G$9) + CHOOSE(CONTROL!$C$38, 0.0342, 0)</f>
        <v>71.270899999999997</v>
      </c>
      <c r="E1031" s="46">
        <f>75.1282 * CHOOSE(CONTROL!$C$15, $E$9, 100%, $G$9) + CHOOSE(CONTROL!$C$38, 0.0342, 0)</f>
        <v>75.162400000000005</v>
      </c>
      <c r="F1031" s="45">
        <f>75.1282 * CHOOSE(CONTROL!$C$15, $E$9, 100%, $G$9) + CHOOSE(CONTROL!$C$38, 0.0251, 0)</f>
        <v>75.153300000000002</v>
      </c>
      <c r="G1031" s="14">
        <f>71.2429 * CHOOSE(CONTROL!$C$15, $E$9, 100%, $G$9) + CHOOSE(CONTROL!$C$38, 0.0342, 0)</f>
        <v>71.277100000000004</v>
      </c>
      <c r="H1031" s="14">
        <f>71.2429 * CHOOSE(CONTROL!$C$15, $E$9, 100%, $G$9) + CHOOSE(CONTROL!$C$38, 0.0342, 0)</f>
        <v>71.277100000000004</v>
      </c>
      <c r="I1031" s="14">
        <f>71.2445 * CHOOSE(CONTROL!$C$15, $E$9, 100%, $G$9) + CHOOSE(CONTROL!$C$38, 0.0342, 0)</f>
        <v>71.278700000000001</v>
      </c>
      <c r="J1031" s="44">
        <f>771.3348</f>
        <v>771.33479999999997</v>
      </c>
    </row>
    <row r="1032" spans="1:10" ht="15.75" x14ac:dyDescent="0.25">
      <c r="A1032" s="32">
        <v>72351</v>
      </c>
      <c r="B1032" s="14">
        <f>74.7173 * CHOOSE(CONTROL!$C$15, $E$9, 100%, $G$9) + CHOOSE(CONTROL!$C$38, 0.0251, 0)</f>
        <v>74.742399999999989</v>
      </c>
      <c r="C1032" s="14">
        <f>70.7069 * CHOOSE(CONTROL!$C$15, $E$9, 100%, $G$9) + CHOOSE(CONTROL!$C$38, 0.0342, 0)</f>
        <v>70.741100000000003</v>
      </c>
      <c r="D1032" s="14">
        <f>70.6991 * CHOOSE(CONTROL!$C$15, $E$9, 100%, $G$9) + CHOOSE(CONTROL!$C$38, 0.0342, 0)</f>
        <v>70.7333</v>
      </c>
      <c r="E1032" s="46">
        <f>74.5611 * CHOOSE(CONTROL!$C$15, $E$9, 100%, $G$9) + CHOOSE(CONTROL!$C$38, 0.0342, 0)</f>
        <v>74.595299999999995</v>
      </c>
      <c r="F1032" s="45">
        <f>74.5611 * CHOOSE(CONTROL!$C$15, $E$9, 100%, $G$9) + CHOOSE(CONTROL!$C$38, 0.0251, 0)</f>
        <v>74.586199999999991</v>
      </c>
      <c r="G1032" s="14">
        <f>70.7053 * CHOOSE(CONTROL!$C$15, $E$9, 100%, $G$9) + CHOOSE(CONTROL!$C$38, 0.0342, 0)</f>
        <v>70.739499999999992</v>
      </c>
      <c r="H1032" s="14">
        <f>70.7053 * CHOOSE(CONTROL!$C$15, $E$9, 100%, $G$9) + CHOOSE(CONTROL!$C$38, 0.0342, 0)</f>
        <v>70.739499999999992</v>
      </c>
      <c r="I1032" s="14">
        <f>70.7069 * CHOOSE(CONTROL!$C$15, $E$9, 100%, $G$9) + CHOOSE(CONTROL!$C$38, 0.0342, 0)</f>
        <v>70.741100000000003</v>
      </c>
      <c r="J1032" s="44">
        <f>770.7779</f>
        <v>770.77790000000005</v>
      </c>
    </row>
    <row r="1033" spans="1:10" ht="15.75" x14ac:dyDescent="0.25">
      <c r="A1033" s="32">
        <v>72379</v>
      </c>
      <c r="B1033" s="14">
        <f>74.5114 * CHOOSE(CONTROL!$C$15, $E$9, 100%, $G$9) + CHOOSE(CONTROL!$C$38, 0.0251, 0)</f>
        <v>74.53649999999999</v>
      </c>
      <c r="C1033" s="14">
        <f>70.5116 * CHOOSE(CONTROL!$C$15, $E$9, 100%, $G$9) + CHOOSE(CONTROL!$C$38, 0.0342, 0)</f>
        <v>70.5458</v>
      </c>
      <c r="D1033" s="14">
        <f>70.5038 * CHOOSE(CONTROL!$C$15, $E$9, 100%, $G$9) + CHOOSE(CONTROL!$C$38, 0.0342, 0)</f>
        <v>70.537999999999997</v>
      </c>
      <c r="E1033" s="46">
        <f>74.3551 * CHOOSE(CONTROL!$C$15, $E$9, 100%, $G$9) + CHOOSE(CONTROL!$C$38, 0.0342, 0)</f>
        <v>74.389299999999992</v>
      </c>
      <c r="F1033" s="45">
        <f>74.3551 * CHOOSE(CONTROL!$C$15, $E$9, 100%, $G$9) + CHOOSE(CONTROL!$C$38, 0.0251, 0)</f>
        <v>74.380199999999988</v>
      </c>
      <c r="G1033" s="14">
        <f>70.5101 * CHOOSE(CONTROL!$C$15, $E$9, 100%, $G$9) + CHOOSE(CONTROL!$C$38, 0.0342, 0)</f>
        <v>70.544299999999993</v>
      </c>
      <c r="H1033" s="14">
        <f>70.5101 * CHOOSE(CONTROL!$C$15, $E$9, 100%, $G$9) + CHOOSE(CONTROL!$C$38, 0.0342, 0)</f>
        <v>70.544299999999993</v>
      </c>
      <c r="I1033" s="14">
        <f>70.5116 * CHOOSE(CONTROL!$C$15, $E$9, 100%, $G$9) + CHOOSE(CONTROL!$C$38, 0.0342, 0)</f>
        <v>70.5458</v>
      </c>
      <c r="J1033" s="44">
        <f>768.6354</f>
        <v>768.6354</v>
      </c>
    </row>
    <row r="1034" spans="1:10" ht="15.75" x14ac:dyDescent="0.25">
      <c r="A1034" s="32">
        <v>72410</v>
      </c>
      <c r="B1034" s="14">
        <f>78.406 * CHOOSE(CONTROL!$C$15, $E$9, 100%, $G$9) + CHOOSE(CONTROL!$C$38, 0.0251, 0)</f>
        <v>78.431100000000001</v>
      </c>
      <c r="C1034" s="14">
        <f>74.2037 * CHOOSE(CONTROL!$C$15, $E$9, 100%, $G$9) + CHOOSE(CONTROL!$C$38, 0.0342, 0)</f>
        <v>74.237899999999996</v>
      </c>
      <c r="D1034" s="14">
        <f>74.1959 * CHOOSE(CONTROL!$C$15, $E$9, 100%, $G$9) + CHOOSE(CONTROL!$C$38, 0.0342, 0)</f>
        <v>74.230099999999993</v>
      </c>
      <c r="E1034" s="46">
        <f>78.2498 * CHOOSE(CONTROL!$C$15, $E$9, 100%, $G$9) + CHOOSE(CONTROL!$C$38, 0.0342, 0)</f>
        <v>78.283999999999992</v>
      </c>
      <c r="F1034" s="45">
        <f>78.2498 * CHOOSE(CONTROL!$C$15, $E$9, 100%, $G$9) + CHOOSE(CONTROL!$C$38, 0.0251, 0)</f>
        <v>78.274899999999988</v>
      </c>
      <c r="G1034" s="14">
        <f>74.2022 * CHOOSE(CONTROL!$C$15, $E$9, 100%, $G$9) + CHOOSE(CONTROL!$C$38, 0.0342, 0)</f>
        <v>74.236400000000003</v>
      </c>
      <c r="H1034" s="14">
        <f>74.2022 * CHOOSE(CONTROL!$C$15, $E$9, 100%, $G$9) + CHOOSE(CONTROL!$C$38, 0.0342, 0)</f>
        <v>74.236400000000003</v>
      </c>
      <c r="I1034" s="14">
        <f>74.2037 * CHOOSE(CONTROL!$C$15, $E$9, 100%, $G$9) + CHOOSE(CONTROL!$C$38, 0.0342, 0)</f>
        <v>74.237899999999996</v>
      </c>
      <c r="J1034" s="44">
        <f>809.1469</f>
        <v>809.14689999999996</v>
      </c>
    </row>
    <row r="1035" spans="1:10" ht="15.75" x14ac:dyDescent="0.25">
      <c r="A1035" s="32">
        <v>72440</v>
      </c>
      <c r="B1035" s="14">
        <f>83.4564 * CHOOSE(CONTROL!$C$15, $E$9, 100%, $G$9) + CHOOSE(CONTROL!$C$38, 0.0251, 0)</f>
        <v>83.481499999999997</v>
      </c>
      <c r="C1035" s="14">
        <f>78.9915 * CHOOSE(CONTROL!$C$15, $E$9, 100%, $G$9) + CHOOSE(CONTROL!$C$38, 0.0342, 0)</f>
        <v>79.025700000000001</v>
      </c>
      <c r="D1035" s="14">
        <f>78.9836 * CHOOSE(CONTROL!$C$15, $E$9, 100%, $G$9) + CHOOSE(CONTROL!$C$38, 0.0342, 0)</f>
        <v>79.017799999999994</v>
      </c>
      <c r="E1035" s="46">
        <f>83.3002 * CHOOSE(CONTROL!$C$15, $E$9, 100%, $G$9) + CHOOSE(CONTROL!$C$38, 0.0342, 0)</f>
        <v>83.334400000000002</v>
      </c>
      <c r="F1035" s="45">
        <f>83.3002 * CHOOSE(CONTROL!$C$15, $E$9, 100%, $G$9) + CHOOSE(CONTROL!$C$38, 0.0251, 0)</f>
        <v>83.325299999999999</v>
      </c>
      <c r="G1035" s="14">
        <f>78.9899 * CHOOSE(CONTROL!$C$15, $E$9, 100%, $G$9) + CHOOSE(CONTROL!$C$38, 0.0342, 0)</f>
        <v>79.024100000000004</v>
      </c>
      <c r="H1035" s="14">
        <f>78.9899 * CHOOSE(CONTROL!$C$15, $E$9, 100%, $G$9) + CHOOSE(CONTROL!$C$38, 0.0342, 0)</f>
        <v>79.024100000000004</v>
      </c>
      <c r="I1035" s="14">
        <f>78.9915 * CHOOSE(CONTROL!$C$15, $E$9, 100%, $G$9) + CHOOSE(CONTROL!$C$38, 0.0342, 0)</f>
        <v>79.025700000000001</v>
      </c>
      <c r="J1035" s="44">
        <f>861.6807</f>
        <v>861.6807</v>
      </c>
    </row>
    <row r="1036" spans="1:10" ht="15.75" x14ac:dyDescent="0.25">
      <c r="A1036" s="32">
        <v>72471</v>
      </c>
      <c r="B1036" s="14">
        <f>86.2364 * CHOOSE(CONTROL!$C$15, $E$9, 100%, $G$9) + CHOOSE(CONTROL!$C$38, 0.0264, 0)</f>
        <v>86.262799999999999</v>
      </c>
      <c r="C1036" s="14">
        <f>81.6268 * CHOOSE(CONTROL!$C$15, $E$9, 100%, $G$9) + CHOOSE(CONTROL!$C$38, 0.0354, 0)</f>
        <v>81.662199999999999</v>
      </c>
      <c r="D1036" s="14">
        <f>81.619 * CHOOSE(CONTROL!$C$15, $E$9, 100%, $G$9) + CHOOSE(CONTROL!$C$38, 0.0354, 0)</f>
        <v>81.654399999999995</v>
      </c>
      <c r="E1036" s="46">
        <f>86.0801 * CHOOSE(CONTROL!$C$15, $E$9, 100%, $G$9) + CHOOSE(CONTROL!$C$38, 0.0354, 0)</f>
        <v>86.115499999999997</v>
      </c>
      <c r="F1036" s="45">
        <f>86.0801 * CHOOSE(CONTROL!$C$15, $E$9, 100%, $G$9) + CHOOSE(CONTROL!$C$38, 0.0264, 0)</f>
        <v>86.106499999999997</v>
      </c>
      <c r="G1036" s="14">
        <f>81.6252 * CHOOSE(CONTROL!$C$15, $E$9, 100%, $G$9) + CHOOSE(CONTROL!$C$38, 0.0354, 0)</f>
        <v>81.660600000000002</v>
      </c>
      <c r="H1036" s="14">
        <f>81.6252 * CHOOSE(CONTROL!$C$15, $E$9, 100%, $G$9) + CHOOSE(CONTROL!$C$38, 0.0354, 0)</f>
        <v>81.660600000000002</v>
      </c>
      <c r="I1036" s="14">
        <f>81.6268 * CHOOSE(CONTROL!$C$15, $E$9, 100%, $G$9) + CHOOSE(CONTROL!$C$38, 0.0354, 0)</f>
        <v>81.662199999999999</v>
      </c>
      <c r="J1036" s="44">
        <f>890.597</f>
        <v>890.59699999999998</v>
      </c>
    </row>
    <row r="1037" spans="1:10" ht="15.75" x14ac:dyDescent="0.25">
      <c r="A1037" s="32">
        <v>72501</v>
      </c>
      <c r="B1037" s="14">
        <f>87.47 * CHOOSE(CONTROL!$C$15, $E$9, 100%, $G$9) + CHOOSE(CONTROL!$C$38, 0.0264, 0)</f>
        <v>87.496399999999994</v>
      </c>
      <c r="C1037" s="14">
        <f>82.7963 * CHOOSE(CONTROL!$C$15, $E$9, 100%, $G$9) + CHOOSE(CONTROL!$C$38, 0.0354, 0)</f>
        <v>82.831699999999998</v>
      </c>
      <c r="D1037" s="14">
        <f>82.7885 * CHOOSE(CONTROL!$C$15, $E$9, 100%, $G$9) + CHOOSE(CONTROL!$C$38, 0.0354, 0)</f>
        <v>82.823899999999995</v>
      </c>
      <c r="E1037" s="46">
        <f>87.3138 * CHOOSE(CONTROL!$C$15, $E$9, 100%, $G$9) + CHOOSE(CONTROL!$C$38, 0.0354, 0)</f>
        <v>87.349199999999996</v>
      </c>
      <c r="F1037" s="45">
        <f>87.3138 * CHOOSE(CONTROL!$C$15, $E$9, 100%, $G$9) + CHOOSE(CONTROL!$C$38, 0.0264, 0)</f>
        <v>87.340199999999996</v>
      </c>
      <c r="G1037" s="14">
        <f>82.7947 * CHOOSE(CONTROL!$C$15, $E$9, 100%, $G$9) + CHOOSE(CONTROL!$C$38, 0.0354, 0)</f>
        <v>82.830100000000002</v>
      </c>
      <c r="H1037" s="14">
        <f>82.7947 * CHOOSE(CONTROL!$C$15, $E$9, 100%, $G$9) + CHOOSE(CONTROL!$C$38, 0.0354, 0)</f>
        <v>82.830100000000002</v>
      </c>
      <c r="I1037" s="14">
        <f>82.7963 * CHOOSE(CONTROL!$C$15, $E$9, 100%, $G$9) + CHOOSE(CONTROL!$C$38, 0.0354, 0)</f>
        <v>82.831699999999998</v>
      </c>
      <c r="J1037" s="44">
        <f>903.4295</f>
        <v>903.42949999999996</v>
      </c>
    </row>
    <row r="1038" spans="1:10" ht="15.75" x14ac:dyDescent="0.25">
      <c r="A1038" s="32">
        <v>72532</v>
      </c>
      <c r="B1038" s="14">
        <f>87.0638 * CHOOSE(CONTROL!$C$15, $E$9, 100%, $G$9) + CHOOSE(CONTROL!$C$38, 0.0264, 0)</f>
        <v>87.090199999999996</v>
      </c>
      <c r="C1038" s="14">
        <f>82.4112 * CHOOSE(CONTROL!$C$15, $E$9, 100%, $G$9) + CHOOSE(CONTROL!$C$38, 0.0354, 0)</f>
        <v>82.446599999999989</v>
      </c>
      <c r="D1038" s="14">
        <f>82.4034 * CHOOSE(CONTROL!$C$15, $E$9, 100%, $G$9) + CHOOSE(CONTROL!$C$38, 0.0354, 0)</f>
        <v>82.438800000000001</v>
      </c>
      <c r="E1038" s="46">
        <f>86.9076 * CHOOSE(CONTROL!$C$15, $E$9, 100%, $G$9) + CHOOSE(CONTROL!$C$38, 0.0354, 0)</f>
        <v>86.942999999999998</v>
      </c>
      <c r="F1038" s="45">
        <f>86.9076 * CHOOSE(CONTROL!$C$15, $E$9, 100%, $G$9) + CHOOSE(CONTROL!$C$38, 0.0264, 0)</f>
        <v>86.933999999999997</v>
      </c>
      <c r="G1038" s="14">
        <f>82.4097 * CHOOSE(CONTROL!$C$15, $E$9, 100%, $G$9) + CHOOSE(CONTROL!$C$38, 0.0354, 0)</f>
        <v>82.445099999999996</v>
      </c>
      <c r="H1038" s="14">
        <f>82.4097 * CHOOSE(CONTROL!$C$15, $E$9, 100%, $G$9) + CHOOSE(CONTROL!$C$38, 0.0354, 0)</f>
        <v>82.445099999999996</v>
      </c>
      <c r="I1038" s="14">
        <f>82.4112 * CHOOSE(CONTROL!$C$15, $E$9, 100%, $G$9) + CHOOSE(CONTROL!$C$38, 0.0354, 0)</f>
        <v>82.446599999999989</v>
      </c>
      <c r="J1038" s="44">
        <f>899.2045</f>
        <v>899.20450000000005</v>
      </c>
    </row>
    <row r="1039" spans="1:10" ht="15.75" x14ac:dyDescent="0.25">
      <c r="A1039" s="32">
        <v>72563</v>
      </c>
      <c r="B1039" s="14">
        <f>85.0514 * CHOOSE(CONTROL!$C$15, $E$9, 100%, $G$9) + CHOOSE(CONTROL!$C$38, 0.0264, 0)</f>
        <v>85.077799999999996</v>
      </c>
      <c r="C1039" s="14">
        <f>80.5035 * CHOOSE(CONTROL!$C$15, $E$9, 100%, $G$9) + CHOOSE(CONTROL!$C$38, 0.0354, 0)</f>
        <v>80.538899999999998</v>
      </c>
      <c r="D1039" s="14">
        <f>80.4957 * CHOOSE(CONTROL!$C$15, $E$9, 100%, $G$9) + CHOOSE(CONTROL!$C$38, 0.0354, 0)</f>
        <v>80.531099999999995</v>
      </c>
      <c r="E1039" s="46">
        <f>84.8952 * CHOOSE(CONTROL!$C$15, $E$9, 100%, $G$9) + CHOOSE(CONTROL!$C$38, 0.0354, 0)</f>
        <v>84.930599999999998</v>
      </c>
      <c r="F1039" s="45">
        <f>84.8952 * CHOOSE(CONTROL!$C$15, $E$9, 100%, $G$9) + CHOOSE(CONTROL!$C$38, 0.0264, 0)</f>
        <v>84.921599999999998</v>
      </c>
      <c r="G1039" s="14">
        <f>80.5019 * CHOOSE(CONTROL!$C$15, $E$9, 100%, $G$9) + CHOOSE(CONTROL!$C$38, 0.0354, 0)</f>
        <v>80.537300000000002</v>
      </c>
      <c r="H1039" s="14">
        <f>80.5019 * CHOOSE(CONTROL!$C$15, $E$9, 100%, $G$9) + CHOOSE(CONTROL!$C$38, 0.0354, 0)</f>
        <v>80.537300000000002</v>
      </c>
      <c r="I1039" s="14">
        <f>80.5035 * CHOOSE(CONTROL!$C$15, $E$9, 100%, $G$9) + CHOOSE(CONTROL!$C$38, 0.0354, 0)</f>
        <v>80.538899999999998</v>
      </c>
      <c r="J1039" s="44">
        <f>878.2714</f>
        <v>878.27139999999997</v>
      </c>
    </row>
    <row r="1040" spans="1:10" ht="15.75" x14ac:dyDescent="0.25">
      <c r="A1040" s="32">
        <v>72593</v>
      </c>
      <c r="B1040" s="14">
        <f>82.245 * CHOOSE(CONTROL!$C$15, $E$9, 100%, $G$9) + CHOOSE(CONTROL!$C$38, 0.0264, 0)</f>
        <v>82.2714</v>
      </c>
      <c r="C1040" s="14">
        <f>77.843 * CHOOSE(CONTROL!$C$15, $E$9, 100%, $G$9) + CHOOSE(CONTROL!$C$38, 0.0354, 0)</f>
        <v>77.878399999999999</v>
      </c>
      <c r="D1040" s="14">
        <f>77.8352 * CHOOSE(CONTROL!$C$15, $E$9, 100%, $G$9) + CHOOSE(CONTROL!$C$38, 0.0354, 0)</f>
        <v>77.870599999999996</v>
      </c>
      <c r="E1040" s="46">
        <f>82.0887 * CHOOSE(CONTROL!$C$15, $E$9, 100%, $G$9) + CHOOSE(CONTROL!$C$38, 0.0354, 0)</f>
        <v>82.124099999999999</v>
      </c>
      <c r="F1040" s="45">
        <f>82.0887 * CHOOSE(CONTROL!$C$15, $E$9, 100%, $G$9) + CHOOSE(CONTROL!$C$38, 0.0264, 0)</f>
        <v>82.115099999999998</v>
      </c>
      <c r="G1040" s="14">
        <f>77.8414 * CHOOSE(CONTROL!$C$15, $E$9, 100%, $G$9) + CHOOSE(CONTROL!$C$38, 0.0354, 0)</f>
        <v>77.876799999999989</v>
      </c>
      <c r="H1040" s="14">
        <f>77.8414 * CHOOSE(CONTROL!$C$15, $E$9, 100%, $G$9) + CHOOSE(CONTROL!$C$38, 0.0354, 0)</f>
        <v>77.876799999999989</v>
      </c>
      <c r="I1040" s="14">
        <f>77.843 * CHOOSE(CONTROL!$C$15, $E$9, 100%, $G$9) + CHOOSE(CONTROL!$C$38, 0.0354, 0)</f>
        <v>77.878399999999999</v>
      </c>
      <c r="J1040" s="44">
        <f>849.0791</f>
        <v>849.07910000000004</v>
      </c>
    </row>
    <row r="1041" spans="1:10" ht="15.75" x14ac:dyDescent="0.25">
      <c r="A1041" s="32">
        <v>72624</v>
      </c>
      <c r="B1041" s="14">
        <f>79.4222 * CHOOSE(CONTROL!$C$15, $E$9, 100%, $G$9) + CHOOSE(CONTROL!$C$38, 0.0251, 0)</f>
        <v>79.447299999999998</v>
      </c>
      <c r="C1041" s="14">
        <f>75.167 * CHOOSE(CONTROL!$C$15, $E$9, 100%, $G$9) + CHOOSE(CONTROL!$C$38, 0.0342, 0)</f>
        <v>75.2012</v>
      </c>
      <c r="D1041" s="14">
        <f>75.1592 * CHOOSE(CONTROL!$C$15, $E$9, 100%, $G$9) + CHOOSE(CONTROL!$C$38, 0.0342, 0)</f>
        <v>75.193399999999997</v>
      </c>
      <c r="E1041" s="46">
        <f>79.2659 * CHOOSE(CONTROL!$C$15, $E$9, 100%, $G$9) + CHOOSE(CONTROL!$C$38, 0.0342, 0)</f>
        <v>79.3001</v>
      </c>
      <c r="F1041" s="45">
        <f>79.2659 * CHOOSE(CONTROL!$C$15, $E$9, 100%, $G$9) + CHOOSE(CONTROL!$C$38, 0.0251, 0)</f>
        <v>79.290999999999997</v>
      </c>
      <c r="G1041" s="14">
        <f>75.1655 * CHOOSE(CONTROL!$C$15, $E$9, 100%, $G$9) + CHOOSE(CONTROL!$C$38, 0.0342, 0)</f>
        <v>75.199699999999993</v>
      </c>
      <c r="H1041" s="14">
        <f>75.1655 * CHOOSE(CONTROL!$C$15, $E$9, 100%, $G$9) + CHOOSE(CONTROL!$C$38, 0.0342, 0)</f>
        <v>75.199699999999993</v>
      </c>
      <c r="I1041" s="14">
        <f>75.167 * CHOOSE(CONTROL!$C$15, $E$9, 100%, $G$9) + CHOOSE(CONTROL!$C$38, 0.0342, 0)</f>
        <v>75.2012</v>
      </c>
      <c r="J1041" s="44">
        <f>819.7171</f>
        <v>819.71709999999996</v>
      </c>
    </row>
    <row r="1042" spans="1:10" ht="15.75" x14ac:dyDescent="0.25">
      <c r="A1042" s="32">
        <v>72654</v>
      </c>
      <c r="B1042" s="14">
        <f>78.8607 * CHOOSE(CONTROL!$C$15, $E$9, 100%, $G$9) + CHOOSE(CONTROL!$C$38, 0.0251, 0)</f>
        <v>78.885799999999989</v>
      </c>
      <c r="C1042" s="14">
        <f>74.6347 * CHOOSE(CONTROL!$C$15, $E$9, 100%, $G$9) + CHOOSE(CONTROL!$C$38, 0.0342, 0)</f>
        <v>74.668899999999994</v>
      </c>
      <c r="D1042" s="14">
        <f>74.6269 * CHOOSE(CONTROL!$C$15, $E$9, 100%, $G$9) + CHOOSE(CONTROL!$C$38, 0.0342, 0)</f>
        <v>74.661100000000005</v>
      </c>
      <c r="E1042" s="46">
        <f>78.7044 * CHOOSE(CONTROL!$C$15, $E$9, 100%, $G$9) + CHOOSE(CONTROL!$C$38, 0.0342, 0)</f>
        <v>78.738600000000005</v>
      </c>
      <c r="F1042" s="45">
        <f>78.7044 * CHOOSE(CONTROL!$C$15, $E$9, 100%, $G$9) + CHOOSE(CONTROL!$C$38, 0.0251, 0)</f>
        <v>78.729500000000002</v>
      </c>
      <c r="G1042" s="14">
        <f>74.6332 * CHOOSE(CONTROL!$C$15, $E$9, 100%, $G$9) + CHOOSE(CONTROL!$C$38, 0.0342, 0)</f>
        <v>74.667400000000001</v>
      </c>
      <c r="H1042" s="14">
        <f>74.6332 * CHOOSE(CONTROL!$C$15, $E$9, 100%, $G$9) + CHOOSE(CONTROL!$C$38, 0.0342, 0)</f>
        <v>74.667400000000001</v>
      </c>
      <c r="I1042" s="14">
        <f>74.6347 * CHOOSE(CONTROL!$C$15, $E$9, 100%, $G$9) + CHOOSE(CONTROL!$C$38, 0.0342, 0)</f>
        <v>74.668899999999994</v>
      </c>
      <c r="J1042" s="44">
        <f>813.8764</f>
        <v>813.87639999999999</v>
      </c>
    </row>
    <row r="1043" spans="1:10" ht="15.75" x14ac:dyDescent="0.25">
      <c r="A1043" s="32">
        <v>72685</v>
      </c>
      <c r="B1043" s="14">
        <f>76.5388 * CHOOSE(CONTROL!$C$15, $E$9, 100%, $G$9) + CHOOSE(CONTROL!$C$38, 0.0251, 0)</f>
        <v>76.56389999999999</v>
      </c>
      <c r="C1043" s="14">
        <f>72.4336 * CHOOSE(CONTROL!$C$15, $E$9, 100%, $G$9) + CHOOSE(CONTROL!$C$38, 0.0342, 0)</f>
        <v>72.467799999999997</v>
      </c>
      <c r="D1043" s="14">
        <f>72.4258 * CHOOSE(CONTROL!$C$15, $E$9, 100%, $G$9) + CHOOSE(CONTROL!$C$38, 0.0342, 0)</f>
        <v>72.459999999999994</v>
      </c>
      <c r="E1043" s="46">
        <f>76.3825 * CHOOSE(CONTROL!$C$15, $E$9, 100%, $G$9) + CHOOSE(CONTROL!$C$38, 0.0342, 0)</f>
        <v>76.416699999999992</v>
      </c>
      <c r="F1043" s="45">
        <f>76.3825 * CHOOSE(CONTROL!$C$15, $E$9, 100%, $G$9) + CHOOSE(CONTROL!$C$38, 0.0251, 0)</f>
        <v>76.407599999999988</v>
      </c>
      <c r="G1043" s="14">
        <f>72.4321 * CHOOSE(CONTROL!$C$15, $E$9, 100%, $G$9) + CHOOSE(CONTROL!$C$38, 0.0342, 0)</f>
        <v>72.466300000000004</v>
      </c>
      <c r="H1043" s="14">
        <f>72.4321 * CHOOSE(CONTROL!$C$15, $E$9, 100%, $G$9) + CHOOSE(CONTROL!$C$38, 0.0342, 0)</f>
        <v>72.466300000000004</v>
      </c>
      <c r="I1043" s="14">
        <f>72.4336 * CHOOSE(CONTROL!$C$15, $E$9, 100%, $G$9) + CHOOSE(CONTROL!$C$38, 0.0342, 0)</f>
        <v>72.467799999999997</v>
      </c>
      <c r="J1043" s="44">
        <f>789.7246</f>
        <v>789.72460000000001</v>
      </c>
    </row>
    <row r="1044" spans="1:10" ht="15.75" x14ac:dyDescent="0.25">
      <c r="A1044" s="32">
        <v>72716</v>
      </c>
      <c r="B1044" s="14">
        <f>75.9622 * CHOOSE(CONTROL!$C$15, $E$9, 100%, $G$9) + CHOOSE(CONTROL!$C$38, 0.0251, 0)</f>
        <v>75.987299999999991</v>
      </c>
      <c r="C1044" s="14">
        <f>71.887 * CHOOSE(CONTROL!$C$15, $E$9, 100%, $G$9) + CHOOSE(CONTROL!$C$38, 0.0342, 0)</f>
        <v>71.921199999999999</v>
      </c>
      <c r="D1044" s="14">
        <f>71.8792 * CHOOSE(CONTROL!$C$15, $E$9, 100%, $G$9) + CHOOSE(CONTROL!$C$38, 0.0342, 0)</f>
        <v>71.913399999999996</v>
      </c>
      <c r="E1044" s="46">
        <f>75.8059 * CHOOSE(CONTROL!$C$15, $E$9, 100%, $G$9) + CHOOSE(CONTROL!$C$38, 0.0342, 0)</f>
        <v>75.840099999999993</v>
      </c>
      <c r="F1044" s="45">
        <f>75.8059 * CHOOSE(CONTROL!$C$15, $E$9, 100%, $G$9) + CHOOSE(CONTROL!$C$38, 0.0251, 0)</f>
        <v>75.830999999999989</v>
      </c>
      <c r="G1044" s="14">
        <f>71.8855 * CHOOSE(CONTROL!$C$15, $E$9, 100%, $G$9) + CHOOSE(CONTROL!$C$38, 0.0342, 0)</f>
        <v>71.919699999999992</v>
      </c>
      <c r="H1044" s="14">
        <f>71.8855 * CHOOSE(CONTROL!$C$15, $E$9, 100%, $G$9) + CHOOSE(CONTROL!$C$38, 0.0342, 0)</f>
        <v>71.919699999999992</v>
      </c>
      <c r="I1044" s="14">
        <f>71.887 * CHOOSE(CONTROL!$C$15, $E$9, 100%, $G$9) + CHOOSE(CONTROL!$C$38, 0.0342, 0)</f>
        <v>71.921199999999999</v>
      </c>
      <c r="J1044" s="44">
        <f>789.1544</f>
        <v>789.15440000000001</v>
      </c>
    </row>
    <row r="1045" spans="1:10" ht="15.75" x14ac:dyDescent="0.25">
      <c r="A1045" s="32">
        <v>72744</v>
      </c>
      <c r="B1045" s="14">
        <f>75.7528 * CHOOSE(CONTROL!$C$15, $E$9, 100%, $G$9) + CHOOSE(CONTROL!$C$38, 0.0251, 0)</f>
        <v>75.777899999999988</v>
      </c>
      <c r="C1045" s="14">
        <f>71.6885 * CHOOSE(CONTROL!$C$15, $E$9, 100%, $G$9) + CHOOSE(CONTROL!$C$38, 0.0342, 0)</f>
        <v>71.722700000000003</v>
      </c>
      <c r="D1045" s="14">
        <f>71.6807 * CHOOSE(CONTROL!$C$15, $E$9, 100%, $G$9) + CHOOSE(CONTROL!$C$38, 0.0342, 0)</f>
        <v>71.7149</v>
      </c>
      <c r="E1045" s="46">
        <f>75.5965 * CHOOSE(CONTROL!$C$15, $E$9, 100%, $G$9) + CHOOSE(CONTROL!$C$38, 0.0342, 0)</f>
        <v>75.630700000000004</v>
      </c>
      <c r="F1045" s="45">
        <f>75.5965 * CHOOSE(CONTROL!$C$15, $E$9, 100%, $G$9) + CHOOSE(CONTROL!$C$38, 0.0251, 0)</f>
        <v>75.621600000000001</v>
      </c>
      <c r="G1045" s="14">
        <f>71.6869 * CHOOSE(CONTROL!$C$15, $E$9, 100%, $G$9) + CHOOSE(CONTROL!$C$38, 0.0342, 0)</f>
        <v>71.721099999999993</v>
      </c>
      <c r="H1045" s="14">
        <f>71.6869 * CHOOSE(CONTROL!$C$15, $E$9, 100%, $G$9) + CHOOSE(CONTROL!$C$38, 0.0342, 0)</f>
        <v>71.721099999999993</v>
      </c>
      <c r="I1045" s="14">
        <f>71.6885 * CHOOSE(CONTROL!$C$15, $E$9, 100%, $G$9) + CHOOSE(CONTROL!$C$38, 0.0342, 0)</f>
        <v>71.722700000000003</v>
      </c>
      <c r="J1045" s="44">
        <f>786.9608</f>
        <v>786.96079999999995</v>
      </c>
    </row>
    <row r="1046" spans="1:10" ht="15.75" x14ac:dyDescent="0.25">
      <c r="A1046" s="32">
        <v>72775</v>
      </c>
      <c r="B1046" s="14">
        <f>79.7128 * CHOOSE(CONTROL!$C$15, $E$9, 100%, $G$9) + CHOOSE(CONTROL!$C$38, 0.0251, 0)</f>
        <v>79.737899999999996</v>
      </c>
      <c r="C1046" s="14">
        <f>75.4426 * CHOOSE(CONTROL!$C$15, $E$9, 100%, $G$9) + CHOOSE(CONTROL!$C$38, 0.0342, 0)</f>
        <v>75.476799999999997</v>
      </c>
      <c r="D1046" s="14">
        <f>75.4348 * CHOOSE(CONTROL!$C$15, $E$9, 100%, $G$9) + CHOOSE(CONTROL!$C$38, 0.0342, 0)</f>
        <v>75.468999999999994</v>
      </c>
      <c r="E1046" s="46">
        <f>79.5566 * CHOOSE(CONTROL!$C$15, $E$9, 100%, $G$9) + CHOOSE(CONTROL!$C$38, 0.0342, 0)</f>
        <v>79.590800000000002</v>
      </c>
      <c r="F1046" s="45">
        <f>79.5566 * CHOOSE(CONTROL!$C$15, $E$9, 100%, $G$9) + CHOOSE(CONTROL!$C$38, 0.0251, 0)</f>
        <v>79.581699999999998</v>
      </c>
      <c r="G1046" s="14">
        <f>75.441 * CHOOSE(CONTROL!$C$15, $E$9, 100%, $G$9) + CHOOSE(CONTROL!$C$38, 0.0342, 0)</f>
        <v>75.475200000000001</v>
      </c>
      <c r="H1046" s="14">
        <f>75.441 * CHOOSE(CONTROL!$C$15, $E$9, 100%, $G$9) + CHOOSE(CONTROL!$C$38, 0.0342, 0)</f>
        <v>75.475200000000001</v>
      </c>
      <c r="I1046" s="14">
        <f>75.4426 * CHOOSE(CONTROL!$C$15, $E$9, 100%, $G$9) + CHOOSE(CONTROL!$C$38, 0.0342, 0)</f>
        <v>75.476799999999997</v>
      </c>
      <c r="J1046" s="44">
        <f>828.4382</f>
        <v>828.43820000000005</v>
      </c>
    </row>
    <row r="1047" spans="1:10" ht="15.75" x14ac:dyDescent="0.25">
      <c r="A1047" s="32">
        <v>72805</v>
      </c>
      <c r="B1047" s="14">
        <f>84.8481 * CHOOSE(CONTROL!$C$15, $E$9, 100%, $G$9) + CHOOSE(CONTROL!$C$38, 0.0251, 0)</f>
        <v>84.873199999999997</v>
      </c>
      <c r="C1047" s="14">
        <f>80.3108 * CHOOSE(CONTROL!$C$15, $E$9, 100%, $G$9) + CHOOSE(CONTROL!$C$38, 0.0342, 0)</f>
        <v>80.344999999999999</v>
      </c>
      <c r="D1047" s="14">
        <f>80.3029 * CHOOSE(CONTROL!$C$15, $E$9, 100%, $G$9) + CHOOSE(CONTROL!$C$38, 0.0342, 0)</f>
        <v>80.337099999999992</v>
      </c>
      <c r="E1047" s="46">
        <f>84.6919 * CHOOSE(CONTROL!$C$15, $E$9, 100%, $G$9) + CHOOSE(CONTROL!$C$38, 0.0342, 0)</f>
        <v>84.726100000000002</v>
      </c>
      <c r="F1047" s="45">
        <f>84.6919 * CHOOSE(CONTROL!$C$15, $E$9, 100%, $G$9) + CHOOSE(CONTROL!$C$38, 0.0251, 0)</f>
        <v>84.716999999999999</v>
      </c>
      <c r="G1047" s="14">
        <f>80.3092 * CHOOSE(CONTROL!$C$15, $E$9, 100%, $G$9) + CHOOSE(CONTROL!$C$38, 0.0342, 0)</f>
        <v>80.343400000000003</v>
      </c>
      <c r="H1047" s="14">
        <f>80.3092 * CHOOSE(CONTROL!$C$15, $E$9, 100%, $G$9) + CHOOSE(CONTROL!$C$38, 0.0342, 0)</f>
        <v>80.343400000000003</v>
      </c>
      <c r="I1047" s="14">
        <f>80.3108 * CHOOSE(CONTROL!$C$15, $E$9, 100%, $G$9) + CHOOSE(CONTROL!$C$38, 0.0342, 0)</f>
        <v>80.344999999999999</v>
      </c>
      <c r="J1047" s="44">
        <f>882.2244</f>
        <v>882.22439999999995</v>
      </c>
    </row>
    <row r="1048" spans="1:10" ht="15.75" x14ac:dyDescent="0.25">
      <c r="A1048" s="32">
        <v>72836</v>
      </c>
      <c r="B1048" s="14">
        <f>87.6747 * CHOOSE(CONTROL!$C$15, $E$9, 100%, $G$9) + CHOOSE(CONTROL!$C$38, 0.0264, 0)</f>
        <v>87.701099999999997</v>
      </c>
      <c r="C1048" s="14">
        <f>82.9904 * CHOOSE(CONTROL!$C$15, $E$9, 100%, $G$9) + CHOOSE(CONTROL!$C$38, 0.0354, 0)</f>
        <v>83.02579999999999</v>
      </c>
      <c r="D1048" s="14">
        <f>82.9825 * CHOOSE(CONTROL!$C$15, $E$9, 100%, $G$9) + CHOOSE(CONTROL!$C$38, 0.0354, 0)</f>
        <v>83.017899999999997</v>
      </c>
      <c r="E1048" s="46">
        <f>87.5185 * CHOOSE(CONTROL!$C$15, $E$9, 100%, $G$9) + CHOOSE(CONTROL!$C$38, 0.0354, 0)</f>
        <v>87.553899999999999</v>
      </c>
      <c r="F1048" s="45">
        <f>87.5185 * CHOOSE(CONTROL!$C$15, $E$9, 100%, $G$9) + CHOOSE(CONTROL!$C$38, 0.0264, 0)</f>
        <v>87.544899999999998</v>
      </c>
      <c r="G1048" s="14">
        <f>82.9888 * CHOOSE(CONTROL!$C$15, $E$9, 100%, $G$9) + CHOOSE(CONTROL!$C$38, 0.0354, 0)</f>
        <v>83.024199999999993</v>
      </c>
      <c r="H1048" s="14">
        <f>82.9888 * CHOOSE(CONTROL!$C$15, $E$9, 100%, $G$9) + CHOOSE(CONTROL!$C$38, 0.0354, 0)</f>
        <v>83.024199999999993</v>
      </c>
      <c r="I1048" s="14">
        <f>82.9904 * CHOOSE(CONTROL!$C$15, $E$9, 100%, $G$9) + CHOOSE(CONTROL!$C$38, 0.0354, 0)</f>
        <v>83.02579999999999</v>
      </c>
      <c r="J1048" s="44">
        <f>911.8302</f>
        <v>911.83019999999999</v>
      </c>
    </row>
    <row r="1049" spans="1:10" ht="15.75" x14ac:dyDescent="0.25">
      <c r="A1049" s="32">
        <v>72866</v>
      </c>
      <c r="B1049" s="14">
        <f>88.9291 * CHOOSE(CONTROL!$C$15, $E$9, 100%, $G$9) + CHOOSE(CONTROL!$C$38, 0.0264, 0)</f>
        <v>88.955500000000001</v>
      </c>
      <c r="C1049" s="14">
        <f>84.1795 * CHOOSE(CONTROL!$C$15, $E$9, 100%, $G$9) + CHOOSE(CONTROL!$C$38, 0.0354, 0)</f>
        <v>84.2149</v>
      </c>
      <c r="D1049" s="14">
        <f>84.1717 * CHOOSE(CONTROL!$C$15, $E$9, 100%, $G$9) + CHOOSE(CONTROL!$C$38, 0.0354, 0)</f>
        <v>84.207099999999997</v>
      </c>
      <c r="E1049" s="46">
        <f>88.7729 * CHOOSE(CONTROL!$C$15, $E$9, 100%, $G$9) + CHOOSE(CONTROL!$C$38, 0.0354, 0)</f>
        <v>88.808300000000003</v>
      </c>
      <c r="F1049" s="45">
        <f>88.7729 * CHOOSE(CONTROL!$C$15, $E$9, 100%, $G$9) + CHOOSE(CONTROL!$C$38, 0.0264, 0)</f>
        <v>88.799300000000002</v>
      </c>
      <c r="G1049" s="14">
        <f>84.1779 * CHOOSE(CONTROL!$C$15, $E$9, 100%, $G$9) + CHOOSE(CONTROL!$C$38, 0.0354, 0)</f>
        <v>84.21329999999999</v>
      </c>
      <c r="H1049" s="14">
        <f>84.1779 * CHOOSE(CONTROL!$C$15, $E$9, 100%, $G$9) + CHOOSE(CONTROL!$C$38, 0.0354, 0)</f>
        <v>84.21329999999999</v>
      </c>
      <c r="I1049" s="14">
        <f>84.1795 * CHOOSE(CONTROL!$C$15, $E$9, 100%, $G$9) + CHOOSE(CONTROL!$C$38, 0.0354, 0)</f>
        <v>84.2149</v>
      </c>
      <c r="J1049" s="44">
        <f>924.9686</f>
        <v>924.96860000000004</v>
      </c>
    </row>
    <row r="1050" spans="1:10" ht="15.75" x14ac:dyDescent="0.25">
      <c r="A1050" s="32">
        <v>72897</v>
      </c>
      <c r="B1050" s="14">
        <f>88.5161 * CHOOSE(CONTROL!$C$15, $E$9, 100%, $G$9) + CHOOSE(CONTROL!$C$38, 0.0264, 0)</f>
        <v>88.54249999999999</v>
      </c>
      <c r="C1050" s="14">
        <f>83.788 * CHOOSE(CONTROL!$C$15, $E$9, 100%, $G$9) + CHOOSE(CONTROL!$C$38, 0.0354, 0)</f>
        <v>83.823399999999992</v>
      </c>
      <c r="D1050" s="14">
        <f>83.7802 * CHOOSE(CONTROL!$C$15, $E$9, 100%, $G$9) + CHOOSE(CONTROL!$C$38, 0.0354, 0)</f>
        <v>83.815599999999989</v>
      </c>
      <c r="E1050" s="46">
        <f>88.3599 * CHOOSE(CONTROL!$C$15, $E$9, 100%, $G$9) + CHOOSE(CONTROL!$C$38, 0.0354, 0)</f>
        <v>88.395299999999992</v>
      </c>
      <c r="F1050" s="45">
        <f>88.3599 * CHOOSE(CONTROL!$C$15, $E$9, 100%, $G$9) + CHOOSE(CONTROL!$C$38, 0.0264, 0)</f>
        <v>88.386299999999991</v>
      </c>
      <c r="G1050" s="14">
        <f>83.7864 * CHOOSE(CONTROL!$C$15, $E$9, 100%, $G$9) + CHOOSE(CONTROL!$C$38, 0.0354, 0)</f>
        <v>83.821799999999996</v>
      </c>
      <c r="H1050" s="14">
        <f>83.7864 * CHOOSE(CONTROL!$C$15, $E$9, 100%, $G$9) + CHOOSE(CONTROL!$C$38, 0.0354, 0)</f>
        <v>83.821799999999996</v>
      </c>
      <c r="I1050" s="14">
        <f>83.788 * CHOOSE(CONTROL!$C$15, $E$9, 100%, $G$9) + CHOOSE(CONTROL!$C$38, 0.0354, 0)</f>
        <v>83.823399999999992</v>
      </c>
      <c r="J1050" s="44">
        <f>920.6428</f>
        <v>920.64279999999997</v>
      </c>
    </row>
    <row r="1051" spans="1:10" ht="15.75" x14ac:dyDescent="0.25">
      <c r="A1051" s="32">
        <v>72928</v>
      </c>
      <c r="B1051" s="14">
        <f>86.4699 * CHOOSE(CONTROL!$C$15, $E$9, 100%, $G$9) + CHOOSE(CONTROL!$C$38, 0.0264, 0)</f>
        <v>86.496299999999991</v>
      </c>
      <c r="C1051" s="14">
        <f>81.8482 * CHOOSE(CONTROL!$C$15, $E$9, 100%, $G$9) + CHOOSE(CONTROL!$C$38, 0.0354, 0)</f>
        <v>81.883600000000001</v>
      </c>
      <c r="D1051" s="14">
        <f>81.8404 * CHOOSE(CONTROL!$C$15, $E$9, 100%, $G$9) + CHOOSE(CONTROL!$C$38, 0.0354, 0)</f>
        <v>81.875799999999998</v>
      </c>
      <c r="E1051" s="46">
        <f>86.3136 * CHOOSE(CONTROL!$C$15, $E$9, 100%, $G$9) + CHOOSE(CONTROL!$C$38, 0.0354, 0)</f>
        <v>86.34899999999999</v>
      </c>
      <c r="F1051" s="45">
        <f>86.3136 * CHOOSE(CONTROL!$C$15, $E$9, 100%, $G$9) + CHOOSE(CONTROL!$C$38, 0.0264, 0)</f>
        <v>86.339999999999989</v>
      </c>
      <c r="G1051" s="14">
        <f>81.8466 * CHOOSE(CONTROL!$C$15, $E$9, 100%, $G$9) + CHOOSE(CONTROL!$C$38, 0.0354, 0)</f>
        <v>81.881999999999991</v>
      </c>
      <c r="H1051" s="14">
        <f>81.8466 * CHOOSE(CONTROL!$C$15, $E$9, 100%, $G$9) + CHOOSE(CONTROL!$C$38, 0.0354, 0)</f>
        <v>81.881999999999991</v>
      </c>
      <c r="I1051" s="14">
        <f>81.8482 * CHOOSE(CONTROL!$C$15, $E$9, 100%, $G$9) + CHOOSE(CONTROL!$C$38, 0.0354, 0)</f>
        <v>81.883600000000001</v>
      </c>
      <c r="J1051" s="44">
        <f>899.2107</f>
        <v>899.21069999999997</v>
      </c>
    </row>
    <row r="1052" spans="1:10" ht="15.75" x14ac:dyDescent="0.25">
      <c r="A1052" s="32">
        <v>72958</v>
      </c>
      <c r="B1052" s="14">
        <f>83.6163 * CHOOSE(CONTROL!$C$15, $E$9, 100%, $G$9) + CHOOSE(CONTROL!$C$38, 0.0264, 0)</f>
        <v>83.642699999999991</v>
      </c>
      <c r="C1052" s="14">
        <f>79.143 * CHOOSE(CONTROL!$C$15, $E$9, 100%, $G$9) + CHOOSE(CONTROL!$C$38, 0.0354, 0)</f>
        <v>79.178399999999996</v>
      </c>
      <c r="D1052" s="14">
        <f>79.1352 * CHOOSE(CONTROL!$C$15, $E$9, 100%, $G$9) + CHOOSE(CONTROL!$C$38, 0.0354, 0)</f>
        <v>79.170599999999993</v>
      </c>
      <c r="E1052" s="46">
        <f>83.46 * CHOOSE(CONTROL!$C$15, $E$9, 100%, $G$9) + CHOOSE(CONTROL!$C$38, 0.0354, 0)</f>
        <v>83.495399999999989</v>
      </c>
      <c r="F1052" s="45">
        <f>83.46 * CHOOSE(CONTROL!$C$15, $E$9, 100%, $G$9) + CHOOSE(CONTROL!$C$38, 0.0264, 0)</f>
        <v>83.486399999999989</v>
      </c>
      <c r="G1052" s="14">
        <f>79.1414 * CHOOSE(CONTROL!$C$15, $E$9, 100%, $G$9) + CHOOSE(CONTROL!$C$38, 0.0354, 0)</f>
        <v>79.1768</v>
      </c>
      <c r="H1052" s="14">
        <f>79.1414 * CHOOSE(CONTROL!$C$15, $E$9, 100%, $G$9) + CHOOSE(CONTROL!$C$38, 0.0354, 0)</f>
        <v>79.1768</v>
      </c>
      <c r="I1052" s="14">
        <f>79.143 * CHOOSE(CONTROL!$C$15, $E$9, 100%, $G$9) + CHOOSE(CONTROL!$C$38, 0.0354, 0)</f>
        <v>79.178399999999996</v>
      </c>
      <c r="J1052" s="44">
        <f>869.3224</f>
        <v>869.32240000000002</v>
      </c>
    </row>
    <row r="1053" spans="1:10" ht="15.75" x14ac:dyDescent="0.25">
      <c r="A1053" s="32">
        <v>72989</v>
      </c>
      <c r="B1053" s="14">
        <f>80.7461 * CHOOSE(CONTROL!$C$15, $E$9, 100%, $G$9) + CHOOSE(CONTROL!$C$38, 0.0251, 0)</f>
        <v>80.771199999999993</v>
      </c>
      <c r="C1053" s="14">
        <f>76.4221 * CHOOSE(CONTROL!$C$15, $E$9, 100%, $G$9) + CHOOSE(CONTROL!$C$38, 0.0342, 0)</f>
        <v>76.456299999999999</v>
      </c>
      <c r="D1053" s="14">
        <f>76.4143 * CHOOSE(CONTROL!$C$15, $E$9, 100%, $G$9) + CHOOSE(CONTROL!$C$38, 0.0342, 0)</f>
        <v>76.448499999999996</v>
      </c>
      <c r="E1053" s="46">
        <f>80.5898 * CHOOSE(CONTROL!$C$15, $E$9, 100%, $G$9) + CHOOSE(CONTROL!$C$38, 0.0342, 0)</f>
        <v>80.623999999999995</v>
      </c>
      <c r="F1053" s="45">
        <f>80.5898 * CHOOSE(CONTROL!$C$15, $E$9, 100%, $G$9) + CHOOSE(CONTROL!$C$38, 0.0251, 0)</f>
        <v>80.614899999999992</v>
      </c>
      <c r="G1053" s="14">
        <f>76.4205 * CHOOSE(CONTROL!$C$15, $E$9, 100%, $G$9) + CHOOSE(CONTROL!$C$38, 0.0342, 0)</f>
        <v>76.454700000000003</v>
      </c>
      <c r="H1053" s="14">
        <f>76.4205 * CHOOSE(CONTROL!$C$15, $E$9, 100%, $G$9) + CHOOSE(CONTROL!$C$38, 0.0342, 0)</f>
        <v>76.454700000000003</v>
      </c>
      <c r="I1053" s="14">
        <f>76.4221 * CHOOSE(CONTROL!$C$15, $E$9, 100%, $G$9) + CHOOSE(CONTROL!$C$38, 0.0342, 0)</f>
        <v>76.456299999999999</v>
      </c>
      <c r="J1053" s="44">
        <f>839.2604</f>
        <v>839.2604</v>
      </c>
    </row>
    <row r="1054" spans="1:10" ht="15.75" x14ac:dyDescent="0.25">
      <c r="A1054" s="32">
        <v>73019</v>
      </c>
      <c r="B1054" s="14">
        <f>80.1752 * CHOOSE(CONTROL!$C$15, $E$9, 100%, $G$9) + CHOOSE(CONTROL!$C$38, 0.0251, 0)</f>
        <v>80.200299999999999</v>
      </c>
      <c r="C1054" s="14">
        <f>75.8808 * CHOOSE(CONTROL!$C$15, $E$9, 100%, $G$9) + CHOOSE(CONTROL!$C$38, 0.0342, 0)</f>
        <v>75.914999999999992</v>
      </c>
      <c r="D1054" s="14">
        <f>75.873 * CHOOSE(CONTROL!$C$15, $E$9, 100%, $G$9) + CHOOSE(CONTROL!$C$38, 0.0342, 0)</f>
        <v>75.907200000000003</v>
      </c>
      <c r="E1054" s="46">
        <f>80.0189 * CHOOSE(CONTROL!$C$15, $E$9, 100%, $G$9) + CHOOSE(CONTROL!$C$38, 0.0342, 0)</f>
        <v>80.053100000000001</v>
      </c>
      <c r="F1054" s="45">
        <f>80.0189 * CHOOSE(CONTROL!$C$15, $E$9, 100%, $G$9) + CHOOSE(CONTROL!$C$38, 0.0251, 0)</f>
        <v>80.043999999999997</v>
      </c>
      <c r="G1054" s="14">
        <f>75.8793 * CHOOSE(CONTROL!$C$15, $E$9, 100%, $G$9) + CHOOSE(CONTROL!$C$38, 0.0342, 0)</f>
        <v>75.913499999999999</v>
      </c>
      <c r="H1054" s="14">
        <f>75.8793 * CHOOSE(CONTROL!$C$15, $E$9, 100%, $G$9) + CHOOSE(CONTROL!$C$38, 0.0342, 0)</f>
        <v>75.913499999999999</v>
      </c>
      <c r="I1054" s="14">
        <f>75.8808 * CHOOSE(CONTROL!$C$15, $E$9, 100%, $G$9) + CHOOSE(CONTROL!$C$38, 0.0342, 0)</f>
        <v>75.914999999999992</v>
      </c>
      <c r="J1054" s="44">
        <f>833.2804</f>
        <v>833.28039999999999</v>
      </c>
    </row>
    <row r="1055" spans="1:10" ht="15.75" x14ac:dyDescent="0.25">
      <c r="A1055" s="32">
        <v>73050</v>
      </c>
      <c r="B1055" s="14">
        <f>77.8143 * CHOOSE(CONTROL!$C$15, $E$9, 100%, $G$9) + CHOOSE(CONTROL!$C$38, 0.0251, 0)</f>
        <v>77.839399999999998</v>
      </c>
      <c r="C1055" s="14">
        <f>73.6428 * CHOOSE(CONTROL!$C$15, $E$9, 100%, $G$9) + CHOOSE(CONTROL!$C$38, 0.0342, 0)</f>
        <v>73.676999999999992</v>
      </c>
      <c r="D1055" s="14">
        <f>73.6349 * CHOOSE(CONTROL!$C$15, $E$9, 100%, $G$9) + CHOOSE(CONTROL!$C$38, 0.0342, 0)</f>
        <v>73.6691</v>
      </c>
      <c r="E1055" s="46">
        <f>77.658 * CHOOSE(CONTROL!$C$15, $E$9, 100%, $G$9) + CHOOSE(CONTROL!$C$38, 0.0342, 0)</f>
        <v>77.6922</v>
      </c>
      <c r="F1055" s="45">
        <f>77.658 * CHOOSE(CONTROL!$C$15, $E$9, 100%, $G$9) + CHOOSE(CONTROL!$C$38, 0.0251, 0)</f>
        <v>77.683099999999996</v>
      </c>
      <c r="G1055" s="14">
        <f>73.6412 * CHOOSE(CONTROL!$C$15, $E$9, 100%, $G$9) + CHOOSE(CONTROL!$C$38, 0.0342, 0)</f>
        <v>73.675399999999996</v>
      </c>
      <c r="H1055" s="14">
        <f>73.6412 * CHOOSE(CONTROL!$C$15, $E$9, 100%, $G$9) + CHOOSE(CONTROL!$C$38, 0.0342, 0)</f>
        <v>73.675399999999996</v>
      </c>
      <c r="I1055" s="14">
        <f>73.6428 * CHOOSE(CONTROL!$C$15, $E$9, 100%, $G$9) + CHOOSE(CONTROL!$C$38, 0.0342, 0)</f>
        <v>73.676999999999992</v>
      </c>
      <c r="J1055" s="44">
        <f>808.5528</f>
        <v>808.55280000000005</v>
      </c>
    </row>
    <row r="1056" spans="1:10" ht="15.75" x14ac:dyDescent="0.25">
      <c r="A1056" s="32">
        <v>73081</v>
      </c>
      <c r="B1056" s="14">
        <f>77.228 * CHOOSE(CONTROL!$C$15, $E$9, 100%, $G$9) + CHOOSE(CONTROL!$C$38, 0.0251, 0)</f>
        <v>77.253099999999989</v>
      </c>
      <c r="C1056" s="14">
        <f>73.087 * CHOOSE(CONTROL!$C$15, $E$9, 100%, $G$9) + CHOOSE(CONTROL!$C$38, 0.0342, 0)</f>
        <v>73.121200000000002</v>
      </c>
      <c r="D1056" s="14">
        <f>73.0791 * CHOOSE(CONTROL!$C$15, $E$9, 100%, $G$9) + CHOOSE(CONTROL!$C$38, 0.0342, 0)</f>
        <v>73.113299999999995</v>
      </c>
      <c r="E1056" s="46">
        <f>77.0717 * CHOOSE(CONTROL!$C$15, $E$9, 100%, $G$9) + CHOOSE(CONTROL!$C$38, 0.0342, 0)</f>
        <v>77.105900000000005</v>
      </c>
      <c r="F1056" s="45">
        <f>77.0717 * CHOOSE(CONTROL!$C$15, $E$9, 100%, $G$9) + CHOOSE(CONTROL!$C$38, 0.0251, 0)</f>
        <v>77.096800000000002</v>
      </c>
      <c r="G1056" s="14">
        <f>73.0854 * CHOOSE(CONTROL!$C$15, $E$9, 100%, $G$9) + CHOOSE(CONTROL!$C$38, 0.0342, 0)</f>
        <v>73.119600000000005</v>
      </c>
      <c r="H1056" s="14">
        <f>73.0854 * CHOOSE(CONTROL!$C$15, $E$9, 100%, $G$9) + CHOOSE(CONTROL!$C$38, 0.0342, 0)</f>
        <v>73.119600000000005</v>
      </c>
      <c r="I1056" s="14">
        <f>73.087 * CHOOSE(CONTROL!$C$15, $E$9, 100%, $G$9) + CHOOSE(CONTROL!$C$38, 0.0342, 0)</f>
        <v>73.121200000000002</v>
      </c>
      <c r="J1056" s="44">
        <f>807.969</f>
        <v>807.96900000000005</v>
      </c>
    </row>
    <row r="1057" spans="1:11" ht="15.75" x14ac:dyDescent="0.25">
      <c r="A1057" s="32">
        <v>73109</v>
      </c>
      <c r="B1057" s="14">
        <f>77.015 * CHOOSE(CONTROL!$C$15, $E$9, 100%, $G$9) + CHOOSE(CONTROL!$C$38, 0.0251, 0)</f>
        <v>77.040099999999995</v>
      </c>
      <c r="C1057" s="14">
        <f>72.8851 * CHOOSE(CONTROL!$C$15, $E$9, 100%, $G$9) + CHOOSE(CONTROL!$C$38, 0.0342, 0)</f>
        <v>72.919299999999993</v>
      </c>
      <c r="D1057" s="14">
        <f>72.8773 * CHOOSE(CONTROL!$C$15, $E$9, 100%, $G$9) + CHOOSE(CONTROL!$C$38, 0.0342, 0)</f>
        <v>72.911500000000004</v>
      </c>
      <c r="E1057" s="46">
        <f>76.8588 * CHOOSE(CONTROL!$C$15, $E$9, 100%, $G$9) + CHOOSE(CONTROL!$C$38, 0.0342, 0)</f>
        <v>76.893000000000001</v>
      </c>
      <c r="F1057" s="45">
        <f>76.8588 * CHOOSE(CONTROL!$C$15, $E$9, 100%, $G$9) + CHOOSE(CONTROL!$C$38, 0.0251, 0)</f>
        <v>76.883899999999997</v>
      </c>
      <c r="G1057" s="14">
        <f>72.8835 * CHOOSE(CONTROL!$C$15, $E$9, 100%, $G$9) + CHOOSE(CONTROL!$C$38, 0.0342, 0)</f>
        <v>72.917699999999996</v>
      </c>
      <c r="H1057" s="14">
        <f>72.8835 * CHOOSE(CONTROL!$C$15, $E$9, 100%, $G$9) + CHOOSE(CONTROL!$C$38, 0.0342, 0)</f>
        <v>72.917699999999996</v>
      </c>
      <c r="I1057" s="14">
        <f>72.8851 * CHOOSE(CONTROL!$C$15, $E$9, 100%, $G$9) + CHOOSE(CONTROL!$C$38, 0.0342, 0)</f>
        <v>72.919299999999993</v>
      </c>
      <c r="J1057" s="44">
        <f>805.7231</f>
        <v>805.72310000000004</v>
      </c>
    </row>
    <row r="1058" spans="1:11" ht="15.75" x14ac:dyDescent="0.25">
      <c r="A1058" s="32">
        <v>73140</v>
      </c>
      <c r="B1058" s="14">
        <f>81.0416 * CHOOSE(CONTROL!$C$15, $E$9, 100%, $G$9) + CHOOSE(CONTROL!$C$38, 0.0251, 0)</f>
        <v>81.066699999999997</v>
      </c>
      <c r="C1058" s="14">
        <f>76.7022 * CHOOSE(CONTROL!$C$15, $E$9, 100%, $G$9) + CHOOSE(CONTROL!$C$38, 0.0342, 0)</f>
        <v>76.736400000000003</v>
      </c>
      <c r="D1058" s="14">
        <f>76.6944 * CHOOSE(CONTROL!$C$15, $E$9, 100%, $G$9) + CHOOSE(CONTROL!$C$38, 0.0342, 0)</f>
        <v>76.7286</v>
      </c>
      <c r="E1058" s="46">
        <f>80.8854 * CHOOSE(CONTROL!$C$15, $E$9, 100%, $G$9) + CHOOSE(CONTROL!$C$38, 0.0342, 0)</f>
        <v>80.919600000000003</v>
      </c>
      <c r="F1058" s="45">
        <f>80.8854 * CHOOSE(CONTROL!$C$15, $E$9, 100%, $G$9) + CHOOSE(CONTROL!$C$38, 0.0251, 0)</f>
        <v>80.910499999999999</v>
      </c>
      <c r="G1058" s="14">
        <f>76.7007 * CHOOSE(CONTROL!$C$15, $E$9, 100%, $G$9) + CHOOSE(CONTROL!$C$38, 0.0342, 0)</f>
        <v>76.734899999999996</v>
      </c>
      <c r="H1058" s="14">
        <f>76.7007 * CHOOSE(CONTROL!$C$15, $E$9, 100%, $G$9) + CHOOSE(CONTROL!$C$38, 0.0342, 0)</f>
        <v>76.734899999999996</v>
      </c>
      <c r="I1058" s="14">
        <f>76.7022 * CHOOSE(CONTROL!$C$15, $E$9, 100%, $G$9) + CHOOSE(CONTROL!$C$38, 0.0342, 0)</f>
        <v>76.736400000000003</v>
      </c>
      <c r="J1058" s="44">
        <f>848.1894</f>
        <v>848.18939999999998</v>
      </c>
    </row>
    <row r="1059" spans="1:11" ht="15.75" x14ac:dyDescent="0.25">
      <c r="A1059" s="32">
        <v>73170</v>
      </c>
      <c r="B1059" s="14">
        <f>86.2632 * CHOOSE(CONTROL!$C$15, $E$9, 100%, $G$9) + CHOOSE(CONTROL!$C$38, 0.0251, 0)</f>
        <v>86.288299999999992</v>
      </c>
      <c r="C1059" s="14">
        <f>81.6522 * CHOOSE(CONTROL!$C$15, $E$9, 100%, $G$9) + CHOOSE(CONTROL!$C$38, 0.0342, 0)</f>
        <v>81.686399999999992</v>
      </c>
      <c r="D1059" s="14">
        <f>81.6444 * CHOOSE(CONTROL!$C$15, $E$9, 100%, $G$9) + CHOOSE(CONTROL!$C$38, 0.0342, 0)</f>
        <v>81.678600000000003</v>
      </c>
      <c r="E1059" s="46">
        <f>86.1069 * CHOOSE(CONTROL!$C$15, $E$9, 100%, $G$9) + CHOOSE(CONTROL!$C$38, 0.0342, 0)</f>
        <v>86.141099999999994</v>
      </c>
      <c r="F1059" s="45">
        <f>86.1069 * CHOOSE(CONTROL!$C$15, $E$9, 100%, $G$9) + CHOOSE(CONTROL!$C$38, 0.0251, 0)</f>
        <v>86.131999999999991</v>
      </c>
      <c r="G1059" s="14">
        <f>81.6506 * CHOOSE(CONTROL!$C$15, $E$9, 100%, $G$9) + CHOOSE(CONTROL!$C$38, 0.0342, 0)</f>
        <v>81.684799999999996</v>
      </c>
      <c r="H1059" s="14">
        <f>81.6506 * CHOOSE(CONTROL!$C$15, $E$9, 100%, $G$9) + CHOOSE(CONTROL!$C$38, 0.0342, 0)</f>
        <v>81.684799999999996</v>
      </c>
      <c r="I1059" s="14">
        <f>81.6522 * CHOOSE(CONTROL!$C$15, $E$9, 100%, $G$9) + CHOOSE(CONTROL!$C$38, 0.0342, 0)</f>
        <v>81.686399999999992</v>
      </c>
      <c r="J1059" s="44">
        <f>903.258</f>
        <v>903.25800000000004</v>
      </c>
    </row>
    <row r="1060" spans="1:11" ht="15.75" x14ac:dyDescent="0.25">
      <c r="A1060" s="32">
        <v>73201</v>
      </c>
      <c r="B1060" s="14">
        <f>89.1373 * CHOOSE(CONTROL!$C$15, $E$9, 100%, $G$9) + CHOOSE(CONTROL!$C$38, 0.0264, 0)</f>
        <v>89.163699999999992</v>
      </c>
      <c r="C1060" s="14">
        <f>84.3768 * CHOOSE(CONTROL!$C$15, $E$9, 100%, $G$9) + CHOOSE(CONTROL!$C$38, 0.0354, 0)</f>
        <v>84.412199999999999</v>
      </c>
      <c r="D1060" s="14">
        <f>84.369 * CHOOSE(CONTROL!$C$15, $E$9, 100%, $G$9) + CHOOSE(CONTROL!$C$38, 0.0354, 0)</f>
        <v>84.404399999999995</v>
      </c>
      <c r="E1060" s="46">
        <f>88.981 * CHOOSE(CONTROL!$C$15, $E$9, 100%, $G$9) + CHOOSE(CONTROL!$C$38, 0.0354, 0)</f>
        <v>89.01639999999999</v>
      </c>
      <c r="F1060" s="45">
        <f>88.981 * CHOOSE(CONTROL!$C$15, $E$9, 100%, $G$9) + CHOOSE(CONTROL!$C$38, 0.0264, 0)</f>
        <v>89.00739999999999</v>
      </c>
      <c r="G1060" s="14">
        <f>84.3753 * CHOOSE(CONTROL!$C$15, $E$9, 100%, $G$9) + CHOOSE(CONTROL!$C$38, 0.0354, 0)</f>
        <v>84.410699999999991</v>
      </c>
      <c r="H1060" s="14">
        <f>84.3753 * CHOOSE(CONTROL!$C$15, $E$9, 100%, $G$9) + CHOOSE(CONTROL!$C$38, 0.0354, 0)</f>
        <v>84.410699999999991</v>
      </c>
      <c r="I1060" s="14">
        <f>84.3768 * CHOOSE(CONTROL!$C$15, $E$9, 100%, $G$9) + CHOOSE(CONTROL!$C$38, 0.0354, 0)</f>
        <v>84.412199999999999</v>
      </c>
      <c r="J1060" s="44">
        <f>933.5696</f>
        <v>933.56960000000004</v>
      </c>
    </row>
    <row r="1061" spans="1:11" ht="15.75" x14ac:dyDescent="0.25">
      <c r="A1061" s="32">
        <v>73231</v>
      </c>
      <c r="B1061" s="14">
        <f>90.4128 * CHOOSE(CONTROL!$C$15, $E$9, 100%, $G$9) + CHOOSE(CONTROL!$C$38, 0.0264, 0)</f>
        <v>90.4392</v>
      </c>
      <c r="C1061" s="14">
        <f>85.586 * CHOOSE(CONTROL!$C$15, $E$9, 100%, $G$9) + CHOOSE(CONTROL!$C$38, 0.0354, 0)</f>
        <v>85.621399999999994</v>
      </c>
      <c r="D1061" s="14">
        <f>85.5782 * CHOOSE(CONTROL!$C$15, $E$9, 100%, $G$9) + CHOOSE(CONTROL!$C$38, 0.0354, 0)</f>
        <v>85.613599999999991</v>
      </c>
      <c r="E1061" s="46">
        <f>90.2565 * CHOOSE(CONTROL!$C$15, $E$9, 100%, $G$9) + CHOOSE(CONTROL!$C$38, 0.0354, 0)</f>
        <v>90.291899999999998</v>
      </c>
      <c r="F1061" s="45">
        <f>90.2565 * CHOOSE(CONTROL!$C$15, $E$9, 100%, $G$9) + CHOOSE(CONTROL!$C$38, 0.0264, 0)</f>
        <v>90.282899999999998</v>
      </c>
      <c r="G1061" s="14">
        <f>85.5844 * CHOOSE(CONTROL!$C$15, $E$9, 100%, $G$9) + CHOOSE(CONTROL!$C$38, 0.0354, 0)</f>
        <v>85.619799999999998</v>
      </c>
      <c r="H1061" s="14">
        <f>85.5844 * CHOOSE(CONTROL!$C$15, $E$9, 100%, $G$9) + CHOOSE(CONTROL!$C$38, 0.0354, 0)</f>
        <v>85.619799999999998</v>
      </c>
      <c r="I1061" s="14">
        <f>85.586 * CHOOSE(CONTROL!$C$15, $E$9, 100%, $G$9) + CHOOSE(CONTROL!$C$38, 0.0354, 0)</f>
        <v>85.621399999999994</v>
      </c>
      <c r="J1061" s="44">
        <f>947.0213</f>
        <v>947.0213</v>
      </c>
    </row>
    <row r="1062" spans="1:11" ht="15.75" x14ac:dyDescent="0.25">
      <c r="A1062" s="32">
        <v>73262</v>
      </c>
      <c r="B1062" s="14">
        <f>89.9928 * CHOOSE(CONTROL!$C$15, $E$9, 100%, $G$9) + CHOOSE(CONTROL!$C$38, 0.0264, 0)</f>
        <v>90.019199999999998</v>
      </c>
      <c r="C1062" s="14">
        <f>85.1879 * CHOOSE(CONTROL!$C$15, $E$9, 100%, $G$9) + CHOOSE(CONTROL!$C$38, 0.0354, 0)</f>
        <v>85.223299999999995</v>
      </c>
      <c r="D1062" s="14">
        <f>85.18 * CHOOSE(CONTROL!$C$15, $E$9, 100%, $G$9) + CHOOSE(CONTROL!$C$38, 0.0354, 0)</f>
        <v>85.215400000000002</v>
      </c>
      <c r="E1062" s="46">
        <f>89.8366 * CHOOSE(CONTROL!$C$15, $E$9, 100%, $G$9) + CHOOSE(CONTROL!$C$38, 0.0354, 0)</f>
        <v>89.872</v>
      </c>
      <c r="F1062" s="45">
        <f>89.8366 * CHOOSE(CONTROL!$C$15, $E$9, 100%, $G$9) + CHOOSE(CONTROL!$C$38, 0.0264, 0)</f>
        <v>89.863</v>
      </c>
      <c r="G1062" s="14">
        <f>85.1863 * CHOOSE(CONTROL!$C$15, $E$9, 100%, $G$9) + CHOOSE(CONTROL!$C$38, 0.0354, 0)</f>
        <v>85.221699999999998</v>
      </c>
      <c r="H1062" s="14">
        <f>85.1863 * CHOOSE(CONTROL!$C$15, $E$9, 100%, $G$9) + CHOOSE(CONTROL!$C$38, 0.0354, 0)</f>
        <v>85.221699999999998</v>
      </c>
      <c r="I1062" s="14">
        <f>85.1879 * CHOOSE(CONTROL!$C$15, $E$9, 100%, $G$9) + CHOOSE(CONTROL!$C$38, 0.0354, 0)</f>
        <v>85.223299999999995</v>
      </c>
      <c r="J1062" s="44">
        <f>942.5923</f>
        <v>942.59230000000002</v>
      </c>
    </row>
    <row r="1063" spans="1:11" ht="15.75" x14ac:dyDescent="0.25">
      <c r="A1063" s="32">
        <v>73293</v>
      </c>
      <c r="B1063" s="14">
        <f>87.9122 * CHOOSE(CONTROL!$C$15, $E$9, 100%, $G$9) + CHOOSE(CONTROL!$C$38, 0.0264, 0)</f>
        <v>87.938599999999994</v>
      </c>
      <c r="C1063" s="14">
        <f>83.2155 * CHOOSE(CONTROL!$C$15, $E$9, 100%, $G$9) + CHOOSE(CONTROL!$C$38, 0.0354, 0)</f>
        <v>83.250900000000001</v>
      </c>
      <c r="D1063" s="14">
        <f>83.2076 * CHOOSE(CONTROL!$C$15, $E$9, 100%, $G$9) + CHOOSE(CONTROL!$C$38, 0.0354, 0)</f>
        <v>83.242999999999995</v>
      </c>
      <c r="E1063" s="46">
        <f>87.7559 * CHOOSE(CONTROL!$C$15, $E$9, 100%, $G$9) + CHOOSE(CONTROL!$C$38, 0.0354, 0)</f>
        <v>87.791299999999993</v>
      </c>
      <c r="F1063" s="45">
        <f>87.7559 * CHOOSE(CONTROL!$C$15, $E$9, 100%, $G$9) + CHOOSE(CONTROL!$C$38, 0.0264, 0)</f>
        <v>87.782299999999992</v>
      </c>
      <c r="G1063" s="14">
        <f>83.2139 * CHOOSE(CONTROL!$C$15, $E$9, 100%, $G$9) + CHOOSE(CONTROL!$C$38, 0.0354, 0)</f>
        <v>83.249299999999991</v>
      </c>
      <c r="H1063" s="14">
        <f>83.2139 * CHOOSE(CONTROL!$C$15, $E$9, 100%, $G$9) + CHOOSE(CONTROL!$C$38, 0.0354, 0)</f>
        <v>83.249299999999991</v>
      </c>
      <c r="I1063" s="14">
        <f>83.2155 * CHOOSE(CONTROL!$C$15, $E$9, 100%, $G$9) + CHOOSE(CONTROL!$C$38, 0.0354, 0)</f>
        <v>83.250900000000001</v>
      </c>
      <c r="J1063" s="44">
        <f>920.6492</f>
        <v>920.64919999999995</v>
      </c>
    </row>
    <row r="1064" spans="1:11" ht="15.75" x14ac:dyDescent="0.25">
      <c r="A1064" s="32">
        <v>73323</v>
      </c>
      <c r="B1064" s="14">
        <f>85.0106 * CHOOSE(CONTROL!$C$15, $E$9, 100%, $G$9) + CHOOSE(CONTROL!$C$38, 0.0264, 0)</f>
        <v>85.036999999999992</v>
      </c>
      <c r="C1064" s="14">
        <f>80.4648 * CHOOSE(CONTROL!$C$15, $E$9, 100%, $G$9) + CHOOSE(CONTROL!$C$38, 0.0354, 0)</f>
        <v>80.500199999999992</v>
      </c>
      <c r="D1064" s="14">
        <f>80.457 * CHOOSE(CONTROL!$C$15, $E$9, 100%, $G$9) + CHOOSE(CONTROL!$C$38, 0.0354, 0)</f>
        <v>80.492399999999989</v>
      </c>
      <c r="E1064" s="46">
        <f>84.8544 * CHOOSE(CONTROL!$C$15, $E$9, 100%, $G$9) + CHOOSE(CONTROL!$C$38, 0.0354, 0)</f>
        <v>84.889799999999994</v>
      </c>
      <c r="F1064" s="45">
        <f>84.8544 * CHOOSE(CONTROL!$C$15, $E$9, 100%, $G$9) + CHOOSE(CONTROL!$C$38, 0.0264, 0)</f>
        <v>84.880799999999994</v>
      </c>
      <c r="G1064" s="14">
        <f>80.4633 * CHOOSE(CONTROL!$C$15, $E$9, 100%, $G$9) + CHOOSE(CONTROL!$C$38, 0.0354, 0)</f>
        <v>80.498699999999999</v>
      </c>
      <c r="H1064" s="14">
        <f>80.4633 * CHOOSE(CONTROL!$C$15, $E$9, 100%, $G$9) + CHOOSE(CONTROL!$C$38, 0.0354, 0)</f>
        <v>80.498699999999999</v>
      </c>
      <c r="I1064" s="14">
        <f>80.4648 * CHOOSE(CONTROL!$C$15, $E$9, 100%, $G$9) + CHOOSE(CONTROL!$C$38, 0.0354, 0)</f>
        <v>80.500199999999992</v>
      </c>
      <c r="J1064" s="44">
        <f>890.0484</f>
        <v>890.04840000000002</v>
      </c>
    </row>
    <row r="1065" spans="1:11" ht="15.75" x14ac:dyDescent="0.25">
      <c r="A1065" s="32">
        <v>73354</v>
      </c>
      <c r="B1065" s="14">
        <f>82.0922 * CHOOSE(CONTROL!$C$15, $E$9, 100%, $G$9) + CHOOSE(CONTROL!$C$38, 0.0251, 0)</f>
        <v>82.1173</v>
      </c>
      <c r="C1065" s="14">
        <f>77.6982 * CHOOSE(CONTROL!$C$15, $E$9, 100%, $G$9) + CHOOSE(CONTROL!$C$38, 0.0342, 0)</f>
        <v>77.732399999999998</v>
      </c>
      <c r="D1065" s="14">
        <f>77.6904 * CHOOSE(CONTROL!$C$15, $E$9, 100%, $G$9) + CHOOSE(CONTROL!$C$38, 0.0342, 0)</f>
        <v>77.724599999999995</v>
      </c>
      <c r="E1065" s="46">
        <f>81.936 * CHOOSE(CONTROL!$C$15, $E$9, 100%, $G$9) + CHOOSE(CONTROL!$C$38, 0.0342, 0)</f>
        <v>81.970200000000006</v>
      </c>
      <c r="F1065" s="45">
        <f>81.936 * CHOOSE(CONTROL!$C$15, $E$9, 100%, $G$9) + CHOOSE(CONTROL!$C$38, 0.0251, 0)</f>
        <v>81.961100000000002</v>
      </c>
      <c r="G1065" s="14">
        <f>77.6967 * CHOOSE(CONTROL!$C$15, $E$9, 100%, $G$9) + CHOOSE(CONTROL!$C$38, 0.0342, 0)</f>
        <v>77.730900000000005</v>
      </c>
      <c r="H1065" s="14">
        <f>77.6967 * CHOOSE(CONTROL!$C$15, $E$9, 100%, $G$9) + CHOOSE(CONTROL!$C$38, 0.0342, 0)</f>
        <v>77.730900000000005</v>
      </c>
      <c r="I1065" s="14">
        <f>77.6982 * CHOOSE(CONTROL!$C$15, $E$9, 100%, $G$9) + CHOOSE(CONTROL!$C$38, 0.0342, 0)</f>
        <v>77.732399999999998</v>
      </c>
      <c r="J1065" s="44">
        <f>859.2696</f>
        <v>859.26959999999997</v>
      </c>
    </row>
    <row r="1066" spans="1:11" ht="15.75" x14ac:dyDescent="0.25">
      <c r="A1066" s="32">
        <v>73384</v>
      </c>
      <c r="B1066" s="14">
        <f>81.5117 * CHOOSE(CONTROL!$C$15, $E$9, 100%, $G$9) + CHOOSE(CONTROL!$C$38, 0.0251, 0)</f>
        <v>81.536799999999999</v>
      </c>
      <c r="C1066" s="14">
        <f>77.1479 * CHOOSE(CONTROL!$C$15, $E$9, 100%, $G$9) + CHOOSE(CONTROL!$C$38, 0.0342, 0)</f>
        <v>77.182100000000005</v>
      </c>
      <c r="D1066" s="14">
        <f>77.1401 * CHOOSE(CONTROL!$C$15, $E$9, 100%, $G$9) + CHOOSE(CONTROL!$C$38, 0.0342, 0)</f>
        <v>77.174300000000002</v>
      </c>
      <c r="E1066" s="46">
        <f>81.3555 * CHOOSE(CONTROL!$C$15, $E$9, 100%, $G$9) + CHOOSE(CONTROL!$C$38, 0.0342, 0)</f>
        <v>81.389700000000005</v>
      </c>
      <c r="F1066" s="45">
        <f>81.3555 * CHOOSE(CONTROL!$C$15, $E$9, 100%, $G$9) + CHOOSE(CONTROL!$C$38, 0.0251, 0)</f>
        <v>81.380600000000001</v>
      </c>
      <c r="G1066" s="14">
        <f>77.1463 * CHOOSE(CONTROL!$C$15, $E$9, 100%, $G$9) + CHOOSE(CONTROL!$C$38, 0.0342, 0)</f>
        <v>77.180499999999995</v>
      </c>
      <c r="H1066" s="14">
        <f>77.1463 * CHOOSE(CONTROL!$C$15, $E$9, 100%, $G$9) + CHOOSE(CONTROL!$C$38, 0.0342, 0)</f>
        <v>77.180499999999995</v>
      </c>
      <c r="I1066" s="14">
        <f>77.1479 * CHOOSE(CONTROL!$C$15, $E$9, 100%, $G$9) + CHOOSE(CONTROL!$C$38, 0.0342, 0)</f>
        <v>77.182100000000005</v>
      </c>
      <c r="J1066" s="44">
        <f>853.1471</f>
        <v>853.14710000000002</v>
      </c>
    </row>
    <row r="1067" spans="1:11" ht="15.75" x14ac:dyDescent="0.25">
      <c r="A1067" s="32">
        <v>73415</v>
      </c>
      <c r="B1067" s="14">
        <f>79.1112 * CHOOSE(CONTROL!$C$15, $E$9, 100%, $G$9) + CHOOSE(CONTROL!$C$38, 0.0251, 0)</f>
        <v>79.136299999999991</v>
      </c>
      <c r="C1067" s="14">
        <f>74.8722 * CHOOSE(CONTROL!$C$15, $E$9, 100%, $G$9) + CHOOSE(CONTROL!$C$38, 0.0342, 0)</f>
        <v>74.906400000000005</v>
      </c>
      <c r="D1067" s="14">
        <f>74.8644 * CHOOSE(CONTROL!$C$15, $E$9, 100%, $G$9) + CHOOSE(CONTROL!$C$38, 0.0342, 0)</f>
        <v>74.898600000000002</v>
      </c>
      <c r="E1067" s="46">
        <f>78.9549 * CHOOSE(CONTROL!$C$15, $E$9, 100%, $G$9) + CHOOSE(CONTROL!$C$38, 0.0342, 0)</f>
        <v>78.989099999999993</v>
      </c>
      <c r="F1067" s="45">
        <f>78.9549 * CHOOSE(CONTROL!$C$15, $E$9, 100%, $G$9) + CHOOSE(CONTROL!$C$38, 0.0251, 0)</f>
        <v>78.97999999999999</v>
      </c>
      <c r="G1067" s="14">
        <f>74.8706 * CHOOSE(CONTROL!$C$15, $E$9, 100%, $G$9) + CHOOSE(CONTROL!$C$38, 0.0342, 0)</f>
        <v>74.904799999999994</v>
      </c>
      <c r="H1067" s="14">
        <f>74.8706 * CHOOSE(CONTROL!$C$15, $E$9, 100%, $G$9) + CHOOSE(CONTROL!$C$38, 0.0342, 0)</f>
        <v>74.904799999999994</v>
      </c>
      <c r="I1067" s="14">
        <f>74.8722 * CHOOSE(CONTROL!$C$15, $E$9, 100%, $G$9) + CHOOSE(CONTROL!$C$38, 0.0342, 0)</f>
        <v>74.906400000000005</v>
      </c>
      <c r="J1067" s="44">
        <f>827.8299</f>
        <v>827.82989999999995</v>
      </c>
    </row>
    <row r="1068" spans="1:11" ht="15" x14ac:dyDescent="0.2">
      <c r="A1068" s="12"/>
      <c r="B1068" s="14"/>
      <c r="C1068" s="14"/>
      <c r="D1068" s="14"/>
      <c r="E1068" s="14"/>
      <c r="F1068" s="14"/>
      <c r="G1068" s="14"/>
      <c r="H1068" s="14"/>
      <c r="I1068" s="14"/>
    </row>
    <row r="1069" spans="1:11" ht="15" x14ac:dyDescent="0.2">
      <c r="A1069" s="10">
        <v>2013</v>
      </c>
      <c r="B1069" s="14">
        <f t="shared" ref="B1069:J1069" si="0">AVERAGE(B12:B23)</f>
        <v>16.507831714077984</v>
      </c>
      <c r="C1069" s="14">
        <f t="shared" si="0"/>
        <v>15.78674110342388</v>
      </c>
      <c r="D1069" s="14">
        <f t="shared" si="0"/>
        <v>15.778935895090548</v>
      </c>
      <c r="E1069" s="14">
        <f t="shared" si="0"/>
        <v>15.778935895090548</v>
      </c>
      <c r="F1069" s="14">
        <f t="shared" si="0"/>
        <v>16.218546655671741</v>
      </c>
      <c r="G1069" s="14">
        <f t="shared" si="0"/>
        <v>15.785173395090547</v>
      </c>
      <c r="H1069" s="14">
        <f t="shared" si="0"/>
        <v>15.785173395090547</v>
      </c>
      <c r="I1069" s="14">
        <f t="shared" si="0"/>
        <v>15.78674110342388</v>
      </c>
      <c r="J1069" s="14">
        <f t="shared" si="0"/>
        <v>94.373333333333335</v>
      </c>
      <c r="K1069" s="14"/>
    </row>
    <row r="1070" spans="1:11" ht="15" x14ac:dyDescent="0.2">
      <c r="A1070" s="10">
        <v>2014</v>
      </c>
      <c r="B1070" s="14">
        <f t="shared" ref="B1070:J1070" si="1">AVERAGE(B24:B35)</f>
        <v>16.119416666666663</v>
      </c>
      <c r="C1070" s="14">
        <f t="shared" si="1"/>
        <v>15.269099999999996</v>
      </c>
      <c r="D1070" s="14">
        <f t="shared" si="1"/>
        <v>15.261299999999997</v>
      </c>
      <c r="E1070" s="14">
        <f t="shared" si="1"/>
        <v>15.972175000000002</v>
      </c>
      <c r="F1070" s="14">
        <f t="shared" si="1"/>
        <v>15.963116666666664</v>
      </c>
      <c r="G1070" s="14">
        <f t="shared" si="1"/>
        <v>15.2675</v>
      </c>
      <c r="H1070" s="14">
        <f t="shared" si="1"/>
        <v>15.2675</v>
      </c>
      <c r="I1070" s="14">
        <f t="shared" si="1"/>
        <v>15.269099999999996</v>
      </c>
      <c r="J1070" s="14">
        <f t="shared" si="1"/>
        <v>91.850000000000009</v>
      </c>
      <c r="K1070" s="14"/>
    </row>
    <row r="1071" spans="1:11" ht="15" x14ac:dyDescent="0.2">
      <c r="A1071" s="10">
        <v>2015</v>
      </c>
      <c r="B1071" s="14">
        <f t="shared" ref="B1071:J1071" si="2">AVERAGE(B36:B47)</f>
        <v>15.541441666666669</v>
      </c>
      <c r="C1071" s="14">
        <f t="shared" si="2"/>
        <v>14.761299999999997</v>
      </c>
      <c r="D1071" s="14">
        <f t="shared" si="2"/>
        <v>14.753400000000001</v>
      </c>
      <c r="E1071" s="14">
        <f t="shared" si="2"/>
        <v>15.3942</v>
      </c>
      <c r="F1071" s="14">
        <f t="shared" si="2"/>
        <v>15.385141666666669</v>
      </c>
      <c r="G1071" s="14">
        <f t="shared" si="2"/>
        <v>14.7597</v>
      </c>
      <c r="H1071" s="14">
        <f t="shared" si="2"/>
        <v>14.7597</v>
      </c>
      <c r="I1071" s="14">
        <f t="shared" si="2"/>
        <v>14.761299999999997</v>
      </c>
      <c r="J1071" s="14">
        <f t="shared" si="2"/>
        <v>88.150833333333324</v>
      </c>
      <c r="K1071" s="14"/>
    </row>
    <row r="1072" spans="1:11" ht="15" x14ac:dyDescent="0.2">
      <c r="A1072" s="10">
        <v>2016</v>
      </c>
      <c r="B1072" s="14">
        <f t="shared" ref="B1072:J1072" si="3">AVERAGE(B48:B59)</f>
        <v>15.921741666666664</v>
      </c>
      <c r="C1072" s="14">
        <f t="shared" si="3"/>
        <v>15.299466666666666</v>
      </c>
      <c r="D1072" s="14">
        <f t="shared" si="3"/>
        <v>15.291666666666666</v>
      </c>
      <c r="E1072" s="14">
        <f t="shared" si="3"/>
        <v>15.774533333333331</v>
      </c>
      <c r="F1072" s="14">
        <f t="shared" si="3"/>
        <v>15.765475</v>
      </c>
      <c r="G1072" s="14">
        <f t="shared" si="3"/>
        <v>15.297916666666664</v>
      </c>
      <c r="H1072" s="14">
        <f t="shared" si="3"/>
        <v>15.297916666666664</v>
      </c>
      <c r="I1072" s="14">
        <f t="shared" si="3"/>
        <v>15.299466666666666</v>
      </c>
      <c r="J1072" s="14">
        <f t="shared" si="3"/>
        <v>95.981166666666681</v>
      </c>
      <c r="K1072" s="14"/>
    </row>
    <row r="1073" spans="1:11" ht="15" x14ac:dyDescent="0.2">
      <c r="A1073" s="10">
        <v>2017</v>
      </c>
      <c r="B1073" s="14">
        <f t="shared" ref="B1073:J1073" si="4">AVERAGE(B60:B71)</f>
        <v>15.986691666666665</v>
      </c>
      <c r="C1073" s="14">
        <f t="shared" si="4"/>
        <v>15.364049999999997</v>
      </c>
      <c r="D1073" s="14">
        <f t="shared" si="4"/>
        <v>15.356241666666664</v>
      </c>
      <c r="E1073" s="14">
        <f t="shared" si="4"/>
        <v>15.839516666666666</v>
      </c>
      <c r="F1073" s="14">
        <f t="shared" si="4"/>
        <v>15.830458333333331</v>
      </c>
      <c r="G1073" s="14">
        <f t="shared" si="4"/>
        <v>15.362499999999999</v>
      </c>
      <c r="H1073" s="14">
        <f t="shared" si="4"/>
        <v>15.362499999999999</v>
      </c>
      <c r="I1073" s="14">
        <f t="shared" si="4"/>
        <v>15.364049999999997</v>
      </c>
      <c r="J1073" s="14">
        <f t="shared" si="4"/>
        <v>96.628366666666679</v>
      </c>
      <c r="K1073" s="14"/>
    </row>
    <row r="1074" spans="1:11" ht="15" x14ac:dyDescent="0.2">
      <c r="A1074" s="10">
        <v>2018</v>
      </c>
      <c r="B1074" s="14">
        <f t="shared" ref="B1074:J1074" si="5">AVERAGE(B72:B83)</f>
        <v>17.317608333333332</v>
      </c>
      <c r="C1074" s="14">
        <f t="shared" si="5"/>
        <v>16.85103333333333</v>
      </c>
      <c r="D1074" s="14">
        <f t="shared" si="5"/>
        <v>16.84323333333333</v>
      </c>
      <c r="E1074" s="14">
        <f t="shared" si="5"/>
        <v>17.170449999999999</v>
      </c>
      <c r="F1074" s="14">
        <f t="shared" si="5"/>
        <v>17.161391666666663</v>
      </c>
      <c r="G1074" s="14">
        <f t="shared" si="5"/>
        <v>16.849499999999999</v>
      </c>
      <c r="H1074" s="14">
        <f t="shared" si="5"/>
        <v>16.849499999999999</v>
      </c>
      <c r="I1074" s="14">
        <f t="shared" si="5"/>
        <v>16.85103333333333</v>
      </c>
      <c r="J1074" s="14">
        <f t="shared" si="5"/>
        <v>110.98133333333332</v>
      </c>
      <c r="K1074" s="14"/>
    </row>
    <row r="1075" spans="1:11" ht="15" x14ac:dyDescent="0.2">
      <c r="A1075" s="10">
        <v>2019</v>
      </c>
      <c r="B1075" s="14">
        <f t="shared" ref="B1075:J1075" si="6">AVERAGE(B84:B95)</f>
        <v>17.773716666666662</v>
      </c>
      <c r="C1075" s="14">
        <f t="shared" si="6"/>
        <v>17.274333333333331</v>
      </c>
      <c r="D1075" s="14">
        <f t="shared" si="6"/>
        <v>17.266533333333332</v>
      </c>
      <c r="E1075" s="14">
        <f t="shared" si="6"/>
        <v>17.626491666666663</v>
      </c>
      <c r="F1075" s="14">
        <f t="shared" si="6"/>
        <v>17.617433333333334</v>
      </c>
      <c r="G1075" s="14">
        <f t="shared" si="6"/>
        <v>17.272774999999999</v>
      </c>
      <c r="H1075" s="14">
        <f t="shared" si="6"/>
        <v>17.272774999999999</v>
      </c>
      <c r="I1075" s="14">
        <f t="shared" si="6"/>
        <v>17.274333333333331</v>
      </c>
      <c r="J1075" s="14">
        <f t="shared" si="6"/>
        <v>113.54180833333335</v>
      </c>
      <c r="K1075" s="14"/>
    </row>
    <row r="1076" spans="1:11" ht="15" x14ac:dyDescent="0.2">
      <c r="A1076" s="10">
        <v>2020</v>
      </c>
      <c r="B1076" s="14">
        <f t="shared" ref="B1076:J1076" si="7">AVERAGE(B96:B107)</f>
        <v>18.34900833333333</v>
      </c>
      <c r="C1076" s="14">
        <f t="shared" si="7"/>
        <v>17.696324999999998</v>
      </c>
      <c r="D1076" s="14">
        <f t="shared" si="7"/>
        <v>17.688508333333331</v>
      </c>
      <c r="E1076" s="14">
        <f t="shared" si="7"/>
        <v>18.201816666666662</v>
      </c>
      <c r="F1076" s="14">
        <f t="shared" si="7"/>
        <v>18.19275833333333</v>
      </c>
      <c r="G1076" s="14">
        <f t="shared" si="7"/>
        <v>17.694775</v>
      </c>
      <c r="H1076" s="14">
        <f t="shared" si="7"/>
        <v>17.694775</v>
      </c>
      <c r="I1076" s="14">
        <f t="shared" si="7"/>
        <v>17.696324999999998</v>
      </c>
      <c r="J1076" s="14">
        <f t="shared" si="7"/>
        <v>116.10022500000001</v>
      </c>
      <c r="K1076" s="14"/>
    </row>
    <row r="1077" spans="1:11" ht="15" x14ac:dyDescent="0.2">
      <c r="A1077" s="10">
        <v>2021</v>
      </c>
      <c r="B1077" s="14">
        <f t="shared" ref="B1077:J1077" si="8">AVERAGE(B108:B119)</f>
        <v>19.422558333333331</v>
      </c>
      <c r="C1077" s="14">
        <f t="shared" si="8"/>
        <v>18.469091666666667</v>
      </c>
      <c r="D1077" s="14">
        <f t="shared" si="8"/>
        <v>18.461275000000001</v>
      </c>
      <c r="E1077" s="14">
        <f t="shared" si="8"/>
        <v>19.275358333333333</v>
      </c>
      <c r="F1077" s="14">
        <f t="shared" si="8"/>
        <v>19.266299999999998</v>
      </c>
      <c r="G1077" s="14">
        <f t="shared" si="8"/>
        <v>18.467508333333335</v>
      </c>
      <c r="H1077" s="14">
        <f t="shared" si="8"/>
        <v>18.467508333333335</v>
      </c>
      <c r="I1077" s="14">
        <f t="shared" si="8"/>
        <v>18.469091666666667</v>
      </c>
      <c r="J1077" s="14">
        <f t="shared" si="8"/>
        <v>122.03735833333333</v>
      </c>
      <c r="K1077" s="14"/>
    </row>
    <row r="1078" spans="1:11" ht="15" x14ac:dyDescent="0.2">
      <c r="A1078" s="10">
        <v>2022</v>
      </c>
      <c r="B1078" s="14">
        <f t="shared" ref="B1078:J1078" si="9">AVERAGE(B120:B131)</f>
        <v>20.263100000000001</v>
      </c>
      <c r="C1078" s="14">
        <f t="shared" si="9"/>
        <v>19.305666666666667</v>
      </c>
      <c r="D1078" s="14">
        <f t="shared" si="9"/>
        <v>19.297858333333334</v>
      </c>
      <c r="E1078" s="14">
        <f t="shared" si="9"/>
        <v>20.115883333333333</v>
      </c>
      <c r="F1078" s="14">
        <f t="shared" si="9"/>
        <v>20.106824999999997</v>
      </c>
      <c r="G1078" s="14">
        <f t="shared" si="9"/>
        <v>19.304091666666665</v>
      </c>
      <c r="H1078" s="14">
        <f t="shared" si="9"/>
        <v>19.304091666666665</v>
      </c>
      <c r="I1078" s="14">
        <f t="shared" si="9"/>
        <v>19.305666666666667</v>
      </c>
      <c r="J1078" s="14">
        <f t="shared" si="9"/>
        <v>128.27124999999998</v>
      </c>
      <c r="K1078" s="14"/>
    </row>
    <row r="1079" spans="1:11" ht="15" x14ac:dyDescent="0.2">
      <c r="A1079" s="10">
        <v>2023</v>
      </c>
      <c r="B1079" s="14">
        <f t="shared" ref="B1079:J1079" si="10">AVERAGE(B132:B143)</f>
        <v>21.363733333333329</v>
      </c>
      <c r="C1079" s="14">
        <f t="shared" si="10"/>
        <v>20.239483333333329</v>
      </c>
      <c r="D1079" s="14">
        <f t="shared" si="10"/>
        <v>20.231683333333333</v>
      </c>
      <c r="E1079" s="14">
        <f t="shared" si="10"/>
        <v>21.216533333333331</v>
      </c>
      <c r="F1079" s="14">
        <f t="shared" si="10"/>
        <v>21.207474999999999</v>
      </c>
      <c r="G1079" s="14">
        <f t="shared" si="10"/>
        <v>20.237941666666668</v>
      </c>
      <c r="H1079" s="14">
        <f t="shared" si="10"/>
        <v>20.237941666666668</v>
      </c>
      <c r="I1079" s="14">
        <f t="shared" si="10"/>
        <v>20.239483333333329</v>
      </c>
      <c r="J1079" s="14">
        <f t="shared" si="10"/>
        <v>134.81665833333332</v>
      </c>
      <c r="K1079" s="14"/>
    </row>
    <row r="1080" spans="1:11" ht="15" x14ac:dyDescent="0.2">
      <c r="A1080" s="10">
        <v>2024</v>
      </c>
      <c r="B1080" s="14">
        <f t="shared" ref="B1080:J1080" si="11">AVERAGE(B144:B155)</f>
        <v>22.500974999999997</v>
      </c>
      <c r="C1080" s="14">
        <f t="shared" si="11"/>
        <v>21.208308333333331</v>
      </c>
      <c r="D1080" s="14">
        <f t="shared" si="11"/>
        <v>21.200491666666665</v>
      </c>
      <c r="E1080" s="14">
        <f t="shared" si="11"/>
        <v>22.353791666666666</v>
      </c>
      <c r="F1080" s="14">
        <f t="shared" si="11"/>
        <v>22.344733333333334</v>
      </c>
      <c r="G1080" s="14">
        <f t="shared" si="11"/>
        <v>21.206733333333332</v>
      </c>
      <c r="H1080" s="14">
        <f t="shared" si="11"/>
        <v>21.206733333333332</v>
      </c>
      <c r="I1080" s="14">
        <f t="shared" si="11"/>
        <v>21.208308333333331</v>
      </c>
      <c r="J1080" s="14">
        <f t="shared" si="11"/>
        <v>141.68893333333332</v>
      </c>
      <c r="K1080" s="14"/>
    </row>
    <row r="1081" spans="1:11" ht="15" x14ac:dyDescent="0.2">
      <c r="A1081" s="10">
        <v>2025</v>
      </c>
      <c r="B1081" s="14">
        <f t="shared" ref="B1081:J1081" si="12">AVERAGE(B156:B167)</f>
        <v>23.644308333333328</v>
      </c>
      <c r="C1081" s="14">
        <f t="shared" si="12"/>
        <v>22.181591666666666</v>
      </c>
      <c r="D1081" s="14">
        <f t="shared" si="12"/>
        <v>22.173758333333335</v>
      </c>
      <c r="E1081" s="14">
        <f t="shared" si="12"/>
        <v>23.497116666666667</v>
      </c>
      <c r="F1081" s="14">
        <f t="shared" si="12"/>
        <v>23.488058333333331</v>
      </c>
      <c r="G1081" s="14">
        <f t="shared" si="12"/>
        <v>22.180033333333331</v>
      </c>
      <c r="H1081" s="14">
        <f t="shared" si="12"/>
        <v>22.180033333333331</v>
      </c>
      <c r="I1081" s="14">
        <f t="shared" si="12"/>
        <v>22.181591666666666</v>
      </c>
      <c r="J1081" s="14">
        <f t="shared" si="12"/>
        <v>148.90432500000003</v>
      </c>
      <c r="K1081" s="14"/>
    </row>
    <row r="1082" spans="1:11" ht="15" x14ac:dyDescent="0.2">
      <c r="A1082" s="10">
        <v>2026</v>
      </c>
      <c r="B1082" s="14">
        <f t="shared" ref="B1082:J1082" si="13">AVERAGE(B168:B179)</f>
        <v>24.186841666666666</v>
      </c>
      <c r="C1082" s="14">
        <f t="shared" si="13"/>
        <v>22.717658333333333</v>
      </c>
      <c r="D1082" s="14">
        <f t="shared" si="13"/>
        <v>22.70985833333334</v>
      </c>
      <c r="E1082" s="14">
        <f t="shared" si="13"/>
        <v>24.039658333333335</v>
      </c>
      <c r="F1082" s="14">
        <f t="shared" si="13"/>
        <v>24.030599999999993</v>
      </c>
      <c r="G1082" s="14">
        <f t="shared" si="13"/>
        <v>22.716108333333327</v>
      </c>
      <c r="H1082" s="14">
        <f t="shared" si="13"/>
        <v>22.716108333333327</v>
      </c>
      <c r="I1082" s="14">
        <f t="shared" si="13"/>
        <v>22.717658333333333</v>
      </c>
      <c r="J1082" s="14">
        <f t="shared" si="13"/>
        <v>152.65531666666666</v>
      </c>
      <c r="K1082" s="14"/>
    </row>
    <row r="1083" spans="1:11" ht="15" x14ac:dyDescent="0.2">
      <c r="A1083" s="10">
        <v>2027</v>
      </c>
      <c r="B1083" s="14">
        <f t="shared" ref="B1083:J1083" si="14">AVERAGE(B180:B191)</f>
        <v>24.786116666666668</v>
      </c>
      <c r="C1083" s="14">
        <f t="shared" si="14"/>
        <v>23.310475</v>
      </c>
      <c r="D1083" s="14">
        <f t="shared" si="14"/>
        <v>23.302674999999997</v>
      </c>
      <c r="E1083" s="14">
        <f t="shared" si="14"/>
        <v>24.638933333333338</v>
      </c>
      <c r="F1083" s="14">
        <f t="shared" si="14"/>
        <v>24.629874999999995</v>
      </c>
      <c r="G1083" s="14">
        <f t="shared" si="14"/>
        <v>23.308899999999998</v>
      </c>
      <c r="H1083" s="14">
        <f t="shared" si="14"/>
        <v>23.308899999999998</v>
      </c>
      <c r="I1083" s="14">
        <f t="shared" si="14"/>
        <v>23.310475</v>
      </c>
      <c r="J1083" s="14">
        <f t="shared" si="14"/>
        <v>156.50068333333334</v>
      </c>
      <c r="K1083" s="14"/>
    </row>
    <row r="1084" spans="1:11" ht="15" x14ac:dyDescent="0.2">
      <c r="A1084" s="10">
        <v>2028</v>
      </c>
      <c r="B1084" s="14">
        <f t="shared" ref="B1084:J1084" si="15">AVERAGE(B192:B203)</f>
        <v>25.334708333333328</v>
      </c>
      <c r="C1084" s="14">
        <f t="shared" si="15"/>
        <v>23.85253333333333</v>
      </c>
      <c r="D1084" s="14">
        <f t="shared" si="15"/>
        <v>23.844733333333334</v>
      </c>
      <c r="E1084" s="14">
        <f t="shared" si="15"/>
        <v>25.18750833333333</v>
      </c>
      <c r="F1084" s="14">
        <f t="shared" si="15"/>
        <v>25.178449999999998</v>
      </c>
      <c r="G1084" s="14">
        <f t="shared" si="15"/>
        <v>23.850958333333335</v>
      </c>
      <c r="H1084" s="14">
        <f t="shared" si="15"/>
        <v>23.850958333333335</v>
      </c>
      <c r="I1084" s="14">
        <f t="shared" si="15"/>
        <v>23.85253333333333</v>
      </c>
      <c r="J1084" s="14">
        <f t="shared" si="15"/>
        <v>160.44282500000003</v>
      </c>
      <c r="K1084" s="14"/>
    </row>
    <row r="1085" spans="1:11" ht="15" x14ac:dyDescent="0.2">
      <c r="A1085" s="10">
        <v>2029</v>
      </c>
      <c r="B1085" s="14">
        <f t="shared" ref="B1085:J1085" si="16">AVERAGE(B204:B215)</f>
        <v>25.966191666666663</v>
      </c>
      <c r="C1085" s="14">
        <f t="shared" si="16"/>
        <v>24.477483333333335</v>
      </c>
      <c r="D1085" s="14">
        <f t="shared" si="16"/>
        <v>24.469674999999999</v>
      </c>
      <c r="E1085" s="14">
        <f t="shared" si="16"/>
        <v>25.819008333333329</v>
      </c>
      <c r="F1085" s="14">
        <f t="shared" si="16"/>
        <v>25.809950000000001</v>
      </c>
      <c r="G1085" s="14">
        <f t="shared" si="16"/>
        <v>24.475925</v>
      </c>
      <c r="H1085" s="14">
        <f t="shared" si="16"/>
        <v>24.475925</v>
      </c>
      <c r="I1085" s="14">
        <f t="shared" si="16"/>
        <v>24.477483333333335</v>
      </c>
      <c r="J1085" s="14">
        <f t="shared" si="16"/>
        <v>164.48420000000002</v>
      </c>
      <c r="K1085" s="14"/>
    </row>
    <row r="1086" spans="1:11" ht="15" x14ac:dyDescent="0.2">
      <c r="A1086" s="10">
        <v>2030</v>
      </c>
      <c r="B1086" s="14">
        <f t="shared" ref="B1086:J1086" si="17">AVERAGE(B216:B227)</f>
        <v>26.490549999999995</v>
      </c>
      <c r="C1086" s="14">
        <f t="shared" si="17"/>
        <v>24.998758333333331</v>
      </c>
      <c r="D1086" s="14">
        <f t="shared" si="17"/>
        <v>24.990949999999998</v>
      </c>
      <c r="E1086" s="14">
        <f t="shared" si="17"/>
        <v>26.343374999999998</v>
      </c>
      <c r="F1086" s="14">
        <f t="shared" si="17"/>
        <v>26.334316666666666</v>
      </c>
      <c r="G1086" s="14">
        <f t="shared" si="17"/>
        <v>24.997200000000003</v>
      </c>
      <c r="H1086" s="14">
        <f t="shared" si="17"/>
        <v>24.997200000000003</v>
      </c>
      <c r="I1086" s="14">
        <f t="shared" si="17"/>
        <v>24.998758333333331</v>
      </c>
      <c r="J1086" s="14">
        <f t="shared" si="17"/>
        <v>168.20285833333332</v>
      </c>
      <c r="K1086" s="14"/>
    </row>
    <row r="1087" spans="1:11" ht="15" x14ac:dyDescent="0.2">
      <c r="A1087" s="10">
        <v>2031</v>
      </c>
      <c r="B1087" s="14">
        <f t="shared" ref="B1087:J1087" si="18">AVERAGE(B228:B239)</f>
        <v>27.023116666666667</v>
      </c>
      <c r="C1087" s="14">
        <f t="shared" si="18"/>
        <v>25.503808333333328</v>
      </c>
      <c r="D1087" s="14">
        <f t="shared" si="18"/>
        <v>25.496008333333332</v>
      </c>
      <c r="E1087" s="14">
        <f t="shared" si="18"/>
        <v>26.875924999999995</v>
      </c>
      <c r="F1087" s="14">
        <f t="shared" si="18"/>
        <v>26.866866666666663</v>
      </c>
      <c r="G1087" s="14">
        <f t="shared" si="18"/>
        <v>25.502241666666663</v>
      </c>
      <c r="H1087" s="14">
        <f t="shared" si="18"/>
        <v>25.502241666666663</v>
      </c>
      <c r="I1087" s="14">
        <f t="shared" si="18"/>
        <v>25.503808333333328</v>
      </c>
      <c r="J1087" s="14">
        <f t="shared" si="18"/>
        <v>172.81079166666663</v>
      </c>
      <c r="K1087" s="14"/>
    </row>
    <row r="1088" spans="1:11" ht="15" x14ac:dyDescent="0.2">
      <c r="A1088" s="10">
        <v>2032</v>
      </c>
      <c r="B1088" s="14">
        <f t="shared" ref="B1088:J1088" si="19">AVERAGE(B240:B251)</f>
        <v>27.46630833333333</v>
      </c>
      <c r="C1088" s="14">
        <f t="shared" si="19"/>
        <v>25.923941666666664</v>
      </c>
      <c r="D1088" s="14">
        <f t="shared" si="19"/>
        <v>25.916125000000005</v>
      </c>
      <c r="E1088" s="14">
        <f t="shared" si="19"/>
        <v>27.319108333333332</v>
      </c>
      <c r="F1088" s="14">
        <f t="shared" si="19"/>
        <v>27.310049999999993</v>
      </c>
      <c r="G1088" s="14">
        <f t="shared" si="19"/>
        <v>25.922375000000002</v>
      </c>
      <c r="H1088" s="14">
        <f t="shared" si="19"/>
        <v>25.922375000000002</v>
      </c>
      <c r="I1088" s="14">
        <f t="shared" si="19"/>
        <v>25.923941666666664</v>
      </c>
      <c r="J1088" s="14">
        <f t="shared" si="19"/>
        <v>176.93085833333336</v>
      </c>
      <c r="K1088" s="14"/>
    </row>
    <row r="1089" spans="1:11" ht="15" x14ac:dyDescent="0.2">
      <c r="A1089" s="10">
        <v>2033</v>
      </c>
      <c r="B1089" s="14">
        <f t="shared" ref="B1089:J1089" si="20">AVERAGE(B252:B263)</f>
        <v>27.916941666666663</v>
      </c>
      <c r="C1089" s="14">
        <f t="shared" si="20"/>
        <v>26.351125</v>
      </c>
      <c r="D1089" s="14">
        <f t="shared" si="20"/>
        <v>26.343308333333336</v>
      </c>
      <c r="E1089" s="14">
        <f t="shared" si="20"/>
        <v>27.769741666666661</v>
      </c>
      <c r="F1089" s="14">
        <f t="shared" si="20"/>
        <v>27.760683333333329</v>
      </c>
      <c r="G1089" s="14">
        <f t="shared" si="20"/>
        <v>26.349566666666664</v>
      </c>
      <c r="H1089" s="14">
        <f t="shared" si="20"/>
        <v>26.349566666666664</v>
      </c>
      <c r="I1089" s="14">
        <f t="shared" si="20"/>
        <v>26.351125</v>
      </c>
      <c r="J1089" s="14">
        <f t="shared" si="20"/>
        <v>181.14915833333336</v>
      </c>
      <c r="K1089" s="14"/>
    </row>
    <row r="1090" spans="1:11" ht="15" x14ac:dyDescent="0.2">
      <c r="A1090" s="10">
        <v>2034</v>
      </c>
      <c r="B1090" s="14">
        <f t="shared" ref="B1090:J1090" si="21">AVERAGE(B264:B275)</f>
        <v>28.375141666666664</v>
      </c>
      <c r="C1090" s="14">
        <f t="shared" si="21"/>
        <v>26.785508333333329</v>
      </c>
      <c r="D1090" s="14">
        <f t="shared" si="21"/>
        <v>26.777675000000002</v>
      </c>
      <c r="E1090" s="14">
        <f t="shared" si="21"/>
        <v>28.227933333333329</v>
      </c>
      <c r="F1090" s="14">
        <f t="shared" si="21"/>
        <v>28.218874999999997</v>
      </c>
      <c r="G1090" s="14">
        <f t="shared" si="21"/>
        <v>26.783925</v>
      </c>
      <c r="H1090" s="14">
        <f t="shared" si="21"/>
        <v>26.783925</v>
      </c>
      <c r="I1090" s="14">
        <f t="shared" si="21"/>
        <v>26.785508333333329</v>
      </c>
      <c r="J1090" s="14">
        <f t="shared" si="21"/>
        <v>185.4680166666667</v>
      </c>
      <c r="K1090" s="14"/>
    </row>
    <row r="1091" spans="1:11" ht="15" x14ac:dyDescent="0.2">
      <c r="A1091" s="10">
        <v>2035</v>
      </c>
      <c r="B1091" s="14">
        <f t="shared" ref="B1091:J1091" si="22">AVERAGE(B276:B287)</f>
        <v>28.841016666666665</v>
      </c>
      <c r="C1091" s="14">
        <f t="shared" si="22"/>
        <v>27.227166666666665</v>
      </c>
      <c r="D1091" s="14">
        <f t="shared" si="22"/>
        <v>27.219341666666669</v>
      </c>
      <c r="E1091" s="14">
        <f t="shared" si="22"/>
        <v>28.693825</v>
      </c>
      <c r="F1091" s="14">
        <f t="shared" si="22"/>
        <v>28.684766666666665</v>
      </c>
      <c r="G1091" s="14">
        <f t="shared" si="22"/>
        <v>27.22560833333333</v>
      </c>
      <c r="H1091" s="14">
        <f t="shared" si="22"/>
        <v>27.22560833333333</v>
      </c>
      <c r="I1091" s="14">
        <f t="shared" si="22"/>
        <v>27.227166666666665</v>
      </c>
      <c r="J1091" s="14">
        <f t="shared" si="22"/>
        <v>189.88985833333334</v>
      </c>
      <c r="K1091" s="14"/>
    </row>
    <row r="1092" spans="1:11" ht="15" x14ac:dyDescent="0.2">
      <c r="A1092" s="10">
        <v>2036</v>
      </c>
      <c r="B1092" s="14">
        <f t="shared" ref="B1092:J1092" si="23">AVERAGE(B288:B299)</f>
        <v>29.314749999999993</v>
      </c>
      <c r="C1092" s="14">
        <f t="shared" si="23"/>
        <v>27.676241666666666</v>
      </c>
      <c r="D1092" s="14">
        <f t="shared" si="23"/>
        <v>27.668425000000003</v>
      </c>
      <c r="E1092" s="14">
        <f t="shared" si="23"/>
        <v>29.167566666666669</v>
      </c>
      <c r="F1092" s="14">
        <f t="shared" si="23"/>
        <v>29.15850833333333</v>
      </c>
      <c r="G1092" s="14">
        <f t="shared" si="23"/>
        <v>27.674674999999997</v>
      </c>
      <c r="H1092" s="14">
        <f t="shared" si="23"/>
        <v>27.674674999999997</v>
      </c>
      <c r="I1092" s="14">
        <f t="shared" si="23"/>
        <v>27.676241666666666</v>
      </c>
      <c r="J1092" s="14">
        <f t="shared" si="23"/>
        <v>194.41710000000003</v>
      </c>
      <c r="K1092" s="14"/>
    </row>
    <row r="1093" spans="1:11" ht="15" x14ac:dyDescent="0.2">
      <c r="A1093" s="10">
        <v>2037</v>
      </c>
      <c r="B1093" s="14">
        <f t="shared" ref="B1093:J1093" si="24">AVERAGE(B300:B311)</f>
        <v>29.796441666666663</v>
      </c>
      <c r="C1093" s="14">
        <f t="shared" si="24"/>
        <v>28.132866666666668</v>
      </c>
      <c r="D1093" s="14">
        <f t="shared" si="24"/>
        <v>28.125066666666665</v>
      </c>
      <c r="E1093" s="14">
        <f t="shared" si="24"/>
        <v>29.649224999999998</v>
      </c>
      <c r="F1093" s="14">
        <f t="shared" si="24"/>
        <v>29.640166666666673</v>
      </c>
      <c r="G1093" s="14">
        <f t="shared" si="24"/>
        <v>28.131308333333333</v>
      </c>
      <c r="H1093" s="14">
        <f t="shared" si="24"/>
        <v>28.131308333333333</v>
      </c>
      <c r="I1093" s="14">
        <f t="shared" si="24"/>
        <v>28.132866666666668</v>
      </c>
      <c r="J1093" s="14">
        <f t="shared" si="24"/>
        <v>199.05229999999997</v>
      </c>
      <c r="K1093" s="14"/>
    </row>
    <row r="1094" spans="1:11" ht="15" x14ac:dyDescent="0.2">
      <c r="A1094" s="10">
        <f t="shared" ref="A1094:A1125" si="25">A1093+1</f>
        <v>2038</v>
      </c>
      <c r="B1094" s="14">
        <f t="shared" ref="B1094:J1094" si="26">AVERAGE(B312:B323)</f>
        <v>30.286208333333331</v>
      </c>
      <c r="C1094" s="14">
        <f t="shared" si="26"/>
        <v>28.597166666666666</v>
      </c>
      <c r="D1094" s="14">
        <f t="shared" si="26"/>
        <v>28.589366666666667</v>
      </c>
      <c r="E1094" s="14">
        <f t="shared" si="26"/>
        <v>30.139008333333333</v>
      </c>
      <c r="F1094" s="14">
        <f t="shared" si="26"/>
        <v>30.129949999999997</v>
      </c>
      <c r="G1094" s="14">
        <f t="shared" si="26"/>
        <v>28.595608333333342</v>
      </c>
      <c r="H1094" s="14">
        <f t="shared" si="26"/>
        <v>28.595608333333342</v>
      </c>
      <c r="I1094" s="14">
        <f t="shared" si="26"/>
        <v>28.597166666666666</v>
      </c>
      <c r="J1094" s="14">
        <f t="shared" si="26"/>
        <v>203.79801666666665</v>
      </c>
    </row>
    <row r="1095" spans="1:11" ht="15" x14ac:dyDescent="0.2">
      <c r="A1095" s="10">
        <f t="shared" si="25"/>
        <v>2039</v>
      </c>
      <c r="B1095" s="14">
        <f t="shared" ref="B1095:J1095" si="27">AVERAGE(B324:B335)</f>
        <v>30.784208333333329</v>
      </c>
      <c r="C1095" s="14">
        <f t="shared" si="27"/>
        <v>29.069266666666667</v>
      </c>
      <c r="D1095" s="14">
        <f t="shared" si="27"/>
        <v>29.061458333333324</v>
      </c>
      <c r="E1095" s="14">
        <f t="shared" si="27"/>
        <v>30.637008333333327</v>
      </c>
      <c r="F1095" s="14">
        <f t="shared" si="27"/>
        <v>30.627950000000002</v>
      </c>
      <c r="G1095" s="14">
        <f t="shared" si="27"/>
        <v>29.067708333333329</v>
      </c>
      <c r="H1095" s="14">
        <f t="shared" si="27"/>
        <v>29.067708333333329</v>
      </c>
      <c r="I1095" s="14">
        <f t="shared" si="27"/>
        <v>29.069266666666667</v>
      </c>
      <c r="J1095" s="14">
        <f t="shared" si="27"/>
        <v>208.65685833333336</v>
      </c>
    </row>
    <row r="1096" spans="1:11" ht="15" x14ac:dyDescent="0.2">
      <c r="A1096" s="10">
        <f t="shared" si="25"/>
        <v>2040</v>
      </c>
      <c r="B1096" s="14">
        <f t="shared" ref="B1096:J1096" si="28">AVERAGE(B336:B347)</f>
        <v>31.290566666666667</v>
      </c>
      <c r="C1096" s="14">
        <f t="shared" si="28"/>
        <v>29.549308333333329</v>
      </c>
      <c r="D1096" s="14">
        <f t="shared" si="28"/>
        <v>29.541475000000002</v>
      </c>
      <c r="E1096" s="14">
        <f t="shared" si="28"/>
        <v>31.143375000000002</v>
      </c>
      <c r="F1096" s="14">
        <f t="shared" si="28"/>
        <v>31.134316666666663</v>
      </c>
      <c r="G1096" s="14">
        <f t="shared" si="28"/>
        <v>29.547725</v>
      </c>
      <c r="H1096" s="14">
        <f t="shared" si="28"/>
        <v>29.547725</v>
      </c>
      <c r="I1096" s="14">
        <f t="shared" si="28"/>
        <v>29.549308333333329</v>
      </c>
      <c r="J1096" s="14">
        <f t="shared" si="28"/>
        <v>213.63155833333337</v>
      </c>
    </row>
    <row r="1097" spans="1:11" ht="15" x14ac:dyDescent="0.2">
      <c r="A1097" s="10">
        <f t="shared" si="25"/>
        <v>2041</v>
      </c>
      <c r="B1097" s="14">
        <f t="shared" ref="B1097:J1097" si="29">AVERAGE(B348:B359)</f>
        <v>31.805449999999997</v>
      </c>
      <c r="C1097" s="14">
        <f t="shared" si="29"/>
        <v>30.037400000000002</v>
      </c>
      <c r="D1097" s="14">
        <f t="shared" si="29"/>
        <v>30.029574999999998</v>
      </c>
      <c r="E1097" s="14">
        <f t="shared" si="29"/>
        <v>31.658266666666666</v>
      </c>
      <c r="F1097" s="14">
        <f t="shared" si="29"/>
        <v>31.649208333333334</v>
      </c>
      <c r="G1097" s="14">
        <f t="shared" si="29"/>
        <v>30.035824999999992</v>
      </c>
      <c r="H1097" s="14">
        <f t="shared" si="29"/>
        <v>30.035824999999992</v>
      </c>
      <c r="I1097" s="14">
        <f t="shared" si="29"/>
        <v>30.037400000000002</v>
      </c>
      <c r="J1097" s="14">
        <f t="shared" si="29"/>
        <v>218.72484166666666</v>
      </c>
    </row>
    <row r="1098" spans="1:11" ht="15" x14ac:dyDescent="0.2">
      <c r="A1098" s="10">
        <f t="shared" si="25"/>
        <v>2042</v>
      </c>
      <c r="B1098" s="14">
        <f t="shared" ref="B1098:J1098" si="30">AVERAGE(B360:B371)</f>
        <v>32.328966666666666</v>
      </c>
      <c r="C1098" s="14">
        <f t="shared" si="30"/>
        <v>30.533674999999999</v>
      </c>
      <c r="D1098" s="14">
        <f t="shared" si="30"/>
        <v>30.525866666666669</v>
      </c>
      <c r="E1098" s="14">
        <f t="shared" si="30"/>
        <v>32.181774999999995</v>
      </c>
      <c r="F1098" s="14">
        <f t="shared" si="30"/>
        <v>32.172716666666666</v>
      </c>
      <c r="G1098" s="14">
        <f t="shared" si="30"/>
        <v>30.532124999999997</v>
      </c>
      <c r="H1098" s="14">
        <f t="shared" si="30"/>
        <v>30.532124999999997</v>
      </c>
      <c r="I1098" s="14">
        <f t="shared" si="30"/>
        <v>30.533674999999999</v>
      </c>
      <c r="J1098" s="14">
        <f t="shared" si="30"/>
        <v>223.93956666666668</v>
      </c>
    </row>
    <row r="1099" spans="1:11" ht="15" x14ac:dyDescent="0.2">
      <c r="A1099" s="10">
        <f t="shared" si="25"/>
        <v>2043</v>
      </c>
      <c r="B1099" s="14">
        <f t="shared" ref="B1099:J1099" si="31">AVERAGE(B372:B383)</f>
        <v>32.861291666666666</v>
      </c>
      <c r="C1099" s="14">
        <f t="shared" si="31"/>
        <v>31.038308333333337</v>
      </c>
      <c r="D1099" s="14">
        <f t="shared" si="31"/>
        <v>31.03050833333333</v>
      </c>
      <c r="E1099" s="14">
        <f t="shared" si="31"/>
        <v>32.714108333333336</v>
      </c>
      <c r="F1099" s="14">
        <f t="shared" si="31"/>
        <v>32.705050000000007</v>
      </c>
      <c r="G1099" s="14">
        <f t="shared" si="31"/>
        <v>31.036758333333328</v>
      </c>
      <c r="H1099" s="14">
        <f t="shared" si="31"/>
        <v>31.036758333333328</v>
      </c>
      <c r="I1099" s="14">
        <f t="shared" si="31"/>
        <v>31.038308333333337</v>
      </c>
      <c r="J1099" s="14">
        <f t="shared" si="31"/>
        <v>229.27863333333332</v>
      </c>
    </row>
    <row r="1100" spans="1:11" ht="15" x14ac:dyDescent="0.2">
      <c r="A1100" s="10">
        <f t="shared" si="25"/>
        <v>2044</v>
      </c>
      <c r="B1100" s="14">
        <f t="shared" ref="B1100:J1100" si="32">AVERAGE(B384:B395)</f>
        <v>33.402549999999998</v>
      </c>
      <c r="C1100" s="14">
        <f t="shared" si="32"/>
        <v>31.551424999999995</v>
      </c>
      <c r="D1100" s="14">
        <f t="shared" si="32"/>
        <v>31.543608333333335</v>
      </c>
      <c r="E1100" s="14">
        <f t="shared" si="32"/>
        <v>33.255366666666667</v>
      </c>
      <c r="F1100" s="14">
        <f t="shared" si="32"/>
        <v>33.246308333333332</v>
      </c>
      <c r="G1100" s="14">
        <f t="shared" si="32"/>
        <v>31.549866666666663</v>
      </c>
      <c r="H1100" s="14">
        <f t="shared" si="32"/>
        <v>31.549866666666663</v>
      </c>
      <c r="I1100" s="14">
        <f t="shared" si="32"/>
        <v>31.551424999999995</v>
      </c>
      <c r="J1100" s="14">
        <f t="shared" si="32"/>
        <v>234.74498333333335</v>
      </c>
    </row>
    <row r="1101" spans="1:11" ht="15" x14ac:dyDescent="0.2">
      <c r="A1101" s="10">
        <f t="shared" si="25"/>
        <v>2045</v>
      </c>
      <c r="B1101" s="14">
        <f t="shared" ref="B1101:J1101" si="33">AVERAGE(B396:B407)</f>
        <v>33.952908333333333</v>
      </c>
      <c r="C1101" s="14">
        <f t="shared" si="33"/>
        <v>32.073166666666658</v>
      </c>
      <c r="D1101" s="14">
        <f t="shared" si="33"/>
        <v>32.065341666666669</v>
      </c>
      <c r="E1101" s="14">
        <f t="shared" si="33"/>
        <v>33.805708333333328</v>
      </c>
      <c r="F1101" s="14">
        <f t="shared" si="33"/>
        <v>33.796650000000007</v>
      </c>
      <c r="G1101" s="14">
        <f t="shared" si="33"/>
        <v>32.071600000000011</v>
      </c>
      <c r="H1101" s="14">
        <f t="shared" si="33"/>
        <v>32.071600000000011</v>
      </c>
      <c r="I1101" s="14">
        <f t="shared" si="33"/>
        <v>32.073166666666658</v>
      </c>
      <c r="J1101" s="14">
        <f t="shared" si="33"/>
        <v>240.34165000000004</v>
      </c>
    </row>
    <row r="1102" spans="1:11" ht="15" x14ac:dyDescent="0.2">
      <c r="A1102" s="10">
        <f t="shared" si="25"/>
        <v>2046</v>
      </c>
      <c r="B1102" s="14">
        <f t="shared" ref="B1102:J1102" si="34">AVERAGE(B408:B419)</f>
        <v>34.512508333333336</v>
      </c>
      <c r="C1102" s="14">
        <f t="shared" si="34"/>
        <v>32.603649999999995</v>
      </c>
      <c r="D1102" s="14">
        <f t="shared" si="34"/>
        <v>32.595824999999998</v>
      </c>
      <c r="E1102" s="14">
        <f t="shared" si="34"/>
        <v>34.365308333333338</v>
      </c>
      <c r="F1102" s="14">
        <f t="shared" si="34"/>
        <v>34.356250000000003</v>
      </c>
      <c r="G1102" s="14">
        <f t="shared" si="34"/>
        <v>32.602091666666659</v>
      </c>
      <c r="H1102" s="14">
        <f t="shared" si="34"/>
        <v>32.602091666666659</v>
      </c>
      <c r="I1102" s="14">
        <f t="shared" si="34"/>
        <v>32.603649999999995</v>
      </c>
      <c r="J1102" s="14">
        <f t="shared" si="34"/>
        <v>246.07177499999997</v>
      </c>
    </row>
    <row r="1103" spans="1:11" ht="15" x14ac:dyDescent="0.2">
      <c r="A1103" s="10">
        <f t="shared" si="25"/>
        <v>2047</v>
      </c>
      <c r="B1103" s="14">
        <f t="shared" ref="B1103:J1103" si="35">AVERAGE(B420:B431)</f>
        <v>35.081508333333332</v>
      </c>
      <c r="C1103" s="14">
        <f t="shared" si="35"/>
        <v>33.14306666666667</v>
      </c>
      <c r="D1103" s="14">
        <f t="shared" si="35"/>
        <v>33.135241666666666</v>
      </c>
      <c r="E1103" s="14">
        <f t="shared" si="35"/>
        <v>34.934308333333327</v>
      </c>
      <c r="F1103" s="14">
        <f t="shared" si="35"/>
        <v>34.925249999999998</v>
      </c>
      <c r="G1103" s="14">
        <f t="shared" si="35"/>
        <v>33.141499999999994</v>
      </c>
      <c r="H1103" s="14">
        <f t="shared" si="35"/>
        <v>33.141499999999994</v>
      </c>
      <c r="I1103" s="14">
        <f t="shared" si="35"/>
        <v>33.14306666666667</v>
      </c>
      <c r="J1103" s="14">
        <f t="shared" si="35"/>
        <v>251.93848333333335</v>
      </c>
    </row>
    <row r="1104" spans="1:11" ht="15" x14ac:dyDescent="0.2">
      <c r="A1104" s="10">
        <f t="shared" si="25"/>
        <v>2048</v>
      </c>
      <c r="B1104" s="14">
        <f t="shared" ref="B1104:J1104" si="36">AVERAGE(B432:B443)</f>
        <v>35.660066666666673</v>
      </c>
      <c r="C1104" s="14">
        <f t="shared" si="36"/>
        <v>33.691524999999999</v>
      </c>
      <c r="D1104" s="14">
        <f t="shared" si="36"/>
        <v>33.683708333333335</v>
      </c>
      <c r="E1104" s="14">
        <f t="shared" si="36"/>
        <v>35.512875000000001</v>
      </c>
      <c r="F1104" s="14">
        <f t="shared" si="36"/>
        <v>35.503816666666665</v>
      </c>
      <c r="G1104" s="14">
        <f t="shared" si="36"/>
        <v>33.68996666666667</v>
      </c>
      <c r="H1104" s="14">
        <f t="shared" si="36"/>
        <v>33.68996666666667</v>
      </c>
      <c r="I1104" s="14">
        <f t="shared" si="36"/>
        <v>33.691524999999999</v>
      </c>
      <c r="J1104" s="14">
        <f t="shared" si="36"/>
        <v>257.94508333333334</v>
      </c>
    </row>
    <row r="1105" spans="1:10" ht="15" x14ac:dyDescent="0.2">
      <c r="A1105" s="10">
        <f t="shared" si="25"/>
        <v>2049</v>
      </c>
      <c r="B1105" s="14">
        <f t="shared" ref="B1105:J1105" si="37">AVERAGE(B444:B455)</f>
        <v>36.248349999999995</v>
      </c>
      <c r="C1105" s="14">
        <f t="shared" si="37"/>
        <v>34.249208333333335</v>
      </c>
      <c r="D1105" s="14">
        <f t="shared" si="37"/>
        <v>34.241399999999992</v>
      </c>
      <c r="E1105" s="14">
        <f t="shared" si="37"/>
        <v>36.101166666666671</v>
      </c>
      <c r="F1105" s="14">
        <f t="shared" si="37"/>
        <v>36.092108333333336</v>
      </c>
      <c r="G1105" s="14">
        <f t="shared" si="37"/>
        <v>34.247641666666674</v>
      </c>
      <c r="H1105" s="14">
        <f t="shared" si="37"/>
        <v>34.247641666666674</v>
      </c>
      <c r="I1105" s="14">
        <f t="shared" si="37"/>
        <v>34.249208333333335</v>
      </c>
      <c r="J1105" s="14">
        <f t="shared" si="37"/>
        <v>264.09485833333332</v>
      </c>
    </row>
    <row r="1106" spans="1:10" ht="15" x14ac:dyDescent="0.2">
      <c r="A1106" s="10">
        <f t="shared" si="25"/>
        <v>2050</v>
      </c>
      <c r="B1106" s="14">
        <f t="shared" ref="B1106:J1106" si="38">AVERAGE(B456:B467)</f>
        <v>36.84650833333334</v>
      </c>
      <c r="C1106" s="14">
        <f t="shared" si="38"/>
        <v>34.816266666666664</v>
      </c>
      <c r="D1106" s="14">
        <f t="shared" si="38"/>
        <v>34.80844166666666</v>
      </c>
      <c r="E1106" s="14">
        <f t="shared" si="38"/>
        <v>36.699324999999995</v>
      </c>
      <c r="F1106" s="14">
        <f t="shared" si="38"/>
        <v>36.690266666666666</v>
      </c>
      <c r="G1106" s="14">
        <f t="shared" si="38"/>
        <v>34.814708333333328</v>
      </c>
      <c r="H1106" s="14">
        <f t="shared" si="38"/>
        <v>34.814708333333328</v>
      </c>
      <c r="I1106" s="14">
        <f t="shared" si="38"/>
        <v>34.816266666666664</v>
      </c>
      <c r="J1106" s="14">
        <f t="shared" si="38"/>
        <v>270.39129166666669</v>
      </c>
    </row>
    <row r="1107" spans="1:10" ht="15" x14ac:dyDescent="0.2">
      <c r="A1107" s="10">
        <f t="shared" si="25"/>
        <v>2051</v>
      </c>
      <c r="B1107" s="14">
        <f t="shared" ref="B1107:J1107" si="39">AVERAGE(B468:B479)</f>
        <v>37.454741666666663</v>
      </c>
      <c r="C1107" s="14">
        <f t="shared" si="39"/>
        <v>35.392825000000002</v>
      </c>
      <c r="D1107" s="14">
        <f t="shared" si="39"/>
        <v>35.385025000000006</v>
      </c>
      <c r="E1107" s="14">
        <f t="shared" si="39"/>
        <v>37.307524999999998</v>
      </c>
      <c r="F1107" s="14">
        <f t="shared" si="39"/>
        <v>37.29846666666667</v>
      </c>
      <c r="G1107" s="14">
        <f t="shared" si="39"/>
        <v>35.391266666666667</v>
      </c>
      <c r="H1107" s="14">
        <f t="shared" si="39"/>
        <v>35.391266666666667</v>
      </c>
      <c r="I1107" s="14">
        <f t="shared" si="39"/>
        <v>35.392825000000002</v>
      </c>
      <c r="J1107" s="14">
        <f t="shared" si="39"/>
        <v>276.83782500000007</v>
      </c>
    </row>
    <row r="1108" spans="1:10" ht="15" x14ac:dyDescent="0.2">
      <c r="A1108" s="10">
        <f t="shared" si="25"/>
        <v>2052</v>
      </c>
      <c r="B1108" s="14">
        <f t="shared" ref="B1108:J1108" si="40">AVERAGE(B480:B491)</f>
        <v>38.073150000000005</v>
      </c>
      <c r="C1108" s="14">
        <f t="shared" si="40"/>
        <v>35.979108333333329</v>
      </c>
      <c r="D1108" s="14">
        <f t="shared" si="40"/>
        <v>35.971300000000006</v>
      </c>
      <c r="E1108" s="14">
        <f t="shared" si="40"/>
        <v>37.925966666666675</v>
      </c>
      <c r="F1108" s="14">
        <f t="shared" si="40"/>
        <v>37.916908333333346</v>
      </c>
      <c r="G1108" s="14">
        <f t="shared" si="40"/>
        <v>35.977525</v>
      </c>
      <c r="H1108" s="14">
        <f t="shared" si="40"/>
        <v>35.977525</v>
      </c>
      <c r="I1108" s="14">
        <f t="shared" si="40"/>
        <v>35.979108333333329</v>
      </c>
      <c r="J1108" s="14">
        <f t="shared" si="40"/>
        <v>283.43804999999998</v>
      </c>
    </row>
    <row r="1109" spans="1:10" ht="15" x14ac:dyDescent="0.2">
      <c r="A1109" s="10">
        <f t="shared" si="25"/>
        <v>2053</v>
      </c>
      <c r="B1109" s="14">
        <f t="shared" ref="B1109:J1109" si="41">AVERAGE(B492:B503)</f>
        <v>38.701974999999997</v>
      </c>
      <c r="C1109" s="14">
        <f t="shared" si="41"/>
        <v>36.575208333333329</v>
      </c>
      <c r="D1109" s="14">
        <f t="shared" si="41"/>
        <v>36.567408333333333</v>
      </c>
      <c r="E1109" s="14">
        <f t="shared" si="41"/>
        <v>38.554799999999993</v>
      </c>
      <c r="F1109" s="14">
        <f t="shared" si="41"/>
        <v>38.545741666666672</v>
      </c>
      <c r="G1109" s="14">
        <f t="shared" si="41"/>
        <v>36.573649999999994</v>
      </c>
      <c r="H1109" s="14">
        <f t="shared" si="41"/>
        <v>36.573649999999994</v>
      </c>
      <c r="I1109" s="14">
        <f t="shared" si="41"/>
        <v>36.575208333333329</v>
      </c>
      <c r="J1109" s="14">
        <f t="shared" si="41"/>
        <v>290.19566666666668</v>
      </c>
    </row>
    <row r="1110" spans="1:10" ht="15" x14ac:dyDescent="0.2">
      <c r="A1110" s="10">
        <f t="shared" si="25"/>
        <v>2054</v>
      </c>
      <c r="B1110" s="14">
        <f t="shared" ref="B1110:J1110" si="42">AVERAGE(B504:B515)</f>
        <v>39.341366666666666</v>
      </c>
      <c r="C1110" s="14">
        <f t="shared" si="42"/>
        <v>37.181341666666675</v>
      </c>
      <c r="D1110" s="14">
        <f t="shared" si="42"/>
        <v>37.173525000000005</v>
      </c>
      <c r="E1110" s="14">
        <f t="shared" si="42"/>
        <v>39.194166666666668</v>
      </c>
      <c r="F1110" s="14">
        <f t="shared" si="42"/>
        <v>39.185108333333339</v>
      </c>
      <c r="G1110" s="14">
        <f t="shared" si="42"/>
        <v>37.179774999999999</v>
      </c>
      <c r="H1110" s="14">
        <f t="shared" si="42"/>
        <v>37.179774999999999</v>
      </c>
      <c r="I1110" s="14">
        <f t="shared" si="42"/>
        <v>37.181341666666675</v>
      </c>
      <c r="J1110" s="14">
        <f t="shared" si="42"/>
        <v>297.11435</v>
      </c>
    </row>
    <row r="1111" spans="1:10" ht="15" x14ac:dyDescent="0.2">
      <c r="A1111" s="10">
        <f t="shared" si="25"/>
        <v>2055</v>
      </c>
      <c r="B1111" s="14">
        <f t="shared" ref="B1111:J1111" si="43">AVERAGE(B516:B527)</f>
        <v>39.991491666666661</v>
      </c>
      <c r="C1111" s="14">
        <f t="shared" si="43"/>
        <v>37.797650000000004</v>
      </c>
      <c r="D1111" s="14">
        <f t="shared" si="43"/>
        <v>37.789841666666668</v>
      </c>
      <c r="E1111" s="14">
        <f t="shared" si="43"/>
        <v>39.844308333333331</v>
      </c>
      <c r="F1111" s="14">
        <f t="shared" si="43"/>
        <v>39.835250000000009</v>
      </c>
      <c r="G1111" s="14">
        <f t="shared" si="43"/>
        <v>37.796100000000003</v>
      </c>
      <c r="H1111" s="14">
        <f t="shared" si="43"/>
        <v>37.796100000000003</v>
      </c>
      <c r="I1111" s="14">
        <f t="shared" si="43"/>
        <v>37.797650000000004</v>
      </c>
      <c r="J1111" s="14">
        <f t="shared" si="43"/>
        <v>304.19800833333335</v>
      </c>
    </row>
    <row r="1112" spans="1:10" ht="15" x14ac:dyDescent="0.2">
      <c r="A1112" s="10">
        <f t="shared" si="25"/>
        <v>2056</v>
      </c>
      <c r="B1112" s="14">
        <f t="shared" ref="B1112:J1112" si="44">AVERAGE(B528:B539)</f>
        <v>40.652549999999998</v>
      </c>
      <c r="C1112" s="14">
        <f t="shared" si="44"/>
        <v>38.424308333333336</v>
      </c>
      <c r="D1112" s="14">
        <f t="shared" si="44"/>
        <v>38.416508333333333</v>
      </c>
      <c r="E1112" s="14">
        <f t="shared" si="44"/>
        <v>40.505341666666673</v>
      </c>
      <c r="F1112" s="14">
        <f t="shared" si="44"/>
        <v>40.496283333333338</v>
      </c>
      <c r="G1112" s="14">
        <f t="shared" si="44"/>
        <v>38.422766666666668</v>
      </c>
      <c r="H1112" s="14">
        <f t="shared" si="44"/>
        <v>38.422766666666668</v>
      </c>
      <c r="I1112" s="14">
        <f t="shared" si="44"/>
        <v>38.424308333333336</v>
      </c>
      <c r="J1112" s="14">
        <f t="shared" si="44"/>
        <v>311.45053333333334</v>
      </c>
    </row>
    <row r="1113" spans="1:10" ht="15" x14ac:dyDescent="0.2">
      <c r="A1113" s="10">
        <f t="shared" si="25"/>
        <v>2057</v>
      </c>
      <c r="B1113" s="14">
        <f t="shared" ref="B1113:J1113" si="45">AVERAGE(B540:B551)</f>
        <v>41.324691666666666</v>
      </c>
      <c r="C1113" s="14">
        <f t="shared" si="45"/>
        <v>39.061508333333336</v>
      </c>
      <c r="D1113" s="14">
        <f t="shared" si="45"/>
        <v>39.05370833333334</v>
      </c>
      <c r="E1113" s="14">
        <f t="shared" si="45"/>
        <v>41.177508333333328</v>
      </c>
      <c r="F1113" s="14">
        <f t="shared" si="45"/>
        <v>41.16845</v>
      </c>
      <c r="G1113" s="14">
        <f t="shared" si="45"/>
        <v>39.059941666666667</v>
      </c>
      <c r="H1113" s="14">
        <f t="shared" si="45"/>
        <v>39.059941666666667</v>
      </c>
      <c r="I1113" s="14">
        <f t="shared" si="45"/>
        <v>39.061508333333336</v>
      </c>
      <c r="J1113" s="14">
        <f t="shared" si="45"/>
        <v>318.87598333333341</v>
      </c>
    </row>
    <row r="1114" spans="1:10" ht="15" x14ac:dyDescent="0.2">
      <c r="A1114" s="10">
        <f t="shared" si="25"/>
        <v>2058</v>
      </c>
      <c r="B1114" s="14">
        <f t="shared" ref="B1114:J1114" si="46">AVERAGE(B552:B563)</f>
        <v>42.008141666666674</v>
      </c>
      <c r="C1114" s="14">
        <f t="shared" si="46"/>
        <v>39.709408333333336</v>
      </c>
      <c r="D1114" s="14">
        <f t="shared" si="46"/>
        <v>39.701600000000006</v>
      </c>
      <c r="E1114" s="14">
        <f t="shared" si="46"/>
        <v>41.860941666666669</v>
      </c>
      <c r="F1114" s="14">
        <f t="shared" si="46"/>
        <v>41.851883333333333</v>
      </c>
      <c r="G1114" s="14">
        <f t="shared" si="46"/>
        <v>39.707841666666674</v>
      </c>
      <c r="H1114" s="14">
        <f t="shared" si="46"/>
        <v>39.707841666666674</v>
      </c>
      <c r="I1114" s="14">
        <f t="shared" si="46"/>
        <v>39.709408333333336</v>
      </c>
      <c r="J1114" s="14">
        <f t="shared" si="46"/>
        <v>326.47845000000001</v>
      </c>
    </row>
    <row r="1115" spans="1:10" ht="15" x14ac:dyDescent="0.2">
      <c r="A1115" s="10">
        <f t="shared" si="25"/>
        <v>2059</v>
      </c>
      <c r="B1115" s="14">
        <f t="shared" ref="B1115:J1115" si="47">AVERAGE(B564:B575)</f>
        <v>42.703058333333331</v>
      </c>
      <c r="C1115" s="14">
        <f t="shared" si="47"/>
        <v>40.368199999999995</v>
      </c>
      <c r="D1115" s="14">
        <f t="shared" si="47"/>
        <v>40.360374999999998</v>
      </c>
      <c r="E1115" s="14">
        <f t="shared" si="47"/>
        <v>42.555866666666667</v>
      </c>
      <c r="F1115" s="14">
        <f t="shared" si="47"/>
        <v>42.546808333333338</v>
      </c>
      <c r="G1115" s="14">
        <f t="shared" si="47"/>
        <v>40.366624999999999</v>
      </c>
      <c r="H1115" s="14">
        <f t="shared" si="47"/>
        <v>40.366624999999999</v>
      </c>
      <c r="I1115" s="14">
        <f t="shared" si="47"/>
        <v>40.368199999999995</v>
      </c>
      <c r="J1115" s="14">
        <f t="shared" si="47"/>
        <v>334.26219166666664</v>
      </c>
    </row>
    <row r="1116" spans="1:10" ht="15" x14ac:dyDescent="0.2">
      <c r="A1116" s="10">
        <f t="shared" si="25"/>
        <v>2060</v>
      </c>
      <c r="B1116" s="14">
        <f t="shared" ref="B1116:J1116" si="48">AVERAGE(B576:B587)</f>
        <v>43.409666666666674</v>
      </c>
      <c r="C1116" s="14">
        <f t="shared" si="48"/>
        <v>41.038024999999998</v>
      </c>
      <c r="D1116" s="14">
        <f t="shared" si="48"/>
        <v>41.030225000000002</v>
      </c>
      <c r="E1116" s="14">
        <f t="shared" si="48"/>
        <v>43.262466666666676</v>
      </c>
      <c r="F1116" s="14">
        <f t="shared" si="48"/>
        <v>43.25340833333334</v>
      </c>
      <c r="G1116" s="14">
        <f t="shared" si="48"/>
        <v>41.036466666666676</v>
      </c>
      <c r="H1116" s="14">
        <f t="shared" si="48"/>
        <v>41.036466666666676</v>
      </c>
      <c r="I1116" s="14">
        <f t="shared" si="48"/>
        <v>41.038024999999998</v>
      </c>
      <c r="J1116" s="14">
        <f t="shared" si="48"/>
        <v>342.23151666666666</v>
      </c>
    </row>
    <row r="1117" spans="1:10" ht="15" x14ac:dyDescent="0.2">
      <c r="A1117" s="10">
        <f t="shared" si="25"/>
        <v>2061</v>
      </c>
      <c r="B1117" s="14">
        <f t="shared" ref="B1117:J1117" si="49">AVERAGE(B588:B599)</f>
        <v>44.128141666666664</v>
      </c>
      <c r="C1117" s="14">
        <f t="shared" si="49"/>
        <v>41.719133333333339</v>
      </c>
      <c r="D1117" s="14">
        <f t="shared" si="49"/>
        <v>41.711325000000002</v>
      </c>
      <c r="E1117" s="14">
        <f t="shared" si="49"/>
        <v>43.980941666666673</v>
      </c>
      <c r="F1117" s="14">
        <f t="shared" si="49"/>
        <v>43.971883333333324</v>
      </c>
      <c r="G1117" s="14">
        <f t="shared" si="49"/>
        <v>41.717575000000004</v>
      </c>
      <c r="H1117" s="14">
        <f t="shared" si="49"/>
        <v>41.717575000000004</v>
      </c>
      <c r="I1117" s="14">
        <f t="shared" si="49"/>
        <v>41.719133333333339</v>
      </c>
      <c r="J1117" s="14">
        <f t="shared" si="49"/>
        <v>350.39080833333338</v>
      </c>
    </row>
    <row r="1118" spans="1:10" ht="15" x14ac:dyDescent="0.2">
      <c r="A1118" s="10">
        <f t="shared" si="25"/>
        <v>2062</v>
      </c>
      <c r="B1118" s="14">
        <f t="shared" ref="B1118:J1127" ca="1" si="50">AVERAGE(OFFSET(B$600,($A1118-$A$1118)*12,0,12,1))</f>
        <v>44.858675000000005</v>
      </c>
      <c r="C1118" s="14">
        <f t="shared" ca="1" si="50"/>
        <v>42.411683333333336</v>
      </c>
      <c r="D1118" s="14">
        <f t="shared" ca="1" si="50"/>
        <v>42.403883333333333</v>
      </c>
      <c r="E1118" s="14">
        <f t="shared" ca="1" si="50"/>
        <v>44.711483333333341</v>
      </c>
      <c r="F1118" s="14">
        <f t="shared" ca="1" si="50"/>
        <v>44.702425000000005</v>
      </c>
      <c r="G1118" s="14">
        <f t="shared" ca="1" si="50"/>
        <v>42.410116666666674</v>
      </c>
      <c r="H1118" s="14">
        <f t="shared" ca="1" si="50"/>
        <v>42.410116666666674</v>
      </c>
      <c r="I1118" s="14">
        <f t="shared" ca="1" si="50"/>
        <v>42.411683333333336</v>
      </c>
      <c r="J1118" s="14">
        <f t="shared" ca="1" si="50"/>
        <v>358.74466666666666</v>
      </c>
    </row>
    <row r="1119" spans="1:10" ht="15" x14ac:dyDescent="0.2">
      <c r="A1119" s="10">
        <f t="shared" si="25"/>
        <v>2063</v>
      </c>
      <c r="B1119" s="14">
        <f t="shared" ca="1" si="50"/>
        <v>45.601491666666668</v>
      </c>
      <c r="C1119" s="14">
        <f t="shared" ca="1" si="50"/>
        <v>43.115849999999995</v>
      </c>
      <c r="D1119" s="14">
        <f t="shared" ca="1" si="50"/>
        <v>43.108041666666679</v>
      </c>
      <c r="E1119" s="14">
        <f t="shared" ca="1" si="50"/>
        <v>45.454308333333337</v>
      </c>
      <c r="F1119" s="14">
        <f t="shared" ca="1" si="50"/>
        <v>45.445250000000009</v>
      </c>
      <c r="G1119" s="14">
        <f t="shared" ca="1" si="50"/>
        <v>43.114308333333348</v>
      </c>
      <c r="H1119" s="14">
        <f t="shared" ca="1" si="50"/>
        <v>43.114308333333348</v>
      </c>
      <c r="I1119" s="14">
        <f t="shared" ca="1" si="50"/>
        <v>43.115849999999995</v>
      </c>
      <c r="J1119" s="14">
        <f t="shared" ca="1" si="50"/>
        <v>367.29767499999997</v>
      </c>
    </row>
    <row r="1120" spans="1:10" ht="15" x14ac:dyDescent="0.2">
      <c r="A1120" s="10">
        <f t="shared" si="25"/>
        <v>2064</v>
      </c>
      <c r="B1120" s="14">
        <f t="shared" ca="1" si="50"/>
        <v>46.3568</v>
      </c>
      <c r="C1120" s="14">
        <f t="shared" ca="1" si="50"/>
        <v>43.831858333333336</v>
      </c>
      <c r="D1120" s="14">
        <f t="shared" ca="1" si="50"/>
        <v>43.82405</v>
      </c>
      <c r="E1120" s="14">
        <f t="shared" ca="1" si="50"/>
        <v>46.209583333333335</v>
      </c>
      <c r="F1120" s="14">
        <f t="shared" ca="1" si="50"/>
        <v>46.200524999999999</v>
      </c>
      <c r="G1120" s="14">
        <f t="shared" ca="1" si="50"/>
        <v>43.830316666666675</v>
      </c>
      <c r="H1120" s="14">
        <f t="shared" ca="1" si="50"/>
        <v>43.830316666666675</v>
      </c>
      <c r="I1120" s="14">
        <f t="shared" ca="1" si="50"/>
        <v>43.831858333333336</v>
      </c>
      <c r="J1120" s="14">
        <f t="shared" ca="1" si="50"/>
        <v>376.05461666666662</v>
      </c>
    </row>
    <row r="1121" spans="1:10" ht="15" x14ac:dyDescent="0.2">
      <c r="A1121" s="10">
        <f t="shared" si="25"/>
        <v>2065</v>
      </c>
      <c r="B1121" s="14">
        <f t="shared" ca="1" si="50"/>
        <v>47.124766666666666</v>
      </c>
      <c r="C1121" s="14">
        <f t="shared" ca="1" si="50"/>
        <v>44.559899999999999</v>
      </c>
      <c r="D1121" s="14">
        <f t="shared" ca="1" si="50"/>
        <v>44.552083333333336</v>
      </c>
      <c r="E1121" s="14">
        <f t="shared" ca="1" si="50"/>
        <v>46.977583333333335</v>
      </c>
      <c r="F1121" s="14">
        <f t="shared" ca="1" si="50"/>
        <v>46.968525</v>
      </c>
      <c r="G1121" s="14">
        <f t="shared" ca="1" si="50"/>
        <v>44.558349999999997</v>
      </c>
      <c r="H1121" s="14">
        <f t="shared" ca="1" si="50"/>
        <v>44.558349999999997</v>
      </c>
      <c r="I1121" s="14">
        <f t="shared" ca="1" si="50"/>
        <v>44.559899999999999</v>
      </c>
      <c r="J1121" s="14">
        <f t="shared" ca="1" si="50"/>
        <v>385.02033333333333</v>
      </c>
    </row>
    <row r="1122" spans="1:10" ht="15" x14ac:dyDescent="0.2">
      <c r="A1122" s="10">
        <f t="shared" si="25"/>
        <v>2066</v>
      </c>
      <c r="B1122" s="14">
        <f t="shared" ca="1" si="50"/>
        <v>47.905658333333342</v>
      </c>
      <c r="C1122" s="14">
        <f t="shared" ca="1" si="50"/>
        <v>45.300166666666676</v>
      </c>
      <c r="D1122" s="14">
        <f t="shared" ca="1" si="50"/>
        <v>45.292366666666673</v>
      </c>
      <c r="E1122" s="14">
        <f t="shared" ca="1" si="50"/>
        <v>47.75845833333333</v>
      </c>
      <c r="F1122" s="14">
        <f t="shared" ca="1" si="50"/>
        <v>47.749400000000001</v>
      </c>
      <c r="G1122" s="14">
        <f t="shared" ca="1" si="50"/>
        <v>45.298624999999994</v>
      </c>
      <c r="H1122" s="14">
        <f t="shared" ca="1" si="50"/>
        <v>45.298624999999994</v>
      </c>
      <c r="I1122" s="14">
        <f t="shared" ca="1" si="50"/>
        <v>45.300166666666676</v>
      </c>
      <c r="J1122" s="14">
        <f t="shared" ca="1" si="50"/>
        <v>394.19976666666668</v>
      </c>
    </row>
    <row r="1123" spans="1:10" ht="15" x14ac:dyDescent="0.2">
      <c r="A1123" s="10">
        <f t="shared" si="25"/>
        <v>2067</v>
      </c>
      <c r="B1123" s="14">
        <f t="shared" ca="1" si="50"/>
        <v>48.699658333333332</v>
      </c>
      <c r="C1123" s="14">
        <f t="shared" ca="1" si="50"/>
        <v>46.05288333333332</v>
      </c>
      <c r="D1123" s="14">
        <f t="shared" ca="1" si="50"/>
        <v>46.045058333333337</v>
      </c>
      <c r="E1123" s="14">
        <f t="shared" ca="1" si="50"/>
        <v>48.552466666666668</v>
      </c>
      <c r="F1123" s="14">
        <f t="shared" ca="1" si="50"/>
        <v>48.543408333333332</v>
      </c>
      <c r="G1123" s="14">
        <f t="shared" ca="1" si="50"/>
        <v>46.051324999999991</v>
      </c>
      <c r="H1123" s="14">
        <f t="shared" ca="1" si="50"/>
        <v>46.051324999999991</v>
      </c>
      <c r="I1123" s="14">
        <f t="shared" ca="1" si="50"/>
        <v>46.05288333333332</v>
      </c>
      <c r="J1123" s="14">
        <f t="shared" ca="1" si="50"/>
        <v>403.59809166666656</v>
      </c>
    </row>
    <row r="1124" spans="1:10" ht="15" x14ac:dyDescent="0.2">
      <c r="A1124" s="10">
        <f t="shared" si="25"/>
        <v>2068</v>
      </c>
      <c r="B1124" s="14">
        <f t="shared" ca="1" si="50"/>
        <v>49.507000000000005</v>
      </c>
      <c r="C1124" s="14">
        <f t="shared" ca="1" si="50"/>
        <v>46.818249999999999</v>
      </c>
      <c r="D1124" s="14">
        <f t="shared" ca="1" si="50"/>
        <v>46.810408333333335</v>
      </c>
      <c r="E1124" s="14">
        <f t="shared" ca="1" si="50"/>
        <v>49.359816666666667</v>
      </c>
      <c r="F1124" s="14">
        <f t="shared" ca="1" si="50"/>
        <v>49.350758333333339</v>
      </c>
      <c r="G1124" s="14">
        <f t="shared" ca="1" si="50"/>
        <v>46.816675000000004</v>
      </c>
      <c r="H1124" s="14">
        <f t="shared" ca="1" si="50"/>
        <v>46.816675000000004</v>
      </c>
      <c r="I1124" s="14">
        <f t="shared" ca="1" si="50"/>
        <v>46.818249999999999</v>
      </c>
      <c r="J1124" s="14">
        <f t="shared" ca="1" si="50"/>
        <v>413.22047500000002</v>
      </c>
    </row>
    <row r="1125" spans="1:10" ht="15" x14ac:dyDescent="0.2">
      <c r="A1125" s="10">
        <f t="shared" si="25"/>
        <v>2069</v>
      </c>
      <c r="B1125" s="14">
        <f t="shared" ca="1" si="50"/>
        <v>50.327908333333333</v>
      </c>
      <c r="C1125" s="14">
        <f t="shared" ca="1" si="50"/>
        <v>47.596458333333338</v>
      </c>
      <c r="D1125" s="14">
        <f t="shared" ca="1" si="50"/>
        <v>47.588633333333341</v>
      </c>
      <c r="E1125" s="14">
        <f t="shared" ca="1" si="50"/>
        <v>50.180716666666676</v>
      </c>
      <c r="F1125" s="14">
        <f t="shared" ca="1" si="50"/>
        <v>50.17165833333334</v>
      </c>
      <c r="G1125" s="14">
        <f t="shared" ca="1" si="50"/>
        <v>47.594866666666668</v>
      </c>
      <c r="H1125" s="14">
        <f t="shared" ca="1" si="50"/>
        <v>47.594866666666668</v>
      </c>
      <c r="I1125" s="14">
        <f t="shared" ca="1" si="50"/>
        <v>47.596458333333338</v>
      </c>
      <c r="J1125" s="14">
        <f t="shared" ca="1" si="50"/>
        <v>423.07226666666656</v>
      </c>
    </row>
    <row r="1126" spans="1:10" ht="15" x14ac:dyDescent="0.2">
      <c r="A1126" s="10">
        <f t="shared" ref="A1126:A1156" si="51">A1125+1</f>
        <v>2070</v>
      </c>
      <c r="B1126" s="14">
        <f t="shared" ca="1" si="50"/>
        <v>51.162600000000005</v>
      </c>
      <c r="C1126" s="14">
        <f t="shared" ca="1" si="50"/>
        <v>48.387724999999996</v>
      </c>
      <c r="D1126" s="14">
        <f t="shared" ca="1" si="50"/>
        <v>48.379916666666666</v>
      </c>
      <c r="E1126" s="14">
        <f t="shared" ca="1" si="50"/>
        <v>51.015408333333333</v>
      </c>
      <c r="F1126" s="14">
        <f t="shared" ca="1" si="50"/>
        <v>51.006350000000005</v>
      </c>
      <c r="G1126" s="14">
        <f t="shared" ca="1" si="50"/>
        <v>48.386141666666667</v>
      </c>
      <c r="H1126" s="14">
        <f t="shared" ca="1" si="50"/>
        <v>48.386141666666667</v>
      </c>
      <c r="I1126" s="14">
        <f t="shared" ca="1" si="50"/>
        <v>48.387724999999996</v>
      </c>
      <c r="J1126" s="14">
        <f t="shared" ca="1" si="50"/>
        <v>433.15896666666669</v>
      </c>
    </row>
    <row r="1127" spans="1:10" ht="15" x14ac:dyDescent="0.2">
      <c r="A1127" s="10">
        <f t="shared" si="51"/>
        <v>2071</v>
      </c>
      <c r="B1127" s="14">
        <f t="shared" ca="1" si="50"/>
        <v>52.011324999999999</v>
      </c>
      <c r="C1127" s="14">
        <f t="shared" ca="1" si="50"/>
        <v>49.192299999999989</v>
      </c>
      <c r="D1127" s="14">
        <f t="shared" ca="1" si="50"/>
        <v>49.18448333333334</v>
      </c>
      <c r="E1127" s="14">
        <f t="shared" ca="1" si="50"/>
        <v>51.864133333333335</v>
      </c>
      <c r="F1127" s="14">
        <f t="shared" ca="1" si="50"/>
        <v>51.855075000000006</v>
      </c>
      <c r="G1127" s="14">
        <f t="shared" ca="1" si="50"/>
        <v>49.190733333333334</v>
      </c>
      <c r="H1127" s="14">
        <f t="shared" ca="1" si="50"/>
        <v>49.190733333333334</v>
      </c>
      <c r="I1127" s="14">
        <f t="shared" ca="1" si="50"/>
        <v>49.192299999999989</v>
      </c>
      <c r="J1127" s="14">
        <f t="shared" ca="1" si="50"/>
        <v>443.48610000000002</v>
      </c>
    </row>
    <row r="1128" spans="1:10" ht="15" x14ac:dyDescent="0.2">
      <c r="A1128" s="10">
        <f t="shared" si="51"/>
        <v>2072</v>
      </c>
      <c r="B1128" s="14">
        <f t="shared" ref="B1128:J1137" ca="1" si="52">AVERAGE(OFFSET(B$600,($A1128-$A$1118)*12,0,12,1))</f>
        <v>52.874300000000005</v>
      </c>
      <c r="C1128" s="14">
        <f t="shared" ca="1" si="52"/>
        <v>50.010400000000004</v>
      </c>
      <c r="D1128" s="14">
        <f t="shared" ca="1" si="52"/>
        <v>50.00259166666666</v>
      </c>
      <c r="E1128" s="14">
        <f t="shared" ca="1" si="52"/>
        <v>52.72711666666666</v>
      </c>
      <c r="F1128" s="14">
        <f t="shared" ca="1" si="52"/>
        <v>52.718058333333339</v>
      </c>
      <c r="G1128" s="14">
        <f t="shared" ca="1" si="52"/>
        <v>50.008808333333327</v>
      </c>
      <c r="H1128" s="14">
        <f t="shared" ca="1" si="52"/>
        <v>50.008808333333327</v>
      </c>
      <c r="I1128" s="14">
        <f t="shared" ca="1" si="52"/>
        <v>50.010400000000004</v>
      </c>
      <c r="J1128" s="14">
        <f t="shared" ca="1" si="52"/>
        <v>454.05947500000002</v>
      </c>
    </row>
    <row r="1129" spans="1:10" ht="15" x14ac:dyDescent="0.2">
      <c r="A1129" s="10">
        <f t="shared" si="51"/>
        <v>2073</v>
      </c>
      <c r="B1129" s="14">
        <f t="shared" ca="1" si="52"/>
        <v>53.751783333333343</v>
      </c>
      <c r="C1129" s="14">
        <f t="shared" ca="1" si="52"/>
        <v>50.842208333333332</v>
      </c>
      <c r="D1129" s="14">
        <f t="shared" ca="1" si="52"/>
        <v>50.834408333333336</v>
      </c>
      <c r="E1129" s="14">
        <f t="shared" ca="1" si="52"/>
        <v>53.604591666666671</v>
      </c>
      <c r="F1129" s="14">
        <f t="shared" ca="1" si="52"/>
        <v>53.595533333333343</v>
      </c>
      <c r="G1129" s="14">
        <f t="shared" ca="1" si="52"/>
        <v>50.840675000000012</v>
      </c>
      <c r="H1129" s="14">
        <f t="shared" ca="1" si="52"/>
        <v>50.840675000000012</v>
      </c>
      <c r="I1129" s="14">
        <f t="shared" ca="1" si="52"/>
        <v>50.842208333333332</v>
      </c>
      <c r="J1129" s="14">
        <f t="shared" ca="1" si="52"/>
        <v>464.88494166666669</v>
      </c>
    </row>
    <row r="1130" spans="1:10" ht="15" x14ac:dyDescent="0.2">
      <c r="A1130" s="10">
        <f t="shared" si="51"/>
        <v>2074</v>
      </c>
      <c r="B1130" s="14">
        <f t="shared" ca="1" si="52"/>
        <v>54.643983333333345</v>
      </c>
      <c r="C1130" s="14">
        <f t="shared" ca="1" si="52"/>
        <v>51.688041666666663</v>
      </c>
      <c r="D1130" s="14">
        <f t="shared" ca="1" si="52"/>
        <v>51.680225</v>
      </c>
      <c r="E1130" s="14">
        <f t="shared" ca="1" si="52"/>
        <v>54.496816666666668</v>
      </c>
      <c r="F1130" s="14">
        <f t="shared" ca="1" si="52"/>
        <v>54.487758333333346</v>
      </c>
      <c r="G1130" s="14">
        <f t="shared" ca="1" si="52"/>
        <v>51.686475000000002</v>
      </c>
      <c r="H1130" s="14">
        <f t="shared" ca="1" si="52"/>
        <v>51.686475000000002</v>
      </c>
      <c r="I1130" s="14">
        <f t="shared" ca="1" si="52"/>
        <v>51.688041666666663</v>
      </c>
      <c r="J1130" s="14">
        <f t="shared" ca="1" si="52"/>
        <v>475.96848333333332</v>
      </c>
    </row>
    <row r="1131" spans="1:10" ht="15" x14ac:dyDescent="0.2">
      <c r="A1131" s="10">
        <f t="shared" si="51"/>
        <v>2075</v>
      </c>
      <c r="B1131" s="14">
        <f t="shared" ca="1" si="52"/>
        <v>55.551208333333342</v>
      </c>
      <c r="C1131" s="14">
        <f t="shared" ca="1" si="52"/>
        <v>52.54805833333333</v>
      </c>
      <c r="D1131" s="14">
        <f t="shared" ca="1" si="52"/>
        <v>52.540250000000007</v>
      </c>
      <c r="E1131" s="14">
        <f t="shared" ca="1" si="52"/>
        <v>55.404000000000003</v>
      </c>
      <c r="F1131" s="14">
        <f t="shared" ca="1" si="52"/>
        <v>55.394941666666661</v>
      </c>
      <c r="G1131" s="14">
        <f t="shared" ca="1" si="52"/>
        <v>52.546475000000008</v>
      </c>
      <c r="H1131" s="14">
        <f t="shared" ca="1" si="52"/>
        <v>52.546475000000008</v>
      </c>
      <c r="I1131" s="14">
        <f t="shared" ca="1" si="52"/>
        <v>52.54805833333333</v>
      </c>
      <c r="J1131" s="14">
        <f t="shared" ca="1" si="52"/>
        <v>487.31627499999996</v>
      </c>
    </row>
    <row r="1132" spans="1:10" ht="15" x14ac:dyDescent="0.2">
      <c r="A1132" s="10">
        <f t="shared" si="51"/>
        <v>2076</v>
      </c>
      <c r="B1132" s="14">
        <f t="shared" ca="1" si="52"/>
        <v>56.473641666666659</v>
      </c>
      <c r="C1132" s="14">
        <f t="shared" ca="1" si="52"/>
        <v>53.422525000000007</v>
      </c>
      <c r="D1132" s="14">
        <f t="shared" ca="1" si="52"/>
        <v>53.414716666666664</v>
      </c>
      <c r="E1132" s="14">
        <f t="shared" ca="1" si="52"/>
        <v>56.326466666666676</v>
      </c>
      <c r="F1132" s="14">
        <f t="shared" ca="1" si="52"/>
        <v>56.31740833333334</v>
      </c>
      <c r="G1132" s="14">
        <f t="shared" ca="1" si="52"/>
        <v>53.420966666666665</v>
      </c>
      <c r="H1132" s="14">
        <f t="shared" ca="1" si="52"/>
        <v>53.420966666666665</v>
      </c>
      <c r="I1132" s="14">
        <f t="shared" ca="1" si="52"/>
        <v>53.422525000000007</v>
      </c>
      <c r="J1132" s="14">
        <f t="shared" ca="1" si="52"/>
        <v>498.93463333333347</v>
      </c>
    </row>
    <row r="1133" spans="1:10" ht="15" x14ac:dyDescent="0.2">
      <c r="A1133" s="10">
        <f t="shared" si="51"/>
        <v>2077</v>
      </c>
      <c r="B1133" s="14">
        <f t="shared" ca="1" si="52"/>
        <v>57.411600000000014</v>
      </c>
      <c r="C1133" s="14">
        <f t="shared" ca="1" si="52"/>
        <v>54.311683333333328</v>
      </c>
      <c r="D1133" s="14">
        <f t="shared" ca="1" si="52"/>
        <v>54.303866666666664</v>
      </c>
      <c r="E1133" s="14">
        <f t="shared" ca="1" si="52"/>
        <v>57.264391666666675</v>
      </c>
      <c r="F1133" s="14">
        <f t="shared" ca="1" si="52"/>
        <v>57.255333333333333</v>
      </c>
      <c r="G1133" s="14">
        <f t="shared" ca="1" si="52"/>
        <v>54.310124999999999</v>
      </c>
      <c r="H1133" s="14">
        <f t="shared" ca="1" si="52"/>
        <v>54.310124999999999</v>
      </c>
      <c r="I1133" s="14">
        <f t="shared" ca="1" si="52"/>
        <v>54.311683333333328</v>
      </c>
      <c r="J1133" s="14">
        <f t="shared" ca="1" si="52"/>
        <v>510.82999166666673</v>
      </c>
    </row>
    <row r="1134" spans="1:10" ht="15" x14ac:dyDescent="0.2">
      <c r="A1134" s="10">
        <f t="shared" si="51"/>
        <v>2078</v>
      </c>
      <c r="B1134" s="14">
        <f t="shared" ca="1" si="52"/>
        <v>58.365274999999997</v>
      </c>
      <c r="C1134" s="14">
        <f t="shared" ca="1" si="52"/>
        <v>55.215775000000001</v>
      </c>
      <c r="D1134" s="14">
        <f t="shared" ca="1" si="52"/>
        <v>55.207966666666671</v>
      </c>
      <c r="E1134" s="14">
        <f t="shared" ca="1" si="52"/>
        <v>58.21810833333334</v>
      </c>
      <c r="F1134" s="14">
        <f t="shared" ca="1" si="52"/>
        <v>58.209049999999998</v>
      </c>
      <c r="G1134" s="14">
        <f t="shared" ca="1" si="52"/>
        <v>55.214208333333339</v>
      </c>
      <c r="H1134" s="14">
        <f t="shared" ca="1" si="52"/>
        <v>55.214208333333339</v>
      </c>
      <c r="I1134" s="14">
        <f t="shared" ca="1" si="52"/>
        <v>55.215775000000001</v>
      </c>
      <c r="J1134" s="14">
        <f t="shared" ca="1" si="52"/>
        <v>523.00893333333329</v>
      </c>
    </row>
    <row r="1135" spans="1:10" ht="15" x14ac:dyDescent="0.2">
      <c r="A1135" s="10">
        <f t="shared" si="51"/>
        <v>2079</v>
      </c>
      <c r="B1135" s="14">
        <f t="shared" ca="1" si="52"/>
        <v>59.335008333333342</v>
      </c>
      <c r="C1135" s="14">
        <f t="shared" ca="1" si="52"/>
        <v>56.135066666666667</v>
      </c>
      <c r="D1135" s="14">
        <f t="shared" ca="1" si="52"/>
        <v>56.127258333333337</v>
      </c>
      <c r="E1135" s="14">
        <f t="shared" ca="1" si="52"/>
        <v>59.18781666666667</v>
      </c>
      <c r="F1135" s="14">
        <f t="shared" ca="1" si="52"/>
        <v>59.178758333333342</v>
      </c>
      <c r="G1135" s="14">
        <f t="shared" ca="1" si="52"/>
        <v>56.133483333333338</v>
      </c>
      <c r="H1135" s="14">
        <f t="shared" ca="1" si="52"/>
        <v>56.133483333333338</v>
      </c>
      <c r="I1135" s="14">
        <f t="shared" ca="1" si="52"/>
        <v>56.135066666666667</v>
      </c>
      <c r="J1135" s="14">
        <f t="shared" ca="1" si="52"/>
        <v>535.47826666666663</v>
      </c>
    </row>
    <row r="1136" spans="1:10" ht="15" x14ac:dyDescent="0.2">
      <c r="A1136" s="10">
        <f t="shared" si="51"/>
        <v>2080</v>
      </c>
      <c r="B1136" s="14">
        <f t="shared" ca="1" si="52"/>
        <v>60.321041666666673</v>
      </c>
      <c r="C1136" s="14">
        <f t="shared" ca="1" si="52"/>
        <v>57.069791666666674</v>
      </c>
      <c r="D1136" s="14">
        <f t="shared" ca="1" si="52"/>
        <v>57.06197499999999</v>
      </c>
      <c r="E1136" s="14">
        <f t="shared" ca="1" si="52"/>
        <v>60.173841666666668</v>
      </c>
      <c r="F1136" s="14">
        <f t="shared" ca="1" si="52"/>
        <v>60.164783333333339</v>
      </c>
      <c r="G1136" s="14">
        <f t="shared" ca="1" si="52"/>
        <v>57.068233333333332</v>
      </c>
      <c r="H1136" s="14">
        <f t="shared" ca="1" si="52"/>
        <v>57.068233333333332</v>
      </c>
      <c r="I1136" s="14">
        <f t="shared" ca="1" si="52"/>
        <v>57.069791666666674</v>
      </c>
      <c r="J1136" s="14">
        <f t="shared" ca="1" si="52"/>
        <v>548.24488333333341</v>
      </c>
    </row>
    <row r="1137" spans="1:10" ht="15" x14ac:dyDescent="0.2">
      <c r="A1137" s="10">
        <f t="shared" si="51"/>
        <v>2081</v>
      </c>
      <c r="B1137" s="14">
        <f t="shared" ca="1" si="52"/>
        <v>61.323608333333333</v>
      </c>
      <c r="C1137" s="14">
        <f t="shared" ca="1" si="52"/>
        <v>58.020216666666663</v>
      </c>
      <c r="D1137" s="14">
        <f t="shared" ca="1" si="52"/>
        <v>58.012408333333347</v>
      </c>
      <c r="E1137" s="14">
        <f t="shared" ca="1" si="52"/>
        <v>61.176425000000002</v>
      </c>
      <c r="F1137" s="14">
        <f t="shared" ca="1" si="52"/>
        <v>61.167366666666652</v>
      </c>
      <c r="G1137" s="14">
        <f t="shared" ca="1" si="52"/>
        <v>58.018658333333327</v>
      </c>
      <c r="H1137" s="14">
        <f t="shared" ca="1" si="52"/>
        <v>58.018658333333327</v>
      </c>
      <c r="I1137" s="14">
        <f t="shared" ca="1" si="52"/>
        <v>58.020216666666663</v>
      </c>
      <c r="J1137" s="14">
        <f t="shared" ca="1" si="52"/>
        <v>561.31584166666676</v>
      </c>
    </row>
    <row r="1138" spans="1:10" ht="15" x14ac:dyDescent="0.2">
      <c r="A1138" s="10">
        <f t="shared" si="51"/>
        <v>2082</v>
      </c>
      <c r="B1138" s="14">
        <f t="shared" ref="B1138:J1147" ca="1" si="53">AVERAGE(OFFSET(B$600,($A1138-$A$1118)*12,0,12,1))</f>
        <v>62.343025000000011</v>
      </c>
      <c r="C1138" s="14">
        <f t="shared" ca="1" si="53"/>
        <v>58.986625000000004</v>
      </c>
      <c r="D1138" s="14">
        <f t="shared" ca="1" si="53"/>
        <v>58.97881666666666</v>
      </c>
      <c r="E1138" s="14">
        <f t="shared" ca="1" si="53"/>
        <v>62.195841666666666</v>
      </c>
      <c r="F1138" s="14">
        <f t="shared" ca="1" si="53"/>
        <v>62.186783333333331</v>
      </c>
      <c r="G1138" s="14">
        <f t="shared" ca="1" si="53"/>
        <v>58.985050000000001</v>
      </c>
      <c r="H1138" s="14">
        <f t="shared" ca="1" si="53"/>
        <v>58.985050000000001</v>
      </c>
      <c r="I1138" s="14">
        <f t="shared" ca="1" si="53"/>
        <v>58.986625000000004</v>
      </c>
      <c r="J1138" s="14">
        <f t="shared" ca="1" si="53"/>
        <v>574.69846666666672</v>
      </c>
    </row>
    <row r="1139" spans="1:10" ht="15" x14ac:dyDescent="0.2">
      <c r="A1139" s="10">
        <f t="shared" si="51"/>
        <v>2083</v>
      </c>
      <c r="B1139" s="14">
        <f t="shared" ca="1" si="53"/>
        <v>63.379566666666669</v>
      </c>
      <c r="C1139" s="14">
        <f t="shared" ca="1" si="53"/>
        <v>59.969266666666663</v>
      </c>
      <c r="D1139" s="14">
        <f t="shared" ca="1" si="53"/>
        <v>59.961449999999992</v>
      </c>
      <c r="E1139" s="14">
        <f t="shared" ca="1" si="53"/>
        <v>63.232400000000005</v>
      </c>
      <c r="F1139" s="14">
        <f t="shared" ca="1" si="53"/>
        <v>63.22334166666667</v>
      </c>
      <c r="G1139" s="14">
        <f t="shared" ca="1" si="53"/>
        <v>59.967674999999986</v>
      </c>
      <c r="H1139" s="14">
        <f t="shared" ca="1" si="53"/>
        <v>59.967674999999986</v>
      </c>
      <c r="I1139" s="14">
        <f t="shared" ca="1" si="53"/>
        <v>59.969266666666663</v>
      </c>
      <c r="J1139" s="14">
        <f t="shared" ca="1" si="53"/>
        <v>588.40014166666674</v>
      </c>
    </row>
    <row r="1140" spans="1:10" ht="15" x14ac:dyDescent="0.2">
      <c r="A1140" s="10">
        <f t="shared" si="51"/>
        <v>2084</v>
      </c>
      <c r="B1140" s="14">
        <f t="shared" ca="1" si="53"/>
        <v>64.43354166666667</v>
      </c>
      <c r="C1140" s="14">
        <f t="shared" ca="1" si="53"/>
        <v>60.968399999999995</v>
      </c>
      <c r="D1140" s="14">
        <f t="shared" ca="1" si="53"/>
        <v>60.960583333333325</v>
      </c>
      <c r="E1140" s="14">
        <f t="shared" ca="1" si="53"/>
        <v>64.286350000000013</v>
      </c>
      <c r="F1140" s="14">
        <f t="shared" ca="1" si="53"/>
        <v>64.27729166666667</v>
      </c>
      <c r="G1140" s="14">
        <f t="shared" ca="1" si="53"/>
        <v>60.966841666666674</v>
      </c>
      <c r="H1140" s="14">
        <f t="shared" ca="1" si="53"/>
        <v>60.966841666666674</v>
      </c>
      <c r="I1140" s="14">
        <f t="shared" ca="1" si="53"/>
        <v>60.968399999999995</v>
      </c>
      <c r="J1140" s="14">
        <f t="shared" ca="1" si="53"/>
        <v>602.42847499999993</v>
      </c>
    </row>
    <row r="1141" spans="1:10" ht="15" x14ac:dyDescent="0.2">
      <c r="A1141" s="10">
        <f t="shared" si="51"/>
        <v>2085</v>
      </c>
      <c r="B1141" s="14">
        <f t="shared" ca="1" si="53"/>
        <v>65.505216666666669</v>
      </c>
      <c r="C1141" s="14">
        <f t="shared" ca="1" si="53"/>
        <v>61.984316666666665</v>
      </c>
      <c r="D1141" s="14">
        <f t="shared" ca="1" si="53"/>
        <v>61.976516666666647</v>
      </c>
      <c r="E1141" s="14">
        <f t="shared" ca="1" si="53"/>
        <v>65.358008333333331</v>
      </c>
      <c r="F1141" s="14">
        <f t="shared" ca="1" si="53"/>
        <v>65.348950000000002</v>
      </c>
      <c r="G1141" s="14">
        <f t="shared" ca="1" si="53"/>
        <v>61.982750000000003</v>
      </c>
      <c r="H1141" s="14">
        <f t="shared" ca="1" si="53"/>
        <v>61.982750000000003</v>
      </c>
      <c r="I1141" s="14">
        <f t="shared" ca="1" si="53"/>
        <v>61.984316666666665</v>
      </c>
      <c r="J1141" s="14">
        <f t="shared" ca="1" si="53"/>
        <v>616.79127499999993</v>
      </c>
    </row>
    <row r="1142" spans="1:10" ht="15" x14ac:dyDescent="0.2">
      <c r="A1142" s="10">
        <f t="shared" si="51"/>
        <v>2086</v>
      </c>
      <c r="B1142" s="14">
        <f t="shared" ca="1" si="53"/>
        <v>66.594875000000002</v>
      </c>
      <c r="C1142" s="14">
        <f t="shared" ca="1" si="53"/>
        <v>63.017325</v>
      </c>
      <c r="D1142" s="14">
        <f t="shared" ca="1" si="53"/>
        <v>63.009516666666663</v>
      </c>
      <c r="E1142" s="14">
        <f t="shared" ca="1" si="53"/>
        <v>66.447691666666671</v>
      </c>
      <c r="F1142" s="14">
        <f t="shared" ca="1" si="53"/>
        <v>66.438633333333357</v>
      </c>
      <c r="G1142" s="14">
        <f t="shared" ca="1" si="53"/>
        <v>63.015750000000004</v>
      </c>
      <c r="H1142" s="14">
        <f t="shared" ca="1" si="53"/>
        <v>63.015750000000004</v>
      </c>
      <c r="I1142" s="14">
        <f t="shared" ca="1" si="53"/>
        <v>63.017325</v>
      </c>
      <c r="J1142" s="14">
        <f t="shared" ca="1" si="53"/>
        <v>631.49649999999986</v>
      </c>
    </row>
    <row r="1143" spans="1:10" ht="15" x14ac:dyDescent="0.2">
      <c r="A1143" s="10">
        <f t="shared" si="51"/>
        <v>2087</v>
      </c>
      <c r="B1143" s="14">
        <f t="shared" ca="1" si="53"/>
        <v>67.702858333333339</v>
      </c>
      <c r="C1143" s="14">
        <f t="shared" ca="1" si="53"/>
        <v>64.067666666666653</v>
      </c>
      <c r="D1143" s="14">
        <f t="shared" ca="1" si="53"/>
        <v>64.059841666666657</v>
      </c>
      <c r="E1143" s="14">
        <f t="shared" ca="1" si="53"/>
        <v>67.555658333333341</v>
      </c>
      <c r="F1143" s="14">
        <f t="shared" ca="1" si="53"/>
        <v>67.546599999999998</v>
      </c>
      <c r="G1143" s="14">
        <f t="shared" ca="1" si="53"/>
        <v>64.066099999999992</v>
      </c>
      <c r="H1143" s="14">
        <f t="shared" ca="1" si="53"/>
        <v>64.066099999999992</v>
      </c>
      <c r="I1143" s="14">
        <f t="shared" ca="1" si="53"/>
        <v>64.067666666666653</v>
      </c>
      <c r="J1143" s="14">
        <f t="shared" ca="1" si="53"/>
        <v>646.552325</v>
      </c>
    </row>
    <row r="1144" spans="1:10" ht="15" x14ac:dyDescent="0.2">
      <c r="A1144" s="10">
        <f t="shared" si="51"/>
        <v>2088</v>
      </c>
      <c r="B1144" s="14">
        <f t="shared" ca="1" si="53"/>
        <v>68.829449999999994</v>
      </c>
      <c r="C1144" s="14">
        <f t="shared" ca="1" si="53"/>
        <v>65.135674999999978</v>
      </c>
      <c r="D1144" s="14">
        <f t="shared" ca="1" si="53"/>
        <v>65.127858333333322</v>
      </c>
      <c r="E1144" s="14">
        <f t="shared" ca="1" si="53"/>
        <v>68.682249999999996</v>
      </c>
      <c r="F1144" s="14">
        <f t="shared" ca="1" si="53"/>
        <v>68.673191666666668</v>
      </c>
      <c r="G1144" s="14">
        <f t="shared" ca="1" si="53"/>
        <v>65.134091666666663</v>
      </c>
      <c r="H1144" s="14">
        <f t="shared" ca="1" si="53"/>
        <v>65.134091666666663</v>
      </c>
      <c r="I1144" s="14">
        <f t="shared" ca="1" si="53"/>
        <v>65.135674999999978</v>
      </c>
      <c r="J1144" s="14">
        <f t="shared" ca="1" si="53"/>
        <v>661.96710000000007</v>
      </c>
    </row>
    <row r="1145" spans="1:10" ht="15" x14ac:dyDescent="0.2">
      <c r="A1145" s="10">
        <f t="shared" si="51"/>
        <v>2089</v>
      </c>
      <c r="B1145" s="14">
        <f t="shared" ca="1" si="53"/>
        <v>69.97496666666666</v>
      </c>
      <c r="C1145" s="14">
        <f t="shared" ca="1" si="53"/>
        <v>66.221583333333328</v>
      </c>
      <c r="D1145" s="14">
        <f t="shared" ca="1" si="53"/>
        <v>66.213783333333325</v>
      </c>
      <c r="E1145" s="14">
        <f t="shared" ca="1" si="53"/>
        <v>69.827774999999988</v>
      </c>
      <c r="F1145" s="14">
        <f t="shared" ca="1" si="53"/>
        <v>69.81871666666666</v>
      </c>
      <c r="G1145" s="14">
        <f t="shared" ca="1" si="53"/>
        <v>66.220050000000001</v>
      </c>
      <c r="H1145" s="14">
        <f t="shared" ca="1" si="53"/>
        <v>66.220050000000001</v>
      </c>
      <c r="I1145" s="14">
        <f t="shared" ca="1" si="53"/>
        <v>66.221583333333328</v>
      </c>
      <c r="J1145" s="14">
        <f t="shared" ca="1" si="53"/>
        <v>677.74938333333341</v>
      </c>
    </row>
    <row r="1146" spans="1:10" ht="15" x14ac:dyDescent="0.2">
      <c r="A1146" s="10">
        <f t="shared" si="51"/>
        <v>2090</v>
      </c>
      <c r="B1146" s="14">
        <f t="shared" ca="1" si="53"/>
        <v>71.139724999999984</v>
      </c>
      <c r="C1146" s="14">
        <f t="shared" ca="1" si="53"/>
        <v>67.325783333333334</v>
      </c>
      <c r="D1146" s="14">
        <f t="shared" ca="1" si="53"/>
        <v>67.317966666666663</v>
      </c>
      <c r="E1146" s="14">
        <f t="shared" ca="1" si="53"/>
        <v>70.992541666666668</v>
      </c>
      <c r="F1146" s="14">
        <f t="shared" ca="1" si="53"/>
        <v>70.983483333333325</v>
      </c>
      <c r="G1146" s="14">
        <f t="shared" ca="1" si="53"/>
        <v>67.324208333333331</v>
      </c>
      <c r="H1146" s="14">
        <f t="shared" ca="1" si="53"/>
        <v>67.324208333333331</v>
      </c>
      <c r="I1146" s="14">
        <f t="shared" ca="1" si="53"/>
        <v>67.325783333333334</v>
      </c>
      <c r="J1146" s="14">
        <f t="shared" ca="1" si="53"/>
        <v>693.90795833333334</v>
      </c>
    </row>
    <row r="1147" spans="1:10" ht="15" x14ac:dyDescent="0.2">
      <c r="A1147" s="10">
        <f t="shared" si="51"/>
        <v>2091</v>
      </c>
      <c r="B1147" s="14">
        <f t="shared" ca="1" si="53"/>
        <v>72.324066666666667</v>
      </c>
      <c r="C1147" s="14">
        <f t="shared" ca="1" si="53"/>
        <v>68.448508333333336</v>
      </c>
      <c r="D1147" s="14">
        <f t="shared" ca="1" si="53"/>
        <v>68.440691666666666</v>
      </c>
      <c r="E1147" s="14">
        <f t="shared" ca="1" si="53"/>
        <v>72.176866666666669</v>
      </c>
      <c r="F1147" s="14">
        <f t="shared" ca="1" si="53"/>
        <v>72.167808333333326</v>
      </c>
      <c r="G1147" s="14">
        <f t="shared" ca="1" si="53"/>
        <v>68.446949999999973</v>
      </c>
      <c r="H1147" s="14">
        <f t="shared" ca="1" si="53"/>
        <v>68.446949999999973</v>
      </c>
      <c r="I1147" s="14">
        <f t="shared" ca="1" si="53"/>
        <v>68.448508333333336</v>
      </c>
      <c r="J1147" s="14">
        <f t="shared" ca="1" si="53"/>
        <v>710.45175833333349</v>
      </c>
    </row>
    <row r="1148" spans="1:10" ht="15" x14ac:dyDescent="0.2">
      <c r="A1148" s="10">
        <f t="shared" si="51"/>
        <v>2092</v>
      </c>
      <c r="B1148" s="14">
        <f t="shared" ref="B1148:J1156" ca="1" si="54">AVERAGE(OFFSET(B$600,($A1148-$A$1118)*12,0,12,1))</f>
        <v>73.528291666666647</v>
      </c>
      <c r="C1148" s="14">
        <f t="shared" ca="1" si="54"/>
        <v>69.59009166666668</v>
      </c>
      <c r="D1148" s="14">
        <f t="shared" ca="1" si="54"/>
        <v>69.582274999999996</v>
      </c>
      <c r="E1148" s="14">
        <f t="shared" ca="1" si="54"/>
        <v>73.381083333333336</v>
      </c>
      <c r="F1148" s="14">
        <f t="shared" ca="1" si="54"/>
        <v>73.372024999999994</v>
      </c>
      <c r="G1148" s="14">
        <f t="shared" ca="1" si="54"/>
        <v>69.588541666666671</v>
      </c>
      <c r="H1148" s="14">
        <f t="shared" ca="1" si="54"/>
        <v>69.588541666666671</v>
      </c>
      <c r="I1148" s="14">
        <f t="shared" ca="1" si="54"/>
        <v>69.59009166666668</v>
      </c>
      <c r="J1148" s="14">
        <f t="shared" ca="1" si="54"/>
        <v>727.38999166666656</v>
      </c>
    </row>
    <row r="1149" spans="1:10" ht="15" x14ac:dyDescent="0.2">
      <c r="A1149" s="10">
        <f t="shared" si="51"/>
        <v>2093</v>
      </c>
      <c r="B1149" s="14">
        <f t="shared" ca="1" si="54"/>
        <v>74.752741666666665</v>
      </c>
      <c r="C1149" s="14">
        <f t="shared" ca="1" si="54"/>
        <v>70.750866666666667</v>
      </c>
      <c r="D1149" s="14">
        <f t="shared" ca="1" si="54"/>
        <v>70.743058333333323</v>
      </c>
      <c r="E1149" s="14">
        <f t="shared" ca="1" si="54"/>
        <v>74.605566666666661</v>
      </c>
      <c r="F1149" s="14">
        <f t="shared" ca="1" si="54"/>
        <v>74.596508333333333</v>
      </c>
      <c r="G1149" s="14">
        <f t="shared" ca="1" si="54"/>
        <v>70.749300000000005</v>
      </c>
      <c r="H1149" s="14">
        <f t="shared" ca="1" si="54"/>
        <v>70.749300000000005</v>
      </c>
      <c r="I1149" s="14">
        <f t="shared" ca="1" si="54"/>
        <v>70.750866666666667</v>
      </c>
      <c r="J1149" s="14">
        <f t="shared" ca="1" si="54"/>
        <v>744.73209166666663</v>
      </c>
    </row>
    <row r="1150" spans="1:10" ht="15" x14ac:dyDescent="0.2">
      <c r="A1150" s="10">
        <f t="shared" si="51"/>
        <v>2094</v>
      </c>
      <c r="B1150" s="14">
        <f t="shared" ca="1" si="54"/>
        <v>75.997766666666664</v>
      </c>
      <c r="C1150" s="14">
        <f t="shared" ca="1" si="54"/>
        <v>71.931124999999994</v>
      </c>
      <c r="D1150" s="14">
        <f t="shared" ca="1" si="54"/>
        <v>71.923316666666665</v>
      </c>
      <c r="E1150" s="14">
        <f t="shared" ca="1" si="54"/>
        <v>75.850583333333347</v>
      </c>
      <c r="F1150" s="14">
        <f t="shared" ca="1" si="54"/>
        <v>75.841525000000004</v>
      </c>
      <c r="G1150" s="14">
        <f t="shared" ca="1" si="54"/>
        <v>71.929583333333326</v>
      </c>
      <c r="H1150" s="14">
        <f t="shared" ca="1" si="54"/>
        <v>71.929583333333326</v>
      </c>
      <c r="I1150" s="14">
        <f t="shared" ca="1" si="54"/>
        <v>71.931124999999994</v>
      </c>
      <c r="J1150" s="14">
        <f t="shared" ca="1" si="54"/>
        <v>762.48759166666662</v>
      </c>
    </row>
    <row r="1151" spans="1:10" ht="15" x14ac:dyDescent="0.2">
      <c r="A1151" s="10">
        <f t="shared" si="51"/>
        <v>2095</v>
      </c>
      <c r="B1151" s="14">
        <f t="shared" ca="1" si="54"/>
        <v>77.263716666666667</v>
      </c>
      <c r="C1151" s="14">
        <f t="shared" ca="1" si="54"/>
        <v>73.131241666666668</v>
      </c>
      <c r="D1151" s="14">
        <f t="shared" ca="1" si="54"/>
        <v>73.123424999999983</v>
      </c>
      <c r="E1151" s="14">
        <f t="shared" ca="1" si="54"/>
        <v>77.116516666666669</v>
      </c>
      <c r="F1151" s="14">
        <f t="shared" ca="1" si="54"/>
        <v>77.107458333333341</v>
      </c>
      <c r="G1151" s="14">
        <f t="shared" ca="1" si="54"/>
        <v>73.129674999999992</v>
      </c>
      <c r="H1151" s="14">
        <f t="shared" ca="1" si="54"/>
        <v>73.129674999999992</v>
      </c>
      <c r="I1151" s="14">
        <f t="shared" ca="1" si="54"/>
        <v>73.131241666666668</v>
      </c>
      <c r="J1151" s="14">
        <f t="shared" ca="1" si="54"/>
        <v>780.66643333333332</v>
      </c>
    </row>
    <row r="1152" spans="1:10" ht="15" x14ac:dyDescent="0.2">
      <c r="A1152" s="10">
        <f t="shared" si="51"/>
        <v>2096</v>
      </c>
      <c r="B1152" s="14">
        <f t="shared" ca="1" si="54"/>
        <v>78.550924999999992</v>
      </c>
      <c r="C1152" s="14">
        <f t="shared" ca="1" si="54"/>
        <v>74.351508333333328</v>
      </c>
      <c r="D1152" s="14">
        <f t="shared" ca="1" si="54"/>
        <v>74.343699999999998</v>
      </c>
      <c r="E1152" s="14">
        <f t="shared" ca="1" si="54"/>
        <v>78.403733333333335</v>
      </c>
      <c r="F1152" s="14">
        <f t="shared" ca="1" si="54"/>
        <v>78.394674999999992</v>
      </c>
      <c r="G1152" s="14">
        <f t="shared" ca="1" si="54"/>
        <v>74.34993333333334</v>
      </c>
      <c r="H1152" s="14">
        <f t="shared" ca="1" si="54"/>
        <v>74.34993333333334</v>
      </c>
      <c r="I1152" s="14">
        <f t="shared" ca="1" si="54"/>
        <v>74.351508333333328</v>
      </c>
      <c r="J1152" s="14">
        <f t="shared" ca="1" si="54"/>
        <v>799.27870833333327</v>
      </c>
    </row>
    <row r="1153" spans="1:10" ht="15" x14ac:dyDescent="0.2">
      <c r="A1153" s="10">
        <f t="shared" si="51"/>
        <v>2097</v>
      </c>
      <c r="B1153" s="14">
        <f t="shared" ca="1" si="54"/>
        <v>79.859766666666658</v>
      </c>
      <c r="C1153" s="14">
        <f t="shared" ca="1" si="54"/>
        <v>75.592241666666652</v>
      </c>
      <c r="D1153" s="14">
        <f t="shared" ca="1" si="54"/>
        <v>75.584433333333337</v>
      </c>
      <c r="E1153" s="14">
        <f t="shared" ca="1" si="54"/>
        <v>79.712574999999987</v>
      </c>
      <c r="F1153" s="14">
        <f t="shared" ca="1" si="54"/>
        <v>79.703516666666644</v>
      </c>
      <c r="G1153" s="14">
        <f t="shared" ca="1" si="54"/>
        <v>75.590699999999998</v>
      </c>
      <c r="H1153" s="14">
        <f t="shared" ca="1" si="54"/>
        <v>75.590699999999998</v>
      </c>
      <c r="I1153" s="14">
        <f t="shared" ca="1" si="54"/>
        <v>75.592241666666652</v>
      </c>
      <c r="J1153" s="14">
        <f t="shared" ca="1" si="54"/>
        <v>818.33470833333331</v>
      </c>
    </row>
    <row r="1154" spans="1:10" ht="15" x14ac:dyDescent="0.2">
      <c r="A1154" s="10">
        <f t="shared" si="51"/>
        <v>2098</v>
      </c>
      <c r="B1154" s="14">
        <f t="shared" ca="1" si="54"/>
        <v>81.190591666666663</v>
      </c>
      <c r="C1154" s="14">
        <f t="shared" ca="1" si="54"/>
        <v>76.853850000000008</v>
      </c>
      <c r="D1154" s="14">
        <f t="shared" ca="1" si="54"/>
        <v>76.846041666666665</v>
      </c>
      <c r="E1154" s="14">
        <f t="shared" ca="1" si="54"/>
        <v>81.043400000000005</v>
      </c>
      <c r="F1154" s="14">
        <f t="shared" ca="1" si="54"/>
        <v>81.034341666666663</v>
      </c>
      <c r="G1154" s="14">
        <f t="shared" ca="1" si="54"/>
        <v>76.8523</v>
      </c>
      <c r="H1154" s="14">
        <f t="shared" ca="1" si="54"/>
        <v>76.8523</v>
      </c>
      <c r="I1154" s="14">
        <f t="shared" ca="1" si="54"/>
        <v>76.853850000000008</v>
      </c>
      <c r="J1154" s="14">
        <f t="shared" ca="1" si="54"/>
        <v>837.84504166666648</v>
      </c>
    </row>
    <row r="1155" spans="1:10" ht="15" x14ac:dyDescent="0.2">
      <c r="A1155" s="10">
        <f t="shared" si="51"/>
        <v>2099</v>
      </c>
      <c r="B1155" s="14">
        <f t="shared" ca="1" si="54"/>
        <v>82.543774999999997</v>
      </c>
      <c r="C1155" s="14">
        <f t="shared" ca="1" si="54"/>
        <v>78.136674999999997</v>
      </c>
      <c r="D1155" s="14">
        <f t="shared" ca="1" si="54"/>
        <v>78.12885</v>
      </c>
      <c r="E1155" s="14">
        <f t="shared" ca="1" si="54"/>
        <v>82.396574999999999</v>
      </c>
      <c r="F1155" s="14">
        <f t="shared" ca="1" si="54"/>
        <v>82.387516666666656</v>
      </c>
      <c r="G1155" s="14">
        <f t="shared" ca="1" si="54"/>
        <v>78.135091666666654</v>
      </c>
      <c r="H1155" s="14">
        <f t="shared" ca="1" si="54"/>
        <v>78.135091666666654</v>
      </c>
      <c r="I1155" s="14">
        <f t="shared" ca="1" si="54"/>
        <v>78.136674999999997</v>
      </c>
      <c r="J1155" s="14">
        <f t="shared" ca="1" si="54"/>
        <v>857.82050833333324</v>
      </c>
    </row>
    <row r="1156" spans="1:10" ht="15" x14ac:dyDescent="0.2">
      <c r="A1156" s="10">
        <f t="shared" si="51"/>
        <v>2100</v>
      </c>
      <c r="B1156" s="14">
        <f t="shared" ca="1" si="54"/>
        <v>83.919691666666651</v>
      </c>
      <c r="C1156" s="14">
        <f t="shared" ca="1" si="54"/>
        <v>79.441016666666656</v>
      </c>
      <c r="D1156" s="14">
        <f t="shared" ca="1" si="54"/>
        <v>79.433191666666673</v>
      </c>
      <c r="E1156" s="14">
        <f t="shared" ca="1" si="54"/>
        <v>83.772499999999994</v>
      </c>
      <c r="F1156" s="14">
        <f t="shared" ca="1" si="54"/>
        <v>83.763441666666665</v>
      </c>
      <c r="G1156" s="14">
        <f t="shared" ca="1" si="54"/>
        <v>79.439450000000008</v>
      </c>
      <c r="H1156" s="14">
        <f t="shared" ca="1" si="54"/>
        <v>79.439450000000008</v>
      </c>
      <c r="I1156" s="14">
        <f t="shared" ca="1" si="54"/>
        <v>79.441016666666656</v>
      </c>
      <c r="J1156" s="14">
        <f t="shared" ca="1" si="54"/>
        <v>878.27224166666667</v>
      </c>
    </row>
    <row r="1157" spans="1:10" x14ac:dyDescent="0.2">
      <c r="A1157" s="8"/>
    </row>
    <row r="1158" spans="1:10" x14ac:dyDescent="0.2">
      <c r="A1158" s="8"/>
    </row>
    <row r="1159" spans="1:10" x14ac:dyDescent="0.2">
      <c r="A1159" s="8"/>
    </row>
    <row r="1160" spans="1:10" x14ac:dyDescent="0.2">
      <c r="A1160" s="8"/>
    </row>
    <row r="1161" spans="1:10" x14ac:dyDescent="0.2">
      <c r="A1161" s="8"/>
    </row>
    <row r="1162" spans="1:10" x14ac:dyDescent="0.2">
      <c r="A1162" s="8"/>
    </row>
    <row r="1163" spans="1:10" x14ac:dyDescent="0.2">
      <c r="A1163" s="8"/>
    </row>
    <row r="1164" spans="1:10" x14ac:dyDescent="0.2">
      <c r="A1164" s="8"/>
    </row>
    <row r="1165" spans="1:10" x14ac:dyDescent="0.2">
      <c r="A1165" s="8"/>
    </row>
    <row r="1166" spans="1:10" x14ac:dyDescent="0.2">
      <c r="A1166" s="8"/>
    </row>
    <row r="1167" spans="1:10" x14ac:dyDescent="0.2">
      <c r="A1167" s="8"/>
    </row>
    <row r="1168" spans="1:10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</sheetData>
  <pageMargins left="0.25" right="0.25" top="0.5" bottom="0.5" header="0.25" footer="0.25"/>
  <pageSetup paperSize="5" scale="9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locked="0" defaultSize="0" autoLine="0" autoPict="0">
                <anchor moveWithCells="1">
                  <from>
                    <xdr:col>7</xdr:col>
                    <xdr:colOff>180975</xdr:colOff>
                    <xdr:row>7</xdr:row>
                    <xdr:rowOff>142875</xdr:rowOff>
                  </from>
                  <to>
                    <xdr:col>8</xdr:col>
                    <xdr:colOff>314325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locked="0" defaultSize="0" autoLine="0" autoPict="0">
                <anchor moveWithCells="1">
                  <from>
                    <xdr:col>8</xdr:col>
                    <xdr:colOff>447675</xdr:colOff>
                    <xdr:row>7</xdr:row>
                    <xdr:rowOff>142875</xdr:rowOff>
                  </from>
                  <to>
                    <xdr:col>9</xdr:col>
                    <xdr:colOff>581025</xdr:colOff>
                    <xdr:row>9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AC1172"/>
  <sheetViews>
    <sheetView zoomScale="75" zoomScaleNormal="75" workbookViewId="0">
      <pane xSplit="1" ySplit="12" topLeftCell="B13" activePane="bottomRight" state="frozen"/>
      <selection activeCell="A6" sqref="A6"/>
      <selection pane="topRight" activeCell="A6" sqref="A6"/>
      <selection pane="bottomLeft" activeCell="A6" sqref="A6"/>
      <selection pane="bottomRight" activeCell="B13" sqref="B13"/>
    </sheetView>
  </sheetViews>
  <sheetFormatPr defaultColWidth="7.109375" defaultRowHeight="12.75" x14ac:dyDescent="0.2"/>
  <cols>
    <col min="1" max="1" width="18.21875" style="31" customWidth="1"/>
    <col min="2" max="10" width="13" style="31" customWidth="1"/>
    <col min="11" max="11" width="18.6640625" style="31" customWidth="1"/>
    <col min="12" max="12" width="13" style="31" customWidth="1"/>
    <col min="13" max="16" width="20.6640625" style="31" customWidth="1"/>
    <col min="17" max="17" width="15.5546875" style="31" customWidth="1"/>
    <col min="18" max="18" width="16.21875" style="31" customWidth="1"/>
    <col min="19" max="19" width="13" style="8" customWidth="1"/>
    <col min="20" max="25" width="19.77734375" style="8" customWidth="1"/>
    <col min="26" max="26" width="15.5546875" style="8" customWidth="1"/>
    <col min="27" max="27" width="16.88671875" style="8" customWidth="1"/>
    <col min="28" max="29" width="14.77734375" style="8" customWidth="1"/>
    <col min="30" max="30" width="14" style="8" customWidth="1"/>
    <col min="31" max="31" width="10.21875" style="8" customWidth="1"/>
    <col min="32" max="32" width="11.77734375" style="8" customWidth="1"/>
    <col min="33" max="33" width="7.109375" style="8" customWidth="1"/>
    <col min="34" max="34" width="8.77734375" style="8" customWidth="1"/>
    <col min="35" max="35" width="9.21875" style="8" customWidth="1"/>
    <col min="36" max="36" width="11.77734375" style="8" customWidth="1"/>
    <col min="37" max="37" width="7.109375" style="8" customWidth="1"/>
    <col min="38" max="38" width="9.21875" style="8" customWidth="1"/>
    <col min="39" max="39" width="9.33203125" style="8" customWidth="1"/>
    <col min="40" max="40" width="8.21875" style="8" customWidth="1"/>
    <col min="41" max="41" width="9" style="8" customWidth="1"/>
    <col min="42" max="16384" width="7.109375" style="8"/>
  </cols>
  <sheetData>
    <row r="1" spans="1:29" ht="15.75" x14ac:dyDescent="0.25">
      <c r="A1" s="102" t="s">
        <v>90</v>
      </c>
    </row>
    <row r="2" spans="1:29" ht="15.75" x14ac:dyDescent="0.25">
      <c r="A2" s="102" t="s">
        <v>91</v>
      </c>
    </row>
    <row r="3" spans="1:29" ht="15.75" x14ac:dyDescent="0.25">
      <c r="A3" s="102" t="s">
        <v>92</v>
      </c>
    </row>
    <row r="4" spans="1:29" ht="15.75" x14ac:dyDescent="0.25">
      <c r="A4" s="102" t="s">
        <v>93</v>
      </c>
    </row>
    <row r="5" spans="1:29" ht="15.75" x14ac:dyDescent="0.25">
      <c r="A5" s="102" t="s">
        <v>95</v>
      </c>
    </row>
    <row r="6" spans="1:29" ht="15.75" x14ac:dyDescent="0.25">
      <c r="A6" s="102" t="s">
        <v>99</v>
      </c>
    </row>
    <row r="8" spans="1:29" ht="15.75" x14ac:dyDescent="0.25">
      <c r="A8" s="43" t="s">
        <v>27</v>
      </c>
      <c r="M8" s="76"/>
      <c r="N8" s="76"/>
      <c r="O8" s="72"/>
      <c r="P8" s="72"/>
      <c r="T8" s="111" t="s">
        <v>79</v>
      </c>
      <c r="U8" s="111"/>
      <c r="V8" s="111"/>
      <c r="W8" s="111"/>
      <c r="X8" s="111"/>
      <c r="Y8" s="111"/>
    </row>
    <row r="9" spans="1:29" ht="16.5" thickBot="1" x14ac:dyDescent="0.3">
      <c r="A9" s="43"/>
      <c r="B9" s="41" t="s">
        <v>25</v>
      </c>
      <c r="C9" s="75">
        <f>1-0.208</f>
        <v>0.79200000000000004</v>
      </c>
      <c r="D9" s="41"/>
      <c r="E9" s="75">
        <v>1.208</v>
      </c>
      <c r="F9" s="75"/>
      <c r="G9" s="75"/>
      <c r="H9" s="1"/>
      <c r="I9" s="1"/>
      <c r="J9" s="1"/>
      <c r="K9" s="1"/>
      <c r="L9" s="1"/>
      <c r="M9" s="1"/>
      <c r="N9" s="1"/>
      <c r="O9" s="1"/>
      <c r="P9" s="1"/>
      <c r="T9" s="111" t="s">
        <v>78</v>
      </c>
      <c r="U9" s="111"/>
      <c r="V9" s="111"/>
      <c r="W9" s="111"/>
      <c r="X9" s="111"/>
      <c r="Y9" s="111"/>
      <c r="Z9" s="107"/>
      <c r="AA9" s="107"/>
      <c r="AB9" s="1"/>
    </row>
    <row r="10" spans="1:29" ht="21.75" thickTop="1" thickBot="1" x14ac:dyDescent="0.35">
      <c r="B10" s="74"/>
      <c r="C10" s="73"/>
      <c r="D10" s="74"/>
      <c r="E10" s="73"/>
      <c r="F10" s="73"/>
      <c r="G10" s="73"/>
      <c r="H10" s="1"/>
      <c r="I10" s="1"/>
      <c r="J10" s="1"/>
      <c r="K10" s="1"/>
      <c r="L10" s="1"/>
      <c r="M10" s="1"/>
      <c r="N10" s="1"/>
      <c r="O10" s="1"/>
      <c r="P10" s="1"/>
      <c r="T10" s="112" t="s">
        <v>77</v>
      </c>
      <c r="U10" s="113"/>
      <c r="V10" s="113"/>
      <c r="W10" s="113"/>
      <c r="X10" s="113"/>
      <c r="Y10" s="114"/>
      <c r="Z10" s="72"/>
      <c r="AA10" s="72"/>
      <c r="AB10" s="1"/>
    </row>
    <row r="11" spans="1:29" s="36" customFormat="1" ht="112.5" customHeight="1" thickTop="1" x14ac:dyDescent="0.25">
      <c r="B11" s="67" t="s">
        <v>76</v>
      </c>
      <c r="C11" s="71" t="s">
        <v>75</v>
      </c>
      <c r="D11" s="67" t="s">
        <v>74</v>
      </c>
      <c r="E11" s="67" t="s">
        <v>73</v>
      </c>
      <c r="F11" s="71" t="s">
        <v>72</v>
      </c>
      <c r="G11" s="71" t="s">
        <v>71</v>
      </c>
      <c r="H11" s="71" t="s">
        <v>70</v>
      </c>
      <c r="I11" s="71" t="s">
        <v>69</v>
      </c>
      <c r="J11" s="71" t="s">
        <v>68</v>
      </c>
      <c r="K11" s="68" t="s">
        <v>67</v>
      </c>
      <c r="L11" s="37" t="s">
        <v>66</v>
      </c>
      <c r="M11" s="70" t="s">
        <v>65</v>
      </c>
      <c r="N11" s="70" t="s">
        <v>64</v>
      </c>
      <c r="O11" s="70" t="s">
        <v>63</v>
      </c>
      <c r="P11" s="70" t="s">
        <v>62</v>
      </c>
      <c r="Q11" s="37" t="s">
        <v>61</v>
      </c>
      <c r="R11" s="39" t="s">
        <v>60</v>
      </c>
      <c r="S11" s="37" t="s">
        <v>59</v>
      </c>
      <c r="T11" s="66" t="s">
        <v>58</v>
      </c>
      <c r="U11" s="66" t="s">
        <v>57</v>
      </c>
      <c r="V11" s="66" t="s">
        <v>56</v>
      </c>
      <c r="W11" s="66" t="s">
        <v>55</v>
      </c>
      <c r="X11" s="66" t="s">
        <v>54</v>
      </c>
      <c r="Y11" s="66" t="s">
        <v>53</v>
      </c>
      <c r="Z11" s="39" t="s">
        <v>52</v>
      </c>
      <c r="AA11" s="39" t="s">
        <v>51</v>
      </c>
      <c r="AB11" s="67" t="s">
        <v>50</v>
      </c>
      <c r="AC11" s="69" t="s">
        <v>49</v>
      </c>
    </row>
    <row r="12" spans="1:29" s="36" customFormat="1" ht="15.75" x14ac:dyDescent="0.25">
      <c r="A12" s="38" t="s">
        <v>15</v>
      </c>
      <c r="B12" s="37" t="s">
        <v>14</v>
      </c>
      <c r="C12" s="37" t="s">
        <v>14</v>
      </c>
      <c r="D12" s="37" t="s">
        <v>14</v>
      </c>
      <c r="E12" s="37" t="s">
        <v>14</v>
      </c>
      <c r="F12" s="37" t="s">
        <v>14</v>
      </c>
      <c r="G12" s="37" t="s">
        <v>14</v>
      </c>
      <c r="H12" s="37" t="s">
        <v>14</v>
      </c>
      <c r="I12" s="37" t="s">
        <v>14</v>
      </c>
      <c r="J12" s="37" t="s">
        <v>14</v>
      </c>
      <c r="K12" s="68" t="s">
        <v>14</v>
      </c>
      <c r="L12" s="37" t="s">
        <v>14</v>
      </c>
      <c r="M12" s="37" t="s">
        <v>14</v>
      </c>
      <c r="N12" s="37" t="s">
        <v>14</v>
      </c>
      <c r="O12" s="37" t="s">
        <v>14</v>
      </c>
      <c r="P12" s="37" t="s">
        <v>14</v>
      </c>
      <c r="Q12" s="37" t="s">
        <v>14</v>
      </c>
      <c r="R12" s="37" t="s">
        <v>14</v>
      </c>
      <c r="S12" s="37" t="s">
        <v>14</v>
      </c>
      <c r="T12" s="66" t="s">
        <v>48</v>
      </c>
      <c r="U12" s="66" t="s">
        <v>48</v>
      </c>
      <c r="V12" s="66" t="s">
        <v>48</v>
      </c>
      <c r="W12" s="66" t="s">
        <v>48</v>
      </c>
      <c r="X12" s="66" t="s">
        <v>48</v>
      </c>
      <c r="Y12" s="66" t="s">
        <v>48</v>
      </c>
      <c r="Z12" s="37" t="s">
        <v>14</v>
      </c>
      <c r="AA12" s="37" t="s">
        <v>48</v>
      </c>
      <c r="AB12" s="67" t="s">
        <v>14</v>
      </c>
      <c r="AC12" s="66" t="s">
        <v>14</v>
      </c>
    </row>
    <row r="13" spans="1:29" ht="15.75" x14ac:dyDescent="0.25">
      <c r="A13" s="13">
        <v>41275</v>
      </c>
      <c r="B13" s="63">
        <v>3.4693411405589898</v>
      </c>
      <c r="C13" s="63">
        <v>3.47442538832698</v>
      </c>
      <c r="D13" s="63">
        <v>3.5918799851734899</v>
      </c>
      <c r="E13" s="63">
        <v>3.62563976038513</v>
      </c>
      <c r="F13" s="63">
        <v>3.4827097294503502</v>
      </c>
      <c r="G13" s="63">
        <v>3.4975364689593298</v>
      </c>
      <c r="H13" s="63">
        <v>3.6145177663942398</v>
      </c>
      <c r="I13" s="63">
        <v>3.5091919375943799</v>
      </c>
      <c r="J13" s="63">
        <v>3.4753097294503501</v>
      </c>
      <c r="K13" s="65"/>
      <c r="L13" s="63">
        <v>4.2015177663942396</v>
      </c>
      <c r="M13" s="63">
        <v>3.4510577257516601</v>
      </c>
      <c r="N13" s="63">
        <v>3.46575112309643</v>
      </c>
      <c r="O13" s="63">
        <v>3.5890138150970801</v>
      </c>
      <c r="P13" s="63">
        <v>3.4845926581983502</v>
      </c>
      <c r="Q13" s="63">
        <v>4.1837138150970796</v>
      </c>
      <c r="R13" s="63">
        <v>4.7811730996348203</v>
      </c>
      <c r="S13" s="63">
        <v>3.3547069680724899</v>
      </c>
      <c r="T13" s="64">
        <v>29.034112</v>
      </c>
      <c r="U13" s="64">
        <v>12.063650000000001</v>
      </c>
      <c r="V13" s="64">
        <v>4.9444999999999997</v>
      </c>
      <c r="W13" s="64">
        <v>0.56798199999999999</v>
      </c>
      <c r="X13" s="64">
        <v>0</v>
      </c>
      <c r="Y13" s="64">
        <v>0.39</v>
      </c>
      <c r="Z13" s="63">
        <v>3.49160559679886</v>
      </c>
      <c r="AA13" s="62">
        <v>0.78900000000000003</v>
      </c>
      <c r="AB13" s="61">
        <v>3.5128713827202498</v>
      </c>
      <c r="AC13" s="60">
        <v>3.5263496753376899</v>
      </c>
    </row>
    <row r="14" spans="1:29" ht="15.75" x14ac:dyDescent="0.25">
      <c r="A14" s="13">
        <v>41306</v>
      </c>
      <c r="B14" s="14">
        <v>3.3373871192168498</v>
      </c>
      <c r="C14" s="14">
        <v>3.34247136698484</v>
      </c>
      <c r="D14" s="14">
        <v>3.4274416903447098</v>
      </c>
      <c r="E14" s="14">
        <v>3.4612014655563499</v>
      </c>
      <c r="F14" s="14">
        <v>3.32921003516193</v>
      </c>
      <c r="G14" s="14">
        <v>3.3428860878936399</v>
      </c>
      <c r="H14" s="14">
        <v>3.4500794715654499</v>
      </c>
      <c r="I14" s="14">
        <v>3.3623461586604102</v>
      </c>
      <c r="J14" s="14">
        <v>3.32181003516193</v>
      </c>
      <c r="K14" s="53"/>
      <c r="L14" s="14">
        <v>4.0370794715654501</v>
      </c>
      <c r="M14" s="14">
        <v>3.2989385090408998</v>
      </c>
      <c r="N14" s="14">
        <v>3.3124915681456</v>
      </c>
      <c r="O14" s="14">
        <v>3.42605437258766</v>
      </c>
      <c r="P14" s="14">
        <v>3.3390715772188799</v>
      </c>
      <c r="Q14" s="14">
        <v>4.0207543725876604</v>
      </c>
      <c r="R14" s="14">
        <v>4.6178062585191304</v>
      </c>
      <c r="S14" s="14">
        <v>3.2267511535770201</v>
      </c>
      <c r="T14" s="57">
        <v>26.280478500000001</v>
      </c>
      <c r="U14" s="57">
        <v>10.8962</v>
      </c>
      <c r="V14" s="57">
        <v>4.4660000000000002</v>
      </c>
      <c r="W14" s="57">
        <v>0.51301600000000003</v>
      </c>
      <c r="X14" s="57">
        <v>0</v>
      </c>
      <c r="Y14" s="57">
        <v>0.39</v>
      </c>
      <c r="Z14" s="14">
        <v>3.3376078337533501</v>
      </c>
      <c r="AA14" s="56">
        <v>0.78900000000000003</v>
      </c>
      <c r="AB14" s="50">
        <v>3.3650754313211002</v>
      </c>
      <c r="AC14" s="45">
        <v>3.36964273692133</v>
      </c>
    </row>
    <row r="15" spans="1:29" ht="15.75" x14ac:dyDescent="0.25">
      <c r="A15" s="13">
        <v>41334</v>
      </c>
      <c r="B15" s="14">
        <v>3.5446221553058099</v>
      </c>
      <c r="C15" s="14">
        <v>3.5497064030738099</v>
      </c>
      <c r="D15" s="14">
        <v>3.6259111288261701</v>
      </c>
      <c r="E15" s="14">
        <v>3.6596709040378101</v>
      </c>
      <c r="F15" s="14">
        <v>3.5438843996438298</v>
      </c>
      <c r="G15" s="14">
        <v>3.5577092992119201</v>
      </c>
      <c r="H15" s="14">
        <v>3.6485489100469102</v>
      </c>
      <c r="I15" s="14">
        <v>3.55729372718785</v>
      </c>
      <c r="J15" s="14">
        <v>3.5364843996438302</v>
      </c>
      <c r="K15" s="53"/>
      <c r="L15" s="14">
        <v>4.2355489100469104</v>
      </c>
      <c r="M15" s="14">
        <v>3.5116822302857602</v>
      </c>
      <c r="N15" s="14">
        <v>3.5253827975940699</v>
      </c>
      <c r="O15" s="14">
        <v>3.6227389045196601</v>
      </c>
      <c r="P15" s="14">
        <v>3.5322605208328999</v>
      </c>
      <c r="Q15" s="14">
        <v>4.2174389045196596</v>
      </c>
      <c r="R15" s="14">
        <v>4.8149825017809604</v>
      </c>
      <c r="S15" s="14">
        <v>3.4277069680724899</v>
      </c>
      <c r="T15" s="57">
        <v>29.128712</v>
      </c>
      <c r="U15" s="57">
        <v>12.063650000000001</v>
      </c>
      <c r="V15" s="57">
        <v>4.9444999999999997</v>
      </c>
      <c r="W15" s="57">
        <v>0.71033400000000002</v>
      </c>
      <c r="X15" s="57">
        <v>0</v>
      </c>
      <c r="Y15" s="57">
        <v>0.39</v>
      </c>
      <c r="Z15" s="14">
        <v>3.51872944531473</v>
      </c>
      <c r="AA15" s="56">
        <v>0.78900000000000003</v>
      </c>
      <c r="AB15" s="50">
        <v>3.5712349617297399</v>
      </c>
      <c r="AC15" s="45">
        <v>3.5713699258364802</v>
      </c>
    </row>
    <row r="16" spans="1:29" ht="15.75" x14ac:dyDescent="0.25">
      <c r="A16" s="13">
        <v>41365</v>
      </c>
      <c r="B16" s="14">
        <v>4.1484240687378904</v>
      </c>
      <c r="C16" s="14">
        <v>4.1529056348026501</v>
      </c>
      <c r="D16" s="14">
        <v>4.3764270426620504</v>
      </c>
      <c r="E16" s="14">
        <v>4.4085325011284802</v>
      </c>
      <c r="F16" s="14">
        <v>4.15877359890011</v>
      </c>
      <c r="G16" s="14">
        <v>4.1735123563116101</v>
      </c>
      <c r="H16" s="14">
        <v>4.3983177600115999</v>
      </c>
      <c r="I16" s="14">
        <v>4.1790239832917297</v>
      </c>
      <c r="J16" s="14">
        <v>4.1517735989001103</v>
      </c>
      <c r="K16" s="53"/>
      <c r="L16" s="14">
        <v>4.9853177600115997</v>
      </c>
      <c r="M16" s="14">
        <v>4.0847896384088997</v>
      </c>
      <c r="N16" s="14">
        <v>4.09926329400085</v>
      </c>
      <c r="O16" s="14">
        <v>4.3268992801176704</v>
      </c>
      <c r="P16" s="14">
        <v>4.1113948289032702</v>
      </c>
      <c r="Q16" s="14">
        <v>4.92159928011767</v>
      </c>
      <c r="R16" s="14">
        <v>5.5209032783179701</v>
      </c>
      <c r="S16" s="14">
        <v>3.9769278955951401</v>
      </c>
      <c r="T16" s="57">
        <v>29.897007500000001</v>
      </c>
      <c r="U16" s="57">
        <v>11.6745</v>
      </c>
      <c r="V16" s="57">
        <v>4.7850000000000001</v>
      </c>
      <c r="W16" s="57">
        <v>0.68742000000000003</v>
      </c>
      <c r="X16" s="57">
        <v>0.77903628000000003</v>
      </c>
      <c r="Y16" s="57">
        <v>0.4</v>
      </c>
      <c r="Z16" s="14">
        <v>4.09674472425296</v>
      </c>
      <c r="AA16" s="56">
        <v>0.78900000000000003</v>
      </c>
      <c r="AB16" s="50">
        <v>4.2271001079906796</v>
      </c>
      <c r="AC16" s="45">
        <v>4.1729811830449197</v>
      </c>
    </row>
    <row r="17" spans="1:29" ht="15.75" x14ac:dyDescent="0.25">
      <c r="A17" s="13">
        <v>41395</v>
      </c>
      <c r="B17" s="14">
        <v>4.3329812441523696</v>
      </c>
      <c r="C17" s="14">
        <v>4.3410072762624203</v>
      </c>
      <c r="D17" s="14">
        <v>4.5615906242399502</v>
      </c>
      <c r="E17" s="14">
        <v>4.5930548614354496</v>
      </c>
      <c r="F17" s="14">
        <v>4.3524466929221504</v>
      </c>
      <c r="G17" s="14">
        <v>4.3691468189663398</v>
      </c>
      <c r="H17" s="14">
        <v>4.5816875175305896</v>
      </c>
      <c r="I17" s="14">
        <v>4.36869293934142</v>
      </c>
      <c r="J17" s="14">
        <v>4.3454466929221498</v>
      </c>
      <c r="K17" s="53"/>
      <c r="L17" s="14">
        <v>5.1686875175305902</v>
      </c>
      <c r="M17" s="14">
        <v>4.2749791898098</v>
      </c>
      <c r="N17" s="14">
        <v>4.2913789354570904</v>
      </c>
      <c r="O17" s="14">
        <v>4.5069708181861499</v>
      </c>
      <c r="P17" s="14">
        <v>4.2976358181395602</v>
      </c>
      <c r="Q17" s="14">
        <v>5.1016708181861503</v>
      </c>
      <c r="R17" s="14">
        <v>5.7014249952316103</v>
      </c>
      <c r="S17" s="14">
        <v>4.1529278955951403</v>
      </c>
      <c r="T17" s="58">
        <v>31.3819585</v>
      </c>
      <c r="U17" s="57">
        <v>12.063650000000001</v>
      </c>
      <c r="V17" s="57">
        <v>4.9444999999999997</v>
      </c>
      <c r="W17" s="57">
        <v>0.71033400000000002</v>
      </c>
      <c r="X17" s="57">
        <v>0.80500415599999997</v>
      </c>
      <c r="Y17" s="57">
        <v>0.4</v>
      </c>
      <c r="Z17" s="14">
        <v>4.2804704151434398</v>
      </c>
      <c r="AA17" s="56">
        <v>0.78900000000000003</v>
      </c>
      <c r="AB17" s="50">
        <v>4.4132889274089298</v>
      </c>
      <c r="AC17" s="45">
        <v>4.3595139595638903</v>
      </c>
    </row>
    <row r="18" spans="1:29" ht="15.75" x14ac:dyDescent="0.25">
      <c r="A18" s="13">
        <v>41426</v>
      </c>
      <c r="B18" s="14">
        <f>CHOOSE(CONTROL!$C$42, 4.1862, 4.1862) * CHOOSE(CONTROL!$C$21, $C$9, 100%, $E$9)</f>
        <v>4.1862000000000004</v>
      </c>
      <c r="C18" s="14">
        <f>CHOOSE(CONTROL!$C$42, 4.1943, 4.1943) * CHOOSE(CONTROL!$C$21, $C$9, 100%, $E$9)</f>
        <v>4.1943000000000001</v>
      </c>
      <c r="D18" s="14">
        <f>CHOOSE(CONTROL!$C$42, 4.2978, 4.2978) * CHOOSE(CONTROL!$C$21, $C$9, 100%, $E$9)</f>
        <v>4.2977999999999996</v>
      </c>
      <c r="E18" s="14">
        <f>CHOOSE(CONTROL!$C$42, 4.3292, 4.3292) * CHOOSE(CONTROL!$C$21, $C$9, 100%, $E$9)</f>
        <v>4.3292000000000002</v>
      </c>
      <c r="F18" s="14">
        <f>CHOOSE(CONTROL!$C$42, 4.2004, 4.2004)*CHOOSE(CONTROL!$C$21, $C$9, 100%, $E$9)</f>
        <v>4.2004000000000001</v>
      </c>
      <c r="G18" s="14">
        <f>CHOOSE(CONTROL!$C$42, 4.2171, 4.2171)*CHOOSE(CONTROL!$C$21, $C$9, 100%, $E$9)</f>
        <v>4.2171000000000003</v>
      </c>
      <c r="H18" s="14">
        <f>CHOOSE(CONTROL!$C$42, 4.3179, 4.3179) * CHOOSE(CONTROL!$C$21, $C$9, 100%, $E$9)</f>
        <v>4.3178999999999998</v>
      </c>
      <c r="I18" s="14">
        <f>CHOOSE(CONTROL!$C$42, 4.2205, 4.2205)* CHOOSE(CONTROL!$C$21, $C$9, 100%, $E$9)</f>
        <v>4.2205000000000004</v>
      </c>
      <c r="J18" s="14">
        <f>CHOOSE(CONTROL!$C$42, 4.1934, 4.1934)* CHOOSE(CONTROL!$C$21, $C$9, 100%, $E$9)</f>
        <v>4.1933999999999996</v>
      </c>
      <c r="K18" s="53"/>
      <c r="L18" s="14">
        <f>CHOOSE(CONTROL!$C$42, 4.9049, 4.9049) * CHOOSE(CONTROL!$C$21, $C$9, 100%, $E$9)</f>
        <v>4.9048999999999996</v>
      </c>
      <c r="M18" s="14">
        <f>CHOOSE(CONTROL!$C$42, 4.1152, 4.1152) * CHOOSE(CONTROL!$C$21, $C$9, 100%, $E$9)</f>
        <v>4.1151999999999997</v>
      </c>
      <c r="N18" s="14">
        <f>CHOOSE(CONTROL!$C$42, 4.1315, 4.1315) * CHOOSE(CONTROL!$C$21, $C$9, 100%, $E$9)</f>
        <v>4.1315</v>
      </c>
      <c r="O18" s="14">
        <f>CHOOSE(CONTROL!$C$42, 4.2371, 4.2371) * CHOOSE(CONTROL!$C$21, $C$9, 100%, $E$9)</f>
        <v>4.2370999999999999</v>
      </c>
      <c r="P18" s="14">
        <f>CHOOSE(CONTROL!$C$42, 4.1415, 4.1415) * CHOOSE(CONTROL!$C$21, $C$9, 100%, $E$9)</f>
        <v>4.1414999999999997</v>
      </c>
      <c r="Q18" s="14">
        <f>CHOOSE(CONTROL!$C$42, 4.8318, 4.8318) * CHOOSE(CONTROL!$C$21, $C$9, 100%, $E$9)</f>
        <v>4.8318000000000003</v>
      </c>
      <c r="R18" s="14">
        <f>CHOOSE(CONTROL!$C$42, 5.4309, 5.4309) * CHOOSE(CONTROL!$C$21, $C$9, 100%, $E$9)</f>
        <v>5.4309000000000003</v>
      </c>
      <c r="S18" s="14">
        <f>CHOOSE(CONTROL!$C$42, 4.0119, 4.0119) * CHOOSE(CONTROL!$C$21, $C$9, 100%, $E$9)</f>
        <v>4.0118999999999998</v>
      </c>
      <c r="T18" s="58">
        <f>((((430000*CHOOSE(CONTROL!$C$42, 0.4694, 0.4694)+(874000-430000)*CHOOSE(CONTROL!$C$42, 0.7185, 0.7185)+400000*CHOOSE(CONTROL!$C$42, 1.14, 1.14)+30000*0.98)*CHOOSE(CONTROL!$C$42, 30, 30))/1000000))+CHOOSE(CONTROL!$C$42, 0.1616, 0.1616)+CHOOSE(CONTROL!$C$42, 0.5074, 0.5074)</f>
        <v>30.856680000000001</v>
      </c>
      <c r="U18" s="57">
        <f>(1000*CHOOSE(CONTROL!$C$42, 695, 695)*CHOOSE(CONTROL!$C$42, 0.5599, 0.5599)*CHOOSE(CONTROL!$C$42, 30, 30))/1000000</f>
        <v>11.673914999999997</v>
      </c>
      <c r="V18" s="57">
        <f>(1000*CHOOSE(CONTROL!$C$42, 580, 580)*CHOOSE(CONTROL!$C$42, 0.275, 0.275)*CHOOSE(CONTROL!$C$42, 30, 30))/1000000</f>
        <v>4.7850000000000001</v>
      </c>
      <c r="W18" s="57">
        <f>(1000*CHOOSE(CONTROL!$C$42, 0.1146, 0.1146)*CHOOSE(CONTROL!$C$42, 200, 200)*CHOOSE(CONTROL!$C$42, 30, 30))/1000000</f>
        <v>0.68759999999999999</v>
      </c>
      <c r="X18" s="57">
        <f>30*0.1790888*145000/1000000</f>
        <v>0.77903627999999991</v>
      </c>
      <c r="Y18" s="57">
        <f t="shared" ref="Y18:Y27" si="0">(0.16*2500000)/1000000</f>
        <v>0.4</v>
      </c>
      <c r="Z18" s="14">
        <f>CHOOSE(CONTROL!$C$42, 4.1234, 4.1234) * CHOOSE(CONTROL!$C$21, $C$9, 100%, $E$9)</f>
        <v>4.1234000000000002</v>
      </c>
      <c r="AA18" s="56">
        <f>(131500*30*(6/30))/1000000</f>
        <v>0.78900000000000003</v>
      </c>
      <c r="AB18" s="50">
        <f>(B18*194.205+C18*267.466+D18*133.845+E18*213.484+F18*40+G18*25+H18*30+I18*100+J18*300)/(194.205+267.466+133.845+213.484+30+40+25+100+300)</f>
        <v>4.2310721538343552</v>
      </c>
      <c r="AC18" s="45">
        <f>(M18*240+N18*120+O18*235+P18*100)/(240+120+235+100)</f>
        <v>4.1630165467625897</v>
      </c>
    </row>
    <row r="19" spans="1:29" ht="15.75" x14ac:dyDescent="0.25">
      <c r="A19" s="13">
        <v>41456</v>
      </c>
      <c r="B19" s="14">
        <f>CHOOSE(CONTROL!$C$42, 4.2414, 4.2414) * CHOOSE(CONTROL!$C$21, $C$9, 100%, $E$9)</f>
        <v>4.2413999999999996</v>
      </c>
      <c r="C19" s="14">
        <f>CHOOSE(CONTROL!$C$42, 4.2494, 4.2494) * CHOOSE(CONTROL!$C$21, $C$9, 100%, $E$9)</f>
        <v>4.2493999999999996</v>
      </c>
      <c r="D19" s="14">
        <f>CHOOSE(CONTROL!$C$42, 4.4893, 4.4893) * CHOOSE(CONTROL!$C$21, $C$9, 100%, $E$9)</f>
        <v>4.4893000000000001</v>
      </c>
      <c r="E19" s="14">
        <f>CHOOSE(CONTROL!$C$42, 4.5207, 4.5207) * CHOOSE(CONTROL!$C$21, $C$9, 100%, $E$9)</f>
        <v>4.5206999999999997</v>
      </c>
      <c r="F19" s="14">
        <f>CHOOSE(CONTROL!$C$42, 4.2493, 4.2493)*CHOOSE(CONTROL!$C$21, $C$9, 100%, $E$9)</f>
        <v>4.2492999999999999</v>
      </c>
      <c r="G19" s="14">
        <f>CHOOSE(CONTROL!$C$42, 4.2661, 4.2661)*CHOOSE(CONTROL!$C$21, $C$9, 100%, $E$9)</f>
        <v>4.2660999999999998</v>
      </c>
      <c r="H19" s="14">
        <f>CHOOSE(CONTROL!$C$42, 4.5094, 4.5094) * CHOOSE(CONTROL!$C$21, $C$9, 100%, $E$9)</f>
        <v>4.5094000000000003</v>
      </c>
      <c r="I19" s="14">
        <f>CHOOSE(CONTROL!$C$42, 4.2742, 4.2742)* CHOOSE(CONTROL!$C$21, $C$9, 100%, $E$9)</f>
        <v>4.2742000000000004</v>
      </c>
      <c r="J19" s="14">
        <f>CHOOSE(CONTROL!$C$42, 4.2423, 4.2423)* CHOOSE(CONTROL!$C$21, $C$9, 100%, $E$9)</f>
        <v>4.2423000000000002</v>
      </c>
      <c r="K19" s="53"/>
      <c r="L19" s="14">
        <f>CHOOSE(CONTROL!$C$42, 5.0964, 5.0964) * CHOOSE(CONTROL!$C$21, $C$9, 100%, $E$9)</f>
        <v>5.0964</v>
      </c>
      <c r="M19" s="14">
        <f>CHOOSE(CONTROL!$C$42, 4.1631, 4.1631) * CHOOSE(CONTROL!$C$21, $C$9, 100%, $E$9)</f>
        <v>4.1631</v>
      </c>
      <c r="N19" s="14">
        <f>CHOOSE(CONTROL!$C$42, 4.1795, 4.1795) * CHOOSE(CONTROL!$C$21, $C$9, 100%, $E$9)</f>
        <v>4.1795</v>
      </c>
      <c r="O19" s="14">
        <f>CHOOSE(CONTROL!$C$42, 4.4247, 4.4247) * CHOOSE(CONTROL!$C$21, $C$9, 100%, $E$9)</f>
        <v>4.4246999999999996</v>
      </c>
      <c r="P19" s="14">
        <f>CHOOSE(CONTROL!$C$42, 4.1941, 4.1941) * CHOOSE(CONTROL!$C$21, $C$9, 100%, $E$9)</f>
        <v>4.1940999999999997</v>
      </c>
      <c r="Q19" s="14">
        <f>CHOOSE(CONTROL!$C$42, 5.0194, 5.0194) * CHOOSE(CONTROL!$C$21, $C$9, 100%, $E$9)</f>
        <v>5.0194000000000001</v>
      </c>
      <c r="R19" s="14">
        <f>CHOOSE(CONTROL!$C$42, 5.6189, 5.6189) * CHOOSE(CONTROL!$C$21, $C$9, 100%, $E$9)</f>
        <v>5.6189</v>
      </c>
      <c r="S19" s="14">
        <f>CHOOSE(CONTROL!$C$42, 4.0649, 4.0649) * CHOOSE(CONTROL!$C$21, $C$9, 100%, $E$9)</f>
        <v>4.0648999999999997</v>
      </c>
      <c r="T19" s="58">
        <f>((((430000*CHOOSE(CONTROL!$C$42, 0.4694, 0.4694)+(874000-430000)*CHOOSE(CONTROL!$C$42, 0.7185, 0.7185)+400000*CHOOSE(CONTROL!$C$42, 1.14, 1.14)+30000*0.98)*CHOOSE(CONTROL!$C$42, 31, 31))/1000000))+CHOOSE(CONTROL!$C$42, 0.1555, 0.1555)+CHOOSE(CONTROL!$C$42, 0.5217, 0.5217)</f>
        <v>31.871136</v>
      </c>
      <c r="U19" s="57">
        <f>(1000*CHOOSE(CONTROL!$C$42, 695, 695)*CHOOSE(CONTROL!$C$42, 0.5599, 0.5599)*CHOOSE(CONTROL!$C$42, 31, 31))/1000000</f>
        <v>12.063045499999998</v>
      </c>
      <c r="V19" s="57">
        <f>(1000*CHOOSE(CONTROL!$C$42, 580, 580)*CHOOSE(CONTROL!$C$42, 0.275, 0.275)*CHOOSE(CONTROL!$C$42, 31, 31))/1000000</f>
        <v>4.9444999999999997</v>
      </c>
      <c r="W19" s="57">
        <f>(1000*CHOOSE(CONTROL!$C$42, 0.1146, 0.1146)*CHOOSE(CONTROL!$C$42, 200, 200)*CHOOSE(CONTROL!$C$42, 31, 31))/1000000</f>
        <v>0.71052000000000004</v>
      </c>
      <c r="X19" s="57">
        <f>31*0.1790888*145000/1000000</f>
        <v>0.80500415599999997</v>
      </c>
      <c r="Y19" s="57">
        <f t="shared" si="0"/>
        <v>0.4</v>
      </c>
      <c r="Z19" s="14">
        <f>CHOOSE(CONTROL!$C$42, 4.1786, 4.1786) * CHOOSE(CONTROL!$C$21, $C$9, 100%, $E$9)</f>
        <v>4.1786000000000003</v>
      </c>
      <c r="AA19" s="56">
        <f>(131500*31*(6/31))/1000000</f>
        <v>0.78900000000000003</v>
      </c>
      <c r="AB19" s="50">
        <f>(B19*194.205+C19*267.466+D19*133.845+E19*213.484+F19*40+G19*25+H19*30+I19*100+J19*300)/(194.205+267.466+133.845+213.484+30+40+25+100+300)</f>
        <v>4.3238152490030677</v>
      </c>
      <c r="AC19" s="45">
        <f>(M19*240+N19*120+O19*235+P19*100)/(240+120+235+100)</f>
        <v>4.2588467625899273</v>
      </c>
    </row>
    <row r="20" spans="1:29" ht="15.75" x14ac:dyDescent="0.25">
      <c r="A20" s="13">
        <v>41487</v>
      </c>
      <c r="B20" s="14">
        <f>CHOOSE(CONTROL!$C$42, 4.2716, 4.2716) * CHOOSE(CONTROL!$C$21, $C$9, 100%, $E$9)</f>
        <v>4.2716000000000003</v>
      </c>
      <c r="C20" s="14">
        <f>CHOOSE(CONTROL!$C$42, 4.2796, 4.2796) * CHOOSE(CONTROL!$C$21, $C$9, 100%, $E$9)</f>
        <v>4.2796000000000003</v>
      </c>
      <c r="D20" s="14">
        <f>CHOOSE(CONTROL!$C$42, 4.5212, 4.5212) * CHOOSE(CONTROL!$C$21, $C$9, 100%, $E$9)</f>
        <v>4.5212000000000003</v>
      </c>
      <c r="E20" s="14">
        <f>CHOOSE(CONTROL!$C$42, 4.5527, 4.5527) * CHOOSE(CONTROL!$C$21, $C$9, 100%, $E$9)</f>
        <v>4.5526999999999997</v>
      </c>
      <c r="F20" s="14">
        <f>CHOOSE(CONTROL!$C$42, 4.2795, 4.2795)*CHOOSE(CONTROL!$C$21, $C$9, 100%, $E$9)</f>
        <v>4.2794999999999996</v>
      </c>
      <c r="G20" s="14">
        <f>CHOOSE(CONTROL!$C$42, 4.2964, 4.2964)*CHOOSE(CONTROL!$C$21, $C$9, 100%, $E$9)</f>
        <v>4.2964000000000002</v>
      </c>
      <c r="H20" s="14">
        <f>CHOOSE(CONTROL!$C$42, 4.5413, 4.5413) * CHOOSE(CONTROL!$C$21, $C$9, 100%, $E$9)</f>
        <v>4.5412999999999997</v>
      </c>
      <c r="I20" s="14">
        <f>CHOOSE(CONTROL!$C$42, 4.3048, 4.3048)* CHOOSE(CONTROL!$C$21, $C$9, 100%, $E$9)</f>
        <v>4.3048000000000002</v>
      </c>
      <c r="J20" s="14">
        <f>CHOOSE(CONTROL!$C$42, 4.2725, 4.2725)* CHOOSE(CONTROL!$C$21, $C$9, 100%, $E$9)</f>
        <v>4.2725</v>
      </c>
      <c r="K20" s="53"/>
      <c r="L20" s="14">
        <f>CHOOSE(CONTROL!$C$42, 5.1283, 5.1283) * CHOOSE(CONTROL!$C$21, $C$9, 100%, $E$9)</f>
        <v>5.1283000000000003</v>
      </c>
      <c r="M20" s="14">
        <f>CHOOSE(CONTROL!$C$42, 4.1926, 4.1926) * CHOOSE(CONTROL!$C$21, $C$9, 100%, $E$9)</f>
        <v>4.1925999999999997</v>
      </c>
      <c r="N20" s="14">
        <f>CHOOSE(CONTROL!$C$42, 4.2092, 4.2092) * CHOOSE(CONTROL!$C$21, $C$9, 100%, $E$9)</f>
        <v>4.2092000000000001</v>
      </c>
      <c r="O20" s="14">
        <f>CHOOSE(CONTROL!$C$42, 4.456, 4.456) * CHOOSE(CONTROL!$C$21, $C$9, 100%, $E$9)</f>
        <v>4.4560000000000004</v>
      </c>
      <c r="P20" s="14">
        <f>CHOOSE(CONTROL!$C$42, 4.2241, 4.2241) * CHOOSE(CONTROL!$C$21, $C$9, 100%, $E$9)</f>
        <v>4.2241</v>
      </c>
      <c r="Q20" s="14">
        <f>CHOOSE(CONTROL!$C$42, 5.0507, 5.0507) * CHOOSE(CONTROL!$C$21, $C$9, 100%, $E$9)</f>
        <v>5.0507</v>
      </c>
      <c r="R20" s="14">
        <f>CHOOSE(CONTROL!$C$42, 5.6503, 5.6503) * CHOOSE(CONTROL!$C$21, $C$9, 100%, $E$9)</f>
        <v>5.6502999999999997</v>
      </c>
      <c r="S20" s="14">
        <f>CHOOSE(CONTROL!$C$42, 4.0939, 4.0939) * CHOOSE(CONTROL!$C$21, $C$9, 100%, $E$9)</f>
        <v>4.0938999999999997</v>
      </c>
      <c r="T20" s="58">
        <f>((((430000*CHOOSE(CONTROL!$C$42, 0.4694, 0.4694)+(874000-430000)*CHOOSE(CONTROL!$C$42, 0.7185, 0.7185)+400000*CHOOSE(CONTROL!$C$42, 1.14, 1.14)+30000*0.98)*CHOOSE(CONTROL!$C$42, 31, 31))/1000000))+CHOOSE(CONTROL!$C$42, 0.1911, 0.1911)+CHOOSE(CONTROL!$C$42, 0.5131, 0.5131)</f>
        <v>31.898136000000001</v>
      </c>
      <c r="U20" s="57">
        <f>(1000*CHOOSE(CONTROL!$C$42, 695, 695)*CHOOSE(CONTROL!$C$42, 0.5599, 0.5599)*CHOOSE(CONTROL!$C$42, 31, 31))/1000000</f>
        <v>12.063045499999998</v>
      </c>
      <c r="V20" s="57">
        <f>(1000*CHOOSE(CONTROL!$C$42, 580, 580)*CHOOSE(CONTROL!$C$42, 0.275, 0.275)*CHOOSE(CONTROL!$C$42, 31, 31))/1000000</f>
        <v>4.9444999999999997</v>
      </c>
      <c r="W20" s="57">
        <f>(1000*CHOOSE(CONTROL!$C$42, 0.1146, 0.1146)*CHOOSE(CONTROL!$C$42, 200, 200)*CHOOSE(CONTROL!$C$42, 31, 31))/1000000</f>
        <v>0.71052000000000004</v>
      </c>
      <c r="X20" s="57">
        <f>31*0.1790888*145000/1000000</f>
        <v>0.80500415599999997</v>
      </c>
      <c r="Y20" s="57">
        <f t="shared" si="0"/>
        <v>0.4</v>
      </c>
      <c r="Z20" s="14">
        <f>CHOOSE(CONTROL!$C$42, 4.2069, 4.2069) * CHOOSE(CONTROL!$C$21, $C$9, 100%, $E$9)</f>
        <v>4.2069000000000001</v>
      </c>
      <c r="AA20" s="56">
        <f>(131500*31*(6/31))/1000000</f>
        <v>0.78900000000000003</v>
      </c>
      <c r="AB20" s="50">
        <f>(B20*194.205+C20*267.466+D20*133.845+E20*213.484+F20*40+G20*25+H20*30+I20*100+J20*300)/(194.205+267.466+133.845+213.484+30+40+25+100+300)</f>
        <v>4.3545561291411046</v>
      </c>
      <c r="AC20" s="45">
        <f>(M20*240+N20*120+O20*235+P20*100)/(240+120+235+100)</f>
        <v>4.2890618705035974</v>
      </c>
    </row>
    <row r="21" spans="1:29" ht="15.75" x14ac:dyDescent="0.25">
      <c r="A21" s="13">
        <v>41518</v>
      </c>
      <c r="B21" s="14">
        <f>CHOOSE(CONTROL!$C$42, 4.2682, 4.2682) * CHOOSE(CONTROL!$C$21, $C$9, 100%, $E$9)</f>
        <v>4.2682000000000002</v>
      </c>
      <c r="C21" s="14">
        <f>CHOOSE(CONTROL!$C$42, 4.2763, 4.2763) * CHOOSE(CONTROL!$C$21, $C$9, 100%, $E$9)</f>
        <v>4.2763</v>
      </c>
      <c r="D21" s="14">
        <f>CHOOSE(CONTROL!$C$42, 4.4665, 4.4665) * CHOOSE(CONTROL!$C$21, $C$9, 100%, $E$9)</f>
        <v>4.4664999999999999</v>
      </c>
      <c r="E21" s="14">
        <f>CHOOSE(CONTROL!$C$42, 4.4979, 4.4979) * CHOOSE(CONTROL!$C$21, $C$9, 100%, $E$9)</f>
        <v>4.4978999999999996</v>
      </c>
      <c r="F21" s="14">
        <f>CHOOSE(CONTROL!$C$42, 4.2872, 4.2872)*CHOOSE(CONTROL!$C$21, $C$9, 100%, $E$9)</f>
        <v>4.2872000000000003</v>
      </c>
      <c r="G21" s="14">
        <f>CHOOSE(CONTROL!$C$42, 4.3041, 4.3041)*CHOOSE(CONTROL!$C$21, $C$9, 100%, $E$9)</f>
        <v>4.3041</v>
      </c>
      <c r="H21" s="14">
        <f>CHOOSE(CONTROL!$C$42, 4.4866, 4.4866) * CHOOSE(CONTROL!$C$21, $C$9, 100%, $E$9)</f>
        <v>4.4866000000000001</v>
      </c>
      <c r="I21" s="14">
        <f>CHOOSE(CONTROL!$C$42, 4.3015, 4.3015)* CHOOSE(CONTROL!$C$21, $C$9, 100%, $E$9)</f>
        <v>4.3014999999999999</v>
      </c>
      <c r="J21" s="14">
        <f>CHOOSE(CONTROL!$C$42, 4.2802, 4.2802)* CHOOSE(CONTROL!$C$21, $C$9, 100%, $E$9)</f>
        <v>4.2801999999999998</v>
      </c>
      <c r="K21" s="53"/>
      <c r="L21" s="14">
        <f>CHOOSE(CONTROL!$C$42, 5.0736, 5.0736) * CHOOSE(CONTROL!$C$21, $C$9, 100%, $E$9)</f>
        <v>5.0735999999999999</v>
      </c>
      <c r="M21" s="14">
        <f>CHOOSE(CONTROL!$C$42, 4.2002, 4.2002) * CHOOSE(CONTROL!$C$21, $C$9, 100%, $E$9)</f>
        <v>4.2001999999999997</v>
      </c>
      <c r="N21" s="14">
        <f>CHOOSE(CONTROL!$C$42, 4.2168, 4.2168) * CHOOSE(CONTROL!$C$21, $C$9, 100%, $E$9)</f>
        <v>4.2168000000000001</v>
      </c>
      <c r="O21" s="14">
        <f>CHOOSE(CONTROL!$C$42, 4.4023, 4.4023) * CHOOSE(CONTROL!$C$21, $C$9, 100%, $E$9)</f>
        <v>4.4023000000000003</v>
      </c>
      <c r="P21" s="14">
        <f>CHOOSE(CONTROL!$C$42, 4.2208, 4.2208) * CHOOSE(CONTROL!$C$21, $C$9, 100%, $E$9)</f>
        <v>4.2207999999999997</v>
      </c>
      <c r="Q21" s="14">
        <f>CHOOSE(CONTROL!$C$42, 4.997, 4.997) * CHOOSE(CONTROL!$C$21, $C$9, 100%, $E$9)</f>
        <v>4.9969999999999999</v>
      </c>
      <c r="R21" s="14">
        <f>CHOOSE(CONTROL!$C$42, 5.5965, 5.5965) * CHOOSE(CONTROL!$C$21, $C$9, 100%, $E$9)</f>
        <v>5.5964999999999998</v>
      </c>
      <c r="S21" s="14">
        <f>CHOOSE(CONTROL!$C$42, 4.0907, 4.0907) * CHOOSE(CONTROL!$C$21, $C$9, 100%, $E$9)</f>
        <v>4.0907</v>
      </c>
      <c r="T21" s="58">
        <f>((((430000*CHOOSE(CONTROL!$C$42, 0.4694, 0.4694)+(874000-430000)*CHOOSE(CONTROL!$C$42, 0.7185, 0.7185)+400000*CHOOSE(CONTROL!$C$42, 1.14, 1.14)+30000*0.98)*CHOOSE(CONTROL!$C$42, 30, 30))/1000000))+CHOOSE(CONTROL!$C$42, 0.1717, 0.1717)+CHOOSE(CONTROL!$C$42, 0.4923, 0.4923)</f>
        <v>30.851680000000002</v>
      </c>
      <c r="U21" s="57">
        <f>(1000*CHOOSE(CONTROL!$C$42, 695, 695)*CHOOSE(CONTROL!$C$42, 0.5599, 0.5599)*CHOOSE(CONTROL!$C$42, 30, 30))/1000000</f>
        <v>11.673914999999997</v>
      </c>
      <c r="V21" s="57">
        <f>(1000*CHOOSE(CONTROL!$C$42, 580, 580)*CHOOSE(CONTROL!$C$42, 0.275, 0.275)*CHOOSE(CONTROL!$C$42, 30, 30))/1000000</f>
        <v>4.7850000000000001</v>
      </c>
      <c r="W21" s="57">
        <f>(1000*CHOOSE(CONTROL!$C$42, 0.1146, 0.1146)*CHOOSE(CONTROL!$C$42, 200, 200)*CHOOSE(CONTROL!$C$42, 30, 30))/1000000</f>
        <v>0.68759999999999999</v>
      </c>
      <c r="X21" s="57">
        <f>30*0.1790888*145000/1000000</f>
        <v>0.77903627999999991</v>
      </c>
      <c r="Y21" s="57">
        <f t="shared" si="0"/>
        <v>0.4</v>
      </c>
      <c r="Z21" s="14">
        <f>CHOOSE(CONTROL!$C$42, 4.2036, 4.2036) * CHOOSE(CONTROL!$C$21, $C$9, 100%, $E$9)</f>
        <v>4.2035999999999998</v>
      </c>
      <c r="AA21" s="56">
        <f>(131500*30*(6/30))/1000000</f>
        <v>0.78900000000000003</v>
      </c>
      <c r="AB21" s="50">
        <f>(B21*194.205+C21*267.466+D21*133.845+E21*213.484+F21*40+G21*25+H21*30+I21*100+J21*300)/(194.205+267.466+133.845+213.484+30+40+25+100+300)</f>
        <v>4.3394306080521474</v>
      </c>
      <c r="AC21" s="45">
        <f>(M21*240+N21*120+O21*235+P21*100)/(240+120+235+100)</f>
        <v>4.2743661870503598</v>
      </c>
    </row>
    <row r="22" spans="1:29" ht="15.75" x14ac:dyDescent="0.25">
      <c r="A22" s="13">
        <v>41548</v>
      </c>
      <c r="B22" s="14">
        <f>CHOOSE(CONTROL!$C$42, 4.2862, 4.2862) * CHOOSE(CONTROL!$C$21, $C$9, 100%, $E$9)</f>
        <v>4.2862</v>
      </c>
      <c r="C22" s="14">
        <f>CHOOSE(CONTROL!$C$42, 4.2916, 4.2916) * CHOOSE(CONTROL!$C$21, $C$9, 100%, $E$9)</f>
        <v>4.2915999999999999</v>
      </c>
      <c r="D22" s="14">
        <f>CHOOSE(CONTROL!$C$42, 4.4552, 4.4552) * CHOOSE(CONTROL!$C$21, $C$9, 100%, $E$9)</f>
        <v>4.4551999999999996</v>
      </c>
      <c r="E22" s="14">
        <f>CHOOSE(CONTROL!$C$42, 4.4843, 4.4843) * CHOOSE(CONTROL!$C$21, $C$9, 100%, $E$9)</f>
        <v>4.4843000000000002</v>
      </c>
      <c r="F22" s="14">
        <f>CHOOSE(CONTROL!$C$42, 4.314, 4.314)*CHOOSE(CONTROL!$C$21, $C$9, 100%, $E$9)</f>
        <v>4.3140000000000001</v>
      </c>
      <c r="G22" s="14">
        <f>CHOOSE(CONTROL!$C$42, 4.3309, 4.3309)*CHOOSE(CONTROL!$C$21, $C$9, 100%, $E$9)</f>
        <v>4.3308999999999997</v>
      </c>
      <c r="H22" s="14">
        <f>CHOOSE(CONTROL!$C$42, 4.4747, 4.4747) * CHOOSE(CONTROL!$C$21, $C$9, 100%, $E$9)</f>
        <v>4.4747000000000003</v>
      </c>
      <c r="I22" s="14">
        <f>CHOOSE(CONTROL!$C$42, 4.3213, 4.3213)* CHOOSE(CONTROL!$C$21, $C$9, 100%, $E$9)</f>
        <v>4.3212999999999999</v>
      </c>
      <c r="J22" s="14">
        <f>CHOOSE(CONTROL!$C$42, 4.307, 4.307)* CHOOSE(CONTROL!$C$21, $C$9, 100%, $E$9)</f>
        <v>4.3070000000000004</v>
      </c>
      <c r="K22" s="53"/>
      <c r="L22" s="14">
        <f>CHOOSE(CONTROL!$C$42, 5.0617, 5.0617) * CHOOSE(CONTROL!$C$21, $C$9, 100%, $E$9)</f>
        <v>5.0617000000000001</v>
      </c>
      <c r="M22" s="14">
        <f>CHOOSE(CONTROL!$C$42, 4.2265, 4.2265) * CHOOSE(CONTROL!$C$21, $C$9, 100%, $E$9)</f>
        <v>4.2264999999999997</v>
      </c>
      <c r="N22" s="14">
        <f>CHOOSE(CONTROL!$C$42, 4.243, 4.243) * CHOOSE(CONTROL!$C$21, $C$9, 100%, $E$9)</f>
        <v>4.2430000000000003</v>
      </c>
      <c r="O22" s="14">
        <f>CHOOSE(CONTROL!$C$42, 4.3908, 4.3908) * CHOOSE(CONTROL!$C$21, $C$9, 100%, $E$9)</f>
        <v>4.3907999999999996</v>
      </c>
      <c r="P22" s="14">
        <f>CHOOSE(CONTROL!$C$42, 4.2403, 4.2403) * CHOOSE(CONTROL!$C$21, $C$9, 100%, $E$9)</f>
        <v>4.2403000000000004</v>
      </c>
      <c r="Q22" s="14">
        <f>CHOOSE(CONTROL!$C$42, 4.9855, 4.9855) * CHOOSE(CONTROL!$C$21, $C$9, 100%, $E$9)</f>
        <v>4.9855</v>
      </c>
      <c r="R22" s="14">
        <f>CHOOSE(CONTROL!$C$42, 5.5849, 5.5849) * CHOOSE(CONTROL!$C$21, $C$9, 100%, $E$9)</f>
        <v>5.5849000000000002</v>
      </c>
      <c r="S22" s="14">
        <f>CHOOSE(CONTROL!$C$42, 4.1097, 4.1097) * CHOOSE(CONTROL!$C$21, $C$9, 100%, $E$9)</f>
        <v>4.1097000000000001</v>
      </c>
      <c r="T22" s="57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22" s="57">
        <f>(1000*CHOOSE(CONTROL!$C$42, 695, 695)*CHOOSE(CONTROL!$C$42, 0.5599, 0.5599)*CHOOSE(CONTROL!$C$42, 31, 31))/1000000</f>
        <v>12.063045499999998</v>
      </c>
      <c r="V22" s="57">
        <f>(1000*CHOOSE(CONTROL!$C$42, 580, 580)*CHOOSE(CONTROL!$C$42, 0.275, 0.275)*CHOOSE(CONTROL!$C$42, 31, 31))/1000000</f>
        <v>4.9444999999999997</v>
      </c>
      <c r="W22" s="57">
        <f>(1000*CHOOSE(CONTROL!$C$42, 0.1146, 0.1146)*CHOOSE(CONTROL!$C$42, 200, 200)*CHOOSE(CONTROL!$C$42, 31, 31))/1000000</f>
        <v>0.71052000000000004</v>
      </c>
      <c r="X22" s="57">
        <f>31*0.1790888*145000/1000000</f>
        <v>0.80500415599999997</v>
      </c>
      <c r="Y22" s="57">
        <f t="shared" si="0"/>
        <v>0.4</v>
      </c>
      <c r="Z22" s="14">
        <f>CHOOSE(CONTROL!$C$42, 4.2231, 4.2231) * CHOOSE(CONTROL!$C$21, $C$9, 100%, $E$9)</f>
        <v>4.2230999999999996</v>
      </c>
      <c r="AA22" s="56">
        <f>(131500*31*(6/31))/1000000</f>
        <v>0.78900000000000003</v>
      </c>
      <c r="AB22" s="50">
        <f>(B22*131.881+C22*277.167+D22*79.08+E22*285.872+F22*40+G22*25+H22*0+I22*100+J22*300)/(131.881+277.167+79.08+285.872+0+40+25+100+300)</f>
        <v>4.3535704317998389</v>
      </c>
      <c r="AC22" s="45">
        <f>(M22*240+N22*120+O22*235+P22*100)/(240+120+235+100)</f>
        <v>4.2868892086330943</v>
      </c>
    </row>
    <row r="23" spans="1:29" ht="15.75" x14ac:dyDescent="0.25">
      <c r="A23" s="13">
        <v>41579</v>
      </c>
      <c r="B23" s="14">
        <f>CHOOSE(CONTROL!$C$42, 4.3701, 4.3701) * CHOOSE(CONTROL!$C$21, $C$9, 100%, $E$9)</f>
        <v>4.3700999999999999</v>
      </c>
      <c r="C23" s="14">
        <f>CHOOSE(CONTROL!$C$42, 4.3752, 4.3752) * CHOOSE(CONTROL!$C$21, $C$9, 100%, $E$9)</f>
        <v>4.3752000000000004</v>
      </c>
      <c r="D23" s="14">
        <f>CHOOSE(CONTROL!$C$42, 4.452, 4.452) * CHOOSE(CONTROL!$C$21, $C$9, 100%, $E$9)</f>
        <v>4.452</v>
      </c>
      <c r="E23" s="14">
        <f>CHOOSE(CONTROL!$C$42, 4.4861, 4.4861) * CHOOSE(CONTROL!$C$21, $C$9, 100%, $E$9)</f>
        <v>4.4861000000000004</v>
      </c>
      <c r="F23" s="14">
        <f>CHOOSE(CONTROL!$C$42, 4.3915, 4.3915)*CHOOSE(CONTROL!$C$21, $C$9, 100%, $E$9)</f>
        <v>4.3914999999999997</v>
      </c>
      <c r="G23" s="14">
        <f>CHOOSE(CONTROL!$C$42, 4.4086, 4.4086)*CHOOSE(CONTROL!$C$21, $C$9, 100%, $E$9)</f>
        <v>4.4085999999999999</v>
      </c>
      <c r="H23" s="14">
        <f>CHOOSE(CONTROL!$C$42, 4.4753, 4.4753) * CHOOSE(CONTROL!$C$21, $C$9, 100%, $E$9)</f>
        <v>4.4752999999999998</v>
      </c>
      <c r="I23" s="14">
        <f>CHOOSE(CONTROL!$C$42, 4.4175, 4.4175)* CHOOSE(CONTROL!$C$21, $C$9, 100%, $E$9)</f>
        <v>4.4175000000000004</v>
      </c>
      <c r="J23" s="14">
        <f>CHOOSE(CONTROL!$C$42, 4.3845, 4.3845)* CHOOSE(CONTROL!$C$21, $C$9, 100%, $E$9)</f>
        <v>4.3845000000000001</v>
      </c>
      <c r="K23" s="53"/>
      <c r="L23" s="14">
        <f>CHOOSE(CONTROL!$C$42, 5.0623, 5.0623) * CHOOSE(CONTROL!$C$21, $C$9, 100%, $E$9)</f>
        <v>5.0622999999999996</v>
      </c>
      <c r="M23" s="14">
        <f>CHOOSE(CONTROL!$C$42, 4.3023, 4.3023) * CHOOSE(CONTROL!$C$21, $C$9, 100%, $E$9)</f>
        <v>4.3022999999999998</v>
      </c>
      <c r="N23" s="14">
        <f>CHOOSE(CONTROL!$C$42, 4.3191, 4.3191) * CHOOSE(CONTROL!$C$21, $C$9, 100%, $E$9)</f>
        <v>4.3190999999999997</v>
      </c>
      <c r="O23" s="14">
        <f>CHOOSE(CONTROL!$C$42, 4.3913, 4.3913) * CHOOSE(CONTROL!$C$21, $C$9, 100%, $E$9)</f>
        <v>4.3913000000000002</v>
      </c>
      <c r="P23" s="14">
        <f>CHOOSE(CONTROL!$C$42, 4.3345, 4.3345) * CHOOSE(CONTROL!$C$21, $C$9, 100%, $E$9)</f>
        <v>4.3345000000000002</v>
      </c>
      <c r="Q23" s="14">
        <f>CHOOSE(CONTROL!$C$42, 4.986, 4.986) * CHOOSE(CONTROL!$C$21, $C$9, 100%, $E$9)</f>
        <v>4.9859999999999998</v>
      </c>
      <c r="R23" s="14">
        <f>CHOOSE(CONTROL!$C$42, 5.5855, 5.5855) * CHOOSE(CONTROL!$C$21, $C$9, 100%, $E$9)</f>
        <v>5.5854999999999997</v>
      </c>
      <c r="S23" s="14">
        <f>CHOOSE(CONTROL!$C$42, 4.1907, 4.1907) * CHOOSE(CONTROL!$C$21, $C$9, 100%, $E$9)</f>
        <v>4.1906999999999996</v>
      </c>
      <c r="T23" s="57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23" s="57">
        <f>(1000*CHOOSE(CONTROL!$C$42, 695, 695)*CHOOSE(CONTROL!$C$42, 0.5599, 0.5599)*CHOOSE(CONTROL!$C$42, 30, 30))/1000000</f>
        <v>11.673914999999997</v>
      </c>
      <c r="V23" s="57">
        <f>(1000*CHOOSE(CONTROL!$C$42, 580, 580)*CHOOSE(CONTROL!$C$42, 0.275, 0.275)*CHOOSE(CONTROL!$C$42, 30, 30))/1000000</f>
        <v>4.7850000000000001</v>
      </c>
      <c r="W23" s="57">
        <f>(1000*CHOOSE(CONTROL!$C$42, 0.1146, 0.1146)*CHOOSE(CONTROL!$C$42, 200, 200)*CHOOSE(CONTROL!$C$42, 30, 30))/1000000</f>
        <v>0.68759999999999999</v>
      </c>
      <c r="X23" s="57">
        <v>0</v>
      </c>
      <c r="Y23" s="57">
        <f t="shared" si="0"/>
        <v>0.4</v>
      </c>
      <c r="Z23" s="14">
        <f>CHOOSE(CONTROL!$C$42, 4.3186, 4.3186) * CHOOSE(CONTROL!$C$21, $C$9, 100%, $E$9)</f>
        <v>4.3186</v>
      </c>
      <c r="AA23" s="56">
        <f>(131500*30*(6/30))/1000000</f>
        <v>0.78900000000000003</v>
      </c>
      <c r="AB23" s="50">
        <f>(B23*122.58+C23*297.941+D23*89.177+E23*200.302+F23*40+G23*0+H23*0+I23*100+J23*300)/(122.58+297.941+89.177+200.302+0+40+0+100+300)</f>
        <v>4.4065992412173918</v>
      </c>
      <c r="AC23" s="45">
        <f>(M23*240+N23*0+O23*355+P23*100)/(240+0+355+100)</f>
        <v>4.3523935251798553</v>
      </c>
    </row>
    <row r="24" spans="1:29" ht="15.75" x14ac:dyDescent="0.25">
      <c r="A24" s="13">
        <v>41609</v>
      </c>
      <c r="B24" s="14">
        <f>CHOOSE(CONTROL!$C$42, 4.546, 4.546) * CHOOSE(CONTROL!$C$21, $C$9, 100%, $E$9)</f>
        <v>4.5460000000000003</v>
      </c>
      <c r="C24" s="14">
        <f>CHOOSE(CONTROL!$C$42, 4.5511, 4.5511) * CHOOSE(CONTROL!$C$21, $C$9, 100%, $E$9)</f>
        <v>4.5510999999999999</v>
      </c>
      <c r="D24" s="14">
        <f>CHOOSE(CONTROL!$C$42, 4.6279, 4.6279) * CHOOSE(CONTROL!$C$21, $C$9, 100%, $E$9)</f>
        <v>4.6279000000000003</v>
      </c>
      <c r="E24" s="14">
        <f>CHOOSE(CONTROL!$C$42, 4.662, 4.662) * CHOOSE(CONTROL!$C$21, $C$9, 100%, $E$9)</f>
        <v>4.6619999999999999</v>
      </c>
      <c r="F24" s="14">
        <f>CHOOSE(CONTROL!$C$42, 4.5696, 4.5696)*CHOOSE(CONTROL!$C$21, $C$9, 100%, $E$9)</f>
        <v>4.5696000000000003</v>
      </c>
      <c r="G24" s="14">
        <f>CHOOSE(CONTROL!$C$42, 4.5873, 4.5873)*CHOOSE(CONTROL!$C$21, $C$9, 100%, $E$9)</f>
        <v>4.5872999999999999</v>
      </c>
      <c r="H24" s="14">
        <f>CHOOSE(CONTROL!$C$42, 4.6512, 4.6512) * CHOOSE(CONTROL!$C$21, $C$9, 100%, $E$9)</f>
        <v>4.6512000000000002</v>
      </c>
      <c r="I24" s="14">
        <f>CHOOSE(CONTROL!$C$42, 4.594, 4.594)* CHOOSE(CONTROL!$C$21, $C$9, 100%, $E$9)</f>
        <v>4.5940000000000003</v>
      </c>
      <c r="J24" s="14">
        <f>CHOOSE(CONTROL!$C$42, 4.5626, 4.5626)* CHOOSE(CONTROL!$C$21, $C$9, 100%, $E$9)</f>
        <v>4.5625999999999998</v>
      </c>
      <c r="K24" s="53"/>
      <c r="L24" s="14">
        <f>CHOOSE(CONTROL!$C$42, 5.2382, 5.2382) * CHOOSE(CONTROL!$C$21, $C$9, 100%, $E$9)</f>
        <v>5.2382</v>
      </c>
      <c r="M24" s="14">
        <f>CHOOSE(CONTROL!$C$42, 4.4768, 4.4768) * CHOOSE(CONTROL!$C$21, $C$9, 100%, $E$9)</f>
        <v>4.4767999999999999</v>
      </c>
      <c r="N24" s="14">
        <f>CHOOSE(CONTROL!$C$42, 4.4941, 4.4941) * CHOOSE(CONTROL!$C$21, $C$9, 100%, $E$9)</f>
        <v>4.4941000000000004</v>
      </c>
      <c r="O24" s="14">
        <f>CHOOSE(CONTROL!$C$42, 4.5636, 4.5636) * CHOOSE(CONTROL!$C$21, $C$9, 100%, $E$9)</f>
        <v>4.5636000000000001</v>
      </c>
      <c r="P24" s="14">
        <f>CHOOSE(CONTROL!$C$42, 4.5073, 4.5073) * CHOOSE(CONTROL!$C$21, $C$9, 100%, $E$9)</f>
        <v>4.5072999999999999</v>
      </c>
      <c r="Q24" s="14">
        <f>CHOOSE(CONTROL!$C$42, 5.1583, 5.1583) * CHOOSE(CONTROL!$C$21, $C$9, 100%, $E$9)</f>
        <v>5.1582999999999997</v>
      </c>
      <c r="R24" s="14">
        <f>CHOOSE(CONTROL!$C$42, 5.7582, 5.7582) * CHOOSE(CONTROL!$C$21, $C$9, 100%, $E$9)</f>
        <v>5.7582000000000004</v>
      </c>
      <c r="S24" s="14">
        <f>CHOOSE(CONTROL!$C$42, 4.3597, 4.3597) * CHOOSE(CONTROL!$C$21, $C$9, 100%, $E$9)</f>
        <v>4.3597000000000001</v>
      </c>
      <c r="T24" s="57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24" s="57">
        <f>(1000*CHOOSE(CONTROL!$C$42, 695, 695)*CHOOSE(CONTROL!$C$42, 0.5599, 0.5599)*CHOOSE(CONTROL!$C$42, 31, 31))/1000000</f>
        <v>12.063045499999998</v>
      </c>
      <c r="V24" s="57">
        <f>(1000*CHOOSE(CONTROL!$C$42, 580, 580)*CHOOSE(CONTROL!$C$42, 0.275, 0.275)*CHOOSE(CONTROL!$C$42, 31, 31))/1000000</f>
        <v>4.9444999999999997</v>
      </c>
      <c r="W24" s="57">
        <f>(1000*CHOOSE(CONTROL!$C$42, 0.1146, 0.1146)*CHOOSE(CONTROL!$C$42, 200, 200)*CHOOSE(CONTROL!$C$42, 31, 31))/1000000</f>
        <v>0.71052000000000004</v>
      </c>
      <c r="X24" s="57">
        <v>0</v>
      </c>
      <c r="Y24" s="57">
        <f t="shared" si="0"/>
        <v>0.4</v>
      </c>
      <c r="Z24" s="14">
        <f>CHOOSE(CONTROL!$C$42, 4.4916, 4.4916) * CHOOSE(CONTROL!$C$21, $C$9, 100%, $E$9)</f>
        <v>4.4916</v>
      </c>
      <c r="AA24" s="56">
        <f>(131500*31*(6/31))/1000000</f>
        <v>0.78900000000000003</v>
      </c>
      <c r="AB24" s="50">
        <f>(B24*122.58+C24*297.941+D24*89.177+E24*200.302+F24*40+G24*0+H24*0+I24*100+J24*300)/(122.58+297.941+89.177+200.302+0+40+0+100+300)</f>
        <v>4.5832018499130429</v>
      </c>
      <c r="AC24" s="45">
        <f>(M24*240+N24*0+O24*355+P24*100)/(240+0+355+100)</f>
        <v>4.5255251798561158</v>
      </c>
    </row>
    <row r="25" spans="1:29" ht="15" x14ac:dyDescent="0.2">
      <c r="A25" s="13">
        <v>41640</v>
      </c>
      <c r="B25" s="14">
        <f>CHOOSE(CONTROL!$C$42, 4.6334, 4.6334) * CHOOSE(CONTROL!$C$21, $C$9, 100%, $E$9)</f>
        <v>4.6334</v>
      </c>
      <c r="C25" s="14">
        <f>CHOOSE(CONTROL!$C$42, 4.6385, 4.6385) * CHOOSE(CONTROL!$C$21, $C$9, 100%, $E$9)</f>
        <v>4.6384999999999996</v>
      </c>
      <c r="D25" s="14">
        <f>CHOOSE(CONTROL!$C$42, 4.7153, 4.7153) * CHOOSE(CONTROL!$C$21, $C$9, 100%, $E$9)</f>
        <v>4.7153</v>
      </c>
      <c r="E25" s="14">
        <f>CHOOSE(CONTROL!$C$42, 4.7494, 4.7494) * CHOOSE(CONTROL!$C$21, $C$9, 100%, $E$9)</f>
        <v>4.7493999999999996</v>
      </c>
      <c r="F25" s="14">
        <f>CHOOSE(CONTROL!$C$42, 4.6582, 4.6582)*CHOOSE(CONTROL!$C$21, $C$9, 100%, $E$9)</f>
        <v>4.6581999999999999</v>
      </c>
      <c r="G25" s="14">
        <f>CHOOSE(CONTROL!$C$42, 4.6761, 4.6761)*CHOOSE(CONTROL!$C$21, $C$9, 100%, $E$9)</f>
        <v>4.6760999999999999</v>
      </c>
      <c r="H25" s="14">
        <f>CHOOSE(CONTROL!$C$42, 4.7386, 4.7386) * CHOOSE(CONTROL!$C$21, $C$9, 100%, $E$9)</f>
        <v>4.7385999999999999</v>
      </c>
      <c r="I25" s="14">
        <f>CHOOSE(CONTROL!$C$42, 4.6816, 4.6816)* CHOOSE(CONTROL!$C$21, $C$9, 100%, $E$9)</f>
        <v>4.6816000000000004</v>
      </c>
      <c r="J25" s="14">
        <f>CHOOSE(CONTROL!$C$42, 4.6512, 4.6512)* CHOOSE(CONTROL!$C$21, $C$9, 100%, $E$9)</f>
        <v>4.6512000000000002</v>
      </c>
      <c r="K25" s="59"/>
      <c r="L25" s="14">
        <f>CHOOSE(CONTROL!$C$42, 5.3256, 5.3256) * CHOOSE(CONTROL!$C$21, $C$9, 100%, $E$9)</f>
        <v>5.3255999999999997</v>
      </c>
      <c r="M25" s="14">
        <f>CHOOSE(CONTROL!$C$42, 4.5635, 4.5635) * CHOOSE(CONTROL!$C$21, $C$9, 100%, $E$9)</f>
        <v>4.5635000000000003</v>
      </c>
      <c r="N25" s="14">
        <f>CHOOSE(CONTROL!$C$42, 4.5812, 4.5812) * CHOOSE(CONTROL!$C$21, $C$9, 100%, $E$9)</f>
        <v>4.5811999999999999</v>
      </c>
      <c r="O25" s="14">
        <f>CHOOSE(CONTROL!$C$42, 4.6492, 4.6492) * CHOOSE(CONTROL!$C$21, $C$9, 100%, $E$9)</f>
        <v>4.6492000000000004</v>
      </c>
      <c r="P25" s="14">
        <f>CHOOSE(CONTROL!$C$42, 4.5932, 4.5932) * CHOOSE(CONTROL!$C$21, $C$9, 100%, $E$9)</f>
        <v>4.5932000000000004</v>
      </c>
      <c r="Q25" s="14">
        <f>CHOOSE(CONTROL!$C$42, 5.2439, 5.2439) * CHOOSE(CONTROL!$C$21, $C$9, 100%, $E$9)</f>
        <v>5.2439</v>
      </c>
      <c r="R25" s="14">
        <f>CHOOSE(CONTROL!$C$42, 5.844, 5.844) * CHOOSE(CONTROL!$C$21, $C$9, 100%, $E$9)</f>
        <v>5.8440000000000003</v>
      </c>
      <c r="S25" s="14">
        <f>CHOOSE(CONTROL!$C$42, 4.4437, 4.4437) * CHOOSE(CONTROL!$C$21, $C$9, 100%, $E$9)</f>
        <v>4.4436999999999998</v>
      </c>
      <c r="T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" s="57">
        <f>(1000*CHOOSE(CONTROL!$C$42, 695, 695)*CHOOSE(CONTROL!$C$42, 0.5599, 0.5599)*CHOOSE(CONTROL!$C$42, 31, 31))/1000000</f>
        <v>12.063045499999998</v>
      </c>
      <c r="V25" s="57">
        <f>(1000*CHOOSE(CONTROL!$C$42, 580, 580)*CHOOSE(CONTROL!$C$42, 0.275, 0.275)*CHOOSE(CONTROL!$C$42, 31, 31))/1000000</f>
        <v>4.9444999999999997</v>
      </c>
      <c r="W25" s="57">
        <f>(1000*CHOOSE(CONTROL!$C$42, 0.1146, 0.1146)*CHOOSE(CONTROL!$C$42, 200, 200)*CHOOSE(CONTROL!$C$42, 31, 31))/1000000</f>
        <v>0.71052000000000004</v>
      </c>
      <c r="X25" s="57">
        <v>0</v>
      </c>
      <c r="Y25" s="57">
        <f t="shared" si="0"/>
        <v>0.4</v>
      </c>
      <c r="Z25" s="14">
        <f>CHOOSE(CONTROL!$C$42, 4.5776, 4.5776) * CHOOSE(CONTROL!$C$21, $C$9, 100%, $E$9)</f>
        <v>4.5776000000000003</v>
      </c>
      <c r="AA25" s="56">
        <f>(131500*31*(6/31))/1000000</f>
        <v>0.78900000000000003</v>
      </c>
      <c r="AB25" s="50">
        <f>(B25*122.58+C25*297.941+D25*89.177+E25*200.302+F25*40+G25*0+H25*0+I25*100+J25*300)/(122.58+297.941+89.177+200.302+0+40+0+100+300)</f>
        <v>4.6709740238260862</v>
      </c>
      <c r="AC25" s="45">
        <f>(M25*240+N25*0+O25*355+P25*100)/(240+0+355+100)</f>
        <v>4.6115482014388496</v>
      </c>
    </row>
    <row r="26" spans="1:29" ht="15" x14ac:dyDescent="0.2">
      <c r="A26" s="13">
        <v>41671</v>
      </c>
      <c r="B26" s="14">
        <f>CHOOSE(CONTROL!$C$42, 4.6022, 4.6022) * CHOOSE(CONTROL!$C$21, $C$9, 100%, $E$9)</f>
        <v>4.6021999999999998</v>
      </c>
      <c r="C26" s="14">
        <f>CHOOSE(CONTROL!$C$42, 4.6073, 4.6073) * CHOOSE(CONTROL!$C$21, $C$9, 100%, $E$9)</f>
        <v>4.6073000000000004</v>
      </c>
      <c r="D26" s="14">
        <f>CHOOSE(CONTROL!$C$42, 4.6841, 4.6841) * CHOOSE(CONTROL!$C$21, $C$9, 100%, $E$9)</f>
        <v>4.6840999999999999</v>
      </c>
      <c r="E26" s="14">
        <f>CHOOSE(CONTROL!$C$42, 4.7182, 4.7182) * CHOOSE(CONTROL!$C$21, $C$9, 100%, $E$9)</f>
        <v>4.7182000000000004</v>
      </c>
      <c r="F26" s="14">
        <f>CHOOSE(CONTROL!$C$42, 4.6265, 4.6265)*CHOOSE(CONTROL!$C$21, $C$9, 100%, $E$9)</f>
        <v>4.6265000000000001</v>
      </c>
      <c r="G26" s="14">
        <f>CHOOSE(CONTROL!$C$42, 4.6444, 4.6444)*CHOOSE(CONTROL!$C$21, $C$9, 100%, $E$9)</f>
        <v>4.6444000000000001</v>
      </c>
      <c r="H26" s="14">
        <f>CHOOSE(CONTROL!$C$42, 4.7074, 4.7074) * CHOOSE(CONTROL!$C$21, $C$9, 100%, $E$9)</f>
        <v>4.7073999999999998</v>
      </c>
      <c r="I26" s="14">
        <f>CHOOSE(CONTROL!$C$42, 4.6503, 4.6503)* CHOOSE(CONTROL!$C$21, $C$9, 100%, $E$9)</f>
        <v>4.6502999999999997</v>
      </c>
      <c r="J26" s="14">
        <f>CHOOSE(CONTROL!$C$42, 4.6195, 4.6195)* CHOOSE(CONTROL!$C$21, $C$9, 100%, $E$9)</f>
        <v>4.6195000000000004</v>
      </c>
      <c r="K26" s="59"/>
      <c r="L26" s="14">
        <f>CHOOSE(CONTROL!$C$42, 5.2944, 5.2944) * CHOOSE(CONTROL!$C$21, $C$9, 100%, $E$9)</f>
        <v>5.2944000000000004</v>
      </c>
      <c r="M26" s="14">
        <f>CHOOSE(CONTROL!$C$42, 4.5326, 4.5326) * CHOOSE(CONTROL!$C$21, $C$9, 100%, $E$9)</f>
        <v>4.5326000000000004</v>
      </c>
      <c r="N26" s="14">
        <f>CHOOSE(CONTROL!$C$42, 4.5501, 4.5501) * CHOOSE(CONTROL!$C$21, $C$9, 100%, $E$9)</f>
        <v>4.5500999999999996</v>
      </c>
      <c r="O26" s="14">
        <f>CHOOSE(CONTROL!$C$42, 4.6186, 4.6186) * CHOOSE(CONTROL!$C$21, $C$9, 100%, $E$9)</f>
        <v>4.6185999999999998</v>
      </c>
      <c r="P26" s="14">
        <f>CHOOSE(CONTROL!$C$42, 4.5625, 4.5625) * CHOOSE(CONTROL!$C$21, $C$9, 100%, $E$9)</f>
        <v>4.5625</v>
      </c>
      <c r="Q26" s="14">
        <f>CHOOSE(CONTROL!$C$42, 5.2133, 5.2133) * CHOOSE(CONTROL!$C$21, $C$9, 100%, $E$9)</f>
        <v>5.2133000000000003</v>
      </c>
      <c r="R26" s="14">
        <f>CHOOSE(CONTROL!$C$42, 5.8134, 5.8134) * CHOOSE(CONTROL!$C$21, $C$9, 100%, $E$9)</f>
        <v>5.8133999999999997</v>
      </c>
      <c r="S26" s="14">
        <f>CHOOSE(CONTROL!$C$42, 4.4137, 4.4137) * CHOOSE(CONTROL!$C$21, $C$9, 100%, $E$9)</f>
        <v>4.4137000000000004</v>
      </c>
      <c r="T2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" s="57">
        <f>(1000*CHOOSE(CONTROL!$C$42, 695, 695)*CHOOSE(CONTROL!$C$42, 0.5599, 0.5599)*CHOOSE(CONTROL!$C$42, 28, 28))/1000000</f>
        <v>10.895653999999999</v>
      </c>
      <c r="V26" s="57">
        <f>(1000*CHOOSE(CONTROL!$C$42, 580, 580)*CHOOSE(CONTROL!$C$42, 0.275, 0.275)*CHOOSE(CONTROL!$C$42, 28, 28))/1000000</f>
        <v>4.4660000000000002</v>
      </c>
      <c r="W26" s="57">
        <f>(1000*CHOOSE(CONTROL!$C$42, 0.1146, 0.1146)*CHOOSE(CONTROL!$C$42, 200, 200)*CHOOSE(CONTROL!$C$42, 28, 28))/1000000</f>
        <v>0.64176</v>
      </c>
      <c r="X26" s="57">
        <v>0</v>
      </c>
      <c r="Y26" s="57">
        <f t="shared" si="0"/>
        <v>0.4</v>
      </c>
      <c r="Z26" s="14">
        <f>CHOOSE(CONTROL!$C$42, 4.5469, 4.5469) * CHOOSE(CONTROL!$C$21, $C$9, 100%, $E$9)</f>
        <v>4.5468999999999999</v>
      </c>
      <c r="AA26" s="56">
        <f>(131500*28*(6/28))/1000000</f>
        <v>0.78900000000000003</v>
      </c>
      <c r="AB26" s="50">
        <f>(B26*122.58+C26*297.941+D26*89.177+E26*200.302+F26*40+G26*0+H26*0+I26*100+J26*300)/(122.58+297.941+89.177+200.302+0+40+0+100+300)</f>
        <v>4.6396175020869572</v>
      </c>
      <c r="AC26" s="45">
        <f>(M26*240+N26*0+O26*355+P26*100)/(240+0+355+100)</f>
        <v>4.580830215827338</v>
      </c>
    </row>
    <row r="27" spans="1:29" ht="15" x14ac:dyDescent="0.2">
      <c r="A27" s="13">
        <v>41699</v>
      </c>
      <c r="B27" s="14">
        <f>CHOOSE(CONTROL!$C$42, 4.5345, 4.5345) * CHOOSE(CONTROL!$C$21, $C$9, 100%, $E$9)</f>
        <v>4.5345000000000004</v>
      </c>
      <c r="C27" s="14">
        <f>CHOOSE(CONTROL!$C$42, 4.5396, 4.5396) * CHOOSE(CONTROL!$C$21, $C$9, 100%, $E$9)</f>
        <v>4.5396000000000001</v>
      </c>
      <c r="D27" s="14">
        <f>CHOOSE(CONTROL!$C$42, 4.6164, 4.6164) * CHOOSE(CONTROL!$C$21, $C$9, 100%, $E$9)</f>
        <v>4.6163999999999996</v>
      </c>
      <c r="E27" s="14">
        <f>CHOOSE(CONTROL!$C$42, 4.6505, 4.6505) * CHOOSE(CONTROL!$C$21, $C$9, 100%, $E$9)</f>
        <v>4.6505000000000001</v>
      </c>
      <c r="F27" s="14">
        <f>CHOOSE(CONTROL!$C$42, 4.558, 4.558)*CHOOSE(CONTROL!$C$21, $C$9, 100%, $E$9)</f>
        <v>4.5579999999999998</v>
      </c>
      <c r="G27" s="14">
        <f>CHOOSE(CONTROL!$C$42, 4.5757, 4.5757)*CHOOSE(CONTROL!$C$21, $C$9, 100%, $E$9)</f>
        <v>4.5757000000000003</v>
      </c>
      <c r="H27" s="14">
        <f>CHOOSE(CONTROL!$C$42, 4.6397, 4.6397) * CHOOSE(CONTROL!$C$21, $C$9, 100%, $E$9)</f>
        <v>4.6397000000000004</v>
      </c>
      <c r="I27" s="14">
        <f>CHOOSE(CONTROL!$C$42, 4.5825, 4.5825)* CHOOSE(CONTROL!$C$21, $C$9, 100%, $E$9)</f>
        <v>4.5824999999999996</v>
      </c>
      <c r="J27" s="14">
        <f>CHOOSE(CONTROL!$C$42, 4.551, 4.551)* CHOOSE(CONTROL!$C$21, $C$9, 100%, $E$9)</f>
        <v>4.5510000000000002</v>
      </c>
      <c r="K27" s="59"/>
      <c r="L27" s="14">
        <f>CHOOSE(CONTROL!$C$42, 5.2267, 5.2267) * CHOOSE(CONTROL!$C$21, $C$9, 100%, $E$9)</f>
        <v>5.2267000000000001</v>
      </c>
      <c r="M27" s="14">
        <f>CHOOSE(CONTROL!$C$42, 4.4655, 4.4655) * CHOOSE(CONTROL!$C$21, $C$9, 100%, $E$9)</f>
        <v>4.4654999999999996</v>
      </c>
      <c r="N27" s="14">
        <f>CHOOSE(CONTROL!$C$42, 4.4827, 4.4827) * CHOOSE(CONTROL!$C$21, $C$9, 100%, $E$9)</f>
        <v>4.4827000000000004</v>
      </c>
      <c r="O27" s="14">
        <f>CHOOSE(CONTROL!$C$42, 4.5524, 4.5524) * CHOOSE(CONTROL!$C$21, $C$9, 100%, $E$9)</f>
        <v>4.5523999999999996</v>
      </c>
      <c r="P27" s="14">
        <f>CHOOSE(CONTROL!$C$42, 4.4961, 4.4961) * CHOOSE(CONTROL!$C$21, $C$9, 100%, $E$9)</f>
        <v>4.4961000000000002</v>
      </c>
      <c r="Q27" s="14">
        <f>CHOOSE(CONTROL!$C$42, 5.1471, 5.1471) * CHOOSE(CONTROL!$C$21, $C$9, 100%, $E$9)</f>
        <v>5.1471</v>
      </c>
      <c r="R27" s="14">
        <f>CHOOSE(CONTROL!$C$42, 5.7469, 5.7469) * CHOOSE(CONTROL!$C$21, $C$9, 100%, $E$9)</f>
        <v>5.7469000000000001</v>
      </c>
      <c r="S27" s="14">
        <f>CHOOSE(CONTROL!$C$42, 4.3487, 4.3487) * CHOOSE(CONTROL!$C$21, $C$9, 100%, $E$9)</f>
        <v>4.3487</v>
      </c>
      <c r="T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" s="57">
        <f>(1000*CHOOSE(CONTROL!$C$42, 695, 695)*CHOOSE(CONTROL!$C$42, 0.5599, 0.5599)*CHOOSE(CONTROL!$C$42, 31, 31))/1000000</f>
        <v>12.063045499999998</v>
      </c>
      <c r="V27" s="57">
        <f>(1000*CHOOSE(CONTROL!$C$42, 580, 580)*CHOOSE(CONTROL!$C$42, 0.275, 0.275)*CHOOSE(CONTROL!$C$42, 31, 31))/1000000</f>
        <v>4.9444999999999997</v>
      </c>
      <c r="W27" s="57">
        <f>(1000*CHOOSE(CONTROL!$C$42, 0.1146, 0.1146)*CHOOSE(CONTROL!$C$42, 200, 200)*CHOOSE(CONTROL!$C$42, 31, 31))/1000000</f>
        <v>0.71052000000000004</v>
      </c>
      <c r="X27" s="57">
        <v>0</v>
      </c>
      <c r="Y27" s="57">
        <f t="shared" si="0"/>
        <v>0.4</v>
      </c>
      <c r="Z27" s="14">
        <f>CHOOSE(CONTROL!$C$42, 4.4803, 4.4803) * CHOOSE(CONTROL!$C$21, $C$9, 100%, $E$9)</f>
        <v>4.4802999999999997</v>
      </c>
      <c r="AA27" s="56">
        <f>(131500*31*(6/31))/1000000</f>
        <v>0.78900000000000003</v>
      </c>
      <c r="AB27" s="50">
        <f>(B27*122.58+C27*297.941+D27*89.177+E27*200.302+F27*40+G27*0+H27*0+I27*100+J27*300)/(122.58+297.941+89.177+200.302+0+40+0+100+300)</f>
        <v>4.5716722846956515</v>
      </c>
      <c r="AC27" s="45">
        <f>(M27*240+N27*0+O27*355+P27*100)/(240+0+355+100)</f>
        <v>4.5142906474820137</v>
      </c>
    </row>
    <row r="28" spans="1:29" ht="15" x14ac:dyDescent="0.2">
      <c r="A28" s="13">
        <v>41730</v>
      </c>
      <c r="B28" s="14">
        <f>CHOOSE(CONTROL!$C$42, 4.3097, 4.3097) * CHOOSE(CONTROL!$C$21, $C$9, 100%, $E$9)</f>
        <v>4.3097000000000003</v>
      </c>
      <c r="C28" s="14">
        <f>CHOOSE(CONTROL!$C$42, 4.3142, 4.3142) * CHOOSE(CONTROL!$C$21, $C$9, 100%, $E$9)</f>
        <v>4.3141999999999996</v>
      </c>
      <c r="D28" s="14">
        <f>CHOOSE(CONTROL!$C$42, 4.5379, 4.5379) * CHOOSE(CONTROL!$C$21, $C$9, 100%, $E$9)</f>
        <v>4.5378999999999996</v>
      </c>
      <c r="E28" s="14">
        <f>CHOOSE(CONTROL!$C$42, 4.57, 4.57) * CHOOSE(CONTROL!$C$21, $C$9, 100%, $E$9)</f>
        <v>4.57</v>
      </c>
      <c r="F28" s="14">
        <f>CHOOSE(CONTROL!$C$42, 4.3374, 4.3374)*CHOOSE(CONTROL!$C$21, $C$9, 100%, $E$9)</f>
        <v>4.3373999999999997</v>
      </c>
      <c r="G28" s="14">
        <f>CHOOSE(CONTROL!$C$42, 4.3543, 4.3543)*CHOOSE(CONTROL!$C$21, $C$9, 100%, $E$9)</f>
        <v>4.3543000000000003</v>
      </c>
      <c r="H28" s="14">
        <f>CHOOSE(CONTROL!$C$42, 4.5598, 4.5598) * CHOOSE(CONTROL!$C$21, $C$9, 100%, $E$9)</f>
        <v>4.5598000000000001</v>
      </c>
      <c r="I28" s="14">
        <f>CHOOSE(CONTROL!$C$42, 4.3525, 4.3525)* CHOOSE(CONTROL!$C$21, $C$9, 100%, $E$9)</f>
        <v>4.3525</v>
      </c>
      <c r="J28" s="14">
        <f>CHOOSE(CONTROL!$C$42, 4.3304, 4.3304)* CHOOSE(CONTROL!$C$21, $C$9, 100%, $E$9)</f>
        <v>4.3304</v>
      </c>
      <c r="K28" s="59"/>
      <c r="L28" s="14">
        <f>CHOOSE(CONTROL!$C$42, 5.1468, 5.1468) * CHOOSE(CONTROL!$C$21, $C$9, 100%, $E$9)</f>
        <v>5.1467999999999998</v>
      </c>
      <c r="M28" s="14">
        <f>CHOOSE(CONTROL!$C$42, 4.2494, 4.2494) * CHOOSE(CONTROL!$C$21, $C$9, 100%, $E$9)</f>
        <v>4.2493999999999996</v>
      </c>
      <c r="N28" s="14">
        <f>CHOOSE(CONTROL!$C$42, 4.2659, 4.2659) * CHOOSE(CONTROL!$C$21, $C$9, 100%, $E$9)</f>
        <v>4.2659000000000002</v>
      </c>
      <c r="O28" s="14">
        <f>CHOOSE(CONTROL!$C$42, 4.4741, 4.4741) * CHOOSE(CONTROL!$C$21, $C$9, 100%, $E$9)</f>
        <v>4.4741</v>
      </c>
      <c r="P28" s="14">
        <f>CHOOSE(CONTROL!$C$42, 4.2708, 4.2708) * CHOOSE(CONTROL!$C$21, $C$9, 100%, $E$9)</f>
        <v>4.2708000000000004</v>
      </c>
      <c r="Q28" s="14">
        <f>CHOOSE(CONTROL!$C$42, 5.0688, 5.0688) * CHOOSE(CONTROL!$C$21, $C$9, 100%, $E$9)</f>
        <v>5.0688000000000004</v>
      </c>
      <c r="R28" s="14">
        <f>CHOOSE(CONTROL!$C$42, 5.6685, 5.6685) * CHOOSE(CONTROL!$C$21, $C$9, 100%, $E$9)</f>
        <v>5.6684999999999999</v>
      </c>
      <c r="S28" s="14">
        <f>CHOOSE(CONTROL!$C$42, 4.1319, 4.1319) * CHOOSE(CONTROL!$C$21, $C$9, 100%, $E$9)</f>
        <v>4.1318999999999999</v>
      </c>
      <c r="T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" s="57">
        <f>(1000*CHOOSE(CONTROL!$C$42, 695, 695)*CHOOSE(CONTROL!$C$42, 0.5599, 0.5599)*CHOOSE(CONTROL!$C$42, 30, 30))/1000000</f>
        <v>11.673914999999997</v>
      </c>
      <c r="V28" s="57">
        <f>(1000*CHOOSE(CONTROL!$C$42, 580, 580)*CHOOSE(CONTROL!$C$42, 0.275, 0.275)*CHOOSE(CONTROL!$C$42, 30, 30))/1000000</f>
        <v>4.7850000000000001</v>
      </c>
      <c r="W28" s="57">
        <f>(1000*CHOOSE(CONTROL!$C$42, 0.1146, 0.1146)*CHOOSE(CONTROL!$C$42, 200, 200)*CHOOSE(CONTROL!$C$42, 30, 30))/1000000</f>
        <v>0.68759999999999999</v>
      </c>
      <c r="X28" s="57">
        <f>30*0.1790888*145000/1000000</f>
        <v>0.77903627999999991</v>
      </c>
      <c r="Y28" s="57"/>
      <c r="Z28" s="14">
        <f>CHOOSE(CONTROL!$C$42, 4.2564, 4.2564) * CHOOSE(CONTROL!$C$21, $C$9, 100%, $E$9)</f>
        <v>4.2564000000000002</v>
      </c>
      <c r="AA28" s="56">
        <f>(131500*30*(6/30))/1000000</f>
        <v>0.78900000000000003</v>
      </c>
      <c r="AB28" s="50">
        <f>(B28*141.293+C28*267.993+D28*115.016+E28*249.698+F28*40+G28*25+H28*0+I28*100+J28*300)/(141.293+267.993+115.016+249.698+0+40+25+100+300)</f>
        <v>4.3945765206618237</v>
      </c>
      <c r="AC28" s="45">
        <f t="shared" ref="AC28:AC34" si="1">(M28*240+N28*120+O28*235+P28*100)/(240+120+235+100)</f>
        <v>4.3313057553956833</v>
      </c>
    </row>
    <row r="29" spans="1:29" ht="15" x14ac:dyDescent="0.2">
      <c r="A29" s="13">
        <v>41760</v>
      </c>
      <c r="B29" s="14">
        <f>CHOOSE(CONTROL!$C$42, 4.309, 4.309) * CHOOSE(CONTROL!$C$21, $C$9, 100%, $E$9)</f>
        <v>4.3090000000000002</v>
      </c>
      <c r="C29" s="14">
        <f>CHOOSE(CONTROL!$C$42, 4.3171, 4.3171) * CHOOSE(CONTROL!$C$21, $C$9, 100%, $E$9)</f>
        <v>4.3170999999999999</v>
      </c>
      <c r="D29" s="14">
        <f>CHOOSE(CONTROL!$C$42, 4.5377, 4.5377) * CHOOSE(CONTROL!$C$21, $C$9, 100%, $E$9)</f>
        <v>4.5377000000000001</v>
      </c>
      <c r="E29" s="14">
        <f>CHOOSE(CONTROL!$C$42, 4.5691, 4.5691) * CHOOSE(CONTROL!$C$21, $C$9, 100%, $E$9)</f>
        <v>4.5690999999999997</v>
      </c>
      <c r="F29" s="14">
        <f>CHOOSE(CONTROL!$C$42, 4.3353, 4.3353)*CHOOSE(CONTROL!$C$21, $C$9, 100%, $E$9)</f>
        <v>4.3353000000000002</v>
      </c>
      <c r="G29" s="14">
        <f>CHOOSE(CONTROL!$C$42, 4.3524, 4.3524)*CHOOSE(CONTROL!$C$21, $C$9, 100%, $E$9)</f>
        <v>4.3524000000000003</v>
      </c>
      <c r="H29" s="14">
        <f>CHOOSE(CONTROL!$C$42, 4.5578, 4.5578) * CHOOSE(CONTROL!$C$21, $C$9, 100%, $E$9)</f>
        <v>4.5578000000000003</v>
      </c>
      <c r="I29" s="14">
        <f>CHOOSE(CONTROL!$C$42, 4.3504, 4.3504)* CHOOSE(CONTROL!$C$21, $C$9, 100%, $E$9)</f>
        <v>4.3503999999999996</v>
      </c>
      <c r="J29" s="14">
        <f>CHOOSE(CONTROL!$C$42, 4.3283, 4.3283)* CHOOSE(CONTROL!$C$21, $C$9, 100%, $E$9)</f>
        <v>4.3282999999999996</v>
      </c>
      <c r="K29" s="59"/>
      <c r="L29" s="14">
        <f>CHOOSE(CONTROL!$C$42, 5.1448, 5.1448) * CHOOSE(CONTROL!$C$21, $C$9, 100%, $E$9)</f>
        <v>5.1448</v>
      </c>
      <c r="M29" s="14">
        <f>CHOOSE(CONTROL!$C$42, 4.2473, 4.2473) * CHOOSE(CONTROL!$C$21, $C$9, 100%, $E$9)</f>
        <v>4.2473000000000001</v>
      </c>
      <c r="N29" s="14">
        <f>CHOOSE(CONTROL!$C$42, 4.2641, 4.2641) * CHOOSE(CONTROL!$C$21, $C$9, 100%, $E$9)</f>
        <v>4.2641</v>
      </c>
      <c r="O29" s="14">
        <f>CHOOSE(CONTROL!$C$42, 4.4721, 4.4721) * CHOOSE(CONTROL!$C$21, $C$9, 100%, $E$9)</f>
        <v>4.4721000000000002</v>
      </c>
      <c r="P29" s="14">
        <f>CHOOSE(CONTROL!$C$42, 4.2688, 4.2688) * CHOOSE(CONTROL!$C$21, $C$9, 100%, $E$9)</f>
        <v>4.2687999999999997</v>
      </c>
      <c r="Q29" s="14">
        <f>CHOOSE(CONTROL!$C$42, 5.0668, 5.0668) * CHOOSE(CONTROL!$C$21, $C$9, 100%, $E$9)</f>
        <v>5.0667999999999997</v>
      </c>
      <c r="R29" s="14">
        <f>CHOOSE(CONTROL!$C$42, 5.6664, 5.6664) * CHOOSE(CONTROL!$C$21, $C$9, 100%, $E$9)</f>
        <v>5.6664000000000003</v>
      </c>
      <c r="S29" s="14">
        <f>CHOOSE(CONTROL!$C$42, 4.1299, 4.1299) * CHOOSE(CONTROL!$C$21, $C$9, 100%, $E$9)</f>
        <v>4.1299000000000001</v>
      </c>
      <c r="T29" s="58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29" s="57">
        <f>(1000*CHOOSE(CONTROL!$C$42, 695, 695)*CHOOSE(CONTROL!$C$42, 0.5599, 0.5599)*CHOOSE(CONTROL!$C$42, 31, 31))/1000000</f>
        <v>12.063045499999998</v>
      </c>
      <c r="V29" s="57">
        <f>(1000*CHOOSE(CONTROL!$C$42, 580, 580)*CHOOSE(CONTROL!$C$42, 0.275, 0.275)*CHOOSE(CONTROL!$C$42, 31, 31))/1000000</f>
        <v>4.9444999999999997</v>
      </c>
      <c r="W29" s="57">
        <f>(1000*CHOOSE(CONTROL!$C$42, 0.1146, 0.1146)*CHOOSE(CONTROL!$C$42, 200, 200)*CHOOSE(CONTROL!$C$42, 31, 31))/1000000</f>
        <v>0.71052000000000004</v>
      </c>
      <c r="X29" s="57">
        <f>31*0.1790888*145000/1000000</f>
        <v>0.80500415599999997</v>
      </c>
      <c r="Y29" s="57"/>
      <c r="Z29" s="14">
        <f>CHOOSE(CONTROL!$C$42, 4.2544, 4.2544) * CHOOSE(CONTROL!$C$21, $C$9, 100%, $E$9)</f>
        <v>4.2544000000000004</v>
      </c>
      <c r="AA29" s="56">
        <f>(131500*31*(6/31))/1000000</f>
        <v>0.78900000000000003</v>
      </c>
      <c r="AB29" s="50">
        <f>(B29*194.205+C29*267.466+D29*133.845+E29*213.484+F29*40+G29*25+H29*50+I29*100+J29*300)/(194.205+267.466+133.845+213.484+50+40+25+100+300)</f>
        <v>4.3942046937311172</v>
      </c>
      <c r="AC29" s="45">
        <f t="shared" si="1"/>
        <v>4.3293057553956835</v>
      </c>
    </row>
    <row r="30" spans="1:29" ht="15" x14ac:dyDescent="0.2">
      <c r="A30" s="13">
        <v>41791</v>
      </c>
      <c r="B30" s="14">
        <f>CHOOSE(CONTROL!$C$42, 4.3361, 4.3361) * CHOOSE(CONTROL!$C$21, $C$9, 100%, $E$9)</f>
        <v>4.3361000000000001</v>
      </c>
      <c r="C30" s="14">
        <f>CHOOSE(CONTROL!$C$42, 4.3441, 4.3441) * CHOOSE(CONTROL!$C$21, $C$9, 100%, $E$9)</f>
        <v>4.3441000000000001</v>
      </c>
      <c r="D30" s="14">
        <f>CHOOSE(CONTROL!$C$42, 4.5647, 4.5647) * CHOOSE(CONTROL!$C$21, $C$9, 100%, $E$9)</f>
        <v>4.5647000000000002</v>
      </c>
      <c r="E30" s="14">
        <f>CHOOSE(CONTROL!$C$42, 4.5962, 4.5962) * CHOOSE(CONTROL!$C$21, $C$9, 100%, $E$9)</f>
        <v>4.5961999999999996</v>
      </c>
      <c r="F30" s="14">
        <f>CHOOSE(CONTROL!$C$42, 4.3627, 4.3627)*CHOOSE(CONTROL!$C$21, $C$9, 100%, $E$9)</f>
        <v>4.3627000000000002</v>
      </c>
      <c r="G30" s="14">
        <f>CHOOSE(CONTROL!$C$42, 4.3799, 4.3799)*CHOOSE(CONTROL!$C$21, $C$9, 100%, $E$9)</f>
        <v>4.3799000000000001</v>
      </c>
      <c r="H30" s="14">
        <f>CHOOSE(CONTROL!$C$42, 4.5848, 4.5848) * CHOOSE(CONTROL!$C$21, $C$9, 100%, $E$9)</f>
        <v>4.5848000000000004</v>
      </c>
      <c r="I30" s="14">
        <f>CHOOSE(CONTROL!$C$42, 4.3776, 4.3776)* CHOOSE(CONTROL!$C$21, $C$9, 100%, $E$9)</f>
        <v>4.3776000000000002</v>
      </c>
      <c r="J30" s="14">
        <f>CHOOSE(CONTROL!$C$42, 4.3557, 4.3557)* CHOOSE(CONTROL!$C$21, $C$9, 100%, $E$9)</f>
        <v>4.3556999999999997</v>
      </c>
      <c r="K30" s="59"/>
      <c r="L30" s="14">
        <f>CHOOSE(CONTROL!$C$42, 5.1718, 5.1718) * CHOOSE(CONTROL!$C$21, $C$9, 100%, $E$9)</f>
        <v>5.1718000000000002</v>
      </c>
      <c r="M30" s="14">
        <f>CHOOSE(CONTROL!$C$42, 4.2742, 4.2742) * CHOOSE(CONTROL!$C$21, $C$9, 100%, $E$9)</f>
        <v>4.2742000000000004</v>
      </c>
      <c r="N30" s="14">
        <f>CHOOSE(CONTROL!$C$42, 4.291, 4.291) * CHOOSE(CONTROL!$C$21, $C$9, 100%, $E$9)</f>
        <v>4.2910000000000004</v>
      </c>
      <c r="O30" s="14">
        <f>CHOOSE(CONTROL!$C$42, 4.4986, 4.4986) * CHOOSE(CONTROL!$C$21, $C$9, 100%, $E$9)</f>
        <v>4.4985999999999997</v>
      </c>
      <c r="P30" s="14">
        <f>CHOOSE(CONTROL!$C$42, 4.2954, 4.2954) * CHOOSE(CONTROL!$C$21, $C$9, 100%, $E$9)</f>
        <v>4.2953999999999999</v>
      </c>
      <c r="Q30" s="14">
        <f>CHOOSE(CONTROL!$C$42, 5.0933, 5.0933) * CHOOSE(CONTROL!$C$21, $C$9, 100%, $E$9)</f>
        <v>5.0933000000000002</v>
      </c>
      <c r="R30" s="14">
        <f>CHOOSE(CONTROL!$C$42, 5.693, 5.693) * CHOOSE(CONTROL!$C$21, $C$9, 100%, $E$9)</f>
        <v>5.6929999999999996</v>
      </c>
      <c r="S30" s="14">
        <f>CHOOSE(CONTROL!$C$42, 4.1559, 4.1559) * CHOOSE(CONTROL!$C$21, $C$9, 100%, $E$9)</f>
        <v>4.1558999999999999</v>
      </c>
      <c r="T30" s="58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30" s="57">
        <f>(1000*CHOOSE(CONTROL!$C$42, 695, 695)*CHOOSE(CONTROL!$C$42, 0.5599, 0.5599)*CHOOSE(CONTROL!$C$42, 30, 30))/1000000</f>
        <v>11.673914999999997</v>
      </c>
      <c r="V30" s="57">
        <f>(1000*CHOOSE(CONTROL!$C$42, 580, 580)*CHOOSE(CONTROL!$C$42, 0.275, 0.275)*CHOOSE(CONTROL!$C$42, 30, 30))/1000000</f>
        <v>4.7850000000000001</v>
      </c>
      <c r="W30" s="57">
        <f>(1000*CHOOSE(CONTROL!$C$42, 0.1146, 0.1146)*CHOOSE(CONTROL!$C$42, 200, 200)*CHOOSE(CONTROL!$C$42, 30, 30))/1000000</f>
        <v>0.68759999999999999</v>
      </c>
      <c r="X30" s="57">
        <f>30*0.1790888*145000/1000000</f>
        <v>0.77903627999999991</v>
      </c>
      <c r="Y30" s="57"/>
      <c r="Z30" s="14">
        <f>CHOOSE(CONTROL!$C$42, 4.281, 4.281) * CHOOSE(CONTROL!$C$21, $C$9, 100%, $E$9)</f>
        <v>4.2809999999999997</v>
      </c>
      <c r="AA30" s="56">
        <f>(131500*30*(6/30))/1000000</f>
        <v>0.78900000000000003</v>
      </c>
      <c r="AB30" s="50">
        <f>(B30*194.205+C30*267.466+D30*133.845+E30*213.484+F30*40+G30*25+H30*50+I30*100+J30*300)/(194.205+267.466+133.845+213.484+50+40+25+100+300)</f>
        <v>4.4213627518126888</v>
      </c>
      <c r="AC30" s="45">
        <f t="shared" si="1"/>
        <v>4.3560273381294961</v>
      </c>
    </row>
    <row r="31" spans="1:29" ht="15" x14ac:dyDescent="0.2">
      <c r="A31" s="13">
        <v>41821</v>
      </c>
      <c r="B31" s="14">
        <f>CHOOSE(CONTROL!$C$42, 4.3715, 4.3715) * CHOOSE(CONTROL!$C$21, $C$9, 100%, $E$9)</f>
        <v>4.3715000000000002</v>
      </c>
      <c r="C31" s="14">
        <f>CHOOSE(CONTROL!$C$42, 4.3795, 4.3795) * CHOOSE(CONTROL!$C$21, $C$9, 100%, $E$9)</f>
        <v>4.3795000000000002</v>
      </c>
      <c r="D31" s="14">
        <f>CHOOSE(CONTROL!$C$42, 4.6001, 4.6001) * CHOOSE(CONTROL!$C$21, $C$9, 100%, $E$9)</f>
        <v>4.6001000000000003</v>
      </c>
      <c r="E31" s="14">
        <f>CHOOSE(CONTROL!$C$42, 4.6316, 4.6316) * CHOOSE(CONTROL!$C$21, $C$9, 100%, $E$9)</f>
        <v>4.6315999999999997</v>
      </c>
      <c r="F31" s="14">
        <f>CHOOSE(CONTROL!$C$42, 4.3986, 4.3986)*CHOOSE(CONTROL!$C$21, $C$9, 100%, $E$9)</f>
        <v>4.3986000000000001</v>
      </c>
      <c r="G31" s="14">
        <f>CHOOSE(CONTROL!$C$42, 4.4159, 4.4159)*CHOOSE(CONTROL!$C$21, $C$9, 100%, $E$9)</f>
        <v>4.4158999999999997</v>
      </c>
      <c r="H31" s="14">
        <f>CHOOSE(CONTROL!$C$42, 4.6202, 4.6202) * CHOOSE(CONTROL!$C$21, $C$9, 100%, $E$9)</f>
        <v>4.6201999999999996</v>
      </c>
      <c r="I31" s="14">
        <f>CHOOSE(CONTROL!$C$42, 4.4131, 4.4131)* CHOOSE(CONTROL!$C$21, $C$9, 100%, $E$9)</f>
        <v>4.4131</v>
      </c>
      <c r="J31" s="14">
        <f>CHOOSE(CONTROL!$C$42, 4.3916, 4.3916)* CHOOSE(CONTROL!$C$21, $C$9, 100%, $E$9)</f>
        <v>4.3916000000000004</v>
      </c>
      <c r="K31" s="59"/>
      <c r="L31" s="14">
        <f>CHOOSE(CONTROL!$C$42, 5.2072, 5.2072) * CHOOSE(CONTROL!$C$21, $C$9, 100%, $E$9)</f>
        <v>5.2072000000000003</v>
      </c>
      <c r="M31" s="14">
        <f>CHOOSE(CONTROL!$C$42, 4.3093, 4.3093) * CHOOSE(CONTROL!$C$21, $C$9, 100%, $E$9)</f>
        <v>4.3093000000000004</v>
      </c>
      <c r="N31" s="14">
        <f>CHOOSE(CONTROL!$C$42, 4.3262, 4.3262) * CHOOSE(CONTROL!$C$21, $C$9, 100%, $E$9)</f>
        <v>4.3262</v>
      </c>
      <c r="O31" s="14">
        <f>CHOOSE(CONTROL!$C$42, 4.5332, 4.5332) * CHOOSE(CONTROL!$C$21, $C$9, 100%, $E$9)</f>
        <v>4.5331999999999999</v>
      </c>
      <c r="P31" s="14">
        <f>CHOOSE(CONTROL!$C$42, 4.3301, 4.3301) * CHOOSE(CONTROL!$C$21, $C$9, 100%, $E$9)</f>
        <v>4.3300999999999998</v>
      </c>
      <c r="Q31" s="14">
        <f>CHOOSE(CONTROL!$C$42, 5.1279, 5.1279) * CHOOSE(CONTROL!$C$21, $C$9, 100%, $E$9)</f>
        <v>5.1279000000000003</v>
      </c>
      <c r="R31" s="14">
        <f>CHOOSE(CONTROL!$C$42, 5.7277, 5.7277) * CHOOSE(CONTROL!$C$21, $C$9, 100%, $E$9)</f>
        <v>5.7276999999999996</v>
      </c>
      <c r="S31" s="14">
        <f>CHOOSE(CONTROL!$C$42, 4.1899, 4.1899) * CHOOSE(CONTROL!$C$21, $C$9, 100%, $E$9)</f>
        <v>4.1898999999999997</v>
      </c>
      <c r="T31" s="58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31" s="57">
        <f>(1000*CHOOSE(CONTROL!$C$42, 695, 695)*CHOOSE(CONTROL!$C$42, 0.5599, 0.5599)*CHOOSE(CONTROL!$C$42, 31, 31))/1000000</f>
        <v>12.063045499999998</v>
      </c>
      <c r="V31" s="57">
        <f>(1000*CHOOSE(CONTROL!$C$42, 580, 580)*CHOOSE(CONTROL!$C$42, 0.275, 0.275)*CHOOSE(CONTROL!$C$42, 31, 31))/1000000</f>
        <v>4.9444999999999997</v>
      </c>
      <c r="W31" s="57">
        <f>(1000*CHOOSE(CONTROL!$C$42, 0.1146, 0.1146)*CHOOSE(CONTROL!$C$42, 200, 200)*CHOOSE(CONTROL!$C$42, 31, 31))/1000000</f>
        <v>0.71052000000000004</v>
      </c>
      <c r="X31" s="57">
        <f>31*0.1790888*145000/1000000</f>
        <v>0.80500415599999997</v>
      </c>
      <c r="Y31" s="57"/>
      <c r="Z31" s="14">
        <f>CHOOSE(CONTROL!$C$42, 4.3158, 4.3158) * CHOOSE(CONTROL!$C$21, $C$9, 100%, $E$9)</f>
        <v>4.3158000000000003</v>
      </c>
      <c r="AA31" s="56">
        <f>(131500*31*(6/31))/1000000</f>
        <v>0.78900000000000003</v>
      </c>
      <c r="AB31" s="50">
        <f>(B31*194.205+C31*267.466+D31*133.845+E31*213.484+F31*40+G31*25+H31*50+I31*100+J31*300)/(194.205+267.466+133.845+213.484+50+40+25+100+300)</f>
        <v>4.4569100327794562</v>
      </c>
      <c r="AC31" s="45">
        <f t="shared" si="1"/>
        <v>4.3909179856115106</v>
      </c>
    </row>
    <row r="32" spans="1:29" ht="15" x14ac:dyDescent="0.2">
      <c r="A32" s="13">
        <v>41852</v>
      </c>
      <c r="B32" s="14">
        <f>CHOOSE(CONTROL!$C$42, 4.3944, 4.3944) * CHOOSE(CONTROL!$C$21, $C$9, 100%, $E$9)</f>
        <v>4.3944000000000001</v>
      </c>
      <c r="C32" s="14">
        <f>CHOOSE(CONTROL!$C$42, 4.4024, 4.4024) * CHOOSE(CONTROL!$C$21, $C$9, 100%, $E$9)</f>
        <v>4.4024000000000001</v>
      </c>
      <c r="D32" s="14">
        <f>CHOOSE(CONTROL!$C$42, 4.623, 4.623) * CHOOSE(CONTROL!$C$21, $C$9, 100%, $E$9)</f>
        <v>4.6230000000000002</v>
      </c>
      <c r="E32" s="14">
        <f>CHOOSE(CONTROL!$C$42, 4.6545, 4.6545) * CHOOSE(CONTROL!$C$21, $C$9, 100%, $E$9)</f>
        <v>4.6544999999999996</v>
      </c>
      <c r="F32" s="14">
        <f>CHOOSE(CONTROL!$C$42, 4.4217, 4.4217)*CHOOSE(CONTROL!$C$21, $C$9, 100%, $E$9)</f>
        <v>4.4217000000000004</v>
      </c>
      <c r="G32" s="14">
        <f>CHOOSE(CONTROL!$C$42, 4.4392, 4.4392)*CHOOSE(CONTROL!$C$21, $C$9, 100%, $E$9)</f>
        <v>4.4391999999999996</v>
      </c>
      <c r="H32" s="14">
        <f>CHOOSE(CONTROL!$C$42, 4.6431, 4.6431) * CHOOSE(CONTROL!$C$21, $C$9, 100%, $E$9)</f>
        <v>4.6430999999999996</v>
      </c>
      <c r="I32" s="14">
        <f>CHOOSE(CONTROL!$C$42, 4.436, 4.436)* CHOOSE(CONTROL!$C$21, $C$9, 100%, $E$9)</f>
        <v>4.4359999999999999</v>
      </c>
      <c r="J32" s="14">
        <f>CHOOSE(CONTROL!$C$42, 4.4147, 4.4147)* CHOOSE(CONTROL!$C$21, $C$9, 100%, $E$9)</f>
        <v>4.4146999999999998</v>
      </c>
      <c r="K32" s="59"/>
      <c r="L32" s="14">
        <f>CHOOSE(CONTROL!$C$42, 5.2301, 5.2301) * CHOOSE(CONTROL!$C$21, $C$9, 100%, $E$9)</f>
        <v>5.2301000000000002</v>
      </c>
      <c r="M32" s="14">
        <f>CHOOSE(CONTROL!$C$42, 4.332, 4.332) * CHOOSE(CONTROL!$C$21, $C$9, 100%, $E$9)</f>
        <v>4.3319999999999999</v>
      </c>
      <c r="N32" s="14">
        <f>CHOOSE(CONTROL!$C$42, 4.349, 4.349) * CHOOSE(CONTROL!$C$21, $C$9, 100%, $E$9)</f>
        <v>4.3490000000000002</v>
      </c>
      <c r="O32" s="14">
        <f>CHOOSE(CONTROL!$C$42, 4.5556, 4.5556) * CHOOSE(CONTROL!$C$21, $C$9, 100%, $E$9)</f>
        <v>4.5556000000000001</v>
      </c>
      <c r="P32" s="14">
        <f>CHOOSE(CONTROL!$C$42, 4.3526, 4.3526) * CHOOSE(CONTROL!$C$21, $C$9, 100%, $E$9)</f>
        <v>4.3525999999999998</v>
      </c>
      <c r="Q32" s="14">
        <f>CHOOSE(CONTROL!$C$42, 5.1503, 5.1503) * CHOOSE(CONTROL!$C$21, $C$9, 100%, $E$9)</f>
        <v>5.1502999999999997</v>
      </c>
      <c r="R32" s="14">
        <f>CHOOSE(CONTROL!$C$42, 5.7502, 5.7502) * CHOOSE(CONTROL!$C$21, $C$9, 100%, $E$9)</f>
        <v>5.7502000000000004</v>
      </c>
      <c r="S32" s="14">
        <f>CHOOSE(CONTROL!$C$42, 4.2119, 4.2119) * CHOOSE(CONTROL!$C$21, $C$9, 100%, $E$9)</f>
        <v>4.2119</v>
      </c>
      <c r="T32" s="58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32" s="57">
        <f>(1000*CHOOSE(CONTROL!$C$42, 695, 695)*CHOOSE(CONTROL!$C$42, 0.5599, 0.5599)*CHOOSE(CONTROL!$C$42, 31, 31))/1000000</f>
        <v>12.063045499999998</v>
      </c>
      <c r="V32" s="57">
        <f>(1000*CHOOSE(CONTROL!$C$42, 580, 580)*CHOOSE(CONTROL!$C$42, 0.275, 0.275)*CHOOSE(CONTROL!$C$42, 31, 31))/1000000</f>
        <v>4.9444999999999997</v>
      </c>
      <c r="W32" s="57">
        <f>(1000*CHOOSE(CONTROL!$C$42, 0.1146, 0.1146)*CHOOSE(CONTROL!$C$42, 200, 200)*CHOOSE(CONTROL!$C$42, 31, 31))/1000000</f>
        <v>0.71052000000000004</v>
      </c>
      <c r="X32" s="57">
        <f>31*0.1790888*145000/1000000</f>
        <v>0.80500415599999997</v>
      </c>
      <c r="Y32" s="57"/>
      <c r="Z32" s="14">
        <f>CHOOSE(CONTROL!$C$42, 4.3383, 4.3383) * CHOOSE(CONTROL!$C$21, $C$9, 100%, $E$9)</f>
        <v>4.3383000000000003</v>
      </c>
      <c r="AA32" s="56">
        <f>(131500*31*(6/31))/1000000</f>
        <v>0.78900000000000003</v>
      </c>
      <c r="AB32" s="50">
        <f>(B32*194.205+C32*267.466+D32*133.845+E32*213.484+F32*40+G32*25+H32*50+I32*100+J32*300)/(194.205+267.466+133.845+213.484+50+40+25+100+300)</f>
        <v>4.4798689451661637</v>
      </c>
      <c r="AC32" s="45">
        <f t="shared" si="1"/>
        <v>4.413505035971224</v>
      </c>
    </row>
    <row r="33" spans="1:29" ht="15" x14ac:dyDescent="0.2">
      <c r="A33" s="13">
        <v>41883</v>
      </c>
      <c r="B33" s="14">
        <f>CHOOSE(CONTROL!$C$42, 4.3931, 4.3931) * CHOOSE(CONTROL!$C$21, $C$9, 100%, $E$9)</f>
        <v>4.3930999999999996</v>
      </c>
      <c r="C33" s="14">
        <f>CHOOSE(CONTROL!$C$42, 4.4011, 4.4011) * CHOOSE(CONTROL!$C$21, $C$9, 100%, $E$9)</f>
        <v>4.4010999999999996</v>
      </c>
      <c r="D33" s="14">
        <f>CHOOSE(CONTROL!$C$42, 4.6217, 4.6217) * CHOOSE(CONTROL!$C$21, $C$9, 100%, $E$9)</f>
        <v>4.6216999999999997</v>
      </c>
      <c r="E33" s="14">
        <f>CHOOSE(CONTROL!$C$42, 4.6532, 4.6532) * CHOOSE(CONTROL!$C$21, $C$9, 100%, $E$9)</f>
        <v>4.6532</v>
      </c>
      <c r="F33" s="14">
        <f>CHOOSE(CONTROL!$C$42, 4.4205, 4.4205)*CHOOSE(CONTROL!$C$21, $C$9, 100%, $E$9)</f>
        <v>4.4204999999999997</v>
      </c>
      <c r="G33" s="14">
        <f>CHOOSE(CONTROL!$C$42, 4.4379, 4.4379)*CHOOSE(CONTROL!$C$21, $C$9, 100%, $E$9)</f>
        <v>4.4379</v>
      </c>
      <c r="H33" s="14">
        <f>CHOOSE(CONTROL!$C$42, 4.6418, 4.6418) * CHOOSE(CONTROL!$C$21, $C$9, 100%, $E$9)</f>
        <v>4.6417999999999999</v>
      </c>
      <c r="I33" s="14">
        <f>CHOOSE(CONTROL!$C$42, 4.4348, 4.4348)* CHOOSE(CONTROL!$C$21, $C$9, 100%, $E$9)</f>
        <v>4.4348000000000001</v>
      </c>
      <c r="J33" s="14">
        <f>CHOOSE(CONTROL!$C$42, 4.4135, 4.4135)* CHOOSE(CONTROL!$C$21, $C$9, 100%, $E$9)</f>
        <v>4.4135</v>
      </c>
      <c r="K33" s="59"/>
      <c r="L33" s="14">
        <f>CHOOSE(CONTROL!$C$42, 5.2288, 5.2288) * CHOOSE(CONTROL!$C$21, $C$9, 100%, $E$9)</f>
        <v>5.2287999999999997</v>
      </c>
      <c r="M33" s="14">
        <f>CHOOSE(CONTROL!$C$42, 4.3307, 4.3307) * CHOOSE(CONTROL!$C$21, $C$9, 100%, $E$9)</f>
        <v>4.3307000000000002</v>
      </c>
      <c r="N33" s="14">
        <f>CHOOSE(CONTROL!$C$42, 4.3478, 4.3478) * CHOOSE(CONTROL!$C$21, $C$9, 100%, $E$9)</f>
        <v>4.3478000000000003</v>
      </c>
      <c r="O33" s="14">
        <f>CHOOSE(CONTROL!$C$42, 4.5544, 4.5544) * CHOOSE(CONTROL!$C$21, $C$9, 100%, $E$9)</f>
        <v>4.5544000000000002</v>
      </c>
      <c r="P33" s="14">
        <f>CHOOSE(CONTROL!$C$42, 4.3514, 4.3514) * CHOOSE(CONTROL!$C$21, $C$9, 100%, $E$9)</f>
        <v>4.3513999999999999</v>
      </c>
      <c r="Q33" s="14">
        <f>CHOOSE(CONTROL!$C$42, 5.1491, 5.1491) * CHOOSE(CONTROL!$C$21, $C$9, 100%, $E$9)</f>
        <v>5.1490999999999998</v>
      </c>
      <c r="R33" s="14">
        <f>CHOOSE(CONTROL!$C$42, 5.749, 5.749) * CHOOSE(CONTROL!$C$21, $C$9, 100%, $E$9)</f>
        <v>5.7489999999999997</v>
      </c>
      <c r="S33" s="14">
        <f>CHOOSE(CONTROL!$C$42, 4.2107, 4.2107) * CHOOSE(CONTROL!$C$21, $C$9, 100%, $E$9)</f>
        <v>4.2107000000000001</v>
      </c>
      <c r="T33" s="58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33" s="57">
        <f>(1000*CHOOSE(CONTROL!$C$42, 695, 695)*CHOOSE(CONTROL!$C$42, 0.5599, 0.5599)*CHOOSE(CONTROL!$C$42, 30, 30))/1000000</f>
        <v>11.673914999999997</v>
      </c>
      <c r="V33" s="57">
        <f>(1000*CHOOSE(CONTROL!$C$42, 580, 580)*CHOOSE(CONTROL!$C$42, 0.275, 0.275)*CHOOSE(CONTROL!$C$42, 30, 30))/1000000</f>
        <v>4.7850000000000001</v>
      </c>
      <c r="W33" s="57">
        <f>(1000*CHOOSE(CONTROL!$C$42, 0.1146, 0.1146)*CHOOSE(CONTROL!$C$42, 200, 200)*CHOOSE(CONTROL!$C$42, 30, 30))/1000000</f>
        <v>0.68759999999999999</v>
      </c>
      <c r="X33" s="57">
        <f>30*0.1790888*145000/1000000</f>
        <v>0.77903627999999991</v>
      </c>
      <c r="Y33" s="57"/>
      <c r="Z33" s="14">
        <f>CHOOSE(CONTROL!$C$42, 4.3371, 4.3371) * CHOOSE(CONTROL!$C$21, $C$9, 100%, $E$9)</f>
        <v>4.3371000000000004</v>
      </c>
      <c r="AA33" s="56">
        <f>(131500*30*(6/30))/1000000</f>
        <v>0.78900000000000003</v>
      </c>
      <c r="AB33" s="50">
        <f>(B33*194.205+C33*267.466+D33*133.845+E33*213.484+F33*40+G33*25+H33*50+I33*100+J33*300)/(194.205+267.466+133.845+213.484+50+40+25+100+300)</f>
        <v>4.4786021777945617</v>
      </c>
      <c r="AC33" s="45">
        <f t="shared" si="1"/>
        <v>4.4122705035971217</v>
      </c>
    </row>
    <row r="34" spans="1:29" ht="15" x14ac:dyDescent="0.2">
      <c r="A34" s="13">
        <v>41913</v>
      </c>
      <c r="B34" s="14">
        <f>CHOOSE(CONTROL!$C$42, 4.4111, 4.4111) * CHOOSE(CONTROL!$C$21, $C$9, 100%, $E$9)</f>
        <v>4.4111000000000002</v>
      </c>
      <c r="C34" s="14">
        <f>CHOOSE(CONTROL!$C$42, 4.4164, 4.4164) * CHOOSE(CONTROL!$C$21, $C$9, 100%, $E$9)</f>
        <v>4.4164000000000003</v>
      </c>
      <c r="D34" s="14">
        <f>CHOOSE(CONTROL!$C$42, 4.642, 4.642) * CHOOSE(CONTROL!$C$21, $C$9, 100%, $E$9)</f>
        <v>4.6420000000000003</v>
      </c>
      <c r="E34" s="14">
        <f>CHOOSE(CONTROL!$C$42, 4.6711, 4.6711) * CHOOSE(CONTROL!$C$21, $C$9, 100%, $E$9)</f>
        <v>4.6711</v>
      </c>
      <c r="F34" s="14">
        <f>CHOOSE(CONTROL!$C$42, 4.4405, 4.4405)*CHOOSE(CONTROL!$C$21, $C$9, 100%, $E$9)</f>
        <v>4.4405000000000001</v>
      </c>
      <c r="G34" s="14">
        <f>CHOOSE(CONTROL!$C$42, 4.4577, 4.4577)*CHOOSE(CONTROL!$C$21, $C$9, 100%, $E$9)</f>
        <v>4.4577</v>
      </c>
      <c r="H34" s="14">
        <f>CHOOSE(CONTROL!$C$42, 4.6616, 4.6616) * CHOOSE(CONTROL!$C$21, $C$9, 100%, $E$9)</f>
        <v>4.6616</v>
      </c>
      <c r="I34" s="14">
        <f>CHOOSE(CONTROL!$C$42, 4.4546, 4.4546)* CHOOSE(CONTROL!$C$21, $C$9, 100%, $E$9)</f>
        <v>4.4546000000000001</v>
      </c>
      <c r="J34" s="14">
        <f>CHOOSE(CONTROL!$C$42, 4.4335, 4.4335)* CHOOSE(CONTROL!$C$21, $C$9, 100%, $E$9)</f>
        <v>4.4335000000000004</v>
      </c>
      <c r="K34" s="59"/>
      <c r="L34" s="14">
        <f>CHOOSE(CONTROL!$C$42, 5.2486, 5.2486) * CHOOSE(CONTROL!$C$21, $C$9, 100%, $E$9)</f>
        <v>5.2485999999999997</v>
      </c>
      <c r="M34" s="14">
        <f>CHOOSE(CONTROL!$C$42, 4.3503, 4.3503) * CHOOSE(CONTROL!$C$21, $C$9, 100%, $E$9)</f>
        <v>4.3502999999999998</v>
      </c>
      <c r="N34" s="14">
        <f>CHOOSE(CONTROL!$C$42, 4.3672, 4.3672) * CHOOSE(CONTROL!$C$21, $C$9, 100%, $E$9)</f>
        <v>4.3672000000000004</v>
      </c>
      <c r="O34" s="14">
        <f>CHOOSE(CONTROL!$C$42, 4.5738, 4.5738) * CHOOSE(CONTROL!$C$21, $C$9, 100%, $E$9)</f>
        <v>4.5738000000000003</v>
      </c>
      <c r="P34" s="14">
        <f>CHOOSE(CONTROL!$C$42, 4.3708, 4.3708) * CHOOSE(CONTROL!$C$21, $C$9, 100%, $E$9)</f>
        <v>4.3708</v>
      </c>
      <c r="Q34" s="14">
        <f>CHOOSE(CONTROL!$C$42, 5.1685, 5.1685) * CHOOSE(CONTROL!$C$21, $C$9, 100%, $E$9)</f>
        <v>5.1684999999999999</v>
      </c>
      <c r="R34" s="14">
        <f>CHOOSE(CONTROL!$C$42, 5.7684, 5.7684) * CHOOSE(CONTROL!$C$21, $C$9, 100%, $E$9)</f>
        <v>5.7683999999999997</v>
      </c>
      <c r="S34" s="14">
        <f>CHOOSE(CONTROL!$C$42, 4.2297, 4.2297) * CHOOSE(CONTROL!$C$21, $C$9, 100%, $E$9)</f>
        <v>4.2297000000000002</v>
      </c>
      <c r="T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" s="57">
        <f>(1000*CHOOSE(CONTROL!$C$42, 695, 695)*CHOOSE(CONTROL!$C$42, 0.5599, 0.5599)*CHOOSE(CONTROL!$C$42, 31, 31))/1000000</f>
        <v>12.063045499999998</v>
      </c>
      <c r="V34" s="57">
        <f>(1000*CHOOSE(CONTROL!$C$42, 580, 580)*CHOOSE(CONTROL!$C$42, 0.275, 0.275)*CHOOSE(CONTROL!$C$42, 31, 31))/1000000</f>
        <v>4.9444999999999997</v>
      </c>
      <c r="W34" s="57">
        <f>(1000*CHOOSE(CONTROL!$C$42, 0.1146, 0.1146)*CHOOSE(CONTROL!$C$42, 200, 200)*CHOOSE(CONTROL!$C$42, 31, 31))/1000000</f>
        <v>0.71052000000000004</v>
      </c>
      <c r="X34" s="57">
        <f>31*0.1790888*145000/1000000</f>
        <v>0.80500415599999997</v>
      </c>
      <c r="Y34" s="57"/>
      <c r="Z34" s="14">
        <f>CHOOSE(CONTROL!$C$42, 4.3565, 4.3565) * CHOOSE(CONTROL!$C$21, $C$9, 100%, $E$9)</f>
        <v>4.3564999999999996</v>
      </c>
      <c r="AA34" s="56">
        <f>(131500*31*(6/31))/1000000</f>
        <v>0.78900000000000003</v>
      </c>
      <c r="AB34" s="50">
        <f>(B34*131.881+C34*277.167+D34*79.08+E34*285.872+F34*40+G34*25+H34*0+I34*100+J34*300)/(131.881+277.167+79.08+285.872+0+40+25+100+300)</f>
        <v>4.4978363011299436</v>
      </c>
      <c r="AC34" s="45">
        <f t="shared" si="1"/>
        <v>4.431739568345324</v>
      </c>
    </row>
    <row r="35" spans="1:29" ht="15" x14ac:dyDescent="0.2">
      <c r="A35" s="13">
        <v>41944</v>
      </c>
      <c r="B35" s="14">
        <f>CHOOSE(CONTROL!$C$42, 4.4888, 4.4888) * CHOOSE(CONTROL!$C$21, $C$9, 100%, $E$9)</f>
        <v>4.4888000000000003</v>
      </c>
      <c r="C35" s="14">
        <f>CHOOSE(CONTROL!$C$42, 4.4938, 4.4938) * CHOOSE(CONTROL!$C$21, $C$9, 100%, $E$9)</f>
        <v>4.4938000000000002</v>
      </c>
      <c r="D35" s="14">
        <f>CHOOSE(CONTROL!$C$42, 4.568, 4.568) * CHOOSE(CONTROL!$C$21, $C$9, 100%, $E$9)</f>
        <v>4.5679999999999996</v>
      </c>
      <c r="E35" s="14">
        <f>CHOOSE(CONTROL!$C$42, 4.6021, 4.6021) * CHOOSE(CONTROL!$C$21, $C$9, 100%, $E$9)</f>
        <v>4.6021000000000001</v>
      </c>
      <c r="F35" s="14">
        <f>CHOOSE(CONTROL!$C$42, 4.5248, 4.5248)*CHOOSE(CONTROL!$C$21, $C$9, 100%, $E$9)</f>
        <v>4.5247999999999999</v>
      </c>
      <c r="G35" s="14">
        <f>CHOOSE(CONTROL!$C$42, 4.5423, 4.5423)*CHOOSE(CONTROL!$C$21, $C$9, 100%, $E$9)</f>
        <v>4.5423</v>
      </c>
      <c r="H35" s="14">
        <f>CHOOSE(CONTROL!$C$42, 4.5913, 4.5913) * CHOOSE(CONTROL!$C$21, $C$9, 100%, $E$9)</f>
        <v>4.5913000000000004</v>
      </c>
      <c r="I35" s="14">
        <f>CHOOSE(CONTROL!$C$42, 4.5303, 4.5303)* CHOOSE(CONTROL!$C$21, $C$9, 100%, $E$9)</f>
        <v>4.5303000000000004</v>
      </c>
      <c r="J35" s="14">
        <f>CHOOSE(CONTROL!$C$42, 4.5178, 4.5178)* CHOOSE(CONTROL!$C$21, $C$9, 100%, $E$9)</f>
        <v>4.5178000000000003</v>
      </c>
      <c r="K35" s="59"/>
      <c r="L35" s="14">
        <f>CHOOSE(CONTROL!$C$42, 5.1783, 5.1783) * CHOOSE(CONTROL!$C$21, $C$9, 100%, $E$9)</f>
        <v>5.1783000000000001</v>
      </c>
      <c r="M35" s="14">
        <f>CHOOSE(CONTROL!$C$42, 4.4329, 4.4329) * CHOOSE(CONTROL!$C$21, $C$9, 100%, $E$9)</f>
        <v>4.4329000000000001</v>
      </c>
      <c r="N35" s="14">
        <f>CHOOSE(CONTROL!$C$42, 4.4501, 4.4501) * CHOOSE(CONTROL!$C$21, $C$9, 100%, $E$9)</f>
        <v>4.4500999999999999</v>
      </c>
      <c r="O35" s="14">
        <f>CHOOSE(CONTROL!$C$42, 4.505, 4.505) * CHOOSE(CONTROL!$C$21, $C$9, 100%, $E$9)</f>
        <v>4.5049999999999999</v>
      </c>
      <c r="P35" s="14">
        <f>CHOOSE(CONTROL!$C$42, 4.4449, 4.4449) * CHOOSE(CONTROL!$C$21, $C$9, 100%, $E$9)</f>
        <v>4.4448999999999996</v>
      </c>
      <c r="Q35" s="14">
        <f>CHOOSE(CONTROL!$C$42, 5.0997, 5.0997) * CHOOSE(CONTROL!$C$21, $C$9, 100%, $E$9)</f>
        <v>5.0997000000000003</v>
      </c>
      <c r="R35" s="14">
        <f>CHOOSE(CONTROL!$C$42, 5.6994, 5.6994) * CHOOSE(CONTROL!$C$21, $C$9, 100%, $E$9)</f>
        <v>5.6993999999999998</v>
      </c>
      <c r="S35" s="14">
        <f>CHOOSE(CONTROL!$C$42, 4.3047, 4.3047) * CHOOSE(CONTROL!$C$21, $C$9, 100%, $E$9)</f>
        <v>4.3047000000000004</v>
      </c>
      <c r="T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" s="57">
        <f>(1000*CHOOSE(CONTROL!$C$42, 695, 695)*CHOOSE(CONTROL!$C$42, 0.5599, 0.5599)*CHOOSE(CONTROL!$C$42, 30, 30))/1000000</f>
        <v>11.673914999999997</v>
      </c>
      <c r="V35" s="57">
        <f>(1000*CHOOSE(CONTROL!$C$42, 580, 580)*CHOOSE(CONTROL!$C$42, 0.275, 0.275)*CHOOSE(CONTROL!$C$42, 30, 30))/1000000</f>
        <v>4.7850000000000001</v>
      </c>
      <c r="W35" s="57">
        <f>(1000*CHOOSE(CONTROL!$C$42, 0.1146, 0.1146)*CHOOSE(CONTROL!$C$42, 200, 200)*CHOOSE(CONTROL!$C$42, 30, 30))/1000000</f>
        <v>0.68759999999999999</v>
      </c>
      <c r="X35" s="57">
        <v>0</v>
      </c>
      <c r="Y35" s="57"/>
      <c r="Z35" s="14">
        <f>CHOOSE(CONTROL!$C$42, 4.4353, 4.4353) * CHOOSE(CONTROL!$C$21, $C$9, 100%, $E$9)</f>
        <v>4.4352999999999998</v>
      </c>
      <c r="AA35" s="56">
        <f>(131500*30*(6/30))/1000000</f>
        <v>0.78900000000000003</v>
      </c>
      <c r="AB35" s="50">
        <f>(B35*122.58+C35*297.941+D35*89.177+E35*200.302+F35*40+G35*0+H35*0+I35*100+J35*300)/(122.58+297.941+89.177+200.302+0+40+0+100+300)</f>
        <v>4.5283971652173918</v>
      </c>
      <c r="AC35" s="45">
        <f>(M35*240+N35*0+O35*355+P35*100)/(240+0+355+100)</f>
        <v>4.4714546762589924</v>
      </c>
    </row>
    <row r="36" spans="1:29" ht="15" x14ac:dyDescent="0.2">
      <c r="A36" s="13">
        <v>41974</v>
      </c>
      <c r="B36" s="14">
        <f>CHOOSE(CONTROL!$C$42, 4.6719, 4.6719) * CHOOSE(CONTROL!$C$21, $C$9, 100%, $E$9)</f>
        <v>4.6718999999999999</v>
      </c>
      <c r="C36" s="14">
        <f>CHOOSE(CONTROL!$C$42, 4.677, 4.677) * CHOOSE(CONTROL!$C$21, $C$9, 100%, $E$9)</f>
        <v>4.6769999999999996</v>
      </c>
      <c r="D36" s="14">
        <f>CHOOSE(CONTROL!$C$42, 4.7512, 4.7512) * CHOOSE(CONTROL!$C$21, $C$9, 100%, $E$9)</f>
        <v>4.7511999999999999</v>
      </c>
      <c r="E36" s="14">
        <f>CHOOSE(CONTROL!$C$42, 4.7853, 4.7853) * CHOOSE(CONTROL!$C$21, $C$9, 100%, $E$9)</f>
        <v>4.7853000000000003</v>
      </c>
      <c r="F36" s="14">
        <f>CHOOSE(CONTROL!$C$42, 4.7103, 4.7103)*CHOOSE(CONTROL!$C$21, $C$9, 100%, $E$9)</f>
        <v>4.7103000000000002</v>
      </c>
      <c r="G36" s="14">
        <f>CHOOSE(CONTROL!$C$42, 4.7285, 4.7285)*CHOOSE(CONTROL!$C$21, $C$9, 100%, $E$9)</f>
        <v>4.7285000000000004</v>
      </c>
      <c r="H36" s="14">
        <f>CHOOSE(CONTROL!$C$42, 4.7745, 4.7745) * CHOOSE(CONTROL!$C$21, $C$9, 100%, $E$9)</f>
        <v>4.7744999999999997</v>
      </c>
      <c r="I36" s="14">
        <f>CHOOSE(CONTROL!$C$42, 4.714, 4.714)* CHOOSE(CONTROL!$C$21, $C$9, 100%, $E$9)</f>
        <v>4.7140000000000004</v>
      </c>
      <c r="J36" s="14">
        <f>CHOOSE(CONTROL!$C$42, 4.7033, 4.7033)* CHOOSE(CONTROL!$C$21, $C$9, 100%, $E$9)</f>
        <v>4.7032999999999996</v>
      </c>
      <c r="K36" s="59"/>
      <c r="L36" s="14">
        <f>CHOOSE(CONTROL!$C$42, 5.3615, 5.3615) * CHOOSE(CONTROL!$C$21, $C$9, 100%, $E$9)</f>
        <v>5.3615000000000004</v>
      </c>
      <c r="M36" s="14">
        <f>CHOOSE(CONTROL!$C$42, 4.6147, 4.6147) * CHOOSE(CONTROL!$C$21, $C$9, 100%, $E$9)</f>
        <v>4.6147</v>
      </c>
      <c r="N36" s="14">
        <f>CHOOSE(CONTROL!$C$42, 4.6324, 4.6324) * CHOOSE(CONTROL!$C$21, $C$9, 100%, $E$9)</f>
        <v>4.6323999999999996</v>
      </c>
      <c r="O36" s="14">
        <f>CHOOSE(CONTROL!$C$42, 4.6844, 4.6844) * CHOOSE(CONTROL!$C$21, $C$9, 100%, $E$9)</f>
        <v>4.6844000000000001</v>
      </c>
      <c r="P36" s="14">
        <f>CHOOSE(CONTROL!$C$42, 4.6249, 4.6249) * CHOOSE(CONTROL!$C$21, $C$9, 100%, $E$9)</f>
        <v>4.6249000000000002</v>
      </c>
      <c r="Q36" s="14">
        <f>CHOOSE(CONTROL!$C$42, 5.2791, 5.2791) * CHOOSE(CONTROL!$C$21, $C$9, 100%, $E$9)</f>
        <v>5.2790999999999997</v>
      </c>
      <c r="R36" s="14">
        <f>CHOOSE(CONTROL!$C$42, 5.8793, 5.8793) * CHOOSE(CONTROL!$C$21, $C$9, 100%, $E$9)</f>
        <v>5.8792999999999997</v>
      </c>
      <c r="S36" s="14">
        <f>CHOOSE(CONTROL!$C$42, 4.4807, 4.4807) * CHOOSE(CONTROL!$C$21, $C$9, 100%, $E$9)</f>
        <v>4.4806999999999997</v>
      </c>
      <c r="T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" s="57">
        <f>(1000*CHOOSE(CONTROL!$C$42, 695, 695)*CHOOSE(CONTROL!$C$42, 0.5599, 0.5599)*CHOOSE(CONTROL!$C$42, 31, 31))/1000000</f>
        <v>12.063045499999998</v>
      </c>
      <c r="V36" s="57">
        <f>(1000*CHOOSE(CONTROL!$C$42, 580, 580)*CHOOSE(CONTROL!$C$42, 0.275, 0.275)*CHOOSE(CONTROL!$C$42, 31, 31))/1000000</f>
        <v>4.9444999999999997</v>
      </c>
      <c r="W36" s="57">
        <f>(1000*CHOOSE(CONTROL!$C$42, 0.1146, 0.1146)*CHOOSE(CONTROL!$C$42, 200, 200)*CHOOSE(CONTROL!$C$42, 31, 31))/1000000</f>
        <v>0.71052000000000004</v>
      </c>
      <c r="X36" s="57">
        <v>0</v>
      </c>
      <c r="Y36" s="57"/>
      <c r="Z36" s="14">
        <f>CHOOSE(CONTROL!$C$42, 4.6155, 4.6155) * CHOOSE(CONTROL!$C$21, $C$9, 100%, $E$9)</f>
        <v>4.6154999999999999</v>
      </c>
      <c r="AA36" s="56">
        <f>(131500*31*(6/31))/1000000</f>
        <v>0.78900000000000003</v>
      </c>
      <c r="AB36" s="50">
        <f>(B36*122.58+C36*297.941+D36*89.177+E36*200.302+F36*40+G36*0+H36*0+I36*100+J36*300)/(122.58+297.941+89.177+200.302+0+40+0+100+300)</f>
        <v>4.7123099843478267</v>
      </c>
      <c r="AC36" s="45">
        <f>(M36*240+N36*0+O36*355+P36*100)/(240+0+355+100)</f>
        <v>4.6517697841726608</v>
      </c>
    </row>
    <row r="37" spans="1:29" ht="15.75" x14ac:dyDescent="0.25">
      <c r="A37" s="13">
        <v>42005</v>
      </c>
      <c r="B37" s="14">
        <f>CHOOSE(CONTROL!$C$42, 4.7541, 4.7541) * CHOOSE(CONTROL!$C$21, $C$9, 100%, $E$9)</f>
        <v>4.7541000000000002</v>
      </c>
      <c r="C37" s="14">
        <f>CHOOSE(CONTROL!$C$42, 4.7592, 4.7592) * CHOOSE(CONTROL!$C$21, $C$9, 100%, $E$9)</f>
        <v>4.7591999999999999</v>
      </c>
      <c r="D37" s="14">
        <f>CHOOSE(CONTROL!$C$42, 4.836, 4.836) * CHOOSE(CONTROL!$C$21, $C$9, 100%, $E$9)</f>
        <v>4.8360000000000003</v>
      </c>
      <c r="E37" s="14">
        <f>CHOOSE(CONTROL!$C$42, 4.8701, 4.8701) * CHOOSE(CONTROL!$C$21, $C$9, 100%, $E$9)</f>
        <v>4.8700999999999999</v>
      </c>
      <c r="F37" s="14">
        <f>CHOOSE(CONTROL!$C$42, 4.7789, 4.7789)*CHOOSE(CONTROL!$C$21, $C$9, 100%, $E$9)</f>
        <v>4.7789000000000001</v>
      </c>
      <c r="G37" s="14">
        <f>CHOOSE(CONTROL!$C$42, 4.7968, 4.7968)*CHOOSE(CONTROL!$C$21, $C$9, 100%, $E$9)</f>
        <v>4.7968000000000002</v>
      </c>
      <c r="H37" s="14">
        <f>CHOOSE(CONTROL!$C$42, 4.8593, 4.8593) * CHOOSE(CONTROL!$C$21, $C$9, 100%, $E$9)</f>
        <v>4.8593000000000002</v>
      </c>
      <c r="I37" s="14">
        <f>CHOOSE(CONTROL!$C$42, 4.8027, 4.8027)* CHOOSE(CONTROL!$C$21, $C$9, 100%, $E$9)</f>
        <v>4.8026999999999997</v>
      </c>
      <c r="J37" s="14">
        <f>CHOOSE(CONTROL!$C$42, 4.7719, 4.7719)* CHOOSE(CONTROL!$C$21, $C$9, 100%, $E$9)</f>
        <v>4.7718999999999996</v>
      </c>
      <c r="K37" s="53"/>
      <c r="L37" s="14">
        <f>CHOOSE(CONTROL!$C$42, 5.4463, 5.4463) * CHOOSE(CONTROL!$C$21, $C$9, 100%, $E$9)</f>
        <v>5.4462999999999999</v>
      </c>
      <c r="M37" s="14">
        <f>CHOOSE(CONTROL!$C$42, 4.6818, 4.6818) * CHOOSE(CONTROL!$C$21, $C$9, 100%, $E$9)</f>
        <v>4.6818</v>
      </c>
      <c r="N37" s="14">
        <f>CHOOSE(CONTROL!$C$42, 4.6994, 4.6994) * CHOOSE(CONTROL!$C$21, $C$9, 100%, $E$9)</f>
        <v>4.6993999999999998</v>
      </c>
      <c r="O37" s="14">
        <f>CHOOSE(CONTROL!$C$42, 4.7674, 4.7674) * CHOOSE(CONTROL!$C$21, $C$9, 100%, $E$9)</f>
        <v>4.7674000000000003</v>
      </c>
      <c r="P37" s="14">
        <f>CHOOSE(CONTROL!$C$42, 4.7118, 4.7118) * CHOOSE(CONTROL!$C$21, $C$9, 100%, $E$9)</f>
        <v>4.7118000000000002</v>
      </c>
      <c r="Q37" s="14">
        <f>CHOOSE(CONTROL!$C$42, 5.3621, 5.3621) * CHOOSE(CONTROL!$C$21, $C$9, 100%, $E$9)</f>
        <v>5.3620999999999999</v>
      </c>
      <c r="R37" s="14">
        <f>CHOOSE(CONTROL!$C$42, 5.9626, 5.9626) * CHOOSE(CONTROL!$C$21, $C$9, 100%, $E$9)</f>
        <v>5.9626000000000001</v>
      </c>
      <c r="S37" s="14">
        <f>CHOOSE(CONTROL!$C$42, 4.5597, 4.5597) * CHOOSE(CONTROL!$C$21, $C$9, 100%, $E$9)</f>
        <v>4.5597000000000003</v>
      </c>
      <c r="T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" s="57">
        <f>(1000*CHOOSE(CONTROL!$C$42, 695, 695)*CHOOSE(CONTROL!$C$42, 0.5599, 0.5599)*CHOOSE(CONTROL!$C$42, 31, 31))/1000000</f>
        <v>12.063045499999998</v>
      </c>
      <c r="V37" s="57">
        <f>(1000*CHOOSE(CONTROL!$C$42, 580, 580)*CHOOSE(CONTROL!$C$42, 0.275, 0.275)*CHOOSE(CONTROL!$C$42, 31, 31))/1000000</f>
        <v>4.9444999999999997</v>
      </c>
      <c r="W37" s="57">
        <f>(1000*CHOOSE(CONTROL!$C$42, 0.1146, 0.1146)*CHOOSE(CONTROL!$C$42, 200, 200)*CHOOSE(CONTROL!$C$42, 31, 31))/1000000</f>
        <v>0.71052000000000004</v>
      </c>
      <c r="X37" s="57">
        <v>0</v>
      </c>
      <c r="Y37" s="57"/>
      <c r="Z37" s="14">
        <f>CHOOSE(CONTROL!$C$42, 4.6963, 4.6963) * CHOOSE(CONTROL!$C$21, $C$9, 100%, $E$9)</f>
        <v>4.6962999999999999</v>
      </c>
      <c r="AA37" s="56">
        <f>(131500*31*(6/31))/1000000</f>
        <v>0.78900000000000003</v>
      </c>
      <c r="AB37" s="50">
        <f>(B37*122.58+C37*297.941+D37*89.177+E37*200.302+F37*40+G37*0+H37*0+I37*100+J37*300)/(122.58+297.941+89.177+200.302+0+40+0+100+300)</f>
        <v>4.7917088064347828</v>
      </c>
      <c r="AC37" s="45">
        <f>(M37*240+N37*0+O37*355+P37*100)/(240+0+355+100)</f>
        <v>4.7298402877697843</v>
      </c>
    </row>
    <row r="38" spans="1:29" ht="15.75" x14ac:dyDescent="0.25">
      <c r="A38" s="13">
        <v>42036</v>
      </c>
      <c r="B38" s="14">
        <f>CHOOSE(CONTROL!$C$42, 4.7323, 4.7323) * CHOOSE(CONTROL!$C$21, $C$9, 100%, $E$9)</f>
        <v>4.7323000000000004</v>
      </c>
      <c r="C38" s="14">
        <f>CHOOSE(CONTROL!$C$42, 4.7373, 4.7373) * CHOOSE(CONTROL!$C$21, $C$9, 100%, $E$9)</f>
        <v>4.7373000000000003</v>
      </c>
      <c r="D38" s="14">
        <f>CHOOSE(CONTROL!$C$42, 4.8142, 4.8142) * CHOOSE(CONTROL!$C$21, $C$9, 100%, $E$9)</f>
        <v>4.8141999999999996</v>
      </c>
      <c r="E38" s="14">
        <f>CHOOSE(CONTROL!$C$42, 4.8483, 4.8483) * CHOOSE(CONTROL!$C$21, $C$9, 100%, $E$9)</f>
        <v>4.8483000000000001</v>
      </c>
      <c r="F38" s="14">
        <f>CHOOSE(CONTROL!$C$42, 4.7566, 4.7566)*CHOOSE(CONTROL!$C$21, $C$9, 100%, $E$9)</f>
        <v>4.7565999999999997</v>
      </c>
      <c r="G38" s="14">
        <f>CHOOSE(CONTROL!$C$42, 4.7745, 4.7745)*CHOOSE(CONTROL!$C$21, $C$9, 100%, $E$9)</f>
        <v>4.7744999999999997</v>
      </c>
      <c r="H38" s="14">
        <f>CHOOSE(CONTROL!$C$42, 4.8375, 4.8375) * CHOOSE(CONTROL!$C$21, $C$9, 100%, $E$9)</f>
        <v>4.8375000000000004</v>
      </c>
      <c r="I38" s="14">
        <f>CHOOSE(CONTROL!$C$42, 4.7808, 4.7808)* CHOOSE(CONTROL!$C$21, $C$9, 100%, $E$9)</f>
        <v>4.7808000000000002</v>
      </c>
      <c r="J38" s="14">
        <f>CHOOSE(CONTROL!$C$42, 4.7496, 4.7496)* CHOOSE(CONTROL!$C$21, $C$9, 100%, $E$9)</f>
        <v>4.7496</v>
      </c>
      <c r="K38" s="53"/>
      <c r="L38" s="14">
        <f>CHOOSE(CONTROL!$C$42, 5.4245, 5.4245) * CHOOSE(CONTROL!$C$21, $C$9, 100%, $E$9)</f>
        <v>5.4245000000000001</v>
      </c>
      <c r="M38" s="14">
        <f>CHOOSE(CONTROL!$C$42, 4.66, 4.66) * CHOOSE(CONTROL!$C$21, $C$9, 100%, $E$9)</f>
        <v>4.66</v>
      </c>
      <c r="N38" s="14">
        <f>CHOOSE(CONTROL!$C$42, 4.6775, 4.6775) * CHOOSE(CONTROL!$C$21, $C$9, 100%, $E$9)</f>
        <v>4.6775000000000002</v>
      </c>
      <c r="O38" s="14">
        <f>CHOOSE(CONTROL!$C$42, 4.746, 4.746) * CHOOSE(CONTROL!$C$21, $C$9, 100%, $E$9)</f>
        <v>4.7460000000000004</v>
      </c>
      <c r="P38" s="14">
        <f>CHOOSE(CONTROL!$C$42, 4.6903, 4.6903) * CHOOSE(CONTROL!$C$21, $C$9, 100%, $E$9)</f>
        <v>4.6902999999999997</v>
      </c>
      <c r="Q38" s="14">
        <f>CHOOSE(CONTROL!$C$42, 5.3407, 5.3407) * CHOOSE(CONTROL!$C$21, $C$9, 100%, $E$9)</f>
        <v>5.3407</v>
      </c>
      <c r="R38" s="14">
        <f>CHOOSE(CONTROL!$C$42, 5.9411, 5.9411) * CHOOSE(CONTROL!$C$21, $C$9, 100%, $E$9)</f>
        <v>5.9410999999999996</v>
      </c>
      <c r="S38" s="14">
        <f>CHOOSE(CONTROL!$C$42, 4.5387, 4.5387) * CHOOSE(CONTROL!$C$21, $C$9, 100%, $E$9)</f>
        <v>4.5387000000000004</v>
      </c>
      <c r="T3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8" s="57">
        <f>(1000*CHOOSE(CONTROL!$C$42, 695, 695)*CHOOSE(CONTROL!$C$42, 0.5599, 0.5599)*CHOOSE(CONTROL!$C$42, 28, 28))/1000000</f>
        <v>10.895653999999999</v>
      </c>
      <c r="V38" s="57">
        <f>(1000*CHOOSE(CONTROL!$C$42, 580, 580)*CHOOSE(CONTROL!$C$42, 0.275, 0.275)*CHOOSE(CONTROL!$C$42, 28, 28))/1000000</f>
        <v>4.4660000000000002</v>
      </c>
      <c r="W38" s="57">
        <f>(1000*CHOOSE(CONTROL!$C$42, 0.1146, 0.1146)*CHOOSE(CONTROL!$C$42, 200, 200)*CHOOSE(CONTROL!$C$42, 28, 28))/1000000</f>
        <v>0.64176</v>
      </c>
      <c r="X38" s="57">
        <v>0</v>
      </c>
      <c r="Y38" s="57"/>
      <c r="Z38" s="14">
        <f>CHOOSE(CONTROL!$C$42, 4.6748, 4.6748) * CHOOSE(CONTROL!$C$21, $C$9, 100%, $E$9)</f>
        <v>4.6748000000000003</v>
      </c>
      <c r="AA38" s="56">
        <f>(131500*28*(6/28))/1000000</f>
        <v>0.78900000000000003</v>
      </c>
      <c r="AB38" s="50">
        <f>(B38*122.58+C38*297.941+D38*89.177+E38*200.302+F38*40+G38*0+H38*0+I38*100+J38*300)/(122.58+297.941+89.177+200.302+0+40+0+100+300)</f>
        <v>4.769726376782609</v>
      </c>
      <c r="AC38" s="45">
        <f>(M38*240+N38*0+O38*355+P38*100)/(240+0+355+100)</f>
        <v>4.7082877697841727</v>
      </c>
    </row>
    <row r="39" spans="1:29" ht="15.75" x14ac:dyDescent="0.25">
      <c r="A39" s="13">
        <v>42064</v>
      </c>
      <c r="B39" s="14">
        <f>CHOOSE(CONTROL!$C$42, 4.6511, 4.6511) * CHOOSE(CONTROL!$C$21, $C$9, 100%, $E$9)</f>
        <v>4.6510999999999996</v>
      </c>
      <c r="C39" s="14">
        <f>CHOOSE(CONTROL!$C$42, 4.6562, 4.6562) * CHOOSE(CONTROL!$C$21, $C$9, 100%, $E$9)</f>
        <v>4.6562000000000001</v>
      </c>
      <c r="D39" s="14">
        <f>CHOOSE(CONTROL!$C$42, 4.733, 4.733) * CHOOSE(CONTROL!$C$21, $C$9, 100%, $E$9)</f>
        <v>4.7329999999999997</v>
      </c>
      <c r="E39" s="14">
        <f>CHOOSE(CONTROL!$C$42, 4.7671, 4.7671) * CHOOSE(CONTROL!$C$21, $C$9, 100%, $E$9)</f>
        <v>4.7671000000000001</v>
      </c>
      <c r="F39" s="14">
        <f>CHOOSE(CONTROL!$C$42, 4.6746, 4.6746)*CHOOSE(CONTROL!$C$21, $C$9, 100%, $E$9)</f>
        <v>4.6745999999999999</v>
      </c>
      <c r="G39" s="14">
        <f>CHOOSE(CONTROL!$C$42, 4.6922, 4.6922)*CHOOSE(CONTROL!$C$21, $C$9, 100%, $E$9)</f>
        <v>4.6921999999999997</v>
      </c>
      <c r="H39" s="14">
        <f>CHOOSE(CONTROL!$C$42, 4.7563, 4.7563) * CHOOSE(CONTROL!$C$21, $C$9, 100%, $E$9)</f>
        <v>4.7563000000000004</v>
      </c>
      <c r="I39" s="14">
        <f>CHOOSE(CONTROL!$C$42, 4.6994, 4.6994)* CHOOSE(CONTROL!$C$21, $C$9, 100%, $E$9)</f>
        <v>4.6993999999999998</v>
      </c>
      <c r="J39" s="14">
        <f>CHOOSE(CONTROL!$C$42, 4.6676, 4.6676)* CHOOSE(CONTROL!$C$21, $C$9, 100%, $E$9)</f>
        <v>4.6676000000000002</v>
      </c>
      <c r="K39" s="53"/>
      <c r="L39" s="14">
        <f>CHOOSE(CONTROL!$C$42, 5.3433, 5.3433) * CHOOSE(CONTROL!$C$21, $C$9, 100%, $E$9)</f>
        <v>5.3433000000000002</v>
      </c>
      <c r="M39" s="14">
        <f>CHOOSE(CONTROL!$C$42, 4.5796, 4.5796) * CHOOSE(CONTROL!$C$21, $C$9, 100%, $E$9)</f>
        <v>4.5796000000000001</v>
      </c>
      <c r="N39" s="14">
        <f>CHOOSE(CONTROL!$C$42, 4.5969, 4.5969) * CHOOSE(CONTROL!$C$21, $C$9, 100%, $E$9)</f>
        <v>4.5968999999999998</v>
      </c>
      <c r="O39" s="14">
        <f>CHOOSE(CONTROL!$C$42, 4.6665, 4.6665) * CHOOSE(CONTROL!$C$21, $C$9, 100%, $E$9)</f>
        <v>4.6665000000000001</v>
      </c>
      <c r="P39" s="14">
        <f>CHOOSE(CONTROL!$C$42, 4.6106, 4.6106) * CHOOSE(CONTROL!$C$21, $C$9, 100%, $E$9)</f>
        <v>4.6105999999999998</v>
      </c>
      <c r="Q39" s="14">
        <f>CHOOSE(CONTROL!$C$42, 5.2612, 5.2612) * CHOOSE(CONTROL!$C$21, $C$9, 100%, $E$9)</f>
        <v>5.2611999999999997</v>
      </c>
      <c r="R39" s="14">
        <f>CHOOSE(CONTROL!$C$42, 5.8614, 5.8614) * CHOOSE(CONTROL!$C$21, $C$9, 100%, $E$9)</f>
        <v>5.8613999999999997</v>
      </c>
      <c r="S39" s="14">
        <f>CHOOSE(CONTROL!$C$42, 4.4607, 4.4607) * CHOOSE(CONTROL!$C$21, $C$9, 100%, $E$9)</f>
        <v>4.4607000000000001</v>
      </c>
      <c r="T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" s="57">
        <f>(1000*CHOOSE(CONTROL!$C$42, 695, 695)*CHOOSE(CONTROL!$C$42, 0.5599, 0.5599)*CHOOSE(CONTROL!$C$42, 31, 31))/1000000</f>
        <v>12.063045499999998</v>
      </c>
      <c r="V39" s="57">
        <f>(1000*CHOOSE(CONTROL!$C$42, 580, 580)*CHOOSE(CONTROL!$C$42, 0.275, 0.275)*CHOOSE(CONTROL!$C$42, 31, 31))/1000000</f>
        <v>4.9444999999999997</v>
      </c>
      <c r="W39" s="57">
        <f>(1000*CHOOSE(CONTROL!$C$42, 0.1146, 0.1146)*CHOOSE(CONTROL!$C$42, 200, 200)*CHOOSE(CONTROL!$C$42, 31, 31))/1000000</f>
        <v>0.71052000000000004</v>
      </c>
      <c r="X39" s="57">
        <v>0</v>
      </c>
      <c r="Y39" s="57"/>
      <c r="Z39" s="14">
        <f>CHOOSE(CONTROL!$C$42, 4.595, 4.595) * CHOOSE(CONTROL!$C$21, $C$9, 100%, $E$9)</f>
        <v>4.5949999999999998</v>
      </c>
      <c r="AA39" s="56">
        <f>(131500*31*(6/31))/1000000</f>
        <v>0.78900000000000003</v>
      </c>
      <c r="AB39" s="50">
        <f>(B39*122.58+C39*297.941+D39*89.177+E39*200.302+F39*40+G39*0+H39*0+I39*100+J39*300)/(122.58+297.941+89.177+200.302+0+40+0+100+300)</f>
        <v>4.6882983716521736</v>
      </c>
      <c r="AC39" s="45">
        <f>(M39*240+N39*0+O39*355+P39*100)/(240+0+355+100)</f>
        <v>4.6284482014388493</v>
      </c>
    </row>
    <row r="40" spans="1:29" ht="15.75" x14ac:dyDescent="0.25">
      <c r="A40" s="13">
        <v>42095</v>
      </c>
      <c r="B40" s="14">
        <f>CHOOSE(CONTROL!$C$42, 4.3243, 4.3243) * CHOOSE(CONTROL!$C$21, $C$9, 100%, $E$9)</f>
        <v>4.3243</v>
      </c>
      <c r="C40" s="14">
        <f>CHOOSE(CONTROL!$C$42, 4.3288, 4.3288) * CHOOSE(CONTROL!$C$21, $C$9, 100%, $E$9)</f>
        <v>4.3288000000000002</v>
      </c>
      <c r="D40" s="14">
        <f>CHOOSE(CONTROL!$C$42, 4.5525, 4.5525) * CHOOSE(CONTROL!$C$21, $C$9, 100%, $E$9)</f>
        <v>4.5525000000000002</v>
      </c>
      <c r="E40" s="14">
        <f>CHOOSE(CONTROL!$C$42, 4.5846, 4.5846) * CHOOSE(CONTROL!$C$21, $C$9, 100%, $E$9)</f>
        <v>4.5846</v>
      </c>
      <c r="F40" s="14">
        <f>CHOOSE(CONTROL!$C$42, 4.352, 4.352)*CHOOSE(CONTROL!$C$21, $C$9, 100%, $E$9)</f>
        <v>4.3520000000000003</v>
      </c>
      <c r="G40" s="14">
        <f>CHOOSE(CONTROL!$C$42, 4.3689, 4.3689)*CHOOSE(CONTROL!$C$21, $C$9, 100%, $E$9)</f>
        <v>4.3689</v>
      </c>
      <c r="H40" s="14">
        <f>CHOOSE(CONTROL!$C$42, 4.5744, 4.5744) * CHOOSE(CONTROL!$C$21, $C$9, 100%, $E$9)</f>
        <v>4.5743999999999998</v>
      </c>
      <c r="I40" s="14">
        <f>CHOOSE(CONTROL!$C$42, 4.3671, 4.3671)* CHOOSE(CONTROL!$C$21, $C$9, 100%, $E$9)</f>
        <v>4.3670999999999998</v>
      </c>
      <c r="J40" s="14">
        <f>CHOOSE(CONTROL!$C$42, 4.345, 4.345)* CHOOSE(CONTROL!$C$21, $C$9, 100%, $E$9)</f>
        <v>4.3449999999999998</v>
      </c>
      <c r="K40" s="53"/>
      <c r="L40" s="14">
        <f>CHOOSE(CONTROL!$C$42, 5.1614, 5.1614) * CHOOSE(CONTROL!$C$21, $C$9, 100%, $E$9)</f>
        <v>5.1614000000000004</v>
      </c>
      <c r="M40" s="14">
        <f>CHOOSE(CONTROL!$C$42, 4.2637, 4.2637) * CHOOSE(CONTROL!$C$21, $C$9, 100%, $E$9)</f>
        <v>4.2637</v>
      </c>
      <c r="N40" s="14">
        <f>CHOOSE(CONTROL!$C$42, 4.2802, 4.2802) * CHOOSE(CONTROL!$C$21, $C$9, 100%, $E$9)</f>
        <v>4.2801999999999998</v>
      </c>
      <c r="O40" s="14">
        <f>CHOOSE(CONTROL!$C$42, 4.4884, 4.4884) * CHOOSE(CONTROL!$C$21, $C$9, 100%, $E$9)</f>
        <v>4.4884000000000004</v>
      </c>
      <c r="P40" s="14">
        <f>CHOOSE(CONTROL!$C$42, 4.2851, 4.2851) * CHOOSE(CONTROL!$C$21, $C$9, 100%, $E$9)</f>
        <v>4.2850999999999999</v>
      </c>
      <c r="Q40" s="14">
        <f>CHOOSE(CONTROL!$C$42, 5.0831, 5.0831) * CHOOSE(CONTROL!$C$21, $C$9, 100%, $E$9)</f>
        <v>5.0831</v>
      </c>
      <c r="R40" s="14">
        <f>CHOOSE(CONTROL!$C$42, 5.6828, 5.6828) * CHOOSE(CONTROL!$C$21, $C$9, 100%, $E$9)</f>
        <v>5.6828000000000003</v>
      </c>
      <c r="S40" s="14">
        <f>CHOOSE(CONTROL!$C$42, 4.1459, 4.1459) * CHOOSE(CONTROL!$C$21, $C$9, 100%, $E$9)</f>
        <v>4.1459000000000001</v>
      </c>
      <c r="T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" s="57">
        <f>(1000*CHOOSE(CONTROL!$C$42, 695, 695)*CHOOSE(CONTROL!$C$42, 0.5599, 0.5599)*CHOOSE(CONTROL!$C$42, 30, 30))/1000000</f>
        <v>11.673914999999997</v>
      </c>
      <c r="V40" s="57">
        <f>(1000*CHOOSE(CONTROL!$C$42, 580, 580)*CHOOSE(CONTROL!$C$42, 0.275, 0.275)*CHOOSE(CONTROL!$C$42, 30, 30))/1000000</f>
        <v>4.7850000000000001</v>
      </c>
      <c r="W40" s="57">
        <f>(1000*CHOOSE(CONTROL!$C$42, 0.1146, 0.1146)*CHOOSE(CONTROL!$C$42, 200, 200)*CHOOSE(CONTROL!$C$42, 30, 30))/1000000</f>
        <v>0.68759999999999999</v>
      </c>
      <c r="X40" s="57">
        <f>(30*0.1790888*245000/1000000)+(30*0.2374*100000/1000000)</f>
        <v>2.0285026799999999</v>
      </c>
      <c r="Y40" s="57"/>
      <c r="Z40" s="14">
        <f>CHOOSE(CONTROL!$C$42, 4.2707, 4.2707) * CHOOSE(CONTROL!$C$21, $C$9, 100%, $E$9)</f>
        <v>4.2706999999999997</v>
      </c>
      <c r="AA40" s="56">
        <f>(131500*30*(6/30))/1000000</f>
        <v>0.78900000000000003</v>
      </c>
      <c r="AB40" s="50">
        <f>(B40*141.293+C40*267.993+D40*115.016+E40*89.698+F40*40+G40*185+H40*0+I40*100+J40*300)/(141.293+267.993+115.016+89.698+0+40+185+100+300)</f>
        <v>4.3813217991121869</v>
      </c>
      <c r="AC40" s="45">
        <f t="shared" ref="AC40:AC46" si="2">(M40*240+N40*160+O40*195+P40*100)/(240+160+195+100)</f>
        <v>4.333623021582734</v>
      </c>
    </row>
    <row r="41" spans="1:29" ht="15.75" x14ac:dyDescent="0.25">
      <c r="A41" s="13">
        <v>42125</v>
      </c>
      <c r="B41" s="14">
        <f>CHOOSE(CONTROL!$C$42, 4.3288, 4.3288) * CHOOSE(CONTROL!$C$21, $C$9, 100%, $E$9)</f>
        <v>4.3288000000000002</v>
      </c>
      <c r="C41" s="14">
        <f>CHOOSE(CONTROL!$C$42, 4.3368, 4.3368) * CHOOSE(CONTROL!$C$21, $C$9, 100%, $E$9)</f>
        <v>4.3368000000000002</v>
      </c>
      <c r="D41" s="14">
        <f>CHOOSE(CONTROL!$C$42, 4.5574, 4.5574) * CHOOSE(CONTROL!$C$21, $C$9, 100%, $E$9)</f>
        <v>4.5574000000000003</v>
      </c>
      <c r="E41" s="14">
        <f>CHOOSE(CONTROL!$C$42, 4.5889, 4.5889) * CHOOSE(CONTROL!$C$21, $C$9, 100%, $E$9)</f>
        <v>4.5888999999999998</v>
      </c>
      <c r="F41" s="14">
        <f>CHOOSE(CONTROL!$C$42, 4.3551, 4.3551)*CHOOSE(CONTROL!$C$21, $C$9, 100%, $E$9)</f>
        <v>4.3551000000000002</v>
      </c>
      <c r="G41" s="14">
        <f>CHOOSE(CONTROL!$C$42, 4.3722, 4.3722)*CHOOSE(CONTROL!$C$21, $C$9, 100%, $E$9)</f>
        <v>4.3722000000000003</v>
      </c>
      <c r="H41" s="14">
        <f>CHOOSE(CONTROL!$C$42, 4.5775, 4.5775) * CHOOSE(CONTROL!$C$21, $C$9, 100%, $E$9)</f>
        <v>4.5774999999999997</v>
      </c>
      <c r="I41" s="14">
        <f>CHOOSE(CONTROL!$C$42, 4.3703, 4.3703)* CHOOSE(CONTROL!$C$21, $C$9, 100%, $E$9)</f>
        <v>4.3703000000000003</v>
      </c>
      <c r="J41" s="14">
        <f>CHOOSE(CONTROL!$C$42, 4.3481, 4.3481)* CHOOSE(CONTROL!$C$21, $C$9, 100%, $E$9)</f>
        <v>4.3480999999999996</v>
      </c>
      <c r="K41" s="53"/>
      <c r="L41" s="14">
        <f>CHOOSE(CONTROL!$C$42, 5.1645, 5.1645) * CHOOSE(CONTROL!$C$21, $C$9, 100%, $E$9)</f>
        <v>5.1645000000000003</v>
      </c>
      <c r="M41" s="14">
        <f>CHOOSE(CONTROL!$C$42, 4.2667, 4.2667) * CHOOSE(CONTROL!$C$21, $C$9, 100%, $E$9)</f>
        <v>4.2667000000000002</v>
      </c>
      <c r="N41" s="14">
        <f>CHOOSE(CONTROL!$C$42, 4.2835, 4.2835) * CHOOSE(CONTROL!$C$21, $C$9, 100%, $E$9)</f>
        <v>4.2835000000000001</v>
      </c>
      <c r="O41" s="14">
        <f>CHOOSE(CONTROL!$C$42, 4.4914, 4.4914) * CHOOSE(CONTROL!$C$21, $C$9, 100%, $E$9)</f>
        <v>4.4913999999999996</v>
      </c>
      <c r="P41" s="14">
        <f>CHOOSE(CONTROL!$C$42, 4.2882, 4.2882) * CHOOSE(CONTROL!$C$21, $C$9, 100%, $E$9)</f>
        <v>4.2881999999999998</v>
      </c>
      <c r="Q41" s="14">
        <f>CHOOSE(CONTROL!$C$42, 5.0861, 5.0861) * CHOOSE(CONTROL!$C$21, $C$9, 100%, $E$9)</f>
        <v>5.0861000000000001</v>
      </c>
      <c r="R41" s="14">
        <f>CHOOSE(CONTROL!$C$42, 5.6858, 5.6858) * CHOOSE(CONTROL!$C$21, $C$9, 100%, $E$9)</f>
        <v>5.6858000000000004</v>
      </c>
      <c r="S41" s="14">
        <f>CHOOSE(CONTROL!$C$42, 4.1489, 4.1489) * CHOOSE(CONTROL!$C$21, $C$9, 100%, $E$9)</f>
        <v>4.1489000000000003</v>
      </c>
      <c r="T41" s="58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41" s="57">
        <f>(1000*CHOOSE(CONTROL!$C$42, 695, 695)*CHOOSE(CONTROL!$C$42, 0.5599, 0.5599)*CHOOSE(CONTROL!$C$42, 31, 31))/1000000</f>
        <v>12.063045499999998</v>
      </c>
      <c r="V41" s="57">
        <f>(1000*CHOOSE(CONTROL!$C$42, 580, 580)*CHOOSE(CONTROL!$C$42, 0.275, 0.275)*CHOOSE(CONTROL!$C$42, 31, 31))/1000000</f>
        <v>4.9444999999999997</v>
      </c>
      <c r="W41" s="57">
        <f>(1000*CHOOSE(CONTROL!$C$42, 0.1146, 0.1146)*CHOOSE(CONTROL!$C$42, 200, 200)*CHOOSE(CONTROL!$C$42, 31, 31))/1000000</f>
        <v>0.71052000000000004</v>
      </c>
      <c r="X41" s="57">
        <f>(31*0.1790888*245000/1000000)+(31*0.2374*100000/1000000)</f>
        <v>2.0961194359999999</v>
      </c>
      <c r="Y41" s="57"/>
      <c r="Z41" s="14">
        <f>CHOOSE(CONTROL!$C$42, 4.2738, 4.2738) * CHOOSE(CONTROL!$C$21, $C$9, 100%, $E$9)</f>
        <v>4.2737999999999996</v>
      </c>
      <c r="AA41" s="56">
        <f>(131500*31*(6/31))/1000000</f>
        <v>0.78900000000000003</v>
      </c>
      <c r="AB41" s="50">
        <f>(B41*194.205+C41*267.466+D41*133.845+E41*53.484+F41*40+G41*185+H41*50+I41*100+J41*300)/(194.205+267.466+133.845+53.484+50+40+185+100+300)</f>
        <v>4.3877908484894261</v>
      </c>
      <c r="AC41" s="45">
        <f t="shared" si="2"/>
        <v>4.3367064748201436</v>
      </c>
    </row>
    <row r="42" spans="1:29" ht="15.75" x14ac:dyDescent="0.25">
      <c r="A42" s="13">
        <v>42156</v>
      </c>
      <c r="B42" s="14">
        <f>CHOOSE(CONTROL!$C$42, 4.3507, 4.3507) * CHOOSE(CONTROL!$C$21, $C$9, 100%, $E$9)</f>
        <v>4.3506999999999998</v>
      </c>
      <c r="C42" s="14">
        <f>CHOOSE(CONTROL!$C$42, 4.3587, 4.3587) * CHOOSE(CONTROL!$C$21, $C$9, 100%, $E$9)</f>
        <v>4.3586999999999998</v>
      </c>
      <c r="D42" s="14">
        <f>CHOOSE(CONTROL!$C$42, 4.5793, 4.5793) * CHOOSE(CONTROL!$C$21, $C$9, 100%, $E$9)</f>
        <v>4.5792999999999999</v>
      </c>
      <c r="E42" s="14">
        <f>CHOOSE(CONTROL!$C$42, 4.6107, 4.6107) * CHOOSE(CONTROL!$C$21, $C$9, 100%, $E$9)</f>
        <v>4.6106999999999996</v>
      </c>
      <c r="F42" s="14">
        <f>CHOOSE(CONTROL!$C$42, 4.3773, 4.3773)*CHOOSE(CONTROL!$C$21, $C$9, 100%, $E$9)</f>
        <v>4.3773</v>
      </c>
      <c r="G42" s="14">
        <f>CHOOSE(CONTROL!$C$42, 4.3945, 4.3945)*CHOOSE(CONTROL!$C$21, $C$9, 100%, $E$9)</f>
        <v>4.3944999999999999</v>
      </c>
      <c r="H42" s="14">
        <f>CHOOSE(CONTROL!$C$42, 4.5994, 4.5994) * CHOOSE(CONTROL!$C$21, $C$9, 100%, $E$9)</f>
        <v>4.5994000000000002</v>
      </c>
      <c r="I42" s="14">
        <f>CHOOSE(CONTROL!$C$42, 4.3922, 4.3922)* CHOOSE(CONTROL!$C$21, $C$9, 100%, $E$9)</f>
        <v>4.3921999999999999</v>
      </c>
      <c r="J42" s="14">
        <f>CHOOSE(CONTROL!$C$42, 4.3703, 4.3703)* CHOOSE(CONTROL!$C$21, $C$9, 100%, $E$9)</f>
        <v>4.3703000000000003</v>
      </c>
      <c r="K42" s="53"/>
      <c r="L42" s="14">
        <f>CHOOSE(CONTROL!$C$42, 5.1864, 5.1864) * CHOOSE(CONTROL!$C$21, $C$9, 100%, $E$9)</f>
        <v>5.1863999999999999</v>
      </c>
      <c r="M42" s="14">
        <f>CHOOSE(CONTROL!$C$42, 4.2884, 4.2884) * CHOOSE(CONTROL!$C$21, $C$9, 100%, $E$9)</f>
        <v>4.2884000000000002</v>
      </c>
      <c r="N42" s="14">
        <f>CHOOSE(CONTROL!$C$42, 4.3053, 4.3053) * CHOOSE(CONTROL!$C$21, $C$9, 100%, $E$9)</f>
        <v>4.3052999999999999</v>
      </c>
      <c r="O42" s="14">
        <f>CHOOSE(CONTROL!$C$42, 4.5128, 4.5128) * CHOOSE(CONTROL!$C$21, $C$9, 100%, $E$9)</f>
        <v>4.5128000000000004</v>
      </c>
      <c r="P42" s="14">
        <f>CHOOSE(CONTROL!$C$42, 4.3097, 4.3097) * CHOOSE(CONTROL!$C$21, $C$9, 100%, $E$9)</f>
        <v>4.3097000000000003</v>
      </c>
      <c r="Q42" s="14">
        <f>CHOOSE(CONTROL!$C$42, 5.1075, 5.1075) * CHOOSE(CONTROL!$C$21, $C$9, 100%, $E$9)</f>
        <v>5.1074999999999999</v>
      </c>
      <c r="R42" s="14">
        <f>CHOOSE(CONTROL!$C$42, 5.7073, 5.7073) * CHOOSE(CONTROL!$C$21, $C$9, 100%, $E$9)</f>
        <v>5.7073</v>
      </c>
      <c r="S42" s="14">
        <f>CHOOSE(CONTROL!$C$42, 4.1699, 4.1699) * CHOOSE(CONTROL!$C$21, $C$9, 100%, $E$9)</f>
        <v>4.1699000000000002</v>
      </c>
      <c r="T42" s="58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42" s="57">
        <f>(1000*CHOOSE(CONTROL!$C$42, 695, 695)*CHOOSE(CONTROL!$C$42, 0.5599, 0.5599)*CHOOSE(CONTROL!$C$42, 30, 30))/1000000</f>
        <v>11.673914999999997</v>
      </c>
      <c r="V42" s="57">
        <f>(1000*CHOOSE(CONTROL!$C$42, 580, 580)*CHOOSE(CONTROL!$C$42, 0.275, 0.275)*CHOOSE(CONTROL!$C$42, 30, 30))/1000000</f>
        <v>4.7850000000000001</v>
      </c>
      <c r="W42" s="57">
        <f>(1000*CHOOSE(CONTROL!$C$42, 0.1146, 0.1146)*CHOOSE(CONTROL!$C$42, 200, 200)*CHOOSE(CONTROL!$C$42, 30, 30))/1000000</f>
        <v>0.68759999999999999</v>
      </c>
      <c r="X42" s="57">
        <f>(30*0.1790888*245000/1000000)+(30*0.2374*100000/1000000)</f>
        <v>2.0285026799999999</v>
      </c>
      <c r="Y42" s="57"/>
      <c r="Z42" s="14">
        <f>CHOOSE(CONTROL!$C$42, 4.2953, 4.2953) * CHOOSE(CONTROL!$C$21, $C$9, 100%, $E$9)</f>
        <v>4.2953000000000001</v>
      </c>
      <c r="AA42" s="56">
        <f>(131500*30*(6/30))/1000000</f>
        <v>0.78900000000000003</v>
      </c>
      <c r="AB42" s="50">
        <f>(B42*194.205+C42*267.466+D42*133.845+E42*53.484+F42*40+G42*185+H42*50+I42*100+J42*300)/(194.205+267.466+133.845+53.484+50+40+185+100+300)</f>
        <v>4.4098197394259824</v>
      </c>
      <c r="AC42" s="45">
        <f t="shared" si="2"/>
        <v>4.3583165467625911</v>
      </c>
    </row>
    <row r="43" spans="1:29" ht="15.75" x14ac:dyDescent="0.25">
      <c r="A43" s="13">
        <v>42186</v>
      </c>
      <c r="B43" s="14">
        <f>CHOOSE(CONTROL!$C$42, 4.3809, 4.3809) * CHOOSE(CONTROL!$C$21, $C$9, 100%, $E$9)</f>
        <v>4.3808999999999996</v>
      </c>
      <c r="C43" s="14">
        <f>CHOOSE(CONTROL!$C$42, 4.3889, 4.3889) * CHOOSE(CONTROL!$C$21, $C$9, 100%, $E$9)</f>
        <v>4.3888999999999996</v>
      </c>
      <c r="D43" s="14">
        <f>CHOOSE(CONTROL!$C$42, 4.6095, 4.6095) * CHOOSE(CONTROL!$C$21, $C$9, 100%, $E$9)</f>
        <v>4.6094999999999997</v>
      </c>
      <c r="E43" s="14">
        <f>CHOOSE(CONTROL!$C$42, 4.6409, 4.6409) * CHOOSE(CONTROL!$C$21, $C$9, 100%, $E$9)</f>
        <v>4.6409000000000002</v>
      </c>
      <c r="F43" s="14">
        <f>CHOOSE(CONTROL!$C$42, 4.4079, 4.4079)*CHOOSE(CONTROL!$C$21, $C$9, 100%, $E$9)</f>
        <v>4.4078999999999997</v>
      </c>
      <c r="G43" s="14">
        <f>CHOOSE(CONTROL!$C$42, 4.4253, 4.4253)*CHOOSE(CONTROL!$C$21, $C$9, 100%, $E$9)</f>
        <v>4.4253</v>
      </c>
      <c r="H43" s="14">
        <f>CHOOSE(CONTROL!$C$42, 4.6296, 4.6296) * CHOOSE(CONTROL!$C$21, $C$9, 100%, $E$9)</f>
        <v>4.6295999999999999</v>
      </c>
      <c r="I43" s="14">
        <f>CHOOSE(CONTROL!$C$42, 4.4225, 4.4225)* CHOOSE(CONTROL!$C$21, $C$9, 100%, $E$9)</f>
        <v>4.4225000000000003</v>
      </c>
      <c r="J43" s="14">
        <f>CHOOSE(CONTROL!$C$42, 4.4009, 4.4009)* CHOOSE(CONTROL!$C$21, $C$9, 100%, $E$9)</f>
        <v>4.4009</v>
      </c>
      <c r="K43" s="53"/>
      <c r="L43" s="14">
        <f>CHOOSE(CONTROL!$C$42, 5.2166, 5.2166) * CHOOSE(CONTROL!$C$21, $C$9, 100%, $E$9)</f>
        <v>5.2165999999999997</v>
      </c>
      <c r="M43" s="14">
        <f>CHOOSE(CONTROL!$C$42, 4.3184, 4.3184) * CHOOSE(CONTROL!$C$21, $C$9, 100%, $E$9)</f>
        <v>4.3183999999999996</v>
      </c>
      <c r="N43" s="14">
        <f>CHOOSE(CONTROL!$C$42, 4.3354, 4.3354) * CHOOSE(CONTROL!$C$21, $C$9, 100%, $E$9)</f>
        <v>4.3353999999999999</v>
      </c>
      <c r="O43" s="14">
        <f>CHOOSE(CONTROL!$C$42, 4.5424, 4.5424) * CHOOSE(CONTROL!$C$21, $C$9, 100%, $E$9)</f>
        <v>4.5423999999999998</v>
      </c>
      <c r="P43" s="14">
        <f>CHOOSE(CONTROL!$C$42, 4.3393, 4.3393) * CHOOSE(CONTROL!$C$21, $C$9, 100%, $E$9)</f>
        <v>4.3392999999999997</v>
      </c>
      <c r="Q43" s="14">
        <f>CHOOSE(CONTROL!$C$42, 5.1371, 5.1371) * CHOOSE(CONTROL!$C$21, $C$9, 100%, $E$9)</f>
        <v>5.1371000000000002</v>
      </c>
      <c r="R43" s="14">
        <f>CHOOSE(CONTROL!$C$42, 5.7369, 5.7369) * CHOOSE(CONTROL!$C$21, $C$9, 100%, $E$9)</f>
        <v>5.7369000000000003</v>
      </c>
      <c r="S43" s="14">
        <f>CHOOSE(CONTROL!$C$42, 4.1989, 4.1989) * CHOOSE(CONTROL!$C$21, $C$9, 100%, $E$9)</f>
        <v>4.1989000000000001</v>
      </c>
      <c r="T43" s="58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43" s="57">
        <f>(1000*CHOOSE(CONTROL!$C$42, 695, 695)*CHOOSE(CONTROL!$C$42, 0.5599, 0.5599)*CHOOSE(CONTROL!$C$42, 31, 31))/1000000</f>
        <v>12.063045499999998</v>
      </c>
      <c r="V43" s="57">
        <f>(1000*CHOOSE(CONTROL!$C$42, 580, 580)*CHOOSE(CONTROL!$C$42, 0.275, 0.275)*CHOOSE(CONTROL!$C$42, 31, 31))/1000000</f>
        <v>4.9444999999999997</v>
      </c>
      <c r="W43" s="57">
        <f>(1000*CHOOSE(CONTROL!$C$42, 0.1146, 0.1146)*CHOOSE(CONTROL!$C$42, 200, 200)*CHOOSE(CONTROL!$C$42, 31, 31))/1000000</f>
        <v>0.71052000000000004</v>
      </c>
      <c r="X43" s="57">
        <f>(31*0.1790888*245000/1000000)+(31*0.2374*100000/1000000)</f>
        <v>2.0961194359999999</v>
      </c>
      <c r="Y43" s="57"/>
      <c r="Z43" s="14">
        <f>CHOOSE(CONTROL!$C$42, 4.325, 4.325) * CHOOSE(CONTROL!$C$21, $C$9, 100%, $E$9)</f>
        <v>4.3250000000000002</v>
      </c>
      <c r="AA43" s="56">
        <f>(131500*31*(6/31))/1000000</f>
        <v>0.78900000000000003</v>
      </c>
      <c r="AB43" s="50">
        <f>(B43*194.205+C43*267.466+D43*133.845+E43*53.484+F43*40+G43*185+H43*50+I43*100+J43*300)/(194.205+267.466+133.845+53.484+50+40+185+100+300)</f>
        <v>4.4402138481873106</v>
      </c>
      <c r="AC43" s="45">
        <f t="shared" si="2"/>
        <v>4.3881697841726615</v>
      </c>
    </row>
    <row r="44" spans="1:29" ht="15.75" x14ac:dyDescent="0.25">
      <c r="A44" s="13">
        <v>42217</v>
      </c>
      <c r="B44" s="14">
        <f>CHOOSE(CONTROL!$C$42, 4.3965, 4.3965) * CHOOSE(CONTROL!$C$21, $C$9, 100%, $E$9)</f>
        <v>4.3964999999999996</v>
      </c>
      <c r="C44" s="14">
        <f>CHOOSE(CONTROL!$C$42, 4.4045, 4.4045) * CHOOSE(CONTROL!$C$21, $C$9, 100%, $E$9)</f>
        <v>4.4044999999999996</v>
      </c>
      <c r="D44" s="14">
        <f>CHOOSE(CONTROL!$C$42, 4.6251, 4.6251) * CHOOSE(CONTROL!$C$21, $C$9, 100%, $E$9)</f>
        <v>4.6250999999999998</v>
      </c>
      <c r="E44" s="14">
        <f>CHOOSE(CONTROL!$C$42, 4.6565, 4.6565) * CHOOSE(CONTROL!$C$21, $C$9, 100%, $E$9)</f>
        <v>4.6565000000000003</v>
      </c>
      <c r="F44" s="14">
        <f>CHOOSE(CONTROL!$C$42, 4.4238, 4.4238)*CHOOSE(CONTROL!$C$21, $C$9, 100%, $E$9)</f>
        <v>4.4238</v>
      </c>
      <c r="G44" s="14">
        <f>CHOOSE(CONTROL!$C$42, 4.4412, 4.4412)*CHOOSE(CONTROL!$C$21, $C$9, 100%, $E$9)</f>
        <v>4.4412000000000003</v>
      </c>
      <c r="H44" s="14">
        <f>CHOOSE(CONTROL!$C$42, 4.6452, 4.6452) * CHOOSE(CONTROL!$C$21, $C$9, 100%, $E$9)</f>
        <v>4.6452</v>
      </c>
      <c r="I44" s="14">
        <f>CHOOSE(CONTROL!$C$42, 4.4381, 4.4381)* CHOOSE(CONTROL!$C$21, $C$9, 100%, $E$9)</f>
        <v>4.4381000000000004</v>
      </c>
      <c r="J44" s="14">
        <f>CHOOSE(CONTROL!$C$42, 4.4168, 4.4168)* CHOOSE(CONTROL!$C$21, $C$9, 100%, $E$9)</f>
        <v>4.4168000000000003</v>
      </c>
      <c r="K44" s="53"/>
      <c r="L44" s="14">
        <f>CHOOSE(CONTROL!$C$42, 5.2322, 5.2322) * CHOOSE(CONTROL!$C$21, $C$9, 100%, $E$9)</f>
        <v>5.2321999999999997</v>
      </c>
      <c r="M44" s="14">
        <f>CHOOSE(CONTROL!$C$42, 4.334, 4.334) * CHOOSE(CONTROL!$C$21, $C$9, 100%, $E$9)</f>
        <v>4.3339999999999996</v>
      </c>
      <c r="N44" s="14">
        <f>CHOOSE(CONTROL!$C$42, 4.3511, 4.3511) * CHOOSE(CONTROL!$C$21, $C$9, 100%, $E$9)</f>
        <v>4.3510999999999997</v>
      </c>
      <c r="O44" s="14">
        <f>CHOOSE(CONTROL!$C$42, 4.5577, 4.5577) * CHOOSE(CONTROL!$C$21, $C$9, 100%, $E$9)</f>
        <v>4.5576999999999996</v>
      </c>
      <c r="P44" s="14">
        <f>CHOOSE(CONTROL!$C$42, 4.3547, 4.3547) * CHOOSE(CONTROL!$C$21, $C$9, 100%, $E$9)</f>
        <v>4.3547000000000002</v>
      </c>
      <c r="Q44" s="14">
        <f>CHOOSE(CONTROL!$C$42, 5.1524, 5.1524) * CHOOSE(CONTROL!$C$21, $C$9, 100%, $E$9)</f>
        <v>5.1524000000000001</v>
      </c>
      <c r="R44" s="14">
        <f>CHOOSE(CONTROL!$C$42, 5.7523, 5.7523) * CHOOSE(CONTROL!$C$21, $C$9, 100%, $E$9)</f>
        <v>5.7523</v>
      </c>
      <c r="S44" s="14">
        <f>CHOOSE(CONTROL!$C$42, 4.2139, 4.2139) * CHOOSE(CONTROL!$C$21, $C$9, 100%, $E$9)</f>
        <v>4.2138999999999998</v>
      </c>
      <c r="T44" s="58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44" s="57">
        <f>(1000*CHOOSE(CONTROL!$C$42, 695, 695)*CHOOSE(CONTROL!$C$42, 0.5599, 0.5599)*CHOOSE(CONTROL!$C$42, 31, 31))/1000000</f>
        <v>12.063045499999998</v>
      </c>
      <c r="V44" s="57">
        <f>(1000*CHOOSE(CONTROL!$C$42, 580, 580)*CHOOSE(CONTROL!$C$42, 0.275, 0.275)*CHOOSE(CONTROL!$C$42, 31, 31))/1000000</f>
        <v>4.9444999999999997</v>
      </c>
      <c r="W44" s="57">
        <f>(1000*CHOOSE(CONTROL!$C$42, 0.1146, 0.1146)*CHOOSE(CONTROL!$C$42, 200, 200)*CHOOSE(CONTROL!$C$42, 31, 31))/1000000</f>
        <v>0.71052000000000004</v>
      </c>
      <c r="X44" s="57">
        <f>(31*0.1790888*245000/1000000)+(31*0.2374*100000/1000000)</f>
        <v>2.0961194359999999</v>
      </c>
      <c r="Y44" s="57"/>
      <c r="Z44" s="14">
        <f>CHOOSE(CONTROL!$C$42, 4.3403, 4.3403) * CHOOSE(CONTROL!$C$21, $C$9, 100%, $E$9)</f>
        <v>4.3403</v>
      </c>
      <c r="AA44" s="56">
        <f>(131500*31*(6/31))/1000000</f>
        <v>0.78900000000000003</v>
      </c>
      <c r="AB44" s="50">
        <f>(B44*194.205+C44*267.466+D44*133.845+E44*53.484+F44*40+G44*185+H44*50+I44*100+J44*300)/(194.205+267.466+133.845+53.484+50+40+185+100+300)</f>
        <v>4.4559328058912389</v>
      </c>
      <c r="AC44" s="45">
        <f t="shared" si="2"/>
        <v>4.403679856115108</v>
      </c>
    </row>
    <row r="45" spans="1:29" ht="15.75" x14ac:dyDescent="0.25">
      <c r="A45" s="13">
        <v>42248</v>
      </c>
      <c r="B45" s="14">
        <f>CHOOSE(CONTROL!$C$42, 4.3983, 4.3983) * CHOOSE(CONTROL!$C$21, $C$9, 100%, $E$9)</f>
        <v>4.3982999999999999</v>
      </c>
      <c r="C45" s="14">
        <f>CHOOSE(CONTROL!$C$42, 4.4063, 4.4063) * CHOOSE(CONTROL!$C$21, $C$9, 100%, $E$9)</f>
        <v>4.4062999999999999</v>
      </c>
      <c r="D45" s="14">
        <f>CHOOSE(CONTROL!$C$42, 4.6269, 4.6269) * CHOOSE(CONTROL!$C$21, $C$9, 100%, $E$9)</f>
        <v>4.6269</v>
      </c>
      <c r="E45" s="14">
        <f>CHOOSE(CONTROL!$C$42, 4.6584, 4.6584) * CHOOSE(CONTROL!$C$21, $C$9, 100%, $E$9)</f>
        <v>4.6584000000000003</v>
      </c>
      <c r="F45" s="14">
        <f>CHOOSE(CONTROL!$C$42, 4.4257, 4.4257)*CHOOSE(CONTROL!$C$21, $C$9, 100%, $E$9)</f>
        <v>4.4257</v>
      </c>
      <c r="G45" s="14">
        <f>CHOOSE(CONTROL!$C$42, 4.4431, 4.4431)*CHOOSE(CONTROL!$C$21, $C$9, 100%, $E$9)</f>
        <v>4.4431000000000003</v>
      </c>
      <c r="H45" s="14">
        <f>CHOOSE(CONTROL!$C$42, 4.647, 4.647) * CHOOSE(CONTROL!$C$21, $C$9, 100%, $E$9)</f>
        <v>4.6470000000000002</v>
      </c>
      <c r="I45" s="14">
        <f>CHOOSE(CONTROL!$C$42, 4.44, 4.44)* CHOOSE(CONTROL!$C$21, $C$9, 100%, $E$9)</f>
        <v>4.4400000000000004</v>
      </c>
      <c r="J45" s="14">
        <f>CHOOSE(CONTROL!$C$42, 4.4187, 4.4187)* CHOOSE(CONTROL!$C$21, $C$9, 100%, $E$9)</f>
        <v>4.4187000000000003</v>
      </c>
      <c r="K45" s="53"/>
      <c r="L45" s="14">
        <f>CHOOSE(CONTROL!$C$42, 5.234, 5.234) * CHOOSE(CONTROL!$C$21, $C$9, 100%, $E$9)</f>
        <v>5.234</v>
      </c>
      <c r="M45" s="14">
        <f>CHOOSE(CONTROL!$C$42, 4.3358, 4.3358) * CHOOSE(CONTROL!$C$21, $C$9, 100%, $E$9)</f>
        <v>4.3357999999999999</v>
      </c>
      <c r="N45" s="14">
        <f>CHOOSE(CONTROL!$C$42, 4.3529, 4.3529) * CHOOSE(CONTROL!$C$21, $C$9, 100%, $E$9)</f>
        <v>4.3529</v>
      </c>
      <c r="O45" s="14">
        <f>CHOOSE(CONTROL!$C$42, 4.5595, 4.5595) * CHOOSE(CONTROL!$C$21, $C$9, 100%, $E$9)</f>
        <v>4.5594999999999999</v>
      </c>
      <c r="P45" s="14">
        <f>CHOOSE(CONTROL!$C$42, 4.3565, 4.3565) * CHOOSE(CONTROL!$C$21, $C$9, 100%, $E$9)</f>
        <v>4.3564999999999996</v>
      </c>
      <c r="Q45" s="14">
        <f>CHOOSE(CONTROL!$C$42, 5.1542, 5.1542) * CHOOSE(CONTROL!$C$21, $C$9, 100%, $E$9)</f>
        <v>5.1542000000000003</v>
      </c>
      <c r="R45" s="14">
        <f>CHOOSE(CONTROL!$C$42, 5.7541, 5.7541) * CHOOSE(CONTROL!$C$21, $C$9, 100%, $E$9)</f>
        <v>5.7541000000000002</v>
      </c>
      <c r="S45" s="14">
        <f>CHOOSE(CONTROL!$C$42, 4.2157, 4.2157) * CHOOSE(CONTROL!$C$21, $C$9, 100%, $E$9)</f>
        <v>4.2157</v>
      </c>
      <c r="T45" s="58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45" s="57">
        <f>(1000*CHOOSE(CONTROL!$C$42, 695, 695)*CHOOSE(CONTROL!$C$42, 0.5599, 0.5599)*CHOOSE(CONTROL!$C$42, 30, 30))/1000000</f>
        <v>11.673914999999997</v>
      </c>
      <c r="V45" s="57">
        <f>(1000*CHOOSE(CONTROL!$C$42, 580, 580)*CHOOSE(CONTROL!$C$42, 0.275, 0.275)*CHOOSE(CONTROL!$C$42, 30, 30))/1000000</f>
        <v>4.7850000000000001</v>
      </c>
      <c r="W45" s="57">
        <f>(1000*CHOOSE(CONTROL!$C$42, 0.1146, 0.1146)*CHOOSE(CONTROL!$C$42, 200, 200)*CHOOSE(CONTROL!$C$42, 30, 30))/1000000</f>
        <v>0.68759999999999999</v>
      </c>
      <c r="X45" s="57">
        <f>(30*0.1790888*245000/1000000)+(30*0.2374*100000/1000000)</f>
        <v>2.0285026799999999</v>
      </c>
      <c r="Y45" s="57"/>
      <c r="Z45" s="14">
        <f>CHOOSE(CONTROL!$C$42, 4.3422, 4.3422) * CHOOSE(CONTROL!$C$21, $C$9, 100%, $E$9)</f>
        <v>4.3422000000000001</v>
      </c>
      <c r="AA45" s="56">
        <f>(131500*30*(6/30))/1000000</f>
        <v>0.78900000000000003</v>
      </c>
      <c r="AB45" s="50">
        <f>(B45*194.205+C45*267.466+D45*133.845+E45*53.484+F45*40+G45*185+H45*50+I45*100+J45*300)/(194.205+267.466+133.845+53.484+50+40+185+100+300)</f>
        <v>4.4577840509063442</v>
      </c>
      <c r="AC45" s="45">
        <f t="shared" si="2"/>
        <v>4.4054798561151074</v>
      </c>
    </row>
    <row r="46" spans="1:29" ht="15.75" x14ac:dyDescent="0.25">
      <c r="A46" s="13">
        <v>42278</v>
      </c>
      <c r="B46" s="14">
        <f>CHOOSE(CONTROL!$C$42, 4.4226, 4.4226) * CHOOSE(CONTROL!$C$21, $C$9, 100%, $E$9)</f>
        <v>4.4226000000000001</v>
      </c>
      <c r="C46" s="14">
        <f>CHOOSE(CONTROL!$C$42, 4.4279, 4.4279) * CHOOSE(CONTROL!$C$21, $C$9, 100%, $E$9)</f>
        <v>4.4279000000000002</v>
      </c>
      <c r="D46" s="14">
        <f>CHOOSE(CONTROL!$C$42, 4.6534, 4.6534) * CHOOSE(CONTROL!$C$21, $C$9, 100%, $E$9)</f>
        <v>4.6534000000000004</v>
      </c>
      <c r="E46" s="14">
        <f>CHOOSE(CONTROL!$C$42, 4.6826, 4.6826) * CHOOSE(CONTROL!$C$21, $C$9, 100%, $E$9)</f>
        <v>4.6825999999999999</v>
      </c>
      <c r="F46" s="14">
        <f>CHOOSE(CONTROL!$C$42, 4.4519, 4.4519)*CHOOSE(CONTROL!$C$21, $C$9, 100%, $E$9)</f>
        <v>4.4519000000000002</v>
      </c>
      <c r="G46" s="14">
        <f>CHOOSE(CONTROL!$C$42, 4.4692, 4.4692)*CHOOSE(CONTROL!$C$21, $C$9, 100%, $E$9)</f>
        <v>4.4691999999999998</v>
      </c>
      <c r="H46" s="14">
        <f>CHOOSE(CONTROL!$C$42, 4.673, 4.673) * CHOOSE(CONTROL!$C$21, $C$9, 100%, $E$9)</f>
        <v>4.673</v>
      </c>
      <c r="I46" s="14">
        <f>CHOOSE(CONTROL!$C$42, 4.4661, 4.4661)* CHOOSE(CONTROL!$C$21, $C$9, 100%, $E$9)</f>
        <v>4.4661</v>
      </c>
      <c r="J46" s="14">
        <f>CHOOSE(CONTROL!$C$42, 4.4449, 4.4449)* CHOOSE(CONTROL!$C$21, $C$9, 100%, $E$9)</f>
        <v>4.4448999999999996</v>
      </c>
      <c r="K46" s="53"/>
      <c r="L46" s="14">
        <f>CHOOSE(CONTROL!$C$42, 5.26, 5.26) * CHOOSE(CONTROL!$C$21, $C$9, 100%, $E$9)</f>
        <v>5.26</v>
      </c>
      <c r="M46" s="14">
        <f>CHOOSE(CONTROL!$C$42, 4.3616, 4.3616) * CHOOSE(CONTROL!$C$21, $C$9, 100%, $E$9)</f>
        <v>4.3616000000000001</v>
      </c>
      <c r="N46" s="14">
        <f>CHOOSE(CONTROL!$C$42, 4.3784, 4.3784) * CHOOSE(CONTROL!$C$21, $C$9, 100%, $E$9)</f>
        <v>4.3784000000000001</v>
      </c>
      <c r="O46" s="14">
        <f>CHOOSE(CONTROL!$C$42, 4.585, 4.585) * CHOOSE(CONTROL!$C$21, $C$9, 100%, $E$9)</f>
        <v>4.585</v>
      </c>
      <c r="P46" s="14">
        <f>CHOOSE(CONTROL!$C$42, 4.3821, 4.3821) * CHOOSE(CONTROL!$C$21, $C$9, 100%, $E$9)</f>
        <v>4.3821000000000003</v>
      </c>
      <c r="Q46" s="14">
        <f>CHOOSE(CONTROL!$C$42, 5.1797, 5.1797) * CHOOSE(CONTROL!$C$21, $C$9, 100%, $E$9)</f>
        <v>5.1797000000000004</v>
      </c>
      <c r="R46" s="14">
        <f>CHOOSE(CONTROL!$C$42, 5.7796, 5.7796) * CHOOSE(CONTROL!$C$21, $C$9, 100%, $E$9)</f>
        <v>5.7796000000000003</v>
      </c>
      <c r="S46" s="14">
        <f>CHOOSE(CONTROL!$C$42, 4.2407, 4.2407) * CHOOSE(CONTROL!$C$21, $C$9, 100%, $E$9)</f>
        <v>4.2407000000000004</v>
      </c>
      <c r="T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" s="57">
        <f>(1000*CHOOSE(CONTROL!$C$42, 695, 695)*CHOOSE(CONTROL!$C$42, 0.5599, 0.5599)*CHOOSE(CONTROL!$C$42, 31, 31))/1000000</f>
        <v>12.063045499999998</v>
      </c>
      <c r="V46" s="57">
        <f>(1000*CHOOSE(CONTROL!$C$42, 580, 580)*CHOOSE(CONTROL!$C$42, 0.275, 0.275)*CHOOSE(CONTROL!$C$42, 31, 31))/1000000</f>
        <v>4.9444999999999997</v>
      </c>
      <c r="W46" s="57">
        <f>(1000*CHOOSE(CONTROL!$C$42, 0.1146, 0.1146)*CHOOSE(CONTROL!$C$42, 200, 200)*CHOOSE(CONTROL!$C$42, 31, 31))/1000000</f>
        <v>0.71052000000000004</v>
      </c>
      <c r="X46" s="57">
        <f>(31*0.1790888*245000/1000000)+(31*0.2374*100000/1000000)</f>
        <v>2.0961194359999999</v>
      </c>
      <c r="Y46" s="57"/>
      <c r="Z46" s="14">
        <f>CHOOSE(CONTROL!$C$42, 4.3678, 4.3678) * CHOOSE(CONTROL!$C$21, $C$9, 100%, $E$9)</f>
        <v>4.3677999999999999</v>
      </c>
      <c r="AA46" s="56">
        <f>(131500*31*(6/31))/1000000</f>
        <v>0.78900000000000003</v>
      </c>
      <c r="AB46" s="50">
        <f>(B46*131.881+C46*277.167+D46*79.08+E46*125.872+F46*40+G46*185+H46*0+I46*100+J46*300)/(131.881+277.167+79.08+125.872+0+40+185+100+300)</f>
        <v>4.4817447692493948</v>
      </c>
      <c r="AC46" s="45">
        <f t="shared" si="2"/>
        <v>4.4310978417266194</v>
      </c>
    </row>
    <row r="47" spans="1:29" ht="15.75" x14ac:dyDescent="0.25">
      <c r="A47" s="13">
        <v>42309</v>
      </c>
      <c r="B47" s="14">
        <f>CHOOSE(CONTROL!$C$42, 4.5085, 4.5085) * CHOOSE(CONTROL!$C$21, $C$9, 100%, $E$9)</f>
        <v>4.5084999999999997</v>
      </c>
      <c r="C47" s="14">
        <f>CHOOSE(CONTROL!$C$42, 4.5136, 4.5136) * CHOOSE(CONTROL!$C$21, $C$9, 100%, $E$9)</f>
        <v>4.5136000000000003</v>
      </c>
      <c r="D47" s="14">
        <f>CHOOSE(CONTROL!$C$42, 4.5878, 4.5878) * CHOOSE(CONTROL!$C$21, $C$9, 100%, $E$9)</f>
        <v>4.5877999999999997</v>
      </c>
      <c r="E47" s="14">
        <f>CHOOSE(CONTROL!$C$42, 4.6219, 4.6219) * CHOOSE(CONTROL!$C$21, $C$9, 100%, $E$9)</f>
        <v>4.6219000000000001</v>
      </c>
      <c r="F47" s="14">
        <f>CHOOSE(CONTROL!$C$42, 4.5446, 4.5446)*CHOOSE(CONTROL!$C$21, $C$9, 100%, $E$9)</f>
        <v>4.5446</v>
      </c>
      <c r="G47" s="14">
        <f>CHOOSE(CONTROL!$C$42, 4.5621, 4.5621)*CHOOSE(CONTROL!$C$21, $C$9, 100%, $E$9)</f>
        <v>4.5621</v>
      </c>
      <c r="H47" s="14">
        <f>CHOOSE(CONTROL!$C$42, 4.6111, 4.6111) * CHOOSE(CONTROL!$C$21, $C$9, 100%, $E$9)</f>
        <v>4.6111000000000004</v>
      </c>
      <c r="I47" s="14">
        <f>CHOOSE(CONTROL!$C$42, 4.5501, 4.5501)* CHOOSE(CONTROL!$C$21, $C$9, 100%, $E$9)</f>
        <v>4.5500999999999996</v>
      </c>
      <c r="J47" s="14">
        <f>CHOOSE(CONTROL!$C$42, 4.5376, 4.5376)* CHOOSE(CONTROL!$C$21, $C$9, 100%, $E$9)</f>
        <v>4.5376000000000003</v>
      </c>
      <c r="K47" s="53"/>
      <c r="L47" s="14">
        <f>CHOOSE(CONTROL!$C$42, 5.1981, 5.1981) * CHOOSE(CONTROL!$C$21, $C$9, 100%, $E$9)</f>
        <v>5.1981000000000002</v>
      </c>
      <c r="M47" s="14">
        <f>CHOOSE(CONTROL!$C$42, 4.4523, 4.4523) * CHOOSE(CONTROL!$C$21, $C$9, 100%, $E$9)</f>
        <v>4.4523000000000001</v>
      </c>
      <c r="N47" s="14">
        <f>CHOOSE(CONTROL!$C$42, 4.4695, 4.4695) * CHOOSE(CONTROL!$C$21, $C$9, 100%, $E$9)</f>
        <v>4.4695</v>
      </c>
      <c r="O47" s="14">
        <f>CHOOSE(CONTROL!$C$42, 4.5243, 4.5243) * CHOOSE(CONTROL!$C$21, $C$9, 100%, $E$9)</f>
        <v>4.5243000000000002</v>
      </c>
      <c r="P47" s="14">
        <f>CHOOSE(CONTROL!$C$42, 4.4644, 4.4644) * CHOOSE(CONTROL!$C$21, $C$9, 100%, $E$9)</f>
        <v>4.4644000000000004</v>
      </c>
      <c r="Q47" s="14">
        <f>CHOOSE(CONTROL!$C$42, 5.119, 5.119) * CHOOSE(CONTROL!$C$21, $C$9, 100%, $E$9)</f>
        <v>5.1189999999999998</v>
      </c>
      <c r="R47" s="14">
        <f>CHOOSE(CONTROL!$C$42, 5.7188, 5.7188) * CHOOSE(CONTROL!$C$21, $C$9, 100%, $E$9)</f>
        <v>5.7187999999999999</v>
      </c>
      <c r="S47" s="14">
        <f>CHOOSE(CONTROL!$C$42, 4.3237, 4.3237) * CHOOSE(CONTROL!$C$21, $C$9, 100%, $E$9)</f>
        <v>4.3236999999999997</v>
      </c>
      <c r="T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" s="57">
        <f>(1000*CHOOSE(CONTROL!$C$42, 695, 695)*CHOOSE(CONTROL!$C$42, 0.5599, 0.5599)*CHOOSE(CONTROL!$C$42, 30, 30))/1000000</f>
        <v>11.673914999999997</v>
      </c>
      <c r="V47" s="57">
        <f>(1000*CHOOSE(CONTROL!$C$42, 580, 580)*CHOOSE(CONTROL!$C$42, 0.275, 0.275)*CHOOSE(CONTROL!$C$42, 30, 30))/1000000</f>
        <v>4.7850000000000001</v>
      </c>
      <c r="W47" s="57">
        <f>(1000*CHOOSE(CONTROL!$C$42, 0.1146, 0.1146)*CHOOSE(CONTROL!$C$42, 200, 200)*CHOOSE(CONTROL!$C$42, 30, 30))/1000000</f>
        <v>0.68759999999999999</v>
      </c>
      <c r="X47" s="57">
        <f>(30*0.1790888*100000/1000000)+(30*0.2374*100000/1000000)</f>
        <v>1.2494664</v>
      </c>
      <c r="Y47" s="57"/>
      <c r="Z47" s="14">
        <f>CHOOSE(CONTROL!$C$42, 4.4548, 4.4548) * CHOOSE(CONTROL!$C$21, $C$9, 100%, $E$9)</f>
        <v>4.4547999999999996</v>
      </c>
      <c r="AA47" s="56">
        <f>(131500*30*(6/30))/1000000</f>
        <v>0.78900000000000003</v>
      </c>
      <c r="AB47" s="50">
        <f>(B47*122.58+C47*297.941+D47*89.177+E47*40.302+F47*40+G47*160+H47*0+I47*100+J47*300)/(122.58+297.941+89.177+40.302+0+40+160+100+300)</f>
        <v>4.5398665060869572</v>
      </c>
      <c r="AC47" s="45">
        <f>(M47*240+N47*40+O47*315+P47*100)/(240+40+315+100)</f>
        <v>4.4876640287769787</v>
      </c>
    </row>
    <row r="48" spans="1:29" ht="15.75" x14ac:dyDescent="0.25">
      <c r="A48" s="13">
        <v>42339</v>
      </c>
      <c r="B48" s="14">
        <f>CHOOSE(CONTROL!$C$42, 4.699, 4.699) * CHOOSE(CONTROL!$C$21, $C$9, 100%, $E$9)</f>
        <v>4.6989999999999998</v>
      </c>
      <c r="C48" s="14">
        <f>CHOOSE(CONTROL!$C$42, 4.704, 4.704) * CHOOSE(CONTROL!$C$21, $C$9, 100%, $E$9)</f>
        <v>4.7039999999999997</v>
      </c>
      <c r="D48" s="14">
        <f>CHOOSE(CONTROL!$C$42, 4.7783, 4.7783) * CHOOSE(CONTROL!$C$21, $C$9, 100%, $E$9)</f>
        <v>4.7782999999999998</v>
      </c>
      <c r="E48" s="14">
        <f>CHOOSE(CONTROL!$C$42, 4.8124, 4.8124) * CHOOSE(CONTROL!$C$21, $C$9, 100%, $E$9)</f>
        <v>4.8124000000000002</v>
      </c>
      <c r="F48" s="14">
        <f>CHOOSE(CONTROL!$C$42, 4.7374, 4.7374)*CHOOSE(CONTROL!$C$21, $C$9, 100%, $E$9)</f>
        <v>4.7374000000000001</v>
      </c>
      <c r="G48" s="14">
        <f>CHOOSE(CONTROL!$C$42, 4.7555, 4.7555)*CHOOSE(CONTROL!$C$21, $C$9, 100%, $E$9)</f>
        <v>4.7554999999999996</v>
      </c>
      <c r="H48" s="14">
        <f>CHOOSE(CONTROL!$C$42, 4.8016, 4.8016) * CHOOSE(CONTROL!$C$21, $C$9, 100%, $E$9)</f>
        <v>4.8015999999999996</v>
      </c>
      <c r="I48" s="14">
        <f>CHOOSE(CONTROL!$C$42, 4.7412, 4.7412)* CHOOSE(CONTROL!$C$21, $C$9, 100%, $E$9)</f>
        <v>4.7412000000000001</v>
      </c>
      <c r="J48" s="14">
        <f>CHOOSE(CONTROL!$C$42, 4.7304, 4.7304)* CHOOSE(CONTROL!$C$21, $C$9, 100%, $E$9)</f>
        <v>4.7304000000000004</v>
      </c>
      <c r="K48" s="53"/>
      <c r="L48" s="14">
        <f>CHOOSE(CONTROL!$C$42, 5.3886, 5.3886) * CHOOSE(CONTROL!$C$21, $C$9, 100%, $E$9)</f>
        <v>5.3886000000000003</v>
      </c>
      <c r="M48" s="14">
        <f>CHOOSE(CONTROL!$C$42, 4.6412, 4.6412) * CHOOSE(CONTROL!$C$21, $C$9, 100%, $E$9)</f>
        <v>4.6412000000000004</v>
      </c>
      <c r="N48" s="14">
        <f>CHOOSE(CONTROL!$C$42, 4.6589, 4.6589) * CHOOSE(CONTROL!$C$21, $C$9, 100%, $E$9)</f>
        <v>4.6589</v>
      </c>
      <c r="O48" s="14">
        <f>CHOOSE(CONTROL!$C$42, 4.7109, 4.7109) * CHOOSE(CONTROL!$C$21, $C$9, 100%, $E$9)</f>
        <v>4.7108999999999996</v>
      </c>
      <c r="P48" s="14">
        <f>CHOOSE(CONTROL!$C$42, 4.6515, 4.6515) * CHOOSE(CONTROL!$C$21, $C$9, 100%, $E$9)</f>
        <v>4.6515000000000004</v>
      </c>
      <c r="Q48" s="14">
        <f>CHOOSE(CONTROL!$C$42, 5.3056, 5.3056) * CHOOSE(CONTROL!$C$21, $C$9, 100%, $E$9)</f>
        <v>5.3056000000000001</v>
      </c>
      <c r="R48" s="14">
        <f>CHOOSE(CONTROL!$C$42, 5.9058, 5.9058) * CHOOSE(CONTROL!$C$21, $C$9, 100%, $E$9)</f>
        <v>5.9058000000000002</v>
      </c>
      <c r="S48" s="14">
        <f>CHOOSE(CONTROL!$C$42, 4.5067, 4.5067) * CHOOSE(CONTROL!$C$21, $C$9, 100%, $E$9)</f>
        <v>4.5067000000000004</v>
      </c>
      <c r="T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" s="57">
        <f>(1000*CHOOSE(CONTROL!$C$42, 695, 695)*CHOOSE(CONTROL!$C$42, 0.5599, 0.5599)*CHOOSE(CONTROL!$C$42, 31, 31))/1000000</f>
        <v>12.063045499999998</v>
      </c>
      <c r="V48" s="57">
        <f>(1000*CHOOSE(CONTROL!$C$42, 580, 580)*CHOOSE(CONTROL!$C$42, 0.275, 0.275)*CHOOSE(CONTROL!$C$42, 31, 31))/1000000</f>
        <v>4.9444999999999997</v>
      </c>
      <c r="W48" s="57">
        <f>(1000*CHOOSE(CONTROL!$C$42, 0.1146, 0.1146)*CHOOSE(CONTROL!$C$42, 200, 200)*CHOOSE(CONTROL!$C$42, 31, 31))/1000000</f>
        <v>0.71052000000000004</v>
      </c>
      <c r="X48" s="57">
        <f>(31*0.1790888*100000/1000000)+(31*0.2374*100000/1000000)</f>
        <v>1.2911152800000001</v>
      </c>
      <c r="Y48" s="57"/>
      <c r="Z48" s="14">
        <f>CHOOSE(CONTROL!$C$42, 4.6421, 4.6421) * CHOOSE(CONTROL!$C$21, $C$9, 100%, $E$9)</f>
        <v>4.6421000000000001</v>
      </c>
      <c r="AA48" s="56">
        <f>(131500*31*(6/31))/1000000</f>
        <v>0.78900000000000003</v>
      </c>
      <c r="AB48" s="50">
        <f>(B48*122.58+C48*297.941+D48*89.177+E48*40.302+F48*40+G48*160+H48*0+I48*100+J48*300)/(122.58+297.941+89.177+40.302+0+40+160+100+300)</f>
        <v>4.7314762503478258</v>
      </c>
      <c r="AC48" s="45">
        <f>(M48*240+N48*40+O48*315+P48*100)/(240+40+315+100)</f>
        <v>4.6752913669064746</v>
      </c>
    </row>
    <row r="49" spans="1:29" ht="15.75" x14ac:dyDescent="0.25">
      <c r="A49" s="13">
        <v>42370</v>
      </c>
      <c r="B49" s="14">
        <f>CHOOSE(CONTROL!$C$42, 4.7723, 4.7723) * CHOOSE(CONTROL!$C$21, $C$9, 100%, $E$9)</f>
        <v>4.7723000000000004</v>
      </c>
      <c r="C49" s="14">
        <f>CHOOSE(CONTROL!$C$42, 4.7774, 4.7774) * CHOOSE(CONTROL!$C$21, $C$9, 100%, $E$9)</f>
        <v>4.7774000000000001</v>
      </c>
      <c r="D49" s="14">
        <f>CHOOSE(CONTROL!$C$42, 4.8542, 4.8542) * CHOOSE(CONTROL!$C$21, $C$9, 100%, $E$9)</f>
        <v>4.8541999999999996</v>
      </c>
      <c r="E49" s="14">
        <f>CHOOSE(CONTROL!$C$42, 4.8883, 4.8883) * CHOOSE(CONTROL!$C$21, $C$9, 100%, $E$9)</f>
        <v>4.8883000000000001</v>
      </c>
      <c r="F49" s="14">
        <f>CHOOSE(CONTROL!$C$42, 4.7971, 4.7971)*CHOOSE(CONTROL!$C$21, $C$9, 100%, $E$9)</f>
        <v>4.7971000000000004</v>
      </c>
      <c r="G49" s="14">
        <f>CHOOSE(CONTROL!$C$42, 4.8151, 4.8151)*CHOOSE(CONTROL!$C$21, $C$9, 100%, $E$9)</f>
        <v>4.8151000000000002</v>
      </c>
      <c r="H49" s="14">
        <f>CHOOSE(CONTROL!$C$42, 4.8775, 4.8775) * CHOOSE(CONTROL!$C$21, $C$9, 100%, $E$9)</f>
        <v>4.8775000000000004</v>
      </c>
      <c r="I49" s="14">
        <f>CHOOSE(CONTROL!$C$42, 4.821, 4.821)* CHOOSE(CONTROL!$C$21, $C$9, 100%, $E$9)</f>
        <v>4.8209999999999997</v>
      </c>
      <c r="J49" s="14">
        <f>CHOOSE(CONTROL!$C$42, 4.7901, 4.7901)* CHOOSE(CONTROL!$C$21, $C$9, 100%, $E$9)</f>
        <v>4.7900999999999998</v>
      </c>
      <c r="K49" s="53"/>
      <c r="L49" s="14">
        <f>CHOOSE(CONTROL!$C$42, 5.4645, 5.4645) * CHOOSE(CONTROL!$C$21, $C$9, 100%, $E$9)</f>
        <v>5.4645000000000001</v>
      </c>
      <c r="M49" s="14">
        <f>CHOOSE(CONTROL!$C$42, 4.6996, 4.6996) * CHOOSE(CONTROL!$C$21, $C$9, 100%, $E$9)</f>
        <v>4.6996000000000002</v>
      </c>
      <c r="N49" s="14">
        <f>CHOOSE(CONTROL!$C$42, 4.7172, 4.7172) * CHOOSE(CONTROL!$C$21, $C$9, 100%, $E$9)</f>
        <v>4.7172000000000001</v>
      </c>
      <c r="O49" s="14">
        <f>CHOOSE(CONTROL!$C$42, 4.7853, 4.7853) * CHOOSE(CONTROL!$C$21, $C$9, 100%, $E$9)</f>
        <v>4.7853000000000003</v>
      </c>
      <c r="P49" s="14">
        <f>CHOOSE(CONTROL!$C$42, 4.7297, 4.7297) * CHOOSE(CONTROL!$C$21, $C$9, 100%, $E$9)</f>
        <v>4.7297000000000002</v>
      </c>
      <c r="Q49" s="14">
        <f>CHOOSE(CONTROL!$C$42, 5.38, 5.38) * CHOOSE(CONTROL!$C$21, $C$9, 100%, $E$9)</f>
        <v>5.38</v>
      </c>
      <c r="R49" s="14">
        <f>CHOOSE(CONTROL!$C$42, 5.9804, 5.9804) * CHOOSE(CONTROL!$C$21, $C$9, 100%, $E$9)</f>
        <v>5.9804000000000004</v>
      </c>
      <c r="S49" s="14">
        <f>CHOOSE(CONTROL!$C$42, 4.5772, 4.5772) * CHOOSE(CONTROL!$C$21, $C$9, 100%, $E$9)</f>
        <v>4.5772000000000004</v>
      </c>
      <c r="T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" s="57">
        <f>(1000*CHOOSE(CONTROL!$C$42, 695, 695)*CHOOSE(CONTROL!$C$42, 0.5599, 0.5599)*CHOOSE(CONTROL!$C$42, 31, 31))/1000000</f>
        <v>12.063045499999998</v>
      </c>
      <c r="V49" s="57">
        <f>(1000*CHOOSE(CONTROL!$C$42, 580, 580)*CHOOSE(CONTROL!$C$42, 0.275, 0.275)*CHOOSE(CONTROL!$C$42, 31, 31))/1000000</f>
        <v>4.9444999999999997</v>
      </c>
      <c r="W49" s="57">
        <f>(1000*CHOOSE(CONTROL!$C$42, 0.1146, 0.1146)*CHOOSE(CONTROL!$C$42, 200, 200)*CHOOSE(CONTROL!$C$42, 31, 31))/1000000</f>
        <v>0.71052000000000004</v>
      </c>
      <c r="X49" s="57">
        <f>(31*0.1790888*100000/1000000)+(31*0.2374*100000/1000000)</f>
        <v>1.2911152800000001</v>
      </c>
      <c r="Y49" s="57"/>
      <c r="Z49" s="14"/>
      <c r="AA49" s="56"/>
      <c r="AB49" s="50">
        <f>(B49*122.58+C49*297.941+D49*89.177+E49*40.302+F49*40+G49*160+H49*0+I49*100+J49*300)/(122.58+297.941+89.177+40.302+0+40+160+100+300)</f>
        <v>4.7997331542608697</v>
      </c>
      <c r="AC49" s="45">
        <f>(M49*'RAP TEMPLATE-GAS AVAILABILITY'!O48+N49*'RAP TEMPLATE-GAS AVAILABILITY'!P48+O49*'RAP TEMPLATE-GAS AVAILABILITY'!Q48+P49*'RAP TEMPLATE-GAS AVAILABILITY'!R48)/('RAP TEMPLATE-GAS AVAILABILITY'!O48+'RAP TEMPLATE-GAS AVAILABILITY'!P48+'RAP TEMPLATE-GAS AVAILABILITY'!Q48+'RAP TEMPLATE-GAS AVAILABILITY'!R48)</f>
        <v>4.7437863309352526</v>
      </c>
    </row>
    <row r="50" spans="1:29" ht="15.75" x14ac:dyDescent="0.25">
      <c r="A50" s="13">
        <v>42401</v>
      </c>
      <c r="B50" s="14">
        <f>CHOOSE(CONTROL!$C$42, 4.8671, 4.8671) * CHOOSE(CONTROL!$C$21, $C$9, 100%, $E$9)</f>
        <v>4.8670999999999998</v>
      </c>
      <c r="C50" s="14">
        <f>CHOOSE(CONTROL!$C$42, 4.8722, 4.8722) * CHOOSE(CONTROL!$C$21, $C$9, 100%, $E$9)</f>
        <v>4.8722000000000003</v>
      </c>
      <c r="D50" s="14">
        <f>CHOOSE(CONTROL!$C$42, 4.949, 4.949) * CHOOSE(CONTROL!$C$21, $C$9, 100%, $E$9)</f>
        <v>4.9489999999999998</v>
      </c>
      <c r="E50" s="14">
        <f>CHOOSE(CONTROL!$C$42, 4.9831, 4.9831) * CHOOSE(CONTROL!$C$21, $C$9, 100%, $E$9)</f>
        <v>4.9831000000000003</v>
      </c>
      <c r="F50" s="14">
        <f>CHOOSE(CONTROL!$C$42, 4.8914, 4.8914)*CHOOSE(CONTROL!$C$21, $C$9, 100%, $E$9)</f>
        <v>4.8914</v>
      </c>
      <c r="G50" s="14">
        <f>CHOOSE(CONTROL!$C$42, 4.9093, 4.9093)*CHOOSE(CONTROL!$C$21, $C$9, 100%, $E$9)</f>
        <v>4.9093</v>
      </c>
      <c r="H50" s="14">
        <f>CHOOSE(CONTROL!$C$42, 4.9723, 4.9723) * CHOOSE(CONTROL!$C$21, $C$9, 100%, $E$9)</f>
        <v>4.9722999999999997</v>
      </c>
      <c r="I50" s="14">
        <f>CHOOSE(CONTROL!$C$42, 4.9161, 4.9161)* CHOOSE(CONTROL!$C$21, $C$9, 100%, $E$9)</f>
        <v>4.9161000000000001</v>
      </c>
      <c r="J50" s="14">
        <f>CHOOSE(CONTROL!$C$42, 4.8844, 4.8844)* CHOOSE(CONTROL!$C$21, $C$9, 100%, $E$9)</f>
        <v>4.8844000000000003</v>
      </c>
      <c r="K50" s="53"/>
      <c r="L50" s="14">
        <f>CHOOSE(CONTROL!$C$42, 5.5593, 5.5593) * CHOOSE(CONTROL!$C$21, $C$9, 100%, $E$9)</f>
        <v>5.5593000000000004</v>
      </c>
      <c r="M50" s="14">
        <f>CHOOSE(CONTROL!$C$42, 4.7921, 4.7921) * CHOOSE(CONTROL!$C$21, $C$9, 100%, $E$9)</f>
        <v>4.7920999999999996</v>
      </c>
      <c r="N50" s="14">
        <f>CHOOSE(CONTROL!$C$42, 4.8096, 4.8096) * CHOOSE(CONTROL!$C$21, $C$9, 100%, $E$9)</f>
        <v>4.8095999999999997</v>
      </c>
      <c r="O50" s="14">
        <f>CHOOSE(CONTROL!$C$42, 4.8781, 4.8781) * CHOOSE(CONTROL!$C$21, $C$9, 100%, $E$9)</f>
        <v>4.8780999999999999</v>
      </c>
      <c r="P50" s="14">
        <f>CHOOSE(CONTROL!$C$42, 4.8228, 4.8228) * CHOOSE(CONTROL!$C$21, $C$9, 100%, $E$9)</f>
        <v>4.8228</v>
      </c>
      <c r="Q50" s="14">
        <f>CHOOSE(CONTROL!$C$42, 5.4728, 5.4728) * CHOOSE(CONTROL!$C$21, $C$9, 100%, $E$9)</f>
        <v>5.4728000000000003</v>
      </c>
      <c r="R50" s="14">
        <f>CHOOSE(CONTROL!$C$42, 6.0735, 6.0735) * CHOOSE(CONTROL!$C$21, $C$9, 100%, $E$9)</f>
        <v>6.0735000000000001</v>
      </c>
      <c r="S50" s="14">
        <f>CHOOSE(CONTROL!$C$42, 4.6683, 4.6683) * CHOOSE(CONTROL!$C$21, $C$9, 100%, $E$9)</f>
        <v>4.6683000000000003</v>
      </c>
      <c r="T5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0" s="57">
        <f>(1000*CHOOSE(CONTROL!$C$42, 695, 695)*CHOOSE(CONTROL!$C$42, 0.5599, 0.5599)*CHOOSE(CONTROL!$C$42, 29, 29))/1000000</f>
        <v>11.284784499999999</v>
      </c>
      <c r="V50" s="57">
        <f>(1000*CHOOSE(CONTROL!$C$42, 580, 580)*CHOOSE(CONTROL!$C$42, 0.275, 0.275)*CHOOSE(CONTROL!$C$42, 29, 29))/1000000</f>
        <v>4.6254999999999997</v>
      </c>
      <c r="W50" s="57">
        <f>(1000*CHOOSE(CONTROL!$C$42, 0.1146, 0.1146)*CHOOSE(CONTROL!$C$42, 200, 200)*CHOOSE(CONTROL!$C$42, 29, 29))/1000000</f>
        <v>0.66468000000000005</v>
      </c>
      <c r="X50" s="57">
        <f>(29*0.1790888*100000/1000000)+(29*0.2374*100000/1000000)</f>
        <v>1.2078175199999999</v>
      </c>
      <c r="Y50" s="57"/>
      <c r="Z50" s="14"/>
      <c r="AA50" s="56"/>
      <c r="AB50" s="50">
        <f>(B50*122.58+C50*297.941+D50*89.177+E50*40.302+F50*40+G50*160+H50*0+I50*100+J50*300)/(122.58+297.941+89.177+40.302+0+40+160+100+300)</f>
        <v>4.8943279368695647</v>
      </c>
      <c r="AC50" s="45">
        <f>(M50*'RAP TEMPLATE-GAS AVAILABILITY'!O49+N50*'RAP TEMPLATE-GAS AVAILABILITY'!P49+O50*'RAP TEMPLATE-GAS AVAILABILITY'!Q49+P50*'RAP TEMPLATE-GAS AVAILABILITY'!R49)/('RAP TEMPLATE-GAS AVAILABILITY'!O49+'RAP TEMPLATE-GAS AVAILABILITY'!P49+'RAP TEMPLATE-GAS AVAILABILITY'!Q49+'RAP TEMPLATE-GAS AVAILABILITY'!R49)</f>
        <v>4.8365028776978418</v>
      </c>
    </row>
    <row r="51" spans="1:29" ht="15.75" x14ac:dyDescent="0.25">
      <c r="A51" s="13">
        <v>42430</v>
      </c>
      <c r="B51" s="14">
        <f>CHOOSE(CONTROL!$C$42, 4.7389, 4.7389) * CHOOSE(CONTROL!$C$21, $C$9, 100%, $E$9)</f>
        <v>4.7389000000000001</v>
      </c>
      <c r="C51" s="14">
        <f>CHOOSE(CONTROL!$C$42, 4.744, 4.744) * CHOOSE(CONTROL!$C$21, $C$9, 100%, $E$9)</f>
        <v>4.7439999999999998</v>
      </c>
      <c r="D51" s="14">
        <f>CHOOSE(CONTROL!$C$42, 4.8208, 4.8208) * CHOOSE(CONTROL!$C$21, $C$9, 100%, $E$9)</f>
        <v>4.8208000000000002</v>
      </c>
      <c r="E51" s="14">
        <f>CHOOSE(CONTROL!$C$42, 4.8549, 4.8549) * CHOOSE(CONTROL!$C$21, $C$9, 100%, $E$9)</f>
        <v>4.8548999999999998</v>
      </c>
      <c r="F51" s="14">
        <f>CHOOSE(CONTROL!$C$42, 4.7624, 4.7624)*CHOOSE(CONTROL!$C$21, $C$9, 100%, $E$9)</f>
        <v>4.7624000000000004</v>
      </c>
      <c r="G51" s="14">
        <f>CHOOSE(CONTROL!$C$42, 4.78, 4.78)*CHOOSE(CONTROL!$C$21, $C$9, 100%, $E$9)</f>
        <v>4.78</v>
      </c>
      <c r="H51" s="14">
        <f>CHOOSE(CONTROL!$C$42, 4.8441, 4.8441) * CHOOSE(CONTROL!$C$21, $C$9, 100%, $E$9)</f>
        <v>4.8441000000000001</v>
      </c>
      <c r="I51" s="14">
        <f>CHOOSE(CONTROL!$C$42, 4.7875, 4.7875)* CHOOSE(CONTROL!$C$21, $C$9, 100%, $E$9)</f>
        <v>4.7874999999999996</v>
      </c>
      <c r="J51" s="14">
        <f>CHOOSE(CONTROL!$C$42, 4.7554, 4.7554)* CHOOSE(CONTROL!$C$21, $C$9, 100%, $E$9)</f>
        <v>4.7553999999999998</v>
      </c>
      <c r="K51" s="53"/>
      <c r="L51" s="14">
        <f>CHOOSE(CONTROL!$C$42, 5.4311, 5.4311) * CHOOSE(CONTROL!$C$21, $C$9, 100%, $E$9)</f>
        <v>5.4310999999999998</v>
      </c>
      <c r="M51" s="14">
        <f>CHOOSE(CONTROL!$C$42, 4.6657, 4.6657) * CHOOSE(CONTROL!$C$21, $C$9, 100%, $E$9)</f>
        <v>4.6657000000000002</v>
      </c>
      <c r="N51" s="14">
        <f>CHOOSE(CONTROL!$C$42, 4.6829, 4.6829) * CHOOSE(CONTROL!$C$21, $C$9, 100%, $E$9)</f>
        <v>4.6829000000000001</v>
      </c>
      <c r="O51" s="14">
        <f>CHOOSE(CONTROL!$C$42, 4.7526, 4.7526) * CHOOSE(CONTROL!$C$21, $C$9, 100%, $E$9)</f>
        <v>4.7526000000000002</v>
      </c>
      <c r="P51" s="14">
        <f>CHOOSE(CONTROL!$C$42, 4.6969, 4.6969) * CHOOSE(CONTROL!$C$21, $C$9, 100%, $E$9)</f>
        <v>4.6969000000000003</v>
      </c>
      <c r="Q51" s="14">
        <f>CHOOSE(CONTROL!$C$42, 5.3473, 5.3473) * CHOOSE(CONTROL!$C$21, $C$9, 100%, $E$9)</f>
        <v>5.3472999999999997</v>
      </c>
      <c r="R51" s="14">
        <f>CHOOSE(CONTROL!$C$42, 5.9476, 5.9476) * CHOOSE(CONTROL!$C$21, $C$9, 100%, $E$9)</f>
        <v>5.9476000000000004</v>
      </c>
      <c r="S51" s="14">
        <f>CHOOSE(CONTROL!$C$42, 4.5451, 4.5451) * CHOOSE(CONTROL!$C$21, $C$9, 100%, $E$9)</f>
        <v>4.5450999999999997</v>
      </c>
      <c r="T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" s="57">
        <f>(1000*CHOOSE(CONTROL!$C$42, 695, 695)*CHOOSE(CONTROL!$C$42, 0.5599, 0.5599)*CHOOSE(CONTROL!$C$42, 31, 31))/1000000</f>
        <v>12.063045499999998</v>
      </c>
      <c r="V51" s="57">
        <f>(1000*CHOOSE(CONTROL!$C$42, 580, 580)*CHOOSE(CONTROL!$C$42, 0.275, 0.275)*CHOOSE(CONTROL!$C$42, 31, 31))/1000000</f>
        <v>4.9444999999999997</v>
      </c>
      <c r="W51" s="57">
        <f>(1000*CHOOSE(CONTROL!$C$42, 0.1146, 0.1146)*CHOOSE(CONTROL!$C$42, 200, 200)*CHOOSE(CONTROL!$C$42, 31, 31))/1000000</f>
        <v>0.71052000000000004</v>
      </c>
      <c r="X51" s="57">
        <f>(31*0.1790888*100000/1000000)+(31*0.2374*100000/1000000)</f>
        <v>1.2911152800000001</v>
      </c>
      <c r="Y51" s="57"/>
      <c r="Z51" s="14"/>
      <c r="AA51" s="56"/>
      <c r="AB51" s="50">
        <f>(B51*122.58+C51*297.941+D51*89.177+E51*40.302+F51*40+G51*160+H51*0+I51*100+J51*300)/(122.58+297.941+89.177+40.302+0+40+160+100+300)</f>
        <v>4.7657035890434782</v>
      </c>
      <c r="AC51" s="45">
        <f>(M51*'RAP TEMPLATE-GAS AVAILABILITY'!O50+N51*'RAP TEMPLATE-GAS AVAILABILITY'!P50+O51*'RAP TEMPLATE-GAS AVAILABILITY'!Q50+P51*'RAP TEMPLATE-GAS AVAILABILITY'!R50)/('RAP TEMPLATE-GAS AVAILABILITY'!O50+'RAP TEMPLATE-GAS AVAILABILITY'!P50+'RAP TEMPLATE-GAS AVAILABILITY'!Q50+'RAP TEMPLATE-GAS AVAILABILITY'!R50)</f>
        <v>4.7105654676258997</v>
      </c>
    </row>
    <row r="52" spans="1:29" ht="15.75" x14ac:dyDescent="0.25">
      <c r="A52" s="13">
        <v>42461</v>
      </c>
      <c r="B52" s="14">
        <f>CHOOSE(CONTROL!$C$42, 4.7355, 4.7355) * CHOOSE(CONTROL!$C$21, $C$9, 100%, $E$9)</f>
        <v>4.7355</v>
      </c>
      <c r="C52" s="14">
        <f>CHOOSE(CONTROL!$C$42, 4.74, 4.74) * CHOOSE(CONTROL!$C$21, $C$9, 100%, $E$9)</f>
        <v>4.74</v>
      </c>
      <c r="D52" s="14">
        <f>CHOOSE(CONTROL!$C$42, 4.9637, 4.9637) * CHOOSE(CONTROL!$C$21, $C$9, 100%, $E$9)</f>
        <v>4.9637000000000002</v>
      </c>
      <c r="E52" s="14">
        <f>CHOOSE(CONTROL!$C$42, 4.9958, 4.9958) * CHOOSE(CONTROL!$C$21, $C$9, 100%, $E$9)</f>
        <v>4.9958</v>
      </c>
      <c r="F52" s="14">
        <f>CHOOSE(CONTROL!$C$42, 4.7632, 4.7632)*CHOOSE(CONTROL!$C$21, $C$9, 100%, $E$9)</f>
        <v>4.7632000000000003</v>
      </c>
      <c r="G52" s="14">
        <f>CHOOSE(CONTROL!$C$42, 4.7801, 4.7801)*CHOOSE(CONTROL!$C$21, $C$9, 100%, $E$9)</f>
        <v>4.7801</v>
      </c>
      <c r="H52" s="14">
        <f>CHOOSE(CONTROL!$C$42, 4.9856, 4.9856) * CHOOSE(CONTROL!$C$21, $C$9, 100%, $E$9)</f>
        <v>4.9855999999999998</v>
      </c>
      <c r="I52" s="14">
        <f>CHOOSE(CONTROL!$C$42, 4.7796, 4.7796)* CHOOSE(CONTROL!$C$21, $C$9, 100%, $E$9)</f>
        <v>4.7796000000000003</v>
      </c>
      <c r="J52" s="14">
        <f>CHOOSE(CONTROL!$C$42, 4.7562, 4.7562)* CHOOSE(CONTROL!$C$21, $C$9, 100%, $E$9)</f>
        <v>4.7561999999999998</v>
      </c>
      <c r="K52" s="53"/>
      <c r="L52" s="14">
        <f>CHOOSE(CONTROL!$C$42, 5.5726, 5.5726) * CHOOSE(CONTROL!$C$21, $C$9, 100%, $E$9)</f>
        <v>5.5726000000000004</v>
      </c>
      <c r="M52" s="14">
        <f>CHOOSE(CONTROL!$C$42, 4.6664, 4.6664) * CHOOSE(CONTROL!$C$21, $C$9, 100%, $E$9)</f>
        <v>4.6664000000000003</v>
      </c>
      <c r="N52" s="14">
        <f>CHOOSE(CONTROL!$C$42, 4.683, 4.683) * CHOOSE(CONTROL!$C$21, $C$9, 100%, $E$9)</f>
        <v>4.6829999999999998</v>
      </c>
      <c r="O52" s="14">
        <f>CHOOSE(CONTROL!$C$42, 4.8911, 4.8911) * CHOOSE(CONTROL!$C$21, $C$9, 100%, $E$9)</f>
        <v>4.8910999999999998</v>
      </c>
      <c r="P52" s="14">
        <f>CHOOSE(CONTROL!$C$42, 4.6891, 4.6891) * CHOOSE(CONTROL!$C$21, $C$9, 100%, $E$9)</f>
        <v>4.6890999999999998</v>
      </c>
      <c r="Q52" s="14">
        <f>CHOOSE(CONTROL!$C$42, 5.4858, 5.4858) * CHOOSE(CONTROL!$C$21, $C$9, 100%, $E$9)</f>
        <v>5.4858000000000002</v>
      </c>
      <c r="R52" s="14">
        <f>CHOOSE(CONTROL!$C$42, 6.0865, 6.0865) * CHOOSE(CONTROL!$C$21, $C$9, 100%, $E$9)</f>
        <v>6.0865</v>
      </c>
      <c r="S52" s="14">
        <f>CHOOSE(CONTROL!$C$42, 4.541, 4.541) * CHOOSE(CONTROL!$C$21, $C$9, 100%, $E$9)</f>
        <v>4.5410000000000004</v>
      </c>
      <c r="T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" s="57">
        <f>(1000*CHOOSE(CONTROL!$C$42, 695, 695)*CHOOSE(CONTROL!$C$42, 0.5599, 0.5599)*CHOOSE(CONTROL!$C$42, 30, 30))/1000000</f>
        <v>11.673914999999997</v>
      </c>
      <c r="V52" s="57">
        <f>(1000*CHOOSE(CONTROL!$C$42, 580, 580)*CHOOSE(CONTROL!$C$42, 0.275, 0.275)*CHOOSE(CONTROL!$C$42, 30, 30))/1000000</f>
        <v>4.7850000000000001</v>
      </c>
      <c r="W52" s="57">
        <f>(1000*CHOOSE(CONTROL!$C$42, 0.1146, 0.1146)*CHOOSE(CONTROL!$C$42, 200, 200)*CHOOSE(CONTROL!$C$42, 30, 30))/1000000</f>
        <v>0.68759999999999999</v>
      </c>
      <c r="X52" s="57">
        <f>(30*0.1790888*245000/1000000)+(30*0.2374*100000/1000000)</f>
        <v>2.0285026799999999</v>
      </c>
      <c r="Y52" s="57"/>
      <c r="Z52" s="14"/>
      <c r="AA52" s="56"/>
      <c r="AB52" s="50">
        <f>(B52*141.293+C52*267.993+D52*115.016+E52*89.698+F52*40+G52*185+H52*0+I52*100+J52*300)/(141.293+267.993+115.016+89.698+0+40+185+100+300)</f>
        <v>4.7926267224374497</v>
      </c>
      <c r="AC52" s="45">
        <f>(M52*'RAP TEMPLATE-GAS AVAILABILITY'!O51+N52*'RAP TEMPLATE-GAS AVAILABILITY'!P51+O52*'RAP TEMPLATE-GAS AVAILABILITY'!Q51+P52*'RAP TEMPLATE-GAS AVAILABILITY'!R51)/('RAP TEMPLATE-GAS AVAILABILITY'!O51+'RAP TEMPLATE-GAS AVAILABILITY'!P51+'RAP TEMPLATE-GAS AVAILABILITY'!Q51+'RAP TEMPLATE-GAS AVAILABILITY'!R51)</f>
        <v>4.7365330935251801</v>
      </c>
    </row>
    <row r="53" spans="1:29" ht="15.75" x14ac:dyDescent="0.25">
      <c r="A53" s="13">
        <v>42491</v>
      </c>
      <c r="B53" s="14">
        <f>CHOOSE(CONTROL!$C$42, 4.7884, 4.7884) * CHOOSE(CONTROL!$C$21, $C$9, 100%, $E$9)</f>
        <v>4.7884000000000002</v>
      </c>
      <c r="C53" s="14">
        <f>CHOOSE(CONTROL!$C$42, 4.7964, 4.7964) * CHOOSE(CONTROL!$C$21, $C$9, 100%, $E$9)</f>
        <v>4.7964000000000002</v>
      </c>
      <c r="D53" s="14">
        <f>CHOOSE(CONTROL!$C$42, 5.017, 5.017) * CHOOSE(CONTROL!$C$21, $C$9, 100%, $E$9)</f>
        <v>5.0170000000000003</v>
      </c>
      <c r="E53" s="14">
        <f>CHOOSE(CONTROL!$C$42, 5.0485, 5.0485) * CHOOSE(CONTROL!$C$21, $C$9, 100%, $E$9)</f>
        <v>5.0484999999999998</v>
      </c>
      <c r="F53" s="14">
        <f>CHOOSE(CONTROL!$C$42, 4.8147, 4.8147)*CHOOSE(CONTROL!$C$21, $C$9, 100%, $E$9)</f>
        <v>4.8147000000000002</v>
      </c>
      <c r="G53" s="14">
        <f>CHOOSE(CONTROL!$C$42, 4.8318, 4.8318)*CHOOSE(CONTROL!$C$21, $C$9, 100%, $E$9)</f>
        <v>4.8318000000000003</v>
      </c>
      <c r="H53" s="14">
        <f>CHOOSE(CONTROL!$C$42, 5.0371, 5.0371) * CHOOSE(CONTROL!$C$21, $C$9, 100%, $E$9)</f>
        <v>5.0370999999999997</v>
      </c>
      <c r="I53" s="14">
        <f>CHOOSE(CONTROL!$C$42, 4.8313, 4.8313)* CHOOSE(CONTROL!$C$21, $C$9, 100%, $E$9)</f>
        <v>4.8312999999999997</v>
      </c>
      <c r="J53" s="14">
        <f>CHOOSE(CONTROL!$C$42, 4.8077, 4.8077)* CHOOSE(CONTROL!$C$21, $C$9, 100%, $E$9)</f>
        <v>4.8076999999999996</v>
      </c>
      <c r="K53" s="53"/>
      <c r="L53" s="14">
        <f>CHOOSE(CONTROL!$C$42, 5.6241, 5.6241) * CHOOSE(CONTROL!$C$21, $C$9, 100%, $E$9)</f>
        <v>5.6241000000000003</v>
      </c>
      <c r="M53" s="14">
        <f>CHOOSE(CONTROL!$C$42, 4.7169, 4.7169) * CHOOSE(CONTROL!$C$21, $C$9, 100%, $E$9)</f>
        <v>4.7168999999999999</v>
      </c>
      <c r="N53" s="14">
        <f>CHOOSE(CONTROL!$C$42, 4.7336, 4.7336) * CHOOSE(CONTROL!$C$21, $C$9, 100%, $E$9)</f>
        <v>4.7336</v>
      </c>
      <c r="O53" s="14">
        <f>CHOOSE(CONTROL!$C$42, 4.9416, 4.9416) * CHOOSE(CONTROL!$C$21, $C$9, 100%, $E$9)</f>
        <v>4.9416000000000002</v>
      </c>
      <c r="P53" s="14">
        <f>CHOOSE(CONTROL!$C$42, 4.7398, 4.7398) * CHOOSE(CONTROL!$C$21, $C$9, 100%, $E$9)</f>
        <v>4.7397999999999998</v>
      </c>
      <c r="Q53" s="14">
        <f>CHOOSE(CONTROL!$C$42, 5.5363, 5.5363) * CHOOSE(CONTROL!$C$21, $C$9, 100%, $E$9)</f>
        <v>5.5362999999999998</v>
      </c>
      <c r="R53" s="14">
        <f>CHOOSE(CONTROL!$C$42, 6.1371, 6.1371) * CHOOSE(CONTROL!$C$21, $C$9, 100%, $E$9)</f>
        <v>6.1371000000000002</v>
      </c>
      <c r="S53" s="14">
        <f>CHOOSE(CONTROL!$C$42, 4.5905, 4.5905) * CHOOSE(CONTROL!$C$21, $C$9, 100%, $E$9)</f>
        <v>4.5904999999999996</v>
      </c>
      <c r="T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" s="57">
        <f>(1000*CHOOSE(CONTROL!$C$42, 695, 695)*CHOOSE(CONTROL!$C$42, 0.5599, 0.5599)*CHOOSE(CONTROL!$C$42, 31, 31))/1000000</f>
        <v>12.063045499999998</v>
      </c>
      <c r="V53" s="57">
        <f>(1000*CHOOSE(CONTROL!$C$42, 580, 580)*CHOOSE(CONTROL!$C$42, 0.275, 0.275)*CHOOSE(CONTROL!$C$42, 31, 31))/1000000</f>
        <v>4.9444999999999997</v>
      </c>
      <c r="W53" s="57">
        <f>(1000*CHOOSE(CONTROL!$C$42, 0.1146, 0.1146)*CHOOSE(CONTROL!$C$42, 121.5, 121.5)*CHOOSE(CONTROL!$C$42, 31, 31))/1000000</f>
        <v>0.43164089999999994</v>
      </c>
      <c r="X53" s="57">
        <f>(31*0.1790888*245000/1000000)+(31*0.2374*100000/1000000)</f>
        <v>2.0961194359999999</v>
      </c>
      <c r="Y53" s="57"/>
      <c r="Z53" s="14"/>
      <c r="AA53" s="56"/>
      <c r="AB53" s="50">
        <f>(B53*194.205+C53*267.466+D53*133.845+E53*53.484+F53*40+G53*185+H53*0+I53*100+J53*300)/(194.205+267.466+133.845+53.484+0+40+185+100+300)</f>
        <v>4.8400553244897964</v>
      </c>
      <c r="AC53" s="45">
        <f>(M53*'RAP TEMPLATE-GAS AVAILABILITY'!O52+N53*'RAP TEMPLATE-GAS AVAILABILITY'!P52+O53*'RAP TEMPLATE-GAS AVAILABILITY'!Q52+P53*'RAP TEMPLATE-GAS AVAILABILITY'!R52)/('RAP TEMPLATE-GAS AVAILABILITY'!O52+'RAP TEMPLATE-GAS AVAILABILITY'!P52+'RAP TEMPLATE-GAS AVAILABILITY'!Q52+'RAP TEMPLATE-GAS AVAILABILITY'!R52)</f>
        <v>4.7870848920863311</v>
      </c>
    </row>
    <row r="54" spans="1:29" ht="15.75" x14ac:dyDescent="0.25">
      <c r="A54" s="13">
        <v>42522</v>
      </c>
      <c r="B54" s="14">
        <f>CHOOSE(CONTROL!$C$42, 4.934, 4.934) * CHOOSE(CONTROL!$C$21, $C$9, 100%, $E$9)</f>
        <v>4.9340000000000002</v>
      </c>
      <c r="C54" s="14">
        <f>CHOOSE(CONTROL!$C$42, 4.942, 4.942) * CHOOSE(CONTROL!$C$21, $C$9, 100%, $E$9)</f>
        <v>4.9420000000000002</v>
      </c>
      <c r="D54" s="14">
        <f>CHOOSE(CONTROL!$C$42, 5.1626, 5.1626) * CHOOSE(CONTROL!$C$21, $C$9, 100%, $E$9)</f>
        <v>5.1626000000000003</v>
      </c>
      <c r="E54" s="14">
        <f>CHOOSE(CONTROL!$C$42, 5.1941, 5.1941) * CHOOSE(CONTROL!$C$21, $C$9, 100%, $E$9)</f>
        <v>5.1940999999999997</v>
      </c>
      <c r="F54" s="14">
        <f>CHOOSE(CONTROL!$C$42, 4.9606, 4.9606)*CHOOSE(CONTROL!$C$21, $C$9, 100%, $E$9)</f>
        <v>4.9606000000000003</v>
      </c>
      <c r="G54" s="14">
        <f>CHOOSE(CONTROL!$C$42, 4.9778, 4.9778)*CHOOSE(CONTROL!$C$21, $C$9, 100%, $E$9)</f>
        <v>4.9778000000000002</v>
      </c>
      <c r="H54" s="14">
        <f>CHOOSE(CONTROL!$C$42, 5.1827, 5.1827) * CHOOSE(CONTROL!$C$21, $C$9, 100%, $E$9)</f>
        <v>5.1826999999999996</v>
      </c>
      <c r="I54" s="14">
        <f>CHOOSE(CONTROL!$C$42, 4.9774, 4.9774)* CHOOSE(CONTROL!$C$21, $C$9, 100%, $E$9)</f>
        <v>4.9774000000000003</v>
      </c>
      <c r="J54" s="14">
        <f>CHOOSE(CONTROL!$C$42, 4.9536, 4.9536)* CHOOSE(CONTROL!$C$21, $C$9, 100%, $E$9)</f>
        <v>4.9535999999999998</v>
      </c>
      <c r="K54" s="53"/>
      <c r="L54" s="14">
        <f>CHOOSE(CONTROL!$C$42, 5.7697, 5.7697) * CHOOSE(CONTROL!$C$21, $C$9, 100%, $E$9)</f>
        <v>5.7697000000000003</v>
      </c>
      <c r="M54" s="14">
        <f>CHOOSE(CONTROL!$C$42, 4.8598, 4.8598) * CHOOSE(CONTROL!$C$21, $C$9, 100%, $E$9)</f>
        <v>4.8597999999999999</v>
      </c>
      <c r="N54" s="14">
        <f>CHOOSE(CONTROL!$C$42, 4.8767, 4.8767) * CHOOSE(CONTROL!$C$21, $C$9, 100%, $E$9)</f>
        <v>4.8766999999999996</v>
      </c>
      <c r="O54" s="14">
        <f>CHOOSE(CONTROL!$C$42, 5.0842, 5.0842) * CHOOSE(CONTROL!$C$21, $C$9, 100%, $E$9)</f>
        <v>5.0842000000000001</v>
      </c>
      <c r="P54" s="14">
        <f>CHOOSE(CONTROL!$C$42, 4.8828, 4.8828) * CHOOSE(CONTROL!$C$21, $C$9, 100%, $E$9)</f>
        <v>4.8827999999999996</v>
      </c>
      <c r="Q54" s="14">
        <f>CHOOSE(CONTROL!$C$42, 5.6789, 5.6789) * CHOOSE(CONTROL!$C$21, $C$9, 100%, $E$9)</f>
        <v>5.6788999999999996</v>
      </c>
      <c r="R54" s="14">
        <f>CHOOSE(CONTROL!$C$42, 6.2801, 6.2801) * CHOOSE(CONTROL!$C$21, $C$9, 100%, $E$9)</f>
        <v>6.2801</v>
      </c>
      <c r="S54" s="14">
        <f>CHOOSE(CONTROL!$C$42, 4.7305, 4.7305) * CHOOSE(CONTROL!$C$21, $C$9, 100%, $E$9)</f>
        <v>4.7305000000000001</v>
      </c>
      <c r="T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" s="57">
        <f>(1000*CHOOSE(CONTROL!$C$42, 695, 695)*CHOOSE(CONTROL!$C$42, 0.5599, 0.5599)*CHOOSE(CONTROL!$C$42, 30, 30))/1000000</f>
        <v>11.673914999999997</v>
      </c>
      <c r="V54" s="57">
        <f>(1000*CHOOSE(CONTROL!$C$42, 580, 580)*CHOOSE(CONTROL!$C$42, 0.275, 0.275)*CHOOSE(CONTROL!$C$42, 30, 30))/1000000</f>
        <v>4.7850000000000001</v>
      </c>
      <c r="W54" s="57">
        <f>(1000*CHOOSE(CONTROL!$C$42, 0.1146, 0.1146)*CHOOSE(CONTROL!$C$42, 121.5, 121.5)*CHOOSE(CONTROL!$C$42, 30, 30))/1000000</f>
        <v>0.417717</v>
      </c>
      <c r="X54" s="57">
        <f>(30*0.1790888*245000/1000000)+(30*0.2374*100000/1000000)</f>
        <v>2.0285026799999999</v>
      </c>
      <c r="Y54" s="57"/>
      <c r="Z54" s="14"/>
      <c r="AA54" s="56"/>
      <c r="AB54" s="50">
        <f>(B54*194.205+C54*267.466+D54*133.845+E54*53.484+F54*40+G54*185+H54*0+I54*100+J54*300)/(194.205+267.466+133.845+53.484+0+40+185+100+300)</f>
        <v>4.9858327185243327</v>
      </c>
      <c r="AC54" s="45">
        <f>(M54*'RAP TEMPLATE-GAS AVAILABILITY'!O53+N54*'RAP TEMPLATE-GAS AVAILABILITY'!P53+O54*'RAP TEMPLATE-GAS AVAILABILITY'!Q53+P54*'RAP TEMPLATE-GAS AVAILABILITY'!R53)/('RAP TEMPLATE-GAS AVAILABILITY'!O53+'RAP TEMPLATE-GAS AVAILABILITY'!P53+'RAP TEMPLATE-GAS AVAILABILITY'!Q53+'RAP TEMPLATE-GAS AVAILABILITY'!R53)</f>
        <v>4.9299611510791355</v>
      </c>
    </row>
    <row r="55" spans="1:29" ht="15.75" x14ac:dyDescent="0.25">
      <c r="A55" s="13">
        <v>42552</v>
      </c>
      <c r="B55" s="14">
        <f>CHOOSE(CONTROL!$C$42, 4.8495, 4.8495) * CHOOSE(CONTROL!$C$21, $C$9, 100%, $E$9)</f>
        <v>4.8494999999999999</v>
      </c>
      <c r="C55" s="14">
        <f>CHOOSE(CONTROL!$C$42, 4.8576, 4.8576) * CHOOSE(CONTROL!$C$21, $C$9, 100%, $E$9)</f>
        <v>4.8575999999999997</v>
      </c>
      <c r="D55" s="14">
        <f>CHOOSE(CONTROL!$C$42, 5.0781, 5.0781) * CHOOSE(CONTROL!$C$21, $C$9, 100%, $E$9)</f>
        <v>5.0781000000000001</v>
      </c>
      <c r="E55" s="14">
        <f>CHOOSE(CONTROL!$C$42, 5.1096, 5.1096) * CHOOSE(CONTROL!$C$21, $C$9, 100%, $E$9)</f>
        <v>5.1096000000000004</v>
      </c>
      <c r="F55" s="14">
        <f>CHOOSE(CONTROL!$C$42, 4.8766, 4.8766)*CHOOSE(CONTROL!$C$21, $C$9, 100%, $E$9)</f>
        <v>4.8765999999999998</v>
      </c>
      <c r="G55" s="14">
        <f>CHOOSE(CONTROL!$C$42, 4.8939, 4.8939)*CHOOSE(CONTROL!$C$21, $C$9, 100%, $E$9)</f>
        <v>4.8939000000000004</v>
      </c>
      <c r="H55" s="14">
        <f>CHOOSE(CONTROL!$C$42, 5.0982, 5.0982) * CHOOSE(CONTROL!$C$21, $C$9, 100%, $E$9)</f>
        <v>5.0982000000000003</v>
      </c>
      <c r="I55" s="14">
        <f>CHOOSE(CONTROL!$C$42, 4.8926, 4.8926)* CHOOSE(CONTROL!$C$21, $C$9, 100%, $E$9)</f>
        <v>4.8925999999999998</v>
      </c>
      <c r="J55" s="14">
        <f>CHOOSE(CONTROL!$C$42, 4.8696, 4.8696)* CHOOSE(CONTROL!$C$21, $C$9, 100%, $E$9)</f>
        <v>4.8696000000000002</v>
      </c>
      <c r="K55" s="53"/>
      <c r="L55" s="14">
        <f>CHOOSE(CONTROL!$C$42, 5.6852, 5.6852) * CHOOSE(CONTROL!$C$21, $C$9, 100%, $E$9)</f>
        <v>5.6852</v>
      </c>
      <c r="M55" s="14">
        <f>CHOOSE(CONTROL!$C$42, 4.7775, 4.7775) * CHOOSE(CONTROL!$C$21, $C$9, 100%, $E$9)</f>
        <v>4.7774999999999999</v>
      </c>
      <c r="N55" s="14">
        <f>CHOOSE(CONTROL!$C$42, 4.7945, 4.7945) * CHOOSE(CONTROL!$C$21, $C$9, 100%, $E$9)</f>
        <v>4.7945000000000002</v>
      </c>
      <c r="O55" s="14">
        <f>CHOOSE(CONTROL!$C$42, 5.0015, 5.0015) * CHOOSE(CONTROL!$C$21, $C$9, 100%, $E$9)</f>
        <v>5.0015000000000001</v>
      </c>
      <c r="P55" s="14">
        <f>CHOOSE(CONTROL!$C$42, 4.7998, 4.7998) * CHOOSE(CONTROL!$C$21, $C$9, 100%, $E$9)</f>
        <v>4.7998000000000003</v>
      </c>
      <c r="Q55" s="14">
        <f>CHOOSE(CONTROL!$C$42, 5.5962, 5.5962) * CHOOSE(CONTROL!$C$21, $C$9, 100%, $E$9)</f>
        <v>5.5961999999999996</v>
      </c>
      <c r="R55" s="14">
        <f>CHOOSE(CONTROL!$C$42, 6.1972, 6.1972) * CHOOSE(CONTROL!$C$21, $C$9, 100%, $E$9)</f>
        <v>6.1971999999999996</v>
      </c>
      <c r="S55" s="14">
        <f>CHOOSE(CONTROL!$C$42, 4.6493, 4.6493) * CHOOSE(CONTROL!$C$21, $C$9, 100%, $E$9)</f>
        <v>4.6493000000000002</v>
      </c>
      <c r="T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" s="57">
        <f>(1000*CHOOSE(CONTROL!$C$42, 695, 695)*CHOOSE(CONTROL!$C$42, 0.5599, 0.5599)*CHOOSE(CONTROL!$C$42, 31, 31))/1000000</f>
        <v>12.063045499999998</v>
      </c>
      <c r="V55" s="57">
        <f>(1000*CHOOSE(CONTROL!$C$42, 580, 580)*CHOOSE(CONTROL!$C$42, 0.275, 0.275)*CHOOSE(CONTROL!$C$42, 31, 31))/1000000</f>
        <v>4.9444999999999997</v>
      </c>
      <c r="W55" s="57">
        <f>(1000*CHOOSE(CONTROL!$C$42, 0.1146, 0.1146)*CHOOSE(CONTROL!$C$42, 121.5, 121.5)*CHOOSE(CONTROL!$C$42, 31, 31))/1000000</f>
        <v>0.43164089999999994</v>
      </c>
      <c r="X55" s="57">
        <f>(31*0.1790888*245000/1000000)+(31*0.2374*100000/1000000)</f>
        <v>2.0961194359999999</v>
      </c>
      <c r="Y55" s="57"/>
      <c r="Z55" s="14"/>
      <c r="AA55" s="56"/>
      <c r="AB55" s="50">
        <f>(B55*194.205+C55*267.466+D55*133.845+E55*53.484+F55*40+G55*185+H55*0+I55*100+J55*300)/(194.205+267.466+133.845+53.484+0+40+185+100+300)</f>
        <v>4.9015507299843017</v>
      </c>
      <c r="AC55" s="45">
        <f>(M55*'RAP TEMPLATE-GAS AVAILABILITY'!O54+N55*'RAP TEMPLATE-GAS AVAILABILITY'!P54+O55*'RAP TEMPLATE-GAS AVAILABILITY'!Q54+P55*'RAP TEMPLATE-GAS AVAILABILITY'!R54)/('RAP TEMPLATE-GAS AVAILABILITY'!O54+'RAP TEMPLATE-GAS AVAILABILITY'!P54+'RAP TEMPLATE-GAS AVAILABILITY'!Q54+'RAP TEMPLATE-GAS AVAILABILITY'!R54)</f>
        <v>4.8474712230215822</v>
      </c>
    </row>
    <row r="56" spans="1:29" ht="15.75" x14ac:dyDescent="0.25">
      <c r="A56" s="13">
        <v>42583</v>
      </c>
      <c r="B56" s="14">
        <f>CHOOSE(CONTROL!$C$42, 4.6201, 4.6201) * CHOOSE(CONTROL!$C$21, $C$9, 100%, $E$9)</f>
        <v>4.6200999999999999</v>
      </c>
      <c r="C56" s="14">
        <f>CHOOSE(CONTROL!$C$42, 4.6281, 4.6281) * CHOOSE(CONTROL!$C$21, $C$9, 100%, $E$9)</f>
        <v>4.6280999999999999</v>
      </c>
      <c r="D56" s="14">
        <f>CHOOSE(CONTROL!$C$42, 4.8487, 4.8487) * CHOOSE(CONTROL!$C$21, $C$9, 100%, $E$9)</f>
        <v>4.8487</v>
      </c>
      <c r="E56" s="14">
        <f>CHOOSE(CONTROL!$C$42, 4.8801, 4.8801) * CHOOSE(CONTROL!$C$21, $C$9, 100%, $E$9)</f>
        <v>4.8800999999999997</v>
      </c>
      <c r="F56" s="14">
        <f>CHOOSE(CONTROL!$C$42, 4.6474, 4.6474)*CHOOSE(CONTROL!$C$21, $C$9, 100%, $E$9)</f>
        <v>4.6474000000000002</v>
      </c>
      <c r="G56" s="14">
        <f>CHOOSE(CONTROL!$C$42, 4.6648, 4.6648)*CHOOSE(CONTROL!$C$21, $C$9, 100%, $E$9)</f>
        <v>4.6647999999999996</v>
      </c>
      <c r="H56" s="14">
        <f>CHOOSE(CONTROL!$C$42, 4.8688, 4.8688) * CHOOSE(CONTROL!$C$21, $C$9, 100%, $E$9)</f>
        <v>4.8688000000000002</v>
      </c>
      <c r="I56" s="14">
        <f>CHOOSE(CONTROL!$C$42, 4.6624, 4.6624)* CHOOSE(CONTROL!$C$21, $C$9, 100%, $E$9)</f>
        <v>4.6623999999999999</v>
      </c>
      <c r="J56" s="14">
        <f>CHOOSE(CONTROL!$C$42, 4.6404, 4.6404)* CHOOSE(CONTROL!$C$21, $C$9, 100%, $E$9)</f>
        <v>4.6403999999999996</v>
      </c>
      <c r="K56" s="53"/>
      <c r="L56" s="14">
        <f>CHOOSE(CONTROL!$C$42, 5.4558, 5.4558) * CHOOSE(CONTROL!$C$21, $C$9, 100%, $E$9)</f>
        <v>5.4558</v>
      </c>
      <c r="M56" s="14">
        <f>CHOOSE(CONTROL!$C$42, 4.553, 4.553) * CHOOSE(CONTROL!$C$21, $C$9, 100%, $E$9)</f>
        <v>4.5529999999999999</v>
      </c>
      <c r="N56" s="14">
        <f>CHOOSE(CONTROL!$C$42, 4.5701, 4.5701) * CHOOSE(CONTROL!$C$21, $C$9, 100%, $E$9)</f>
        <v>4.5701000000000001</v>
      </c>
      <c r="O56" s="14">
        <f>CHOOSE(CONTROL!$C$42, 4.7767, 4.7767) * CHOOSE(CONTROL!$C$21, $C$9, 100%, $E$9)</f>
        <v>4.7766999999999999</v>
      </c>
      <c r="P56" s="14">
        <f>CHOOSE(CONTROL!$C$42, 4.5744, 4.5744) * CHOOSE(CONTROL!$C$21, $C$9, 100%, $E$9)</f>
        <v>4.5743999999999998</v>
      </c>
      <c r="Q56" s="14">
        <f>CHOOSE(CONTROL!$C$42, 5.3714, 5.3714) * CHOOSE(CONTROL!$C$21, $C$9, 100%, $E$9)</f>
        <v>5.3714000000000004</v>
      </c>
      <c r="R56" s="14">
        <f>CHOOSE(CONTROL!$C$42, 5.9718, 5.9718) * CHOOSE(CONTROL!$C$21, $C$9, 100%, $E$9)</f>
        <v>5.9718</v>
      </c>
      <c r="S56" s="14">
        <f>CHOOSE(CONTROL!$C$42, 4.4288, 4.4288) * CHOOSE(CONTROL!$C$21, $C$9, 100%, $E$9)</f>
        <v>4.4287999999999998</v>
      </c>
      <c r="T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" s="57">
        <f>(1000*CHOOSE(CONTROL!$C$42, 695, 695)*CHOOSE(CONTROL!$C$42, 0.5599, 0.5599)*CHOOSE(CONTROL!$C$42, 31, 31))/1000000</f>
        <v>12.063045499999998</v>
      </c>
      <c r="V56" s="57">
        <f>(1000*CHOOSE(CONTROL!$C$42, 580, 580)*CHOOSE(CONTROL!$C$42, 0.275, 0.275)*CHOOSE(CONTROL!$C$42, 31, 31))/1000000</f>
        <v>4.9444999999999997</v>
      </c>
      <c r="W56" s="57">
        <f>(1000*CHOOSE(CONTROL!$C$42, 0.1146, 0.1146)*CHOOSE(CONTROL!$C$42, 121.5, 121.5)*CHOOSE(CONTROL!$C$42, 31, 31))/1000000</f>
        <v>0.43164089999999994</v>
      </c>
      <c r="X56" s="57">
        <f>(31*0.1790888*245000/1000000)+(31*0.2374*100000/1000000)</f>
        <v>2.0961194359999999</v>
      </c>
      <c r="Y56" s="57"/>
      <c r="Z56" s="14"/>
      <c r="AA56" s="56"/>
      <c r="AB56" s="50">
        <f>(B56*194.205+C56*267.466+D56*133.845+E56*53.484+F56*40+G56*185+H56*0+I56*100+J56*300)/(194.205+267.466+133.845+53.484+0+40+185+100+300)</f>
        <v>4.6721596821036107</v>
      </c>
      <c r="AC56" s="45">
        <f>(M56*'RAP TEMPLATE-GAS AVAILABILITY'!O55+N56*'RAP TEMPLATE-GAS AVAILABILITY'!P55+O56*'RAP TEMPLATE-GAS AVAILABILITY'!Q55+P56*'RAP TEMPLATE-GAS AVAILABILITY'!R55)/('RAP TEMPLATE-GAS AVAILABILITY'!O55+'RAP TEMPLATE-GAS AVAILABILITY'!P55+'RAP TEMPLATE-GAS AVAILABILITY'!Q55+'RAP TEMPLATE-GAS AVAILABILITY'!R55)</f>
        <v>4.6227805755395686</v>
      </c>
    </row>
    <row r="57" spans="1:29" ht="15.75" x14ac:dyDescent="0.25">
      <c r="A57" s="13">
        <v>42614</v>
      </c>
      <c r="B57" s="14">
        <f>CHOOSE(CONTROL!$C$42, 4.3362, 4.3362) * CHOOSE(CONTROL!$C$21, $C$9, 100%, $E$9)</f>
        <v>4.3361999999999998</v>
      </c>
      <c r="C57" s="14">
        <f>CHOOSE(CONTROL!$C$42, 4.3442, 4.3442) * CHOOSE(CONTROL!$C$21, $C$9, 100%, $E$9)</f>
        <v>4.3441999999999998</v>
      </c>
      <c r="D57" s="14">
        <f>CHOOSE(CONTROL!$C$42, 4.5648, 4.5648) * CHOOSE(CONTROL!$C$21, $C$9, 100%, $E$9)</f>
        <v>4.5648</v>
      </c>
      <c r="E57" s="14">
        <f>CHOOSE(CONTROL!$C$42, 4.5962, 4.5962) * CHOOSE(CONTROL!$C$21, $C$9, 100%, $E$9)</f>
        <v>4.5961999999999996</v>
      </c>
      <c r="F57" s="14">
        <f>CHOOSE(CONTROL!$C$42, 4.3635, 4.3635)*CHOOSE(CONTROL!$C$21, $C$9, 100%, $E$9)</f>
        <v>4.3635000000000002</v>
      </c>
      <c r="G57" s="14">
        <f>CHOOSE(CONTROL!$C$42, 4.3809, 4.3809)*CHOOSE(CONTROL!$C$21, $C$9, 100%, $E$9)</f>
        <v>4.3808999999999996</v>
      </c>
      <c r="H57" s="14">
        <f>CHOOSE(CONTROL!$C$42, 4.5849, 4.5849) * CHOOSE(CONTROL!$C$21, $C$9, 100%, $E$9)</f>
        <v>4.5849000000000002</v>
      </c>
      <c r="I57" s="14">
        <f>CHOOSE(CONTROL!$C$42, 4.3776, 4.3776)* CHOOSE(CONTROL!$C$21, $C$9, 100%, $E$9)</f>
        <v>4.3776000000000002</v>
      </c>
      <c r="J57" s="14">
        <f>CHOOSE(CONTROL!$C$42, 4.3565, 4.3565)* CHOOSE(CONTROL!$C$21, $C$9, 100%, $E$9)</f>
        <v>4.3564999999999996</v>
      </c>
      <c r="K57" s="53"/>
      <c r="L57" s="14">
        <f>CHOOSE(CONTROL!$C$42, 5.1719, 5.1719) * CHOOSE(CONTROL!$C$21, $C$9, 100%, $E$9)</f>
        <v>5.1718999999999999</v>
      </c>
      <c r="M57" s="14">
        <f>CHOOSE(CONTROL!$C$42, 4.2749, 4.2749) * CHOOSE(CONTROL!$C$21, $C$9, 100%, $E$9)</f>
        <v>4.2748999999999997</v>
      </c>
      <c r="N57" s="14">
        <f>CHOOSE(CONTROL!$C$42, 4.292, 4.292) * CHOOSE(CONTROL!$C$21, $C$9, 100%, $E$9)</f>
        <v>4.2919999999999998</v>
      </c>
      <c r="O57" s="14">
        <f>CHOOSE(CONTROL!$C$42, 4.4986, 4.4986) * CHOOSE(CONTROL!$C$21, $C$9, 100%, $E$9)</f>
        <v>4.4985999999999997</v>
      </c>
      <c r="P57" s="14">
        <f>CHOOSE(CONTROL!$C$42, 4.2954, 4.2954) * CHOOSE(CONTROL!$C$21, $C$9, 100%, $E$9)</f>
        <v>4.2953999999999999</v>
      </c>
      <c r="Q57" s="14">
        <f>CHOOSE(CONTROL!$C$42, 5.0933, 5.0933) * CHOOSE(CONTROL!$C$21, $C$9, 100%, $E$9)</f>
        <v>5.0933000000000002</v>
      </c>
      <c r="R57" s="14">
        <f>CHOOSE(CONTROL!$C$42, 5.693, 5.693) * CHOOSE(CONTROL!$C$21, $C$9, 100%, $E$9)</f>
        <v>5.6929999999999996</v>
      </c>
      <c r="S57" s="14">
        <f>CHOOSE(CONTROL!$C$42, 4.156, 4.156) * CHOOSE(CONTROL!$C$21, $C$9, 100%, $E$9)</f>
        <v>4.1559999999999997</v>
      </c>
      <c r="T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" s="57">
        <f>(1000*CHOOSE(CONTROL!$C$42, 695, 695)*CHOOSE(CONTROL!$C$42, 0.5599, 0.5599)*CHOOSE(CONTROL!$C$42, 30, 30))/1000000</f>
        <v>11.673914999999997</v>
      </c>
      <c r="V57" s="57">
        <f>(1000*CHOOSE(CONTROL!$C$42, 580, 580)*CHOOSE(CONTROL!$C$42, 0.275, 0.275)*CHOOSE(CONTROL!$C$42, 30, 30))/1000000</f>
        <v>4.7850000000000001</v>
      </c>
      <c r="W57" s="57">
        <f>(1000*CHOOSE(CONTROL!$C$42, 0.1146, 0.1146)*CHOOSE(CONTROL!$C$42, 121.5, 121.5)*CHOOSE(CONTROL!$C$42, 30, 30))/1000000</f>
        <v>0.417717</v>
      </c>
      <c r="X57" s="57">
        <f>(30*0.1790888*245000/1000000)+(30*0.2374*100000/1000000)</f>
        <v>2.0285026799999999</v>
      </c>
      <c r="Y57" s="57"/>
      <c r="Z57" s="14"/>
      <c r="AA57" s="56"/>
      <c r="AB57" s="50">
        <f>(B57*194.205+C57*267.466+D57*133.845+E57*53.484+F57*40+G57*185+H57*0+I57*100+J57*300)/(194.205+267.466+133.845+53.484+0+40+185+100+300)</f>
        <v>4.3881890384615385</v>
      </c>
      <c r="AC57" s="45">
        <f>(M57*'RAP TEMPLATE-GAS AVAILABILITY'!O56+N57*'RAP TEMPLATE-GAS AVAILABILITY'!P56+O57*'RAP TEMPLATE-GAS AVAILABILITY'!Q56+P57*'RAP TEMPLATE-GAS AVAILABILITY'!R56)/('RAP TEMPLATE-GAS AVAILABILITY'!O56+'RAP TEMPLATE-GAS AVAILABILITY'!P56+'RAP TEMPLATE-GAS AVAILABILITY'!Q56+'RAP TEMPLATE-GAS AVAILABILITY'!R56)</f>
        <v>4.3445510791366901</v>
      </c>
    </row>
    <row r="58" spans="1:29" ht="15.75" x14ac:dyDescent="0.25">
      <c r="A58" s="13">
        <v>42644</v>
      </c>
      <c r="B58" s="14">
        <f>CHOOSE(CONTROL!$C$42, 4.2553, 4.2553) * CHOOSE(CONTROL!$C$21, $C$9, 100%, $E$9)</f>
        <v>4.2553000000000001</v>
      </c>
      <c r="C58" s="14">
        <f>CHOOSE(CONTROL!$C$42, 4.2606, 4.2606) * CHOOSE(CONTROL!$C$21, $C$9, 100%, $E$9)</f>
        <v>4.2606000000000002</v>
      </c>
      <c r="D58" s="14">
        <f>CHOOSE(CONTROL!$C$42, 4.4862, 4.4862) * CHOOSE(CONTROL!$C$21, $C$9, 100%, $E$9)</f>
        <v>4.4862000000000002</v>
      </c>
      <c r="E58" s="14">
        <f>CHOOSE(CONTROL!$C$42, 4.5153, 4.5153) * CHOOSE(CONTROL!$C$21, $C$9, 100%, $E$9)</f>
        <v>4.5152999999999999</v>
      </c>
      <c r="F58" s="14">
        <f>CHOOSE(CONTROL!$C$42, 4.2847, 4.2847)*CHOOSE(CONTROL!$C$21, $C$9, 100%, $E$9)</f>
        <v>4.2847</v>
      </c>
      <c r="G58" s="14">
        <f>CHOOSE(CONTROL!$C$42, 4.3019, 4.3019)*CHOOSE(CONTROL!$C$21, $C$9, 100%, $E$9)</f>
        <v>4.3018999999999998</v>
      </c>
      <c r="H58" s="14">
        <f>CHOOSE(CONTROL!$C$42, 4.5058, 4.5058) * CHOOSE(CONTROL!$C$21, $C$9, 100%, $E$9)</f>
        <v>4.5057999999999998</v>
      </c>
      <c r="I58" s="14">
        <f>CHOOSE(CONTROL!$C$42, 4.2983, 4.2983)* CHOOSE(CONTROL!$C$21, $C$9, 100%, $E$9)</f>
        <v>4.2983000000000002</v>
      </c>
      <c r="J58" s="14">
        <f>CHOOSE(CONTROL!$C$42, 4.2777, 4.2777)* CHOOSE(CONTROL!$C$21, $C$9, 100%, $E$9)</f>
        <v>4.2777000000000003</v>
      </c>
      <c r="K58" s="53"/>
      <c r="L58" s="14">
        <f>CHOOSE(CONTROL!$C$42, 5.0928, 5.0928) * CHOOSE(CONTROL!$C$21, $C$9, 100%, $E$9)</f>
        <v>5.0928000000000004</v>
      </c>
      <c r="M58" s="14">
        <f>CHOOSE(CONTROL!$C$42, 4.1977, 4.1977) * CHOOSE(CONTROL!$C$21, $C$9, 100%, $E$9)</f>
        <v>4.1977000000000002</v>
      </c>
      <c r="N58" s="14">
        <f>CHOOSE(CONTROL!$C$42, 4.2146, 4.2146) * CHOOSE(CONTROL!$C$21, $C$9, 100%, $E$9)</f>
        <v>4.2145999999999999</v>
      </c>
      <c r="O58" s="14">
        <f>CHOOSE(CONTROL!$C$42, 4.4212, 4.4212) * CHOOSE(CONTROL!$C$21, $C$9, 100%, $E$9)</f>
        <v>4.4211999999999998</v>
      </c>
      <c r="P58" s="14">
        <f>CHOOSE(CONTROL!$C$42, 4.2177, 4.2177) * CHOOSE(CONTROL!$C$21, $C$9, 100%, $E$9)</f>
        <v>4.2176999999999998</v>
      </c>
      <c r="Q58" s="14">
        <f>CHOOSE(CONTROL!$C$42, 5.0159, 5.0159) * CHOOSE(CONTROL!$C$21, $C$9, 100%, $E$9)</f>
        <v>5.0159000000000002</v>
      </c>
      <c r="R58" s="14">
        <f>CHOOSE(CONTROL!$C$42, 5.6154, 5.6154) * CHOOSE(CONTROL!$C$21, $C$9, 100%, $E$9)</f>
        <v>5.6154000000000002</v>
      </c>
      <c r="S58" s="14">
        <f>CHOOSE(CONTROL!$C$42, 4.08, 4.08) * CHOOSE(CONTROL!$C$21, $C$9, 100%, $E$9)</f>
        <v>4.08</v>
      </c>
      <c r="T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" s="57">
        <f>(1000*CHOOSE(CONTROL!$C$42, 695, 695)*CHOOSE(CONTROL!$C$42, 0.5599, 0.5599)*CHOOSE(CONTROL!$C$42, 31, 31))/1000000</f>
        <v>12.063045499999998</v>
      </c>
      <c r="V58" s="57">
        <f>(1000*CHOOSE(CONTROL!$C$42, 580, 580)*CHOOSE(CONTROL!$C$42, 0.275, 0.275)*CHOOSE(CONTROL!$C$42, 31, 31))/1000000</f>
        <v>4.9444999999999997</v>
      </c>
      <c r="W58" s="57">
        <f>(1000*CHOOSE(CONTROL!$C$42, 0.1146, 0.1146)*CHOOSE(CONTROL!$C$42, 121.5, 121.5)*CHOOSE(CONTROL!$C$42, 31, 31))/1000000</f>
        <v>0.43164089999999994</v>
      </c>
      <c r="X58" s="57">
        <f>(31*0.1790888*245000/1000000)+(31*0.2374*100000/1000000)</f>
        <v>2.0961194359999999</v>
      </c>
      <c r="Y58" s="57"/>
      <c r="Z58" s="14"/>
      <c r="AA58" s="56"/>
      <c r="AB58" s="50">
        <f>(B58*131.881+C58*277.167+D58*79.08+E58*125.872+F58*40+G58*185+H58*0+I58*100+J58*300)/(131.881+277.167+79.08+125.872+0+40+185+100+300)</f>
        <v>4.3144382381759483</v>
      </c>
      <c r="AC58" s="45">
        <f>(M58*'RAP TEMPLATE-GAS AVAILABILITY'!O57+N58*'RAP TEMPLATE-GAS AVAILABILITY'!P57+O58*'RAP TEMPLATE-GAS AVAILABILITY'!Q57+P58*'RAP TEMPLATE-GAS AVAILABILITY'!R57)/('RAP TEMPLATE-GAS AVAILABILITY'!O57+'RAP TEMPLATE-GAS AVAILABILITY'!P57+'RAP TEMPLATE-GAS AVAILABILITY'!Q57+'RAP TEMPLATE-GAS AVAILABILITY'!R57)</f>
        <v>4.2671769784172664</v>
      </c>
    </row>
    <row r="59" spans="1:29" ht="15.75" x14ac:dyDescent="0.25">
      <c r="A59" s="13">
        <v>42675</v>
      </c>
      <c r="B59" s="14">
        <f>CHOOSE(CONTROL!$C$42, 4.3757, 4.3757) * CHOOSE(CONTROL!$C$21, $C$9, 100%, $E$9)</f>
        <v>4.3757000000000001</v>
      </c>
      <c r="C59" s="14">
        <f>CHOOSE(CONTROL!$C$42, 4.3808, 4.3808) * CHOOSE(CONTROL!$C$21, $C$9, 100%, $E$9)</f>
        <v>4.3807999999999998</v>
      </c>
      <c r="D59" s="14">
        <f>CHOOSE(CONTROL!$C$42, 4.455, 4.455) * CHOOSE(CONTROL!$C$21, $C$9, 100%, $E$9)</f>
        <v>4.4550000000000001</v>
      </c>
      <c r="E59" s="14">
        <f>CHOOSE(CONTROL!$C$42, 4.4891, 4.4891) * CHOOSE(CONTROL!$C$21, $C$9, 100%, $E$9)</f>
        <v>4.4890999999999996</v>
      </c>
      <c r="F59" s="14">
        <f>CHOOSE(CONTROL!$C$42, 4.4118, 4.4118)*CHOOSE(CONTROL!$C$21, $C$9, 100%, $E$9)</f>
        <v>4.4118000000000004</v>
      </c>
      <c r="G59" s="14">
        <f>CHOOSE(CONTROL!$C$42, 4.4293, 4.4293)*CHOOSE(CONTROL!$C$21, $C$9, 100%, $E$9)</f>
        <v>4.4292999999999996</v>
      </c>
      <c r="H59" s="14">
        <f>CHOOSE(CONTROL!$C$42, 4.4783, 4.4783) * CHOOSE(CONTROL!$C$21, $C$9, 100%, $E$9)</f>
        <v>4.4782999999999999</v>
      </c>
      <c r="I59" s="14">
        <f>CHOOSE(CONTROL!$C$42, 4.4169, 4.4169)* CHOOSE(CONTROL!$C$21, $C$9, 100%, $E$9)</f>
        <v>4.4169</v>
      </c>
      <c r="J59" s="14">
        <f>CHOOSE(CONTROL!$C$42, 4.4048, 4.4048)* CHOOSE(CONTROL!$C$21, $C$9, 100%, $E$9)</f>
        <v>4.4047999999999998</v>
      </c>
      <c r="K59" s="53"/>
      <c r="L59" s="14">
        <f>CHOOSE(CONTROL!$C$42, 5.0653, 5.0653) * CHOOSE(CONTROL!$C$21, $C$9, 100%, $E$9)</f>
        <v>5.0652999999999997</v>
      </c>
      <c r="M59" s="14">
        <f>CHOOSE(CONTROL!$C$42, 4.3222, 4.3222) * CHOOSE(CONTROL!$C$21, $C$9, 100%, $E$9)</f>
        <v>4.3221999999999996</v>
      </c>
      <c r="N59" s="14">
        <f>CHOOSE(CONTROL!$C$42, 4.3394, 4.3394) * CHOOSE(CONTROL!$C$21, $C$9, 100%, $E$9)</f>
        <v>4.3394000000000004</v>
      </c>
      <c r="O59" s="14">
        <f>CHOOSE(CONTROL!$C$42, 4.3942, 4.3942) * CHOOSE(CONTROL!$C$21, $C$9, 100%, $E$9)</f>
        <v>4.3941999999999997</v>
      </c>
      <c r="P59" s="14">
        <f>CHOOSE(CONTROL!$C$42, 4.3339, 4.3339) * CHOOSE(CONTROL!$C$21, $C$9, 100%, $E$9)</f>
        <v>4.3338999999999999</v>
      </c>
      <c r="Q59" s="14">
        <f>CHOOSE(CONTROL!$C$42, 4.9889, 4.9889) * CHOOSE(CONTROL!$C$21, $C$9, 100%, $E$9)</f>
        <v>4.9889000000000001</v>
      </c>
      <c r="R59" s="14">
        <f>CHOOSE(CONTROL!$C$42, 5.5884, 5.5884) * CHOOSE(CONTROL!$C$21, $C$9, 100%, $E$9)</f>
        <v>5.5884</v>
      </c>
      <c r="S59" s="14">
        <f>CHOOSE(CONTROL!$C$42, 4.1961, 4.1961) * CHOOSE(CONTROL!$C$21, $C$9, 100%, $E$9)</f>
        <v>4.1961000000000004</v>
      </c>
      <c r="T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" s="57">
        <f>(1000*CHOOSE(CONTROL!$C$42, 695, 695)*CHOOSE(CONTROL!$C$42, 0.5599, 0.5599)*CHOOSE(CONTROL!$C$42, 30, 30))/1000000</f>
        <v>11.673914999999997</v>
      </c>
      <c r="V59" s="57">
        <f>(1000*CHOOSE(CONTROL!$C$42, 580, 580)*CHOOSE(CONTROL!$C$42, 0.275, 0.275)*CHOOSE(CONTROL!$C$42, 30, 30))/1000000</f>
        <v>4.7850000000000001</v>
      </c>
      <c r="W59" s="57">
        <f>(1000*CHOOSE(CONTROL!$C$42, 0.1146, 0.1146)*CHOOSE(CONTROL!$C$42, 121.5, 121.5)*CHOOSE(CONTROL!$C$42, 30, 30))/1000000</f>
        <v>0.417717</v>
      </c>
      <c r="X59" s="57">
        <f>(30*0.1790888*100000/1000000)+(30*0.2374*100000/1000000)</f>
        <v>1.2494664</v>
      </c>
      <c r="Y59" s="57"/>
      <c r="Z59" s="14"/>
      <c r="AA59" s="56"/>
      <c r="AB59" s="50">
        <f>(B59*122.58+C59*297.941+D59*89.177+E59*40.302+F59*40+G59*160+H59*0+I59*100+J59*300)/(122.58+297.941+89.177+40.302+0+40+160+100+300)</f>
        <v>4.4070317234782603</v>
      </c>
      <c r="AC59" s="45">
        <f>(M59*'RAP TEMPLATE-GAS AVAILABILITY'!O58+N59*'RAP TEMPLATE-GAS AVAILABILITY'!P58+O59*'RAP TEMPLATE-GAS AVAILABILITY'!Q58+P59*'RAP TEMPLATE-GAS AVAILABILITY'!R58)/('RAP TEMPLATE-GAS AVAILABILITY'!O58+'RAP TEMPLATE-GAS AVAILABILITY'!P58+'RAP TEMPLATE-GAS AVAILABILITY'!Q58+'RAP TEMPLATE-GAS AVAILABILITY'!R58)</f>
        <v>4.357506474820144</v>
      </c>
    </row>
    <row r="60" spans="1:29" ht="15.75" x14ac:dyDescent="0.25">
      <c r="A60" s="13">
        <v>42705</v>
      </c>
      <c r="B60" s="14">
        <f>CHOOSE(CONTROL!$C$42, 4.683, 4.683) * CHOOSE(CONTROL!$C$21, $C$9, 100%, $E$9)</f>
        <v>4.6829999999999998</v>
      </c>
      <c r="C60" s="14">
        <f>CHOOSE(CONTROL!$C$42, 4.6881, 4.6881) * CHOOSE(CONTROL!$C$21, $C$9, 100%, $E$9)</f>
        <v>4.6881000000000004</v>
      </c>
      <c r="D60" s="14">
        <f>CHOOSE(CONTROL!$C$42, 4.7623, 4.7623) * CHOOSE(CONTROL!$C$21, $C$9, 100%, $E$9)</f>
        <v>4.7622999999999998</v>
      </c>
      <c r="E60" s="14">
        <f>CHOOSE(CONTROL!$C$42, 4.7964, 4.7964) * CHOOSE(CONTROL!$C$21, $C$9, 100%, $E$9)</f>
        <v>4.7964000000000002</v>
      </c>
      <c r="F60" s="14">
        <f>CHOOSE(CONTROL!$C$42, 4.7214, 4.7214)*CHOOSE(CONTROL!$C$21, $C$9, 100%, $E$9)</f>
        <v>4.7214</v>
      </c>
      <c r="G60" s="14">
        <f>CHOOSE(CONTROL!$C$42, 4.7396, 4.7396)*CHOOSE(CONTROL!$C$21, $C$9, 100%, $E$9)</f>
        <v>4.7396000000000003</v>
      </c>
      <c r="H60" s="14">
        <f>CHOOSE(CONTROL!$C$42, 4.7856, 4.7856) * CHOOSE(CONTROL!$C$21, $C$9, 100%, $E$9)</f>
        <v>4.7855999999999996</v>
      </c>
      <c r="I60" s="14">
        <f>CHOOSE(CONTROL!$C$42, 4.7251, 4.7251)* CHOOSE(CONTROL!$C$21, $C$9, 100%, $E$9)</f>
        <v>4.7251000000000003</v>
      </c>
      <c r="J60" s="14">
        <f>CHOOSE(CONTROL!$C$42, 4.7144, 4.7144)* CHOOSE(CONTROL!$C$21, $C$9, 100%, $E$9)</f>
        <v>4.7144000000000004</v>
      </c>
      <c r="K60" s="53"/>
      <c r="L60" s="14">
        <f>CHOOSE(CONTROL!$C$42, 5.3726, 5.3726) * CHOOSE(CONTROL!$C$21, $C$9, 100%, $E$9)</f>
        <v>5.3726000000000003</v>
      </c>
      <c r="M60" s="14">
        <f>CHOOSE(CONTROL!$C$42, 4.6255, 4.6255) * CHOOSE(CONTROL!$C$21, $C$9, 100%, $E$9)</f>
        <v>4.6254999999999997</v>
      </c>
      <c r="N60" s="14">
        <f>CHOOSE(CONTROL!$C$42, 4.6433, 4.6433) * CHOOSE(CONTROL!$C$21, $C$9, 100%, $E$9)</f>
        <v>4.6433</v>
      </c>
      <c r="O60" s="14">
        <f>CHOOSE(CONTROL!$C$42, 4.6952, 4.6952) * CHOOSE(CONTROL!$C$21, $C$9, 100%, $E$9)</f>
        <v>4.6951999999999998</v>
      </c>
      <c r="P60" s="14">
        <f>CHOOSE(CONTROL!$C$42, 4.6358, 4.6358) * CHOOSE(CONTROL!$C$21, $C$9, 100%, $E$9)</f>
        <v>4.6357999999999997</v>
      </c>
      <c r="Q60" s="14">
        <f>CHOOSE(CONTROL!$C$42, 5.2899, 5.2899) * CHOOSE(CONTROL!$C$21, $C$9, 100%, $E$9)</f>
        <v>5.2899000000000003</v>
      </c>
      <c r="R60" s="14">
        <f>CHOOSE(CONTROL!$C$42, 5.8902, 5.8902) * CHOOSE(CONTROL!$C$21, $C$9, 100%, $E$9)</f>
        <v>5.8902000000000001</v>
      </c>
      <c r="S60" s="14">
        <f>CHOOSE(CONTROL!$C$42, 4.4914, 4.4914) * CHOOSE(CONTROL!$C$21, $C$9, 100%, $E$9)</f>
        <v>4.4913999999999996</v>
      </c>
      <c r="T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" s="57">
        <f>(1000*CHOOSE(CONTROL!$C$42, 695, 695)*CHOOSE(CONTROL!$C$42, 0.5599, 0.5599)*CHOOSE(CONTROL!$C$42, 31, 31))/1000000</f>
        <v>12.063045499999998</v>
      </c>
      <c r="V60" s="57">
        <f>(1000*CHOOSE(CONTROL!$C$42, 580, 580)*CHOOSE(CONTROL!$C$42, 0.275, 0.275)*CHOOSE(CONTROL!$C$42, 31, 31))/1000000</f>
        <v>4.9444999999999997</v>
      </c>
      <c r="W60" s="57">
        <f>(1000*CHOOSE(CONTROL!$C$42, 0.1146, 0.1146)*CHOOSE(CONTROL!$C$42, 121.5, 121.5)*CHOOSE(CONTROL!$C$42, 31, 31))/1000000</f>
        <v>0.43164089999999994</v>
      </c>
      <c r="X60" s="57">
        <f>(31*0.1790888*100000/1000000)+(31*0.2374*100000/1000000)</f>
        <v>1.2911152800000001</v>
      </c>
      <c r="Y60" s="57"/>
      <c r="Z60" s="14"/>
      <c r="AA60" s="56"/>
      <c r="AB60" s="50">
        <f>(B60*122.58+C60*297.941+D60*89.177+E60*40.302+F60*40+G60*160+H60*0+I60*100+J60*300)/(122.58+297.941+89.177+40.302+0+40+160+100+300)</f>
        <v>4.7155073756521739</v>
      </c>
      <c r="AC60" s="45">
        <f>(M60*'RAP TEMPLATE-GAS AVAILABILITY'!O59+N60*'RAP TEMPLATE-GAS AVAILABILITY'!P59+O60*'RAP TEMPLATE-GAS AVAILABILITY'!Q59+P60*'RAP TEMPLATE-GAS AVAILABILITY'!R59)/('RAP TEMPLATE-GAS AVAILABILITY'!O59+'RAP TEMPLATE-GAS AVAILABILITY'!P59+'RAP TEMPLATE-GAS AVAILABILITY'!Q59+'RAP TEMPLATE-GAS AVAILABILITY'!R59)</f>
        <v>4.6595971223021575</v>
      </c>
    </row>
    <row r="61" spans="1:29" ht="15.75" x14ac:dyDescent="0.25">
      <c r="A61" s="13">
        <v>42736</v>
      </c>
      <c r="B61" s="14">
        <f>CHOOSE(CONTROL!$C$42, 5.1099, 5.1099) * CHOOSE(CONTROL!$C$21, $C$9, 100%, $E$9)</f>
        <v>5.1098999999999997</v>
      </c>
      <c r="C61" s="14">
        <f>CHOOSE(CONTROL!$C$42, 5.1149, 5.1149) * CHOOSE(CONTROL!$C$21, $C$9, 100%, $E$9)</f>
        <v>5.1148999999999996</v>
      </c>
      <c r="D61" s="14">
        <f>CHOOSE(CONTROL!$C$42, 5.1918, 5.1918) * CHOOSE(CONTROL!$C$21, $C$9, 100%, $E$9)</f>
        <v>5.1917999999999997</v>
      </c>
      <c r="E61" s="14">
        <f>CHOOSE(CONTROL!$C$42, 5.2259, 5.2259) * CHOOSE(CONTROL!$C$21, $C$9, 100%, $E$9)</f>
        <v>5.2259000000000002</v>
      </c>
      <c r="F61" s="14">
        <f>CHOOSE(CONTROL!$C$42, 5.1346, 5.1346)*CHOOSE(CONTROL!$C$21, $C$9, 100%, $E$9)</f>
        <v>5.1345999999999998</v>
      </c>
      <c r="G61" s="14">
        <f>CHOOSE(CONTROL!$C$42, 5.1526, 5.1526)*CHOOSE(CONTROL!$C$21, $C$9, 100%, $E$9)</f>
        <v>5.1525999999999996</v>
      </c>
      <c r="H61" s="14">
        <f>CHOOSE(CONTROL!$C$42, 5.2151, 5.2151) * CHOOSE(CONTROL!$C$21, $C$9, 100%, $E$9)</f>
        <v>5.2150999999999996</v>
      </c>
      <c r="I61" s="14">
        <f>CHOOSE(CONTROL!$C$42, 5.1596, 5.1596)* CHOOSE(CONTROL!$C$21, $C$9, 100%, $E$9)</f>
        <v>5.1596000000000002</v>
      </c>
      <c r="J61" s="14">
        <f>CHOOSE(CONTROL!$C$42, 5.1276, 5.1276)* CHOOSE(CONTROL!$C$21, $C$9, 100%, $E$9)</f>
        <v>5.1276000000000002</v>
      </c>
      <c r="K61" s="53">
        <f>CHOOSE(CONTROL!$C$42, 5.1557, 5.1557) * CHOOSE(CONTROL!$C$21, $C$9, 100%, $E$9)</f>
        <v>5.1557000000000004</v>
      </c>
      <c r="L61" s="14">
        <f>CHOOSE(CONTROL!$C$42, 5.8021, 5.8021) * CHOOSE(CONTROL!$C$21, $C$9, 100%, $E$9)</f>
        <v>5.8021000000000003</v>
      </c>
      <c r="M61" s="14">
        <f>CHOOSE(CONTROL!$C$42, 5.0302, 5.0302) * CHOOSE(CONTROL!$C$21, $C$9, 100%, $E$9)</f>
        <v>5.0301999999999998</v>
      </c>
      <c r="N61" s="14">
        <f>CHOOSE(CONTROL!$C$42, 5.0478, 5.0478) * CHOOSE(CONTROL!$C$21, $C$9, 100%, $E$9)</f>
        <v>5.0477999999999996</v>
      </c>
      <c r="O61" s="14">
        <f>CHOOSE(CONTROL!$C$42, 5.1159, 5.1159) * CHOOSE(CONTROL!$C$21, $C$9, 100%, $E$9)</f>
        <v>5.1158999999999999</v>
      </c>
      <c r="P61" s="14">
        <f>CHOOSE(CONTROL!$C$42, 5.0613, 5.0613) * CHOOSE(CONTROL!$C$21, $C$9, 100%, $E$9)</f>
        <v>5.0613000000000001</v>
      </c>
      <c r="Q61" s="14">
        <f>CHOOSE(CONTROL!$C$42, 5.7106, 5.7106) * CHOOSE(CONTROL!$C$21, $C$9, 100%, $E$9)</f>
        <v>5.7106000000000003</v>
      </c>
      <c r="R61" s="14">
        <f>CHOOSE(CONTROL!$C$42, 6.3119, 6.3119) * CHOOSE(CONTROL!$C$21, $C$9, 100%, $E$9)</f>
        <v>6.3118999999999996</v>
      </c>
      <c r="S61" s="14">
        <f>CHOOSE(CONTROL!$C$42, 4.9015, 4.9015) * CHOOSE(CONTROL!$C$21, $C$9, 100%, $E$9)</f>
        <v>4.9015000000000004</v>
      </c>
      <c r="T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" s="57">
        <f>(1000*CHOOSE(CONTROL!$C$42, 695, 695)*CHOOSE(CONTROL!$C$42, 0.5599, 0.5599)*CHOOSE(CONTROL!$C$42, 31, 31))/1000000</f>
        <v>12.063045499999998</v>
      </c>
      <c r="V61" s="57">
        <f>(1000*CHOOSE(CONTROL!$C$42, 580, 580)*CHOOSE(CONTROL!$C$42, 0.275, 0.275)*CHOOSE(CONTROL!$C$42, 31, 31))/1000000</f>
        <v>4.9444999999999997</v>
      </c>
      <c r="W61" s="57">
        <f>(1000*CHOOSE(CONTROL!$C$42, 0.1146, 0.1146)*CHOOSE(CONTROL!$C$42, 121.5, 121.5)*CHOOSE(CONTROL!$C$42, 31, 31))/1000000</f>
        <v>0.43164089999999994</v>
      </c>
      <c r="X61" s="57">
        <f>(31*0.1790888*100000/1000000)+(31*0.2374*100000/1000000)</f>
        <v>1.2911152800000001</v>
      </c>
      <c r="Y61" s="57"/>
      <c r="Z61" s="14"/>
      <c r="AA61" s="56"/>
      <c r="AB61" s="50">
        <f>(B61*122.58+C61*297.941+D61*89.177+E61*40.302+F61*40+G61*160+H61*0+I61*100+J61*300)/(122.58+297.941+89.177+40.302+0+40+160+100+300)</f>
        <v>5.1373507246086954</v>
      </c>
      <c r="AC61" s="45">
        <f>(M61*'RAP TEMPLATE-GAS AVAILABILITY'!O60+N61*'RAP TEMPLATE-GAS AVAILABILITY'!P60+O61*'RAP TEMPLATE-GAS AVAILABILITY'!Q60+P61*'RAP TEMPLATE-GAS AVAILABILITY'!R60)/('RAP TEMPLATE-GAS AVAILABILITY'!O60+'RAP TEMPLATE-GAS AVAILABILITY'!P60+'RAP TEMPLATE-GAS AVAILABILITY'!Q60+'RAP TEMPLATE-GAS AVAILABILITY'!R60)</f>
        <v>5.0745302158273375</v>
      </c>
    </row>
    <row r="62" spans="1:29" ht="15.75" x14ac:dyDescent="0.25">
      <c r="A62" s="13">
        <v>42767</v>
      </c>
      <c r="B62" s="14">
        <f>CHOOSE(CONTROL!$C$42, 5.2114, 5.2114) * CHOOSE(CONTROL!$C$21, $C$9, 100%, $E$9)</f>
        <v>5.2114000000000003</v>
      </c>
      <c r="C62" s="14">
        <f>CHOOSE(CONTROL!$C$42, 5.2164, 5.2164) * CHOOSE(CONTROL!$C$21, $C$9, 100%, $E$9)</f>
        <v>5.2164000000000001</v>
      </c>
      <c r="D62" s="14">
        <f>CHOOSE(CONTROL!$C$42, 5.2932, 5.2932) * CHOOSE(CONTROL!$C$21, $C$9, 100%, $E$9)</f>
        <v>5.2931999999999997</v>
      </c>
      <c r="E62" s="14">
        <f>CHOOSE(CONTROL!$C$42, 5.3273, 5.3273) * CHOOSE(CONTROL!$C$21, $C$9, 100%, $E$9)</f>
        <v>5.3273000000000001</v>
      </c>
      <c r="F62" s="14">
        <f>CHOOSE(CONTROL!$C$42, 5.2357, 5.2357)*CHOOSE(CONTROL!$C$21, $C$9, 100%, $E$9)</f>
        <v>5.2356999999999996</v>
      </c>
      <c r="G62" s="14">
        <f>CHOOSE(CONTROL!$C$42, 5.2536, 5.2536)*CHOOSE(CONTROL!$C$21, $C$9, 100%, $E$9)</f>
        <v>5.2535999999999996</v>
      </c>
      <c r="H62" s="14">
        <f>CHOOSE(CONTROL!$C$42, 5.3165, 5.3165) * CHOOSE(CONTROL!$C$21, $C$9, 100%, $E$9)</f>
        <v>5.3164999999999996</v>
      </c>
      <c r="I62" s="14">
        <f>CHOOSE(CONTROL!$C$42, 5.2614, 5.2614)* CHOOSE(CONTROL!$C$21, $C$9, 100%, $E$9)</f>
        <v>5.2614000000000001</v>
      </c>
      <c r="J62" s="14">
        <f>CHOOSE(CONTROL!$C$42, 5.2287, 5.2287)* CHOOSE(CONTROL!$C$21, $C$9, 100%, $E$9)</f>
        <v>5.2286999999999999</v>
      </c>
      <c r="K62" s="53">
        <f>CHOOSE(CONTROL!$C$42, 5.2575, 5.2575) * CHOOSE(CONTROL!$C$21, $C$9, 100%, $E$9)</f>
        <v>5.2575000000000003</v>
      </c>
      <c r="L62" s="14">
        <f>CHOOSE(CONTROL!$C$42, 5.9035, 5.9035) * CHOOSE(CONTROL!$C$21, $C$9, 100%, $E$9)</f>
        <v>5.9035000000000002</v>
      </c>
      <c r="M62" s="14">
        <f>CHOOSE(CONTROL!$C$42, 5.1293, 5.1293) * CHOOSE(CONTROL!$C$21, $C$9, 100%, $E$9)</f>
        <v>5.1292999999999997</v>
      </c>
      <c r="N62" s="14">
        <f>CHOOSE(CONTROL!$C$42, 5.1468, 5.1468) * CHOOSE(CONTROL!$C$21, $C$9, 100%, $E$9)</f>
        <v>5.1467999999999998</v>
      </c>
      <c r="O62" s="14">
        <f>CHOOSE(CONTROL!$C$42, 5.2153, 5.2153) * CHOOSE(CONTROL!$C$21, $C$9, 100%, $E$9)</f>
        <v>5.2153</v>
      </c>
      <c r="P62" s="14">
        <f>CHOOSE(CONTROL!$C$42, 5.161, 5.161) * CHOOSE(CONTROL!$C$21, $C$9, 100%, $E$9)</f>
        <v>5.1609999999999996</v>
      </c>
      <c r="Q62" s="14">
        <f>CHOOSE(CONTROL!$C$42, 5.81, 5.81) * CHOOSE(CONTROL!$C$21, $C$9, 100%, $E$9)</f>
        <v>5.81</v>
      </c>
      <c r="R62" s="14">
        <f>CHOOSE(CONTROL!$C$42, 6.4115, 6.4115) * CHOOSE(CONTROL!$C$21, $C$9, 100%, $E$9)</f>
        <v>6.4115000000000002</v>
      </c>
      <c r="S62" s="14">
        <f>CHOOSE(CONTROL!$C$42, 4.9991, 4.9991) * CHOOSE(CONTROL!$C$21, $C$9, 100%, $E$9)</f>
        <v>4.9991000000000003</v>
      </c>
      <c r="T6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2" s="57">
        <f>(1000*CHOOSE(CONTROL!$C$42, 695, 695)*CHOOSE(CONTROL!$C$42, 0.5599, 0.5599)*CHOOSE(CONTROL!$C$42, 28, 28))/1000000</f>
        <v>10.895653999999999</v>
      </c>
      <c r="V62" s="57">
        <f>(1000*CHOOSE(CONTROL!$C$42, 580, 580)*CHOOSE(CONTROL!$C$42, 0.275, 0.275)*CHOOSE(CONTROL!$C$42, 28, 28))/1000000</f>
        <v>4.4660000000000002</v>
      </c>
      <c r="W62" s="57">
        <f>(1000*CHOOSE(CONTROL!$C$42, 0.1146, 0.1146)*CHOOSE(CONTROL!$C$42, 121.5, 121.5)*CHOOSE(CONTROL!$C$42, 28, 28))/1000000</f>
        <v>0.38986920000000003</v>
      </c>
      <c r="X62" s="57">
        <f>(28*0.1790888*100000/1000000)+(28*0.2374*100000/1000000)</f>
        <v>1.16616864</v>
      </c>
      <c r="Y62" s="57"/>
      <c r="Z62" s="14"/>
      <c r="AA62" s="56"/>
      <c r="AB62" s="50">
        <f>(B62*122.58+C62*297.941+D62*89.177+E62*40.302+F62*40+G62*160+H62*0+I62*100+J62*300)/(122.58+297.941+89.177+40.302+0+40+160+100+300)</f>
        <v>5.2386777264347817</v>
      </c>
      <c r="AC62" s="45">
        <f>(M62*'RAP TEMPLATE-GAS AVAILABILITY'!O61+N62*'RAP TEMPLATE-GAS AVAILABILITY'!P61+O62*'RAP TEMPLATE-GAS AVAILABILITY'!Q61+P62*'RAP TEMPLATE-GAS AVAILABILITY'!R61)/('RAP TEMPLATE-GAS AVAILABILITY'!O61+'RAP TEMPLATE-GAS AVAILABILITY'!P61+'RAP TEMPLATE-GAS AVAILABILITY'!Q61+'RAP TEMPLATE-GAS AVAILABILITY'!R61)</f>
        <v>5.1738467625899283</v>
      </c>
    </row>
    <row r="63" spans="1:29" ht="15.75" x14ac:dyDescent="0.25">
      <c r="A63" s="13">
        <v>42795</v>
      </c>
      <c r="B63" s="14">
        <f>CHOOSE(CONTROL!$C$42, 5.0741, 5.0741) * CHOOSE(CONTROL!$C$21, $C$9, 100%, $E$9)</f>
        <v>5.0740999999999996</v>
      </c>
      <c r="C63" s="14">
        <f>CHOOSE(CONTROL!$C$42, 5.0792, 5.0792) * CHOOSE(CONTROL!$C$21, $C$9, 100%, $E$9)</f>
        <v>5.0792000000000002</v>
      </c>
      <c r="D63" s="14">
        <f>CHOOSE(CONTROL!$C$42, 5.156, 5.156) * CHOOSE(CONTROL!$C$21, $C$9, 100%, $E$9)</f>
        <v>5.1559999999999997</v>
      </c>
      <c r="E63" s="14">
        <f>CHOOSE(CONTROL!$C$42, 5.1901, 5.1901) * CHOOSE(CONTROL!$C$21, $C$9, 100%, $E$9)</f>
        <v>5.1901000000000002</v>
      </c>
      <c r="F63" s="14">
        <f>CHOOSE(CONTROL!$C$42, 5.0976, 5.0976)*CHOOSE(CONTROL!$C$21, $C$9, 100%, $E$9)</f>
        <v>5.0975999999999999</v>
      </c>
      <c r="G63" s="14">
        <f>CHOOSE(CONTROL!$C$42, 5.1152, 5.1152)*CHOOSE(CONTROL!$C$21, $C$9, 100%, $E$9)</f>
        <v>5.1151999999999997</v>
      </c>
      <c r="H63" s="14">
        <f>CHOOSE(CONTROL!$C$42, 5.1793, 5.1793) * CHOOSE(CONTROL!$C$21, $C$9, 100%, $E$9)</f>
        <v>5.1792999999999996</v>
      </c>
      <c r="I63" s="14">
        <f>CHOOSE(CONTROL!$C$42, 5.1237, 5.1237)* CHOOSE(CONTROL!$C$21, $C$9, 100%, $E$9)</f>
        <v>5.1237000000000004</v>
      </c>
      <c r="J63" s="14">
        <f>CHOOSE(CONTROL!$C$42, 5.0906, 5.0906)* CHOOSE(CONTROL!$C$21, $C$9, 100%, $E$9)</f>
        <v>5.0906000000000002</v>
      </c>
      <c r="K63" s="53">
        <f>CHOOSE(CONTROL!$C$42, 5.1198, 5.1198) * CHOOSE(CONTROL!$C$21, $C$9, 100%, $E$9)</f>
        <v>5.1197999999999997</v>
      </c>
      <c r="L63" s="14">
        <f>CHOOSE(CONTROL!$C$42, 5.7663, 5.7663) * CHOOSE(CONTROL!$C$21, $C$9, 100%, $E$9)</f>
        <v>5.7663000000000002</v>
      </c>
      <c r="M63" s="14">
        <f>CHOOSE(CONTROL!$C$42, 4.9939, 4.9939) * CHOOSE(CONTROL!$C$21, $C$9, 100%, $E$9)</f>
        <v>4.9939</v>
      </c>
      <c r="N63" s="14">
        <f>CHOOSE(CONTROL!$C$42, 5.0112, 5.0112) * CHOOSE(CONTROL!$C$21, $C$9, 100%, $E$9)</f>
        <v>5.0111999999999997</v>
      </c>
      <c r="O63" s="14">
        <f>CHOOSE(CONTROL!$C$42, 5.0808, 5.0808) * CHOOSE(CONTROL!$C$21, $C$9, 100%, $E$9)</f>
        <v>5.0808</v>
      </c>
      <c r="P63" s="14">
        <f>CHOOSE(CONTROL!$C$42, 5.0262, 5.0262) * CHOOSE(CONTROL!$C$21, $C$9, 100%, $E$9)</f>
        <v>5.0262000000000002</v>
      </c>
      <c r="Q63" s="14">
        <f>CHOOSE(CONTROL!$C$42, 5.6755, 5.6755) * CHOOSE(CONTROL!$C$21, $C$9, 100%, $E$9)</f>
        <v>5.6755000000000004</v>
      </c>
      <c r="R63" s="14">
        <f>CHOOSE(CONTROL!$C$42, 6.2767, 6.2767) * CHOOSE(CONTROL!$C$21, $C$9, 100%, $E$9)</f>
        <v>6.2766999999999999</v>
      </c>
      <c r="S63" s="14">
        <f>CHOOSE(CONTROL!$C$42, 4.8671, 4.8671) * CHOOSE(CONTROL!$C$21, $C$9, 100%, $E$9)</f>
        <v>4.8670999999999998</v>
      </c>
      <c r="T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" s="57">
        <f>(1000*CHOOSE(CONTROL!$C$42, 695, 695)*CHOOSE(CONTROL!$C$42, 0.5599, 0.5599)*CHOOSE(CONTROL!$C$42, 31, 31))/1000000</f>
        <v>12.063045499999998</v>
      </c>
      <c r="V63" s="57">
        <f>(1000*CHOOSE(CONTROL!$C$42, 580, 580)*CHOOSE(CONTROL!$C$42, 0.275, 0.275)*CHOOSE(CONTROL!$C$42, 31, 31))/1000000</f>
        <v>4.9444999999999997</v>
      </c>
      <c r="W63" s="57">
        <f>(1000*CHOOSE(CONTROL!$C$42, 0.1146, 0.1146)*CHOOSE(CONTROL!$C$42, 121.5, 121.5)*CHOOSE(CONTROL!$C$42, 31, 31))/1000000</f>
        <v>0.43164089999999994</v>
      </c>
      <c r="X63" s="57">
        <f>(31*0.1790888*100000/1000000)+(31*0.2374*100000/1000000)</f>
        <v>1.2911152800000001</v>
      </c>
      <c r="Y63" s="57"/>
      <c r="Z63" s="14"/>
      <c r="AA63" s="56"/>
      <c r="AB63" s="50">
        <f>(B63*122.58+C63*297.941+D63*89.177+E63*40.302+F63*40+G63*160+H63*0+I63*100+J63*300)/(122.58+297.941+89.177+40.302+0+40+160+100+300)</f>
        <v>5.1009905455652174</v>
      </c>
      <c r="AC63" s="45">
        <f>(M63*'RAP TEMPLATE-GAS AVAILABILITY'!O62+N63*'RAP TEMPLATE-GAS AVAILABILITY'!P62+O63*'RAP TEMPLATE-GAS AVAILABILITY'!Q62+P63*'RAP TEMPLATE-GAS AVAILABILITY'!R62)/('RAP TEMPLATE-GAS AVAILABILITY'!O62+'RAP TEMPLATE-GAS AVAILABILITY'!P62+'RAP TEMPLATE-GAS AVAILABILITY'!Q62+'RAP TEMPLATE-GAS AVAILABILITY'!R62)</f>
        <v>5.0389294964028775</v>
      </c>
    </row>
    <row r="64" spans="1:29" ht="15.75" x14ac:dyDescent="0.25">
      <c r="A64" s="13">
        <v>42826</v>
      </c>
      <c r="B64" s="14">
        <f>CHOOSE(CONTROL!$C$42, 5.0703, 5.0703) * CHOOSE(CONTROL!$C$21, $C$9, 100%, $E$9)</f>
        <v>5.0702999999999996</v>
      </c>
      <c r="C64" s="14">
        <f>CHOOSE(CONTROL!$C$42, 5.0748, 5.0748) * CHOOSE(CONTROL!$C$21, $C$9, 100%, $E$9)</f>
        <v>5.0747999999999998</v>
      </c>
      <c r="D64" s="14">
        <f>CHOOSE(CONTROL!$C$42, 5.2985, 5.2985) * CHOOSE(CONTROL!$C$21, $C$9, 100%, $E$9)</f>
        <v>5.2984999999999998</v>
      </c>
      <c r="E64" s="14">
        <f>CHOOSE(CONTROL!$C$42, 5.3307, 5.3307) * CHOOSE(CONTROL!$C$21, $C$9, 100%, $E$9)</f>
        <v>5.3307000000000002</v>
      </c>
      <c r="F64" s="14">
        <f>CHOOSE(CONTROL!$C$42, 5.098, 5.098)*CHOOSE(CONTROL!$C$21, $C$9, 100%, $E$9)</f>
        <v>5.0979999999999999</v>
      </c>
      <c r="G64" s="14">
        <f>CHOOSE(CONTROL!$C$42, 5.1149, 5.1149)*CHOOSE(CONTROL!$C$21, $C$9, 100%, $E$9)</f>
        <v>5.1148999999999996</v>
      </c>
      <c r="H64" s="14">
        <f>CHOOSE(CONTROL!$C$42, 5.3204, 5.3204) * CHOOSE(CONTROL!$C$21, $C$9, 100%, $E$9)</f>
        <v>5.3204000000000002</v>
      </c>
      <c r="I64" s="14">
        <f>CHOOSE(CONTROL!$C$42, 5.1155, 5.1155)* CHOOSE(CONTROL!$C$21, $C$9, 100%, $E$9)</f>
        <v>5.1154999999999999</v>
      </c>
      <c r="J64" s="14">
        <f>CHOOSE(CONTROL!$C$42, 5.091, 5.091)* CHOOSE(CONTROL!$C$21, $C$9, 100%, $E$9)</f>
        <v>5.0910000000000002</v>
      </c>
      <c r="K64" s="53">
        <f>CHOOSE(CONTROL!$C$42, 5.1116, 5.1116) * CHOOSE(CONTROL!$C$21, $C$9, 100%, $E$9)</f>
        <v>5.1116000000000001</v>
      </c>
      <c r="L64" s="14">
        <f>CHOOSE(CONTROL!$C$42, 5.9074, 5.9074) * CHOOSE(CONTROL!$C$21, $C$9, 100%, $E$9)</f>
        <v>5.9074</v>
      </c>
      <c r="M64" s="14">
        <f>CHOOSE(CONTROL!$C$42, 4.9944, 4.9944) * CHOOSE(CONTROL!$C$21, $C$9, 100%, $E$9)</f>
        <v>4.9943999999999997</v>
      </c>
      <c r="N64" s="14">
        <f>CHOOSE(CONTROL!$C$42, 5.011, 5.011) * CHOOSE(CONTROL!$C$21, $C$9, 100%, $E$9)</f>
        <v>5.0110000000000001</v>
      </c>
      <c r="O64" s="14">
        <f>CHOOSE(CONTROL!$C$42, 5.2191, 5.2191) * CHOOSE(CONTROL!$C$21, $C$9, 100%, $E$9)</f>
        <v>5.2191000000000001</v>
      </c>
      <c r="P64" s="14">
        <f>CHOOSE(CONTROL!$C$42, 5.0181, 5.0181) * CHOOSE(CONTROL!$C$21, $C$9, 100%, $E$9)</f>
        <v>5.0180999999999996</v>
      </c>
      <c r="Q64" s="14">
        <f>CHOOSE(CONTROL!$C$42, 5.8138, 5.8138) * CHOOSE(CONTROL!$C$21, $C$9, 100%, $E$9)</f>
        <v>5.8137999999999996</v>
      </c>
      <c r="R64" s="14">
        <f>CHOOSE(CONTROL!$C$42, 6.4154, 6.4154) * CHOOSE(CONTROL!$C$21, $C$9, 100%, $E$9)</f>
        <v>6.4154</v>
      </c>
      <c r="S64" s="14">
        <f>CHOOSE(CONTROL!$C$42, 4.8628, 4.8628) * CHOOSE(CONTROL!$C$21, $C$9, 100%, $E$9)</f>
        <v>4.8628</v>
      </c>
      <c r="T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" s="57">
        <f>(1000*CHOOSE(CONTROL!$C$42, 695, 695)*CHOOSE(CONTROL!$C$42, 0.5599, 0.5599)*CHOOSE(CONTROL!$C$42, 30, 30))/1000000</f>
        <v>11.673914999999997</v>
      </c>
      <c r="V64" s="57">
        <f>(1000*CHOOSE(CONTROL!$C$42, 580, 580)*CHOOSE(CONTROL!$C$42, 0.275, 0.275)*CHOOSE(CONTROL!$C$42, 30, 30))/1000000</f>
        <v>4.7850000000000001</v>
      </c>
      <c r="W64" s="57">
        <f>(1000*CHOOSE(CONTROL!$C$42, 0.1146, 0.1146)*CHOOSE(CONTROL!$C$42, 121.5, 121.5)*CHOOSE(CONTROL!$C$42, 30, 30))/1000000</f>
        <v>0.417717</v>
      </c>
      <c r="X64" s="57">
        <f>(30*0.1790888*245000/1000000)+(30*0.2374*100000/1000000)</f>
        <v>2.0285026799999999</v>
      </c>
      <c r="Y64" s="57"/>
      <c r="Z64" s="14"/>
      <c r="AA64" s="56"/>
      <c r="AB64" s="50">
        <f>(B64*141.293+C64*267.993+D64*115.016+E64*89.698+F64*40+G64*185+H64*0+I64*100+J64*300)/(141.293+267.993+115.016+89.698+0+40+185+100+300)</f>
        <v>5.1275227432606938</v>
      </c>
      <c r="AC64" s="45">
        <f>(M64*'RAP TEMPLATE-GAS AVAILABILITY'!O63+N64*'RAP TEMPLATE-GAS AVAILABILITY'!P63+O64*'RAP TEMPLATE-GAS AVAILABILITY'!Q63+P64*'RAP TEMPLATE-GAS AVAILABILITY'!R63)/('RAP TEMPLATE-GAS AVAILABILITY'!O63+'RAP TEMPLATE-GAS AVAILABILITY'!P63+'RAP TEMPLATE-GAS AVAILABILITY'!Q63+'RAP TEMPLATE-GAS AVAILABILITY'!R63)</f>
        <v>5.0646769784172658</v>
      </c>
    </row>
    <row r="65" spans="1:29" ht="15.75" x14ac:dyDescent="0.25">
      <c r="A65" s="13">
        <v>42856</v>
      </c>
      <c r="B65" s="14">
        <f>CHOOSE(CONTROL!$C$42, 5.1269, 5.1269) * CHOOSE(CONTROL!$C$21, $C$9, 100%, $E$9)</f>
        <v>5.1269</v>
      </c>
      <c r="C65" s="14">
        <f>CHOOSE(CONTROL!$C$42, 5.1349, 5.1349) * CHOOSE(CONTROL!$C$21, $C$9, 100%, $E$9)</f>
        <v>5.1349</v>
      </c>
      <c r="D65" s="14">
        <f>CHOOSE(CONTROL!$C$42, 5.3555, 5.3555) * CHOOSE(CONTROL!$C$21, $C$9, 100%, $E$9)</f>
        <v>5.3555000000000001</v>
      </c>
      <c r="E65" s="14">
        <f>CHOOSE(CONTROL!$C$42, 5.387, 5.387) * CHOOSE(CONTROL!$C$21, $C$9, 100%, $E$9)</f>
        <v>5.3869999999999996</v>
      </c>
      <c r="F65" s="14">
        <f>CHOOSE(CONTROL!$C$42, 5.1532, 5.1532)*CHOOSE(CONTROL!$C$21, $C$9, 100%, $E$9)</f>
        <v>5.1532</v>
      </c>
      <c r="G65" s="14">
        <f>CHOOSE(CONTROL!$C$42, 5.1703, 5.1703)*CHOOSE(CONTROL!$C$21, $C$9, 100%, $E$9)</f>
        <v>5.1703000000000001</v>
      </c>
      <c r="H65" s="14">
        <f>CHOOSE(CONTROL!$C$42, 5.3756, 5.3756) * CHOOSE(CONTROL!$C$21, $C$9, 100%, $E$9)</f>
        <v>5.3756000000000004</v>
      </c>
      <c r="I65" s="14">
        <f>CHOOSE(CONTROL!$C$42, 5.1708, 5.1708)* CHOOSE(CONTROL!$C$21, $C$9, 100%, $E$9)</f>
        <v>5.1707999999999998</v>
      </c>
      <c r="J65" s="14">
        <f>CHOOSE(CONTROL!$C$42, 5.1462, 5.1462)* CHOOSE(CONTROL!$C$21, $C$9, 100%, $E$9)</f>
        <v>5.1462000000000003</v>
      </c>
      <c r="K65" s="53">
        <f>CHOOSE(CONTROL!$C$42, 5.167, 5.167) * CHOOSE(CONTROL!$C$21, $C$9, 100%, $E$9)</f>
        <v>5.1669999999999998</v>
      </c>
      <c r="L65" s="14">
        <f>CHOOSE(CONTROL!$C$42, 5.9626, 5.9626) * CHOOSE(CONTROL!$C$21, $C$9, 100%, $E$9)</f>
        <v>5.9626000000000001</v>
      </c>
      <c r="M65" s="14">
        <f>CHOOSE(CONTROL!$C$42, 5.0484, 5.0484) * CHOOSE(CONTROL!$C$21, $C$9, 100%, $E$9)</f>
        <v>5.0484</v>
      </c>
      <c r="N65" s="14">
        <f>CHOOSE(CONTROL!$C$42, 5.0652, 5.0652) * CHOOSE(CONTROL!$C$21, $C$9, 100%, $E$9)</f>
        <v>5.0651999999999999</v>
      </c>
      <c r="O65" s="14">
        <f>CHOOSE(CONTROL!$C$42, 5.2732, 5.2732) * CHOOSE(CONTROL!$C$21, $C$9, 100%, $E$9)</f>
        <v>5.2732000000000001</v>
      </c>
      <c r="P65" s="14">
        <f>CHOOSE(CONTROL!$C$42, 5.0723, 5.0723) * CHOOSE(CONTROL!$C$21, $C$9, 100%, $E$9)</f>
        <v>5.0723000000000003</v>
      </c>
      <c r="Q65" s="14">
        <f>CHOOSE(CONTROL!$C$42, 5.8679, 5.8679) * CHOOSE(CONTROL!$C$21, $C$9, 100%, $E$9)</f>
        <v>5.8678999999999997</v>
      </c>
      <c r="R65" s="14">
        <f>CHOOSE(CONTROL!$C$42, 6.4695, 6.4695) * CHOOSE(CONTROL!$C$21, $C$9, 100%, $E$9)</f>
        <v>6.4695</v>
      </c>
      <c r="S65" s="14">
        <f>CHOOSE(CONTROL!$C$42, 4.9158, 4.9158) * CHOOSE(CONTROL!$C$21, $C$9, 100%, $E$9)</f>
        <v>4.9157999999999999</v>
      </c>
      <c r="T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" s="57">
        <f>(1000*CHOOSE(CONTROL!$C$42, 695, 695)*CHOOSE(CONTROL!$C$42, 0.5599, 0.5599)*CHOOSE(CONTROL!$C$42, 31, 31))/1000000</f>
        <v>12.063045499999998</v>
      </c>
      <c r="V65" s="57">
        <f>(1000*CHOOSE(CONTROL!$C$42, 580, 580)*CHOOSE(CONTROL!$C$42, 0.275, 0.275)*CHOOSE(CONTROL!$C$42, 31, 31))/1000000</f>
        <v>4.9444999999999997</v>
      </c>
      <c r="W65" s="57">
        <f>(1000*CHOOSE(CONTROL!$C$42, 0.1146, 0.1146)*CHOOSE(CONTROL!$C$42, 121.5, 121.5)*CHOOSE(CONTROL!$C$42, 31, 31))/1000000</f>
        <v>0.43164089999999994</v>
      </c>
      <c r="X65" s="57">
        <f>(31*0.1790888*245000/1000000)+(31*0.2374*100000/1000000)</f>
        <v>2.0961194359999999</v>
      </c>
      <c r="Y65" s="57"/>
      <c r="Z65" s="14"/>
      <c r="AA65" s="56"/>
      <c r="AB65" s="50">
        <f>(B65*194.205+C65*267.466+D65*133.845+E65*53.484+F65*40+G65*185+H65*0+I65*100+J65*300)/(194.205+267.466+133.845+53.484+0+40+185+100+300)</f>
        <v>5.1786338174254327</v>
      </c>
      <c r="AC65" s="45">
        <f>(M65*'RAP TEMPLATE-GAS AVAILABILITY'!O64+N65*'RAP TEMPLATE-GAS AVAILABILITY'!P64+O65*'RAP TEMPLATE-GAS AVAILABILITY'!Q64+P65*'RAP TEMPLATE-GAS AVAILABILITY'!R64)/('RAP TEMPLATE-GAS AVAILABILITY'!O64+'RAP TEMPLATE-GAS AVAILABILITY'!P64+'RAP TEMPLATE-GAS AVAILABILITY'!Q64+'RAP TEMPLATE-GAS AVAILABILITY'!R64)</f>
        <v>5.1187798561151086</v>
      </c>
    </row>
    <row r="66" spans="1:29" ht="15.75" x14ac:dyDescent="0.25">
      <c r="A66" s="13">
        <v>42887</v>
      </c>
      <c r="B66" s="14">
        <f>CHOOSE(CONTROL!$C$42, 5.2828, 5.2828) * CHOOSE(CONTROL!$C$21, $C$9, 100%, $E$9)</f>
        <v>5.2827999999999999</v>
      </c>
      <c r="C66" s="14">
        <f>CHOOSE(CONTROL!$C$42, 5.2909, 5.2909) * CHOOSE(CONTROL!$C$21, $C$9, 100%, $E$9)</f>
        <v>5.2908999999999997</v>
      </c>
      <c r="D66" s="14">
        <f>CHOOSE(CONTROL!$C$42, 5.5114, 5.5114) * CHOOSE(CONTROL!$C$21, $C$9, 100%, $E$9)</f>
        <v>5.5114000000000001</v>
      </c>
      <c r="E66" s="14">
        <f>CHOOSE(CONTROL!$C$42, 5.5429, 5.5429) * CHOOSE(CONTROL!$C$21, $C$9, 100%, $E$9)</f>
        <v>5.5429000000000004</v>
      </c>
      <c r="F66" s="14">
        <f>CHOOSE(CONTROL!$C$42, 5.3094, 5.3094)*CHOOSE(CONTROL!$C$21, $C$9, 100%, $E$9)</f>
        <v>5.3094000000000001</v>
      </c>
      <c r="G66" s="14">
        <f>CHOOSE(CONTROL!$C$42, 5.3267, 5.3267)*CHOOSE(CONTROL!$C$21, $C$9, 100%, $E$9)</f>
        <v>5.3266999999999998</v>
      </c>
      <c r="H66" s="14">
        <f>CHOOSE(CONTROL!$C$42, 5.5315, 5.5315) * CHOOSE(CONTROL!$C$21, $C$9, 100%, $E$9)</f>
        <v>5.5315000000000003</v>
      </c>
      <c r="I66" s="14">
        <f>CHOOSE(CONTROL!$C$42, 5.3273, 5.3273)* CHOOSE(CONTROL!$C$21, $C$9, 100%, $E$9)</f>
        <v>5.3273000000000001</v>
      </c>
      <c r="J66" s="14">
        <f>CHOOSE(CONTROL!$C$42, 5.3024, 5.3024)* CHOOSE(CONTROL!$C$21, $C$9, 100%, $E$9)</f>
        <v>5.3023999999999996</v>
      </c>
      <c r="K66" s="53">
        <f>CHOOSE(CONTROL!$C$42, 5.3234, 5.3234) * CHOOSE(CONTROL!$C$21, $C$9, 100%, $E$9)</f>
        <v>5.3234000000000004</v>
      </c>
      <c r="L66" s="14">
        <f>CHOOSE(CONTROL!$C$42, 6.1185, 6.1185) * CHOOSE(CONTROL!$C$21, $C$9, 100%, $E$9)</f>
        <v>6.1185</v>
      </c>
      <c r="M66" s="14">
        <f>CHOOSE(CONTROL!$C$42, 5.2015, 5.2015) * CHOOSE(CONTROL!$C$21, $C$9, 100%, $E$9)</f>
        <v>5.2015000000000002</v>
      </c>
      <c r="N66" s="14">
        <f>CHOOSE(CONTROL!$C$42, 5.2183, 5.2183) * CHOOSE(CONTROL!$C$21, $C$9, 100%, $E$9)</f>
        <v>5.2183000000000002</v>
      </c>
      <c r="O66" s="14">
        <f>CHOOSE(CONTROL!$C$42, 5.4259, 5.4259) * CHOOSE(CONTROL!$C$21, $C$9, 100%, $E$9)</f>
        <v>5.4259000000000004</v>
      </c>
      <c r="P66" s="14">
        <f>CHOOSE(CONTROL!$C$42, 5.2255, 5.2255) * CHOOSE(CONTROL!$C$21, $C$9, 100%, $E$9)</f>
        <v>5.2255000000000003</v>
      </c>
      <c r="Q66" s="14">
        <f>CHOOSE(CONTROL!$C$42, 6.0206, 6.0206) * CHOOSE(CONTROL!$C$21, $C$9, 100%, $E$9)</f>
        <v>6.0206</v>
      </c>
      <c r="R66" s="14">
        <f>CHOOSE(CONTROL!$C$42, 6.6226, 6.6226) * CHOOSE(CONTROL!$C$21, $C$9, 100%, $E$9)</f>
        <v>6.6226000000000003</v>
      </c>
      <c r="S66" s="14">
        <f>CHOOSE(CONTROL!$C$42, 5.0656, 5.0656) * CHOOSE(CONTROL!$C$21, $C$9, 100%, $E$9)</f>
        <v>5.0655999999999999</v>
      </c>
      <c r="T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" s="57">
        <f>(1000*CHOOSE(CONTROL!$C$42, 695, 695)*CHOOSE(CONTROL!$C$42, 0.5599, 0.5599)*CHOOSE(CONTROL!$C$42, 30, 30))/1000000</f>
        <v>11.673914999999997</v>
      </c>
      <c r="V66" s="57">
        <f>(1000*CHOOSE(CONTROL!$C$42, 580, 580)*CHOOSE(CONTROL!$C$42, 0.275, 0.275)*CHOOSE(CONTROL!$C$42, 30, 30))/1000000</f>
        <v>4.7850000000000001</v>
      </c>
      <c r="W66" s="57">
        <f>(1000*CHOOSE(CONTROL!$C$42, 0.1146, 0.1146)*CHOOSE(CONTROL!$C$42, 121.5, 121.5)*CHOOSE(CONTROL!$C$42, 30, 30))/1000000</f>
        <v>0.417717</v>
      </c>
      <c r="X66" s="57">
        <f>(30*0.1790888*245000/1000000)+(30*0.2374*100000/1000000)</f>
        <v>2.0285026799999999</v>
      </c>
      <c r="Y66" s="57"/>
      <c r="Z66" s="14"/>
      <c r="AA66" s="56"/>
      <c r="AB66" s="50">
        <f>(B66*194.205+C66*267.466+D66*133.845+E66*53.484+F66*40+G66*185+H66*0+I66*100+J66*300)/(194.205+267.466+133.845+53.484+0+40+185+100+300)</f>
        <v>5.3347545761381472</v>
      </c>
      <c r="AC66" s="45">
        <f>(M66*'RAP TEMPLATE-GAS AVAILABILITY'!O65+N66*'RAP TEMPLATE-GAS AVAILABILITY'!P65+O66*'RAP TEMPLATE-GAS AVAILABILITY'!Q65+P66*'RAP TEMPLATE-GAS AVAILABILITY'!R65)/('RAP TEMPLATE-GAS AVAILABILITY'!O65+'RAP TEMPLATE-GAS AVAILABILITY'!P65+'RAP TEMPLATE-GAS AVAILABILITY'!Q65+'RAP TEMPLATE-GAS AVAILABILITY'!R65)</f>
        <v>5.2717820143884895</v>
      </c>
    </row>
    <row r="67" spans="1:29" ht="15.75" x14ac:dyDescent="0.25">
      <c r="A67" s="13">
        <v>42917</v>
      </c>
      <c r="B67" s="14">
        <f>CHOOSE(CONTROL!$C$42, 5.1924, 5.1924) * CHOOSE(CONTROL!$C$21, $C$9, 100%, $E$9)</f>
        <v>5.1924000000000001</v>
      </c>
      <c r="C67" s="14">
        <f>CHOOSE(CONTROL!$C$42, 5.2004, 5.2004) * CHOOSE(CONTROL!$C$21, $C$9, 100%, $E$9)</f>
        <v>5.2004000000000001</v>
      </c>
      <c r="D67" s="14">
        <f>CHOOSE(CONTROL!$C$42, 5.421, 5.421) * CHOOSE(CONTROL!$C$21, $C$9, 100%, $E$9)</f>
        <v>5.4210000000000003</v>
      </c>
      <c r="E67" s="14">
        <f>CHOOSE(CONTROL!$C$42, 5.4524, 5.4524) * CHOOSE(CONTROL!$C$21, $C$9, 100%, $E$9)</f>
        <v>5.4523999999999999</v>
      </c>
      <c r="F67" s="14">
        <f>CHOOSE(CONTROL!$C$42, 5.2194, 5.2194)*CHOOSE(CONTROL!$C$21, $C$9, 100%, $E$9)</f>
        <v>5.2194000000000003</v>
      </c>
      <c r="G67" s="14">
        <f>CHOOSE(CONTROL!$C$42, 5.2368, 5.2368)*CHOOSE(CONTROL!$C$21, $C$9, 100%, $E$9)</f>
        <v>5.2367999999999997</v>
      </c>
      <c r="H67" s="14">
        <f>CHOOSE(CONTROL!$C$42, 5.4411, 5.4411) * CHOOSE(CONTROL!$C$21, $C$9, 100%, $E$9)</f>
        <v>5.4410999999999996</v>
      </c>
      <c r="I67" s="14">
        <f>CHOOSE(CONTROL!$C$42, 5.2365, 5.2365)* CHOOSE(CONTROL!$C$21, $C$9, 100%, $E$9)</f>
        <v>5.2365000000000004</v>
      </c>
      <c r="J67" s="14">
        <f>CHOOSE(CONTROL!$C$42, 5.2124, 5.2124)* CHOOSE(CONTROL!$C$21, $C$9, 100%, $E$9)</f>
        <v>5.2123999999999997</v>
      </c>
      <c r="K67" s="53">
        <f>CHOOSE(CONTROL!$C$42, 5.2326, 5.2326) * CHOOSE(CONTROL!$C$21, $C$9, 100%, $E$9)</f>
        <v>5.2325999999999997</v>
      </c>
      <c r="L67" s="14">
        <f>CHOOSE(CONTROL!$C$42, 6.0281, 6.0281) * CHOOSE(CONTROL!$C$21, $C$9, 100%, $E$9)</f>
        <v>6.0281000000000002</v>
      </c>
      <c r="M67" s="14">
        <f>CHOOSE(CONTROL!$C$42, 5.1133, 5.1133) * CHOOSE(CONTROL!$C$21, $C$9, 100%, $E$9)</f>
        <v>5.1132999999999997</v>
      </c>
      <c r="N67" s="14">
        <f>CHOOSE(CONTROL!$C$42, 5.1303, 5.1303) * CHOOSE(CONTROL!$C$21, $C$9, 100%, $E$9)</f>
        <v>5.1303000000000001</v>
      </c>
      <c r="O67" s="14">
        <f>CHOOSE(CONTROL!$C$42, 5.3373, 5.3373) * CHOOSE(CONTROL!$C$21, $C$9, 100%, $E$9)</f>
        <v>5.3372999999999999</v>
      </c>
      <c r="P67" s="14">
        <f>CHOOSE(CONTROL!$C$42, 5.1367, 5.1367) * CHOOSE(CONTROL!$C$21, $C$9, 100%, $E$9)</f>
        <v>5.1367000000000003</v>
      </c>
      <c r="Q67" s="14">
        <f>CHOOSE(CONTROL!$C$42, 5.932, 5.932) * CHOOSE(CONTROL!$C$21, $C$9, 100%, $E$9)</f>
        <v>5.9320000000000004</v>
      </c>
      <c r="R67" s="14">
        <f>CHOOSE(CONTROL!$C$42, 6.5338, 6.5338) * CHOOSE(CONTROL!$C$21, $C$9, 100%, $E$9)</f>
        <v>6.5338000000000003</v>
      </c>
      <c r="S67" s="14">
        <f>CHOOSE(CONTROL!$C$42, 4.9787, 4.9787) * CHOOSE(CONTROL!$C$21, $C$9, 100%, $E$9)</f>
        <v>4.9786999999999999</v>
      </c>
      <c r="T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" s="57">
        <f>(1000*CHOOSE(CONTROL!$C$42, 695, 695)*CHOOSE(CONTROL!$C$42, 0.5599, 0.5599)*CHOOSE(CONTROL!$C$42, 31, 31))/1000000</f>
        <v>12.063045499999998</v>
      </c>
      <c r="V67" s="57">
        <f>(1000*CHOOSE(CONTROL!$C$42, 580, 580)*CHOOSE(CONTROL!$C$42, 0.275, 0.275)*CHOOSE(CONTROL!$C$42, 31, 31))/1000000</f>
        <v>4.9444999999999997</v>
      </c>
      <c r="W67" s="57">
        <f>(1000*CHOOSE(CONTROL!$C$42, 0.1146, 0.1146)*CHOOSE(CONTROL!$C$42, 121.5, 121.5)*CHOOSE(CONTROL!$C$42, 31, 31))/1000000</f>
        <v>0.43164089999999994</v>
      </c>
      <c r="X67" s="57">
        <f>(31*0.1790888*245000/1000000)+(31*0.2374*100000/1000000)</f>
        <v>2.0961194359999999</v>
      </c>
      <c r="Y67" s="57"/>
      <c r="Z67" s="14"/>
      <c r="AA67" s="56"/>
      <c r="AB67" s="50">
        <f>(B67*194.205+C67*267.466+D67*133.845+E67*53.484+F67*40+G67*185+H67*0+I67*100+J67*300)/(194.205+267.466+133.845+53.484+0+40+185+100+300)</f>
        <v>5.2444773430141289</v>
      </c>
      <c r="AC67" s="45">
        <f>(M67*'RAP TEMPLATE-GAS AVAILABILITY'!O66+N67*'RAP TEMPLATE-GAS AVAILABILITY'!P66+O67*'RAP TEMPLATE-GAS AVAILABILITY'!Q66+P67*'RAP TEMPLATE-GAS AVAILABILITY'!R66)/('RAP TEMPLATE-GAS AVAILABILITY'!O66+'RAP TEMPLATE-GAS AVAILABILITY'!P66+'RAP TEMPLATE-GAS AVAILABILITY'!Q66+'RAP TEMPLATE-GAS AVAILABILITY'!R66)</f>
        <v>5.1834294964028782</v>
      </c>
    </row>
    <row r="68" spans="1:29" ht="15.75" x14ac:dyDescent="0.25">
      <c r="A68" s="13">
        <v>42948</v>
      </c>
      <c r="B68" s="14">
        <f>CHOOSE(CONTROL!$C$42, 4.9466, 4.9466) * CHOOSE(CONTROL!$C$21, $C$9, 100%, $E$9)</f>
        <v>4.9466000000000001</v>
      </c>
      <c r="C68" s="14">
        <f>CHOOSE(CONTROL!$C$42, 4.9546, 4.9546) * CHOOSE(CONTROL!$C$21, $C$9, 100%, $E$9)</f>
        <v>4.9546000000000001</v>
      </c>
      <c r="D68" s="14">
        <f>CHOOSE(CONTROL!$C$42, 5.1752, 5.1752) * CHOOSE(CONTROL!$C$21, $C$9, 100%, $E$9)</f>
        <v>5.1752000000000002</v>
      </c>
      <c r="E68" s="14">
        <f>CHOOSE(CONTROL!$C$42, 5.2067, 5.2067) * CHOOSE(CONTROL!$C$21, $C$9, 100%, $E$9)</f>
        <v>5.2066999999999997</v>
      </c>
      <c r="F68" s="14">
        <f>CHOOSE(CONTROL!$C$42, 4.974, 4.974)*CHOOSE(CONTROL!$C$21, $C$9, 100%, $E$9)</f>
        <v>4.9740000000000002</v>
      </c>
      <c r="G68" s="14">
        <f>CHOOSE(CONTROL!$C$42, 4.9914, 4.9914)*CHOOSE(CONTROL!$C$21, $C$9, 100%, $E$9)</f>
        <v>4.9913999999999996</v>
      </c>
      <c r="H68" s="14">
        <f>CHOOSE(CONTROL!$C$42, 5.1953, 5.1953) * CHOOSE(CONTROL!$C$21, $C$9, 100%, $E$9)</f>
        <v>5.1952999999999996</v>
      </c>
      <c r="I68" s="14">
        <f>CHOOSE(CONTROL!$C$42, 4.99, 4.99)* CHOOSE(CONTROL!$C$21, $C$9, 100%, $E$9)</f>
        <v>4.99</v>
      </c>
      <c r="J68" s="14">
        <f>CHOOSE(CONTROL!$C$42, 4.967, 4.967)* CHOOSE(CONTROL!$C$21, $C$9, 100%, $E$9)</f>
        <v>4.9669999999999996</v>
      </c>
      <c r="K68" s="53">
        <f>CHOOSE(CONTROL!$C$42, 4.9861, 4.9861) * CHOOSE(CONTROL!$C$21, $C$9, 100%, $E$9)</f>
        <v>4.9861000000000004</v>
      </c>
      <c r="L68" s="14">
        <f>CHOOSE(CONTROL!$C$42, 5.7823, 5.7823) * CHOOSE(CONTROL!$C$21, $C$9, 100%, $E$9)</f>
        <v>5.7823000000000002</v>
      </c>
      <c r="M68" s="14">
        <f>CHOOSE(CONTROL!$C$42, 4.8729, 4.8729) * CHOOSE(CONTROL!$C$21, $C$9, 100%, $E$9)</f>
        <v>4.8728999999999996</v>
      </c>
      <c r="N68" s="14">
        <f>CHOOSE(CONTROL!$C$42, 4.89, 4.89) * CHOOSE(CONTROL!$C$21, $C$9, 100%, $E$9)</f>
        <v>4.8899999999999997</v>
      </c>
      <c r="O68" s="14">
        <f>CHOOSE(CONTROL!$C$42, 5.0966, 5.0966) * CHOOSE(CONTROL!$C$21, $C$9, 100%, $E$9)</f>
        <v>5.0965999999999996</v>
      </c>
      <c r="P68" s="14">
        <f>CHOOSE(CONTROL!$C$42, 4.8952, 4.8952) * CHOOSE(CONTROL!$C$21, $C$9, 100%, $E$9)</f>
        <v>4.8952</v>
      </c>
      <c r="Q68" s="14">
        <f>CHOOSE(CONTROL!$C$42, 5.6913, 5.6913) * CHOOSE(CONTROL!$C$21, $C$9, 100%, $E$9)</f>
        <v>5.6913</v>
      </c>
      <c r="R68" s="14">
        <f>CHOOSE(CONTROL!$C$42, 6.2925, 6.2925) * CHOOSE(CONTROL!$C$21, $C$9, 100%, $E$9)</f>
        <v>6.2925000000000004</v>
      </c>
      <c r="S68" s="14">
        <f>CHOOSE(CONTROL!$C$42, 4.7426, 4.7426) * CHOOSE(CONTROL!$C$21, $C$9, 100%, $E$9)</f>
        <v>4.7426000000000004</v>
      </c>
      <c r="T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" s="57">
        <f>(1000*CHOOSE(CONTROL!$C$42, 695, 695)*CHOOSE(CONTROL!$C$42, 0.5599, 0.5599)*CHOOSE(CONTROL!$C$42, 31, 31))/1000000</f>
        <v>12.063045499999998</v>
      </c>
      <c r="V68" s="57">
        <f>(1000*CHOOSE(CONTROL!$C$42, 580, 580)*CHOOSE(CONTROL!$C$42, 0.275, 0.275)*CHOOSE(CONTROL!$C$42, 31, 31))/1000000</f>
        <v>4.9444999999999997</v>
      </c>
      <c r="W68" s="57">
        <f>(1000*CHOOSE(CONTROL!$C$42, 0.1146, 0.1146)*CHOOSE(CONTROL!$C$42, 121.5, 121.5)*CHOOSE(CONTROL!$C$42, 31, 31))/1000000</f>
        <v>0.43164089999999994</v>
      </c>
      <c r="X68" s="57">
        <f>(31*0.1790888*245000/1000000)+(31*0.2374*100000/1000000)</f>
        <v>2.0961194359999999</v>
      </c>
      <c r="Y68" s="57"/>
      <c r="Z68" s="14"/>
      <c r="AA68" s="56"/>
      <c r="AB68" s="50">
        <f>(B68*194.205+C68*267.466+D68*133.845+E68*53.484+F68*40+G68*185+H68*0+I68*100+J68*300)/(194.205+267.466+133.845+53.484+0+40+185+100+300)</f>
        <v>4.9987914312401882</v>
      </c>
      <c r="AC68" s="45">
        <f>(M68*'RAP TEMPLATE-GAS AVAILABILITY'!O67+N68*'RAP TEMPLATE-GAS AVAILABILITY'!P67+O68*'RAP TEMPLATE-GAS AVAILABILITY'!Q67+P68*'RAP TEMPLATE-GAS AVAILABILITY'!R67)/('RAP TEMPLATE-GAS AVAILABILITY'!O67+'RAP TEMPLATE-GAS AVAILABILITY'!P67+'RAP TEMPLATE-GAS AVAILABILITY'!Q67+'RAP TEMPLATE-GAS AVAILABILITY'!R67)</f>
        <v>4.9428100719424455</v>
      </c>
    </row>
    <row r="69" spans="1:29" ht="15.75" x14ac:dyDescent="0.25">
      <c r="A69" s="13">
        <v>42979</v>
      </c>
      <c r="B69" s="14">
        <f>CHOOSE(CONTROL!$C$42, 4.6426, 4.6426) * CHOOSE(CONTROL!$C$21, $C$9, 100%, $E$9)</f>
        <v>4.6425999999999998</v>
      </c>
      <c r="C69" s="14">
        <f>CHOOSE(CONTROL!$C$42, 4.6506, 4.6506) * CHOOSE(CONTROL!$C$21, $C$9, 100%, $E$9)</f>
        <v>4.6505999999999998</v>
      </c>
      <c r="D69" s="14">
        <f>CHOOSE(CONTROL!$C$42, 4.8712, 4.8712) * CHOOSE(CONTROL!$C$21, $C$9, 100%, $E$9)</f>
        <v>4.8712</v>
      </c>
      <c r="E69" s="14">
        <f>CHOOSE(CONTROL!$C$42, 4.9027, 4.9027) * CHOOSE(CONTROL!$C$21, $C$9, 100%, $E$9)</f>
        <v>4.9027000000000003</v>
      </c>
      <c r="F69" s="14">
        <f>CHOOSE(CONTROL!$C$42, 4.67, 4.67)*CHOOSE(CONTROL!$C$21, $C$9, 100%, $E$9)</f>
        <v>4.67</v>
      </c>
      <c r="G69" s="14">
        <f>CHOOSE(CONTROL!$C$42, 4.6874, 4.6874)*CHOOSE(CONTROL!$C$21, $C$9, 100%, $E$9)</f>
        <v>4.6874000000000002</v>
      </c>
      <c r="H69" s="14">
        <f>CHOOSE(CONTROL!$C$42, 4.8913, 4.8913) * CHOOSE(CONTROL!$C$21, $C$9, 100%, $E$9)</f>
        <v>4.8913000000000002</v>
      </c>
      <c r="I69" s="14">
        <f>CHOOSE(CONTROL!$C$42, 4.685, 4.685)* CHOOSE(CONTROL!$C$21, $C$9, 100%, $E$9)</f>
        <v>4.6849999999999996</v>
      </c>
      <c r="J69" s="14">
        <f>CHOOSE(CONTROL!$C$42, 4.663, 4.663)* CHOOSE(CONTROL!$C$21, $C$9, 100%, $E$9)</f>
        <v>4.6630000000000003</v>
      </c>
      <c r="K69" s="53">
        <f>CHOOSE(CONTROL!$C$42, 4.6812, 4.6812) * CHOOSE(CONTROL!$C$21, $C$9, 100%, $E$9)</f>
        <v>4.6811999999999996</v>
      </c>
      <c r="L69" s="14">
        <f>CHOOSE(CONTROL!$C$42, 5.4783, 5.4783) * CHOOSE(CONTROL!$C$21, $C$9, 100%, $E$9)</f>
        <v>5.4782999999999999</v>
      </c>
      <c r="M69" s="14">
        <f>CHOOSE(CONTROL!$C$42, 4.5751, 4.5751) * CHOOSE(CONTROL!$C$21, $C$9, 100%, $E$9)</f>
        <v>4.5750999999999999</v>
      </c>
      <c r="N69" s="14">
        <f>CHOOSE(CONTROL!$C$42, 4.5922, 4.5922) * CHOOSE(CONTROL!$C$21, $C$9, 100%, $E$9)</f>
        <v>4.5922000000000001</v>
      </c>
      <c r="O69" s="14">
        <f>CHOOSE(CONTROL!$C$42, 4.7988, 4.7988) * CHOOSE(CONTROL!$C$21, $C$9, 100%, $E$9)</f>
        <v>4.7988</v>
      </c>
      <c r="P69" s="14">
        <f>CHOOSE(CONTROL!$C$42, 4.5965, 4.5965) * CHOOSE(CONTROL!$C$21, $C$9, 100%, $E$9)</f>
        <v>4.5964999999999998</v>
      </c>
      <c r="Q69" s="14">
        <f>CHOOSE(CONTROL!$C$42, 5.3935, 5.3935) * CHOOSE(CONTROL!$C$21, $C$9, 100%, $E$9)</f>
        <v>5.3935000000000004</v>
      </c>
      <c r="R69" s="14">
        <f>CHOOSE(CONTROL!$C$42, 5.994, 5.994) * CHOOSE(CONTROL!$C$21, $C$9, 100%, $E$9)</f>
        <v>5.9939999999999998</v>
      </c>
      <c r="S69" s="14">
        <f>CHOOSE(CONTROL!$C$42, 4.4505, 4.4505) * CHOOSE(CONTROL!$C$21, $C$9, 100%, $E$9)</f>
        <v>4.4504999999999999</v>
      </c>
      <c r="T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" s="57">
        <f>(1000*CHOOSE(CONTROL!$C$42, 695, 695)*CHOOSE(CONTROL!$C$42, 0.5599, 0.5599)*CHOOSE(CONTROL!$C$42, 30, 30))/1000000</f>
        <v>11.673914999999997</v>
      </c>
      <c r="V69" s="57">
        <f>(1000*CHOOSE(CONTROL!$C$42, 580, 580)*CHOOSE(CONTROL!$C$42, 0.275, 0.275)*CHOOSE(CONTROL!$C$42, 30, 30))/1000000</f>
        <v>4.7850000000000001</v>
      </c>
      <c r="W69" s="57">
        <f>(1000*CHOOSE(CONTROL!$C$42, 0.1146, 0.1146)*CHOOSE(CONTROL!$C$42, 121.5, 121.5)*CHOOSE(CONTROL!$C$42, 30, 30))/1000000</f>
        <v>0.417717</v>
      </c>
      <c r="X69" s="57">
        <f>(30*0.1790888*245000/1000000)+(30*0.2374*100000/1000000)</f>
        <v>2.0285026799999999</v>
      </c>
      <c r="Y69" s="57"/>
      <c r="Z69" s="14"/>
      <c r="AA69" s="56"/>
      <c r="AB69" s="50">
        <f>(B69*194.205+C69*267.466+D69*133.845+E69*53.484+F69*40+G69*185+H69*0+I69*100+J69*300)/(194.205+267.466+133.845+53.484+0+40+185+100+300)</f>
        <v>4.6947129383045532</v>
      </c>
      <c r="AC69" s="45">
        <f>(M69*'RAP TEMPLATE-GAS AVAILABILITY'!O68+N69*'RAP TEMPLATE-GAS AVAILABILITY'!P68+O69*'RAP TEMPLATE-GAS AVAILABILITY'!Q68+P69*'RAP TEMPLATE-GAS AVAILABILITY'!R68)/('RAP TEMPLATE-GAS AVAILABILITY'!O68+'RAP TEMPLATE-GAS AVAILABILITY'!P68+'RAP TEMPLATE-GAS AVAILABILITY'!Q68+'RAP TEMPLATE-GAS AVAILABILITY'!R68)</f>
        <v>4.6448805755395686</v>
      </c>
    </row>
    <row r="70" spans="1:29" ht="15.75" x14ac:dyDescent="0.25">
      <c r="A70" s="13">
        <v>43009</v>
      </c>
      <c r="B70" s="14">
        <f>CHOOSE(CONTROL!$C$42, 4.5562, 4.5562) * CHOOSE(CONTROL!$C$21, $C$9, 100%, $E$9)</f>
        <v>4.5561999999999996</v>
      </c>
      <c r="C70" s="14">
        <f>CHOOSE(CONTROL!$C$42, 4.5615, 4.5615) * CHOOSE(CONTROL!$C$21, $C$9, 100%, $E$9)</f>
        <v>4.5614999999999997</v>
      </c>
      <c r="D70" s="14">
        <f>CHOOSE(CONTROL!$C$42, 4.7871, 4.7871) * CHOOSE(CONTROL!$C$21, $C$9, 100%, $E$9)</f>
        <v>4.7870999999999997</v>
      </c>
      <c r="E70" s="14">
        <f>CHOOSE(CONTROL!$C$42, 4.8162, 4.8162) * CHOOSE(CONTROL!$C$21, $C$9, 100%, $E$9)</f>
        <v>4.8162000000000003</v>
      </c>
      <c r="F70" s="14">
        <f>CHOOSE(CONTROL!$C$42, 4.5855, 4.5855)*CHOOSE(CONTROL!$C$21, $C$9, 100%, $E$9)</f>
        <v>4.5854999999999997</v>
      </c>
      <c r="G70" s="14">
        <f>CHOOSE(CONTROL!$C$42, 4.6028, 4.6028)*CHOOSE(CONTROL!$C$21, $C$9, 100%, $E$9)</f>
        <v>4.6028000000000002</v>
      </c>
      <c r="H70" s="14">
        <f>CHOOSE(CONTROL!$C$42, 4.8066, 4.8066) * CHOOSE(CONTROL!$C$21, $C$9, 100%, $E$9)</f>
        <v>4.8066000000000004</v>
      </c>
      <c r="I70" s="14">
        <f>CHOOSE(CONTROL!$C$42, 4.6001, 4.6001)* CHOOSE(CONTROL!$C$21, $C$9, 100%, $E$9)</f>
        <v>4.6001000000000003</v>
      </c>
      <c r="J70" s="14">
        <f>CHOOSE(CONTROL!$C$42, 4.5785, 4.5785)* CHOOSE(CONTROL!$C$21, $C$9, 100%, $E$9)</f>
        <v>4.5785</v>
      </c>
      <c r="K70" s="53">
        <f>CHOOSE(CONTROL!$C$42, 4.5962, 4.5962) * CHOOSE(CONTROL!$C$21, $C$9, 100%, $E$9)</f>
        <v>4.5961999999999996</v>
      </c>
      <c r="L70" s="14">
        <f>CHOOSE(CONTROL!$C$42, 5.3936, 5.3936) * CHOOSE(CONTROL!$C$21, $C$9, 100%, $E$9)</f>
        <v>5.3936000000000002</v>
      </c>
      <c r="M70" s="14">
        <f>CHOOSE(CONTROL!$C$42, 4.4924, 4.4924) * CHOOSE(CONTROL!$C$21, $C$9, 100%, $E$9)</f>
        <v>4.4923999999999999</v>
      </c>
      <c r="N70" s="14">
        <f>CHOOSE(CONTROL!$C$42, 4.5093, 4.5093) * CHOOSE(CONTROL!$C$21, $C$9, 100%, $E$9)</f>
        <v>4.5092999999999996</v>
      </c>
      <c r="O70" s="14">
        <f>CHOOSE(CONTROL!$C$42, 4.7159, 4.7159) * CHOOSE(CONTROL!$C$21, $C$9, 100%, $E$9)</f>
        <v>4.7159000000000004</v>
      </c>
      <c r="P70" s="14">
        <f>CHOOSE(CONTROL!$C$42, 4.5133, 4.5133) * CHOOSE(CONTROL!$C$21, $C$9, 100%, $E$9)</f>
        <v>4.5133000000000001</v>
      </c>
      <c r="Q70" s="14">
        <f>CHOOSE(CONTROL!$C$42, 5.3106, 5.3106) * CHOOSE(CONTROL!$C$21, $C$9, 100%, $E$9)</f>
        <v>5.3106</v>
      </c>
      <c r="R70" s="14">
        <f>CHOOSE(CONTROL!$C$42, 5.9108, 5.9108) * CHOOSE(CONTROL!$C$21, $C$9, 100%, $E$9)</f>
        <v>5.9108000000000001</v>
      </c>
      <c r="S70" s="14">
        <f>CHOOSE(CONTROL!$C$42, 4.3691, 4.3691) * CHOOSE(CONTROL!$C$21, $C$9, 100%, $E$9)</f>
        <v>4.3691000000000004</v>
      </c>
      <c r="T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" s="57">
        <f>(1000*CHOOSE(CONTROL!$C$42, 695, 695)*CHOOSE(CONTROL!$C$42, 0.5599, 0.5599)*CHOOSE(CONTROL!$C$42, 31, 31))/1000000</f>
        <v>12.063045499999998</v>
      </c>
      <c r="V70" s="57">
        <f>(1000*CHOOSE(CONTROL!$C$42, 580, 580)*CHOOSE(CONTROL!$C$42, 0.275, 0.275)*CHOOSE(CONTROL!$C$42, 31, 31))/1000000</f>
        <v>4.9444999999999997</v>
      </c>
      <c r="W70" s="57">
        <f>(1000*CHOOSE(CONTROL!$C$42, 0.1146, 0.1146)*CHOOSE(CONTROL!$C$42, 121.5, 121.5)*CHOOSE(CONTROL!$C$42, 31, 31))/1000000</f>
        <v>0.43164089999999994</v>
      </c>
      <c r="X70" s="57">
        <f>(31*0.1790888*245000/1000000)+(31*0.2374*100000/1000000)</f>
        <v>2.0961194359999999</v>
      </c>
      <c r="Y70" s="57"/>
      <c r="Z70" s="14"/>
      <c r="AA70" s="56"/>
      <c r="AB70" s="50">
        <f>(B70*131.881+C70*277.167+D70*79.08+E70*125.872+F70*40+G70*185+H70*0+I70*100+J70*300)/(131.881+277.167+79.08+125.872+0+40+185+100+300)</f>
        <v>4.615383435916061</v>
      </c>
      <c r="AC70" s="45">
        <f>(M70*'RAP TEMPLATE-GAS AVAILABILITY'!O69+N70*'RAP TEMPLATE-GAS AVAILABILITY'!P69+O70*'RAP TEMPLATE-GAS AVAILABILITY'!Q69+P70*'RAP TEMPLATE-GAS AVAILABILITY'!R69)/('RAP TEMPLATE-GAS AVAILABILITY'!O69+'RAP TEMPLATE-GAS AVAILABILITY'!P69+'RAP TEMPLATE-GAS AVAILABILITY'!Q69+'RAP TEMPLATE-GAS AVAILABILITY'!R69)</f>
        <v>4.5620064748201434</v>
      </c>
    </row>
    <row r="71" spans="1:29" ht="15.75" x14ac:dyDescent="0.25">
      <c r="A71" s="13">
        <v>43040</v>
      </c>
      <c r="B71" s="14">
        <f>CHOOSE(CONTROL!$C$42, 4.6851, 4.6851) * CHOOSE(CONTROL!$C$21, $C$9, 100%, $E$9)</f>
        <v>4.6851000000000003</v>
      </c>
      <c r="C71" s="14">
        <f>CHOOSE(CONTROL!$C$42, 4.6902, 4.6902) * CHOOSE(CONTROL!$C$21, $C$9, 100%, $E$9)</f>
        <v>4.6901999999999999</v>
      </c>
      <c r="D71" s="14">
        <f>CHOOSE(CONTROL!$C$42, 4.7644, 4.7644) * CHOOSE(CONTROL!$C$21, $C$9, 100%, $E$9)</f>
        <v>4.7644000000000002</v>
      </c>
      <c r="E71" s="14">
        <f>CHOOSE(CONTROL!$C$42, 4.7985, 4.7985) * CHOOSE(CONTROL!$C$21, $C$9, 100%, $E$9)</f>
        <v>4.7984999999999998</v>
      </c>
      <c r="F71" s="14">
        <f>CHOOSE(CONTROL!$C$42, 4.7212, 4.7212)*CHOOSE(CONTROL!$C$21, $C$9, 100%, $E$9)</f>
        <v>4.7211999999999996</v>
      </c>
      <c r="G71" s="14">
        <f>CHOOSE(CONTROL!$C$42, 4.7387, 4.7387)*CHOOSE(CONTROL!$C$21, $C$9, 100%, $E$9)</f>
        <v>4.7386999999999997</v>
      </c>
      <c r="H71" s="14">
        <f>CHOOSE(CONTROL!$C$42, 4.7877, 4.7877) * CHOOSE(CONTROL!$C$21, $C$9, 100%, $E$9)</f>
        <v>4.7877000000000001</v>
      </c>
      <c r="I71" s="14">
        <f>CHOOSE(CONTROL!$C$42, 4.7273, 4.7273)* CHOOSE(CONTROL!$C$21, $C$9, 100%, $E$9)</f>
        <v>4.7272999999999996</v>
      </c>
      <c r="J71" s="14">
        <f>CHOOSE(CONTROL!$C$42, 4.7142, 4.7142)* CHOOSE(CONTROL!$C$21, $C$9, 100%, $E$9)</f>
        <v>4.7141999999999999</v>
      </c>
      <c r="K71" s="53">
        <f>CHOOSE(CONTROL!$C$42, 4.7234, 4.7234) * CHOOSE(CONTROL!$C$21, $C$9, 100%, $E$9)</f>
        <v>4.7233999999999998</v>
      </c>
      <c r="L71" s="14">
        <f>CHOOSE(CONTROL!$C$42, 5.3747, 5.3747) * CHOOSE(CONTROL!$C$21, $C$9, 100%, $E$9)</f>
        <v>5.3746999999999998</v>
      </c>
      <c r="M71" s="14">
        <f>CHOOSE(CONTROL!$C$42, 4.6253, 4.6253) * CHOOSE(CONTROL!$C$21, $C$9, 100%, $E$9)</f>
        <v>4.6253000000000002</v>
      </c>
      <c r="N71" s="14">
        <f>CHOOSE(CONTROL!$C$42, 4.6425, 4.6425) * CHOOSE(CONTROL!$C$21, $C$9, 100%, $E$9)</f>
        <v>4.6425000000000001</v>
      </c>
      <c r="O71" s="14">
        <f>CHOOSE(CONTROL!$C$42, 4.6973, 4.6973) * CHOOSE(CONTROL!$C$21, $C$9, 100%, $E$9)</f>
        <v>4.6973000000000003</v>
      </c>
      <c r="P71" s="14">
        <f>CHOOSE(CONTROL!$C$42, 4.6379, 4.6379) * CHOOSE(CONTROL!$C$21, $C$9, 100%, $E$9)</f>
        <v>4.6379000000000001</v>
      </c>
      <c r="Q71" s="14">
        <f>CHOOSE(CONTROL!$C$42, 5.292, 5.292) * CHOOSE(CONTROL!$C$21, $C$9, 100%, $E$9)</f>
        <v>5.2919999999999998</v>
      </c>
      <c r="R71" s="14">
        <f>CHOOSE(CONTROL!$C$42, 5.8923, 5.8923) * CHOOSE(CONTROL!$C$21, $C$9, 100%, $E$9)</f>
        <v>5.8922999999999996</v>
      </c>
      <c r="S71" s="14">
        <f>CHOOSE(CONTROL!$C$42, 4.4934, 4.4934) * CHOOSE(CONTROL!$C$21, $C$9, 100%, $E$9)</f>
        <v>4.4934000000000003</v>
      </c>
      <c r="T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" s="57">
        <f>(1000*CHOOSE(CONTROL!$C$42, 695, 695)*CHOOSE(CONTROL!$C$42, 0.5599, 0.5599)*CHOOSE(CONTROL!$C$42, 30, 30))/1000000</f>
        <v>11.673914999999997</v>
      </c>
      <c r="V71" s="57">
        <f>(1000*CHOOSE(CONTROL!$C$42, 580, 580)*CHOOSE(CONTROL!$C$42, 0.275, 0.275)*CHOOSE(CONTROL!$C$42, 30, 30))/1000000</f>
        <v>4.7850000000000001</v>
      </c>
      <c r="W71" s="57">
        <f>(1000*CHOOSE(CONTROL!$C$42, 0.1146, 0.1146)*CHOOSE(CONTROL!$C$42, 121.5, 121.5)*CHOOSE(CONTROL!$C$42, 30, 30))/1000000</f>
        <v>0.417717</v>
      </c>
      <c r="X71" s="57">
        <f>(30*0.1790888*100000/1000000)+(30*0.2374*100000/1000000)</f>
        <v>1.2494664</v>
      </c>
      <c r="Y71" s="57"/>
      <c r="Z71" s="14"/>
      <c r="AA71" s="56"/>
      <c r="AB71" s="50">
        <f>(B71*122.58+C71*297.941+D71*89.177+E71*40.302+F71*40+G71*160+H71*0+I71*100+J71*300)/(122.58+297.941+89.177+40.302+0+40+160+100+300)</f>
        <v>4.7165186799999992</v>
      </c>
      <c r="AC71" s="45">
        <f>(M71*'RAP TEMPLATE-GAS AVAILABILITY'!O70+N71*'RAP TEMPLATE-GAS AVAILABILITY'!P70+O71*'RAP TEMPLATE-GAS AVAILABILITY'!Q70+P71*'RAP TEMPLATE-GAS AVAILABILITY'!R70)/('RAP TEMPLATE-GAS AVAILABILITY'!O70+'RAP TEMPLATE-GAS AVAILABILITY'!P70+'RAP TEMPLATE-GAS AVAILABILITY'!Q70+'RAP TEMPLATE-GAS AVAILABILITY'!R70)</f>
        <v>4.6607359712230219</v>
      </c>
    </row>
    <row r="72" spans="1:29" ht="15.75" x14ac:dyDescent="0.25">
      <c r="A72" s="13">
        <v>43070</v>
      </c>
      <c r="B72" s="14">
        <f>CHOOSE(CONTROL!$C$42, 5.0142, 5.0142) * CHOOSE(CONTROL!$C$21, $C$9, 100%, $E$9)</f>
        <v>5.0141999999999998</v>
      </c>
      <c r="C72" s="14">
        <f>CHOOSE(CONTROL!$C$42, 5.0193, 5.0193) * CHOOSE(CONTROL!$C$21, $C$9, 100%, $E$9)</f>
        <v>5.0193000000000003</v>
      </c>
      <c r="D72" s="14">
        <f>CHOOSE(CONTROL!$C$42, 5.0935, 5.0935) * CHOOSE(CONTROL!$C$21, $C$9, 100%, $E$9)</f>
        <v>5.0934999999999997</v>
      </c>
      <c r="E72" s="14">
        <f>CHOOSE(CONTROL!$C$42, 5.1276, 5.1276) * CHOOSE(CONTROL!$C$21, $C$9, 100%, $E$9)</f>
        <v>5.1276000000000002</v>
      </c>
      <c r="F72" s="14">
        <f>CHOOSE(CONTROL!$C$42, 5.0526, 5.0526)*CHOOSE(CONTROL!$C$21, $C$9, 100%, $E$9)</f>
        <v>5.0526</v>
      </c>
      <c r="G72" s="14">
        <f>CHOOSE(CONTROL!$C$42, 5.0708, 5.0708)*CHOOSE(CONTROL!$C$21, $C$9, 100%, $E$9)</f>
        <v>5.0708000000000002</v>
      </c>
      <c r="H72" s="14">
        <f>CHOOSE(CONTROL!$C$42, 5.1168, 5.1168) * CHOOSE(CONTROL!$C$21, $C$9, 100%, $E$9)</f>
        <v>5.1167999999999996</v>
      </c>
      <c r="I72" s="14">
        <f>CHOOSE(CONTROL!$C$42, 5.0574, 5.0574)* CHOOSE(CONTROL!$C$21, $C$9, 100%, $E$9)</f>
        <v>5.0574000000000003</v>
      </c>
      <c r="J72" s="14">
        <f>CHOOSE(CONTROL!$C$42, 5.0456, 5.0456)* CHOOSE(CONTROL!$C$21, $C$9, 100%, $E$9)</f>
        <v>5.0456000000000003</v>
      </c>
      <c r="K72" s="53">
        <f>CHOOSE(CONTROL!$C$42, 5.0535, 5.0535) * CHOOSE(CONTROL!$C$21, $C$9, 100%, $E$9)</f>
        <v>5.0534999999999997</v>
      </c>
      <c r="L72" s="14">
        <f>CHOOSE(CONTROL!$C$42, 5.7038, 5.7038) * CHOOSE(CONTROL!$C$21, $C$9, 100%, $E$9)</f>
        <v>5.7038000000000002</v>
      </c>
      <c r="M72" s="14">
        <f>CHOOSE(CONTROL!$C$42, 4.9499, 4.9499) * CHOOSE(CONTROL!$C$21, $C$9, 100%, $E$9)</f>
        <v>4.9499000000000004</v>
      </c>
      <c r="N72" s="14">
        <f>CHOOSE(CONTROL!$C$42, 4.9677, 4.9677) * CHOOSE(CONTROL!$C$21, $C$9, 100%, $E$9)</f>
        <v>4.9676999999999998</v>
      </c>
      <c r="O72" s="14">
        <f>CHOOSE(CONTROL!$C$42, 5.0196, 5.0196) * CHOOSE(CONTROL!$C$21, $C$9, 100%, $E$9)</f>
        <v>5.0195999999999996</v>
      </c>
      <c r="P72" s="14">
        <f>CHOOSE(CONTROL!$C$42, 4.9612, 4.9612) * CHOOSE(CONTROL!$C$21, $C$9, 100%, $E$9)</f>
        <v>4.9611999999999998</v>
      </c>
      <c r="Q72" s="14">
        <f>CHOOSE(CONTROL!$C$42, 5.6143, 5.6143) * CHOOSE(CONTROL!$C$21, $C$9, 100%, $E$9)</f>
        <v>5.6143000000000001</v>
      </c>
      <c r="R72" s="14">
        <f>CHOOSE(CONTROL!$C$42, 6.2154, 6.2154) * CHOOSE(CONTROL!$C$21, $C$9, 100%, $E$9)</f>
        <v>6.2153999999999998</v>
      </c>
      <c r="S72" s="14">
        <f>CHOOSE(CONTROL!$C$42, 4.8096, 4.8096) * CHOOSE(CONTROL!$C$21, $C$9, 100%, $E$9)</f>
        <v>4.8095999999999997</v>
      </c>
      <c r="T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" s="57">
        <f>(1000*CHOOSE(CONTROL!$C$42, 695, 695)*CHOOSE(CONTROL!$C$42, 0.5599, 0.5599)*CHOOSE(CONTROL!$C$42, 31, 31))/1000000</f>
        <v>12.063045499999998</v>
      </c>
      <c r="V72" s="57">
        <f>(1000*CHOOSE(CONTROL!$C$42, 580, 580)*CHOOSE(CONTROL!$C$42, 0.275, 0.275)*CHOOSE(CONTROL!$C$42, 31, 31))/1000000</f>
        <v>4.9444999999999997</v>
      </c>
      <c r="W72" s="57">
        <f>(1000*CHOOSE(CONTROL!$C$42, 0.1146, 0.1146)*CHOOSE(CONTROL!$C$42, 121.5, 121.5)*CHOOSE(CONTROL!$C$42, 31, 31))/1000000</f>
        <v>0.43164089999999994</v>
      </c>
      <c r="X72" s="57">
        <f>(31*0.1790888*100000/1000000)+(31*0.2374*100000/1000000)</f>
        <v>1.2911152800000001</v>
      </c>
      <c r="Y72" s="57"/>
      <c r="Z72" s="14"/>
      <c r="AA72" s="56"/>
      <c r="AB72" s="50">
        <f>(B72*122.58+C72*297.941+D72*89.177+E72*40.302+F72*40+G72*160+H72*0+I72*100+J72*300)/(122.58+297.941+89.177+40.302+0+40+160+100+300)</f>
        <v>5.0468030278260869</v>
      </c>
      <c r="AC72" s="45">
        <f>(M72*'RAP TEMPLATE-GAS AVAILABILITY'!O71+N72*'RAP TEMPLATE-GAS AVAILABILITY'!P71+O72*'RAP TEMPLATE-GAS AVAILABILITY'!Q71+P72*'RAP TEMPLATE-GAS AVAILABILITY'!R71)/('RAP TEMPLATE-GAS AVAILABILITY'!O71+'RAP TEMPLATE-GAS AVAILABILITY'!P71+'RAP TEMPLATE-GAS AVAILABILITY'!Q71+'RAP TEMPLATE-GAS AVAILABILITY'!R71)</f>
        <v>4.9841410071942445</v>
      </c>
    </row>
    <row r="73" spans="1:29" ht="15.75" x14ac:dyDescent="0.25">
      <c r="A73" s="13">
        <v>43101</v>
      </c>
      <c r="B73" s="14">
        <f>CHOOSE(CONTROL!$C$42, 6.0007, 6.0007) * CHOOSE(CONTROL!$C$21, $C$9, 100%, $E$9)</f>
        <v>6.0007000000000001</v>
      </c>
      <c r="C73" s="14">
        <f>CHOOSE(CONTROL!$C$42, 6.0058, 6.0058) * CHOOSE(CONTROL!$C$21, $C$9, 100%, $E$9)</f>
        <v>6.0057999999999998</v>
      </c>
      <c r="D73" s="14">
        <f>CHOOSE(CONTROL!$C$42, 6.0826, 6.0826) * CHOOSE(CONTROL!$C$21, $C$9, 100%, $E$9)</f>
        <v>6.0826000000000002</v>
      </c>
      <c r="E73" s="14">
        <f>CHOOSE(CONTROL!$C$42, 6.1167, 6.1167) * CHOOSE(CONTROL!$C$21, $C$9, 100%, $E$9)</f>
        <v>6.1166999999999998</v>
      </c>
      <c r="F73" s="14">
        <f>CHOOSE(CONTROL!$C$42, 6.0255, 6.0255)*CHOOSE(CONTROL!$C$21, $C$9, 100%, $E$9)</f>
        <v>6.0255000000000001</v>
      </c>
      <c r="G73" s="14">
        <f>CHOOSE(CONTROL!$C$42, 6.0434, 6.0434)*CHOOSE(CONTROL!$C$21, $C$9, 100%, $E$9)</f>
        <v>6.0434000000000001</v>
      </c>
      <c r="H73" s="14">
        <f>CHOOSE(CONTROL!$C$42, 6.1059, 6.1059) * CHOOSE(CONTROL!$C$21, $C$9, 100%, $E$9)</f>
        <v>6.1059000000000001</v>
      </c>
      <c r="I73" s="14">
        <f>CHOOSE(CONTROL!$C$42, 6.0533, 6.0533)* CHOOSE(CONTROL!$C$21, $C$9, 100%, $E$9)</f>
        <v>6.0533000000000001</v>
      </c>
      <c r="J73" s="14">
        <f>CHOOSE(CONTROL!$C$42, 6.0185, 6.0185)* CHOOSE(CONTROL!$C$21, $C$9, 100%, $E$9)</f>
        <v>6.0185000000000004</v>
      </c>
      <c r="K73" s="53">
        <f>CHOOSE(CONTROL!$C$42, 6.0494, 6.0494) * CHOOSE(CONTROL!$C$21, $C$9, 100%, $E$9)</f>
        <v>6.0494000000000003</v>
      </c>
      <c r="L73" s="14">
        <f>CHOOSE(CONTROL!$C$42, 6.6929, 6.6929) * CHOOSE(CONTROL!$C$21, $C$9, 100%, $E$9)</f>
        <v>6.6928999999999998</v>
      </c>
      <c r="M73" s="14">
        <f>CHOOSE(CONTROL!$C$42, 5.9029, 5.9029) * CHOOSE(CONTROL!$C$21, $C$9, 100%, $E$9)</f>
        <v>5.9028999999999998</v>
      </c>
      <c r="N73" s="14">
        <f>CHOOSE(CONTROL!$C$42, 5.9205, 5.9205) * CHOOSE(CONTROL!$C$21, $C$9, 100%, $E$9)</f>
        <v>5.9204999999999997</v>
      </c>
      <c r="O73" s="14">
        <f>CHOOSE(CONTROL!$C$42, 5.9885, 5.9885) * CHOOSE(CONTROL!$C$21, $C$9, 100%, $E$9)</f>
        <v>5.9885000000000002</v>
      </c>
      <c r="P73" s="14">
        <f>CHOOSE(CONTROL!$C$42, 5.9366, 5.9366) * CHOOSE(CONTROL!$C$21, $C$9, 100%, $E$9)</f>
        <v>5.9366000000000003</v>
      </c>
      <c r="Q73" s="14">
        <f>CHOOSE(CONTROL!$C$42, 6.5832, 6.5832) * CHOOSE(CONTROL!$C$21, $C$9, 100%, $E$9)</f>
        <v>6.5831999999999997</v>
      </c>
      <c r="R73" s="14">
        <f>CHOOSE(CONTROL!$C$42, 7.1867, 7.1867) * CHOOSE(CONTROL!$C$21, $C$9, 100%, $E$9)</f>
        <v>7.1867000000000001</v>
      </c>
      <c r="S73" s="14">
        <f>CHOOSE(CONTROL!$C$42, 5.7576, 5.7576) * CHOOSE(CONTROL!$C$21, $C$9, 100%, $E$9)</f>
        <v>5.7576000000000001</v>
      </c>
      <c r="T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" s="57">
        <f>(1000*CHOOSE(CONTROL!$C$42, 695, 695)*CHOOSE(CONTROL!$C$42, 0.5599, 0.5599)*CHOOSE(CONTROL!$C$42, 31, 31))/1000000</f>
        <v>12.063045499999998</v>
      </c>
      <c r="V73" s="57">
        <f>(1000*CHOOSE(CONTROL!$C$42, 500, 500)*CHOOSE(CONTROL!$C$42, 0.275, 0.275)*CHOOSE(CONTROL!$C$42, 31, 31))/1000000</f>
        <v>4.2625000000000002</v>
      </c>
      <c r="W73" s="57">
        <f>(1000*CHOOSE(CONTROL!$C$42, 0.1146, 0.1146)*CHOOSE(CONTROL!$C$42, 121.5, 121.5)*CHOOSE(CONTROL!$C$42, 31, 31))/1000000</f>
        <v>0.43164089999999994</v>
      </c>
      <c r="X73" s="57">
        <f>(31*0.1790888*100000/1000000)+(31*0.2374*100000/1000000)</f>
        <v>1.2911152800000001</v>
      </c>
      <c r="Y73" s="57"/>
      <c r="Z73" s="14"/>
      <c r="AA73" s="56"/>
      <c r="AB73" s="50">
        <f>(B73*122.58+C73*297.941+D73*89.177+E73*40.302+F73*40+G73*160+H73*0+I73*100+J73*300)/(122.58+297.941+89.177+40.302+0+40+160+100+300)</f>
        <v>6.0284583716521745</v>
      </c>
      <c r="AC73" s="45">
        <f>(M73*'RAP TEMPLATE-GAS AVAILABILITY'!O72+N73*'RAP TEMPLATE-GAS AVAILABILITY'!P72+O73*'RAP TEMPLATE-GAS AVAILABILITY'!Q72+P73*'RAP TEMPLATE-GAS AVAILABILITY'!R72)/('RAP TEMPLATE-GAS AVAILABILITY'!O72+'RAP TEMPLATE-GAS AVAILABILITY'!P72+'RAP TEMPLATE-GAS AVAILABILITY'!Q72+'RAP TEMPLATE-GAS AVAILABILITY'!R72)</f>
        <v>5.9475589928057557</v>
      </c>
    </row>
    <row r="74" spans="1:29" ht="15.75" x14ac:dyDescent="0.25">
      <c r="A74" s="13">
        <v>43132</v>
      </c>
      <c r="B74" s="14">
        <f>CHOOSE(CONTROL!$C$42, 6.1199, 6.1199) * CHOOSE(CONTROL!$C$21, $C$9, 100%, $E$9)</f>
        <v>6.1199000000000003</v>
      </c>
      <c r="C74" s="14">
        <f>CHOOSE(CONTROL!$C$42, 6.125, 6.125) * CHOOSE(CONTROL!$C$21, $C$9, 100%, $E$9)</f>
        <v>6.125</v>
      </c>
      <c r="D74" s="14">
        <f>CHOOSE(CONTROL!$C$42, 6.2018, 6.2018) * CHOOSE(CONTROL!$C$21, $C$9, 100%, $E$9)</f>
        <v>6.2018000000000004</v>
      </c>
      <c r="E74" s="14">
        <f>CHOOSE(CONTROL!$C$42, 6.2359, 6.2359) * CHOOSE(CONTROL!$C$21, $C$9, 100%, $E$9)</f>
        <v>6.2359</v>
      </c>
      <c r="F74" s="14">
        <f>CHOOSE(CONTROL!$C$42, 6.1443, 6.1443)*CHOOSE(CONTROL!$C$21, $C$9, 100%, $E$9)</f>
        <v>6.1443000000000003</v>
      </c>
      <c r="G74" s="14">
        <f>CHOOSE(CONTROL!$C$42, 6.1622, 6.1622)*CHOOSE(CONTROL!$C$21, $C$9, 100%, $E$9)</f>
        <v>6.1622000000000003</v>
      </c>
      <c r="H74" s="14">
        <f>CHOOSE(CONTROL!$C$42, 6.2251, 6.2251) * CHOOSE(CONTROL!$C$21, $C$9, 100%, $E$9)</f>
        <v>6.2251000000000003</v>
      </c>
      <c r="I74" s="14">
        <f>CHOOSE(CONTROL!$C$42, 6.1728, 6.1728)* CHOOSE(CONTROL!$C$21, $C$9, 100%, $E$9)</f>
        <v>6.1727999999999996</v>
      </c>
      <c r="J74" s="14">
        <f>CHOOSE(CONTROL!$C$42, 6.1373, 6.1373)* CHOOSE(CONTROL!$C$21, $C$9, 100%, $E$9)</f>
        <v>6.1372999999999998</v>
      </c>
      <c r="K74" s="53">
        <f>CHOOSE(CONTROL!$C$42, 6.1689, 6.1689) * CHOOSE(CONTROL!$C$21, $C$9, 100%, $E$9)</f>
        <v>6.1688999999999998</v>
      </c>
      <c r="L74" s="14">
        <f>CHOOSE(CONTROL!$C$42, 6.8121, 6.8121) * CHOOSE(CONTROL!$C$21, $C$9, 100%, $E$9)</f>
        <v>6.8121</v>
      </c>
      <c r="M74" s="14">
        <f>CHOOSE(CONTROL!$C$42, 6.0192, 6.0192) * CHOOSE(CONTROL!$C$21, $C$9, 100%, $E$9)</f>
        <v>6.0191999999999997</v>
      </c>
      <c r="N74" s="14">
        <f>CHOOSE(CONTROL!$C$42, 6.0367, 6.0367) * CHOOSE(CONTROL!$C$21, $C$9, 100%, $E$9)</f>
        <v>6.0366999999999997</v>
      </c>
      <c r="O74" s="14">
        <f>CHOOSE(CONTROL!$C$42, 6.1053, 6.1053) * CHOOSE(CONTROL!$C$21, $C$9, 100%, $E$9)</f>
        <v>6.1052999999999997</v>
      </c>
      <c r="P74" s="14">
        <f>CHOOSE(CONTROL!$C$42, 6.0537, 6.0537) * CHOOSE(CONTROL!$C$21, $C$9, 100%, $E$9)</f>
        <v>6.0537000000000001</v>
      </c>
      <c r="Q74" s="14">
        <f>CHOOSE(CONTROL!$C$42, 6.7, 6.7) * CHOOSE(CONTROL!$C$21, $C$9, 100%, $E$9)</f>
        <v>6.7</v>
      </c>
      <c r="R74" s="14">
        <f>CHOOSE(CONTROL!$C$42, 7.3037, 7.3037) * CHOOSE(CONTROL!$C$21, $C$9, 100%, $E$9)</f>
        <v>7.3037000000000001</v>
      </c>
      <c r="S74" s="14">
        <f>CHOOSE(CONTROL!$C$42, 5.8721, 5.8721) * CHOOSE(CONTROL!$C$21, $C$9, 100%, $E$9)</f>
        <v>5.8720999999999997</v>
      </c>
      <c r="T7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" s="57">
        <f>(1000*CHOOSE(CONTROL!$C$42, 695, 695)*CHOOSE(CONTROL!$C$42, 0.5599, 0.5599)*CHOOSE(CONTROL!$C$42, 28, 28))/1000000</f>
        <v>10.895653999999999</v>
      </c>
      <c r="V74" s="57">
        <f>(1000*CHOOSE(CONTROL!$C$42, 500, 500)*CHOOSE(CONTROL!$C$42, 0.275, 0.275)*CHOOSE(CONTROL!$C$42, 28, 28))/1000000</f>
        <v>3.85</v>
      </c>
      <c r="W74" s="57">
        <f>(1000*CHOOSE(CONTROL!$C$42, 0.1146, 0.1146)*CHOOSE(CONTROL!$C$42, 121.5, 121.5)*CHOOSE(CONTROL!$C$42, 28, 28))/1000000</f>
        <v>0.38986920000000003</v>
      </c>
      <c r="X74" s="57">
        <f>(28*0.1790888*100000/1000000)+(28*0.2374*100000/1000000)</f>
        <v>1.16616864</v>
      </c>
      <c r="Y74" s="57"/>
      <c r="Z74" s="14"/>
      <c r="AA74" s="56"/>
      <c r="AB74" s="50">
        <f>(B74*122.58+C74*297.941+D74*89.177+E74*40.302+F74*40+G74*160+H74*0+I74*100+J74*300)/(122.58+297.941+89.177+40.302+0+40+160+100+300)</f>
        <v>6.1475105455652166</v>
      </c>
      <c r="AC74" s="45">
        <f>(M74*'RAP TEMPLATE-GAS AVAILABILITY'!O73+N74*'RAP TEMPLATE-GAS AVAILABILITY'!P73+O74*'RAP TEMPLATE-GAS AVAILABILITY'!Q73+P74*'RAP TEMPLATE-GAS AVAILABILITY'!R73)/('RAP TEMPLATE-GAS AVAILABILITY'!O73+'RAP TEMPLATE-GAS AVAILABILITY'!P73+'RAP TEMPLATE-GAS AVAILABILITY'!Q73+'RAP TEMPLATE-GAS AVAILABILITY'!R73)</f>
        <v>6.0641949640287764</v>
      </c>
    </row>
    <row r="75" spans="1:29" ht="15.75" x14ac:dyDescent="0.25">
      <c r="A75" s="13">
        <v>43160</v>
      </c>
      <c r="B75" s="14">
        <f>CHOOSE(CONTROL!$C$42, 5.9587, 5.9587) * CHOOSE(CONTROL!$C$21, $C$9, 100%, $E$9)</f>
        <v>5.9587000000000003</v>
      </c>
      <c r="C75" s="14">
        <f>CHOOSE(CONTROL!$C$42, 5.9638, 5.9638) * CHOOSE(CONTROL!$C$21, $C$9, 100%, $E$9)</f>
        <v>5.9638</v>
      </c>
      <c r="D75" s="14">
        <f>CHOOSE(CONTROL!$C$42, 6.0406, 6.0406) * CHOOSE(CONTROL!$C$21, $C$9, 100%, $E$9)</f>
        <v>6.0406000000000004</v>
      </c>
      <c r="E75" s="14">
        <f>CHOOSE(CONTROL!$C$42, 6.0747, 6.0747) * CHOOSE(CONTROL!$C$21, $C$9, 100%, $E$9)</f>
        <v>6.0747</v>
      </c>
      <c r="F75" s="14">
        <f>CHOOSE(CONTROL!$C$42, 5.9822, 5.9822)*CHOOSE(CONTROL!$C$21, $C$9, 100%, $E$9)</f>
        <v>5.9821999999999997</v>
      </c>
      <c r="G75" s="14">
        <f>CHOOSE(CONTROL!$C$42, 5.9998, 5.9998)*CHOOSE(CONTROL!$C$21, $C$9, 100%, $E$9)</f>
        <v>5.9997999999999996</v>
      </c>
      <c r="H75" s="14">
        <f>CHOOSE(CONTROL!$C$42, 6.0639, 6.0639) * CHOOSE(CONTROL!$C$21, $C$9, 100%, $E$9)</f>
        <v>6.0639000000000003</v>
      </c>
      <c r="I75" s="14">
        <f>CHOOSE(CONTROL!$C$42, 6.0111, 6.0111)* CHOOSE(CONTROL!$C$21, $C$9, 100%, $E$9)</f>
        <v>6.0110999999999999</v>
      </c>
      <c r="J75" s="14">
        <f>CHOOSE(CONTROL!$C$42, 5.9752, 5.9752)* CHOOSE(CONTROL!$C$21, $C$9, 100%, $E$9)</f>
        <v>5.9752000000000001</v>
      </c>
      <c r="K75" s="53">
        <f>CHOOSE(CONTROL!$C$42, 6.0072, 6.0072) * CHOOSE(CONTROL!$C$21, $C$9, 100%, $E$9)</f>
        <v>6.0072000000000001</v>
      </c>
      <c r="L75" s="14">
        <f>CHOOSE(CONTROL!$C$42, 6.6509, 6.6509) * CHOOSE(CONTROL!$C$21, $C$9, 100%, $E$9)</f>
        <v>6.6509</v>
      </c>
      <c r="M75" s="14">
        <f>CHOOSE(CONTROL!$C$42, 5.8604, 5.8604) * CHOOSE(CONTROL!$C$21, $C$9, 100%, $E$9)</f>
        <v>5.8604000000000003</v>
      </c>
      <c r="N75" s="14">
        <f>CHOOSE(CONTROL!$C$42, 5.8777, 5.8777) * CHOOSE(CONTROL!$C$21, $C$9, 100%, $E$9)</f>
        <v>5.8776999999999999</v>
      </c>
      <c r="O75" s="14">
        <f>CHOOSE(CONTROL!$C$42, 5.9473, 5.9473) * CHOOSE(CONTROL!$C$21, $C$9, 100%, $E$9)</f>
        <v>5.9473000000000003</v>
      </c>
      <c r="P75" s="14">
        <f>CHOOSE(CONTROL!$C$42, 5.8953, 5.8953) * CHOOSE(CONTROL!$C$21, $C$9, 100%, $E$9)</f>
        <v>5.8952999999999998</v>
      </c>
      <c r="Q75" s="14">
        <f>CHOOSE(CONTROL!$C$42, 6.542, 6.542) * CHOOSE(CONTROL!$C$21, $C$9, 100%, $E$9)</f>
        <v>6.5419999999999998</v>
      </c>
      <c r="R75" s="14">
        <f>CHOOSE(CONTROL!$C$42, 7.1454, 7.1454) * CHOOSE(CONTROL!$C$21, $C$9, 100%, $E$9)</f>
        <v>7.1454000000000004</v>
      </c>
      <c r="S75" s="14">
        <f>CHOOSE(CONTROL!$C$42, 5.7172, 5.7172) * CHOOSE(CONTROL!$C$21, $C$9, 100%, $E$9)</f>
        <v>5.7172000000000001</v>
      </c>
      <c r="T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" s="57">
        <f>(1000*CHOOSE(CONTROL!$C$42, 695, 695)*CHOOSE(CONTROL!$C$42, 0.5599, 0.5599)*CHOOSE(CONTROL!$C$42, 31, 31))/1000000</f>
        <v>12.063045499999998</v>
      </c>
      <c r="V75" s="57">
        <f>(1000*CHOOSE(CONTROL!$C$42, 500, 500)*CHOOSE(CONTROL!$C$42, 0.275, 0.275)*CHOOSE(CONTROL!$C$42, 31, 31))/1000000</f>
        <v>4.2625000000000002</v>
      </c>
      <c r="W75" s="57">
        <f>(1000*CHOOSE(CONTROL!$C$42, 0.1146, 0.1146)*CHOOSE(CONTROL!$C$42, 121.5, 121.5)*CHOOSE(CONTROL!$C$42, 31, 31))/1000000</f>
        <v>0.43164089999999994</v>
      </c>
      <c r="X75" s="57">
        <f>(31*0.1790888*100000/1000000)+(31*0.2374*100000/1000000)</f>
        <v>1.2911152800000001</v>
      </c>
      <c r="Y75" s="57"/>
      <c r="Z75" s="14"/>
      <c r="AA75" s="56"/>
      <c r="AB75" s="50">
        <f>(B75*122.58+C75*297.941+D75*89.177+E75*40.302+F75*40+G75*160+H75*0+I75*100+J75*300)/(122.58+297.941+89.177+40.302+0+40+160+100+300)</f>
        <v>5.9858340238260865</v>
      </c>
      <c r="AC75" s="45">
        <f>(M75*'RAP TEMPLATE-GAS AVAILABILITY'!O74+N75*'RAP TEMPLATE-GAS AVAILABILITY'!P74+O75*'RAP TEMPLATE-GAS AVAILABILITY'!Q74+P75*'RAP TEMPLATE-GAS AVAILABILITY'!R74)/('RAP TEMPLATE-GAS AVAILABILITY'!O74+'RAP TEMPLATE-GAS AVAILABILITY'!P74+'RAP TEMPLATE-GAS AVAILABILITY'!Q74+'RAP TEMPLATE-GAS AVAILABILITY'!R74)</f>
        <v>5.9058035971223015</v>
      </c>
    </row>
    <row r="76" spans="1:29" ht="15.75" x14ac:dyDescent="0.25">
      <c r="A76" s="13">
        <v>43191</v>
      </c>
      <c r="B76" s="14">
        <f>CHOOSE(CONTROL!$C$42, 5.9541, 5.9541) * CHOOSE(CONTROL!$C$21, $C$9, 100%, $E$9)</f>
        <v>5.9541000000000004</v>
      </c>
      <c r="C76" s="14">
        <f>CHOOSE(CONTROL!$C$42, 5.9586, 5.9586) * CHOOSE(CONTROL!$C$21, $C$9, 100%, $E$9)</f>
        <v>5.9585999999999997</v>
      </c>
      <c r="D76" s="14">
        <f>CHOOSE(CONTROL!$C$42, 6.1823, 6.1823) * CHOOSE(CONTROL!$C$21, $C$9, 100%, $E$9)</f>
        <v>6.1822999999999997</v>
      </c>
      <c r="E76" s="14">
        <f>CHOOSE(CONTROL!$C$42, 6.2144, 6.2144) * CHOOSE(CONTROL!$C$21, $C$9, 100%, $E$9)</f>
        <v>6.2144000000000004</v>
      </c>
      <c r="F76" s="14">
        <f>CHOOSE(CONTROL!$C$42, 5.9818, 5.9818)*CHOOSE(CONTROL!$C$21, $C$9, 100%, $E$9)</f>
        <v>5.9817999999999998</v>
      </c>
      <c r="G76" s="14">
        <f>CHOOSE(CONTROL!$C$42, 5.9987, 5.9987)*CHOOSE(CONTROL!$C$21, $C$9, 100%, $E$9)</f>
        <v>5.9987000000000004</v>
      </c>
      <c r="H76" s="14">
        <f>CHOOSE(CONTROL!$C$42, 6.2042, 6.2042) * CHOOSE(CONTROL!$C$21, $C$9, 100%, $E$9)</f>
        <v>6.2042000000000002</v>
      </c>
      <c r="I76" s="14">
        <f>CHOOSE(CONTROL!$C$42, 6.002, 6.002)* CHOOSE(CONTROL!$C$21, $C$9, 100%, $E$9)</f>
        <v>6.0019999999999998</v>
      </c>
      <c r="J76" s="14">
        <f>CHOOSE(CONTROL!$C$42, 5.9748, 5.9748)* CHOOSE(CONTROL!$C$21, $C$9, 100%, $E$9)</f>
        <v>5.9748000000000001</v>
      </c>
      <c r="K76" s="53">
        <f>CHOOSE(CONTROL!$C$42, 5.9982, 5.9982) * CHOOSE(CONTROL!$C$21, $C$9, 100%, $E$9)</f>
        <v>5.9981999999999998</v>
      </c>
      <c r="L76" s="14">
        <f>CHOOSE(CONTROL!$C$42, 6.7912, 6.7912) * CHOOSE(CONTROL!$C$21, $C$9, 100%, $E$9)</f>
        <v>6.7911999999999999</v>
      </c>
      <c r="M76" s="14">
        <f>CHOOSE(CONTROL!$C$42, 5.8601, 5.8601) * CHOOSE(CONTROL!$C$21, $C$9, 100%, $E$9)</f>
        <v>5.8601000000000001</v>
      </c>
      <c r="N76" s="14">
        <f>CHOOSE(CONTROL!$C$42, 5.8766, 5.8766) * CHOOSE(CONTROL!$C$21, $C$9, 100%, $E$9)</f>
        <v>5.8765999999999998</v>
      </c>
      <c r="O76" s="14">
        <f>CHOOSE(CONTROL!$C$42, 6.0848, 6.0848) * CHOOSE(CONTROL!$C$21, $C$9, 100%, $E$9)</f>
        <v>6.0848000000000004</v>
      </c>
      <c r="P76" s="14">
        <f>CHOOSE(CONTROL!$C$42, 5.8865, 5.8865) * CHOOSE(CONTROL!$C$21, $C$9, 100%, $E$9)</f>
        <v>5.8864999999999998</v>
      </c>
      <c r="Q76" s="14">
        <f>CHOOSE(CONTROL!$C$42, 6.6795, 6.6795) * CHOOSE(CONTROL!$C$21, $C$9, 100%, $E$9)</f>
        <v>6.6795</v>
      </c>
      <c r="R76" s="14">
        <f>CHOOSE(CONTROL!$C$42, 7.2832, 7.2832) * CHOOSE(CONTROL!$C$21, $C$9, 100%, $E$9)</f>
        <v>7.2831999999999999</v>
      </c>
      <c r="S76" s="14">
        <f>CHOOSE(CONTROL!$C$42, 5.712, 5.712) * CHOOSE(CONTROL!$C$21, $C$9, 100%, $E$9)</f>
        <v>5.7119999999999997</v>
      </c>
      <c r="T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" s="57">
        <f>(1000*CHOOSE(CONTROL!$C$42, 695, 695)*CHOOSE(CONTROL!$C$42, 0.5599, 0.5599)*CHOOSE(CONTROL!$C$42, 30, 30))/1000000</f>
        <v>11.673914999999997</v>
      </c>
      <c r="V76" s="57">
        <f>(1000*CHOOSE(CONTROL!$C$42, 500, 500)*CHOOSE(CONTROL!$C$42, 0.275, 0.275)*CHOOSE(CONTROL!$C$42, 30, 30))/1000000</f>
        <v>4.125</v>
      </c>
      <c r="W76" s="57">
        <f>(1000*CHOOSE(CONTROL!$C$42, 0.1146, 0.1146)*CHOOSE(CONTROL!$C$42, 121.5, 121.5)*CHOOSE(CONTROL!$C$42, 30, 30))/1000000</f>
        <v>0.417717</v>
      </c>
      <c r="X76" s="57">
        <f>(30*0.1790888*245000/1000000)+(30*0.2374*100000/1000000)</f>
        <v>2.0285026799999999</v>
      </c>
      <c r="Y76" s="57"/>
      <c r="Z76" s="14"/>
      <c r="AA76" s="56"/>
      <c r="AB76" s="50">
        <f>(B76*141.293+C76*267.993+D76*115.016+E76*89.698+F76*40+G76*185+H76*0+I76*100+J76*300)/(141.293+267.993+115.016+89.698+0+40+185+100+300)</f>
        <v>6.0115334213882159</v>
      </c>
      <c r="AC76" s="45">
        <f>(M76*'RAP TEMPLATE-GAS AVAILABILITY'!O75+N76*'RAP TEMPLATE-GAS AVAILABILITY'!P75+O76*'RAP TEMPLATE-GAS AVAILABILITY'!Q75+P76*'RAP TEMPLATE-GAS AVAILABILITY'!R75)/('RAP TEMPLATE-GAS AVAILABILITY'!O75+'RAP TEMPLATE-GAS AVAILABILITY'!P75+'RAP TEMPLATE-GAS AVAILABILITY'!Q75+'RAP TEMPLATE-GAS AVAILABILITY'!R75)</f>
        <v>5.9307424460431655</v>
      </c>
    </row>
    <row r="77" spans="1:29" ht="15.75" x14ac:dyDescent="0.25">
      <c r="A77" s="13">
        <v>43221</v>
      </c>
      <c r="B77" s="14">
        <f>CHOOSE(CONTROL!$C$42, 6.0203, 6.0203) * CHOOSE(CONTROL!$C$21, $C$9, 100%, $E$9)</f>
        <v>6.0202999999999998</v>
      </c>
      <c r="C77" s="14">
        <f>CHOOSE(CONTROL!$C$42, 6.0283, 6.0283) * CHOOSE(CONTROL!$C$21, $C$9, 100%, $E$9)</f>
        <v>6.0282999999999998</v>
      </c>
      <c r="D77" s="14">
        <f>CHOOSE(CONTROL!$C$42, 6.2489, 6.2489) * CHOOSE(CONTROL!$C$21, $C$9, 100%, $E$9)</f>
        <v>6.2488999999999999</v>
      </c>
      <c r="E77" s="14">
        <f>CHOOSE(CONTROL!$C$42, 6.2804, 6.2804) * CHOOSE(CONTROL!$C$21, $C$9, 100%, $E$9)</f>
        <v>6.2804000000000002</v>
      </c>
      <c r="F77" s="14">
        <f>CHOOSE(CONTROL!$C$42, 6.0466, 6.0466)*CHOOSE(CONTROL!$C$21, $C$9, 100%, $E$9)</f>
        <v>6.0465999999999998</v>
      </c>
      <c r="G77" s="14">
        <f>CHOOSE(CONTROL!$C$42, 6.0637, 6.0637)*CHOOSE(CONTROL!$C$21, $C$9, 100%, $E$9)</f>
        <v>6.0636999999999999</v>
      </c>
      <c r="H77" s="14">
        <f>CHOOSE(CONTROL!$C$42, 6.269, 6.269) * CHOOSE(CONTROL!$C$21, $C$9, 100%, $E$9)</f>
        <v>6.2690000000000001</v>
      </c>
      <c r="I77" s="14">
        <f>CHOOSE(CONTROL!$C$42, 6.0671, 6.0671)* CHOOSE(CONTROL!$C$21, $C$9, 100%, $E$9)</f>
        <v>6.0670999999999999</v>
      </c>
      <c r="J77" s="14">
        <f>CHOOSE(CONTROL!$C$42, 6.0396, 6.0396)* CHOOSE(CONTROL!$C$21, $C$9, 100%, $E$9)</f>
        <v>6.0396000000000001</v>
      </c>
      <c r="K77" s="53">
        <f>CHOOSE(CONTROL!$C$42, 6.0632, 6.0632) * CHOOSE(CONTROL!$C$21, $C$9, 100%, $E$9)</f>
        <v>6.0632000000000001</v>
      </c>
      <c r="L77" s="14">
        <f>CHOOSE(CONTROL!$C$42, 6.856, 6.856) * CHOOSE(CONTROL!$C$21, $C$9, 100%, $E$9)</f>
        <v>6.8559999999999999</v>
      </c>
      <c r="M77" s="14">
        <f>CHOOSE(CONTROL!$C$42, 5.9235, 5.9235) * CHOOSE(CONTROL!$C$21, $C$9, 100%, $E$9)</f>
        <v>5.9234999999999998</v>
      </c>
      <c r="N77" s="14">
        <f>CHOOSE(CONTROL!$C$42, 5.9403, 5.9403) * CHOOSE(CONTROL!$C$21, $C$9, 100%, $E$9)</f>
        <v>5.9402999999999997</v>
      </c>
      <c r="O77" s="14">
        <f>CHOOSE(CONTROL!$C$42, 6.1483, 6.1483) * CHOOSE(CONTROL!$C$21, $C$9, 100%, $E$9)</f>
        <v>6.1482999999999999</v>
      </c>
      <c r="P77" s="14">
        <f>CHOOSE(CONTROL!$C$42, 5.9501, 5.9501) * CHOOSE(CONTROL!$C$21, $C$9, 100%, $E$9)</f>
        <v>5.9500999999999999</v>
      </c>
      <c r="Q77" s="14">
        <f>CHOOSE(CONTROL!$C$42, 6.743, 6.743) * CHOOSE(CONTROL!$C$21, $C$9, 100%, $E$9)</f>
        <v>6.7430000000000003</v>
      </c>
      <c r="R77" s="14">
        <f>CHOOSE(CONTROL!$C$42, 7.3468, 7.3468) * CHOOSE(CONTROL!$C$21, $C$9, 100%, $E$9)</f>
        <v>7.3468</v>
      </c>
      <c r="S77" s="14">
        <f>CHOOSE(CONTROL!$C$42, 5.7743, 5.7743) * CHOOSE(CONTROL!$C$21, $C$9, 100%, $E$9)</f>
        <v>5.7743000000000002</v>
      </c>
      <c r="T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" s="57">
        <f>(1000*CHOOSE(CONTROL!$C$42, 695, 695)*CHOOSE(CONTROL!$C$42, 0.5599, 0.5599)*CHOOSE(CONTROL!$C$42, 31, 31))/1000000</f>
        <v>12.063045499999998</v>
      </c>
      <c r="V77" s="57">
        <f>(1000*CHOOSE(CONTROL!$C$42, 500, 500)*CHOOSE(CONTROL!$C$42, 0.275, 0.275)*CHOOSE(CONTROL!$C$42, 31, 31))/1000000</f>
        <v>4.2625000000000002</v>
      </c>
      <c r="W77" s="57">
        <f>(1000*CHOOSE(CONTROL!$C$42, 0.1146, 0.1146)*CHOOSE(CONTROL!$C$42, 121.5, 121.5)*CHOOSE(CONTROL!$C$42, 31, 31))/1000000</f>
        <v>0.43164089999999994</v>
      </c>
      <c r="X77" s="57">
        <f>(31*0.1790888*245000/1000000)+(31*0.2374*100000/1000000)</f>
        <v>2.0961194359999999</v>
      </c>
      <c r="Y77" s="57"/>
      <c r="Z77" s="14"/>
      <c r="AA77" s="56"/>
      <c r="AB77" s="50">
        <f>(B77*194.205+C77*267.466+D77*133.845+E77*53.484+F77*40+G77*185+H77*0+I77*100+J77*300)/(194.205+267.466+133.845+53.484+0+40+185+100+300)</f>
        <v>6.072261446938775</v>
      </c>
      <c r="AC77" s="45">
        <f>(M77*'RAP TEMPLATE-GAS AVAILABILITY'!O76+N77*'RAP TEMPLATE-GAS AVAILABILITY'!P76+O77*'RAP TEMPLATE-GAS AVAILABILITY'!Q76+P77*'RAP TEMPLATE-GAS AVAILABILITY'!R76)/('RAP TEMPLATE-GAS AVAILABILITY'!O76+'RAP TEMPLATE-GAS AVAILABILITY'!P76+'RAP TEMPLATE-GAS AVAILABILITY'!Q76+'RAP TEMPLATE-GAS AVAILABILITY'!R76)</f>
        <v>5.9942683453237402</v>
      </c>
    </row>
    <row r="78" spans="1:29" ht="15.75" x14ac:dyDescent="0.25">
      <c r="A78" s="13">
        <v>43252</v>
      </c>
      <c r="B78" s="14">
        <f>CHOOSE(CONTROL!$C$42, 6.2035, 6.2035) * CHOOSE(CONTROL!$C$21, $C$9, 100%, $E$9)</f>
        <v>6.2035</v>
      </c>
      <c r="C78" s="14">
        <f>CHOOSE(CONTROL!$C$42, 6.2115, 6.2115) * CHOOSE(CONTROL!$C$21, $C$9, 100%, $E$9)</f>
        <v>6.2115</v>
      </c>
      <c r="D78" s="14">
        <f>CHOOSE(CONTROL!$C$42, 6.4321, 6.4321) * CHOOSE(CONTROL!$C$21, $C$9, 100%, $E$9)</f>
        <v>6.4321000000000002</v>
      </c>
      <c r="E78" s="14">
        <f>CHOOSE(CONTROL!$C$42, 6.4636, 6.4636) * CHOOSE(CONTROL!$C$21, $C$9, 100%, $E$9)</f>
        <v>6.4635999999999996</v>
      </c>
      <c r="F78" s="14">
        <f>CHOOSE(CONTROL!$C$42, 6.2301, 6.2301)*CHOOSE(CONTROL!$C$21, $C$9, 100%, $E$9)</f>
        <v>6.2301000000000002</v>
      </c>
      <c r="G78" s="14">
        <f>CHOOSE(CONTROL!$C$42, 6.2473, 6.2473)*CHOOSE(CONTROL!$C$21, $C$9, 100%, $E$9)</f>
        <v>6.2473000000000001</v>
      </c>
      <c r="H78" s="14">
        <f>CHOOSE(CONTROL!$C$42, 6.4522, 6.4522) * CHOOSE(CONTROL!$C$21, $C$9, 100%, $E$9)</f>
        <v>6.4522000000000004</v>
      </c>
      <c r="I78" s="14">
        <f>CHOOSE(CONTROL!$C$42, 6.2508, 6.2508)* CHOOSE(CONTROL!$C$21, $C$9, 100%, $E$9)</f>
        <v>6.2507999999999999</v>
      </c>
      <c r="J78" s="14">
        <f>CHOOSE(CONTROL!$C$42, 6.2231, 6.2231)* CHOOSE(CONTROL!$C$21, $C$9, 100%, $E$9)</f>
        <v>6.2230999999999996</v>
      </c>
      <c r="K78" s="53">
        <f>CHOOSE(CONTROL!$C$42, 6.2469, 6.2469) * CHOOSE(CONTROL!$C$21, $C$9, 100%, $E$9)</f>
        <v>6.2469000000000001</v>
      </c>
      <c r="L78" s="14">
        <f>CHOOSE(CONTROL!$C$42, 7.0392, 7.0392) * CHOOSE(CONTROL!$C$21, $C$9, 100%, $E$9)</f>
        <v>7.0392000000000001</v>
      </c>
      <c r="M78" s="14">
        <f>CHOOSE(CONTROL!$C$42, 6.1033, 6.1033) * CHOOSE(CONTROL!$C$21, $C$9, 100%, $E$9)</f>
        <v>6.1032999999999999</v>
      </c>
      <c r="N78" s="14">
        <f>CHOOSE(CONTROL!$C$42, 6.1201, 6.1201) * CHOOSE(CONTROL!$C$21, $C$9, 100%, $E$9)</f>
        <v>6.1200999999999999</v>
      </c>
      <c r="O78" s="14">
        <f>CHOOSE(CONTROL!$C$42, 6.3277, 6.3277) * CHOOSE(CONTROL!$C$21, $C$9, 100%, $E$9)</f>
        <v>6.3277000000000001</v>
      </c>
      <c r="P78" s="14">
        <f>CHOOSE(CONTROL!$C$42, 6.1301, 6.1301) * CHOOSE(CONTROL!$C$21, $C$9, 100%, $E$9)</f>
        <v>6.1300999999999997</v>
      </c>
      <c r="Q78" s="14">
        <f>CHOOSE(CONTROL!$C$42, 6.9224, 6.9224) * CHOOSE(CONTROL!$C$21, $C$9, 100%, $E$9)</f>
        <v>6.9223999999999997</v>
      </c>
      <c r="R78" s="14">
        <f>CHOOSE(CONTROL!$C$42, 7.5267, 7.5267) * CHOOSE(CONTROL!$C$21, $C$9, 100%, $E$9)</f>
        <v>7.5266999999999999</v>
      </c>
      <c r="S78" s="14">
        <f>CHOOSE(CONTROL!$C$42, 5.9503, 5.9503) * CHOOSE(CONTROL!$C$21, $C$9, 100%, $E$9)</f>
        <v>5.9503000000000004</v>
      </c>
      <c r="T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" s="57">
        <f>(1000*CHOOSE(CONTROL!$C$42, 695, 695)*CHOOSE(CONTROL!$C$42, 0.5599, 0.5599)*CHOOSE(CONTROL!$C$42, 30, 30))/1000000</f>
        <v>11.673914999999997</v>
      </c>
      <c r="V78" s="57">
        <f>(1000*CHOOSE(CONTROL!$C$42, 500, 500)*CHOOSE(CONTROL!$C$42, 0.275, 0.275)*CHOOSE(CONTROL!$C$42, 30, 30))/1000000</f>
        <v>4.125</v>
      </c>
      <c r="W78" s="57">
        <f>(1000*CHOOSE(CONTROL!$C$42, 0.1146, 0.1146)*CHOOSE(CONTROL!$C$42, 121.5, 121.5)*CHOOSE(CONTROL!$C$42, 30, 30))/1000000</f>
        <v>0.417717</v>
      </c>
      <c r="X78" s="57">
        <f>(30*0.1790888*245000/1000000)+(30*0.2374*100000/1000000)</f>
        <v>2.0285026799999999</v>
      </c>
      <c r="Y78" s="57"/>
      <c r="Z78" s="14"/>
      <c r="AA78" s="56"/>
      <c r="AB78" s="50">
        <f>(B78*194.205+C78*267.466+D78*133.845+E78*53.484+F78*40+G78*185+H78*0+I78*100+J78*300)/(194.205+267.466+133.845+53.484+0+40+185+100+300)</f>
        <v>6.2556388409733117</v>
      </c>
      <c r="AC78" s="45">
        <f>(M78*'RAP TEMPLATE-GAS AVAILABILITY'!O77+N78*'RAP TEMPLATE-GAS AVAILABILITY'!P77+O78*'RAP TEMPLATE-GAS AVAILABILITY'!Q77+P78*'RAP TEMPLATE-GAS AVAILABILITY'!R77)/('RAP TEMPLATE-GAS AVAILABILITY'!O77+'RAP TEMPLATE-GAS AVAILABILITY'!P77+'RAP TEMPLATE-GAS AVAILABILITY'!Q77+'RAP TEMPLATE-GAS AVAILABILITY'!R77)</f>
        <v>6.1739848920863309</v>
      </c>
    </row>
    <row r="79" spans="1:29" ht="15.75" x14ac:dyDescent="0.25">
      <c r="A79" s="13">
        <v>43282</v>
      </c>
      <c r="B79" s="14">
        <f>CHOOSE(CONTROL!$C$42, 6.0972, 6.0972) * CHOOSE(CONTROL!$C$21, $C$9, 100%, $E$9)</f>
        <v>6.0972</v>
      </c>
      <c r="C79" s="14">
        <f>CHOOSE(CONTROL!$C$42, 6.1052, 6.1052) * CHOOSE(CONTROL!$C$21, $C$9, 100%, $E$9)</f>
        <v>6.1052</v>
      </c>
      <c r="D79" s="14">
        <f>CHOOSE(CONTROL!$C$42, 6.3258, 6.3258) * CHOOSE(CONTROL!$C$21, $C$9, 100%, $E$9)</f>
        <v>6.3258000000000001</v>
      </c>
      <c r="E79" s="14">
        <f>CHOOSE(CONTROL!$C$42, 6.3573, 6.3573) * CHOOSE(CONTROL!$C$21, $C$9, 100%, $E$9)</f>
        <v>6.3573000000000004</v>
      </c>
      <c r="F79" s="14">
        <f>CHOOSE(CONTROL!$C$42, 6.1243, 6.1243)*CHOOSE(CONTROL!$C$21, $C$9, 100%, $E$9)</f>
        <v>6.1242999999999999</v>
      </c>
      <c r="G79" s="14">
        <f>CHOOSE(CONTROL!$C$42, 6.1416, 6.1416)*CHOOSE(CONTROL!$C$21, $C$9, 100%, $E$9)</f>
        <v>6.1416000000000004</v>
      </c>
      <c r="H79" s="14">
        <f>CHOOSE(CONTROL!$C$42, 6.3459, 6.3459) * CHOOSE(CONTROL!$C$21, $C$9, 100%, $E$9)</f>
        <v>6.3459000000000003</v>
      </c>
      <c r="I79" s="14">
        <f>CHOOSE(CONTROL!$C$42, 6.1442, 6.1442)* CHOOSE(CONTROL!$C$21, $C$9, 100%, $E$9)</f>
        <v>6.1441999999999997</v>
      </c>
      <c r="J79" s="14">
        <f>CHOOSE(CONTROL!$C$42, 6.1173, 6.1173)* CHOOSE(CONTROL!$C$21, $C$9, 100%, $E$9)</f>
        <v>6.1173000000000002</v>
      </c>
      <c r="K79" s="53">
        <f>CHOOSE(CONTROL!$C$42, 6.1403, 6.1403) * CHOOSE(CONTROL!$C$21, $C$9, 100%, $E$9)</f>
        <v>6.1402999999999999</v>
      </c>
      <c r="L79" s="14">
        <f>CHOOSE(CONTROL!$C$42, 6.9329, 6.9329) * CHOOSE(CONTROL!$C$21, $C$9, 100%, $E$9)</f>
        <v>6.9329000000000001</v>
      </c>
      <c r="M79" s="14">
        <f>CHOOSE(CONTROL!$C$42, 5.9996, 5.9996) * CHOOSE(CONTROL!$C$21, $C$9, 100%, $E$9)</f>
        <v>5.9996</v>
      </c>
      <c r="N79" s="14">
        <f>CHOOSE(CONTROL!$C$42, 6.0166, 6.0166) * CHOOSE(CONTROL!$C$21, $C$9, 100%, $E$9)</f>
        <v>6.0166000000000004</v>
      </c>
      <c r="O79" s="14">
        <f>CHOOSE(CONTROL!$C$42, 6.2236, 6.2236) * CHOOSE(CONTROL!$C$21, $C$9, 100%, $E$9)</f>
        <v>6.2236000000000002</v>
      </c>
      <c r="P79" s="14">
        <f>CHOOSE(CONTROL!$C$42, 6.0257, 6.0257) * CHOOSE(CONTROL!$C$21, $C$9, 100%, $E$9)</f>
        <v>6.0256999999999996</v>
      </c>
      <c r="Q79" s="14">
        <f>CHOOSE(CONTROL!$C$42, 6.8183, 6.8183) * CHOOSE(CONTROL!$C$21, $C$9, 100%, $E$9)</f>
        <v>6.8182999999999998</v>
      </c>
      <c r="R79" s="14">
        <f>CHOOSE(CONTROL!$C$42, 7.4223, 7.4223) * CHOOSE(CONTROL!$C$21, $C$9, 100%, $E$9)</f>
        <v>7.4222999999999999</v>
      </c>
      <c r="S79" s="14">
        <f>CHOOSE(CONTROL!$C$42, 5.8482, 5.8482) * CHOOSE(CONTROL!$C$21, $C$9, 100%, $E$9)</f>
        <v>5.8482000000000003</v>
      </c>
      <c r="T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" s="57">
        <f>(1000*CHOOSE(CONTROL!$C$42, 695, 695)*CHOOSE(CONTROL!$C$42, 0.5599, 0.5599)*CHOOSE(CONTROL!$C$42, 31, 31))/1000000</f>
        <v>12.063045499999998</v>
      </c>
      <c r="V79" s="57">
        <f>(1000*CHOOSE(CONTROL!$C$42, 500, 500)*CHOOSE(CONTROL!$C$42, 0.275, 0.275)*CHOOSE(CONTROL!$C$42, 31, 31))/1000000</f>
        <v>4.2625000000000002</v>
      </c>
      <c r="W79" s="57">
        <f>(1000*CHOOSE(CONTROL!$C$42, 0.1146, 0.1146)*CHOOSE(CONTROL!$C$42, 121.5, 121.5)*CHOOSE(CONTROL!$C$42, 31, 31))/1000000</f>
        <v>0.43164089999999994</v>
      </c>
      <c r="X79" s="57">
        <f>(31*0.1790888*245000/1000000)+(31*0.2374*100000/1000000)</f>
        <v>2.0961194359999999</v>
      </c>
      <c r="Y79" s="57"/>
      <c r="Z79" s="14"/>
      <c r="AA79" s="56"/>
      <c r="AB79" s="50">
        <f>(B79*194.205+C79*267.466+D79*133.845+E79*53.484+F79*40+G79*185+H79*0+I79*100+J79*300)/(194.205+267.466+133.845+53.484+0+40+185+100+300)</f>
        <v>6.1495358582417579</v>
      </c>
      <c r="AC79" s="45">
        <f>(M79*'RAP TEMPLATE-GAS AVAILABILITY'!O78+N79*'RAP TEMPLATE-GAS AVAILABILITY'!P78+O79*'RAP TEMPLATE-GAS AVAILABILITY'!Q78+P79*'RAP TEMPLATE-GAS AVAILABILITY'!R78)/('RAP TEMPLATE-GAS AVAILABILITY'!O78+'RAP TEMPLATE-GAS AVAILABILITY'!P78+'RAP TEMPLATE-GAS AVAILABILITY'!Q78+'RAP TEMPLATE-GAS AVAILABILITY'!R78)</f>
        <v>6.0701179856115104</v>
      </c>
    </row>
    <row r="80" spans="1:29" ht="15.75" x14ac:dyDescent="0.25">
      <c r="A80" s="13">
        <v>43313</v>
      </c>
      <c r="B80" s="14">
        <f>CHOOSE(CONTROL!$C$42, 5.8085, 5.8085) * CHOOSE(CONTROL!$C$21, $C$9, 100%, $E$9)</f>
        <v>5.8085000000000004</v>
      </c>
      <c r="C80" s="14">
        <f>CHOOSE(CONTROL!$C$42, 5.8166, 5.8166) * CHOOSE(CONTROL!$C$21, $C$9, 100%, $E$9)</f>
        <v>5.8166000000000002</v>
      </c>
      <c r="D80" s="14">
        <f>CHOOSE(CONTROL!$C$42, 6.0372, 6.0372) * CHOOSE(CONTROL!$C$21, $C$9, 100%, $E$9)</f>
        <v>6.0372000000000003</v>
      </c>
      <c r="E80" s="14">
        <f>CHOOSE(CONTROL!$C$42, 6.0686, 6.0686) * CHOOSE(CONTROL!$C$21, $C$9, 100%, $E$9)</f>
        <v>6.0686</v>
      </c>
      <c r="F80" s="14">
        <f>CHOOSE(CONTROL!$C$42, 5.8359, 5.8359)*CHOOSE(CONTROL!$C$21, $C$9, 100%, $E$9)</f>
        <v>5.8358999999999996</v>
      </c>
      <c r="G80" s="14">
        <f>CHOOSE(CONTROL!$C$42, 5.8533, 5.8533)*CHOOSE(CONTROL!$C$21, $C$9, 100%, $E$9)</f>
        <v>5.8532999999999999</v>
      </c>
      <c r="H80" s="14">
        <f>CHOOSE(CONTROL!$C$42, 6.0573, 6.0573) * CHOOSE(CONTROL!$C$21, $C$9, 100%, $E$9)</f>
        <v>6.0572999999999997</v>
      </c>
      <c r="I80" s="14">
        <f>CHOOSE(CONTROL!$C$42, 5.8546, 5.8546)* CHOOSE(CONTROL!$C$21, $C$9, 100%, $E$9)</f>
        <v>5.8545999999999996</v>
      </c>
      <c r="J80" s="14">
        <f>CHOOSE(CONTROL!$C$42, 5.8289, 5.8289)* CHOOSE(CONTROL!$C$21, $C$9, 100%, $E$9)</f>
        <v>5.8289</v>
      </c>
      <c r="K80" s="53">
        <f>CHOOSE(CONTROL!$C$42, 5.8507, 5.8507) * CHOOSE(CONTROL!$C$21, $C$9, 100%, $E$9)</f>
        <v>5.8506999999999998</v>
      </c>
      <c r="L80" s="14">
        <f>CHOOSE(CONTROL!$C$42, 6.6443, 6.6443) * CHOOSE(CONTROL!$C$21, $C$9, 100%, $E$9)</f>
        <v>6.6443000000000003</v>
      </c>
      <c r="M80" s="14">
        <f>CHOOSE(CONTROL!$C$42, 5.7172, 5.7172) * CHOOSE(CONTROL!$C$21, $C$9, 100%, $E$9)</f>
        <v>5.7172000000000001</v>
      </c>
      <c r="N80" s="14">
        <f>CHOOSE(CONTROL!$C$42, 5.7342, 5.7342) * CHOOSE(CONTROL!$C$21, $C$9, 100%, $E$9)</f>
        <v>5.7342000000000004</v>
      </c>
      <c r="O80" s="14">
        <f>CHOOSE(CONTROL!$C$42, 5.9408, 5.9408) * CHOOSE(CONTROL!$C$21, $C$9, 100%, $E$9)</f>
        <v>5.9408000000000003</v>
      </c>
      <c r="P80" s="14">
        <f>CHOOSE(CONTROL!$C$42, 5.7421, 5.7421) * CHOOSE(CONTROL!$C$21, $C$9, 100%, $E$9)</f>
        <v>5.7420999999999998</v>
      </c>
      <c r="Q80" s="14">
        <f>CHOOSE(CONTROL!$C$42, 6.5355, 6.5355) * CHOOSE(CONTROL!$C$21, $C$9, 100%, $E$9)</f>
        <v>6.5354999999999999</v>
      </c>
      <c r="R80" s="14">
        <f>CHOOSE(CONTROL!$C$42, 7.1389, 7.1389) * CHOOSE(CONTROL!$C$21, $C$9, 100%, $E$9)</f>
        <v>7.1388999999999996</v>
      </c>
      <c r="S80" s="14">
        <f>CHOOSE(CONTROL!$C$42, 5.5708, 5.5708) * CHOOSE(CONTROL!$C$21, $C$9, 100%, $E$9)</f>
        <v>5.5708000000000002</v>
      </c>
      <c r="T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" s="57">
        <f>(1000*CHOOSE(CONTROL!$C$42, 695, 695)*CHOOSE(CONTROL!$C$42, 0.5599, 0.5599)*CHOOSE(CONTROL!$C$42, 31, 31))/1000000</f>
        <v>12.063045499999998</v>
      </c>
      <c r="V80" s="57">
        <f>(1000*CHOOSE(CONTROL!$C$42, 500, 500)*CHOOSE(CONTROL!$C$42, 0.275, 0.275)*CHOOSE(CONTROL!$C$42, 31, 31))/1000000</f>
        <v>4.2625000000000002</v>
      </c>
      <c r="W80" s="57">
        <f>(1000*CHOOSE(CONTROL!$C$42, 0.1146, 0.1146)*CHOOSE(CONTROL!$C$42, 121.5, 121.5)*CHOOSE(CONTROL!$C$42, 31, 31))/1000000</f>
        <v>0.43164089999999994</v>
      </c>
      <c r="X80" s="57">
        <f>(31*0.1790888*245000/1000000)+(31*0.2374*100000/1000000)</f>
        <v>2.0961194359999999</v>
      </c>
      <c r="Y80" s="57"/>
      <c r="Z80" s="14"/>
      <c r="AA80" s="56"/>
      <c r="AB80" s="50">
        <f>(B80*194.205+C80*267.466+D80*133.845+E80*53.484+F80*40+G80*185+H80*0+I80*100+J80*300)/(194.205+267.466+133.845+53.484+0+40+185+100+300)</f>
        <v>5.860934862244898</v>
      </c>
      <c r="AC80" s="45">
        <f>(M80*'RAP TEMPLATE-GAS AVAILABILITY'!O79+N80*'RAP TEMPLATE-GAS AVAILABILITY'!P79+O80*'RAP TEMPLATE-GAS AVAILABILITY'!Q79+P80*'RAP TEMPLATE-GAS AVAILABILITY'!R79)/('RAP TEMPLATE-GAS AVAILABILITY'!O79+'RAP TEMPLATE-GAS AVAILABILITY'!P79+'RAP TEMPLATE-GAS AVAILABILITY'!Q79+'RAP TEMPLATE-GAS AVAILABILITY'!R79)</f>
        <v>5.7874330935251797</v>
      </c>
    </row>
    <row r="81" spans="1:29" ht="15.75" x14ac:dyDescent="0.25">
      <c r="A81" s="13">
        <v>43344</v>
      </c>
      <c r="B81" s="14">
        <f>CHOOSE(CONTROL!$C$42, 5.4515, 5.4515) * CHOOSE(CONTROL!$C$21, $C$9, 100%, $E$9)</f>
        <v>5.4515000000000002</v>
      </c>
      <c r="C81" s="14">
        <f>CHOOSE(CONTROL!$C$42, 5.4595, 5.4595) * CHOOSE(CONTROL!$C$21, $C$9, 100%, $E$9)</f>
        <v>5.4595000000000002</v>
      </c>
      <c r="D81" s="14">
        <f>CHOOSE(CONTROL!$C$42, 5.6801, 5.6801) * CHOOSE(CONTROL!$C$21, $C$9, 100%, $E$9)</f>
        <v>5.6801000000000004</v>
      </c>
      <c r="E81" s="14">
        <f>CHOOSE(CONTROL!$C$42, 5.7116, 5.7116) * CHOOSE(CONTROL!$C$21, $C$9, 100%, $E$9)</f>
        <v>5.7115999999999998</v>
      </c>
      <c r="F81" s="14">
        <f>CHOOSE(CONTROL!$C$42, 5.4788, 5.4788)*CHOOSE(CONTROL!$C$21, $C$9, 100%, $E$9)</f>
        <v>5.4787999999999997</v>
      </c>
      <c r="G81" s="14">
        <f>CHOOSE(CONTROL!$C$42, 5.4962, 5.4962)*CHOOSE(CONTROL!$C$21, $C$9, 100%, $E$9)</f>
        <v>5.4962</v>
      </c>
      <c r="H81" s="14">
        <f>CHOOSE(CONTROL!$C$42, 5.7002, 5.7002) * CHOOSE(CONTROL!$C$21, $C$9, 100%, $E$9)</f>
        <v>5.7001999999999997</v>
      </c>
      <c r="I81" s="14">
        <f>CHOOSE(CONTROL!$C$42, 5.4964, 5.4964)* CHOOSE(CONTROL!$C$21, $C$9, 100%, $E$9)</f>
        <v>5.4964000000000004</v>
      </c>
      <c r="J81" s="14">
        <f>CHOOSE(CONTROL!$C$42, 5.4718, 5.4718)* CHOOSE(CONTROL!$C$21, $C$9, 100%, $E$9)</f>
        <v>5.4718</v>
      </c>
      <c r="K81" s="53">
        <f>CHOOSE(CONTROL!$C$42, 5.4926, 5.4926) * CHOOSE(CONTROL!$C$21, $C$9, 100%, $E$9)</f>
        <v>5.4926000000000004</v>
      </c>
      <c r="L81" s="14">
        <f>CHOOSE(CONTROL!$C$42, 6.2872, 6.2872) * CHOOSE(CONTROL!$C$21, $C$9, 100%, $E$9)</f>
        <v>6.2872000000000003</v>
      </c>
      <c r="M81" s="14">
        <f>CHOOSE(CONTROL!$C$42, 5.3674, 5.3674) * CHOOSE(CONTROL!$C$21, $C$9, 100%, $E$9)</f>
        <v>5.3673999999999999</v>
      </c>
      <c r="N81" s="14">
        <f>CHOOSE(CONTROL!$C$42, 5.3845, 5.3845) * CHOOSE(CONTROL!$C$21, $C$9, 100%, $E$9)</f>
        <v>5.3845000000000001</v>
      </c>
      <c r="O81" s="14">
        <f>CHOOSE(CONTROL!$C$42, 5.5911, 5.5911) * CHOOSE(CONTROL!$C$21, $C$9, 100%, $E$9)</f>
        <v>5.5911</v>
      </c>
      <c r="P81" s="14">
        <f>CHOOSE(CONTROL!$C$42, 5.3913, 5.3913) * CHOOSE(CONTROL!$C$21, $C$9, 100%, $E$9)</f>
        <v>5.3913000000000002</v>
      </c>
      <c r="Q81" s="14">
        <f>CHOOSE(CONTROL!$C$42, 6.1858, 6.1858) * CHOOSE(CONTROL!$C$21, $C$9, 100%, $E$9)</f>
        <v>6.1858000000000004</v>
      </c>
      <c r="R81" s="14">
        <f>CHOOSE(CONTROL!$C$42, 6.7883, 6.7883) * CHOOSE(CONTROL!$C$21, $C$9, 100%, $E$9)</f>
        <v>6.7882999999999996</v>
      </c>
      <c r="S81" s="14">
        <f>CHOOSE(CONTROL!$C$42, 5.2277, 5.2277) * CHOOSE(CONTROL!$C$21, $C$9, 100%, $E$9)</f>
        <v>5.2276999999999996</v>
      </c>
      <c r="T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" s="57">
        <f>(1000*CHOOSE(CONTROL!$C$42, 695, 695)*CHOOSE(CONTROL!$C$42, 0.5599, 0.5599)*CHOOSE(CONTROL!$C$42, 30, 30))/1000000</f>
        <v>11.673914999999997</v>
      </c>
      <c r="V81" s="57">
        <f>(1000*CHOOSE(CONTROL!$C$42, 500, 500)*CHOOSE(CONTROL!$C$42, 0.275, 0.275)*CHOOSE(CONTROL!$C$42, 30, 30))/1000000</f>
        <v>4.125</v>
      </c>
      <c r="W81" s="57">
        <f>(1000*CHOOSE(CONTROL!$C$42, 0.1146, 0.1146)*CHOOSE(CONTROL!$C$42, 121.5, 121.5)*CHOOSE(CONTROL!$C$42, 30, 30))/1000000</f>
        <v>0.417717</v>
      </c>
      <c r="X81" s="57">
        <f>(30*0.1790888*245000/1000000)+(30*0.2374*100000/1000000)</f>
        <v>2.0285026799999999</v>
      </c>
      <c r="Y81" s="57"/>
      <c r="Z81" s="14"/>
      <c r="AA81" s="56"/>
      <c r="AB81" s="50">
        <f>(B81*194.205+C81*267.466+D81*133.845+E81*53.484+F81*40+G81*185+H81*0+I81*100+J81*300)/(194.205+267.466+133.845+53.484+0+40+185+100+300)</f>
        <v>5.5037679618524331</v>
      </c>
      <c r="AC81" s="45">
        <f>(M81*'RAP TEMPLATE-GAS AVAILABILITY'!O80+N81*'RAP TEMPLATE-GAS AVAILABILITY'!P80+O81*'RAP TEMPLATE-GAS AVAILABILITY'!Q80+P81*'RAP TEMPLATE-GAS AVAILABILITY'!R80)/('RAP TEMPLATE-GAS AVAILABILITY'!O80+'RAP TEMPLATE-GAS AVAILABILITY'!P80+'RAP TEMPLATE-GAS AVAILABILITY'!Q80+'RAP TEMPLATE-GAS AVAILABILITY'!R80)</f>
        <v>5.4375402877697843</v>
      </c>
    </row>
    <row r="82" spans="1:29" ht="15.75" x14ac:dyDescent="0.25">
      <c r="A82" s="13">
        <v>43374</v>
      </c>
      <c r="B82" s="14">
        <f>CHOOSE(CONTROL!$C$42, 5.3503, 5.3503) * CHOOSE(CONTROL!$C$21, $C$9, 100%, $E$9)</f>
        <v>5.3502999999999998</v>
      </c>
      <c r="C82" s="14">
        <f>CHOOSE(CONTROL!$C$42, 5.3556, 5.3556) * CHOOSE(CONTROL!$C$21, $C$9, 100%, $E$9)</f>
        <v>5.3555999999999999</v>
      </c>
      <c r="D82" s="14">
        <f>CHOOSE(CONTROL!$C$42, 5.5811, 5.5811) * CHOOSE(CONTROL!$C$21, $C$9, 100%, $E$9)</f>
        <v>5.5811000000000002</v>
      </c>
      <c r="E82" s="14">
        <f>CHOOSE(CONTROL!$C$42, 5.6103, 5.6103) * CHOOSE(CONTROL!$C$21, $C$9, 100%, $E$9)</f>
        <v>5.6102999999999996</v>
      </c>
      <c r="F82" s="14">
        <f>CHOOSE(CONTROL!$C$42, 5.3796, 5.3796)*CHOOSE(CONTROL!$C$21, $C$9, 100%, $E$9)</f>
        <v>5.3795999999999999</v>
      </c>
      <c r="G82" s="14">
        <f>CHOOSE(CONTROL!$C$42, 5.3969, 5.3969)*CHOOSE(CONTROL!$C$21, $C$9, 100%, $E$9)</f>
        <v>5.3968999999999996</v>
      </c>
      <c r="H82" s="14">
        <f>CHOOSE(CONTROL!$C$42, 5.6007, 5.6007) * CHOOSE(CONTROL!$C$21, $C$9, 100%, $E$9)</f>
        <v>5.6006999999999998</v>
      </c>
      <c r="I82" s="14">
        <f>CHOOSE(CONTROL!$C$42, 5.3967, 5.3967)* CHOOSE(CONTROL!$C$21, $C$9, 100%, $E$9)</f>
        <v>5.3967000000000001</v>
      </c>
      <c r="J82" s="14">
        <f>CHOOSE(CONTROL!$C$42, 5.3726, 5.3726)* CHOOSE(CONTROL!$C$21, $C$9, 100%, $E$9)</f>
        <v>5.3726000000000003</v>
      </c>
      <c r="K82" s="53">
        <f>CHOOSE(CONTROL!$C$42, 5.3928, 5.3928) * CHOOSE(CONTROL!$C$21, $C$9, 100%, $E$9)</f>
        <v>5.3928000000000003</v>
      </c>
      <c r="L82" s="14">
        <f>CHOOSE(CONTROL!$C$42, 6.1877, 6.1877) * CHOOSE(CONTROL!$C$21, $C$9, 100%, $E$9)</f>
        <v>6.1877000000000004</v>
      </c>
      <c r="M82" s="14">
        <f>CHOOSE(CONTROL!$C$42, 5.2702, 5.2702) * CHOOSE(CONTROL!$C$21, $C$9, 100%, $E$9)</f>
        <v>5.2702</v>
      </c>
      <c r="N82" s="14">
        <f>CHOOSE(CONTROL!$C$42, 5.2871, 5.2871) * CHOOSE(CONTROL!$C$21, $C$9, 100%, $E$9)</f>
        <v>5.2870999999999997</v>
      </c>
      <c r="O82" s="14">
        <f>CHOOSE(CONTROL!$C$42, 5.4937, 5.4937) * CHOOSE(CONTROL!$C$21, $C$9, 100%, $E$9)</f>
        <v>5.4936999999999996</v>
      </c>
      <c r="P82" s="14">
        <f>CHOOSE(CONTROL!$C$42, 5.2935, 5.2935) * CHOOSE(CONTROL!$C$21, $C$9, 100%, $E$9)</f>
        <v>5.2934999999999999</v>
      </c>
      <c r="Q82" s="14">
        <f>CHOOSE(CONTROL!$C$42, 6.0884, 6.0884) * CHOOSE(CONTROL!$C$21, $C$9, 100%, $E$9)</f>
        <v>6.0884</v>
      </c>
      <c r="R82" s="14">
        <f>CHOOSE(CONTROL!$C$42, 6.6906, 6.6906) * CHOOSE(CONTROL!$C$21, $C$9, 100%, $E$9)</f>
        <v>6.6905999999999999</v>
      </c>
      <c r="S82" s="14">
        <f>CHOOSE(CONTROL!$C$42, 5.1321, 5.1321) * CHOOSE(CONTROL!$C$21, $C$9, 100%, $E$9)</f>
        <v>5.1321000000000003</v>
      </c>
      <c r="T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" s="57">
        <f>(1000*CHOOSE(CONTROL!$C$42, 695, 695)*CHOOSE(CONTROL!$C$42, 0.5599, 0.5599)*CHOOSE(CONTROL!$C$42, 31, 31))/1000000</f>
        <v>12.063045499999998</v>
      </c>
      <c r="V82" s="57">
        <f>(1000*CHOOSE(CONTROL!$C$42, 500, 500)*CHOOSE(CONTROL!$C$42, 0.275, 0.275)*CHOOSE(CONTROL!$C$42, 31, 31))/1000000</f>
        <v>4.2625000000000002</v>
      </c>
      <c r="W82" s="57">
        <f>(1000*CHOOSE(CONTROL!$C$42, 0.1146, 0.1146)*CHOOSE(CONTROL!$C$42, 121.5, 121.5)*CHOOSE(CONTROL!$C$42, 31, 31))/1000000</f>
        <v>0.43164089999999994</v>
      </c>
      <c r="X82" s="57">
        <f>(31*0.1790888*245000/1000000)+(31*0.2374*100000/1000000)</f>
        <v>2.0961194359999999</v>
      </c>
      <c r="Y82" s="57"/>
      <c r="Z82" s="14"/>
      <c r="AA82" s="56"/>
      <c r="AB82" s="50">
        <f>(B82*131.881+C82*277.167+D82*79.08+E82*125.872+F82*40+G82*185+H82*0+I82*100+J82*300)/(131.881+277.167+79.08+125.872+0+40+185+100+300)</f>
        <v>5.4096788289749798</v>
      </c>
      <c r="AC82" s="45">
        <f>(M82*'RAP TEMPLATE-GAS AVAILABILITY'!O81+N82*'RAP TEMPLATE-GAS AVAILABILITY'!P81+O82*'RAP TEMPLATE-GAS AVAILABILITY'!Q81+P82*'RAP TEMPLATE-GAS AVAILABILITY'!R81)/('RAP TEMPLATE-GAS AVAILABILITY'!O81+'RAP TEMPLATE-GAS AVAILABILITY'!P81+'RAP TEMPLATE-GAS AVAILABILITY'!Q81+'RAP TEMPLATE-GAS AVAILABILITY'!R81)</f>
        <v>5.3401517985611502</v>
      </c>
    </row>
    <row r="83" spans="1:29" ht="15.75" x14ac:dyDescent="0.25">
      <c r="A83" s="13">
        <v>43405</v>
      </c>
      <c r="B83" s="14">
        <f>CHOOSE(CONTROL!$C$42, 5.5018, 5.5018) * CHOOSE(CONTROL!$C$21, $C$9, 100%, $E$9)</f>
        <v>5.5018000000000002</v>
      </c>
      <c r="C83" s="14">
        <f>CHOOSE(CONTROL!$C$42, 5.5069, 5.5069) * CHOOSE(CONTROL!$C$21, $C$9, 100%, $E$9)</f>
        <v>5.5068999999999999</v>
      </c>
      <c r="D83" s="14">
        <f>CHOOSE(CONTROL!$C$42, 5.5811, 5.5811) * CHOOSE(CONTROL!$C$21, $C$9, 100%, $E$9)</f>
        <v>5.5811000000000002</v>
      </c>
      <c r="E83" s="14">
        <f>CHOOSE(CONTROL!$C$42, 5.6152, 5.6152) * CHOOSE(CONTROL!$C$21, $C$9, 100%, $E$9)</f>
        <v>5.6151999999999997</v>
      </c>
      <c r="F83" s="14">
        <f>CHOOSE(CONTROL!$C$42, 5.5379, 5.5379)*CHOOSE(CONTROL!$C$21, $C$9, 100%, $E$9)</f>
        <v>5.5378999999999996</v>
      </c>
      <c r="G83" s="14">
        <f>CHOOSE(CONTROL!$C$42, 5.5554, 5.5554)*CHOOSE(CONTROL!$C$21, $C$9, 100%, $E$9)</f>
        <v>5.5553999999999997</v>
      </c>
      <c r="H83" s="14">
        <f>CHOOSE(CONTROL!$C$42, 5.6044, 5.6044) * CHOOSE(CONTROL!$C$21, $C$9, 100%, $E$9)</f>
        <v>5.6044</v>
      </c>
      <c r="I83" s="14">
        <f>CHOOSE(CONTROL!$C$42, 5.5465, 5.5465)* CHOOSE(CONTROL!$C$21, $C$9, 100%, $E$9)</f>
        <v>5.5465</v>
      </c>
      <c r="J83" s="14">
        <f>CHOOSE(CONTROL!$C$42, 5.5309, 5.5309)* CHOOSE(CONTROL!$C$21, $C$9, 100%, $E$9)</f>
        <v>5.5308999999999999</v>
      </c>
      <c r="K83" s="53">
        <f>CHOOSE(CONTROL!$C$42, 5.5426, 5.5426) * CHOOSE(CONTROL!$C$21, $C$9, 100%, $E$9)</f>
        <v>5.5426000000000002</v>
      </c>
      <c r="L83" s="14">
        <f>CHOOSE(CONTROL!$C$42, 6.1914, 6.1914) * CHOOSE(CONTROL!$C$21, $C$9, 100%, $E$9)</f>
        <v>6.1913999999999998</v>
      </c>
      <c r="M83" s="14">
        <f>CHOOSE(CONTROL!$C$42, 5.4252, 5.4252) * CHOOSE(CONTROL!$C$21, $C$9, 100%, $E$9)</f>
        <v>5.4252000000000002</v>
      </c>
      <c r="N83" s="14">
        <f>CHOOSE(CONTROL!$C$42, 5.4424, 5.4424) * CHOOSE(CONTROL!$C$21, $C$9, 100%, $E$9)</f>
        <v>5.4424000000000001</v>
      </c>
      <c r="O83" s="14">
        <f>CHOOSE(CONTROL!$C$42, 5.4973, 5.4973) * CHOOSE(CONTROL!$C$21, $C$9, 100%, $E$9)</f>
        <v>5.4973000000000001</v>
      </c>
      <c r="P83" s="14">
        <f>CHOOSE(CONTROL!$C$42, 5.4403, 5.4403) * CHOOSE(CONTROL!$C$21, $C$9, 100%, $E$9)</f>
        <v>5.4402999999999997</v>
      </c>
      <c r="Q83" s="14">
        <f>CHOOSE(CONTROL!$C$42, 6.092, 6.092) * CHOOSE(CONTROL!$C$21, $C$9, 100%, $E$9)</f>
        <v>6.0919999999999996</v>
      </c>
      <c r="R83" s="14">
        <f>CHOOSE(CONTROL!$C$42, 6.6942, 6.6942) * CHOOSE(CONTROL!$C$21, $C$9, 100%, $E$9)</f>
        <v>6.6942000000000004</v>
      </c>
      <c r="S83" s="14">
        <f>CHOOSE(CONTROL!$C$42, 5.2782, 5.2782) * CHOOSE(CONTROL!$C$21, $C$9, 100%, $E$9)</f>
        <v>5.2782</v>
      </c>
      <c r="T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" s="57">
        <f>(1000*CHOOSE(CONTROL!$C$42, 695, 695)*CHOOSE(CONTROL!$C$42, 0.5599, 0.5599)*CHOOSE(CONTROL!$C$42, 30, 30))/1000000</f>
        <v>11.673914999999997</v>
      </c>
      <c r="V83" s="57">
        <f>(1000*CHOOSE(CONTROL!$C$42, 500, 500)*CHOOSE(CONTROL!$C$42, 0.275, 0.275)*CHOOSE(CONTROL!$C$42, 30, 30))/1000000</f>
        <v>4.125</v>
      </c>
      <c r="W83" s="57">
        <f>(1000*CHOOSE(CONTROL!$C$42, 0.1146, 0.1146)*CHOOSE(CONTROL!$C$42, 121.5, 121.5)*CHOOSE(CONTROL!$C$42, 30, 30))/1000000</f>
        <v>0.417717</v>
      </c>
      <c r="X83" s="57">
        <f>(30*0.1790888*100000/1000000)+(30*0.2374*100000/1000000)</f>
        <v>1.2494664</v>
      </c>
      <c r="Y83" s="57"/>
      <c r="Z83" s="14"/>
      <c r="AA83" s="56"/>
      <c r="AB83" s="50">
        <f>(B83*122.58+C83*297.941+D83*89.177+E83*40.302+F83*40+G83*160+H83*0+I83*100+J83*300)/(122.58+297.941+89.177+40.302+0+40+160+100+300)</f>
        <v>5.5334360713043464</v>
      </c>
      <c r="AC83" s="45">
        <f>(M83*'RAP TEMPLATE-GAS AVAILABILITY'!O82+N83*'RAP TEMPLATE-GAS AVAILABILITY'!P82+O83*'RAP TEMPLATE-GAS AVAILABILITY'!Q82+P83*'RAP TEMPLATE-GAS AVAILABILITY'!R82)/('RAP TEMPLATE-GAS AVAILABILITY'!O82+'RAP TEMPLATE-GAS AVAILABILITY'!P82+'RAP TEMPLATE-GAS AVAILABILITY'!Q82+'RAP TEMPLATE-GAS AVAILABILITY'!R82)</f>
        <v>5.4610410071942441</v>
      </c>
    </row>
    <row r="84" spans="1:29" ht="15.75" x14ac:dyDescent="0.25">
      <c r="A84" s="13">
        <v>43435</v>
      </c>
      <c r="B84" s="14">
        <f>CHOOSE(CONTROL!$C$42, 5.8884, 5.8884) * CHOOSE(CONTROL!$C$21, $C$9, 100%, $E$9)</f>
        <v>5.8883999999999999</v>
      </c>
      <c r="C84" s="14">
        <f>CHOOSE(CONTROL!$C$42, 5.8934, 5.8934) * CHOOSE(CONTROL!$C$21, $C$9, 100%, $E$9)</f>
        <v>5.8933999999999997</v>
      </c>
      <c r="D84" s="14">
        <f>CHOOSE(CONTROL!$C$42, 5.9676, 5.9676) * CHOOSE(CONTROL!$C$21, $C$9, 100%, $E$9)</f>
        <v>5.9676</v>
      </c>
      <c r="E84" s="14">
        <f>CHOOSE(CONTROL!$C$42, 6.0017, 6.0017) * CHOOSE(CONTROL!$C$21, $C$9, 100%, $E$9)</f>
        <v>6.0016999999999996</v>
      </c>
      <c r="F84" s="14">
        <f>CHOOSE(CONTROL!$C$42, 5.9268, 5.9268)*CHOOSE(CONTROL!$C$21, $C$9, 100%, $E$9)</f>
        <v>5.9268000000000001</v>
      </c>
      <c r="G84" s="14">
        <f>CHOOSE(CONTROL!$C$42, 5.9449, 5.9449)*CHOOSE(CONTROL!$C$21, $C$9, 100%, $E$9)</f>
        <v>5.9448999999999996</v>
      </c>
      <c r="H84" s="14">
        <f>CHOOSE(CONTROL!$C$42, 5.9909, 5.9909) * CHOOSE(CONTROL!$C$21, $C$9, 100%, $E$9)</f>
        <v>5.9908999999999999</v>
      </c>
      <c r="I84" s="14">
        <f>CHOOSE(CONTROL!$C$42, 5.9343, 5.9343)* CHOOSE(CONTROL!$C$21, $C$9, 100%, $E$9)</f>
        <v>5.9343000000000004</v>
      </c>
      <c r="J84" s="14">
        <f>CHOOSE(CONTROL!$C$42, 5.9198, 5.9198)* CHOOSE(CONTROL!$C$21, $C$9, 100%, $E$9)</f>
        <v>5.9198000000000004</v>
      </c>
      <c r="K84" s="53">
        <f>CHOOSE(CONTROL!$C$42, 5.9304, 5.9304) * CHOOSE(CONTROL!$C$21, $C$9, 100%, $E$9)</f>
        <v>5.9303999999999997</v>
      </c>
      <c r="L84" s="14">
        <f>CHOOSE(CONTROL!$C$42, 6.5779, 6.5779) * CHOOSE(CONTROL!$C$21, $C$9, 100%, $E$9)</f>
        <v>6.5778999999999996</v>
      </c>
      <c r="M84" s="14">
        <f>CHOOSE(CONTROL!$C$42, 5.8062, 5.8062) * CHOOSE(CONTROL!$C$21, $C$9, 100%, $E$9)</f>
        <v>5.8061999999999996</v>
      </c>
      <c r="N84" s="14">
        <f>CHOOSE(CONTROL!$C$42, 5.8239, 5.8239) * CHOOSE(CONTROL!$C$21, $C$9, 100%, $E$9)</f>
        <v>5.8239000000000001</v>
      </c>
      <c r="O84" s="14">
        <f>CHOOSE(CONTROL!$C$42, 5.8759, 5.8759) * CHOOSE(CONTROL!$C$21, $C$9, 100%, $E$9)</f>
        <v>5.8758999999999997</v>
      </c>
      <c r="P84" s="14">
        <f>CHOOSE(CONTROL!$C$42, 5.8201, 5.8201) * CHOOSE(CONTROL!$C$21, $C$9, 100%, $E$9)</f>
        <v>5.8201000000000001</v>
      </c>
      <c r="Q84" s="14">
        <f>CHOOSE(CONTROL!$C$42, 6.4706, 6.4706) * CHOOSE(CONTROL!$C$21, $C$9, 100%, $E$9)</f>
        <v>6.4706000000000001</v>
      </c>
      <c r="R84" s="14">
        <f>CHOOSE(CONTROL!$C$42, 7.0738, 7.0738) * CHOOSE(CONTROL!$C$21, $C$9, 100%, $E$9)</f>
        <v>7.0738000000000003</v>
      </c>
      <c r="S84" s="14">
        <f>CHOOSE(CONTROL!$C$42, 5.6496, 5.6496) * CHOOSE(CONTROL!$C$21, $C$9, 100%, $E$9)</f>
        <v>5.6496000000000004</v>
      </c>
      <c r="T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" s="57">
        <f>(1000*CHOOSE(CONTROL!$C$42, 695, 695)*CHOOSE(CONTROL!$C$42, 0.5599, 0.5599)*CHOOSE(CONTROL!$C$42, 31, 31))/1000000</f>
        <v>12.063045499999998</v>
      </c>
      <c r="V84" s="57">
        <f>(1000*CHOOSE(CONTROL!$C$42, 500, 500)*CHOOSE(CONTROL!$C$42, 0.275, 0.275)*CHOOSE(CONTROL!$C$42, 31, 31))/1000000</f>
        <v>4.2625000000000002</v>
      </c>
      <c r="W84" s="57">
        <f>(1000*CHOOSE(CONTROL!$C$42, 0.1146, 0.1146)*CHOOSE(CONTROL!$C$42, 121.5, 121.5)*CHOOSE(CONTROL!$C$42, 31, 31))/1000000</f>
        <v>0.43164089999999994</v>
      </c>
      <c r="X84" s="57">
        <f>(31*0.1790888*100000/1000000)+(31*0.2374*100000/1000000)</f>
        <v>1.2911152800000001</v>
      </c>
      <c r="Y84" s="57"/>
      <c r="Z84" s="14"/>
      <c r="AA84" s="56"/>
      <c r="AB84" s="50">
        <f>(B84*122.58+C84*297.941+D84*89.177+E84*40.302+F84*40+G84*160+H84*0+I84*100+J84*300)/(122.58+297.941+89.177+40.302+0+40+160+100+300)</f>
        <v>5.9211867304347834</v>
      </c>
      <c r="AC84" s="45">
        <f>(M84*'RAP TEMPLATE-GAS AVAILABILITY'!O83+N84*'RAP TEMPLATE-GAS AVAILABILITY'!P83+O84*'RAP TEMPLATE-GAS AVAILABILITY'!Q83+P84*'RAP TEMPLATE-GAS AVAILABILITY'!R83)/('RAP TEMPLATE-GAS AVAILABILITY'!O83+'RAP TEMPLATE-GAS AVAILABILITY'!P83+'RAP TEMPLATE-GAS AVAILABILITY'!Q83+'RAP TEMPLATE-GAS AVAILABILITY'!R83)</f>
        <v>5.8408093525179856</v>
      </c>
    </row>
    <row r="85" spans="1:29" ht="15.75" x14ac:dyDescent="0.25">
      <c r="A85" s="13">
        <v>43466</v>
      </c>
      <c r="B85" s="14">
        <f>CHOOSE(CONTROL!$C$42, 6.5617, 6.5617) * CHOOSE(CONTROL!$C$21, $C$9, 100%, $E$9)</f>
        <v>6.5617000000000001</v>
      </c>
      <c r="C85" s="14">
        <f>CHOOSE(CONTROL!$C$42, 6.5667, 6.5667) * CHOOSE(CONTROL!$C$21, $C$9, 100%, $E$9)</f>
        <v>6.5667</v>
      </c>
      <c r="D85" s="14">
        <f>CHOOSE(CONTROL!$C$42, 6.6436, 6.6436) * CHOOSE(CONTROL!$C$21, $C$9, 100%, $E$9)</f>
        <v>6.6436000000000002</v>
      </c>
      <c r="E85" s="14">
        <f>CHOOSE(CONTROL!$C$42, 6.6777, 6.6777) * CHOOSE(CONTROL!$C$21, $C$9, 100%, $E$9)</f>
        <v>6.6776999999999997</v>
      </c>
      <c r="F85" s="14">
        <f>CHOOSE(CONTROL!$C$42, 6.5864, 6.5864)*CHOOSE(CONTROL!$C$21, $C$9, 100%, $E$9)</f>
        <v>6.5864000000000003</v>
      </c>
      <c r="G85" s="14">
        <f>CHOOSE(CONTROL!$C$42, 6.6044, 6.6044)*CHOOSE(CONTROL!$C$21, $C$9, 100%, $E$9)</f>
        <v>6.6044</v>
      </c>
      <c r="H85" s="14">
        <f>CHOOSE(CONTROL!$C$42, 6.6669, 6.6669) * CHOOSE(CONTROL!$C$21, $C$9, 100%, $E$9)</f>
        <v>6.6669</v>
      </c>
      <c r="I85" s="14">
        <f>CHOOSE(CONTROL!$C$42, 6.6159, 6.6159)* CHOOSE(CONTROL!$C$21, $C$9, 100%, $E$9)</f>
        <v>6.6158999999999999</v>
      </c>
      <c r="J85" s="14">
        <f>CHOOSE(CONTROL!$C$42, 6.5794, 6.5794)* CHOOSE(CONTROL!$C$21, $C$9, 100%, $E$9)</f>
        <v>6.5793999999999997</v>
      </c>
      <c r="K85" s="53">
        <f>CHOOSE(CONTROL!$C$42, 6.6121, 6.6121) * CHOOSE(CONTROL!$C$21, $C$9, 100%, $E$9)</f>
        <v>6.6120999999999999</v>
      </c>
      <c r="L85" s="14">
        <f>CHOOSE(CONTROL!$C$42, 7.2539, 7.2539) * CHOOSE(CONTROL!$C$21, $C$9, 100%, $E$9)</f>
        <v>7.2538999999999998</v>
      </c>
      <c r="M85" s="14">
        <f>CHOOSE(CONTROL!$C$42, 6.4523, 6.4523) * CHOOSE(CONTROL!$C$21, $C$9, 100%, $E$9)</f>
        <v>6.4523000000000001</v>
      </c>
      <c r="N85" s="14">
        <f>CHOOSE(CONTROL!$C$42, 6.4699, 6.4699) * CHOOSE(CONTROL!$C$21, $C$9, 100%, $E$9)</f>
        <v>6.4699</v>
      </c>
      <c r="O85" s="14">
        <f>CHOOSE(CONTROL!$C$42, 6.538, 6.538) * CHOOSE(CONTROL!$C$21, $C$9, 100%, $E$9)</f>
        <v>6.5380000000000003</v>
      </c>
      <c r="P85" s="14">
        <f>CHOOSE(CONTROL!$C$42, 6.4877, 6.4877) * CHOOSE(CONTROL!$C$21, $C$9, 100%, $E$9)</f>
        <v>6.4877000000000002</v>
      </c>
      <c r="Q85" s="14">
        <f>CHOOSE(CONTROL!$C$42, 7.1327, 7.1327) * CHOOSE(CONTROL!$C$21, $C$9, 100%, $E$9)</f>
        <v>7.1326999999999998</v>
      </c>
      <c r="R85" s="14">
        <f>CHOOSE(CONTROL!$C$42, 7.7375, 7.7375) * CHOOSE(CONTROL!$C$21, $C$9, 100%, $E$9)</f>
        <v>7.7374999999999998</v>
      </c>
      <c r="S85" s="14">
        <f>CHOOSE(CONTROL!$C$42, 6.2966, 6.2966) * CHOOSE(CONTROL!$C$21, $C$9, 100%, $E$9)</f>
        <v>6.2965999999999998</v>
      </c>
      <c r="T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" s="57">
        <f>(1000*CHOOSE(CONTROL!$C$42, 695, 695)*CHOOSE(CONTROL!$C$42, 0.5599, 0.5599)*CHOOSE(CONTROL!$C$42, 31, 31))/1000000</f>
        <v>12.063045499999998</v>
      </c>
      <c r="V85" s="57">
        <f>(1000*CHOOSE(CONTROL!$C$42, 500, 500)*CHOOSE(CONTROL!$C$42, 0.275, 0.275)*CHOOSE(CONTROL!$C$42, 31, 31))/1000000</f>
        <v>4.2625000000000002</v>
      </c>
      <c r="W85" s="57">
        <f>(1000*CHOOSE(CONTROL!$C$42, 0.1146, 0.1146)*CHOOSE(CONTROL!$C$42, 121.5, 121.5)*CHOOSE(CONTROL!$C$42, 31, 31))/1000000</f>
        <v>0.43164089999999994</v>
      </c>
      <c r="X85" s="57">
        <f>(31*0.1790888*100000/1000000)+(31*0.2374*100000/1000000)</f>
        <v>1.2911152800000001</v>
      </c>
      <c r="Y85" s="57"/>
      <c r="Z85" s="14"/>
      <c r="AA85" s="56"/>
      <c r="AB85" s="50">
        <f>(B85*122.58+C85*297.941+D85*89.177+E85*40.302+F85*40+G85*160+H85*0+I85*100+J85*300)/(122.58+297.941+89.177+40.302+0+40+160+100+300)</f>
        <v>6.5895420289565223</v>
      </c>
      <c r="AC85" s="45">
        <f>(M85*'RAP TEMPLATE-GAS AVAILABILITY'!O84+N85*'RAP TEMPLATE-GAS AVAILABILITY'!P84+O85*'RAP TEMPLATE-GAS AVAILABILITY'!Q84+P85*'RAP TEMPLATE-GAS AVAILABILITY'!R84)/('RAP TEMPLATE-GAS AVAILABILITY'!O84+'RAP TEMPLATE-GAS AVAILABILITY'!P84+'RAP TEMPLATE-GAS AVAILABILITY'!Q84+'RAP TEMPLATE-GAS AVAILABILITY'!R84)</f>
        <v>6.4972489208633091</v>
      </c>
    </row>
    <row r="86" spans="1:29" ht="15.75" x14ac:dyDescent="0.25">
      <c r="A86" s="13">
        <v>43497</v>
      </c>
      <c r="B86" s="14">
        <f>CHOOSE(CONTROL!$C$42, 6.692, 6.692) * CHOOSE(CONTROL!$C$21, $C$9, 100%, $E$9)</f>
        <v>6.6920000000000002</v>
      </c>
      <c r="C86" s="14">
        <f>CHOOSE(CONTROL!$C$42, 6.6971, 6.6971) * CHOOSE(CONTROL!$C$21, $C$9, 100%, $E$9)</f>
        <v>6.6970999999999998</v>
      </c>
      <c r="D86" s="14">
        <f>CHOOSE(CONTROL!$C$42, 6.7739, 6.7739) * CHOOSE(CONTROL!$C$21, $C$9, 100%, $E$9)</f>
        <v>6.7739000000000003</v>
      </c>
      <c r="E86" s="14">
        <f>CHOOSE(CONTROL!$C$42, 6.808, 6.808) * CHOOSE(CONTROL!$C$21, $C$9, 100%, $E$9)</f>
        <v>6.8079999999999998</v>
      </c>
      <c r="F86" s="14">
        <f>CHOOSE(CONTROL!$C$42, 6.7164, 6.7164)*CHOOSE(CONTROL!$C$21, $C$9, 100%, $E$9)</f>
        <v>6.7164000000000001</v>
      </c>
      <c r="G86" s="14">
        <f>CHOOSE(CONTROL!$C$42, 6.7343, 6.7343)*CHOOSE(CONTROL!$C$21, $C$9, 100%, $E$9)</f>
        <v>6.7343000000000002</v>
      </c>
      <c r="H86" s="14">
        <f>CHOOSE(CONTROL!$C$42, 6.7972, 6.7972) * CHOOSE(CONTROL!$C$21, $C$9, 100%, $E$9)</f>
        <v>6.7972000000000001</v>
      </c>
      <c r="I86" s="14">
        <f>CHOOSE(CONTROL!$C$42, 6.7467, 6.7467)* CHOOSE(CONTROL!$C$21, $C$9, 100%, $E$9)</f>
        <v>6.7466999999999997</v>
      </c>
      <c r="J86" s="14">
        <f>CHOOSE(CONTROL!$C$42, 6.7094, 6.7094)* CHOOSE(CONTROL!$C$21, $C$9, 100%, $E$9)</f>
        <v>6.7093999999999996</v>
      </c>
      <c r="K86" s="53">
        <f>CHOOSE(CONTROL!$C$42, 6.7428, 6.7428) * CHOOSE(CONTROL!$C$21, $C$9, 100%, $E$9)</f>
        <v>6.7427999999999999</v>
      </c>
      <c r="L86" s="14">
        <f>CHOOSE(CONTROL!$C$42, 7.3842, 7.3842) * CHOOSE(CONTROL!$C$21, $C$9, 100%, $E$9)</f>
        <v>7.3841999999999999</v>
      </c>
      <c r="M86" s="14">
        <f>CHOOSE(CONTROL!$C$42, 6.5796, 6.5796) * CHOOSE(CONTROL!$C$21, $C$9, 100%, $E$9)</f>
        <v>6.5796000000000001</v>
      </c>
      <c r="N86" s="14">
        <f>CHOOSE(CONTROL!$C$42, 6.5971, 6.5971) * CHOOSE(CONTROL!$C$21, $C$9, 100%, $E$9)</f>
        <v>6.5971000000000002</v>
      </c>
      <c r="O86" s="14">
        <f>CHOOSE(CONTROL!$C$42, 6.6657, 6.6657) * CHOOSE(CONTROL!$C$21, $C$9, 100%, $E$9)</f>
        <v>6.6657000000000002</v>
      </c>
      <c r="P86" s="14">
        <f>CHOOSE(CONTROL!$C$42, 6.6158, 6.6158) * CHOOSE(CONTROL!$C$21, $C$9, 100%, $E$9)</f>
        <v>6.6158000000000001</v>
      </c>
      <c r="Q86" s="14">
        <f>CHOOSE(CONTROL!$C$42, 7.2604, 7.2604) * CHOOSE(CONTROL!$C$21, $C$9, 100%, $E$9)</f>
        <v>7.2603999999999997</v>
      </c>
      <c r="R86" s="14">
        <f>CHOOSE(CONTROL!$C$42, 7.8655, 7.8655) * CHOOSE(CONTROL!$C$21, $C$9, 100%, $E$9)</f>
        <v>7.8654999999999999</v>
      </c>
      <c r="S86" s="14">
        <f>CHOOSE(CONTROL!$C$42, 6.4218, 6.4218) * CHOOSE(CONTROL!$C$21, $C$9, 100%, $E$9)</f>
        <v>6.4218000000000002</v>
      </c>
      <c r="T8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6" s="57">
        <f>(1000*CHOOSE(CONTROL!$C$42, 695, 695)*CHOOSE(CONTROL!$C$42, 0.5599, 0.5599)*CHOOSE(CONTROL!$C$42, 28, 28))/1000000</f>
        <v>10.895653999999999</v>
      </c>
      <c r="V86" s="57">
        <f>(1000*CHOOSE(CONTROL!$C$42, 500, 500)*CHOOSE(CONTROL!$C$42, 0.275, 0.275)*CHOOSE(CONTROL!$C$42, 28, 28))/1000000</f>
        <v>3.85</v>
      </c>
      <c r="W86" s="57">
        <f>(1000*CHOOSE(CONTROL!$C$42, 0.1146, 0.1146)*CHOOSE(CONTROL!$C$42, 121.5, 121.5)*CHOOSE(CONTROL!$C$42, 28, 28))/1000000</f>
        <v>0.38986920000000003</v>
      </c>
      <c r="X86" s="57">
        <f>(28*0.1790888*100000/1000000)+(28*0.2374*100000/1000000)</f>
        <v>1.16616864</v>
      </c>
      <c r="Y86" s="57"/>
      <c r="Z86" s="14"/>
      <c r="AA86" s="56"/>
      <c r="AB86" s="50">
        <f>(B86*122.58+C86*297.941+D86*89.177+E86*40.302+F86*40+G86*160+H86*0+I86*100+J86*300)/(122.58+297.941+89.177+40.302+0+40+160+100+300)</f>
        <v>6.7197670673043479</v>
      </c>
      <c r="AC86" s="45">
        <f>(M86*'RAP TEMPLATE-GAS AVAILABILITY'!O85+N86*'RAP TEMPLATE-GAS AVAILABILITY'!P85+O86*'RAP TEMPLATE-GAS AVAILABILITY'!Q85+P86*'RAP TEMPLATE-GAS AVAILABILITY'!R85)/('RAP TEMPLATE-GAS AVAILABILITY'!O85+'RAP TEMPLATE-GAS AVAILABILITY'!P85+'RAP TEMPLATE-GAS AVAILABILITY'!Q85+'RAP TEMPLATE-GAS AVAILABILITY'!R85)</f>
        <v>6.6248395683453234</v>
      </c>
    </row>
    <row r="87" spans="1:29" ht="15.75" x14ac:dyDescent="0.25">
      <c r="A87" s="13">
        <v>43525</v>
      </c>
      <c r="B87" s="14">
        <f>CHOOSE(CONTROL!$C$42, 6.5157, 6.5157) * CHOOSE(CONTROL!$C$21, $C$9, 100%, $E$9)</f>
        <v>6.5156999999999998</v>
      </c>
      <c r="C87" s="14">
        <f>CHOOSE(CONTROL!$C$42, 6.5208, 6.5208) * CHOOSE(CONTROL!$C$21, $C$9, 100%, $E$9)</f>
        <v>6.5208000000000004</v>
      </c>
      <c r="D87" s="14">
        <f>CHOOSE(CONTROL!$C$42, 6.5976, 6.5976) * CHOOSE(CONTROL!$C$21, $C$9, 100%, $E$9)</f>
        <v>6.5975999999999999</v>
      </c>
      <c r="E87" s="14">
        <f>CHOOSE(CONTROL!$C$42, 6.6317, 6.6317) * CHOOSE(CONTROL!$C$21, $C$9, 100%, $E$9)</f>
        <v>6.6317000000000004</v>
      </c>
      <c r="F87" s="14">
        <f>CHOOSE(CONTROL!$C$42, 6.5392, 6.5392)*CHOOSE(CONTROL!$C$21, $C$9, 100%, $E$9)</f>
        <v>6.5392000000000001</v>
      </c>
      <c r="G87" s="14">
        <f>CHOOSE(CONTROL!$C$42, 6.5568, 6.5568)*CHOOSE(CONTROL!$C$21, $C$9, 100%, $E$9)</f>
        <v>6.5568</v>
      </c>
      <c r="H87" s="14">
        <f>CHOOSE(CONTROL!$C$42, 6.6209, 6.6209) * CHOOSE(CONTROL!$C$21, $C$9, 100%, $E$9)</f>
        <v>6.6208999999999998</v>
      </c>
      <c r="I87" s="14">
        <f>CHOOSE(CONTROL!$C$42, 6.5698, 6.5698)* CHOOSE(CONTROL!$C$21, $C$9, 100%, $E$9)</f>
        <v>6.5697999999999999</v>
      </c>
      <c r="J87" s="14">
        <f>CHOOSE(CONTROL!$C$42, 6.5322, 6.5322)* CHOOSE(CONTROL!$C$21, $C$9, 100%, $E$9)</f>
        <v>6.5321999999999996</v>
      </c>
      <c r="K87" s="53">
        <f>CHOOSE(CONTROL!$C$42, 6.5659, 6.5659) * CHOOSE(CONTROL!$C$21, $C$9, 100%, $E$9)</f>
        <v>6.5659000000000001</v>
      </c>
      <c r="L87" s="14">
        <f>CHOOSE(CONTROL!$C$42, 7.2079, 7.2079) * CHOOSE(CONTROL!$C$21, $C$9, 100%, $E$9)</f>
        <v>7.2079000000000004</v>
      </c>
      <c r="M87" s="14">
        <f>CHOOSE(CONTROL!$C$42, 6.406, 6.406) * CHOOSE(CONTROL!$C$21, $C$9, 100%, $E$9)</f>
        <v>6.4059999999999997</v>
      </c>
      <c r="N87" s="14">
        <f>CHOOSE(CONTROL!$C$42, 6.4233, 6.4233) * CHOOSE(CONTROL!$C$21, $C$9, 100%, $E$9)</f>
        <v>6.4233000000000002</v>
      </c>
      <c r="O87" s="14">
        <f>CHOOSE(CONTROL!$C$42, 6.4929, 6.4929) * CHOOSE(CONTROL!$C$21, $C$9, 100%, $E$9)</f>
        <v>6.4928999999999997</v>
      </c>
      <c r="P87" s="14">
        <f>CHOOSE(CONTROL!$C$42, 6.4426, 6.4426) * CHOOSE(CONTROL!$C$21, $C$9, 100%, $E$9)</f>
        <v>6.4425999999999997</v>
      </c>
      <c r="Q87" s="14">
        <f>CHOOSE(CONTROL!$C$42, 7.0876, 7.0876) * CHOOSE(CONTROL!$C$21, $C$9, 100%, $E$9)</f>
        <v>7.0876000000000001</v>
      </c>
      <c r="R87" s="14">
        <f>CHOOSE(CONTROL!$C$42, 7.6923, 7.6923) * CHOOSE(CONTROL!$C$21, $C$9, 100%, $E$9)</f>
        <v>7.6923000000000004</v>
      </c>
      <c r="S87" s="14">
        <f>CHOOSE(CONTROL!$C$42, 6.2524, 6.2524) * CHOOSE(CONTROL!$C$21, $C$9, 100%, $E$9)</f>
        <v>6.2523999999999997</v>
      </c>
      <c r="T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" s="57">
        <f>(1000*CHOOSE(CONTROL!$C$42, 695, 695)*CHOOSE(CONTROL!$C$42, 0.5599, 0.5599)*CHOOSE(CONTROL!$C$42, 31, 31))/1000000</f>
        <v>12.063045499999998</v>
      </c>
      <c r="V87" s="57">
        <f>(1000*CHOOSE(CONTROL!$C$42, 500, 500)*CHOOSE(CONTROL!$C$42, 0.275, 0.275)*CHOOSE(CONTROL!$C$42, 31, 31))/1000000</f>
        <v>4.2625000000000002</v>
      </c>
      <c r="W87" s="57">
        <f>(1000*CHOOSE(CONTROL!$C$42, 0.1146, 0.1146)*CHOOSE(CONTROL!$C$42, 121.5, 121.5)*CHOOSE(CONTROL!$C$42, 31, 31))/1000000</f>
        <v>0.43164089999999994</v>
      </c>
      <c r="X87" s="57">
        <f>(31*0.1790888*100000/1000000)+(31*0.2374*100000/1000000)</f>
        <v>1.2911152800000001</v>
      </c>
      <c r="Y87" s="57"/>
      <c r="Z87" s="14"/>
      <c r="AA87" s="56"/>
      <c r="AB87" s="50">
        <f>(B87*122.58+C87*297.941+D87*89.177+E87*40.302+F87*40+G87*160+H87*0+I87*100+J87*300)/(122.58+297.941+89.177+40.302+0+40+160+100+300)</f>
        <v>6.5429818499130423</v>
      </c>
      <c r="AC87" s="45">
        <f>(M87*'RAP TEMPLATE-GAS AVAILABILITY'!O86+N87*'RAP TEMPLATE-GAS AVAILABILITY'!P86+O87*'RAP TEMPLATE-GAS AVAILABILITY'!Q86+P87*'RAP TEMPLATE-GAS AVAILABILITY'!R86)/('RAP TEMPLATE-GAS AVAILABILITY'!O86+'RAP TEMPLATE-GAS AVAILABILITY'!P86+'RAP TEMPLATE-GAS AVAILABILITY'!Q86+'RAP TEMPLATE-GAS AVAILABILITY'!R86)</f>
        <v>6.4516482014388483</v>
      </c>
    </row>
    <row r="88" spans="1:29" ht="15.75" x14ac:dyDescent="0.25">
      <c r="A88" s="13">
        <v>43556</v>
      </c>
      <c r="B88" s="14">
        <f>CHOOSE(CONTROL!$C$42, 6.5106, 6.5106) * CHOOSE(CONTROL!$C$21, $C$9, 100%, $E$9)</f>
        <v>6.5106000000000002</v>
      </c>
      <c r="C88" s="14">
        <f>CHOOSE(CONTROL!$C$42, 6.5151, 6.5151) * CHOOSE(CONTROL!$C$21, $C$9, 100%, $E$9)</f>
        <v>6.5151000000000003</v>
      </c>
      <c r="D88" s="14">
        <f>CHOOSE(CONTROL!$C$42, 6.7388, 6.7388) * CHOOSE(CONTROL!$C$21, $C$9, 100%, $E$9)</f>
        <v>6.7388000000000003</v>
      </c>
      <c r="E88" s="14">
        <f>CHOOSE(CONTROL!$C$42, 6.7709, 6.7709) * CHOOSE(CONTROL!$C$21, $C$9, 100%, $E$9)</f>
        <v>6.7709000000000001</v>
      </c>
      <c r="F88" s="14">
        <f>CHOOSE(CONTROL!$C$42, 6.5383, 6.5383)*CHOOSE(CONTROL!$C$21, $C$9, 100%, $E$9)</f>
        <v>6.5382999999999996</v>
      </c>
      <c r="G88" s="14">
        <f>CHOOSE(CONTROL!$C$42, 6.5552, 6.5552)*CHOOSE(CONTROL!$C$21, $C$9, 100%, $E$9)</f>
        <v>6.5552000000000001</v>
      </c>
      <c r="H88" s="14">
        <f>CHOOSE(CONTROL!$C$42, 6.7607, 6.7607) * CHOOSE(CONTROL!$C$21, $C$9, 100%, $E$9)</f>
        <v>6.7606999999999999</v>
      </c>
      <c r="I88" s="14">
        <f>CHOOSE(CONTROL!$C$42, 6.5603, 6.5603)* CHOOSE(CONTROL!$C$21, $C$9, 100%, $E$9)</f>
        <v>6.5602999999999998</v>
      </c>
      <c r="J88" s="14">
        <f>CHOOSE(CONTROL!$C$42, 6.5313, 6.5313)* CHOOSE(CONTROL!$C$21, $C$9, 100%, $E$9)</f>
        <v>6.5312999999999999</v>
      </c>
      <c r="K88" s="53">
        <f>CHOOSE(CONTROL!$C$42, 6.5564, 6.5564) * CHOOSE(CONTROL!$C$21, $C$9, 100%, $E$9)</f>
        <v>6.5564</v>
      </c>
      <c r="L88" s="14">
        <f>CHOOSE(CONTROL!$C$42, 7.3477, 7.3477) * CHOOSE(CONTROL!$C$21, $C$9, 100%, $E$9)</f>
        <v>7.3476999999999997</v>
      </c>
      <c r="M88" s="14">
        <f>CHOOSE(CONTROL!$C$42, 6.4052, 6.4052) * CHOOSE(CONTROL!$C$21, $C$9, 100%, $E$9)</f>
        <v>6.4051999999999998</v>
      </c>
      <c r="N88" s="14">
        <f>CHOOSE(CONTROL!$C$42, 6.4217, 6.4217) * CHOOSE(CONTROL!$C$21, $C$9, 100%, $E$9)</f>
        <v>6.4217000000000004</v>
      </c>
      <c r="O88" s="14">
        <f>CHOOSE(CONTROL!$C$42, 6.6299, 6.6299) * CHOOSE(CONTROL!$C$21, $C$9, 100%, $E$9)</f>
        <v>6.6299000000000001</v>
      </c>
      <c r="P88" s="14">
        <f>CHOOSE(CONTROL!$C$42, 6.4332, 6.4332) * CHOOSE(CONTROL!$C$21, $C$9, 100%, $E$9)</f>
        <v>6.4332000000000003</v>
      </c>
      <c r="Q88" s="14">
        <f>CHOOSE(CONTROL!$C$42, 7.2246, 7.2246) * CHOOSE(CONTROL!$C$21, $C$9, 100%, $E$9)</f>
        <v>7.2245999999999997</v>
      </c>
      <c r="R88" s="14">
        <f>CHOOSE(CONTROL!$C$42, 7.8296, 7.8296) * CHOOSE(CONTROL!$C$21, $C$9, 100%, $E$9)</f>
        <v>7.8296000000000001</v>
      </c>
      <c r="S88" s="14">
        <f>CHOOSE(CONTROL!$C$42, 6.2467, 6.2467) * CHOOSE(CONTROL!$C$21, $C$9, 100%, $E$9)</f>
        <v>6.2466999999999997</v>
      </c>
      <c r="T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" s="57">
        <f>(1000*CHOOSE(CONTROL!$C$42, 695, 695)*CHOOSE(CONTROL!$C$42, 0.5599, 0.5599)*CHOOSE(CONTROL!$C$42, 30, 30))/1000000</f>
        <v>11.673914999999997</v>
      </c>
      <c r="V88" s="57">
        <f>(1000*CHOOSE(CONTROL!$C$42, 500, 500)*CHOOSE(CONTROL!$C$42, 0.275, 0.275)*CHOOSE(CONTROL!$C$42, 30, 30))/1000000</f>
        <v>4.125</v>
      </c>
      <c r="W88" s="57">
        <f>(1000*CHOOSE(CONTROL!$C$42, 0.1146, 0.1146)*CHOOSE(CONTROL!$C$42, 121.5, 121.5)*CHOOSE(CONTROL!$C$42, 30, 30))/1000000</f>
        <v>0.417717</v>
      </c>
      <c r="X88" s="57">
        <f>(30*0.1790888*245000/1000000)+(30*0.2374*100000/1000000)</f>
        <v>2.0285026799999999</v>
      </c>
      <c r="Y88" s="57"/>
      <c r="Z88" s="14"/>
      <c r="AA88" s="56"/>
      <c r="AB88" s="50">
        <f>(B88*141.293+C88*267.993+D88*115.016+E88*89.698+F88*40+G88*185+H88*0+I88*100+J88*300)/(141.293+267.993+115.016+89.698+0+40+185+100+300)</f>
        <v>6.5681786998385805</v>
      </c>
      <c r="AC88" s="45">
        <f>(M88*'RAP TEMPLATE-GAS AVAILABILITY'!O87+N88*'RAP TEMPLATE-GAS AVAILABILITY'!P87+O88*'RAP TEMPLATE-GAS AVAILABILITY'!Q87+P88*'RAP TEMPLATE-GAS AVAILABILITY'!R87)/('RAP TEMPLATE-GAS AVAILABILITY'!O87+'RAP TEMPLATE-GAS AVAILABILITY'!P87+'RAP TEMPLATE-GAS AVAILABILITY'!Q87+'RAP TEMPLATE-GAS AVAILABILITY'!R87)</f>
        <v>6.4760726618705036</v>
      </c>
    </row>
    <row r="89" spans="1:29" ht="15.75" x14ac:dyDescent="0.25">
      <c r="A89" s="13">
        <v>43586</v>
      </c>
      <c r="B89" s="14">
        <f>CHOOSE(CONTROL!$C$42, 6.5829, 6.5829) * CHOOSE(CONTROL!$C$21, $C$9, 100%, $E$9)</f>
        <v>6.5829000000000004</v>
      </c>
      <c r="C89" s="14">
        <f>CHOOSE(CONTROL!$C$42, 6.5909, 6.5909) * CHOOSE(CONTROL!$C$21, $C$9, 100%, $E$9)</f>
        <v>6.5909000000000004</v>
      </c>
      <c r="D89" s="14">
        <f>CHOOSE(CONTROL!$C$42, 6.8115, 6.8115) * CHOOSE(CONTROL!$C$21, $C$9, 100%, $E$9)</f>
        <v>6.8114999999999997</v>
      </c>
      <c r="E89" s="14">
        <f>CHOOSE(CONTROL!$C$42, 6.8429, 6.8429) * CHOOSE(CONTROL!$C$21, $C$9, 100%, $E$9)</f>
        <v>6.8429000000000002</v>
      </c>
      <c r="F89" s="14">
        <f>CHOOSE(CONTROL!$C$42, 6.6091, 6.6091)*CHOOSE(CONTROL!$C$21, $C$9, 100%, $E$9)</f>
        <v>6.6090999999999998</v>
      </c>
      <c r="G89" s="14">
        <f>CHOOSE(CONTROL!$C$42, 6.6263, 6.6263)*CHOOSE(CONTROL!$C$21, $C$9, 100%, $E$9)</f>
        <v>6.6262999999999996</v>
      </c>
      <c r="H89" s="14">
        <f>CHOOSE(CONTROL!$C$42, 6.8316, 6.8316) * CHOOSE(CONTROL!$C$21, $C$9, 100%, $E$9)</f>
        <v>6.8315999999999999</v>
      </c>
      <c r="I89" s="14">
        <f>CHOOSE(CONTROL!$C$42, 6.6314, 6.6314)* CHOOSE(CONTROL!$C$21, $C$9, 100%, $E$9)</f>
        <v>6.6314000000000002</v>
      </c>
      <c r="J89" s="14">
        <f>CHOOSE(CONTROL!$C$42, 6.6021, 6.6021)* CHOOSE(CONTROL!$C$21, $C$9, 100%, $E$9)</f>
        <v>6.6021000000000001</v>
      </c>
      <c r="K89" s="53">
        <f>CHOOSE(CONTROL!$C$42, 6.6275, 6.6275) * CHOOSE(CONTROL!$C$21, $C$9, 100%, $E$9)</f>
        <v>6.6275000000000004</v>
      </c>
      <c r="L89" s="14">
        <f>CHOOSE(CONTROL!$C$42, 7.4186, 7.4186) * CHOOSE(CONTROL!$C$21, $C$9, 100%, $E$9)</f>
        <v>7.4185999999999996</v>
      </c>
      <c r="M89" s="14">
        <f>CHOOSE(CONTROL!$C$42, 6.4745, 6.4745) * CHOOSE(CONTROL!$C$21, $C$9, 100%, $E$9)</f>
        <v>6.4744999999999999</v>
      </c>
      <c r="N89" s="14">
        <f>CHOOSE(CONTROL!$C$42, 6.4913, 6.4913) * CHOOSE(CONTROL!$C$21, $C$9, 100%, $E$9)</f>
        <v>6.4912999999999998</v>
      </c>
      <c r="O89" s="14">
        <f>CHOOSE(CONTROL!$C$42, 6.6993, 6.6993) * CHOOSE(CONTROL!$C$21, $C$9, 100%, $E$9)</f>
        <v>6.6993</v>
      </c>
      <c r="P89" s="14">
        <f>CHOOSE(CONTROL!$C$42, 6.5029, 6.5029) * CHOOSE(CONTROL!$C$21, $C$9, 100%, $E$9)</f>
        <v>6.5029000000000003</v>
      </c>
      <c r="Q89" s="14">
        <f>CHOOSE(CONTROL!$C$42, 7.294, 7.294) * CHOOSE(CONTROL!$C$21, $C$9, 100%, $E$9)</f>
        <v>7.2939999999999996</v>
      </c>
      <c r="R89" s="14">
        <f>CHOOSE(CONTROL!$C$42, 7.8992, 7.8992) * CHOOSE(CONTROL!$C$21, $C$9, 100%, $E$9)</f>
        <v>7.8992000000000004</v>
      </c>
      <c r="S89" s="14">
        <f>CHOOSE(CONTROL!$C$42, 6.3148, 6.3148) * CHOOSE(CONTROL!$C$21, $C$9, 100%, $E$9)</f>
        <v>6.3148</v>
      </c>
      <c r="T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" s="57">
        <f>(1000*CHOOSE(CONTROL!$C$42, 695, 695)*CHOOSE(CONTROL!$C$42, 0.5599, 0.5599)*CHOOSE(CONTROL!$C$42, 31, 31))/1000000</f>
        <v>12.063045499999998</v>
      </c>
      <c r="V89" s="57">
        <f>(1000*CHOOSE(CONTROL!$C$42, 500, 500)*CHOOSE(CONTROL!$C$42, 0.275, 0.275)*CHOOSE(CONTROL!$C$42, 31, 31))/1000000</f>
        <v>4.2625000000000002</v>
      </c>
      <c r="W89" s="57">
        <f>(1000*CHOOSE(CONTROL!$C$42, 0.1146, 0.1146)*CHOOSE(CONTROL!$C$42, 121.5, 121.5)*CHOOSE(CONTROL!$C$42, 31, 31))/1000000</f>
        <v>0.43164089999999994</v>
      </c>
      <c r="X89" s="57">
        <f>(31*0.1790888*245000/1000000)+(31*0.2374*100000/1000000)</f>
        <v>2.0961194359999999</v>
      </c>
      <c r="Y89" s="57"/>
      <c r="Z89" s="14"/>
      <c r="AA89" s="56"/>
      <c r="AB89" s="50">
        <f>(B89*194.205+C89*267.466+D89*133.845+E89*53.484+F89*40+G89*185+H89*0+I89*100+J89*300)/(194.205+267.466+133.845+53.484+0+40+185+100+300)</f>
        <v>6.6349639992150715</v>
      </c>
      <c r="AC89" s="45">
        <f>(M89*'RAP TEMPLATE-GAS AVAILABILITY'!O88+N89*'RAP TEMPLATE-GAS AVAILABILITY'!P88+O89*'RAP TEMPLATE-GAS AVAILABILITY'!Q88+P89*'RAP TEMPLATE-GAS AVAILABILITY'!R88)/('RAP TEMPLATE-GAS AVAILABILITY'!O88+'RAP TEMPLATE-GAS AVAILABILITY'!P88+'RAP TEMPLATE-GAS AVAILABILITY'!Q88+'RAP TEMPLATE-GAS AVAILABILITY'!R88)</f>
        <v>6.5455273381294958</v>
      </c>
    </row>
    <row r="90" spans="1:29" ht="15.75" x14ac:dyDescent="0.25">
      <c r="A90" s="13">
        <v>43617</v>
      </c>
      <c r="B90" s="14">
        <f>CHOOSE(CONTROL!$C$42, 6.7832, 6.7832) * CHOOSE(CONTROL!$C$21, $C$9, 100%, $E$9)</f>
        <v>6.7831999999999999</v>
      </c>
      <c r="C90" s="14">
        <f>CHOOSE(CONTROL!$C$42, 6.7912, 6.7912) * CHOOSE(CONTROL!$C$21, $C$9, 100%, $E$9)</f>
        <v>6.7911999999999999</v>
      </c>
      <c r="D90" s="14">
        <f>CHOOSE(CONTROL!$C$42, 7.0118, 7.0118) * CHOOSE(CONTROL!$C$21, $C$9, 100%, $E$9)</f>
        <v>7.0118</v>
      </c>
      <c r="E90" s="14">
        <f>CHOOSE(CONTROL!$C$42, 7.0433, 7.0433) * CHOOSE(CONTROL!$C$21, $C$9, 100%, $E$9)</f>
        <v>7.0433000000000003</v>
      </c>
      <c r="F90" s="14">
        <f>CHOOSE(CONTROL!$C$42, 6.8098, 6.8098)*CHOOSE(CONTROL!$C$21, $C$9, 100%, $E$9)</f>
        <v>6.8098000000000001</v>
      </c>
      <c r="G90" s="14">
        <f>CHOOSE(CONTROL!$C$42, 6.827, 6.827)*CHOOSE(CONTROL!$C$21, $C$9, 100%, $E$9)</f>
        <v>6.827</v>
      </c>
      <c r="H90" s="14">
        <f>CHOOSE(CONTROL!$C$42, 7.0319, 7.0319) * CHOOSE(CONTROL!$C$21, $C$9, 100%, $E$9)</f>
        <v>7.0319000000000003</v>
      </c>
      <c r="I90" s="14">
        <f>CHOOSE(CONTROL!$C$42, 6.8323, 6.8323)* CHOOSE(CONTROL!$C$21, $C$9, 100%, $E$9)</f>
        <v>6.8323</v>
      </c>
      <c r="J90" s="14">
        <f>CHOOSE(CONTROL!$C$42, 6.8028, 6.8028)* CHOOSE(CONTROL!$C$21, $C$9, 100%, $E$9)</f>
        <v>6.8028000000000004</v>
      </c>
      <c r="K90" s="53">
        <f>CHOOSE(CONTROL!$C$42, 6.8284, 6.8284) * CHOOSE(CONTROL!$C$21, $C$9, 100%, $E$9)</f>
        <v>6.8284000000000002</v>
      </c>
      <c r="L90" s="14">
        <f>CHOOSE(CONTROL!$C$42, 7.6189, 7.6189) * CHOOSE(CONTROL!$C$21, $C$9, 100%, $E$9)</f>
        <v>7.6189</v>
      </c>
      <c r="M90" s="14">
        <f>CHOOSE(CONTROL!$C$42, 6.6711, 6.6711) * CHOOSE(CONTROL!$C$21, $C$9, 100%, $E$9)</f>
        <v>6.6711</v>
      </c>
      <c r="N90" s="14">
        <f>CHOOSE(CONTROL!$C$42, 6.688, 6.688) * CHOOSE(CONTROL!$C$21, $C$9, 100%, $E$9)</f>
        <v>6.6879999999999997</v>
      </c>
      <c r="O90" s="14">
        <f>CHOOSE(CONTROL!$C$42, 6.8955, 6.8955) * CHOOSE(CONTROL!$C$21, $C$9, 100%, $E$9)</f>
        <v>6.8955000000000002</v>
      </c>
      <c r="P90" s="14">
        <f>CHOOSE(CONTROL!$C$42, 6.6997, 6.6997) * CHOOSE(CONTROL!$C$21, $C$9, 100%, $E$9)</f>
        <v>6.6997</v>
      </c>
      <c r="Q90" s="14">
        <f>CHOOSE(CONTROL!$C$42, 7.4902, 7.4902) * CHOOSE(CONTROL!$C$21, $C$9, 100%, $E$9)</f>
        <v>7.4901999999999997</v>
      </c>
      <c r="R90" s="14">
        <f>CHOOSE(CONTROL!$C$42, 8.0959, 8.0959) * CHOOSE(CONTROL!$C$21, $C$9, 100%, $E$9)</f>
        <v>8.0959000000000003</v>
      </c>
      <c r="S90" s="14">
        <f>CHOOSE(CONTROL!$C$42, 6.5073, 6.5073) * CHOOSE(CONTROL!$C$21, $C$9, 100%, $E$9)</f>
        <v>6.5072999999999999</v>
      </c>
      <c r="T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" s="57">
        <f>(1000*CHOOSE(CONTROL!$C$42, 695, 695)*CHOOSE(CONTROL!$C$42, 0.5599, 0.5599)*CHOOSE(CONTROL!$C$42, 30, 30))/1000000</f>
        <v>11.673914999999997</v>
      </c>
      <c r="V90" s="57">
        <f>(1000*CHOOSE(CONTROL!$C$42, 500, 500)*CHOOSE(CONTROL!$C$42, 0.275, 0.275)*CHOOSE(CONTROL!$C$42, 30, 30))/1000000</f>
        <v>4.125</v>
      </c>
      <c r="W90" s="57">
        <f>(1000*CHOOSE(CONTROL!$C$42, 0.1146, 0.1146)*CHOOSE(CONTROL!$C$42, 121.5, 121.5)*CHOOSE(CONTROL!$C$42, 30, 30))/1000000</f>
        <v>0.417717</v>
      </c>
      <c r="X90" s="57">
        <f>(30*0.1790888*245000/1000000)+(30*0.2374*100000/1000000)</f>
        <v>2.0285026799999999</v>
      </c>
      <c r="Y90" s="57"/>
      <c r="Z90" s="14"/>
      <c r="AA90" s="56"/>
      <c r="AB90" s="50">
        <f>(B90*194.205+C90*267.466+D90*133.845+E90*53.484+F90*40+G90*185+H90*0+I90*100+J90*300)/(194.205+267.466+133.845+53.484+0+40+185+100+300)</f>
        <v>6.8354801282574567</v>
      </c>
      <c r="AC90" s="45">
        <f>(M90*'RAP TEMPLATE-GAS AVAILABILITY'!O89+N90*'RAP TEMPLATE-GAS AVAILABILITY'!P89+O90*'RAP TEMPLATE-GAS AVAILABILITY'!Q89+P90*'RAP TEMPLATE-GAS AVAILABILITY'!R89)/('RAP TEMPLATE-GAS AVAILABILITY'!O89+'RAP TEMPLATE-GAS AVAILABILITY'!P89+'RAP TEMPLATE-GAS AVAILABILITY'!Q89+'RAP TEMPLATE-GAS AVAILABILITY'!R89)</f>
        <v>6.74206690647482</v>
      </c>
    </row>
    <row r="91" spans="1:29" ht="15.75" x14ac:dyDescent="0.25">
      <c r="A91" s="13">
        <v>43647</v>
      </c>
      <c r="B91" s="14">
        <f>CHOOSE(CONTROL!$C$42, 6.667, 6.667) * CHOOSE(CONTROL!$C$21, $C$9, 100%, $E$9)</f>
        <v>6.6669999999999998</v>
      </c>
      <c r="C91" s="14">
        <f>CHOOSE(CONTROL!$C$42, 6.675, 6.675) * CHOOSE(CONTROL!$C$21, $C$9, 100%, $E$9)</f>
        <v>6.6749999999999998</v>
      </c>
      <c r="D91" s="14">
        <f>CHOOSE(CONTROL!$C$42, 6.8956, 6.8956) * CHOOSE(CONTROL!$C$21, $C$9, 100%, $E$9)</f>
        <v>6.8956</v>
      </c>
      <c r="E91" s="14">
        <f>CHOOSE(CONTROL!$C$42, 6.927, 6.927) * CHOOSE(CONTROL!$C$21, $C$9, 100%, $E$9)</f>
        <v>6.9269999999999996</v>
      </c>
      <c r="F91" s="14">
        <f>CHOOSE(CONTROL!$C$42, 6.694, 6.694)*CHOOSE(CONTROL!$C$21, $C$9, 100%, $E$9)</f>
        <v>6.694</v>
      </c>
      <c r="G91" s="14">
        <f>CHOOSE(CONTROL!$C$42, 6.7114, 6.7114)*CHOOSE(CONTROL!$C$21, $C$9, 100%, $E$9)</f>
        <v>6.7114000000000003</v>
      </c>
      <c r="H91" s="14">
        <f>CHOOSE(CONTROL!$C$42, 6.9157, 6.9157) * CHOOSE(CONTROL!$C$21, $C$9, 100%, $E$9)</f>
        <v>6.9157000000000002</v>
      </c>
      <c r="I91" s="14">
        <f>CHOOSE(CONTROL!$C$42, 6.7157, 6.7157)* CHOOSE(CONTROL!$C$21, $C$9, 100%, $E$9)</f>
        <v>6.7157</v>
      </c>
      <c r="J91" s="14">
        <f>CHOOSE(CONTROL!$C$42, 6.687, 6.687)* CHOOSE(CONTROL!$C$21, $C$9, 100%, $E$9)</f>
        <v>6.6870000000000003</v>
      </c>
      <c r="K91" s="53">
        <f>CHOOSE(CONTROL!$C$42, 6.7118, 6.7118) * CHOOSE(CONTROL!$C$21, $C$9, 100%, $E$9)</f>
        <v>6.7118000000000002</v>
      </c>
      <c r="L91" s="14">
        <f>CHOOSE(CONTROL!$C$42, 7.5027, 7.5027) * CHOOSE(CONTROL!$C$21, $C$9, 100%, $E$9)</f>
        <v>7.5026999999999999</v>
      </c>
      <c r="M91" s="14">
        <f>CHOOSE(CONTROL!$C$42, 6.5577, 6.5577) * CHOOSE(CONTROL!$C$21, $C$9, 100%, $E$9)</f>
        <v>6.5576999999999996</v>
      </c>
      <c r="N91" s="14">
        <f>CHOOSE(CONTROL!$C$42, 6.5747, 6.5747) * CHOOSE(CONTROL!$C$21, $C$9, 100%, $E$9)</f>
        <v>6.5747</v>
      </c>
      <c r="O91" s="14">
        <f>CHOOSE(CONTROL!$C$42, 6.7817, 6.7817) * CHOOSE(CONTROL!$C$21, $C$9, 100%, $E$9)</f>
        <v>6.7816999999999998</v>
      </c>
      <c r="P91" s="14">
        <f>CHOOSE(CONTROL!$C$42, 6.5855, 6.5855) * CHOOSE(CONTROL!$C$21, $C$9, 100%, $E$9)</f>
        <v>6.5854999999999997</v>
      </c>
      <c r="Q91" s="14">
        <f>CHOOSE(CONTROL!$C$42, 7.3764, 7.3764) * CHOOSE(CONTROL!$C$21, $C$9, 100%, $E$9)</f>
        <v>7.3764000000000003</v>
      </c>
      <c r="R91" s="14">
        <f>CHOOSE(CONTROL!$C$42, 7.9818, 7.9818) * CHOOSE(CONTROL!$C$21, $C$9, 100%, $E$9)</f>
        <v>7.9817999999999998</v>
      </c>
      <c r="S91" s="14">
        <f>CHOOSE(CONTROL!$C$42, 6.3956, 6.3956) * CHOOSE(CONTROL!$C$21, $C$9, 100%, $E$9)</f>
        <v>6.3956</v>
      </c>
      <c r="T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" s="57">
        <f>(1000*CHOOSE(CONTROL!$C$42, 695, 695)*CHOOSE(CONTROL!$C$42, 0.5599, 0.5599)*CHOOSE(CONTROL!$C$42, 31, 31))/1000000</f>
        <v>12.063045499999998</v>
      </c>
      <c r="V91" s="57">
        <f>(1000*CHOOSE(CONTROL!$C$42, 500, 500)*CHOOSE(CONTROL!$C$42, 0.275, 0.275)*CHOOSE(CONTROL!$C$42, 31, 31))/1000000</f>
        <v>4.2625000000000002</v>
      </c>
      <c r="W91" s="57">
        <f>(1000*CHOOSE(CONTROL!$C$42, 0.1146, 0.1146)*CHOOSE(CONTROL!$C$42, 121.5, 121.5)*CHOOSE(CONTROL!$C$42, 31, 31))/1000000</f>
        <v>0.43164089999999994</v>
      </c>
      <c r="X91" s="57">
        <f>(31*0.1790888*245000/1000000)+(31*0.2374*100000/1000000)</f>
        <v>2.0961194359999999</v>
      </c>
      <c r="Y91" s="57"/>
      <c r="Z91" s="14"/>
      <c r="AA91" s="56"/>
      <c r="AB91" s="50">
        <f>(B91*194.205+C91*267.466+D91*133.845+E91*53.484+F91*40+G91*185+H91*0+I91*100+J91*300)/(194.205+267.466+133.845+53.484+0+40+185+100+300)</f>
        <v>6.7194384105180527</v>
      </c>
      <c r="AC91" s="45">
        <f>(M91*'RAP TEMPLATE-GAS AVAILABILITY'!O90+N91*'RAP TEMPLATE-GAS AVAILABILITY'!P90+O91*'RAP TEMPLATE-GAS AVAILABILITY'!Q90+P91*'RAP TEMPLATE-GAS AVAILABILITY'!R90)/('RAP TEMPLATE-GAS AVAILABILITY'!O90+'RAP TEMPLATE-GAS AVAILABILITY'!P90+'RAP TEMPLATE-GAS AVAILABILITY'!Q90+'RAP TEMPLATE-GAS AVAILABILITY'!R90)</f>
        <v>6.6284625899280574</v>
      </c>
    </row>
    <row r="92" spans="1:29" ht="15.75" x14ac:dyDescent="0.25">
      <c r="A92" s="13">
        <v>43678</v>
      </c>
      <c r="B92" s="14">
        <f>CHOOSE(CONTROL!$C$42, 6.3513, 6.3513) * CHOOSE(CONTROL!$C$21, $C$9, 100%, $E$9)</f>
        <v>6.3513000000000002</v>
      </c>
      <c r="C92" s="14">
        <f>CHOOSE(CONTROL!$C$42, 6.3593, 6.3593) * CHOOSE(CONTROL!$C$21, $C$9, 100%, $E$9)</f>
        <v>6.3593000000000002</v>
      </c>
      <c r="D92" s="14">
        <f>CHOOSE(CONTROL!$C$42, 6.5799, 6.5799) * CHOOSE(CONTROL!$C$21, $C$9, 100%, $E$9)</f>
        <v>6.5799000000000003</v>
      </c>
      <c r="E92" s="14">
        <f>CHOOSE(CONTROL!$C$42, 6.6113, 6.6113) * CHOOSE(CONTROL!$C$21, $C$9, 100%, $E$9)</f>
        <v>6.6113</v>
      </c>
      <c r="F92" s="14">
        <f>CHOOSE(CONTROL!$C$42, 6.3786, 6.3786)*CHOOSE(CONTROL!$C$21, $C$9, 100%, $E$9)</f>
        <v>6.3785999999999996</v>
      </c>
      <c r="G92" s="14">
        <f>CHOOSE(CONTROL!$C$42, 6.396, 6.396)*CHOOSE(CONTROL!$C$21, $C$9, 100%, $E$9)</f>
        <v>6.3959999999999999</v>
      </c>
      <c r="H92" s="14">
        <f>CHOOSE(CONTROL!$C$42, 6.6, 6.6) * CHOOSE(CONTROL!$C$21, $C$9, 100%, $E$9)</f>
        <v>6.6</v>
      </c>
      <c r="I92" s="14">
        <f>CHOOSE(CONTROL!$C$42, 6.399, 6.399)* CHOOSE(CONTROL!$C$21, $C$9, 100%, $E$9)</f>
        <v>6.399</v>
      </c>
      <c r="J92" s="14">
        <f>CHOOSE(CONTROL!$C$42, 6.3716, 6.3716)* CHOOSE(CONTROL!$C$21, $C$9, 100%, $E$9)</f>
        <v>6.3715999999999999</v>
      </c>
      <c r="K92" s="53">
        <f>CHOOSE(CONTROL!$C$42, 6.3951, 6.3951) * CHOOSE(CONTROL!$C$21, $C$9, 100%, $E$9)</f>
        <v>6.3951000000000002</v>
      </c>
      <c r="L92" s="14">
        <f>CHOOSE(CONTROL!$C$42, 7.187, 7.187) * CHOOSE(CONTROL!$C$21, $C$9, 100%, $E$9)</f>
        <v>7.1870000000000003</v>
      </c>
      <c r="M92" s="14">
        <f>CHOOSE(CONTROL!$C$42, 6.2488, 6.2488) * CHOOSE(CONTROL!$C$21, $C$9, 100%, $E$9)</f>
        <v>6.2488000000000001</v>
      </c>
      <c r="N92" s="14">
        <f>CHOOSE(CONTROL!$C$42, 6.2658, 6.2658) * CHOOSE(CONTROL!$C$21, $C$9, 100%, $E$9)</f>
        <v>6.2657999999999996</v>
      </c>
      <c r="O92" s="14">
        <f>CHOOSE(CONTROL!$C$42, 6.4724, 6.4724) * CHOOSE(CONTROL!$C$21, $C$9, 100%, $E$9)</f>
        <v>6.4724000000000004</v>
      </c>
      <c r="P92" s="14">
        <f>CHOOSE(CONTROL!$C$42, 6.2753, 6.2753) * CHOOSE(CONTROL!$C$21, $C$9, 100%, $E$9)</f>
        <v>6.2752999999999997</v>
      </c>
      <c r="Q92" s="14">
        <f>CHOOSE(CONTROL!$C$42, 7.0671, 7.0671) * CHOOSE(CONTROL!$C$21, $C$9, 100%, $E$9)</f>
        <v>7.0670999999999999</v>
      </c>
      <c r="R92" s="14">
        <f>CHOOSE(CONTROL!$C$42, 7.6718, 7.6718) * CHOOSE(CONTROL!$C$21, $C$9, 100%, $E$9)</f>
        <v>7.6718000000000002</v>
      </c>
      <c r="S92" s="14">
        <f>CHOOSE(CONTROL!$C$42, 6.0923, 6.0923) * CHOOSE(CONTROL!$C$21, $C$9, 100%, $E$9)</f>
        <v>6.0922999999999998</v>
      </c>
      <c r="T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" s="57">
        <f>(1000*CHOOSE(CONTROL!$C$42, 695, 695)*CHOOSE(CONTROL!$C$42, 0.5599, 0.5599)*CHOOSE(CONTROL!$C$42, 31, 31))/1000000</f>
        <v>12.063045499999998</v>
      </c>
      <c r="V92" s="57">
        <f>(1000*CHOOSE(CONTROL!$C$42, 500, 500)*CHOOSE(CONTROL!$C$42, 0.275, 0.275)*CHOOSE(CONTROL!$C$42, 31, 31))/1000000</f>
        <v>4.2625000000000002</v>
      </c>
      <c r="W92" s="57">
        <f>(1000*CHOOSE(CONTROL!$C$42, 0.1146, 0.1146)*CHOOSE(CONTROL!$C$42, 121.5, 121.5)*CHOOSE(CONTROL!$C$42, 31, 31))/1000000</f>
        <v>0.43164089999999994</v>
      </c>
      <c r="X92" s="57">
        <f>(31*0.1790888*245000/1000000)+(31*0.2374*100000/1000000)</f>
        <v>2.0961194359999999</v>
      </c>
      <c r="Y92" s="57"/>
      <c r="Z92" s="14"/>
      <c r="AA92" s="56"/>
      <c r="AB92" s="50">
        <f>(B92*194.205+C92*267.466+D92*133.845+E92*53.484+F92*40+G92*185+H92*0+I92*100+J92*300)/(194.205+267.466+133.845+53.484+0+40+185+100+300)</f>
        <v>6.4037835439560435</v>
      </c>
      <c r="AC92" s="45">
        <f>(M92*'RAP TEMPLATE-GAS AVAILABILITY'!O91+N92*'RAP TEMPLATE-GAS AVAILABILITY'!P91+O92*'RAP TEMPLATE-GAS AVAILABILITY'!Q91+P92*'RAP TEMPLATE-GAS AVAILABILITY'!R91)/('RAP TEMPLATE-GAS AVAILABILITY'!O91+'RAP TEMPLATE-GAS AVAILABILITY'!P91+'RAP TEMPLATE-GAS AVAILABILITY'!Q91+'RAP TEMPLATE-GAS AVAILABILITY'!R91)</f>
        <v>6.3192633093525181</v>
      </c>
    </row>
    <row r="93" spans="1:29" ht="15.75" x14ac:dyDescent="0.25">
      <c r="A93" s="13">
        <v>43709</v>
      </c>
      <c r="B93" s="14">
        <f>CHOOSE(CONTROL!$C$42, 5.9608, 5.9608) * CHOOSE(CONTROL!$C$21, $C$9, 100%, $E$9)</f>
        <v>5.9607999999999999</v>
      </c>
      <c r="C93" s="14">
        <f>CHOOSE(CONTROL!$C$42, 5.9688, 5.9688) * CHOOSE(CONTROL!$C$21, $C$9, 100%, $E$9)</f>
        <v>5.9687999999999999</v>
      </c>
      <c r="D93" s="14">
        <f>CHOOSE(CONTROL!$C$42, 6.1894, 6.1894) * CHOOSE(CONTROL!$C$21, $C$9, 100%, $E$9)</f>
        <v>6.1894</v>
      </c>
      <c r="E93" s="14">
        <f>CHOOSE(CONTROL!$C$42, 6.2209, 6.2209) * CHOOSE(CONTROL!$C$21, $C$9, 100%, $E$9)</f>
        <v>6.2209000000000003</v>
      </c>
      <c r="F93" s="14">
        <f>CHOOSE(CONTROL!$C$42, 5.9881, 5.9881)*CHOOSE(CONTROL!$C$21, $C$9, 100%, $E$9)</f>
        <v>5.9881000000000002</v>
      </c>
      <c r="G93" s="14">
        <f>CHOOSE(CONTROL!$C$42, 6.0056, 6.0056)*CHOOSE(CONTROL!$C$21, $C$9, 100%, $E$9)</f>
        <v>6.0056000000000003</v>
      </c>
      <c r="H93" s="14">
        <f>CHOOSE(CONTROL!$C$42, 6.2095, 6.2095) * CHOOSE(CONTROL!$C$21, $C$9, 100%, $E$9)</f>
        <v>6.2095000000000002</v>
      </c>
      <c r="I93" s="14">
        <f>CHOOSE(CONTROL!$C$42, 6.0073, 6.0073)* CHOOSE(CONTROL!$C$21, $C$9, 100%, $E$9)</f>
        <v>6.0072999999999999</v>
      </c>
      <c r="J93" s="14">
        <f>CHOOSE(CONTROL!$C$42, 5.9811, 5.9811)* CHOOSE(CONTROL!$C$21, $C$9, 100%, $E$9)</f>
        <v>5.9810999999999996</v>
      </c>
      <c r="K93" s="53">
        <f>CHOOSE(CONTROL!$C$42, 6.0035, 6.0035) * CHOOSE(CONTROL!$C$21, $C$9, 100%, $E$9)</f>
        <v>6.0034999999999998</v>
      </c>
      <c r="L93" s="14">
        <f>CHOOSE(CONTROL!$C$42, 6.7965, 6.7965) * CHOOSE(CONTROL!$C$21, $C$9, 100%, $E$9)</f>
        <v>6.7965</v>
      </c>
      <c r="M93" s="14">
        <f>CHOOSE(CONTROL!$C$42, 5.8663, 5.8663) * CHOOSE(CONTROL!$C$21, $C$9, 100%, $E$9)</f>
        <v>5.8662999999999998</v>
      </c>
      <c r="N93" s="14">
        <f>CHOOSE(CONTROL!$C$42, 5.8833, 5.8833) * CHOOSE(CONTROL!$C$21, $C$9, 100%, $E$9)</f>
        <v>5.8833000000000002</v>
      </c>
      <c r="O93" s="14">
        <f>CHOOSE(CONTROL!$C$42, 6.09, 6.09) * CHOOSE(CONTROL!$C$21, $C$9, 100%, $E$9)</f>
        <v>6.09</v>
      </c>
      <c r="P93" s="14">
        <f>CHOOSE(CONTROL!$C$42, 5.8917, 5.8917) * CHOOSE(CONTROL!$C$21, $C$9, 100%, $E$9)</f>
        <v>5.8917000000000002</v>
      </c>
      <c r="Q93" s="14">
        <f>CHOOSE(CONTROL!$C$42, 6.6847, 6.6847) * CHOOSE(CONTROL!$C$21, $C$9, 100%, $E$9)</f>
        <v>6.6847000000000003</v>
      </c>
      <c r="R93" s="14">
        <f>CHOOSE(CONTROL!$C$42, 7.2884, 7.2884) * CHOOSE(CONTROL!$C$21, $C$9, 100%, $E$9)</f>
        <v>7.2884000000000002</v>
      </c>
      <c r="S93" s="14">
        <f>CHOOSE(CONTROL!$C$42, 5.7171, 5.7171) * CHOOSE(CONTROL!$C$21, $C$9, 100%, $E$9)</f>
        <v>5.7171000000000003</v>
      </c>
      <c r="T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" s="57">
        <f>(1000*CHOOSE(CONTROL!$C$42, 695, 695)*CHOOSE(CONTROL!$C$42, 0.5599, 0.5599)*CHOOSE(CONTROL!$C$42, 30, 30))/1000000</f>
        <v>11.673914999999997</v>
      </c>
      <c r="V93" s="57">
        <f>(1000*CHOOSE(CONTROL!$C$42, 500, 500)*CHOOSE(CONTROL!$C$42, 0.275, 0.275)*CHOOSE(CONTROL!$C$42, 30, 30))/1000000</f>
        <v>4.125</v>
      </c>
      <c r="W93" s="57">
        <f>(1000*CHOOSE(CONTROL!$C$42, 0.1146, 0.1146)*CHOOSE(CONTROL!$C$42, 121.5, 121.5)*CHOOSE(CONTROL!$C$42, 30, 30))/1000000</f>
        <v>0.417717</v>
      </c>
      <c r="X93" s="57">
        <f>(30*0.1790888*245000/1000000)+(30*0.2374*100000/1000000)</f>
        <v>2.0285026799999999</v>
      </c>
      <c r="Y93" s="57"/>
      <c r="Z93" s="14"/>
      <c r="AA93" s="56"/>
      <c r="AB93" s="50">
        <f>(B93*194.205+C93*267.466+D93*133.845+E93*53.484+F93*40+G93*185+H93*0+I93*100+J93*300)/(194.205+267.466+133.845+53.484+0+40+185+100+300)</f>
        <v>6.013208071742544</v>
      </c>
      <c r="AC93" s="45">
        <f>(M93*'RAP TEMPLATE-GAS AVAILABILITY'!O92+N93*'RAP TEMPLATE-GAS AVAILABILITY'!P92+O93*'RAP TEMPLATE-GAS AVAILABILITY'!Q92+P93*'RAP TEMPLATE-GAS AVAILABILITY'!R92)/('RAP TEMPLATE-GAS AVAILABILITY'!O92+'RAP TEMPLATE-GAS AVAILABILITY'!P92+'RAP TEMPLATE-GAS AVAILABILITY'!Q92+'RAP TEMPLATE-GAS AVAILABILITY'!R92)</f>
        <v>5.9366330935251801</v>
      </c>
    </row>
    <row r="94" spans="1:29" ht="15.75" x14ac:dyDescent="0.25">
      <c r="A94" s="13">
        <v>43739</v>
      </c>
      <c r="B94" s="14">
        <f>CHOOSE(CONTROL!$C$42, 5.8503, 5.8503) * CHOOSE(CONTROL!$C$21, $C$9, 100%, $E$9)</f>
        <v>5.8502999999999998</v>
      </c>
      <c r="C94" s="14">
        <f>CHOOSE(CONTROL!$C$42, 5.8556, 5.8556) * CHOOSE(CONTROL!$C$21, $C$9, 100%, $E$9)</f>
        <v>5.8555999999999999</v>
      </c>
      <c r="D94" s="14">
        <f>CHOOSE(CONTROL!$C$42, 6.0811, 6.0811) * CHOOSE(CONTROL!$C$21, $C$9, 100%, $E$9)</f>
        <v>6.0811000000000002</v>
      </c>
      <c r="E94" s="14">
        <f>CHOOSE(CONTROL!$C$42, 6.1103, 6.1103) * CHOOSE(CONTROL!$C$21, $C$9, 100%, $E$9)</f>
        <v>6.1102999999999996</v>
      </c>
      <c r="F94" s="14">
        <f>CHOOSE(CONTROL!$C$42, 5.8796, 5.8796)*CHOOSE(CONTROL!$C$21, $C$9, 100%, $E$9)</f>
        <v>5.8795999999999999</v>
      </c>
      <c r="G94" s="14">
        <f>CHOOSE(CONTROL!$C$42, 5.8969, 5.8969)*CHOOSE(CONTROL!$C$21, $C$9, 100%, $E$9)</f>
        <v>5.8968999999999996</v>
      </c>
      <c r="H94" s="14">
        <f>CHOOSE(CONTROL!$C$42, 6.1007, 6.1007) * CHOOSE(CONTROL!$C$21, $C$9, 100%, $E$9)</f>
        <v>6.1006999999999998</v>
      </c>
      <c r="I94" s="14">
        <f>CHOOSE(CONTROL!$C$42, 5.8982, 5.8982)* CHOOSE(CONTROL!$C$21, $C$9, 100%, $E$9)</f>
        <v>5.8982000000000001</v>
      </c>
      <c r="J94" s="14">
        <f>CHOOSE(CONTROL!$C$42, 5.8726, 5.8726)* CHOOSE(CONTROL!$C$21, $C$9, 100%, $E$9)</f>
        <v>5.8726000000000003</v>
      </c>
      <c r="K94" s="53">
        <f>CHOOSE(CONTROL!$C$42, 5.8943, 5.8943) * CHOOSE(CONTROL!$C$21, $C$9, 100%, $E$9)</f>
        <v>5.8943000000000003</v>
      </c>
      <c r="L94" s="14">
        <f>CHOOSE(CONTROL!$C$42, 6.6877, 6.6877) * CHOOSE(CONTROL!$C$21, $C$9, 100%, $E$9)</f>
        <v>6.6877000000000004</v>
      </c>
      <c r="M94" s="14">
        <f>CHOOSE(CONTROL!$C$42, 5.76, 5.76) * CHOOSE(CONTROL!$C$21, $C$9, 100%, $E$9)</f>
        <v>5.76</v>
      </c>
      <c r="N94" s="14">
        <f>CHOOSE(CONTROL!$C$42, 5.7769, 5.7769) * CHOOSE(CONTROL!$C$21, $C$9, 100%, $E$9)</f>
        <v>5.7769000000000004</v>
      </c>
      <c r="O94" s="14">
        <f>CHOOSE(CONTROL!$C$42, 5.9834, 5.9834) * CHOOSE(CONTROL!$C$21, $C$9, 100%, $E$9)</f>
        <v>5.9833999999999996</v>
      </c>
      <c r="P94" s="14">
        <f>CHOOSE(CONTROL!$C$42, 5.7848, 5.7848) * CHOOSE(CONTROL!$C$21, $C$9, 100%, $E$9)</f>
        <v>5.7847999999999997</v>
      </c>
      <c r="Q94" s="14">
        <f>CHOOSE(CONTROL!$C$42, 6.5781, 6.5781) * CHOOSE(CONTROL!$C$21, $C$9, 100%, $E$9)</f>
        <v>6.5781000000000001</v>
      </c>
      <c r="R94" s="14">
        <f>CHOOSE(CONTROL!$C$42, 7.1816, 7.1816) * CHOOSE(CONTROL!$C$21, $C$9, 100%, $E$9)</f>
        <v>7.1816000000000004</v>
      </c>
      <c r="S94" s="14">
        <f>CHOOSE(CONTROL!$C$42, 5.6126, 5.6126) * CHOOSE(CONTROL!$C$21, $C$9, 100%, $E$9)</f>
        <v>5.6125999999999996</v>
      </c>
      <c r="T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" s="57">
        <f>(1000*CHOOSE(CONTROL!$C$42, 695, 695)*CHOOSE(CONTROL!$C$42, 0.5599, 0.5599)*CHOOSE(CONTROL!$C$42, 31, 31))/1000000</f>
        <v>12.063045499999998</v>
      </c>
      <c r="V94" s="57">
        <f>(1000*CHOOSE(CONTROL!$C$42, 500, 500)*CHOOSE(CONTROL!$C$42, 0.275, 0.275)*CHOOSE(CONTROL!$C$42, 31, 31))/1000000</f>
        <v>4.2625000000000002</v>
      </c>
      <c r="W94" s="57">
        <f>(1000*CHOOSE(CONTROL!$C$42, 0.1146, 0.1146)*CHOOSE(CONTROL!$C$42, 121.5, 121.5)*CHOOSE(CONTROL!$C$42, 31, 31))/1000000</f>
        <v>0.43164089999999994</v>
      </c>
      <c r="X94" s="57">
        <f>(31*0.1790888*245000/1000000)+(31*0.2374*100000/1000000)</f>
        <v>2.0961194359999999</v>
      </c>
      <c r="Y94" s="57"/>
      <c r="Z94" s="14"/>
      <c r="AA94" s="56"/>
      <c r="AB94" s="50">
        <f>(B94*131.881+C94*277.167+D94*79.08+E94*125.872+F94*40+G94*185+H94*0+I94*100+J94*300)/(131.881+277.167+79.08+125.872+0+40+185+100+300)</f>
        <v>5.9097998943502823</v>
      </c>
      <c r="AC94" s="45">
        <f>(M94*'RAP TEMPLATE-GAS AVAILABILITY'!O93+N94*'RAP TEMPLATE-GAS AVAILABILITY'!P93+O94*'RAP TEMPLATE-GAS AVAILABILITY'!Q93+P94*'RAP TEMPLATE-GAS AVAILABILITY'!R93)/('RAP TEMPLATE-GAS AVAILABILITY'!O93+'RAP TEMPLATE-GAS AVAILABILITY'!P93+'RAP TEMPLATE-GAS AVAILABILITY'!Q93+'RAP TEMPLATE-GAS AVAILABILITY'!R93)</f>
        <v>5.8301395683453237</v>
      </c>
    </row>
    <row r="95" spans="1:29" ht="15.75" x14ac:dyDescent="0.25">
      <c r="A95" s="13">
        <v>43770</v>
      </c>
      <c r="B95" s="14">
        <f>CHOOSE(CONTROL!$C$42, 6.016, 6.016) * CHOOSE(CONTROL!$C$21, $C$9, 100%, $E$9)</f>
        <v>6.016</v>
      </c>
      <c r="C95" s="14">
        <f>CHOOSE(CONTROL!$C$42, 6.0211, 6.0211) * CHOOSE(CONTROL!$C$21, $C$9, 100%, $E$9)</f>
        <v>6.0210999999999997</v>
      </c>
      <c r="D95" s="14">
        <f>CHOOSE(CONTROL!$C$42, 6.0953, 6.0953) * CHOOSE(CONTROL!$C$21, $C$9, 100%, $E$9)</f>
        <v>6.0952999999999999</v>
      </c>
      <c r="E95" s="14">
        <f>CHOOSE(CONTROL!$C$42, 6.1294, 6.1294) * CHOOSE(CONTROL!$C$21, $C$9, 100%, $E$9)</f>
        <v>6.1294000000000004</v>
      </c>
      <c r="F95" s="14">
        <f>CHOOSE(CONTROL!$C$42, 6.0521, 6.0521)*CHOOSE(CONTROL!$C$21, $C$9, 100%, $E$9)</f>
        <v>6.0521000000000003</v>
      </c>
      <c r="G95" s="14">
        <f>CHOOSE(CONTROL!$C$42, 6.0696, 6.0696)*CHOOSE(CONTROL!$C$21, $C$9, 100%, $E$9)</f>
        <v>6.0696000000000003</v>
      </c>
      <c r="H95" s="14">
        <f>CHOOSE(CONTROL!$C$42, 6.1186, 6.1186) * CHOOSE(CONTROL!$C$21, $C$9, 100%, $E$9)</f>
        <v>6.1185999999999998</v>
      </c>
      <c r="I95" s="14">
        <f>CHOOSE(CONTROL!$C$42, 6.0623, 6.0623)* CHOOSE(CONTROL!$C$21, $C$9, 100%, $E$9)</f>
        <v>6.0622999999999996</v>
      </c>
      <c r="J95" s="14">
        <f>CHOOSE(CONTROL!$C$42, 6.0451, 6.0451)* CHOOSE(CONTROL!$C$21, $C$9, 100%, $E$9)</f>
        <v>6.0450999999999997</v>
      </c>
      <c r="K95" s="53">
        <f>CHOOSE(CONTROL!$C$42, 6.0585, 6.0585) * CHOOSE(CONTROL!$C$21, $C$9, 100%, $E$9)</f>
        <v>6.0585000000000004</v>
      </c>
      <c r="L95" s="14">
        <f>CHOOSE(CONTROL!$C$42, 6.7056, 6.7056) * CHOOSE(CONTROL!$C$21, $C$9, 100%, $E$9)</f>
        <v>6.7055999999999996</v>
      </c>
      <c r="M95" s="14">
        <f>CHOOSE(CONTROL!$C$42, 5.9289, 5.9289) * CHOOSE(CONTROL!$C$21, $C$9, 100%, $E$9)</f>
        <v>5.9288999999999996</v>
      </c>
      <c r="N95" s="14">
        <f>CHOOSE(CONTROL!$C$42, 5.9461, 5.9461) * CHOOSE(CONTROL!$C$21, $C$9, 100%, $E$9)</f>
        <v>5.9461000000000004</v>
      </c>
      <c r="O95" s="14">
        <f>CHOOSE(CONTROL!$C$42, 6.001, 6.001) * CHOOSE(CONTROL!$C$21, $C$9, 100%, $E$9)</f>
        <v>6.0010000000000003</v>
      </c>
      <c r="P95" s="14">
        <f>CHOOSE(CONTROL!$C$42, 5.9455, 5.9455) * CHOOSE(CONTROL!$C$21, $C$9, 100%, $E$9)</f>
        <v>5.9455</v>
      </c>
      <c r="Q95" s="14">
        <f>CHOOSE(CONTROL!$C$42, 6.5957, 6.5957) * CHOOSE(CONTROL!$C$21, $C$9, 100%, $E$9)</f>
        <v>6.5956999999999999</v>
      </c>
      <c r="R95" s="14">
        <f>CHOOSE(CONTROL!$C$42, 7.1991, 7.1991) * CHOOSE(CONTROL!$C$21, $C$9, 100%, $E$9)</f>
        <v>7.1990999999999996</v>
      </c>
      <c r="S95" s="14">
        <f>CHOOSE(CONTROL!$C$42, 5.7723, 5.7723) * CHOOSE(CONTROL!$C$21, $C$9, 100%, $E$9)</f>
        <v>5.7723000000000004</v>
      </c>
      <c r="T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" s="57">
        <f>(1000*CHOOSE(CONTROL!$C$42, 695, 695)*CHOOSE(CONTROL!$C$42, 0.5599, 0.5599)*CHOOSE(CONTROL!$C$42, 30, 30))/1000000</f>
        <v>11.673914999999997</v>
      </c>
      <c r="V95" s="57">
        <f>(1000*CHOOSE(CONTROL!$C$42, 500, 500)*CHOOSE(CONTROL!$C$42, 0.275, 0.275)*CHOOSE(CONTROL!$C$42, 30, 30))/1000000</f>
        <v>4.125</v>
      </c>
      <c r="W95" s="57">
        <f>(1000*CHOOSE(CONTROL!$C$42, 0.1146, 0.1146)*CHOOSE(CONTROL!$C$42, 121.5, 121.5)*CHOOSE(CONTROL!$C$42, 30, 30))/1000000</f>
        <v>0.417717</v>
      </c>
      <c r="X95" s="57">
        <f>(30*0.1790888*100000/1000000)+(30*0.2374*100000/1000000)</f>
        <v>1.2494664</v>
      </c>
      <c r="Y95" s="57"/>
      <c r="Z95" s="14"/>
      <c r="AA95" s="56"/>
      <c r="AB95" s="50">
        <f>(B95*122.58+C95*297.941+D95*89.177+E95*40.302+F95*40+G95*160+H95*0+I95*100+J95*300)/(122.58+297.941+89.177+40.302+0+40+160+100+300)</f>
        <v>6.04777520173913</v>
      </c>
      <c r="AC95" s="45">
        <f>(M95*'RAP TEMPLATE-GAS AVAILABILITY'!O94+N95*'RAP TEMPLATE-GAS AVAILABILITY'!P94+O95*'RAP TEMPLATE-GAS AVAILABILITY'!Q94+P95*'RAP TEMPLATE-GAS AVAILABILITY'!R94)/('RAP TEMPLATE-GAS AVAILABILITY'!O94+'RAP TEMPLATE-GAS AVAILABILITY'!P94+'RAP TEMPLATE-GAS AVAILABILITY'!Q94+'RAP TEMPLATE-GAS AVAILABILITY'!R94)</f>
        <v>5.9649568345323747</v>
      </c>
    </row>
    <row r="96" spans="1:29" ht="15.75" x14ac:dyDescent="0.25">
      <c r="A96" s="13">
        <v>43800</v>
      </c>
      <c r="B96" s="14">
        <f>CHOOSE(CONTROL!$C$42, 6.4388, 6.4388) * CHOOSE(CONTROL!$C$21, $C$9, 100%, $E$9)</f>
        <v>6.4387999999999996</v>
      </c>
      <c r="C96" s="14">
        <f>CHOOSE(CONTROL!$C$42, 6.4438, 6.4438) * CHOOSE(CONTROL!$C$21, $C$9, 100%, $E$9)</f>
        <v>6.4438000000000004</v>
      </c>
      <c r="D96" s="14">
        <f>CHOOSE(CONTROL!$C$42, 6.5181, 6.5181) * CHOOSE(CONTROL!$C$21, $C$9, 100%, $E$9)</f>
        <v>6.5180999999999996</v>
      </c>
      <c r="E96" s="14">
        <f>CHOOSE(CONTROL!$C$42, 6.5522, 6.5522) * CHOOSE(CONTROL!$C$21, $C$9, 100%, $E$9)</f>
        <v>6.5522</v>
      </c>
      <c r="F96" s="14">
        <f>CHOOSE(CONTROL!$C$42, 6.4772, 6.4772)*CHOOSE(CONTROL!$C$21, $C$9, 100%, $E$9)</f>
        <v>6.4771999999999998</v>
      </c>
      <c r="G96" s="14">
        <f>CHOOSE(CONTROL!$C$42, 6.4953, 6.4953)*CHOOSE(CONTROL!$C$21, $C$9, 100%, $E$9)</f>
        <v>6.4953000000000003</v>
      </c>
      <c r="H96" s="14">
        <f>CHOOSE(CONTROL!$C$42, 6.5414, 6.5414) * CHOOSE(CONTROL!$C$21, $C$9, 100%, $E$9)</f>
        <v>6.5414000000000003</v>
      </c>
      <c r="I96" s="14">
        <f>CHOOSE(CONTROL!$C$42, 6.4864, 6.4864)* CHOOSE(CONTROL!$C$21, $C$9, 100%, $E$9)</f>
        <v>6.4863999999999997</v>
      </c>
      <c r="J96" s="14">
        <f>CHOOSE(CONTROL!$C$42, 6.4702, 6.4702)* CHOOSE(CONTROL!$C$21, $C$9, 100%, $E$9)</f>
        <v>6.4702000000000002</v>
      </c>
      <c r="K96" s="53">
        <f>CHOOSE(CONTROL!$C$42, 6.4825, 6.4825) * CHOOSE(CONTROL!$C$21, $C$9, 100%, $E$9)</f>
        <v>6.4824999999999999</v>
      </c>
      <c r="L96" s="14">
        <f>CHOOSE(CONTROL!$C$42, 7.1284, 7.1284) * CHOOSE(CONTROL!$C$21, $C$9, 100%, $E$9)</f>
        <v>7.1284000000000001</v>
      </c>
      <c r="M96" s="14">
        <f>CHOOSE(CONTROL!$C$42, 6.3453, 6.3453) * CHOOSE(CONTROL!$C$21, $C$9, 100%, $E$9)</f>
        <v>6.3452999999999999</v>
      </c>
      <c r="N96" s="14">
        <f>CHOOSE(CONTROL!$C$42, 6.3631, 6.3631) * CHOOSE(CONTROL!$C$21, $C$9, 100%, $E$9)</f>
        <v>6.3631000000000002</v>
      </c>
      <c r="O96" s="14">
        <f>CHOOSE(CONTROL!$C$42, 6.415, 6.415) * CHOOSE(CONTROL!$C$21, $C$9, 100%, $E$9)</f>
        <v>6.415</v>
      </c>
      <c r="P96" s="14">
        <f>CHOOSE(CONTROL!$C$42, 6.3609, 6.3609) * CHOOSE(CONTROL!$C$21, $C$9, 100%, $E$9)</f>
        <v>6.3609</v>
      </c>
      <c r="Q96" s="14">
        <f>CHOOSE(CONTROL!$C$42, 7.0097, 7.0097) * CHOOSE(CONTROL!$C$21, $C$9, 100%, $E$9)</f>
        <v>7.0096999999999996</v>
      </c>
      <c r="R96" s="14">
        <f>CHOOSE(CONTROL!$C$42, 7.6142, 7.6142) * CHOOSE(CONTROL!$C$21, $C$9, 100%, $E$9)</f>
        <v>7.6142000000000003</v>
      </c>
      <c r="S96" s="14">
        <f>CHOOSE(CONTROL!$C$42, 6.1785, 6.1785) * CHOOSE(CONTROL!$C$21, $C$9, 100%, $E$9)</f>
        <v>6.1784999999999997</v>
      </c>
      <c r="T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" s="57">
        <f>(1000*CHOOSE(CONTROL!$C$42, 695, 695)*CHOOSE(CONTROL!$C$42, 0.5599, 0.5599)*CHOOSE(CONTROL!$C$42, 31, 31))/1000000</f>
        <v>12.063045499999998</v>
      </c>
      <c r="V96" s="57">
        <f>(1000*CHOOSE(CONTROL!$C$42, 500, 500)*CHOOSE(CONTROL!$C$42, 0.275, 0.275)*CHOOSE(CONTROL!$C$42, 31, 31))/1000000</f>
        <v>4.2625000000000002</v>
      </c>
      <c r="W96" s="57">
        <f>(1000*CHOOSE(CONTROL!$C$42, 0.1146, 0.1146)*CHOOSE(CONTROL!$C$42, 121.5, 121.5)*CHOOSE(CONTROL!$C$42, 31, 31))/1000000</f>
        <v>0.43164089999999994</v>
      </c>
      <c r="X96" s="57">
        <f>(31*0.1790888*100000/1000000)+(31*0.2374*100000/1000000)</f>
        <v>1.2911152800000001</v>
      </c>
      <c r="Y96" s="57"/>
      <c r="Z96" s="14"/>
      <c r="AA96" s="56"/>
      <c r="AB96" s="50">
        <f>(B96*122.58+C96*297.941+D96*89.177+E96*40.302+F96*40+G96*160+H96*0+I96*100+J96*300)/(122.58+297.941+89.177+40.302+0+40+160+100+300)</f>
        <v>6.4717458155652183</v>
      </c>
      <c r="AC96" s="45">
        <f>(M96*'RAP TEMPLATE-GAS AVAILABILITY'!O95+N96*'RAP TEMPLATE-GAS AVAILABILITY'!P95+O96*'RAP TEMPLATE-GAS AVAILABILITY'!Q95+P96*'RAP TEMPLATE-GAS AVAILABILITY'!R95)/('RAP TEMPLATE-GAS AVAILABILITY'!O95+'RAP TEMPLATE-GAS AVAILABILITY'!P95+'RAP TEMPLATE-GAS AVAILABILITY'!Q95+'RAP TEMPLATE-GAS AVAILABILITY'!R95)</f>
        <v>6.3801597122302161</v>
      </c>
    </row>
    <row r="97" spans="1:29" ht="15.75" x14ac:dyDescent="0.25">
      <c r="A97" s="13">
        <v>43831</v>
      </c>
      <c r="B97" s="14">
        <f>CHOOSE(CONTROL!$C$42, 7.1197, 7.1197) * CHOOSE(CONTROL!$C$21, $C$9, 100%, $E$9)</f>
        <v>7.1196999999999999</v>
      </c>
      <c r="C97" s="14">
        <f>CHOOSE(CONTROL!$C$42, 7.1248, 7.1248) * CHOOSE(CONTROL!$C$21, $C$9, 100%, $E$9)</f>
        <v>7.1247999999999996</v>
      </c>
      <c r="D97" s="14">
        <f>CHOOSE(CONTROL!$C$42, 7.2016, 7.2016) * CHOOSE(CONTROL!$C$21, $C$9, 100%, $E$9)</f>
        <v>7.2016</v>
      </c>
      <c r="E97" s="14">
        <f>CHOOSE(CONTROL!$C$42, 7.2357, 7.2357) * CHOOSE(CONTROL!$C$21, $C$9, 100%, $E$9)</f>
        <v>7.2356999999999996</v>
      </c>
      <c r="F97" s="14">
        <f>CHOOSE(CONTROL!$C$42, 7.1445, 7.1445)*CHOOSE(CONTROL!$C$21, $C$9, 100%, $E$9)</f>
        <v>7.1444999999999999</v>
      </c>
      <c r="G97" s="14">
        <f>CHOOSE(CONTROL!$C$42, 7.1624, 7.1624)*CHOOSE(CONTROL!$C$21, $C$9, 100%, $E$9)</f>
        <v>7.1623999999999999</v>
      </c>
      <c r="H97" s="14">
        <f>CHOOSE(CONTROL!$C$42, 7.2249, 7.2249) * CHOOSE(CONTROL!$C$21, $C$9, 100%, $E$9)</f>
        <v>7.2248999999999999</v>
      </c>
      <c r="I97" s="14">
        <f>CHOOSE(CONTROL!$C$42, 7.1757, 7.1757)* CHOOSE(CONTROL!$C$21, $C$9, 100%, $E$9)</f>
        <v>7.1757</v>
      </c>
      <c r="J97" s="14">
        <f>CHOOSE(CONTROL!$C$42, 7.1375, 7.1375)* CHOOSE(CONTROL!$C$21, $C$9, 100%, $E$9)</f>
        <v>7.1375000000000002</v>
      </c>
      <c r="K97" s="53">
        <f>CHOOSE(CONTROL!$C$42, 7.1719, 7.1719) * CHOOSE(CONTROL!$C$21, $C$9, 100%, $E$9)</f>
        <v>7.1718999999999999</v>
      </c>
      <c r="L97" s="14">
        <f>CHOOSE(CONTROL!$C$42, 7.8119, 7.8119) * CHOOSE(CONTROL!$C$21, $C$9, 100%, $E$9)</f>
        <v>7.8118999999999996</v>
      </c>
      <c r="M97" s="14">
        <f>CHOOSE(CONTROL!$C$42, 6.9989, 6.9989) * CHOOSE(CONTROL!$C$21, $C$9, 100%, $E$9)</f>
        <v>6.9988999999999999</v>
      </c>
      <c r="N97" s="14">
        <f>CHOOSE(CONTROL!$C$42, 7.0165, 7.0165) * CHOOSE(CONTROL!$C$21, $C$9, 100%, $E$9)</f>
        <v>7.0164999999999997</v>
      </c>
      <c r="O97" s="14">
        <f>CHOOSE(CONTROL!$C$42, 7.0846, 7.0846) * CHOOSE(CONTROL!$C$21, $C$9, 100%, $E$9)</f>
        <v>7.0846</v>
      </c>
      <c r="P97" s="14">
        <f>CHOOSE(CONTROL!$C$42, 7.036, 7.036) * CHOOSE(CONTROL!$C$21, $C$9, 100%, $E$9)</f>
        <v>7.0359999999999996</v>
      </c>
      <c r="Q97" s="14">
        <f>CHOOSE(CONTROL!$C$42, 7.6793, 7.6793) * CHOOSE(CONTROL!$C$21, $C$9, 100%, $E$9)</f>
        <v>7.6792999999999996</v>
      </c>
      <c r="R97" s="14">
        <f>CHOOSE(CONTROL!$C$42, 8.2855, 8.2855) * CHOOSE(CONTROL!$C$21, $C$9, 100%, $E$9)</f>
        <v>8.2855000000000008</v>
      </c>
      <c r="S97" s="14">
        <f>CHOOSE(CONTROL!$C$42, 6.8328, 6.8328) * CHOOSE(CONTROL!$C$21, $C$9, 100%, $E$9)</f>
        <v>6.8327999999999998</v>
      </c>
      <c r="T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" s="57">
        <f>(1000*CHOOSE(CONTROL!$C$42, 695, 695)*CHOOSE(CONTROL!$C$42, 0.5599, 0.5599)*CHOOSE(CONTROL!$C$42, 31, 31))/1000000</f>
        <v>12.063045499999998</v>
      </c>
      <c r="V97" s="57">
        <f>(1000*CHOOSE(CONTROL!$C$42, 500, 500)*CHOOSE(CONTROL!$C$42, 0.275, 0.275)*CHOOSE(CONTROL!$C$42, 31, 31))/1000000</f>
        <v>4.2625000000000002</v>
      </c>
      <c r="W97" s="57">
        <f>(1000*CHOOSE(CONTROL!$C$42, 0.1146, 0.1146)*CHOOSE(CONTROL!$C$42, 121.5, 121.5)*CHOOSE(CONTROL!$C$42, 31, 31))/1000000</f>
        <v>0.43164089999999994</v>
      </c>
      <c r="X97" s="57">
        <f>(31*0.1790888*100000/1000000)+(31*0.2374*100000/1000000)</f>
        <v>1.2911152800000001</v>
      </c>
      <c r="Y97" s="57"/>
      <c r="Z97" s="14"/>
      <c r="AA97" s="56"/>
      <c r="AB97" s="50">
        <f>(B97*122.58+C97*297.941+D97*89.177+E97*40.302+F97*40+G97*160+H97*0+I97*100+J97*300)/(122.58+297.941+89.177+40.302+0+40+160+100+300)</f>
        <v>7.1477540238260868</v>
      </c>
      <c r="AC97" s="45">
        <f>(M97*'RAP TEMPLATE-GAS AVAILABILITY'!O96+N97*'RAP TEMPLATE-GAS AVAILABILITY'!P96+O97*'RAP TEMPLATE-GAS AVAILABILITY'!Q96+P97*'RAP TEMPLATE-GAS AVAILABILITY'!R96)/('RAP TEMPLATE-GAS AVAILABILITY'!O96+'RAP TEMPLATE-GAS AVAILABILITY'!P96+'RAP TEMPLATE-GAS AVAILABILITY'!Q96+'RAP TEMPLATE-GAS AVAILABILITY'!R96)</f>
        <v>7.0440935251798571</v>
      </c>
    </row>
    <row r="98" spans="1:29" ht="15.75" x14ac:dyDescent="0.25">
      <c r="A98" s="13">
        <v>43862</v>
      </c>
      <c r="B98" s="14">
        <f>CHOOSE(CONTROL!$C$42, 7.2612, 7.2612) * CHOOSE(CONTROL!$C$21, $C$9, 100%, $E$9)</f>
        <v>7.2611999999999997</v>
      </c>
      <c r="C98" s="14">
        <f>CHOOSE(CONTROL!$C$42, 7.2663, 7.2663) * CHOOSE(CONTROL!$C$21, $C$9, 100%, $E$9)</f>
        <v>7.2663000000000002</v>
      </c>
      <c r="D98" s="14">
        <f>CHOOSE(CONTROL!$C$42, 7.3431, 7.3431) * CHOOSE(CONTROL!$C$21, $C$9, 100%, $E$9)</f>
        <v>7.3430999999999997</v>
      </c>
      <c r="E98" s="14">
        <f>CHOOSE(CONTROL!$C$42, 7.3772, 7.3772) * CHOOSE(CONTROL!$C$21, $C$9, 100%, $E$9)</f>
        <v>7.3772000000000002</v>
      </c>
      <c r="F98" s="14">
        <f>CHOOSE(CONTROL!$C$42, 7.2855, 7.2855)*CHOOSE(CONTROL!$C$21, $C$9, 100%, $E$9)</f>
        <v>7.2854999999999999</v>
      </c>
      <c r="G98" s="14">
        <f>CHOOSE(CONTROL!$C$42, 7.3034, 7.3034)*CHOOSE(CONTROL!$C$21, $C$9, 100%, $E$9)</f>
        <v>7.3033999999999999</v>
      </c>
      <c r="H98" s="14">
        <f>CHOOSE(CONTROL!$C$42, 7.3664, 7.3664) * CHOOSE(CONTROL!$C$21, $C$9, 100%, $E$9)</f>
        <v>7.3663999999999996</v>
      </c>
      <c r="I98" s="14">
        <f>CHOOSE(CONTROL!$C$42, 7.3177, 7.3177)* CHOOSE(CONTROL!$C$21, $C$9, 100%, $E$9)</f>
        <v>7.3177000000000003</v>
      </c>
      <c r="J98" s="14">
        <f>CHOOSE(CONTROL!$C$42, 7.2785, 7.2785)* CHOOSE(CONTROL!$C$21, $C$9, 100%, $E$9)</f>
        <v>7.2785000000000002</v>
      </c>
      <c r="K98" s="53">
        <f>CHOOSE(CONTROL!$C$42, 7.3138, 7.3138) * CHOOSE(CONTROL!$C$21, $C$9, 100%, $E$9)</f>
        <v>7.3137999999999996</v>
      </c>
      <c r="L98" s="14">
        <f>CHOOSE(CONTROL!$C$42, 7.9534, 7.9534) * CHOOSE(CONTROL!$C$21, $C$9, 100%, $E$9)</f>
        <v>7.9534000000000002</v>
      </c>
      <c r="M98" s="14">
        <f>CHOOSE(CONTROL!$C$42, 7.1371, 7.1371) * CHOOSE(CONTROL!$C$21, $C$9, 100%, $E$9)</f>
        <v>7.1371000000000002</v>
      </c>
      <c r="N98" s="14">
        <f>CHOOSE(CONTROL!$C$42, 7.1546, 7.1546) * CHOOSE(CONTROL!$C$21, $C$9, 100%, $E$9)</f>
        <v>7.1546000000000003</v>
      </c>
      <c r="O98" s="14">
        <f>CHOOSE(CONTROL!$C$42, 7.2232, 7.2232) * CHOOSE(CONTROL!$C$21, $C$9, 100%, $E$9)</f>
        <v>7.2232000000000003</v>
      </c>
      <c r="P98" s="14">
        <f>CHOOSE(CONTROL!$C$42, 7.175, 7.175) * CHOOSE(CONTROL!$C$21, $C$9, 100%, $E$9)</f>
        <v>7.1749999999999998</v>
      </c>
      <c r="Q98" s="14">
        <f>CHOOSE(CONTROL!$C$42, 7.8179, 7.8179) * CHOOSE(CONTROL!$C$21, $C$9, 100%, $E$9)</f>
        <v>7.8178999999999998</v>
      </c>
      <c r="R98" s="14">
        <f>CHOOSE(CONTROL!$C$42, 8.4244, 8.4244) * CHOOSE(CONTROL!$C$21, $C$9, 100%, $E$9)</f>
        <v>8.4244000000000003</v>
      </c>
      <c r="S98" s="14">
        <f>CHOOSE(CONTROL!$C$42, 6.9688, 6.9688) * CHOOSE(CONTROL!$C$21, $C$9, 100%, $E$9)</f>
        <v>6.9687999999999999</v>
      </c>
      <c r="T9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8" s="57">
        <f>(1000*CHOOSE(CONTROL!$C$42, 695, 695)*CHOOSE(CONTROL!$C$42, 0.5599, 0.5599)*CHOOSE(CONTROL!$C$42, 29, 29))/1000000</f>
        <v>11.284784499999999</v>
      </c>
      <c r="V98" s="57">
        <f>(1000*CHOOSE(CONTROL!$C$42, 500, 500)*CHOOSE(CONTROL!$C$42, 0.275, 0.275)*CHOOSE(CONTROL!$C$42, 29, 29))/1000000</f>
        <v>3.9874999999999998</v>
      </c>
      <c r="W98" s="57">
        <f>(1000*CHOOSE(CONTROL!$C$42, 0.1146, 0.1146)*CHOOSE(CONTROL!$C$42, 121.5, 121.5)*CHOOSE(CONTROL!$C$42, 29, 29))/1000000</f>
        <v>0.40379309999999996</v>
      </c>
      <c r="X98" s="57">
        <f>(29*0.1790888*100000/1000000)+(29*0.2374*100000/1000000)</f>
        <v>1.2078175199999999</v>
      </c>
      <c r="Y98" s="57"/>
      <c r="Z98" s="14"/>
      <c r="AA98" s="56"/>
      <c r="AB98" s="50">
        <f>(B98*122.58+C98*297.941+D98*89.177+E98*40.302+F98*40+G98*160+H98*0+I98*100+J98*300)/(122.58+297.941+89.177+40.302+0+40+160+100+300)</f>
        <v>7.28908011078261</v>
      </c>
      <c r="AC98" s="45">
        <f>(M98*'RAP TEMPLATE-GAS AVAILABILITY'!O97+N98*'RAP TEMPLATE-GAS AVAILABILITY'!P97+O98*'RAP TEMPLATE-GAS AVAILABILITY'!Q97+P98*'RAP TEMPLATE-GAS AVAILABILITY'!R97)/('RAP TEMPLATE-GAS AVAILABILITY'!O97+'RAP TEMPLATE-GAS AVAILABILITY'!P97+'RAP TEMPLATE-GAS AVAILABILITY'!Q97+'RAP TEMPLATE-GAS AVAILABILITY'!R97)</f>
        <v>7.18258417266187</v>
      </c>
    </row>
    <row r="99" spans="1:29" ht="15.75" x14ac:dyDescent="0.25">
      <c r="A99" s="13">
        <v>43891</v>
      </c>
      <c r="B99" s="14">
        <f>CHOOSE(CONTROL!$C$42, 7.0698, 7.0698) * CHOOSE(CONTROL!$C$21, $C$9, 100%, $E$9)</f>
        <v>7.0697999999999999</v>
      </c>
      <c r="C99" s="14">
        <f>CHOOSE(CONTROL!$C$42, 7.0749, 7.0749) * CHOOSE(CONTROL!$C$21, $C$9, 100%, $E$9)</f>
        <v>7.0749000000000004</v>
      </c>
      <c r="D99" s="14">
        <f>CHOOSE(CONTROL!$C$42, 7.1517, 7.1517) * CHOOSE(CONTROL!$C$21, $C$9, 100%, $E$9)</f>
        <v>7.1516999999999999</v>
      </c>
      <c r="E99" s="14">
        <f>CHOOSE(CONTROL!$C$42, 7.1858, 7.1858) * CHOOSE(CONTROL!$C$21, $C$9, 100%, $E$9)</f>
        <v>7.1858000000000004</v>
      </c>
      <c r="F99" s="14">
        <f>CHOOSE(CONTROL!$C$42, 7.0933, 7.0933)*CHOOSE(CONTROL!$C$21, $C$9, 100%, $E$9)</f>
        <v>7.0933000000000002</v>
      </c>
      <c r="G99" s="14">
        <f>CHOOSE(CONTROL!$C$42, 7.1109, 7.1109)*CHOOSE(CONTROL!$C$21, $C$9, 100%, $E$9)</f>
        <v>7.1109</v>
      </c>
      <c r="H99" s="14">
        <f>CHOOSE(CONTROL!$C$42, 7.175, 7.175) * CHOOSE(CONTROL!$C$21, $C$9, 100%, $E$9)</f>
        <v>7.1749999999999998</v>
      </c>
      <c r="I99" s="14">
        <f>CHOOSE(CONTROL!$C$42, 7.1257, 7.1257)* CHOOSE(CONTROL!$C$21, $C$9, 100%, $E$9)</f>
        <v>7.1257000000000001</v>
      </c>
      <c r="J99" s="14">
        <f>CHOOSE(CONTROL!$C$42, 7.0863, 7.0863)* CHOOSE(CONTROL!$C$21, $C$9, 100%, $E$9)</f>
        <v>7.0862999999999996</v>
      </c>
      <c r="K99" s="53">
        <f>CHOOSE(CONTROL!$C$42, 7.1218, 7.1218) * CHOOSE(CONTROL!$C$21, $C$9, 100%, $E$9)</f>
        <v>7.1218000000000004</v>
      </c>
      <c r="L99" s="14">
        <f>CHOOSE(CONTROL!$C$42, 7.762, 7.762) * CHOOSE(CONTROL!$C$21, $C$9, 100%, $E$9)</f>
        <v>7.7619999999999996</v>
      </c>
      <c r="M99" s="14">
        <f>CHOOSE(CONTROL!$C$42, 6.9488, 6.9488) * CHOOSE(CONTROL!$C$21, $C$9, 100%, $E$9)</f>
        <v>6.9488000000000003</v>
      </c>
      <c r="N99" s="14">
        <f>CHOOSE(CONTROL!$C$42, 6.9661, 6.9661) * CHOOSE(CONTROL!$C$21, $C$9, 100%, $E$9)</f>
        <v>6.9661</v>
      </c>
      <c r="O99" s="14">
        <f>CHOOSE(CONTROL!$C$42, 7.0357, 7.0357) * CHOOSE(CONTROL!$C$21, $C$9, 100%, $E$9)</f>
        <v>7.0357000000000003</v>
      </c>
      <c r="P99" s="14">
        <f>CHOOSE(CONTROL!$C$42, 6.987, 6.987) * CHOOSE(CONTROL!$C$21, $C$9, 100%, $E$9)</f>
        <v>6.9870000000000001</v>
      </c>
      <c r="Q99" s="14">
        <f>CHOOSE(CONTROL!$C$42, 7.6304, 7.6304) * CHOOSE(CONTROL!$C$21, $C$9, 100%, $E$9)</f>
        <v>7.6303999999999998</v>
      </c>
      <c r="R99" s="14">
        <f>CHOOSE(CONTROL!$C$42, 8.2365, 8.2365) * CHOOSE(CONTROL!$C$21, $C$9, 100%, $E$9)</f>
        <v>8.2364999999999995</v>
      </c>
      <c r="S99" s="14">
        <f>CHOOSE(CONTROL!$C$42, 6.7849, 6.7849) * CHOOSE(CONTROL!$C$21, $C$9, 100%, $E$9)</f>
        <v>6.7849000000000004</v>
      </c>
      <c r="T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" s="57">
        <f>(1000*CHOOSE(CONTROL!$C$42, 695, 695)*CHOOSE(CONTROL!$C$42, 0.5599, 0.5599)*CHOOSE(CONTROL!$C$42, 31, 31))/1000000</f>
        <v>12.063045499999998</v>
      </c>
      <c r="V99" s="57">
        <f>(1000*CHOOSE(CONTROL!$C$42, 500, 500)*CHOOSE(CONTROL!$C$42, 0.275, 0.275)*CHOOSE(CONTROL!$C$42, 31, 31))/1000000</f>
        <v>4.2625000000000002</v>
      </c>
      <c r="W99" s="57">
        <f>(1000*CHOOSE(CONTROL!$C$42, 0.1146, 0.1146)*CHOOSE(CONTROL!$C$42, 121.5, 121.5)*CHOOSE(CONTROL!$C$42, 31, 31))/1000000</f>
        <v>0.43164089999999994</v>
      </c>
      <c r="X99" s="57">
        <f>(31*0.1790888*100000/1000000)+(31*0.2374*100000/1000000)</f>
        <v>1.2911152800000001</v>
      </c>
      <c r="Y99" s="57"/>
      <c r="Z99" s="14"/>
      <c r="AA99" s="56"/>
      <c r="AB99" s="50">
        <f>(B99*122.58+C99*297.941+D99*89.177+E99*40.302+F99*40+G99*160+H99*0+I99*100+J99*300)/(122.58+297.941+89.177+40.302+0+40+160+100+300)</f>
        <v>7.097238371652173</v>
      </c>
      <c r="AC99" s="45">
        <f>(M99*'RAP TEMPLATE-GAS AVAILABILITY'!O98+N99*'RAP TEMPLATE-GAS AVAILABILITY'!P98+O99*'RAP TEMPLATE-GAS AVAILABILITY'!Q98+P99*'RAP TEMPLATE-GAS AVAILABILITY'!R98)/('RAP TEMPLATE-GAS AVAILABILITY'!O98+'RAP TEMPLATE-GAS AVAILABILITY'!P98+'RAP TEMPLATE-GAS AVAILABILITY'!Q98+'RAP TEMPLATE-GAS AVAILABILITY'!R98)</f>
        <v>6.9946784172661864</v>
      </c>
    </row>
    <row r="100" spans="1:29" ht="15.75" x14ac:dyDescent="0.25">
      <c r="A100" s="13">
        <v>43922</v>
      </c>
      <c r="B100" s="14">
        <f>CHOOSE(CONTROL!$C$42, 7.0642, 7.0642) * CHOOSE(CONTROL!$C$21, $C$9, 100%, $E$9)</f>
        <v>7.0641999999999996</v>
      </c>
      <c r="C100" s="14">
        <f>CHOOSE(CONTROL!$C$42, 7.0687, 7.0687) * CHOOSE(CONTROL!$C$21, $C$9, 100%, $E$9)</f>
        <v>7.0686999999999998</v>
      </c>
      <c r="D100" s="14">
        <f>CHOOSE(CONTROL!$C$42, 7.2924, 7.2924) * CHOOSE(CONTROL!$C$21, $C$9, 100%, $E$9)</f>
        <v>7.2923999999999998</v>
      </c>
      <c r="E100" s="14">
        <f>CHOOSE(CONTROL!$C$42, 7.3245, 7.3245) * CHOOSE(CONTROL!$C$21, $C$9, 100%, $E$9)</f>
        <v>7.3244999999999996</v>
      </c>
      <c r="F100" s="14">
        <f>CHOOSE(CONTROL!$C$42, 7.0919, 7.0919)*CHOOSE(CONTROL!$C$21, $C$9, 100%, $E$9)</f>
        <v>7.0918999999999999</v>
      </c>
      <c r="G100" s="14">
        <f>CHOOSE(CONTROL!$C$42, 7.1088, 7.1088)*CHOOSE(CONTROL!$C$21, $C$9, 100%, $E$9)</f>
        <v>7.1087999999999996</v>
      </c>
      <c r="H100" s="14">
        <f>CHOOSE(CONTROL!$C$42, 7.3143, 7.3143) * CHOOSE(CONTROL!$C$21, $C$9, 100%, $E$9)</f>
        <v>7.3143000000000002</v>
      </c>
      <c r="I100" s="14">
        <f>CHOOSE(CONTROL!$C$42, 7.1156, 7.1156)* CHOOSE(CONTROL!$C$21, $C$9, 100%, $E$9)</f>
        <v>7.1155999999999997</v>
      </c>
      <c r="J100" s="14">
        <f>CHOOSE(CONTROL!$C$42, 7.0849, 7.0849)* CHOOSE(CONTROL!$C$21, $C$9, 100%, $E$9)</f>
        <v>7.0849000000000002</v>
      </c>
      <c r="K100" s="53">
        <f>CHOOSE(CONTROL!$C$42, 7.1117, 7.1117) * CHOOSE(CONTROL!$C$21, $C$9, 100%, $E$9)</f>
        <v>7.1116999999999999</v>
      </c>
      <c r="L100" s="14">
        <f>CHOOSE(CONTROL!$C$42, 7.9013, 7.9013) * CHOOSE(CONTROL!$C$21, $C$9, 100%, $E$9)</f>
        <v>7.9013</v>
      </c>
      <c r="M100" s="14">
        <f>CHOOSE(CONTROL!$C$42, 6.9474, 6.9474) * CHOOSE(CONTROL!$C$21, $C$9, 100%, $E$9)</f>
        <v>6.9474</v>
      </c>
      <c r="N100" s="14">
        <f>CHOOSE(CONTROL!$C$42, 6.964, 6.964) * CHOOSE(CONTROL!$C$21, $C$9, 100%, $E$9)</f>
        <v>6.9640000000000004</v>
      </c>
      <c r="O100" s="14">
        <f>CHOOSE(CONTROL!$C$42, 7.1721, 7.1721) * CHOOSE(CONTROL!$C$21, $C$9, 100%, $E$9)</f>
        <v>7.1721000000000004</v>
      </c>
      <c r="P100" s="14">
        <f>CHOOSE(CONTROL!$C$42, 6.9771, 6.9771) * CHOOSE(CONTROL!$C$21, $C$9, 100%, $E$9)</f>
        <v>6.9771000000000001</v>
      </c>
      <c r="Q100" s="14">
        <f>CHOOSE(CONTROL!$C$42, 7.7668, 7.7668) * CHOOSE(CONTROL!$C$21, $C$9, 100%, $E$9)</f>
        <v>7.7667999999999999</v>
      </c>
      <c r="R100" s="14">
        <f>CHOOSE(CONTROL!$C$42, 8.3733, 8.3733) * CHOOSE(CONTROL!$C$21, $C$9, 100%, $E$9)</f>
        <v>8.3733000000000004</v>
      </c>
      <c r="S100" s="14">
        <f>CHOOSE(CONTROL!$C$42, 6.7787, 6.7787) * CHOOSE(CONTROL!$C$21, $C$9, 100%, $E$9)</f>
        <v>6.7786999999999997</v>
      </c>
      <c r="T1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" s="57">
        <f>(1000*CHOOSE(CONTROL!$C$42, 695, 695)*CHOOSE(CONTROL!$C$42, 0.5599, 0.5599)*CHOOSE(CONTROL!$C$42, 30, 30))/1000000</f>
        <v>11.673914999999997</v>
      </c>
      <c r="V100" s="57">
        <f>(1000*CHOOSE(CONTROL!$C$42, 500, 500)*CHOOSE(CONTROL!$C$42, 0.275, 0.275)*CHOOSE(CONTROL!$C$42, 30, 30))/1000000</f>
        <v>4.125</v>
      </c>
      <c r="W100" s="57">
        <f>(1000*CHOOSE(CONTROL!$C$42, 0.1146, 0.1146)*CHOOSE(CONTROL!$C$42, 121.5, 121.5)*CHOOSE(CONTROL!$C$42, 30, 30))/1000000</f>
        <v>0.417717</v>
      </c>
      <c r="X100" s="57">
        <f>(30*0.1790888*245000/1000000)+(30*0.2374*100000/1000000)</f>
        <v>2.0285026799999999</v>
      </c>
      <c r="Y100" s="57"/>
      <c r="Z100" s="14"/>
      <c r="AA100" s="56"/>
      <c r="AB100" s="50">
        <f>(B100*141.293+C100*267.993+D100*115.016+E100*89.698+F100*40+G100*185+H100*0+I100*100+J100*300)/(141.293+267.993+115.016+89.698+0+40+185+100+300)</f>
        <v>7.121915907263924</v>
      </c>
      <c r="AC100" s="45">
        <f>(M100*'RAP TEMPLATE-GAS AVAILABILITY'!O99+N100*'RAP TEMPLATE-GAS AVAILABILITY'!P99+O100*'RAP TEMPLATE-GAS AVAILABILITY'!Q99+P100*'RAP TEMPLATE-GAS AVAILABILITY'!R99)/('RAP TEMPLATE-GAS AVAILABILITY'!O99+'RAP TEMPLATE-GAS AVAILABILITY'!P99+'RAP TEMPLATE-GAS AVAILABILITY'!Q99+'RAP TEMPLATE-GAS AVAILABILITY'!R99)</f>
        <v>7.0185402877697847</v>
      </c>
    </row>
    <row r="101" spans="1:29" ht="15.75" x14ac:dyDescent="0.25">
      <c r="A101" s="13">
        <v>43952</v>
      </c>
      <c r="B101" s="14">
        <f>CHOOSE(CONTROL!$C$42, 7.1425, 7.1425) * CHOOSE(CONTROL!$C$21, $C$9, 100%, $E$9)</f>
        <v>7.1425000000000001</v>
      </c>
      <c r="C101" s="14">
        <f>CHOOSE(CONTROL!$C$42, 7.1505, 7.1505) * CHOOSE(CONTROL!$C$21, $C$9, 100%, $E$9)</f>
        <v>7.1505000000000001</v>
      </c>
      <c r="D101" s="14">
        <f>CHOOSE(CONTROL!$C$42, 7.3711, 7.3711) * CHOOSE(CONTROL!$C$21, $C$9, 100%, $E$9)</f>
        <v>7.3711000000000002</v>
      </c>
      <c r="E101" s="14">
        <f>CHOOSE(CONTROL!$C$42, 7.4026, 7.4026) * CHOOSE(CONTROL!$C$21, $C$9, 100%, $E$9)</f>
        <v>7.4025999999999996</v>
      </c>
      <c r="F101" s="14">
        <f>CHOOSE(CONTROL!$C$42, 7.1688, 7.1688)*CHOOSE(CONTROL!$C$21, $C$9, 100%, $E$9)</f>
        <v>7.1688000000000001</v>
      </c>
      <c r="G101" s="14">
        <f>CHOOSE(CONTROL!$C$42, 7.1859, 7.1859)*CHOOSE(CONTROL!$C$21, $C$9, 100%, $E$9)</f>
        <v>7.1859000000000002</v>
      </c>
      <c r="H101" s="14">
        <f>CHOOSE(CONTROL!$C$42, 7.3912, 7.3912) * CHOOSE(CONTROL!$C$21, $C$9, 100%, $E$9)</f>
        <v>7.3912000000000004</v>
      </c>
      <c r="I101" s="14">
        <f>CHOOSE(CONTROL!$C$42, 7.1928, 7.1928)* CHOOSE(CONTROL!$C$21, $C$9, 100%, $E$9)</f>
        <v>7.1928000000000001</v>
      </c>
      <c r="J101" s="14">
        <f>CHOOSE(CONTROL!$C$42, 7.1618, 7.1618)* CHOOSE(CONTROL!$C$21, $C$9, 100%, $E$9)</f>
        <v>7.1618000000000004</v>
      </c>
      <c r="K101" s="53">
        <f>CHOOSE(CONTROL!$C$42, 7.1889, 7.1889) * CHOOSE(CONTROL!$C$21, $C$9, 100%, $E$9)</f>
        <v>7.1889000000000003</v>
      </c>
      <c r="L101" s="14">
        <f>CHOOSE(CONTROL!$C$42, 7.9782, 7.9782) * CHOOSE(CONTROL!$C$21, $C$9, 100%, $E$9)</f>
        <v>7.9782000000000002</v>
      </c>
      <c r="M101" s="14">
        <f>CHOOSE(CONTROL!$C$42, 7.0227, 7.0227) * CHOOSE(CONTROL!$C$21, $C$9, 100%, $E$9)</f>
        <v>7.0227000000000004</v>
      </c>
      <c r="N101" s="14">
        <f>CHOOSE(CONTROL!$C$42, 7.0395, 7.0395) * CHOOSE(CONTROL!$C$21, $C$9, 100%, $E$9)</f>
        <v>7.0395000000000003</v>
      </c>
      <c r="O101" s="14">
        <f>CHOOSE(CONTROL!$C$42, 7.2475, 7.2475) * CHOOSE(CONTROL!$C$21, $C$9, 100%, $E$9)</f>
        <v>7.2474999999999996</v>
      </c>
      <c r="P101" s="14">
        <f>CHOOSE(CONTROL!$C$42, 7.0527, 7.0527) * CHOOSE(CONTROL!$C$21, $C$9, 100%, $E$9)</f>
        <v>7.0526999999999997</v>
      </c>
      <c r="Q101" s="14">
        <f>CHOOSE(CONTROL!$C$42, 7.8422, 7.8422) * CHOOSE(CONTROL!$C$21, $C$9, 100%, $E$9)</f>
        <v>7.8422000000000001</v>
      </c>
      <c r="R101" s="14">
        <f>CHOOSE(CONTROL!$C$42, 8.4488, 8.4488) * CHOOSE(CONTROL!$C$21, $C$9, 100%, $E$9)</f>
        <v>8.4488000000000003</v>
      </c>
      <c r="S101" s="14">
        <f>CHOOSE(CONTROL!$C$42, 6.8526, 6.8526) * CHOOSE(CONTROL!$C$21, $C$9, 100%, $E$9)</f>
        <v>6.8525999999999998</v>
      </c>
      <c r="T1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" s="57">
        <f>(1000*CHOOSE(CONTROL!$C$42, 695, 695)*CHOOSE(CONTROL!$C$42, 0.5599, 0.5599)*CHOOSE(CONTROL!$C$42, 31, 31))/1000000</f>
        <v>12.063045499999998</v>
      </c>
      <c r="V101" s="57">
        <f>(1000*CHOOSE(CONTROL!$C$42, 500, 500)*CHOOSE(CONTROL!$C$42, 0.275, 0.275)*CHOOSE(CONTROL!$C$42, 31, 31))/1000000</f>
        <v>4.2625000000000002</v>
      </c>
      <c r="W101" s="57">
        <f>(1000*CHOOSE(CONTROL!$C$42, 0.1146, 0.1146)*CHOOSE(CONTROL!$C$42, 121.5, 121.5)*CHOOSE(CONTROL!$C$42, 31, 31))/1000000</f>
        <v>0.43164089999999994</v>
      </c>
      <c r="X101" s="57">
        <f>(31*0.1790888*245000/1000000)+(31*0.2374*100000/1000000)</f>
        <v>2.0961194359999999</v>
      </c>
      <c r="Y101" s="57"/>
      <c r="Z101" s="14"/>
      <c r="AA101" s="56"/>
      <c r="AB101" s="50">
        <f>(B101*194.205+C101*267.466+D101*133.845+E101*53.484+F101*40+G101*185+H101*0+I101*100+J101*300)/(194.205+267.466+133.845+53.484+0+40+185+100+300)</f>
        <v>7.194736172213501</v>
      </c>
      <c r="AC101" s="45">
        <f>(M101*'RAP TEMPLATE-GAS AVAILABILITY'!O100+N101*'RAP TEMPLATE-GAS AVAILABILITY'!P100+O101*'RAP TEMPLATE-GAS AVAILABILITY'!Q100+P101*'RAP TEMPLATE-GAS AVAILABILITY'!R100)/('RAP TEMPLATE-GAS AVAILABILITY'!O100+'RAP TEMPLATE-GAS AVAILABILITY'!P100+'RAP TEMPLATE-GAS AVAILABILITY'!Q100+'RAP TEMPLATE-GAS AVAILABILITY'!R100)</f>
        <v>7.0939575539568338</v>
      </c>
    </row>
    <row r="102" spans="1:29" ht="15.75" x14ac:dyDescent="0.25">
      <c r="A102" s="13">
        <v>43983</v>
      </c>
      <c r="B102" s="14">
        <f>CHOOSE(CONTROL!$C$42, 7.3599, 7.3599) * CHOOSE(CONTROL!$C$21, $C$9, 100%, $E$9)</f>
        <v>7.3598999999999997</v>
      </c>
      <c r="C102" s="14">
        <f>CHOOSE(CONTROL!$C$42, 7.3679, 7.3679) * CHOOSE(CONTROL!$C$21, $C$9, 100%, $E$9)</f>
        <v>7.3678999999999997</v>
      </c>
      <c r="D102" s="14">
        <f>CHOOSE(CONTROL!$C$42, 7.5885, 7.5885) * CHOOSE(CONTROL!$C$21, $C$9, 100%, $E$9)</f>
        <v>7.5884999999999998</v>
      </c>
      <c r="E102" s="14">
        <f>CHOOSE(CONTROL!$C$42, 7.62, 7.62) * CHOOSE(CONTROL!$C$21, $C$9, 100%, $E$9)</f>
        <v>7.62</v>
      </c>
      <c r="F102" s="14">
        <f>CHOOSE(CONTROL!$C$42, 7.3865, 7.3865)*CHOOSE(CONTROL!$C$21, $C$9, 100%, $E$9)</f>
        <v>7.3864999999999998</v>
      </c>
      <c r="G102" s="14">
        <f>CHOOSE(CONTROL!$C$42, 7.4037, 7.4037)*CHOOSE(CONTROL!$C$21, $C$9, 100%, $E$9)</f>
        <v>7.4036999999999997</v>
      </c>
      <c r="H102" s="14">
        <f>CHOOSE(CONTROL!$C$42, 7.6086, 7.6086) * CHOOSE(CONTROL!$C$21, $C$9, 100%, $E$9)</f>
        <v>7.6086</v>
      </c>
      <c r="I102" s="14">
        <f>CHOOSE(CONTROL!$C$42, 7.4108, 7.4108)* CHOOSE(CONTROL!$C$21, $C$9, 100%, $E$9)</f>
        <v>7.4108000000000001</v>
      </c>
      <c r="J102" s="14">
        <f>CHOOSE(CONTROL!$C$42, 7.3795, 7.3795)* CHOOSE(CONTROL!$C$21, $C$9, 100%, $E$9)</f>
        <v>7.3795000000000002</v>
      </c>
      <c r="K102" s="53">
        <f>CHOOSE(CONTROL!$C$42, 7.4069, 7.4069) * CHOOSE(CONTROL!$C$21, $C$9, 100%, $E$9)</f>
        <v>7.4069000000000003</v>
      </c>
      <c r="L102" s="14">
        <f>CHOOSE(CONTROL!$C$42, 8.1956, 8.1956) * CHOOSE(CONTROL!$C$21, $C$9, 100%, $E$9)</f>
        <v>8.1956000000000007</v>
      </c>
      <c r="M102" s="14">
        <f>CHOOSE(CONTROL!$C$42, 7.236, 7.236) * CHOOSE(CONTROL!$C$21, $C$9, 100%, $E$9)</f>
        <v>7.2359999999999998</v>
      </c>
      <c r="N102" s="14">
        <f>CHOOSE(CONTROL!$C$42, 7.2529, 7.2529) * CHOOSE(CONTROL!$C$21, $C$9, 100%, $E$9)</f>
        <v>7.2529000000000003</v>
      </c>
      <c r="O102" s="14">
        <f>CHOOSE(CONTROL!$C$42, 7.4604, 7.4604) * CHOOSE(CONTROL!$C$21, $C$9, 100%, $E$9)</f>
        <v>7.4603999999999999</v>
      </c>
      <c r="P102" s="14">
        <f>CHOOSE(CONTROL!$C$42, 7.2663, 7.2663) * CHOOSE(CONTROL!$C$21, $C$9, 100%, $E$9)</f>
        <v>7.2663000000000002</v>
      </c>
      <c r="Q102" s="14">
        <f>CHOOSE(CONTROL!$C$42, 8.0551, 8.0551) * CHOOSE(CONTROL!$C$21, $C$9, 100%, $E$9)</f>
        <v>8.0550999999999995</v>
      </c>
      <c r="R102" s="14">
        <f>CHOOSE(CONTROL!$C$42, 8.6622, 8.6622) * CHOOSE(CONTROL!$C$21, $C$9, 100%, $E$9)</f>
        <v>8.6622000000000003</v>
      </c>
      <c r="S102" s="14">
        <f>CHOOSE(CONTROL!$C$42, 7.0615, 7.0615) * CHOOSE(CONTROL!$C$21, $C$9, 100%, $E$9)</f>
        <v>7.0614999999999997</v>
      </c>
      <c r="T1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" s="57">
        <f>(1000*CHOOSE(CONTROL!$C$42, 695, 695)*CHOOSE(CONTROL!$C$42, 0.5599, 0.5599)*CHOOSE(CONTROL!$C$42, 30, 30))/1000000</f>
        <v>11.673914999999997</v>
      </c>
      <c r="V102" s="57">
        <f>(1000*CHOOSE(CONTROL!$C$42, 500, 500)*CHOOSE(CONTROL!$C$42, 0.275, 0.275)*CHOOSE(CONTROL!$C$42, 30, 30))/1000000</f>
        <v>4.125</v>
      </c>
      <c r="W102" s="57">
        <f>(1000*CHOOSE(CONTROL!$C$42, 0.1146, 0.1146)*CHOOSE(CONTROL!$C$42, 121.5, 121.5)*CHOOSE(CONTROL!$C$42, 30, 30))/1000000</f>
        <v>0.417717</v>
      </c>
      <c r="X102" s="57">
        <f>(30*0.1790888*245000/1000000)+(30*0.2374*100000/1000000)</f>
        <v>2.0285026799999999</v>
      </c>
      <c r="Y102" s="57"/>
      <c r="Z102" s="14"/>
      <c r="AA102" s="56"/>
      <c r="AB102" s="50">
        <f>(B102*194.205+C102*267.466+D102*133.845+E102*53.484+F102*40+G102*185+H102*0+I102*100+J102*300)/(194.205+267.466+133.845+53.484+0+40+185+100+300)</f>
        <v>7.4123214155416006</v>
      </c>
      <c r="AC102" s="45">
        <f>(M102*'RAP TEMPLATE-GAS AVAILABILITY'!O101+N102*'RAP TEMPLATE-GAS AVAILABILITY'!P101+O102*'RAP TEMPLATE-GAS AVAILABILITY'!Q101+P102*'RAP TEMPLATE-GAS AVAILABILITY'!R101)/('RAP TEMPLATE-GAS AVAILABILITY'!O101+'RAP TEMPLATE-GAS AVAILABILITY'!P101+'RAP TEMPLATE-GAS AVAILABILITY'!Q101+'RAP TEMPLATE-GAS AVAILABILITY'!R101)</f>
        <v>7.3072115107913662</v>
      </c>
    </row>
    <row r="103" spans="1:29" ht="15.75" x14ac:dyDescent="0.25">
      <c r="A103" s="13">
        <v>44013</v>
      </c>
      <c r="B103" s="14">
        <f>CHOOSE(CONTROL!$C$42, 7.2338, 7.2338) * CHOOSE(CONTROL!$C$21, $C$9, 100%, $E$9)</f>
        <v>7.2337999999999996</v>
      </c>
      <c r="C103" s="14">
        <f>CHOOSE(CONTROL!$C$42, 7.2418, 7.2418) * CHOOSE(CONTROL!$C$21, $C$9, 100%, $E$9)</f>
        <v>7.2417999999999996</v>
      </c>
      <c r="D103" s="14">
        <f>CHOOSE(CONTROL!$C$42, 7.4624, 7.4624) * CHOOSE(CONTROL!$C$21, $C$9, 100%, $E$9)</f>
        <v>7.4623999999999997</v>
      </c>
      <c r="E103" s="14">
        <f>CHOOSE(CONTROL!$C$42, 7.4938, 7.4938) * CHOOSE(CONTROL!$C$21, $C$9, 100%, $E$9)</f>
        <v>7.4938000000000002</v>
      </c>
      <c r="F103" s="14">
        <f>CHOOSE(CONTROL!$C$42, 7.2608, 7.2608)*CHOOSE(CONTROL!$C$21, $C$9, 100%, $E$9)</f>
        <v>7.2607999999999997</v>
      </c>
      <c r="G103" s="14">
        <f>CHOOSE(CONTROL!$C$42, 7.2782, 7.2782)*CHOOSE(CONTROL!$C$21, $C$9, 100%, $E$9)</f>
        <v>7.2782</v>
      </c>
      <c r="H103" s="14">
        <f>CHOOSE(CONTROL!$C$42, 7.4825, 7.4825) * CHOOSE(CONTROL!$C$21, $C$9, 100%, $E$9)</f>
        <v>7.4824999999999999</v>
      </c>
      <c r="I103" s="14">
        <f>CHOOSE(CONTROL!$C$42, 7.2843, 7.2843)* CHOOSE(CONTROL!$C$21, $C$9, 100%, $E$9)</f>
        <v>7.2843</v>
      </c>
      <c r="J103" s="14">
        <f>CHOOSE(CONTROL!$C$42, 7.2538, 7.2538)* CHOOSE(CONTROL!$C$21, $C$9, 100%, $E$9)</f>
        <v>7.2538</v>
      </c>
      <c r="K103" s="53">
        <f>CHOOSE(CONTROL!$C$42, 7.2804, 7.2804) * CHOOSE(CONTROL!$C$21, $C$9, 100%, $E$9)</f>
        <v>7.2804000000000002</v>
      </c>
      <c r="L103" s="14">
        <f>CHOOSE(CONTROL!$C$42, 8.0695, 8.0695) * CHOOSE(CONTROL!$C$21, $C$9, 100%, $E$9)</f>
        <v>8.0694999999999997</v>
      </c>
      <c r="M103" s="14">
        <f>CHOOSE(CONTROL!$C$42, 7.1129, 7.1129) * CHOOSE(CONTROL!$C$21, $C$9, 100%, $E$9)</f>
        <v>7.1128999999999998</v>
      </c>
      <c r="N103" s="14">
        <f>CHOOSE(CONTROL!$C$42, 7.1299, 7.1299) * CHOOSE(CONTROL!$C$21, $C$9, 100%, $E$9)</f>
        <v>7.1299000000000001</v>
      </c>
      <c r="O103" s="14">
        <f>CHOOSE(CONTROL!$C$42, 7.3369, 7.3369) * CHOOSE(CONTROL!$C$21, $C$9, 100%, $E$9)</f>
        <v>7.3369</v>
      </c>
      <c r="P103" s="14">
        <f>CHOOSE(CONTROL!$C$42, 7.1424, 7.1424) * CHOOSE(CONTROL!$C$21, $C$9, 100%, $E$9)</f>
        <v>7.1424000000000003</v>
      </c>
      <c r="Q103" s="14">
        <f>CHOOSE(CONTROL!$C$42, 7.9316, 7.9316) * CHOOSE(CONTROL!$C$21, $C$9, 100%, $E$9)</f>
        <v>7.9316000000000004</v>
      </c>
      <c r="R103" s="14">
        <f>CHOOSE(CONTROL!$C$42, 8.5384, 8.5384) * CHOOSE(CONTROL!$C$21, $C$9, 100%, $E$9)</f>
        <v>8.5383999999999993</v>
      </c>
      <c r="S103" s="14">
        <f>CHOOSE(CONTROL!$C$42, 6.9403, 6.9403) * CHOOSE(CONTROL!$C$21, $C$9, 100%, $E$9)</f>
        <v>6.9402999999999997</v>
      </c>
      <c r="T1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" s="57">
        <f>(1000*CHOOSE(CONTROL!$C$42, 695, 695)*CHOOSE(CONTROL!$C$42, 0.5599, 0.5599)*CHOOSE(CONTROL!$C$42, 31, 31))/1000000</f>
        <v>12.063045499999998</v>
      </c>
      <c r="V103" s="57">
        <f>(1000*CHOOSE(CONTROL!$C$42, 500, 500)*CHOOSE(CONTROL!$C$42, 0.275, 0.275)*CHOOSE(CONTROL!$C$42, 31, 31))/1000000</f>
        <v>4.2625000000000002</v>
      </c>
      <c r="W103" s="57">
        <f>(1000*CHOOSE(CONTROL!$C$42, 0.1146, 0.1146)*CHOOSE(CONTROL!$C$42, 121.5, 121.5)*CHOOSE(CONTROL!$C$42, 31, 31))/1000000</f>
        <v>0.43164089999999994</v>
      </c>
      <c r="X103" s="57">
        <f>(31*0.1790888*245000/1000000)+(31*0.2374*100000/1000000)</f>
        <v>2.0961194359999999</v>
      </c>
      <c r="Y103" s="57"/>
      <c r="Z103" s="14"/>
      <c r="AA103" s="56"/>
      <c r="AB103" s="50">
        <f>(B103*194.205+C103*267.466+D103*133.845+E103*53.484+F103*40+G103*185+H103*0+I103*100+J103*300)/(194.205+267.466+133.845+53.484+0+40+185+100+300)</f>
        <v>7.2863796978021975</v>
      </c>
      <c r="AC103" s="45">
        <f>(M103*'RAP TEMPLATE-GAS AVAILABILITY'!O102+N103*'RAP TEMPLATE-GAS AVAILABILITY'!P102+O103*'RAP TEMPLATE-GAS AVAILABILITY'!Q102+P103*'RAP TEMPLATE-GAS AVAILABILITY'!R102)/('RAP TEMPLATE-GAS AVAILABILITY'!O102+'RAP TEMPLATE-GAS AVAILABILITY'!P102+'RAP TEMPLATE-GAS AVAILABILITY'!Q102+'RAP TEMPLATE-GAS AVAILABILITY'!R102)</f>
        <v>7.183907194244604</v>
      </c>
    </row>
    <row r="104" spans="1:29" ht="15.75" x14ac:dyDescent="0.25">
      <c r="A104" s="13">
        <v>44044</v>
      </c>
      <c r="B104" s="14">
        <f>CHOOSE(CONTROL!$C$42, 6.8912, 6.8912) * CHOOSE(CONTROL!$C$21, $C$9, 100%, $E$9)</f>
        <v>6.8912000000000004</v>
      </c>
      <c r="C104" s="14">
        <f>CHOOSE(CONTROL!$C$42, 6.8992, 6.8992) * CHOOSE(CONTROL!$C$21, $C$9, 100%, $E$9)</f>
        <v>6.8992000000000004</v>
      </c>
      <c r="D104" s="14">
        <f>CHOOSE(CONTROL!$C$42, 7.1198, 7.1198) * CHOOSE(CONTROL!$C$21, $C$9, 100%, $E$9)</f>
        <v>7.1197999999999997</v>
      </c>
      <c r="E104" s="14">
        <f>CHOOSE(CONTROL!$C$42, 7.1513, 7.1513) * CHOOSE(CONTROL!$C$21, $C$9, 100%, $E$9)</f>
        <v>7.1513</v>
      </c>
      <c r="F104" s="14">
        <f>CHOOSE(CONTROL!$C$42, 6.9185, 6.9185)*CHOOSE(CONTROL!$C$21, $C$9, 100%, $E$9)</f>
        <v>6.9184999999999999</v>
      </c>
      <c r="G104" s="14">
        <f>CHOOSE(CONTROL!$C$42, 6.936, 6.936)*CHOOSE(CONTROL!$C$21, $C$9, 100%, $E$9)</f>
        <v>6.9359999999999999</v>
      </c>
      <c r="H104" s="14">
        <f>CHOOSE(CONTROL!$C$42, 7.1399, 7.1399) * CHOOSE(CONTROL!$C$21, $C$9, 100%, $E$9)</f>
        <v>7.1398999999999999</v>
      </c>
      <c r="I104" s="14">
        <f>CHOOSE(CONTROL!$C$42, 6.9407, 6.9407)* CHOOSE(CONTROL!$C$21, $C$9, 100%, $E$9)</f>
        <v>6.9406999999999996</v>
      </c>
      <c r="J104" s="14">
        <f>CHOOSE(CONTROL!$C$42, 6.9115, 6.9115)* CHOOSE(CONTROL!$C$21, $C$9, 100%, $E$9)</f>
        <v>6.9115000000000002</v>
      </c>
      <c r="K104" s="53">
        <f>CHOOSE(CONTROL!$C$42, 6.9368, 6.9368) * CHOOSE(CONTROL!$C$21, $C$9, 100%, $E$9)</f>
        <v>6.9367999999999999</v>
      </c>
      <c r="L104" s="14">
        <f>CHOOSE(CONTROL!$C$42, 7.7269, 7.7269) * CHOOSE(CONTROL!$C$21, $C$9, 100%, $E$9)</f>
        <v>7.7268999999999997</v>
      </c>
      <c r="M104" s="14">
        <f>CHOOSE(CONTROL!$C$42, 6.7776, 6.7776) * CHOOSE(CONTROL!$C$21, $C$9, 100%, $E$9)</f>
        <v>6.7775999999999996</v>
      </c>
      <c r="N104" s="14">
        <f>CHOOSE(CONTROL!$C$42, 6.7947, 6.7947) * CHOOSE(CONTROL!$C$21, $C$9, 100%, $E$9)</f>
        <v>6.7946999999999997</v>
      </c>
      <c r="O104" s="14">
        <f>CHOOSE(CONTROL!$C$42, 7.0013, 7.0013) * CHOOSE(CONTROL!$C$21, $C$9, 100%, $E$9)</f>
        <v>7.0012999999999996</v>
      </c>
      <c r="P104" s="14">
        <f>CHOOSE(CONTROL!$C$42, 6.8058, 6.8058) * CHOOSE(CONTROL!$C$21, $C$9, 100%, $E$9)</f>
        <v>6.8057999999999996</v>
      </c>
      <c r="Q104" s="14">
        <f>CHOOSE(CONTROL!$C$42, 7.596, 7.596) * CHOOSE(CONTROL!$C$21, $C$9, 100%, $E$9)</f>
        <v>7.5960000000000001</v>
      </c>
      <c r="R104" s="14">
        <f>CHOOSE(CONTROL!$C$42, 8.202, 8.202) * CHOOSE(CONTROL!$C$21, $C$9, 100%, $E$9)</f>
        <v>8.202</v>
      </c>
      <c r="S104" s="14">
        <f>CHOOSE(CONTROL!$C$42, 6.6111, 6.6111) * CHOOSE(CONTROL!$C$21, $C$9, 100%, $E$9)</f>
        <v>6.6111000000000004</v>
      </c>
      <c r="T1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" s="57">
        <f>(1000*CHOOSE(CONTROL!$C$42, 695, 695)*CHOOSE(CONTROL!$C$42, 0.5599, 0.5599)*CHOOSE(CONTROL!$C$42, 31, 31))/1000000</f>
        <v>12.063045499999998</v>
      </c>
      <c r="V104" s="57">
        <f>(1000*CHOOSE(CONTROL!$C$42, 500, 500)*CHOOSE(CONTROL!$C$42, 0.275, 0.275)*CHOOSE(CONTROL!$C$42, 31, 31))/1000000</f>
        <v>4.2625000000000002</v>
      </c>
      <c r="W104" s="57">
        <f>(1000*CHOOSE(CONTROL!$C$42, 0.1146, 0.1146)*CHOOSE(CONTROL!$C$42, 121.5, 121.5)*CHOOSE(CONTROL!$C$42, 31, 31))/1000000</f>
        <v>0.43164089999999994</v>
      </c>
      <c r="X104" s="57">
        <f>(31*0.1790888*245000/1000000)+(31*0.2374*100000/1000000)</f>
        <v>2.0961194359999999</v>
      </c>
      <c r="Y104" s="57"/>
      <c r="Z104" s="14"/>
      <c r="AA104" s="56"/>
      <c r="AB104" s="50">
        <f>(B104*194.205+C104*267.466+D104*133.845+E104*53.484+F104*40+G104*185+H104*0+I104*100+J104*300)/(194.205+267.466+133.845+53.484+0+40+185+100+300)</f>
        <v>6.9438435505494507</v>
      </c>
      <c r="AC104" s="45">
        <f>(M104*'RAP TEMPLATE-GAS AVAILABILITY'!O103+N104*'RAP TEMPLATE-GAS AVAILABILITY'!P103+O104*'RAP TEMPLATE-GAS AVAILABILITY'!Q103+P104*'RAP TEMPLATE-GAS AVAILABILITY'!R103)/('RAP TEMPLATE-GAS AVAILABILITY'!O103+'RAP TEMPLATE-GAS AVAILABILITY'!P103+'RAP TEMPLATE-GAS AVAILABILITY'!Q103+'RAP TEMPLATE-GAS AVAILABILITY'!R103)</f>
        <v>6.8483589928057551</v>
      </c>
    </row>
    <row r="105" spans="1:29" ht="15.75" x14ac:dyDescent="0.25">
      <c r="A105" s="13">
        <v>44075</v>
      </c>
      <c r="B105" s="14">
        <f>CHOOSE(CONTROL!$C$42, 6.4675, 6.4675) * CHOOSE(CONTROL!$C$21, $C$9, 100%, $E$9)</f>
        <v>6.4675000000000002</v>
      </c>
      <c r="C105" s="14">
        <f>CHOOSE(CONTROL!$C$42, 6.4755, 6.4755) * CHOOSE(CONTROL!$C$21, $C$9, 100%, $E$9)</f>
        <v>6.4755000000000003</v>
      </c>
      <c r="D105" s="14">
        <f>CHOOSE(CONTROL!$C$42, 6.6961, 6.6961) * CHOOSE(CONTROL!$C$21, $C$9, 100%, $E$9)</f>
        <v>6.6961000000000004</v>
      </c>
      <c r="E105" s="14">
        <f>CHOOSE(CONTROL!$C$42, 6.7276, 6.7276) * CHOOSE(CONTROL!$C$21, $C$9, 100%, $E$9)</f>
        <v>6.7275999999999998</v>
      </c>
      <c r="F105" s="14">
        <f>CHOOSE(CONTROL!$C$42, 6.4948, 6.4948)*CHOOSE(CONTROL!$C$21, $C$9, 100%, $E$9)</f>
        <v>6.4947999999999997</v>
      </c>
      <c r="G105" s="14">
        <f>CHOOSE(CONTROL!$C$42, 6.5122, 6.5122)*CHOOSE(CONTROL!$C$21, $C$9, 100%, $E$9)</f>
        <v>6.5122</v>
      </c>
      <c r="H105" s="14">
        <f>CHOOSE(CONTROL!$C$42, 6.7162, 6.7162) * CHOOSE(CONTROL!$C$21, $C$9, 100%, $E$9)</f>
        <v>6.7161999999999997</v>
      </c>
      <c r="I105" s="14">
        <f>CHOOSE(CONTROL!$C$42, 6.5156, 6.5156)* CHOOSE(CONTROL!$C$21, $C$9, 100%, $E$9)</f>
        <v>6.5156000000000001</v>
      </c>
      <c r="J105" s="14">
        <f>CHOOSE(CONTROL!$C$42, 6.4878, 6.4878)* CHOOSE(CONTROL!$C$21, $C$9, 100%, $E$9)</f>
        <v>6.4878</v>
      </c>
      <c r="K105" s="53">
        <f>CHOOSE(CONTROL!$C$42, 6.5117, 6.5117) * CHOOSE(CONTROL!$C$21, $C$9, 100%, $E$9)</f>
        <v>6.5117000000000003</v>
      </c>
      <c r="L105" s="14">
        <f>CHOOSE(CONTROL!$C$42, 7.3032, 7.3032) * CHOOSE(CONTROL!$C$21, $C$9, 100%, $E$9)</f>
        <v>7.3032000000000004</v>
      </c>
      <c r="M105" s="14">
        <f>CHOOSE(CONTROL!$C$42, 6.3626, 6.3626) * CHOOSE(CONTROL!$C$21, $C$9, 100%, $E$9)</f>
        <v>6.3625999999999996</v>
      </c>
      <c r="N105" s="14">
        <f>CHOOSE(CONTROL!$C$42, 6.3796, 6.3796) * CHOOSE(CONTROL!$C$21, $C$9, 100%, $E$9)</f>
        <v>6.3795999999999999</v>
      </c>
      <c r="O105" s="14">
        <f>CHOOSE(CONTROL!$C$42, 6.5863, 6.5863) * CHOOSE(CONTROL!$C$21, $C$9, 100%, $E$9)</f>
        <v>6.5862999999999996</v>
      </c>
      <c r="P105" s="14">
        <f>CHOOSE(CONTROL!$C$42, 6.3895, 6.3895) * CHOOSE(CONTROL!$C$21, $C$9, 100%, $E$9)</f>
        <v>6.3895</v>
      </c>
      <c r="Q105" s="14">
        <f>CHOOSE(CONTROL!$C$42, 7.181, 7.181) * CHOOSE(CONTROL!$C$21, $C$9, 100%, $E$9)</f>
        <v>7.181</v>
      </c>
      <c r="R105" s="14">
        <f>CHOOSE(CONTROL!$C$42, 7.7859, 7.7859) * CHOOSE(CONTROL!$C$21, $C$9, 100%, $E$9)</f>
        <v>7.7858999999999998</v>
      </c>
      <c r="S105" s="14">
        <f>CHOOSE(CONTROL!$C$42, 6.204, 6.204) * CHOOSE(CONTROL!$C$21, $C$9, 100%, $E$9)</f>
        <v>6.2039999999999997</v>
      </c>
      <c r="T1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" s="57">
        <f>(1000*CHOOSE(CONTROL!$C$42, 695, 695)*CHOOSE(CONTROL!$C$42, 0.5599, 0.5599)*CHOOSE(CONTROL!$C$42, 30, 30))/1000000</f>
        <v>11.673914999999997</v>
      </c>
      <c r="V105" s="57">
        <f>(1000*CHOOSE(CONTROL!$C$42, 500, 500)*CHOOSE(CONTROL!$C$42, 0.275, 0.275)*CHOOSE(CONTROL!$C$42, 30, 30))/1000000</f>
        <v>4.125</v>
      </c>
      <c r="W105" s="57">
        <f>(1000*CHOOSE(CONTROL!$C$42, 0.1146, 0.1146)*CHOOSE(CONTROL!$C$42, 121.5, 121.5)*CHOOSE(CONTROL!$C$42, 30, 30))/1000000</f>
        <v>0.417717</v>
      </c>
      <c r="X105" s="57">
        <f>(30*0.1790888*245000/1000000)+(30*0.2374*100000/1000000)</f>
        <v>2.0285026799999999</v>
      </c>
      <c r="Y105" s="57"/>
      <c r="Z105" s="14"/>
      <c r="AA105" s="56"/>
      <c r="AB105" s="50">
        <f>(B105*194.205+C105*267.466+D105*133.845+E105*53.484+F105*40+G105*185+H105*0+I105*100+J105*300)/(194.205+267.466+133.845+53.484+0+40+185+100+300)</f>
        <v>6.5200191392464681</v>
      </c>
      <c r="AC105" s="45">
        <f>(M105*'RAP TEMPLATE-GAS AVAILABILITY'!O104+N105*'RAP TEMPLATE-GAS AVAILABILITY'!P104+O105*'RAP TEMPLATE-GAS AVAILABILITY'!Q104+P105*'RAP TEMPLATE-GAS AVAILABILITY'!R104)/('RAP TEMPLATE-GAS AVAILABILITY'!O104+'RAP TEMPLATE-GAS AVAILABILITY'!P104+'RAP TEMPLATE-GAS AVAILABILITY'!Q104+'RAP TEMPLATE-GAS AVAILABILITY'!R104)</f>
        <v>6.4331489208633093</v>
      </c>
    </row>
    <row r="106" spans="1:29" ht="15.75" x14ac:dyDescent="0.25">
      <c r="A106" s="13">
        <v>44105</v>
      </c>
      <c r="B106" s="14">
        <f>CHOOSE(CONTROL!$C$42, 6.3477, 6.3477) * CHOOSE(CONTROL!$C$21, $C$9, 100%, $E$9)</f>
        <v>6.3476999999999997</v>
      </c>
      <c r="C106" s="14">
        <f>CHOOSE(CONTROL!$C$42, 6.353, 6.353) * CHOOSE(CONTROL!$C$21, $C$9, 100%, $E$9)</f>
        <v>6.3529999999999998</v>
      </c>
      <c r="D106" s="14">
        <f>CHOOSE(CONTROL!$C$42, 6.5786, 6.5786) * CHOOSE(CONTROL!$C$21, $C$9, 100%, $E$9)</f>
        <v>6.5785999999999998</v>
      </c>
      <c r="E106" s="14">
        <f>CHOOSE(CONTROL!$C$42, 6.6077, 6.6077) * CHOOSE(CONTROL!$C$21, $C$9, 100%, $E$9)</f>
        <v>6.6077000000000004</v>
      </c>
      <c r="F106" s="14">
        <f>CHOOSE(CONTROL!$C$42, 6.377, 6.377)*CHOOSE(CONTROL!$C$21, $C$9, 100%, $E$9)</f>
        <v>6.3769999999999998</v>
      </c>
      <c r="G106" s="14">
        <f>CHOOSE(CONTROL!$C$42, 6.3943, 6.3943)*CHOOSE(CONTROL!$C$21, $C$9, 100%, $E$9)</f>
        <v>6.3943000000000003</v>
      </c>
      <c r="H106" s="14">
        <f>CHOOSE(CONTROL!$C$42, 6.5981, 6.5981) * CHOOSE(CONTROL!$C$21, $C$9, 100%, $E$9)</f>
        <v>6.5980999999999996</v>
      </c>
      <c r="I106" s="14">
        <f>CHOOSE(CONTROL!$C$42, 6.3972, 6.3972)* CHOOSE(CONTROL!$C$21, $C$9, 100%, $E$9)</f>
        <v>6.3971999999999998</v>
      </c>
      <c r="J106" s="14">
        <f>CHOOSE(CONTROL!$C$42, 6.37, 6.37)* CHOOSE(CONTROL!$C$21, $C$9, 100%, $E$9)</f>
        <v>6.37</v>
      </c>
      <c r="K106" s="53">
        <f>CHOOSE(CONTROL!$C$42, 6.3933, 6.3933) * CHOOSE(CONTROL!$C$21, $C$9, 100%, $E$9)</f>
        <v>6.3933</v>
      </c>
      <c r="L106" s="14">
        <f>CHOOSE(CONTROL!$C$42, 7.1851, 7.1851) * CHOOSE(CONTROL!$C$21, $C$9, 100%, $E$9)</f>
        <v>7.1851000000000003</v>
      </c>
      <c r="M106" s="14">
        <f>CHOOSE(CONTROL!$C$42, 6.2472, 6.2472) * CHOOSE(CONTROL!$C$21, $C$9, 100%, $E$9)</f>
        <v>6.2472000000000003</v>
      </c>
      <c r="N106" s="14">
        <f>CHOOSE(CONTROL!$C$42, 6.2641, 6.2641) * CHOOSE(CONTROL!$C$21, $C$9, 100%, $E$9)</f>
        <v>6.2641</v>
      </c>
      <c r="O106" s="14">
        <f>CHOOSE(CONTROL!$C$42, 6.4706, 6.4706) * CHOOSE(CONTROL!$C$21, $C$9, 100%, $E$9)</f>
        <v>6.4706000000000001</v>
      </c>
      <c r="P106" s="14">
        <f>CHOOSE(CONTROL!$C$42, 6.2735, 6.2735) * CHOOSE(CONTROL!$C$21, $C$9, 100%, $E$9)</f>
        <v>6.2735000000000003</v>
      </c>
      <c r="Q106" s="14">
        <f>CHOOSE(CONTROL!$C$42, 7.0653, 7.0653) * CHOOSE(CONTROL!$C$21, $C$9, 100%, $E$9)</f>
        <v>7.0652999999999997</v>
      </c>
      <c r="R106" s="14">
        <f>CHOOSE(CONTROL!$C$42, 7.67, 7.67) * CHOOSE(CONTROL!$C$21, $C$9, 100%, $E$9)</f>
        <v>7.67</v>
      </c>
      <c r="S106" s="14">
        <f>CHOOSE(CONTROL!$C$42, 6.0905, 6.0905) * CHOOSE(CONTROL!$C$21, $C$9, 100%, $E$9)</f>
        <v>6.0904999999999996</v>
      </c>
      <c r="T1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6" s="57">
        <f>(1000*CHOOSE(CONTROL!$C$42, 695, 695)*CHOOSE(CONTROL!$C$42, 0.5599, 0.5599)*CHOOSE(CONTROL!$C$42, 31, 31))/1000000</f>
        <v>12.063045499999998</v>
      </c>
      <c r="V106" s="57">
        <f>(1000*CHOOSE(CONTROL!$C$42, 500, 500)*CHOOSE(CONTROL!$C$42, 0.275, 0.275)*CHOOSE(CONTROL!$C$42, 31, 31))/1000000</f>
        <v>4.2625000000000002</v>
      </c>
      <c r="W106" s="57">
        <f>(1000*CHOOSE(CONTROL!$C$42, 0.1146, 0.1146)*CHOOSE(CONTROL!$C$42, 121.5, 121.5)*CHOOSE(CONTROL!$C$42, 31, 31))/1000000</f>
        <v>0.43164089999999994</v>
      </c>
      <c r="X106" s="57">
        <f>(31*0.1790888*245000/1000000)+(31*0.2374*100000/1000000)</f>
        <v>2.0961194359999999</v>
      </c>
      <c r="Y106" s="57"/>
      <c r="Z106" s="14"/>
      <c r="AA106" s="56"/>
      <c r="AB106" s="50">
        <f>(B106*131.881+C106*277.167+D106*79.08+E106*125.872+F106*40+G106*185+H106*0+I106*100+J106*300)/(131.881+277.167+79.08+125.872+0+40+185+100+300)</f>
        <v>6.4073354133171909</v>
      </c>
      <c r="AC106" s="45">
        <f>(M106*'RAP TEMPLATE-GAS AVAILABILITY'!O105+N106*'RAP TEMPLATE-GAS AVAILABILITY'!P105+O106*'RAP TEMPLATE-GAS AVAILABILITY'!Q105+P106*'RAP TEMPLATE-GAS AVAILABILITY'!R105)/('RAP TEMPLATE-GAS AVAILABILITY'!O105+'RAP TEMPLATE-GAS AVAILABILITY'!P105+'RAP TEMPLATE-GAS AVAILABILITY'!Q105+'RAP TEMPLATE-GAS AVAILABILITY'!R105)</f>
        <v>6.3175553956834536</v>
      </c>
    </row>
    <row r="107" spans="1:29" ht="15.75" x14ac:dyDescent="0.25">
      <c r="A107" s="13">
        <v>44136</v>
      </c>
      <c r="B107" s="14">
        <f>CHOOSE(CONTROL!$C$42, 6.5276, 6.5276) * CHOOSE(CONTROL!$C$21, $C$9, 100%, $E$9)</f>
        <v>6.5275999999999996</v>
      </c>
      <c r="C107" s="14">
        <f>CHOOSE(CONTROL!$C$42, 6.5327, 6.5327) * CHOOSE(CONTROL!$C$21, $C$9, 100%, $E$9)</f>
        <v>6.5327000000000002</v>
      </c>
      <c r="D107" s="14">
        <f>CHOOSE(CONTROL!$C$42, 6.6069, 6.6069) * CHOOSE(CONTROL!$C$21, $C$9, 100%, $E$9)</f>
        <v>6.6069000000000004</v>
      </c>
      <c r="E107" s="14">
        <f>CHOOSE(CONTROL!$C$42, 6.641, 6.641) * CHOOSE(CONTROL!$C$21, $C$9, 100%, $E$9)</f>
        <v>6.641</v>
      </c>
      <c r="F107" s="14">
        <f>CHOOSE(CONTROL!$C$42, 6.5637, 6.5637)*CHOOSE(CONTROL!$C$21, $C$9, 100%, $E$9)</f>
        <v>6.5636999999999999</v>
      </c>
      <c r="G107" s="14">
        <f>CHOOSE(CONTROL!$C$42, 6.5812, 6.5812)*CHOOSE(CONTROL!$C$21, $C$9, 100%, $E$9)</f>
        <v>6.5811999999999999</v>
      </c>
      <c r="H107" s="14">
        <f>CHOOSE(CONTROL!$C$42, 6.6302, 6.6302) * CHOOSE(CONTROL!$C$21, $C$9, 100%, $E$9)</f>
        <v>6.6302000000000003</v>
      </c>
      <c r="I107" s="14">
        <f>CHOOSE(CONTROL!$C$42, 6.5755, 6.5755)* CHOOSE(CONTROL!$C$21, $C$9, 100%, $E$9)</f>
        <v>6.5754999999999999</v>
      </c>
      <c r="J107" s="14">
        <f>CHOOSE(CONTROL!$C$42, 6.5567, 6.5567)* CHOOSE(CONTROL!$C$21, $C$9, 100%, $E$9)</f>
        <v>6.5567000000000002</v>
      </c>
      <c r="K107" s="53">
        <f>CHOOSE(CONTROL!$C$42, 6.5716, 6.5716) * CHOOSE(CONTROL!$C$21, $C$9, 100%, $E$9)</f>
        <v>6.5716000000000001</v>
      </c>
      <c r="L107" s="14">
        <f>CHOOSE(CONTROL!$C$42, 7.2172, 7.2172) * CHOOSE(CONTROL!$C$21, $C$9, 100%, $E$9)</f>
        <v>7.2172000000000001</v>
      </c>
      <c r="M107" s="14">
        <f>CHOOSE(CONTROL!$C$42, 6.43, 6.43) * CHOOSE(CONTROL!$C$21, $C$9, 100%, $E$9)</f>
        <v>6.43</v>
      </c>
      <c r="N107" s="14">
        <f>CHOOSE(CONTROL!$C$42, 6.4472, 6.4472) * CHOOSE(CONTROL!$C$21, $C$9, 100%, $E$9)</f>
        <v>6.4471999999999996</v>
      </c>
      <c r="O107" s="14">
        <f>CHOOSE(CONTROL!$C$42, 6.5021, 6.5021) * CHOOSE(CONTROL!$C$21, $C$9, 100%, $E$9)</f>
        <v>6.5021000000000004</v>
      </c>
      <c r="P107" s="14">
        <f>CHOOSE(CONTROL!$C$42, 6.4482, 6.4482) * CHOOSE(CONTROL!$C$21, $C$9, 100%, $E$9)</f>
        <v>6.4481999999999999</v>
      </c>
      <c r="Q107" s="14">
        <f>CHOOSE(CONTROL!$C$42, 7.0968, 7.0968) * CHOOSE(CONTROL!$C$21, $C$9, 100%, $E$9)</f>
        <v>7.0968</v>
      </c>
      <c r="R107" s="14">
        <f>CHOOSE(CONTROL!$C$42, 7.7015, 7.7015) * CHOOSE(CONTROL!$C$21, $C$9, 100%, $E$9)</f>
        <v>7.7015000000000002</v>
      </c>
      <c r="S107" s="14">
        <f>CHOOSE(CONTROL!$C$42, 6.2639, 6.2639) * CHOOSE(CONTROL!$C$21, $C$9, 100%, $E$9)</f>
        <v>6.2638999999999996</v>
      </c>
      <c r="T1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7" s="57">
        <f>(1000*CHOOSE(CONTROL!$C$42, 695, 695)*CHOOSE(CONTROL!$C$42, 0.5599, 0.5599)*CHOOSE(CONTROL!$C$42, 30, 30))/1000000</f>
        <v>11.673914999999997</v>
      </c>
      <c r="V107" s="57">
        <f>(1000*CHOOSE(CONTROL!$C$42, 500, 500)*CHOOSE(CONTROL!$C$42, 0.275, 0.275)*CHOOSE(CONTROL!$C$42, 30, 30))/1000000</f>
        <v>4.125</v>
      </c>
      <c r="W107" s="57">
        <f>(1000*CHOOSE(CONTROL!$C$42, 0.1146, 0.1146)*CHOOSE(CONTROL!$C$42, 121.5, 121.5)*CHOOSE(CONTROL!$C$42, 30, 30))/1000000</f>
        <v>0.417717</v>
      </c>
      <c r="X107" s="57">
        <f>(30*0.1790888*100000/1000000)+(30*0.2374*100000/1000000)</f>
        <v>1.2494664</v>
      </c>
      <c r="Y107" s="57"/>
      <c r="Z107" s="14"/>
      <c r="AA107" s="56"/>
      <c r="AB107" s="50">
        <f>(B107*122.58+C107*297.941+D107*89.177+E107*40.302+F107*40+G107*160+H107*0+I107*100+J107*300)/(122.58+297.941+89.177+40.302+0+40+160+100+300)</f>
        <v>6.5595143321739133</v>
      </c>
      <c r="AC107" s="45">
        <f>(M107*'RAP TEMPLATE-GAS AVAILABILITY'!O106+N107*'RAP TEMPLATE-GAS AVAILABILITY'!P106+O107*'RAP TEMPLATE-GAS AVAILABILITY'!Q106+P107*'RAP TEMPLATE-GAS AVAILABILITY'!R106)/('RAP TEMPLATE-GAS AVAILABILITY'!O106+'RAP TEMPLATE-GAS AVAILABILITY'!P106+'RAP TEMPLATE-GAS AVAILABILITY'!Q106+'RAP TEMPLATE-GAS AVAILABILITY'!R106)</f>
        <v>6.4662870503597114</v>
      </c>
    </row>
    <row r="108" spans="1:29" ht="15.75" x14ac:dyDescent="0.25">
      <c r="A108" s="13">
        <v>44166</v>
      </c>
      <c r="B108" s="14">
        <f>CHOOSE(CONTROL!$C$42, 6.9864, 6.9864) * CHOOSE(CONTROL!$C$21, $C$9, 100%, $E$9)</f>
        <v>6.9863999999999997</v>
      </c>
      <c r="C108" s="14">
        <f>CHOOSE(CONTROL!$C$42, 6.9914, 6.9914) * CHOOSE(CONTROL!$C$21, $C$9, 100%, $E$9)</f>
        <v>6.9913999999999996</v>
      </c>
      <c r="D108" s="14">
        <f>CHOOSE(CONTROL!$C$42, 7.0656, 7.0656) * CHOOSE(CONTROL!$C$21, $C$9, 100%, $E$9)</f>
        <v>7.0655999999999999</v>
      </c>
      <c r="E108" s="14">
        <f>CHOOSE(CONTROL!$C$42, 7.0997, 7.0997) * CHOOSE(CONTROL!$C$21, $C$9, 100%, $E$9)</f>
        <v>7.0997000000000003</v>
      </c>
      <c r="F108" s="14">
        <f>CHOOSE(CONTROL!$C$42, 7.0248, 7.0248)*CHOOSE(CONTROL!$C$21, $C$9, 100%, $E$9)</f>
        <v>7.0247999999999999</v>
      </c>
      <c r="G108" s="14">
        <f>CHOOSE(CONTROL!$C$42, 7.0429, 7.0429)*CHOOSE(CONTROL!$C$21, $C$9, 100%, $E$9)</f>
        <v>7.0429000000000004</v>
      </c>
      <c r="H108" s="14">
        <f>CHOOSE(CONTROL!$C$42, 7.0889, 7.0889) * CHOOSE(CONTROL!$C$21, $C$9, 100%, $E$9)</f>
        <v>7.0888999999999998</v>
      </c>
      <c r="I108" s="14">
        <f>CHOOSE(CONTROL!$C$42, 7.0357, 7.0357)* CHOOSE(CONTROL!$C$21, $C$9, 100%, $E$9)</f>
        <v>7.0357000000000003</v>
      </c>
      <c r="J108" s="14">
        <f>CHOOSE(CONTROL!$C$42, 7.0178, 7.0178)* CHOOSE(CONTROL!$C$21, $C$9, 100%, $E$9)</f>
        <v>7.0178000000000003</v>
      </c>
      <c r="K108" s="53">
        <f>CHOOSE(CONTROL!$C$42, 7.0318, 7.0318) * CHOOSE(CONTROL!$C$21, $C$9, 100%, $E$9)</f>
        <v>7.0317999999999996</v>
      </c>
      <c r="L108" s="14">
        <f>CHOOSE(CONTROL!$C$42, 7.6759, 7.6759) * CHOOSE(CONTROL!$C$21, $C$9, 100%, $E$9)</f>
        <v>7.6759000000000004</v>
      </c>
      <c r="M108" s="14">
        <f>CHOOSE(CONTROL!$C$42, 6.8817, 6.8817) * CHOOSE(CONTROL!$C$21, $C$9, 100%, $E$9)</f>
        <v>6.8817000000000004</v>
      </c>
      <c r="N108" s="14">
        <f>CHOOSE(CONTROL!$C$42, 6.8994, 6.8994) * CHOOSE(CONTROL!$C$21, $C$9, 100%, $E$9)</f>
        <v>6.8994</v>
      </c>
      <c r="O108" s="14">
        <f>CHOOSE(CONTROL!$C$42, 6.9514, 6.9514) * CHOOSE(CONTROL!$C$21, $C$9, 100%, $E$9)</f>
        <v>6.9513999999999996</v>
      </c>
      <c r="P108" s="14">
        <f>CHOOSE(CONTROL!$C$42, 6.8989, 6.8989) * CHOOSE(CONTROL!$C$21, $C$9, 100%, $E$9)</f>
        <v>6.8989000000000003</v>
      </c>
      <c r="Q108" s="14">
        <f>CHOOSE(CONTROL!$C$42, 7.5461, 7.5461) * CHOOSE(CONTROL!$C$21, $C$9, 100%, $E$9)</f>
        <v>7.5461</v>
      </c>
      <c r="R108" s="14">
        <f>CHOOSE(CONTROL!$C$42, 8.152, 8.152) * CHOOSE(CONTROL!$C$21, $C$9, 100%, $E$9)</f>
        <v>8.1519999999999992</v>
      </c>
      <c r="S108" s="14">
        <f>CHOOSE(CONTROL!$C$42, 6.7046, 6.7046) * CHOOSE(CONTROL!$C$21, $C$9, 100%, $E$9)</f>
        <v>6.7046000000000001</v>
      </c>
      <c r="T1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8" s="57">
        <f>(1000*CHOOSE(CONTROL!$C$42, 695, 695)*CHOOSE(CONTROL!$C$42, 0.5599, 0.5599)*CHOOSE(CONTROL!$C$42, 31, 31))/1000000</f>
        <v>12.063045499999998</v>
      </c>
      <c r="V108" s="57">
        <f>(1000*CHOOSE(CONTROL!$C$42, 500, 500)*CHOOSE(CONTROL!$C$42, 0.275, 0.275)*CHOOSE(CONTROL!$C$42, 31, 31))/1000000</f>
        <v>4.2625000000000002</v>
      </c>
      <c r="W108" s="57">
        <f>(1000*CHOOSE(CONTROL!$C$42, 0.1146, 0.1146)*CHOOSE(CONTROL!$C$42, 121.5, 121.5)*CHOOSE(CONTROL!$C$42, 31, 31))/1000000</f>
        <v>0.43164089999999994</v>
      </c>
      <c r="X108" s="57">
        <f>(31*0.1790888*100000/1000000)+(31*0.2374*100000/1000000)</f>
        <v>1.2911152800000001</v>
      </c>
      <c r="Y108" s="57"/>
      <c r="Z108" s="14"/>
      <c r="AA108" s="56"/>
      <c r="AB108" s="50">
        <f>(B108*122.58+C108*297.941+D108*89.177+E108*40.302+F108*40+G108*160+H108*0+I108*100+J108*300)/(122.58+297.941+89.177+40.302+0+40+160+100+300)</f>
        <v>7.0194823826086958</v>
      </c>
      <c r="AC108" s="45">
        <f>(M108*'RAP TEMPLATE-GAS AVAILABILITY'!O107+N108*'RAP TEMPLATE-GAS AVAILABILITY'!P107+O108*'RAP TEMPLATE-GAS AVAILABILITY'!Q107+P108*'RAP TEMPLATE-GAS AVAILABILITY'!R107)/('RAP TEMPLATE-GAS AVAILABILITY'!O107+'RAP TEMPLATE-GAS AVAILABILITY'!P107+'RAP TEMPLATE-GAS AVAILABILITY'!Q107+'RAP TEMPLATE-GAS AVAILABILITY'!R107)</f>
        <v>6.9167841726618704</v>
      </c>
    </row>
    <row r="109" spans="1:29" ht="15.75" x14ac:dyDescent="0.25">
      <c r="A109" s="13">
        <v>44197</v>
      </c>
      <c r="B109" s="14">
        <f>CHOOSE(CONTROL!$C$42, 7.5344, 7.5344) * CHOOSE(CONTROL!$C$21, $C$9, 100%, $E$9)</f>
        <v>7.5343999999999998</v>
      </c>
      <c r="C109" s="14">
        <f>CHOOSE(CONTROL!$C$42, 7.5394, 7.5394) * CHOOSE(CONTROL!$C$21, $C$9, 100%, $E$9)</f>
        <v>7.5393999999999997</v>
      </c>
      <c r="D109" s="14">
        <f>CHOOSE(CONTROL!$C$42, 7.6163, 7.6163) * CHOOSE(CONTROL!$C$21, $C$9, 100%, $E$9)</f>
        <v>7.6162999999999998</v>
      </c>
      <c r="E109" s="14">
        <f>CHOOSE(CONTROL!$C$42, 7.6504, 7.6504) * CHOOSE(CONTROL!$C$21, $C$9, 100%, $E$9)</f>
        <v>7.6504000000000003</v>
      </c>
      <c r="F109" s="14">
        <f>CHOOSE(CONTROL!$C$42, 7.5591, 7.5591)*CHOOSE(CONTROL!$C$21, $C$9, 100%, $E$9)</f>
        <v>7.5590999999999999</v>
      </c>
      <c r="G109" s="14">
        <f>CHOOSE(CONTROL!$C$42, 7.5771, 7.5771)*CHOOSE(CONTROL!$C$21, $C$9, 100%, $E$9)</f>
        <v>7.5770999999999997</v>
      </c>
      <c r="H109" s="14">
        <f>CHOOSE(CONTROL!$C$42, 7.6396, 7.6396) * CHOOSE(CONTROL!$C$21, $C$9, 100%, $E$9)</f>
        <v>7.6395999999999997</v>
      </c>
      <c r="I109" s="14">
        <f>CHOOSE(CONTROL!$C$42, 7.5917, 7.5917)* CHOOSE(CONTROL!$C$21, $C$9, 100%, $E$9)</f>
        <v>7.5917000000000003</v>
      </c>
      <c r="J109" s="14">
        <f>CHOOSE(CONTROL!$C$42, 7.5521, 7.5521)* CHOOSE(CONTROL!$C$21, $C$9, 100%, $E$9)</f>
        <v>7.5521000000000003</v>
      </c>
      <c r="K109" s="53">
        <f>CHOOSE(CONTROL!$C$42, 7.5878, 7.5878) * CHOOSE(CONTROL!$C$21, $C$9, 100%, $E$9)</f>
        <v>7.5877999999999997</v>
      </c>
      <c r="L109" s="14">
        <f>CHOOSE(CONTROL!$C$42, 8.2266, 8.2266) * CHOOSE(CONTROL!$C$21, $C$9, 100%, $E$9)</f>
        <v>8.2265999999999995</v>
      </c>
      <c r="M109" s="14">
        <f>CHOOSE(CONTROL!$C$42, 7.4051, 7.4051) * CHOOSE(CONTROL!$C$21, $C$9, 100%, $E$9)</f>
        <v>7.4051</v>
      </c>
      <c r="N109" s="14">
        <f>CHOOSE(CONTROL!$C$42, 7.4227, 7.4227) * CHOOSE(CONTROL!$C$21, $C$9, 100%, $E$9)</f>
        <v>7.4226999999999999</v>
      </c>
      <c r="O109" s="14">
        <f>CHOOSE(CONTROL!$C$42, 7.4907, 7.4907) * CHOOSE(CONTROL!$C$21, $C$9, 100%, $E$9)</f>
        <v>7.4907000000000004</v>
      </c>
      <c r="P109" s="14">
        <f>CHOOSE(CONTROL!$C$42, 7.4434, 7.4434) * CHOOSE(CONTROL!$C$21, $C$9, 100%, $E$9)</f>
        <v>7.4433999999999996</v>
      </c>
      <c r="Q109" s="14">
        <f>CHOOSE(CONTROL!$C$42, 8.0854, 8.0854) * CHOOSE(CONTROL!$C$21, $C$9, 100%, $E$9)</f>
        <v>8.0853999999999999</v>
      </c>
      <c r="R109" s="14">
        <f>CHOOSE(CONTROL!$C$42, 8.6926, 8.6926) * CHOOSE(CONTROL!$C$21, $C$9, 100%, $E$9)</f>
        <v>8.6926000000000005</v>
      </c>
      <c r="S109" s="14">
        <f>CHOOSE(CONTROL!$C$42, 7.2312, 7.2312) * CHOOSE(CONTROL!$C$21, $C$9, 100%, $E$9)</f>
        <v>7.2312000000000003</v>
      </c>
      <c r="T1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9" s="57">
        <f>(1000*CHOOSE(CONTROL!$C$42, 695, 695)*CHOOSE(CONTROL!$C$42, 0.5599, 0.5599)*CHOOSE(CONTROL!$C$42, 31, 31))/1000000</f>
        <v>12.063045499999998</v>
      </c>
      <c r="V109" s="57">
        <f>(1000*CHOOSE(CONTROL!$C$42, 500, 500)*CHOOSE(CONTROL!$C$42, 0.275, 0.275)*CHOOSE(CONTROL!$C$42, 31, 31))/1000000</f>
        <v>4.2625000000000002</v>
      </c>
      <c r="W109" s="57">
        <f>(1000*CHOOSE(CONTROL!$C$42, 0.1146, 0.1146)*CHOOSE(CONTROL!$C$42, 121.5, 121.5)*CHOOSE(CONTROL!$C$42, 31, 31))/1000000</f>
        <v>0.43164089999999994</v>
      </c>
      <c r="X109" s="57">
        <f>(31*0.1790888*100000/1000000)+(31*0.2374*100000/1000000)</f>
        <v>1.2911152800000001</v>
      </c>
      <c r="Y109" s="57"/>
      <c r="Z109" s="14"/>
      <c r="AA109" s="56"/>
      <c r="AB109" s="50">
        <f>(B109*122.58+C109*297.941+D109*89.177+E109*40.302+F109*40+G109*160+H109*0+I109*100+J109*300)/(122.58+297.941+89.177+40.302+0+40+160+100+300)</f>
        <v>7.5625115941739125</v>
      </c>
      <c r="AC109" s="45">
        <f>(M109*'RAP TEMPLATE-GAS AVAILABILITY'!O108+N109*'RAP TEMPLATE-GAS AVAILABILITY'!P108+O109*'RAP TEMPLATE-GAS AVAILABILITY'!Q108+P109*'RAP TEMPLATE-GAS AVAILABILITY'!R108)/('RAP TEMPLATE-GAS AVAILABILITY'!O108+'RAP TEMPLATE-GAS AVAILABILITY'!P108+'RAP TEMPLATE-GAS AVAILABILITY'!Q108+'RAP TEMPLATE-GAS AVAILABILITY'!R108)</f>
        <v>7.4504208633093532</v>
      </c>
    </row>
    <row r="110" spans="1:29" ht="15.75" x14ac:dyDescent="0.25">
      <c r="A110" s="13">
        <v>44228</v>
      </c>
      <c r="B110" s="14">
        <f>CHOOSE(CONTROL!$C$42, 7.6841, 7.6841) * CHOOSE(CONTROL!$C$21, $C$9, 100%, $E$9)</f>
        <v>7.6840999999999999</v>
      </c>
      <c r="C110" s="14">
        <f>CHOOSE(CONTROL!$C$42, 7.6892, 7.6892) * CHOOSE(CONTROL!$C$21, $C$9, 100%, $E$9)</f>
        <v>7.6891999999999996</v>
      </c>
      <c r="D110" s="14">
        <f>CHOOSE(CONTROL!$C$42, 7.766, 7.766) * CHOOSE(CONTROL!$C$21, $C$9, 100%, $E$9)</f>
        <v>7.766</v>
      </c>
      <c r="E110" s="14">
        <f>CHOOSE(CONTROL!$C$42, 7.8001, 7.8001) * CHOOSE(CONTROL!$C$21, $C$9, 100%, $E$9)</f>
        <v>7.8000999999999996</v>
      </c>
      <c r="F110" s="14">
        <f>CHOOSE(CONTROL!$C$42, 7.7084, 7.7084)*CHOOSE(CONTROL!$C$21, $C$9, 100%, $E$9)</f>
        <v>7.7084000000000001</v>
      </c>
      <c r="G110" s="14">
        <f>CHOOSE(CONTROL!$C$42, 7.7263, 7.7263)*CHOOSE(CONTROL!$C$21, $C$9, 100%, $E$9)</f>
        <v>7.7263000000000002</v>
      </c>
      <c r="H110" s="14">
        <f>CHOOSE(CONTROL!$C$42, 7.7893, 7.7893) * CHOOSE(CONTROL!$C$21, $C$9, 100%, $E$9)</f>
        <v>7.7892999999999999</v>
      </c>
      <c r="I110" s="14">
        <f>CHOOSE(CONTROL!$C$42, 7.7419, 7.7419)* CHOOSE(CONTROL!$C$21, $C$9, 100%, $E$9)</f>
        <v>7.7419000000000002</v>
      </c>
      <c r="J110" s="14">
        <f>CHOOSE(CONTROL!$C$42, 7.7014, 7.7014)* CHOOSE(CONTROL!$C$21, $C$9, 100%, $E$9)</f>
        <v>7.7013999999999996</v>
      </c>
      <c r="K110" s="53">
        <f>CHOOSE(CONTROL!$C$42, 7.738, 7.738) * CHOOSE(CONTROL!$C$21, $C$9, 100%, $E$9)</f>
        <v>7.7380000000000004</v>
      </c>
      <c r="L110" s="14">
        <f>CHOOSE(CONTROL!$C$42, 8.3763, 8.3763) * CHOOSE(CONTROL!$C$21, $C$9, 100%, $E$9)</f>
        <v>8.3763000000000005</v>
      </c>
      <c r="M110" s="14">
        <f>CHOOSE(CONTROL!$C$42, 7.5513, 7.5513) * CHOOSE(CONTROL!$C$21, $C$9, 100%, $E$9)</f>
        <v>7.5513000000000003</v>
      </c>
      <c r="N110" s="14">
        <f>CHOOSE(CONTROL!$C$42, 7.5688, 7.5688) * CHOOSE(CONTROL!$C$21, $C$9, 100%, $E$9)</f>
        <v>7.5688000000000004</v>
      </c>
      <c r="O110" s="14">
        <f>CHOOSE(CONTROL!$C$42, 7.6374, 7.6374) * CHOOSE(CONTROL!$C$21, $C$9, 100%, $E$9)</f>
        <v>7.6374000000000004</v>
      </c>
      <c r="P110" s="14">
        <f>CHOOSE(CONTROL!$C$42, 7.5905, 7.5905) * CHOOSE(CONTROL!$C$21, $C$9, 100%, $E$9)</f>
        <v>7.5904999999999996</v>
      </c>
      <c r="Q110" s="14">
        <f>CHOOSE(CONTROL!$C$42, 8.2321, 8.2321) * CHOOSE(CONTROL!$C$21, $C$9, 100%, $E$9)</f>
        <v>8.2321000000000009</v>
      </c>
      <c r="R110" s="14">
        <f>CHOOSE(CONTROL!$C$42, 8.8397, 8.8397) * CHOOSE(CONTROL!$C$21, $C$9, 100%, $E$9)</f>
        <v>8.8397000000000006</v>
      </c>
      <c r="S110" s="14">
        <f>CHOOSE(CONTROL!$C$42, 7.3751, 7.3751) * CHOOSE(CONTROL!$C$21, $C$9, 100%, $E$9)</f>
        <v>7.3750999999999998</v>
      </c>
      <c r="T11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10" s="57">
        <f>(1000*CHOOSE(CONTROL!$C$42, 695, 695)*CHOOSE(CONTROL!$C$42, 0.5599, 0.5599)*CHOOSE(CONTROL!$C$42, 28, 28))/1000000</f>
        <v>10.895653999999999</v>
      </c>
      <c r="V110" s="57">
        <f>(1000*CHOOSE(CONTROL!$C$42, 500, 500)*CHOOSE(CONTROL!$C$42, 0.275, 0.275)*CHOOSE(CONTROL!$C$42, 28, 28))/1000000</f>
        <v>3.85</v>
      </c>
      <c r="W110" s="57">
        <f>(1000*CHOOSE(CONTROL!$C$42, 0.1146, 0.1146)*CHOOSE(CONTROL!$C$42, 121.5, 121.5)*CHOOSE(CONTROL!$C$42, 28, 28))/1000000</f>
        <v>0.38986920000000003</v>
      </c>
      <c r="X110" s="57">
        <f>(28*0.1790888*100000/1000000)+(28*0.2374*100000/1000000)</f>
        <v>1.16616864</v>
      </c>
      <c r="Y110" s="57"/>
      <c r="Z110" s="14"/>
      <c r="AA110" s="56"/>
      <c r="AB110" s="50">
        <f>(B110*122.58+C110*297.941+D110*89.177+E110*40.302+F110*40+G110*160+H110*0+I110*100+J110*300)/(122.58+297.941+89.177+40.302+0+40+160+100+300)</f>
        <v>7.7120931542608693</v>
      </c>
      <c r="AC110" s="45">
        <f>(M110*'RAP TEMPLATE-GAS AVAILABILITY'!O109+N110*'RAP TEMPLATE-GAS AVAILABILITY'!P109+O110*'RAP TEMPLATE-GAS AVAILABILITY'!Q109+P110*'RAP TEMPLATE-GAS AVAILABILITY'!R109)/('RAP TEMPLATE-GAS AVAILABILITY'!O109+'RAP TEMPLATE-GAS AVAILABILITY'!P109+'RAP TEMPLATE-GAS AVAILABILITY'!Q109+'RAP TEMPLATE-GAS AVAILABILITY'!R109)</f>
        <v>7.5969712230215833</v>
      </c>
    </row>
    <row r="111" spans="1:29" ht="15.75" x14ac:dyDescent="0.25">
      <c r="A111" s="13">
        <v>44256</v>
      </c>
      <c r="B111" s="14">
        <f>CHOOSE(CONTROL!$C$42, 7.4816, 7.4816) * CHOOSE(CONTROL!$C$21, $C$9, 100%, $E$9)</f>
        <v>7.4816000000000003</v>
      </c>
      <c r="C111" s="14">
        <f>CHOOSE(CONTROL!$C$42, 7.4866, 7.4866) * CHOOSE(CONTROL!$C$21, $C$9, 100%, $E$9)</f>
        <v>7.4866000000000001</v>
      </c>
      <c r="D111" s="14">
        <f>CHOOSE(CONTROL!$C$42, 7.5635, 7.5635) * CHOOSE(CONTROL!$C$21, $C$9, 100%, $E$9)</f>
        <v>7.5635000000000003</v>
      </c>
      <c r="E111" s="14">
        <f>CHOOSE(CONTROL!$C$42, 7.5976, 7.5976) * CHOOSE(CONTROL!$C$21, $C$9, 100%, $E$9)</f>
        <v>7.5975999999999999</v>
      </c>
      <c r="F111" s="14">
        <f>CHOOSE(CONTROL!$C$42, 7.505, 7.505)*CHOOSE(CONTROL!$C$21, $C$9, 100%, $E$9)</f>
        <v>7.5049999999999999</v>
      </c>
      <c r="G111" s="14">
        <f>CHOOSE(CONTROL!$C$42, 7.5227, 7.5227)*CHOOSE(CONTROL!$C$21, $C$9, 100%, $E$9)</f>
        <v>7.5227000000000004</v>
      </c>
      <c r="H111" s="14">
        <f>CHOOSE(CONTROL!$C$42, 7.5868, 7.5868) * CHOOSE(CONTROL!$C$21, $C$9, 100%, $E$9)</f>
        <v>7.5868000000000002</v>
      </c>
      <c r="I111" s="14">
        <f>CHOOSE(CONTROL!$C$42, 7.5387, 7.5387)* CHOOSE(CONTROL!$C$21, $C$9, 100%, $E$9)</f>
        <v>7.5387000000000004</v>
      </c>
      <c r="J111" s="14">
        <f>CHOOSE(CONTROL!$C$42, 7.498, 7.498)* CHOOSE(CONTROL!$C$21, $C$9, 100%, $E$9)</f>
        <v>7.4980000000000002</v>
      </c>
      <c r="K111" s="53">
        <f>CHOOSE(CONTROL!$C$42, 7.5348, 7.5348) * CHOOSE(CONTROL!$C$21, $C$9, 100%, $E$9)</f>
        <v>7.5347999999999997</v>
      </c>
      <c r="L111" s="14">
        <f>CHOOSE(CONTROL!$C$42, 8.1738, 8.1738) * CHOOSE(CONTROL!$C$21, $C$9, 100%, $E$9)</f>
        <v>8.1738</v>
      </c>
      <c r="M111" s="14">
        <f>CHOOSE(CONTROL!$C$42, 7.3521, 7.3521) * CHOOSE(CONTROL!$C$21, $C$9, 100%, $E$9)</f>
        <v>7.3521000000000001</v>
      </c>
      <c r="N111" s="14">
        <f>CHOOSE(CONTROL!$C$42, 7.3694, 7.3694) * CHOOSE(CONTROL!$C$21, $C$9, 100%, $E$9)</f>
        <v>7.3693999999999997</v>
      </c>
      <c r="O111" s="14">
        <f>CHOOSE(CONTROL!$C$42, 7.439, 7.439) * CHOOSE(CONTROL!$C$21, $C$9, 100%, $E$9)</f>
        <v>7.4390000000000001</v>
      </c>
      <c r="P111" s="14">
        <f>CHOOSE(CONTROL!$C$42, 7.3916, 7.3916) * CHOOSE(CONTROL!$C$21, $C$9, 100%, $E$9)</f>
        <v>7.3916000000000004</v>
      </c>
      <c r="Q111" s="14">
        <f>CHOOSE(CONTROL!$C$42, 8.0337, 8.0337) * CHOOSE(CONTROL!$C$21, $C$9, 100%, $E$9)</f>
        <v>8.0336999999999996</v>
      </c>
      <c r="R111" s="14">
        <f>CHOOSE(CONTROL!$C$42, 8.6408, 8.6408) * CHOOSE(CONTROL!$C$21, $C$9, 100%, $E$9)</f>
        <v>8.6408000000000005</v>
      </c>
      <c r="S111" s="14">
        <f>CHOOSE(CONTROL!$C$42, 7.1805, 7.1805) * CHOOSE(CONTROL!$C$21, $C$9, 100%, $E$9)</f>
        <v>7.1805000000000003</v>
      </c>
      <c r="T1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11" s="57">
        <f>(1000*CHOOSE(CONTROL!$C$42, 695, 695)*CHOOSE(CONTROL!$C$42, 0.5599, 0.5599)*CHOOSE(CONTROL!$C$42, 31, 31))/1000000</f>
        <v>12.063045499999998</v>
      </c>
      <c r="V111" s="57">
        <f>(1000*CHOOSE(CONTROL!$C$42, 500, 500)*CHOOSE(CONTROL!$C$42, 0.275, 0.275)*CHOOSE(CONTROL!$C$42, 31, 31))/1000000</f>
        <v>4.2625000000000002</v>
      </c>
      <c r="W111" s="57">
        <f>(1000*CHOOSE(CONTROL!$C$42, 0.1146, 0.1146)*CHOOSE(CONTROL!$C$42, 121.5, 121.5)*CHOOSE(CONTROL!$C$42, 31, 31))/1000000</f>
        <v>0.43164089999999994</v>
      </c>
      <c r="X111" s="57">
        <f>(31*0.1790888*100000/1000000)+(31*0.2374*100000/1000000)</f>
        <v>1.2911152800000001</v>
      </c>
      <c r="Y111" s="57"/>
      <c r="Z111" s="14"/>
      <c r="AA111" s="56"/>
      <c r="AB111" s="50">
        <f>(B111*122.58+C111*297.941+D111*89.177+E111*40.302+F111*40+G111*160+H111*0+I111*100+J111*300)/(122.58+297.941+89.177+40.302+0+40+160+100+300)</f>
        <v>7.5090872463478266</v>
      </c>
      <c r="AC111" s="45">
        <f>(M111*'RAP TEMPLATE-GAS AVAILABILITY'!O110+N111*'RAP TEMPLATE-GAS AVAILABILITY'!P110+O111*'RAP TEMPLATE-GAS AVAILABILITY'!Q110+P111*'RAP TEMPLATE-GAS AVAILABILITY'!R110)/('RAP TEMPLATE-GAS AVAILABILITY'!O110+'RAP TEMPLATE-GAS AVAILABILITY'!P110+'RAP TEMPLATE-GAS AVAILABILITY'!Q110+'RAP TEMPLATE-GAS AVAILABILITY'!R110)</f>
        <v>7.3981654676258986</v>
      </c>
    </row>
    <row r="112" spans="1:29" ht="15.75" x14ac:dyDescent="0.25">
      <c r="A112" s="13">
        <v>44287</v>
      </c>
      <c r="B112" s="14">
        <f>CHOOSE(CONTROL!$C$42, 7.4756, 7.4756) * CHOOSE(CONTROL!$C$21, $C$9, 100%, $E$9)</f>
        <v>7.4756</v>
      </c>
      <c r="C112" s="14">
        <f>CHOOSE(CONTROL!$C$42, 7.48, 7.48) * CHOOSE(CONTROL!$C$21, $C$9, 100%, $E$9)</f>
        <v>7.48</v>
      </c>
      <c r="D112" s="14">
        <f>CHOOSE(CONTROL!$C$42, 7.7038, 7.7038) * CHOOSE(CONTROL!$C$21, $C$9, 100%, $E$9)</f>
        <v>7.7038000000000002</v>
      </c>
      <c r="E112" s="14">
        <f>CHOOSE(CONTROL!$C$42, 7.7359, 7.7359) * CHOOSE(CONTROL!$C$21, $C$9, 100%, $E$9)</f>
        <v>7.7359</v>
      </c>
      <c r="F112" s="14">
        <f>CHOOSE(CONTROL!$C$42, 7.5032, 7.5032)*CHOOSE(CONTROL!$C$21, $C$9, 100%, $E$9)</f>
        <v>7.5031999999999996</v>
      </c>
      <c r="G112" s="14">
        <f>CHOOSE(CONTROL!$C$42, 7.5201, 7.5201)*CHOOSE(CONTROL!$C$21, $C$9, 100%, $E$9)</f>
        <v>7.5201000000000002</v>
      </c>
      <c r="H112" s="14">
        <f>CHOOSE(CONTROL!$C$42, 7.7257, 7.7257) * CHOOSE(CONTROL!$C$21, $C$9, 100%, $E$9)</f>
        <v>7.7256999999999998</v>
      </c>
      <c r="I112" s="14">
        <f>CHOOSE(CONTROL!$C$42, 7.5283, 7.5283)* CHOOSE(CONTROL!$C$21, $C$9, 100%, $E$9)</f>
        <v>7.5282999999999998</v>
      </c>
      <c r="J112" s="14">
        <f>CHOOSE(CONTROL!$C$42, 7.4962, 7.4962)* CHOOSE(CONTROL!$C$21, $C$9, 100%, $E$9)</f>
        <v>7.4962</v>
      </c>
      <c r="K112" s="53">
        <f>CHOOSE(CONTROL!$C$42, 7.5244, 7.5244) * CHOOSE(CONTROL!$C$21, $C$9, 100%, $E$9)</f>
        <v>7.5244</v>
      </c>
      <c r="L112" s="14">
        <f>CHOOSE(CONTROL!$C$42, 8.3127, 8.3127) * CHOOSE(CONTROL!$C$21, $C$9, 100%, $E$9)</f>
        <v>8.3126999999999995</v>
      </c>
      <c r="M112" s="14">
        <f>CHOOSE(CONTROL!$C$42, 7.3503, 7.3503) * CHOOSE(CONTROL!$C$21, $C$9, 100%, $E$9)</f>
        <v>7.3502999999999998</v>
      </c>
      <c r="N112" s="14">
        <f>CHOOSE(CONTROL!$C$42, 7.3669, 7.3669) * CHOOSE(CONTROL!$C$21, $C$9, 100%, $E$9)</f>
        <v>7.3669000000000002</v>
      </c>
      <c r="O112" s="14">
        <f>CHOOSE(CONTROL!$C$42, 7.5751, 7.5751) * CHOOSE(CONTROL!$C$21, $C$9, 100%, $E$9)</f>
        <v>7.5750999999999999</v>
      </c>
      <c r="P112" s="14">
        <f>CHOOSE(CONTROL!$C$42, 7.3813, 7.3813) * CHOOSE(CONTROL!$C$21, $C$9, 100%, $E$9)</f>
        <v>7.3813000000000004</v>
      </c>
      <c r="Q112" s="14">
        <f>CHOOSE(CONTROL!$C$42, 8.1698, 8.1698) * CHOOSE(CONTROL!$C$21, $C$9, 100%, $E$9)</f>
        <v>8.1698000000000004</v>
      </c>
      <c r="R112" s="14">
        <f>CHOOSE(CONTROL!$C$42, 8.7772, 8.7772) * CHOOSE(CONTROL!$C$21, $C$9, 100%, $E$9)</f>
        <v>8.7772000000000006</v>
      </c>
      <c r="S112" s="14">
        <f>CHOOSE(CONTROL!$C$42, 7.174, 7.174) * CHOOSE(CONTROL!$C$21, $C$9, 100%, $E$9)</f>
        <v>7.1740000000000004</v>
      </c>
      <c r="T1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12" s="57">
        <f>(1000*CHOOSE(CONTROL!$C$42, 695, 695)*CHOOSE(CONTROL!$C$42, 0.5599, 0.5599)*CHOOSE(CONTROL!$C$42, 30, 30))/1000000</f>
        <v>11.673914999999997</v>
      </c>
      <c r="V112" s="57">
        <f>(1000*CHOOSE(CONTROL!$C$42, 500, 500)*CHOOSE(CONTROL!$C$42, 0.275, 0.275)*CHOOSE(CONTROL!$C$42, 30, 30))/1000000</f>
        <v>4.125</v>
      </c>
      <c r="W112" s="57">
        <f>(1000*CHOOSE(CONTROL!$C$42, 0.1146, 0.1146)*CHOOSE(CONTROL!$C$42, 121.5, 121.5)*CHOOSE(CONTROL!$C$42, 30, 30))/1000000</f>
        <v>0.417717</v>
      </c>
      <c r="X112" s="57">
        <f>(30*0.1790888*245000/1000000)+(30*0.2374*100000/1000000)</f>
        <v>2.0285026799999999</v>
      </c>
      <c r="Y112" s="57"/>
      <c r="Z112" s="14"/>
      <c r="AA112" s="56"/>
      <c r="AB112" s="50">
        <f>(B112*141.293+C112*267.993+D112*115.016+E112*89.698+F112*40+G112*185+H112*0+I112*100+J112*300)/(141.293+267.993+115.016+89.698+0+40+185+100+300)</f>
        <v>7.5333568279257461</v>
      </c>
      <c r="AC112" s="45">
        <f>(M112*'RAP TEMPLATE-GAS AVAILABILITY'!O111+N112*'RAP TEMPLATE-GAS AVAILABILITY'!P111+O112*'RAP TEMPLATE-GAS AVAILABILITY'!Q111+P112*'RAP TEMPLATE-GAS AVAILABILITY'!R111)/('RAP TEMPLATE-GAS AVAILABILITY'!O111+'RAP TEMPLATE-GAS AVAILABILITY'!P111+'RAP TEMPLATE-GAS AVAILABILITY'!Q111+'RAP TEMPLATE-GAS AVAILABILITY'!R111)</f>
        <v>7.4216553956834534</v>
      </c>
    </row>
    <row r="113" spans="1:29" ht="15.75" x14ac:dyDescent="0.25">
      <c r="A113" s="13">
        <v>44317</v>
      </c>
      <c r="B113" s="14">
        <f>CHOOSE(CONTROL!$C$42, 7.5584, 7.5584) * CHOOSE(CONTROL!$C$21, $C$9, 100%, $E$9)</f>
        <v>7.5583999999999998</v>
      </c>
      <c r="C113" s="14">
        <f>CHOOSE(CONTROL!$C$42, 7.5664, 7.5664) * CHOOSE(CONTROL!$C$21, $C$9, 100%, $E$9)</f>
        <v>7.5663999999999998</v>
      </c>
      <c r="D113" s="14">
        <f>CHOOSE(CONTROL!$C$42, 7.787, 7.787) * CHOOSE(CONTROL!$C$21, $C$9, 100%, $E$9)</f>
        <v>7.7869999999999999</v>
      </c>
      <c r="E113" s="14">
        <f>CHOOSE(CONTROL!$C$42, 7.8184, 7.8184) * CHOOSE(CONTROL!$C$21, $C$9, 100%, $E$9)</f>
        <v>7.8183999999999996</v>
      </c>
      <c r="F113" s="14">
        <f>CHOOSE(CONTROL!$C$42, 7.5846, 7.5846)*CHOOSE(CONTROL!$C$21, $C$9, 100%, $E$9)</f>
        <v>7.5846</v>
      </c>
      <c r="G113" s="14">
        <f>CHOOSE(CONTROL!$C$42, 7.6017, 7.6017)*CHOOSE(CONTROL!$C$21, $C$9, 100%, $E$9)</f>
        <v>7.6017000000000001</v>
      </c>
      <c r="H113" s="14">
        <f>CHOOSE(CONTROL!$C$42, 7.8071, 7.8071) * CHOOSE(CONTROL!$C$21, $C$9, 100%, $E$9)</f>
        <v>7.8071000000000002</v>
      </c>
      <c r="I113" s="14">
        <f>CHOOSE(CONTROL!$C$42, 7.6099, 7.6099)* CHOOSE(CONTROL!$C$21, $C$9, 100%, $E$9)</f>
        <v>7.6098999999999997</v>
      </c>
      <c r="J113" s="14">
        <f>CHOOSE(CONTROL!$C$42, 7.5776, 7.5776)* CHOOSE(CONTROL!$C$21, $C$9, 100%, $E$9)</f>
        <v>7.5776000000000003</v>
      </c>
      <c r="K113" s="53">
        <f>CHOOSE(CONTROL!$C$42, 7.606, 7.606) * CHOOSE(CONTROL!$C$21, $C$9, 100%, $E$9)</f>
        <v>7.6059999999999999</v>
      </c>
      <c r="L113" s="14">
        <f>CHOOSE(CONTROL!$C$42, 8.3941, 8.3941) * CHOOSE(CONTROL!$C$21, $C$9, 100%, $E$9)</f>
        <v>8.3940999999999999</v>
      </c>
      <c r="M113" s="14">
        <f>CHOOSE(CONTROL!$C$42, 7.43, 7.43) * CHOOSE(CONTROL!$C$21, $C$9, 100%, $E$9)</f>
        <v>7.43</v>
      </c>
      <c r="N113" s="14">
        <f>CHOOSE(CONTROL!$C$42, 7.4468, 7.4468) * CHOOSE(CONTROL!$C$21, $C$9, 100%, $E$9)</f>
        <v>7.4467999999999996</v>
      </c>
      <c r="O113" s="14">
        <f>CHOOSE(CONTROL!$C$42, 7.6548, 7.6548) * CHOOSE(CONTROL!$C$21, $C$9, 100%, $E$9)</f>
        <v>7.6547999999999998</v>
      </c>
      <c r="P113" s="14">
        <f>CHOOSE(CONTROL!$C$42, 7.4613, 7.4613) * CHOOSE(CONTROL!$C$21, $C$9, 100%, $E$9)</f>
        <v>7.4612999999999996</v>
      </c>
      <c r="Q113" s="14">
        <f>CHOOSE(CONTROL!$C$42, 8.2495, 8.2495) * CHOOSE(CONTROL!$C$21, $C$9, 100%, $E$9)</f>
        <v>8.2494999999999994</v>
      </c>
      <c r="R113" s="14">
        <f>CHOOSE(CONTROL!$C$42, 8.8571, 8.8571) * CHOOSE(CONTROL!$C$21, $C$9, 100%, $E$9)</f>
        <v>8.8571000000000009</v>
      </c>
      <c r="S113" s="14">
        <f>CHOOSE(CONTROL!$C$42, 7.2522, 7.2522) * CHOOSE(CONTROL!$C$21, $C$9, 100%, $E$9)</f>
        <v>7.2522000000000002</v>
      </c>
      <c r="T1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13" s="57">
        <f>(1000*CHOOSE(CONTROL!$C$42, 695, 695)*CHOOSE(CONTROL!$C$42, 0.5599, 0.5599)*CHOOSE(CONTROL!$C$42, 31, 31))/1000000</f>
        <v>12.063045499999998</v>
      </c>
      <c r="V113" s="57">
        <f>(1000*CHOOSE(CONTROL!$C$42, 500, 500)*CHOOSE(CONTROL!$C$42, 0.275, 0.275)*CHOOSE(CONTROL!$C$42, 31, 31))/1000000</f>
        <v>4.2625000000000002</v>
      </c>
      <c r="W113" s="57">
        <f>(1000*CHOOSE(CONTROL!$C$42, 0.1146, 0.1146)*CHOOSE(CONTROL!$C$42, 121.5, 121.5)*CHOOSE(CONTROL!$C$42, 31, 31))/1000000</f>
        <v>0.43164089999999994</v>
      </c>
      <c r="X113" s="57">
        <f>(31*0.1790888*245000/1000000)+(31*0.2374*100000/1000000)</f>
        <v>2.0961194359999999</v>
      </c>
      <c r="Y113" s="57"/>
      <c r="Z113" s="14"/>
      <c r="AA113" s="56"/>
      <c r="AB113" s="50">
        <f>(B113*194.205+C113*267.466+D113*133.845+E113*53.484+F113*40+G113*185+H113*0+I113*100+J113*300)/(194.205+267.466+133.845+53.484+0+40+185+100+300)</f>
        <v>7.6106849568288863</v>
      </c>
      <c r="AC113" s="45">
        <f>(M113*'RAP TEMPLATE-GAS AVAILABILITY'!O112+N113*'RAP TEMPLATE-GAS AVAILABILITY'!P112+O113*'RAP TEMPLATE-GAS AVAILABILITY'!Q112+P113*'RAP TEMPLATE-GAS AVAILABILITY'!R112)/('RAP TEMPLATE-GAS AVAILABILITY'!O112+'RAP TEMPLATE-GAS AVAILABILITY'!P112+'RAP TEMPLATE-GAS AVAILABILITY'!Q112+'RAP TEMPLATE-GAS AVAILABILITY'!R112)</f>
        <v>7.5014446043165464</v>
      </c>
    </row>
    <row r="114" spans="1:29" ht="15.75" x14ac:dyDescent="0.25">
      <c r="A114" s="13">
        <v>44348</v>
      </c>
      <c r="B114" s="14">
        <f>CHOOSE(CONTROL!$C$42, 7.7884, 7.7884) * CHOOSE(CONTROL!$C$21, $C$9, 100%, $E$9)</f>
        <v>7.7884000000000002</v>
      </c>
      <c r="C114" s="14">
        <f>CHOOSE(CONTROL!$C$42, 7.7964, 7.7964) * CHOOSE(CONTROL!$C$21, $C$9, 100%, $E$9)</f>
        <v>7.7964000000000002</v>
      </c>
      <c r="D114" s="14">
        <f>CHOOSE(CONTROL!$C$42, 8.017, 8.017) * CHOOSE(CONTROL!$C$21, $C$9, 100%, $E$9)</f>
        <v>8.0169999999999995</v>
      </c>
      <c r="E114" s="14">
        <f>CHOOSE(CONTROL!$C$42, 8.0485, 8.0485) * CHOOSE(CONTROL!$C$21, $C$9, 100%, $E$9)</f>
        <v>8.0485000000000007</v>
      </c>
      <c r="F114" s="14">
        <f>CHOOSE(CONTROL!$C$42, 7.815, 7.815)*CHOOSE(CONTROL!$C$21, $C$9, 100%, $E$9)</f>
        <v>7.8150000000000004</v>
      </c>
      <c r="G114" s="14">
        <f>CHOOSE(CONTROL!$C$42, 7.8322, 7.8322)*CHOOSE(CONTROL!$C$21, $C$9, 100%, $E$9)</f>
        <v>7.8322000000000003</v>
      </c>
      <c r="H114" s="14">
        <f>CHOOSE(CONTROL!$C$42, 8.0371, 8.0371) * CHOOSE(CONTROL!$C$21, $C$9, 100%, $E$9)</f>
        <v>8.0371000000000006</v>
      </c>
      <c r="I114" s="14">
        <f>CHOOSE(CONTROL!$C$42, 7.8407, 7.8407)* CHOOSE(CONTROL!$C$21, $C$9, 100%, $E$9)</f>
        <v>7.8407</v>
      </c>
      <c r="J114" s="14">
        <f>CHOOSE(CONTROL!$C$42, 7.808, 7.808)* CHOOSE(CONTROL!$C$21, $C$9, 100%, $E$9)</f>
        <v>7.8079999999999998</v>
      </c>
      <c r="K114" s="53">
        <f>CHOOSE(CONTROL!$C$42, 7.8368, 7.8368) * CHOOSE(CONTROL!$C$21, $C$9, 100%, $E$9)</f>
        <v>7.8368000000000002</v>
      </c>
      <c r="L114" s="14">
        <f>CHOOSE(CONTROL!$C$42, 8.6241, 8.6241) * CHOOSE(CONTROL!$C$21, $C$9, 100%, $E$9)</f>
        <v>8.6241000000000003</v>
      </c>
      <c r="M114" s="14">
        <f>CHOOSE(CONTROL!$C$42, 7.6557, 7.6557) * CHOOSE(CONTROL!$C$21, $C$9, 100%, $E$9)</f>
        <v>7.6557000000000004</v>
      </c>
      <c r="N114" s="14">
        <f>CHOOSE(CONTROL!$C$42, 7.6726, 7.6726) * CHOOSE(CONTROL!$C$21, $C$9, 100%, $E$9)</f>
        <v>7.6726000000000001</v>
      </c>
      <c r="O114" s="14">
        <f>CHOOSE(CONTROL!$C$42, 7.8801, 7.8801) * CHOOSE(CONTROL!$C$21, $C$9, 100%, $E$9)</f>
        <v>7.8800999999999997</v>
      </c>
      <c r="P114" s="14">
        <f>CHOOSE(CONTROL!$C$42, 7.6873, 7.6873) * CHOOSE(CONTROL!$C$21, $C$9, 100%, $E$9)</f>
        <v>7.6872999999999996</v>
      </c>
      <c r="Q114" s="14">
        <f>CHOOSE(CONTROL!$C$42, 8.4748, 8.4748) * CHOOSE(CONTROL!$C$21, $C$9, 100%, $E$9)</f>
        <v>8.4748000000000001</v>
      </c>
      <c r="R114" s="14">
        <f>CHOOSE(CONTROL!$C$42, 9.083, 9.083) * CHOOSE(CONTROL!$C$21, $C$9, 100%, $E$9)</f>
        <v>9.0830000000000002</v>
      </c>
      <c r="S114" s="14">
        <f>CHOOSE(CONTROL!$C$42, 7.4732, 7.4732) * CHOOSE(CONTROL!$C$21, $C$9, 100%, $E$9)</f>
        <v>7.4732000000000003</v>
      </c>
      <c r="T1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14" s="57">
        <f>(1000*CHOOSE(CONTROL!$C$42, 695, 695)*CHOOSE(CONTROL!$C$42, 0.5599, 0.5599)*CHOOSE(CONTROL!$C$42, 30, 30))/1000000</f>
        <v>11.673914999999997</v>
      </c>
      <c r="V114" s="57">
        <f>(1000*CHOOSE(CONTROL!$C$42, 500, 500)*CHOOSE(CONTROL!$C$42, 0.275, 0.275)*CHOOSE(CONTROL!$C$42, 30, 30))/1000000</f>
        <v>4.125</v>
      </c>
      <c r="W114" s="57">
        <f>(1000*CHOOSE(CONTROL!$C$42, 0.1146, 0.1146)*CHOOSE(CONTROL!$C$42, 121.5, 121.5)*CHOOSE(CONTROL!$C$42, 30, 30))/1000000</f>
        <v>0.417717</v>
      </c>
      <c r="X114" s="57">
        <f>(30*0.1790888*245000/1000000)+(30*0.2374*100000/1000000)</f>
        <v>2.0285026799999999</v>
      </c>
      <c r="Y114" s="57"/>
      <c r="Z114" s="14"/>
      <c r="AA114" s="56"/>
      <c r="AB114" s="50">
        <f>(B114*194.205+C114*267.466+D114*133.845+E114*53.484+F114*40+G114*185+H114*0+I114*100+J114*300)/(194.205+267.466+133.845+53.484+0+40+185+100+300)</f>
        <v>7.840931305651492</v>
      </c>
      <c r="AC114" s="45">
        <f>(M114*'RAP TEMPLATE-GAS AVAILABILITY'!O113+N114*'RAP TEMPLATE-GAS AVAILABILITY'!P113+O114*'RAP TEMPLATE-GAS AVAILABILITY'!Q113+P114*'RAP TEMPLATE-GAS AVAILABILITY'!R113)/('RAP TEMPLATE-GAS AVAILABILITY'!O113+'RAP TEMPLATE-GAS AVAILABILITY'!P113+'RAP TEMPLATE-GAS AVAILABILITY'!Q113+'RAP TEMPLATE-GAS AVAILABILITY'!R113)</f>
        <v>7.7270985611510792</v>
      </c>
    </row>
    <row r="115" spans="1:29" ht="15.75" x14ac:dyDescent="0.25">
      <c r="A115" s="13">
        <v>44378</v>
      </c>
      <c r="B115" s="14">
        <f>CHOOSE(CONTROL!$C$42, 7.6549, 7.6549) * CHOOSE(CONTROL!$C$21, $C$9, 100%, $E$9)</f>
        <v>7.6548999999999996</v>
      </c>
      <c r="C115" s="14">
        <f>CHOOSE(CONTROL!$C$42, 7.6629, 7.6629) * CHOOSE(CONTROL!$C$21, $C$9, 100%, $E$9)</f>
        <v>7.6628999999999996</v>
      </c>
      <c r="D115" s="14">
        <f>CHOOSE(CONTROL!$C$42, 7.8835, 7.8835) * CHOOSE(CONTROL!$C$21, $C$9, 100%, $E$9)</f>
        <v>7.8834999999999997</v>
      </c>
      <c r="E115" s="14">
        <f>CHOOSE(CONTROL!$C$42, 7.915, 7.915) * CHOOSE(CONTROL!$C$21, $C$9, 100%, $E$9)</f>
        <v>7.915</v>
      </c>
      <c r="F115" s="14">
        <f>CHOOSE(CONTROL!$C$42, 7.682, 7.682)*CHOOSE(CONTROL!$C$21, $C$9, 100%, $E$9)</f>
        <v>7.6820000000000004</v>
      </c>
      <c r="G115" s="14">
        <f>CHOOSE(CONTROL!$C$42, 7.6993, 7.6993)*CHOOSE(CONTROL!$C$21, $C$9, 100%, $E$9)</f>
        <v>7.6993</v>
      </c>
      <c r="H115" s="14">
        <f>CHOOSE(CONTROL!$C$42, 7.9036, 7.9036) * CHOOSE(CONTROL!$C$21, $C$9, 100%, $E$9)</f>
        <v>7.9036</v>
      </c>
      <c r="I115" s="14">
        <f>CHOOSE(CONTROL!$C$42, 7.7068, 7.7068)* CHOOSE(CONTROL!$C$21, $C$9, 100%, $E$9)</f>
        <v>7.7068000000000003</v>
      </c>
      <c r="J115" s="14">
        <f>CHOOSE(CONTROL!$C$42, 7.675, 7.675)* CHOOSE(CONTROL!$C$21, $C$9, 100%, $E$9)</f>
        <v>7.6749999999999998</v>
      </c>
      <c r="K115" s="53">
        <f>CHOOSE(CONTROL!$C$42, 7.7029, 7.7029) * CHOOSE(CONTROL!$C$21, $C$9, 100%, $E$9)</f>
        <v>7.7028999999999996</v>
      </c>
      <c r="L115" s="14">
        <f>CHOOSE(CONTROL!$C$42, 8.4906, 8.4906) * CHOOSE(CONTROL!$C$21, $C$9, 100%, $E$9)</f>
        <v>8.4906000000000006</v>
      </c>
      <c r="M115" s="14">
        <f>CHOOSE(CONTROL!$C$42, 7.5254, 7.5254) * CHOOSE(CONTROL!$C$21, $C$9, 100%, $E$9)</f>
        <v>7.5254000000000003</v>
      </c>
      <c r="N115" s="14">
        <f>CHOOSE(CONTROL!$C$42, 7.5424, 7.5424) * CHOOSE(CONTROL!$C$21, $C$9, 100%, $E$9)</f>
        <v>7.5423999999999998</v>
      </c>
      <c r="O115" s="14">
        <f>CHOOSE(CONTROL!$C$42, 7.7494, 7.7494) * CHOOSE(CONTROL!$C$21, $C$9, 100%, $E$9)</f>
        <v>7.7493999999999996</v>
      </c>
      <c r="P115" s="14">
        <f>CHOOSE(CONTROL!$C$42, 7.5562, 7.5562) * CHOOSE(CONTROL!$C$21, $C$9, 100%, $E$9)</f>
        <v>7.5561999999999996</v>
      </c>
      <c r="Q115" s="14">
        <f>CHOOSE(CONTROL!$C$42, 8.3441, 8.3441) * CHOOSE(CONTROL!$C$21, $C$9, 100%, $E$9)</f>
        <v>8.3440999999999992</v>
      </c>
      <c r="R115" s="14">
        <f>CHOOSE(CONTROL!$C$42, 8.9519, 8.9519) * CHOOSE(CONTROL!$C$21, $C$9, 100%, $E$9)</f>
        <v>8.9519000000000002</v>
      </c>
      <c r="S115" s="14">
        <f>CHOOSE(CONTROL!$C$42, 7.345, 7.345) * CHOOSE(CONTROL!$C$21, $C$9, 100%, $E$9)</f>
        <v>7.3449999999999998</v>
      </c>
      <c r="T1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15" s="57">
        <f>(1000*CHOOSE(CONTROL!$C$42, 695, 695)*CHOOSE(CONTROL!$C$42, 0.5599, 0.5599)*CHOOSE(CONTROL!$C$42, 31, 31))/1000000</f>
        <v>12.063045499999998</v>
      </c>
      <c r="V115" s="57">
        <f>(1000*CHOOSE(CONTROL!$C$42, 500, 500)*CHOOSE(CONTROL!$C$42, 0.275, 0.275)*CHOOSE(CONTROL!$C$42, 31, 31))/1000000</f>
        <v>4.2625000000000002</v>
      </c>
      <c r="W115" s="57">
        <f>(1000*CHOOSE(CONTROL!$C$42, 0.1146, 0.1146)*CHOOSE(CONTROL!$C$42, 121.5, 121.5)*CHOOSE(CONTROL!$C$42, 31, 31))/1000000</f>
        <v>0.43164089999999994</v>
      </c>
      <c r="X115" s="57">
        <f>(31*0.1790888*245000/1000000)+(31*0.2374*100000/1000000)</f>
        <v>2.0961194359999999</v>
      </c>
      <c r="Y115" s="57"/>
      <c r="Z115" s="14"/>
      <c r="AA115" s="56"/>
      <c r="AB115" s="50">
        <f>(B115*194.205+C115*267.466+D115*133.845+E115*53.484+F115*40+G115*185+H115*0+I115*100+J115*300)/(194.205+267.466+133.845+53.484+0+40+185+100+300)</f>
        <v>7.707620473626374</v>
      </c>
      <c r="AC115" s="45">
        <f>(M115*'RAP TEMPLATE-GAS AVAILABILITY'!O114+N115*'RAP TEMPLATE-GAS AVAILABILITY'!P114+O115*'RAP TEMPLATE-GAS AVAILABILITY'!Q114+P115*'RAP TEMPLATE-GAS AVAILABILITY'!R114)/('RAP TEMPLATE-GAS AVAILABILITY'!O114+'RAP TEMPLATE-GAS AVAILABILITY'!P114+'RAP TEMPLATE-GAS AVAILABILITY'!Q114+'RAP TEMPLATE-GAS AVAILABILITY'!R114)</f>
        <v>7.596594244604316</v>
      </c>
    </row>
    <row r="116" spans="1:29" ht="15.75" x14ac:dyDescent="0.25">
      <c r="A116" s="13">
        <v>44409</v>
      </c>
      <c r="B116" s="14">
        <f>CHOOSE(CONTROL!$C$42, 7.2924, 7.2924) * CHOOSE(CONTROL!$C$21, $C$9, 100%, $E$9)</f>
        <v>7.2923999999999998</v>
      </c>
      <c r="C116" s="14">
        <f>CHOOSE(CONTROL!$C$42, 7.3004, 7.3004) * CHOOSE(CONTROL!$C$21, $C$9, 100%, $E$9)</f>
        <v>7.3003999999999998</v>
      </c>
      <c r="D116" s="14">
        <f>CHOOSE(CONTROL!$C$42, 7.521, 7.521) * CHOOSE(CONTROL!$C$21, $C$9, 100%, $E$9)</f>
        <v>7.5209999999999999</v>
      </c>
      <c r="E116" s="14">
        <f>CHOOSE(CONTROL!$C$42, 7.5524, 7.5524) * CHOOSE(CONTROL!$C$21, $C$9, 100%, $E$9)</f>
        <v>7.5523999999999996</v>
      </c>
      <c r="F116" s="14">
        <f>CHOOSE(CONTROL!$C$42, 7.3197, 7.3197)*CHOOSE(CONTROL!$C$21, $C$9, 100%, $E$9)</f>
        <v>7.3197000000000001</v>
      </c>
      <c r="G116" s="14">
        <f>CHOOSE(CONTROL!$C$42, 7.3371, 7.3371)*CHOOSE(CONTROL!$C$21, $C$9, 100%, $E$9)</f>
        <v>7.3371000000000004</v>
      </c>
      <c r="H116" s="14">
        <f>CHOOSE(CONTROL!$C$42, 7.5411, 7.5411) * CHOOSE(CONTROL!$C$21, $C$9, 100%, $E$9)</f>
        <v>7.5411000000000001</v>
      </c>
      <c r="I116" s="14">
        <f>CHOOSE(CONTROL!$C$42, 7.3431, 7.3431)* CHOOSE(CONTROL!$C$21, $C$9, 100%, $E$9)</f>
        <v>7.3430999999999997</v>
      </c>
      <c r="J116" s="14">
        <f>CHOOSE(CONTROL!$C$42, 7.3127, 7.3127)* CHOOSE(CONTROL!$C$21, $C$9, 100%, $E$9)</f>
        <v>7.3127000000000004</v>
      </c>
      <c r="K116" s="53">
        <f>CHOOSE(CONTROL!$C$42, 7.3392, 7.3392) * CHOOSE(CONTROL!$C$21, $C$9, 100%, $E$9)</f>
        <v>7.3391999999999999</v>
      </c>
      <c r="L116" s="14">
        <f>CHOOSE(CONTROL!$C$42, 8.1281, 8.1281) * CHOOSE(CONTROL!$C$21, $C$9, 100%, $E$9)</f>
        <v>8.1280999999999999</v>
      </c>
      <c r="M116" s="14">
        <f>CHOOSE(CONTROL!$C$42, 7.1706, 7.1706) * CHOOSE(CONTROL!$C$21, $C$9, 100%, $E$9)</f>
        <v>7.1706000000000003</v>
      </c>
      <c r="N116" s="14">
        <f>CHOOSE(CONTROL!$C$42, 7.1876, 7.1876) * CHOOSE(CONTROL!$C$21, $C$9, 100%, $E$9)</f>
        <v>7.1875999999999998</v>
      </c>
      <c r="O116" s="14">
        <f>CHOOSE(CONTROL!$C$42, 7.3943, 7.3943) * CHOOSE(CONTROL!$C$21, $C$9, 100%, $E$9)</f>
        <v>7.3943000000000003</v>
      </c>
      <c r="P116" s="14">
        <f>CHOOSE(CONTROL!$C$42, 7.1999, 7.1999) * CHOOSE(CONTROL!$C$21, $C$9, 100%, $E$9)</f>
        <v>7.1999000000000004</v>
      </c>
      <c r="Q116" s="14">
        <f>CHOOSE(CONTROL!$C$42, 7.989, 7.989) * CHOOSE(CONTROL!$C$21, $C$9, 100%, $E$9)</f>
        <v>7.9889999999999999</v>
      </c>
      <c r="R116" s="14">
        <f>CHOOSE(CONTROL!$C$42, 8.5959, 8.5959) * CHOOSE(CONTROL!$C$21, $C$9, 100%, $E$9)</f>
        <v>8.5959000000000003</v>
      </c>
      <c r="S116" s="14">
        <f>CHOOSE(CONTROL!$C$42, 6.9966, 6.9966) * CHOOSE(CONTROL!$C$21, $C$9, 100%, $E$9)</f>
        <v>6.9965999999999999</v>
      </c>
      <c r="T1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16" s="57">
        <f>(1000*CHOOSE(CONTROL!$C$42, 695, 695)*CHOOSE(CONTROL!$C$42, 0.5599, 0.5599)*CHOOSE(CONTROL!$C$42, 31, 31))/1000000</f>
        <v>12.063045499999998</v>
      </c>
      <c r="V116" s="57">
        <f>(1000*CHOOSE(CONTROL!$C$42, 500, 500)*CHOOSE(CONTROL!$C$42, 0.275, 0.275)*CHOOSE(CONTROL!$C$42, 31, 31))/1000000</f>
        <v>4.2625000000000002</v>
      </c>
      <c r="W116" s="57">
        <f>(1000*CHOOSE(CONTROL!$C$42, 0.1146, 0.1146)*CHOOSE(CONTROL!$C$42, 121.5, 121.5)*CHOOSE(CONTROL!$C$42, 31, 31))/1000000</f>
        <v>0.43164089999999994</v>
      </c>
      <c r="X116" s="57">
        <f>(31*0.1790888*245000/1000000)+(31*0.2374*100000/1000000)</f>
        <v>2.0961194359999999</v>
      </c>
      <c r="Y116" s="57"/>
      <c r="Z116" s="14"/>
      <c r="AA116" s="56"/>
      <c r="AB116" s="50">
        <f>(B116*194.205+C116*267.466+D116*133.845+E116*53.484+F116*40+G116*185+H116*0+I116*100+J116*300)/(194.205+267.466+133.845+53.484+0+40+185+100+300)</f>
        <v>7.3451190227629519</v>
      </c>
      <c r="AC116" s="45">
        <f>(M116*'RAP TEMPLATE-GAS AVAILABILITY'!O115+N116*'RAP TEMPLATE-GAS AVAILABILITY'!P115+O116*'RAP TEMPLATE-GAS AVAILABILITY'!Q115+P116*'RAP TEMPLATE-GAS AVAILABILITY'!R115)/('RAP TEMPLATE-GAS AVAILABILITY'!O115+'RAP TEMPLATE-GAS AVAILABILITY'!P115+'RAP TEMPLATE-GAS AVAILABILITY'!Q115+'RAP TEMPLATE-GAS AVAILABILITY'!R115)</f>
        <v>7.2414942446043167</v>
      </c>
    </row>
    <row r="117" spans="1:29" ht="15.75" x14ac:dyDescent="0.25">
      <c r="A117" s="13">
        <v>44440</v>
      </c>
      <c r="B117" s="14">
        <f>CHOOSE(CONTROL!$C$42, 6.844, 6.844) * CHOOSE(CONTROL!$C$21, $C$9, 100%, $E$9)</f>
        <v>6.8440000000000003</v>
      </c>
      <c r="C117" s="14">
        <f>CHOOSE(CONTROL!$C$42, 6.852, 6.852) * CHOOSE(CONTROL!$C$21, $C$9, 100%, $E$9)</f>
        <v>6.8520000000000003</v>
      </c>
      <c r="D117" s="14">
        <f>CHOOSE(CONTROL!$C$42, 7.0726, 7.0726) * CHOOSE(CONTROL!$C$21, $C$9, 100%, $E$9)</f>
        <v>7.0726000000000004</v>
      </c>
      <c r="E117" s="14">
        <f>CHOOSE(CONTROL!$C$42, 7.104, 7.104) * CHOOSE(CONTROL!$C$21, $C$9, 100%, $E$9)</f>
        <v>7.1040000000000001</v>
      </c>
      <c r="F117" s="14">
        <f>CHOOSE(CONTROL!$C$42, 6.8713, 6.8713)*CHOOSE(CONTROL!$C$21, $C$9, 100%, $E$9)</f>
        <v>6.8712999999999997</v>
      </c>
      <c r="G117" s="14">
        <f>CHOOSE(CONTROL!$C$42, 6.8887, 6.8887)*CHOOSE(CONTROL!$C$21, $C$9, 100%, $E$9)</f>
        <v>6.8887</v>
      </c>
      <c r="H117" s="14">
        <f>CHOOSE(CONTROL!$C$42, 7.0927, 7.0927) * CHOOSE(CONTROL!$C$21, $C$9, 100%, $E$9)</f>
        <v>7.0926999999999998</v>
      </c>
      <c r="I117" s="14">
        <f>CHOOSE(CONTROL!$C$42, 6.8933, 6.8933)* CHOOSE(CONTROL!$C$21, $C$9, 100%, $E$9)</f>
        <v>6.8933</v>
      </c>
      <c r="J117" s="14">
        <f>CHOOSE(CONTROL!$C$42, 6.8643, 6.8643)* CHOOSE(CONTROL!$C$21, $C$9, 100%, $E$9)</f>
        <v>6.8643000000000001</v>
      </c>
      <c r="K117" s="53">
        <f>CHOOSE(CONTROL!$C$42, 6.8894, 6.8894) * CHOOSE(CONTROL!$C$21, $C$9, 100%, $E$9)</f>
        <v>6.8894000000000002</v>
      </c>
      <c r="L117" s="14">
        <f>CHOOSE(CONTROL!$C$42, 7.6797, 7.6797) * CHOOSE(CONTROL!$C$21, $C$9, 100%, $E$9)</f>
        <v>7.6797000000000004</v>
      </c>
      <c r="M117" s="14">
        <f>CHOOSE(CONTROL!$C$42, 6.7314, 6.7314) * CHOOSE(CONTROL!$C$21, $C$9, 100%, $E$9)</f>
        <v>6.7313999999999998</v>
      </c>
      <c r="N117" s="14">
        <f>CHOOSE(CONTROL!$C$42, 6.7484, 6.7484) * CHOOSE(CONTROL!$C$21, $C$9, 100%, $E$9)</f>
        <v>6.7484000000000002</v>
      </c>
      <c r="O117" s="14">
        <f>CHOOSE(CONTROL!$C$42, 6.955, 6.955) * CHOOSE(CONTROL!$C$21, $C$9, 100%, $E$9)</f>
        <v>6.9550000000000001</v>
      </c>
      <c r="P117" s="14">
        <f>CHOOSE(CONTROL!$C$42, 6.7594, 6.7594) * CHOOSE(CONTROL!$C$21, $C$9, 100%, $E$9)</f>
        <v>6.7594000000000003</v>
      </c>
      <c r="Q117" s="14">
        <f>CHOOSE(CONTROL!$C$42, 7.5497, 7.5497) * CHOOSE(CONTROL!$C$21, $C$9, 100%, $E$9)</f>
        <v>7.5496999999999996</v>
      </c>
      <c r="R117" s="14">
        <f>CHOOSE(CONTROL!$C$42, 8.1556, 8.1556) * CHOOSE(CONTROL!$C$21, $C$9, 100%, $E$9)</f>
        <v>8.1555999999999997</v>
      </c>
      <c r="S117" s="14">
        <f>CHOOSE(CONTROL!$C$42, 6.5657, 6.5657) * CHOOSE(CONTROL!$C$21, $C$9, 100%, $E$9)</f>
        <v>6.5656999999999996</v>
      </c>
      <c r="T1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17" s="57">
        <f>(1000*CHOOSE(CONTROL!$C$42, 695, 695)*CHOOSE(CONTROL!$C$42, 0.5599, 0.5599)*CHOOSE(CONTROL!$C$42, 30, 30))/1000000</f>
        <v>11.673914999999997</v>
      </c>
      <c r="V117" s="57">
        <f>(1000*CHOOSE(CONTROL!$C$42, 500, 500)*CHOOSE(CONTROL!$C$42, 0.275, 0.275)*CHOOSE(CONTROL!$C$42, 30, 30))/1000000</f>
        <v>4.125</v>
      </c>
      <c r="W117" s="57">
        <f>(1000*CHOOSE(CONTROL!$C$42, 0.1146, 0.1146)*CHOOSE(CONTROL!$C$42, 121.5, 121.5)*CHOOSE(CONTROL!$C$42, 30, 30))/1000000</f>
        <v>0.417717</v>
      </c>
      <c r="X117" s="57">
        <f>(30*0.1790888*245000/1000000)+(30*0.2374*100000/1000000)</f>
        <v>2.0285026799999999</v>
      </c>
      <c r="Y117" s="57"/>
      <c r="Z117" s="14"/>
      <c r="AA117" s="56"/>
      <c r="AB117" s="50">
        <f>(B117*194.205+C117*267.466+D117*133.845+E117*53.484+F117*40+G117*185+H117*0+I117*100+J117*300)/(194.205+267.466+133.845+53.484+0+40+185+100+300)</f>
        <v>6.8966091326530607</v>
      </c>
      <c r="AC117" s="45">
        <f>(M117*'RAP TEMPLATE-GAS AVAILABILITY'!O116+N117*'RAP TEMPLATE-GAS AVAILABILITY'!P116+O117*'RAP TEMPLATE-GAS AVAILABILITY'!Q116+P117*'RAP TEMPLATE-GAS AVAILABILITY'!R116)/('RAP TEMPLATE-GAS AVAILABILITY'!O116+'RAP TEMPLATE-GAS AVAILABILITY'!P116+'RAP TEMPLATE-GAS AVAILABILITY'!Q116+'RAP TEMPLATE-GAS AVAILABILITY'!R116)</f>
        <v>6.8020791366906472</v>
      </c>
    </row>
    <row r="118" spans="1:29" ht="15.75" x14ac:dyDescent="0.25">
      <c r="A118" s="13">
        <v>44470</v>
      </c>
      <c r="B118" s="14">
        <f>CHOOSE(CONTROL!$C$42, 6.7173, 6.7173) * CHOOSE(CONTROL!$C$21, $C$9, 100%, $E$9)</f>
        <v>6.7172999999999998</v>
      </c>
      <c r="C118" s="14">
        <f>CHOOSE(CONTROL!$C$42, 6.7226, 6.7226) * CHOOSE(CONTROL!$C$21, $C$9, 100%, $E$9)</f>
        <v>6.7225999999999999</v>
      </c>
      <c r="D118" s="14">
        <f>CHOOSE(CONTROL!$C$42, 6.9481, 6.9481) * CHOOSE(CONTROL!$C$21, $C$9, 100%, $E$9)</f>
        <v>6.9481000000000002</v>
      </c>
      <c r="E118" s="14">
        <f>CHOOSE(CONTROL!$C$42, 6.9773, 6.9773) * CHOOSE(CONTROL!$C$21, $C$9, 100%, $E$9)</f>
        <v>6.9772999999999996</v>
      </c>
      <c r="F118" s="14">
        <f>CHOOSE(CONTROL!$C$42, 6.7466, 6.7466)*CHOOSE(CONTROL!$C$21, $C$9, 100%, $E$9)</f>
        <v>6.7465999999999999</v>
      </c>
      <c r="G118" s="14">
        <f>CHOOSE(CONTROL!$C$42, 6.7639, 6.7639)*CHOOSE(CONTROL!$C$21, $C$9, 100%, $E$9)</f>
        <v>6.7638999999999996</v>
      </c>
      <c r="H118" s="14">
        <f>CHOOSE(CONTROL!$C$42, 6.9677, 6.9677) * CHOOSE(CONTROL!$C$21, $C$9, 100%, $E$9)</f>
        <v>6.9676999999999998</v>
      </c>
      <c r="I118" s="14">
        <f>CHOOSE(CONTROL!$C$42, 6.768, 6.768)* CHOOSE(CONTROL!$C$21, $C$9, 100%, $E$9)</f>
        <v>6.7679999999999998</v>
      </c>
      <c r="J118" s="14">
        <f>CHOOSE(CONTROL!$C$42, 6.7396, 6.7396)* CHOOSE(CONTROL!$C$21, $C$9, 100%, $E$9)</f>
        <v>6.7396000000000003</v>
      </c>
      <c r="K118" s="53">
        <f>CHOOSE(CONTROL!$C$42, 6.7641, 6.7641) * CHOOSE(CONTROL!$C$21, $C$9, 100%, $E$9)</f>
        <v>6.7641</v>
      </c>
      <c r="L118" s="14">
        <f>CHOOSE(CONTROL!$C$42, 7.5547, 7.5547) * CHOOSE(CONTROL!$C$21, $C$9, 100%, $E$9)</f>
        <v>7.5547000000000004</v>
      </c>
      <c r="M118" s="14">
        <f>CHOOSE(CONTROL!$C$42, 6.6092, 6.6092) * CHOOSE(CONTROL!$C$21, $C$9, 100%, $E$9)</f>
        <v>6.6092000000000004</v>
      </c>
      <c r="N118" s="14">
        <f>CHOOSE(CONTROL!$C$42, 6.6261, 6.6261) * CHOOSE(CONTROL!$C$21, $C$9, 100%, $E$9)</f>
        <v>6.6261000000000001</v>
      </c>
      <c r="O118" s="14">
        <f>CHOOSE(CONTROL!$C$42, 6.8327, 6.8327) * CHOOSE(CONTROL!$C$21, $C$9, 100%, $E$9)</f>
        <v>6.8327</v>
      </c>
      <c r="P118" s="14">
        <f>CHOOSE(CONTROL!$C$42, 6.6366, 6.6366) * CHOOSE(CONTROL!$C$21, $C$9, 100%, $E$9)</f>
        <v>6.6365999999999996</v>
      </c>
      <c r="Q118" s="14">
        <f>CHOOSE(CONTROL!$C$42, 7.4274, 7.4274) * CHOOSE(CONTROL!$C$21, $C$9, 100%, $E$9)</f>
        <v>7.4273999999999996</v>
      </c>
      <c r="R118" s="14">
        <f>CHOOSE(CONTROL!$C$42, 8.0329, 8.0329) * CHOOSE(CONTROL!$C$21, $C$9, 100%, $E$9)</f>
        <v>8.0328999999999997</v>
      </c>
      <c r="S118" s="14">
        <f>CHOOSE(CONTROL!$C$42, 6.4457, 6.4457) * CHOOSE(CONTROL!$C$21, $C$9, 100%, $E$9)</f>
        <v>6.4457000000000004</v>
      </c>
      <c r="T1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18" s="57">
        <f>(1000*CHOOSE(CONTROL!$C$42, 695, 695)*CHOOSE(CONTROL!$C$42, 0.5599, 0.5599)*CHOOSE(CONTROL!$C$42, 31, 31))/1000000</f>
        <v>12.063045499999998</v>
      </c>
      <c r="V118" s="57">
        <f>(1000*CHOOSE(CONTROL!$C$42, 500, 500)*CHOOSE(CONTROL!$C$42, 0.275, 0.275)*CHOOSE(CONTROL!$C$42, 31, 31))/1000000</f>
        <v>4.2625000000000002</v>
      </c>
      <c r="W118" s="57">
        <f>(1000*CHOOSE(CONTROL!$C$42, 0.1146, 0.1146)*CHOOSE(CONTROL!$C$42, 121.5, 121.5)*CHOOSE(CONTROL!$C$42, 31, 31))/1000000</f>
        <v>0.43164089999999994</v>
      </c>
      <c r="X118" s="57">
        <f>(31*0.1790888*245000/1000000)+(31*0.2374*100000/1000000)</f>
        <v>2.0961194359999999</v>
      </c>
      <c r="Y118" s="57"/>
      <c r="Z118" s="14"/>
      <c r="AA118" s="56"/>
      <c r="AB118" s="50">
        <f>(B118*131.881+C118*277.167+D118*79.08+E118*125.872+F118*40+G118*185+H118*0+I118*100+J118*300)/(131.881+277.167+79.08+125.872+0+40+185+100+300)</f>
        <v>6.7770258830508467</v>
      </c>
      <c r="AC118" s="45">
        <f>(M118*'RAP TEMPLATE-GAS AVAILABILITY'!O117+N118*'RAP TEMPLATE-GAS AVAILABILITY'!P117+O118*'RAP TEMPLATE-GAS AVAILABILITY'!Q117+P118*'RAP TEMPLATE-GAS AVAILABILITY'!R117)/('RAP TEMPLATE-GAS AVAILABILITY'!O117+'RAP TEMPLATE-GAS AVAILABILITY'!P117+'RAP TEMPLATE-GAS AVAILABILITY'!Q117+'RAP TEMPLATE-GAS AVAILABILITY'!R117)</f>
        <v>6.6797417266187056</v>
      </c>
    </row>
    <row r="119" spans="1:29" ht="15.75" x14ac:dyDescent="0.25">
      <c r="A119" s="13">
        <v>44501</v>
      </c>
      <c r="B119" s="14">
        <f>CHOOSE(CONTROL!$C$42, 6.9077, 6.9077) * CHOOSE(CONTROL!$C$21, $C$9, 100%, $E$9)</f>
        <v>6.9077000000000002</v>
      </c>
      <c r="C119" s="14">
        <f>CHOOSE(CONTROL!$C$42, 6.9128, 6.9128) * CHOOSE(CONTROL!$C$21, $C$9, 100%, $E$9)</f>
        <v>6.9127999999999998</v>
      </c>
      <c r="D119" s="14">
        <f>CHOOSE(CONTROL!$C$42, 6.987, 6.987) * CHOOSE(CONTROL!$C$21, $C$9, 100%, $E$9)</f>
        <v>6.9870000000000001</v>
      </c>
      <c r="E119" s="14">
        <f>CHOOSE(CONTROL!$C$42, 7.0211, 7.0211) * CHOOSE(CONTROL!$C$21, $C$9, 100%, $E$9)</f>
        <v>7.0210999999999997</v>
      </c>
      <c r="F119" s="14">
        <f>CHOOSE(CONTROL!$C$42, 6.9438, 6.9438)*CHOOSE(CONTROL!$C$21, $C$9, 100%, $E$9)</f>
        <v>6.9438000000000004</v>
      </c>
      <c r="G119" s="14">
        <f>CHOOSE(CONTROL!$C$42, 6.9613, 6.9613)*CHOOSE(CONTROL!$C$21, $C$9, 100%, $E$9)</f>
        <v>6.9612999999999996</v>
      </c>
      <c r="H119" s="14">
        <f>CHOOSE(CONTROL!$C$42, 7.0103, 7.0103) * CHOOSE(CONTROL!$C$21, $C$9, 100%, $E$9)</f>
        <v>7.0103</v>
      </c>
      <c r="I119" s="14">
        <f>CHOOSE(CONTROL!$C$42, 6.9568, 6.9568)* CHOOSE(CONTROL!$C$21, $C$9, 100%, $E$9)</f>
        <v>6.9568000000000003</v>
      </c>
      <c r="J119" s="14">
        <f>CHOOSE(CONTROL!$C$42, 6.9368, 6.9368)* CHOOSE(CONTROL!$C$21, $C$9, 100%, $E$9)</f>
        <v>6.9367999999999999</v>
      </c>
      <c r="K119" s="53">
        <f>CHOOSE(CONTROL!$C$42, 6.9529, 6.9529) * CHOOSE(CONTROL!$C$21, $C$9, 100%, $E$9)</f>
        <v>6.9528999999999996</v>
      </c>
      <c r="L119" s="14">
        <f>CHOOSE(CONTROL!$C$42, 7.5973, 7.5973) * CHOOSE(CONTROL!$C$21, $C$9, 100%, $E$9)</f>
        <v>7.5972999999999997</v>
      </c>
      <c r="M119" s="14">
        <f>CHOOSE(CONTROL!$C$42, 6.8023, 6.8023) * CHOOSE(CONTROL!$C$21, $C$9, 100%, $E$9)</f>
        <v>6.8022999999999998</v>
      </c>
      <c r="N119" s="14">
        <f>CHOOSE(CONTROL!$C$42, 6.8195, 6.8195) * CHOOSE(CONTROL!$C$21, $C$9, 100%, $E$9)</f>
        <v>6.8194999999999997</v>
      </c>
      <c r="O119" s="14">
        <f>CHOOSE(CONTROL!$C$42, 6.8744, 6.8744) * CHOOSE(CONTROL!$C$21, $C$9, 100%, $E$9)</f>
        <v>6.8743999999999996</v>
      </c>
      <c r="P119" s="14">
        <f>CHOOSE(CONTROL!$C$42, 6.8216, 6.8216) * CHOOSE(CONTROL!$C$21, $C$9, 100%, $E$9)</f>
        <v>6.8216000000000001</v>
      </c>
      <c r="Q119" s="14">
        <f>CHOOSE(CONTROL!$C$42, 7.4691, 7.4691) * CHOOSE(CONTROL!$C$21, $C$9, 100%, $E$9)</f>
        <v>7.4691000000000001</v>
      </c>
      <c r="R119" s="14">
        <f>CHOOSE(CONTROL!$C$42, 8.0747, 8.0747) * CHOOSE(CONTROL!$C$21, $C$9, 100%, $E$9)</f>
        <v>8.0747</v>
      </c>
      <c r="S119" s="14">
        <f>CHOOSE(CONTROL!$C$42, 6.6291, 6.6291) * CHOOSE(CONTROL!$C$21, $C$9, 100%, $E$9)</f>
        <v>6.6291000000000002</v>
      </c>
      <c r="T1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19" s="57">
        <f>(1000*CHOOSE(CONTROL!$C$42, 695, 695)*CHOOSE(CONTROL!$C$42, 0.5599, 0.5599)*CHOOSE(CONTROL!$C$42, 30, 30))/1000000</f>
        <v>11.673914999999997</v>
      </c>
      <c r="V119" s="57">
        <f>(1000*CHOOSE(CONTROL!$C$42, 500, 500)*CHOOSE(CONTROL!$C$42, 0.275, 0.275)*CHOOSE(CONTROL!$C$42, 30, 30))/1000000</f>
        <v>4.125</v>
      </c>
      <c r="W119" s="57">
        <f>(1000*CHOOSE(CONTROL!$C$42, 0.1146, 0.1146)*CHOOSE(CONTROL!$C$42, 121.5, 121.5)*CHOOSE(CONTROL!$C$42, 30, 30))/1000000</f>
        <v>0.417717</v>
      </c>
      <c r="X119" s="57">
        <f>(30*0.1790888*100000/1000000)+(30*0.2374*100000/1000000)</f>
        <v>1.2494664</v>
      </c>
      <c r="Y119" s="57"/>
      <c r="Z119" s="14"/>
      <c r="AA119" s="56"/>
      <c r="AB119" s="50">
        <f>(B119*122.58+C119*297.941+D119*89.177+E119*40.302+F119*40+G119*160+H119*0+I119*100+J119*300)/(122.58+297.941+89.177+40.302+0+40+160+100+300)</f>
        <v>6.9397186799999995</v>
      </c>
      <c r="AC119" s="45">
        <f>(M119*'RAP TEMPLATE-GAS AVAILABILITY'!O118+N119*'RAP TEMPLATE-GAS AVAILABILITY'!P118+O119*'RAP TEMPLATE-GAS AVAILABILITY'!Q118+P119*'RAP TEMPLATE-GAS AVAILABILITY'!R118)/('RAP TEMPLATE-GAS AVAILABILITY'!O118+'RAP TEMPLATE-GAS AVAILABILITY'!P118+'RAP TEMPLATE-GAS AVAILABILITY'!Q118+'RAP TEMPLATE-GAS AVAILABILITY'!R118)</f>
        <v>6.8387453237410067</v>
      </c>
    </row>
    <row r="120" spans="1:29" ht="15.75" x14ac:dyDescent="0.25">
      <c r="A120" s="13">
        <v>44531</v>
      </c>
      <c r="B120" s="14">
        <f>CHOOSE(CONTROL!$C$42, 7.3932, 7.3932) * CHOOSE(CONTROL!$C$21, $C$9, 100%, $E$9)</f>
        <v>7.3932000000000002</v>
      </c>
      <c r="C120" s="14">
        <f>CHOOSE(CONTROL!$C$42, 7.3983, 7.3983) * CHOOSE(CONTROL!$C$21, $C$9, 100%, $E$9)</f>
        <v>7.3982999999999999</v>
      </c>
      <c r="D120" s="14">
        <f>CHOOSE(CONTROL!$C$42, 7.4725, 7.4725) * CHOOSE(CONTROL!$C$21, $C$9, 100%, $E$9)</f>
        <v>7.4725000000000001</v>
      </c>
      <c r="E120" s="14">
        <f>CHOOSE(CONTROL!$C$42, 7.5066, 7.5066) * CHOOSE(CONTROL!$C$21, $C$9, 100%, $E$9)</f>
        <v>7.5065999999999997</v>
      </c>
      <c r="F120" s="14">
        <f>CHOOSE(CONTROL!$C$42, 7.4316, 7.4316)*CHOOSE(CONTROL!$C$21, $C$9, 100%, $E$9)</f>
        <v>7.4316000000000004</v>
      </c>
      <c r="G120" s="14">
        <f>CHOOSE(CONTROL!$C$42, 7.4498, 7.4498)*CHOOSE(CONTROL!$C$21, $C$9, 100%, $E$9)</f>
        <v>7.4497999999999998</v>
      </c>
      <c r="H120" s="14">
        <f>CHOOSE(CONTROL!$C$42, 7.4958, 7.4958) * CHOOSE(CONTROL!$C$21, $C$9, 100%, $E$9)</f>
        <v>7.4958</v>
      </c>
      <c r="I120" s="14">
        <f>CHOOSE(CONTROL!$C$42, 7.4438, 7.4438)* CHOOSE(CONTROL!$C$21, $C$9, 100%, $E$9)</f>
        <v>7.4438000000000004</v>
      </c>
      <c r="J120" s="14">
        <f>CHOOSE(CONTROL!$C$42, 7.4246, 7.4246)* CHOOSE(CONTROL!$C$21, $C$9, 100%, $E$9)</f>
        <v>7.4245999999999999</v>
      </c>
      <c r="K120" s="53">
        <f>CHOOSE(CONTROL!$C$42, 7.4399, 7.4399) * CHOOSE(CONTROL!$C$21, $C$9, 100%, $E$9)</f>
        <v>7.4398999999999997</v>
      </c>
      <c r="L120" s="14">
        <f>CHOOSE(CONTROL!$C$42, 8.0828, 8.0828) * CHOOSE(CONTROL!$C$21, $C$9, 100%, $E$9)</f>
        <v>8.0828000000000007</v>
      </c>
      <c r="M120" s="14">
        <f>CHOOSE(CONTROL!$C$42, 7.2802, 7.2802) * CHOOSE(CONTROL!$C$21, $C$9, 100%, $E$9)</f>
        <v>7.2801999999999998</v>
      </c>
      <c r="N120" s="14">
        <f>CHOOSE(CONTROL!$C$42, 7.298, 7.298) * CHOOSE(CONTROL!$C$21, $C$9, 100%, $E$9)</f>
        <v>7.298</v>
      </c>
      <c r="O120" s="14">
        <f>CHOOSE(CONTROL!$C$42, 7.3499, 7.3499) * CHOOSE(CONTROL!$C$21, $C$9, 100%, $E$9)</f>
        <v>7.3498999999999999</v>
      </c>
      <c r="P120" s="14">
        <f>CHOOSE(CONTROL!$C$42, 7.2986, 7.2986) * CHOOSE(CONTROL!$C$21, $C$9, 100%, $E$9)</f>
        <v>7.2986000000000004</v>
      </c>
      <c r="Q120" s="14">
        <f>CHOOSE(CONTROL!$C$42, 7.9446, 7.9446) * CHOOSE(CONTROL!$C$21, $C$9, 100%, $E$9)</f>
        <v>7.9446000000000003</v>
      </c>
      <c r="R120" s="14">
        <f>CHOOSE(CONTROL!$C$42, 8.5515, 8.5515) * CHOOSE(CONTROL!$C$21, $C$9, 100%, $E$9)</f>
        <v>8.5515000000000008</v>
      </c>
      <c r="S120" s="14">
        <f>CHOOSE(CONTROL!$C$42, 7.0956, 7.0956) * CHOOSE(CONTROL!$C$21, $C$9, 100%, $E$9)</f>
        <v>7.0956000000000001</v>
      </c>
      <c r="T1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20" s="57">
        <f>(1000*CHOOSE(CONTROL!$C$42, 695, 695)*CHOOSE(CONTROL!$C$42, 0.5599, 0.5599)*CHOOSE(CONTROL!$C$42, 31, 31))/1000000</f>
        <v>12.063045499999998</v>
      </c>
      <c r="V120" s="57">
        <f>(1000*CHOOSE(CONTROL!$C$42, 500, 500)*CHOOSE(CONTROL!$C$42, 0.275, 0.275)*CHOOSE(CONTROL!$C$42, 31, 31))/1000000</f>
        <v>4.2625000000000002</v>
      </c>
      <c r="W120" s="57">
        <f>(1000*CHOOSE(CONTROL!$C$42, 0.1146, 0.1146)*CHOOSE(CONTROL!$C$42, 121.5, 121.5)*CHOOSE(CONTROL!$C$42, 31, 31))/1000000</f>
        <v>0.43164089999999994</v>
      </c>
      <c r="X120" s="57">
        <f>(31*0.1790888*100000/1000000)+(31*0.2374*100000/1000000)</f>
        <v>1.2911152800000001</v>
      </c>
      <c r="Y120" s="57"/>
      <c r="Z120" s="14"/>
      <c r="AA120" s="56"/>
      <c r="AB120" s="50">
        <f>(B120*122.58+C120*297.941+D120*89.177+E120*40.302+F120*40+G120*160+H120*0+I120*100+J120*300)/(122.58+297.941+89.177+40.302+0+40+160+100+300)</f>
        <v>7.4264465060869567</v>
      </c>
      <c r="AC120" s="45">
        <f>(M120*'RAP TEMPLATE-GAS AVAILABILITY'!O119+N120*'RAP TEMPLATE-GAS AVAILABILITY'!P119+O120*'RAP TEMPLATE-GAS AVAILABILITY'!Q119+P120*'RAP TEMPLATE-GAS AVAILABILITY'!R119)/('RAP TEMPLATE-GAS AVAILABILITY'!O119+'RAP TEMPLATE-GAS AVAILABILITY'!P119+'RAP TEMPLATE-GAS AVAILABILITY'!Q119+'RAP TEMPLATE-GAS AVAILABILITY'!R119)</f>
        <v>7.3154625899280576</v>
      </c>
    </row>
    <row r="121" spans="1:29" ht="15.75" x14ac:dyDescent="0.25">
      <c r="A121" s="13">
        <v>44562</v>
      </c>
      <c r="B121" s="14">
        <f>CHOOSE(CONTROL!$C$42, 7.851, 7.851) * CHOOSE(CONTROL!$C$21, $C$9, 100%, $E$9)</f>
        <v>7.851</v>
      </c>
      <c r="C121" s="14">
        <f>CHOOSE(CONTROL!$C$42, 7.8561, 7.8561) * CHOOSE(CONTROL!$C$21, $C$9, 100%, $E$9)</f>
        <v>7.8560999999999996</v>
      </c>
      <c r="D121" s="14">
        <f>CHOOSE(CONTROL!$C$42, 7.9329, 7.9329) * CHOOSE(CONTROL!$C$21, $C$9, 100%, $E$9)</f>
        <v>7.9329000000000001</v>
      </c>
      <c r="E121" s="14">
        <f>CHOOSE(CONTROL!$C$42, 7.967, 7.967) * CHOOSE(CONTROL!$C$21, $C$9, 100%, $E$9)</f>
        <v>7.9669999999999996</v>
      </c>
      <c r="F121" s="14">
        <f>CHOOSE(CONTROL!$C$42, 7.8758, 7.8758)*CHOOSE(CONTROL!$C$21, $C$9, 100%, $E$9)</f>
        <v>7.8757999999999999</v>
      </c>
      <c r="G121" s="14">
        <f>CHOOSE(CONTROL!$C$42, 7.8937, 7.8937)*CHOOSE(CONTROL!$C$21, $C$9, 100%, $E$9)</f>
        <v>7.8936999999999999</v>
      </c>
      <c r="H121" s="14">
        <f>CHOOSE(CONTROL!$C$42, 7.9562, 7.9562) * CHOOSE(CONTROL!$C$21, $C$9, 100%, $E$9)</f>
        <v>7.9561999999999999</v>
      </c>
      <c r="I121" s="14">
        <f>CHOOSE(CONTROL!$C$42, 7.9093, 7.9093)* CHOOSE(CONTROL!$C$21, $C$9, 100%, $E$9)</f>
        <v>7.9093</v>
      </c>
      <c r="J121" s="14">
        <f>CHOOSE(CONTROL!$C$42, 7.8688, 7.8688)* CHOOSE(CONTROL!$C$21, $C$9, 100%, $E$9)</f>
        <v>7.8688000000000002</v>
      </c>
      <c r="K121" s="53">
        <f>CHOOSE(CONTROL!$C$42, 7.9055, 7.9055) * CHOOSE(CONTROL!$C$21, $C$9, 100%, $E$9)</f>
        <v>7.9055</v>
      </c>
      <c r="L121" s="14">
        <f>CHOOSE(CONTROL!$C$42, 8.5432, 8.5432) * CHOOSE(CONTROL!$C$21, $C$9, 100%, $E$9)</f>
        <v>8.5432000000000006</v>
      </c>
      <c r="M121" s="14">
        <f>CHOOSE(CONTROL!$C$42, 7.7152, 7.7152) * CHOOSE(CONTROL!$C$21, $C$9, 100%, $E$9)</f>
        <v>7.7152000000000003</v>
      </c>
      <c r="N121" s="14">
        <f>CHOOSE(CONTROL!$C$42, 7.7328, 7.7328) * CHOOSE(CONTROL!$C$21, $C$9, 100%, $E$9)</f>
        <v>7.7328000000000001</v>
      </c>
      <c r="O121" s="14">
        <f>CHOOSE(CONTROL!$C$42, 7.8009, 7.8009) * CHOOSE(CONTROL!$C$21, $C$9, 100%, $E$9)</f>
        <v>7.8009000000000004</v>
      </c>
      <c r="P121" s="14">
        <f>CHOOSE(CONTROL!$C$42, 7.7546, 7.7546) * CHOOSE(CONTROL!$C$21, $C$9, 100%, $E$9)</f>
        <v>7.7545999999999999</v>
      </c>
      <c r="Q121" s="14">
        <f>CHOOSE(CONTROL!$C$42, 8.3956, 8.3956) * CHOOSE(CONTROL!$C$21, $C$9, 100%, $E$9)</f>
        <v>8.3956</v>
      </c>
      <c r="R121" s="14">
        <f>CHOOSE(CONTROL!$C$42, 9.0036, 9.0036) * CHOOSE(CONTROL!$C$21, $C$9, 100%, $E$9)</f>
        <v>9.0036000000000005</v>
      </c>
      <c r="S121" s="14">
        <f>CHOOSE(CONTROL!$C$42, 7.5355, 7.5355) * CHOOSE(CONTROL!$C$21, $C$9, 100%, $E$9)</f>
        <v>7.5354999999999999</v>
      </c>
      <c r="T1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21" s="57">
        <f>(1000*CHOOSE(CONTROL!$C$42, 695, 695)*CHOOSE(CONTROL!$C$42, 0.5599, 0.5599)*CHOOSE(CONTROL!$C$42, 31, 31))/1000000</f>
        <v>12.063045499999998</v>
      </c>
      <c r="V121" s="57">
        <f>(1000*CHOOSE(CONTROL!$C$42, 500, 500)*CHOOSE(CONTROL!$C$42, 0.275, 0.275)*CHOOSE(CONTROL!$C$42, 31, 31))/1000000</f>
        <v>4.2625000000000002</v>
      </c>
      <c r="W121" s="57">
        <f>(1000*CHOOSE(CONTROL!$C$42, 0.1146, 0.1146)*CHOOSE(CONTROL!$C$42, 121.5, 121.5)*CHOOSE(CONTROL!$C$42, 31, 31))/1000000</f>
        <v>0.43164089999999994</v>
      </c>
      <c r="X121" s="57">
        <f>(31*0.1790888*100000/1000000)+(31*0.2374*100000/1000000)</f>
        <v>1.2911152800000001</v>
      </c>
      <c r="Y121" s="57"/>
      <c r="Z121" s="14"/>
      <c r="AA121" s="56"/>
      <c r="AB121" s="50">
        <f>(B121*122.58+C121*297.941+D121*89.177+E121*40.302+F121*40+G121*160+H121*0+I121*100+J121*300)/(122.58+297.941+89.177+40.302+0+40+160+100+300)</f>
        <v>7.8792540238260873</v>
      </c>
      <c r="AC121" s="45">
        <f>(M121*'RAP TEMPLATE-GAS AVAILABILITY'!O120+N121*'RAP TEMPLATE-GAS AVAILABILITY'!P120+O121*'RAP TEMPLATE-GAS AVAILABILITY'!Q120+P121*'RAP TEMPLATE-GAS AVAILABILITY'!R120)/('RAP TEMPLATE-GAS AVAILABILITY'!O120+'RAP TEMPLATE-GAS AVAILABILITY'!P120+'RAP TEMPLATE-GAS AVAILABILITY'!Q120+'RAP TEMPLATE-GAS AVAILABILITY'!R120)</f>
        <v>7.7607244604316552</v>
      </c>
    </row>
    <row r="122" spans="1:29" ht="15.75" x14ac:dyDescent="0.25">
      <c r="A122" s="13">
        <v>44593</v>
      </c>
      <c r="B122" s="14">
        <f>CHOOSE(CONTROL!$C$42, 8.0071, 8.0071) * CHOOSE(CONTROL!$C$21, $C$9, 100%, $E$9)</f>
        <v>8.0070999999999994</v>
      </c>
      <c r="C122" s="14">
        <f>CHOOSE(CONTROL!$C$42, 8.0121, 8.0121) * CHOOSE(CONTROL!$C$21, $C$9, 100%, $E$9)</f>
        <v>8.0121000000000002</v>
      </c>
      <c r="D122" s="14">
        <f>CHOOSE(CONTROL!$C$42, 8.089, 8.089) * CHOOSE(CONTROL!$C$21, $C$9, 100%, $E$9)</f>
        <v>8.0890000000000004</v>
      </c>
      <c r="E122" s="14">
        <f>CHOOSE(CONTROL!$C$42, 8.1231, 8.1231) * CHOOSE(CONTROL!$C$21, $C$9, 100%, $E$9)</f>
        <v>8.1231000000000009</v>
      </c>
      <c r="F122" s="14">
        <f>CHOOSE(CONTROL!$C$42, 8.0314, 8.0314)*CHOOSE(CONTROL!$C$21, $C$9, 100%, $E$9)</f>
        <v>8.0313999999999997</v>
      </c>
      <c r="G122" s="14">
        <f>CHOOSE(CONTROL!$C$42, 8.0493, 8.0493)*CHOOSE(CONTROL!$C$21, $C$9, 100%, $E$9)</f>
        <v>8.0493000000000006</v>
      </c>
      <c r="H122" s="14">
        <f>CHOOSE(CONTROL!$C$42, 8.1123, 8.1123) * CHOOSE(CONTROL!$C$21, $C$9, 100%, $E$9)</f>
        <v>8.1122999999999994</v>
      </c>
      <c r="I122" s="14">
        <f>CHOOSE(CONTROL!$C$42, 8.0659, 8.0659)* CHOOSE(CONTROL!$C$21, $C$9, 100%, $E$9)</f>
        <v>8.0658999999999992</v>
      </c>
      <c r="J122" s="14">
        <f>CHOOSE(CONTROL!$C$42, 8.0244, 8.0244)* CHOOSE(CONTROL!$C$21, $C$9, 100%, $E$9)</f>
        <v>8.0244</v>
      </c>
      <c r="K122" s="53">
        <f>CHOOSE(CONTROL!$C$42, 8.062, 8.062) * CHOOSE(CONTROL!$C$21, $C$9, 100%, $E$9)</f>
        <v>8.0619999999999994</v>
      </c>
      <c r="L122" s="14">
        <f>CHOOSE(CONTROL!$C$42, 8.6993, 8.6993) * CHOOSE(CONTROL!$C$21, $C$9, 100%, $E$9)</f>
        <v>8.6992999999999991</v>
      </c>
      <c r="M122" s="14">
        <f>CHOOSE(CONTROL!$C$42, 7.8677, 7.8677) * CHOOSE(CONTROL!$C$21, $C$9, 100%, $E$9)</f>
        <v>7.8677000000000001</v>
      </c>
      <c r="N122" s="14">
        <f>CHOOSE(CONTROL!$C$42, 7.8852, 7.8852) * CHOOSE(CONTROL!$C$21, $C$9, 100%, $E$9)</f>
        <v>7.8852000000000002</v>
      </c>
      <c r="O122" s="14">
        <f>CHOOSE(CONTROL!$C$42, 7.9537, 7.9537) * CHOOSE(CONTROL!$C$21, $C$9, 100%, $E$9)</f>
        <v>7.9537000000000004</v>
      </c>
      <c r="P122" s="14">
        <f>CHOOSE(CONTROL!$C$42, 7.9079, 7.9079) * CHOOSE(CONTROL!$C$21, $C$9, 100%, $E$9)</f>
        <v>7.9078999999999997</v>
      </c>
      <c r="Q122" s="14">
        <f>CHOOSE(CONTROL!$C$42, 8.5484, 8.5484) * CHOOSE(CONTROL!$C$21, $C$9, 100%, $E$9)</f>
        <v>8.5484000000000009</v>
      </c>
      <c r="R122" s="14">
        <f>CHOOSE(CONTROL!$C$42, 9.1568, 9.1568) * CHOOSE(CONTROL!$C$21, $C$9, 100%, $E$9)</f>
        <v>9.1568000000000005</v>
      </c>
      <c r="S122" s="14">
        <f>CHOOSE(CONTROL!$C$42, 7.6854, 7.6854) * CHOOSE(CONTROL!$C$21, $C$9, 100%, $E$9)</f>
        <v>7.6853999999999996</v>
      </c>
      <c r="T12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22" s="57">
        <f>(1000*CHOOSE(CONTROL!$C$42, 695, 695)*CHOOSE(CONTROL!$C$42, 0.5599, 0.5599)*CHOOSE(CONTROL!$C$42, 28, 28))/1000000</f>
        <v>10.895653999999999</v>
      </c>
      <c r="V122" s="57">
        <f>(1000*CHOOSE(CONTROL!$C$42, 500, 500)*CHOOSE(CONTROL!$C$42, 0.275, 0.275)*CHOOSE(CONTROL!$C$42, 28, 28))/1000000</f>
        <v>3.85</v>
      </c>
      <c r="W122" s="57">
        <f>(1000*CHOOSE(CONTROL!$C$42, 0.1146, 0.1146)*CHOOSE(CONTROL!$C$42, 121.5, 121.5)*CHOOSE(CONTROL!$C$42, 28, 28))/1000000</f>
        <v>0.38986920000000003</v>
      </c>
      <c r="X122" s="57">
        <f>(28*0.1790888*100000/1000000)+(28*0.2374*100000/1000000)</f>
        <v>1.16616864</v>
      </c>
      <c r="Y122" s="57"/>
      <c r="Z122" s="14"/>
      <c r="AA122" s="56"/>
      <c r="AB122" s="50">
        <f>(B122*122.58+C122*297.941+D122*89.177+E122*40.302+F122*40+G122*160+H122*0+I122*100+J122*300)/(122.58+297.941+89.177+40.302+0+40+160+100+300)</f>
        <v>8.0351542028695651</v>
      </c>
      <c r="AC122" s="45">
        <f>(M122*'RAP TEMPLATE-GAS AVAILABILITY'!O121+N122*'RAP TEMPLATE-GAS AVAILABILITY'!P121+O122*'RAP TEMPLATE-GAS AVAILABILITY'!Q121+P122*'RAP TEMPLATE-GAS AVAILABILITY'!R121)/('RAP TEMPLATE-GAS AVAILABILITY'!O121+'RAP TEMPLATE-GAS AVAILABILITY'!P121+'RAP TEMPLATE-GAS AVAILABILITY'!Q121+'RAP TEMPLATE-GAS AVAILABILITY'!R121)</f>
        <v>7.913469784172662</v>
      </c>
    </row>
    <row r="123" spans="1:29" ht="15.75" x14ac:dyDescent="0.25">
      <c r="A123" s="13">
        <v>44621</v>
      </c>
      <c r="B123" s="14">
        <f>CHOOSE(CONTROL!$C$42, 7.796, 7.796) * CHOOSE(CONTROL!$C$21, $C$9, 100%, $E$9)</f>
        <v>7.7960000000000003</v>
      </c>
      <c r="C123" s="14">
        <f>CHOOSE(CONTROL!$C$42, 7.8011, 7.8011) * CHOOSE(CONTROL!$C$21, $C$9, 100%, $E$9)</f>
        <v>7.8010999999999999</v>
      </c>
      <c r="D123" s="14">
        <f>CHOOSE(CONTROL!$C$42, 7.8779, 7.8779) * CHOOSE(CONTROL!$C$21, $C$9, 100%, $E$9)</f>
        <v>7.8779000000000003</v>
      </c>
      <c r="E123" s="14">
        <f>CHOOSE(CONTROL!$C$42, 7.912, 7.912) * CHOOSE(CONTROL!$C$21, $C$9, 100%, $E$9)</f>
        <v>7.9119999999999999</v>
      </c>
      <c r="F123" s="14">
        <f>CHOOSE(CONTROL!$C$42, 7.8195, 7.8195)*CHOOSE(CONTROL!$C$21, $C$9, 100%, $E$9)</f>
        <v>7.8194999999999997</v>
      </c>
      <c r="G123" s="14">
        <f>CHOOSE(CONTROL!$C$42, 7.8371, 7.8371)*CHOOSE(CONTROL!$C$21, $C$9, 100%, $E$9)</f>
        <v>7.8371000000000004</v>
      </c>
      <c r="H123" s="14">
        <f>CHOOSE(CONTROL!$C$42, 7.9012, 7.9012) * CHOOSE(CONTROL!$C$21, $C$9, 100%, $E$9)</f>
        <v>7.9012000000000002</v>
      </c>
      <c r="I123" s="14">
        <f>CHOOSE(CONTROL!$C$42, 7.8542, 7.8542)* CHOOSE(CONTROL!$C$21, $C$9, 100%, $E$9)</f>
        <v>7.8541999999999996</v>
      </c>
      <c r="J123" s="14">
        <f>CHOOSE(CONTROL!$C$42, 7.8125, 7.8125)* CHOOSE(CONTROL!$C$21, $C$9, 100%, $E$9)</f>
        <v>7.8125</v>
      </c>
      <c r="K123" s="53">
        <f>CHOOSE(CONTROL!$C$42, 7.8503, 7.8503) * CHOOSE(CONTROL!$C$21, $C$9, 100%, $E$9)</f>
        <v>7.8502999999999998</v>
      </c>
      <c r="L123" s="14">
        <f>CHOOSE(CONTROL!$C$42, 8.4882, 8.4882) * CHOOSE(CONTROL!$C$21, $C$9, 100%, $E$9)</f>
        <v>8.4882000000000009</v>
      </c>
      <c r="M123" s="14">
        <f>CHOOSE(CONTROL!$C$42, 7.6601, 7.6601) * CHOOSE(CONTROL!$C$21, $C$9, 100%, $E$9)</f>
        <v>7.6600999999999999</v>
      </c>
      <c r="N123" s="14">
        <f>CHOOSE(CONTROL!$C$42, 7.6774, 7.6774) * CHOOSE(CONTROL!$C$21, $C$9, 100%, $E$9)</f>
        <v>7.6773999999999996</v>
      </c>
      <c r="O123" s="14">
        <f>CHOOSE(CONTROL!$C$42, 7.747, 7.747) * CHOOSE(CONTROL!$C$21, $C$9, 100%, $E$9)</f>
        <v>7.7469999999999999</v>
      </c>
      <c r="P123" s="14">
        <f>CHOOSE(CONTROL!$C$42, 7.7005, 7.7005) * CHOOSE(CONTROL!$C$21, $C$9, 100%, $E$9)</f>
        <v>7.7004999999999999</v>
      </c>
      <c r="Q123" s="14">
        <f>CHOOSE(CONTROL!$C$42, 8.3417, 8.3417) * CHOOSE(CONTROL!$C$21, $C$9, 100%, $E$9)</f>
        <v>8.3416999999999994</v>
      </c>
      <c r="R123" s="14">
        <f>CHOOSE(CONTROL!$C$42, 8.9496, 8.9496) * CHOOSE(CONTROL!$C$21, $C$9, 100%, $E$9)</f>
        <v>8.9496000000000002</v>
      </c>
      <c r="S123" s="14">
        <f>CHOOSE(CONTROL!$C$42, 7.4827, 7.4827) * CHOOSE(CONTROL!$C$21, $C$9, 100%, $E$9)</f>
        <v>7.4827000000000004</v>
      </c>
      <c r="T1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23" s="57">
        <f>(1000*CHOOSE(CONTROL!$C$42, 695, 695)*CHOOSE(CONTROL!$C$42, 0.5599, 0.5599)*CHOOSE(CONTROL!$C$42, 31, 31))/1000000</f>
        <v>12.063045499999998</v>
      </c>
      <c r="V123" s="57">
        <f>(1000*CHOOSE(CONTROL!$C$42, 500, 500)*CHOOSE(CONTROL!$C$42, 0.275, 0.275)*CHOOSE(CONTROL!$C$42, 31, 31))/1000000</f>
        <v>4.2625000000000002</v>
      </c>
      <c r="W123" s="57">
        <f>(1000*CHOOSE(CONTROL!$C$42, 0.1146, 0.1146)*CHOOSE(CONTROL!$C$42, 121.5, 121.5)*CHOOSE(CONTROL!$C$42, 31, 31))/1000000</f>
        <v>0.43164089999999994</v>
      </c>
      <c r="X123" s="57">
        <f>(31*0.1790888*100000/1000000)+(31*0.2374*100000/1000000)</f>
        <v>1.2911152800000001</v>
      </c>
      <c r="Y123" s="57"/>
      <c r="Z123" s="14"/>
      <c r="AA123" s="56"/>
      <c r="AB123" s="50">
        <f>(B123*122.58+C123*297.941+D123*89.177+E123*40.302+F123*40+G123*160+H123*0+I123*100+J123*300)/(122.58+297.941+89.177+40.302+0+40+160+100+300)</f>
        <v>7.8236383716521738</v>
      </c>
      <c r="AC123" s="45">
        <f>(M123*'RAP TEMPLATE-GAS AVAILABILITY'!O122+N123*'RAP TEMPLATE-GAS AVAILABILITY'!P122+O123*'RAP TEMPLATE-GAS AVAILABILITY'!Q122+P123*'RAP TEMPLATE-GAS AVAILABILITY'!R122)/('RAP TEMPLATE-GAS AVAILABILITY'!O122+'RAP TEMPLATE-GAS AVAILABILITY'!P122+'RAP TEMPLATE-GAS AVAILABILITY'!Q122+'RAP TEMPLATE-GAS AVAILABILITY'!R122)</f>
        <v>7.7062949640287766</v>
      </c>
    </row>
    <row r="124" spans="1:29" ht="15.75" x14ac:dyDescent="0.25">
      <c r="A124" s="13">
        <v>44652</v>
      </c>
      <c r="B124" s="14">
        <f>CHOOSE(CONTROL!$C$42, 7.7897, 7.7897) * CHOOSE(CONTROL!$C$21, $C$9, 100%, $E$9)</f>
        <v>7.7896999999999998</v>
      </c>
      <c r="C124" s="14">
        <f>CHOOSE(CONTROL!$C$42, 7.7942, 7.7942) * CHOOSE(CONTROL!$C$21, $C$9, 100%, $E$9)</f>
        <v>7.7942</v>
      </c>
      <c r="D124" s="14">
        <f>CHOOSE(CONTROL!$C$42, 8.0179, 8.0179) * CHOOSE(CONTROL!$C$21, $C$9, 100%, $E$9)</f>
        <v>8.0178999999999991</v>
      </c>
      <c r="E124" s="14">
        <f>CHOOSE(CONTROL!$C$42, 8.05, 8.05) * CHOOSE(CONTROL!$C$21, $C$9, 100%, $E$9)</f>
        <v>8.0500000000000007</v>
      </c>
      <c r="F124" s="14">
        <f>CHOOSE(CONTROL!$C$42, 7.8174, 7.8174)*CHOOSE(CONTROL!$C$21, $C$9, 100%, $E$9)</f>
        <v>7.8174000000000001</v>
      </c>
      <c r="G124" s="14">
        <f>CHOOSE(CONTROL!$C$42, 7.8343, 7.8343)*CHOOSE(CONTROL!$C$21, $C$9, 100%, $E$9)</f>
        <v>7.8342999999999998</v>
      </c>
      <c r="H124" s="14">
        <f>CHOOSE(CONTROL!$C$42, 8.0398, 8.0398) * CHOOSE(CONTROL!$C$21, $C$9, 100%, $E$9)</f>
        <v>8.0397999999999996</v>
      </c>
      <c r="I124" s="14">
        <f>CHOOSE(CONTROL!$C$42, 7.8434, 7.8434)* CHOOSE(CONTROL!$C$21, $C$9, 100%, $E$9)</f>
        <v>7.8433999999999999</v>
      </c>
      <c r="J124" s="14">
        <f>CHOOSE(CONTROL!$C$42, 7.8104, 7.8104)* CHOOSE(CONTROL!$C$21, $C$9, 100%, $E$9)</f>
        <v>7.8103999999999996</v>
      </c>
      <c r="K124" s="53">
        <f>CHOOSE(CONTROL!$C$42, 7.8395, 7.8395) * CHOOSE(CONTROL!$C$21, $C$9, 100%, $E$9)</f>
        <v>7.8395000000000001</v>
      </c>
      <c r="L124" s="14">
        <f>CHOOSE(CONTROL!$C$42, 8.6268, 8.6268) * CHOOSE(CONTROL!$C$21, $C$9, 100%, $E$9)</f>
        <v>8.6267999999999994</v>
      </c>
      <c r="M124" s="14">
        <f>CHOOSE(CONTROL!$C$42, 7.6581, 7.6581) * CHOOSE(CONTROL!$C$21, $C$9, 100%, $E$9)</f>
        <v>7.6581000000000001</v>
      </c>
      <c r="N124" s="14">
        <f>CHOOSE(CONTROL!$C$42, 7.6746, 7.6746) * CHOOSE(CONTROL!$C$21, $C$9, 100%, $E$9)</f>
        <v>7.6745999999999999</v>
      </c>
      <c r="O124" s="14">
        <f>CHOOSE(CONTROL!$C$42, 7.8828, 7.8828) * CHOOSE(CONTROL!$C$21, $C$9, 100%, $E$9)</f>
        <v>7.8827999999999996</v>
      </c>
      <c r="P124" s="14">
        <f>CHOOSE(CONTROL!$C$42, 7.69, 7.69) * CHOOSE(CONTROL!$C$21, $C$9, 100%, $E$9)</f>
        <v>7.69</v>
      </c>
      <c r="Q124" s="14">
        <f>CHOOSE(CONTROL!$C$42, 8.4775, 8.4775) * CHOOSE(CONTROL!$C$21, $C$9, 100%, $E$9)</f>
        <v>8.4774999999999991</v>
      </c>
      <c r="R124" s="14">
        <f>CHOOSE(CONTROL!$C$42, 9.0857, 9.0857) * CHOOSE(CONTROL!$C$21, $C$9, 100%, $E$9)</f>
        <v>9.0856999999999992</v>
      </c>
      <c r="S124" s="14">
        <f>CHOOSE(CONTROL!$C$42, 7.4758, 7.4758) * CHOOSE(CONTROL!$C$21, $C$9, 100%, $E$9)</f>
        <v>7.4757999999999996</v>
      </c>
      <c r="T1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24" s="57">
        <f>(1000*CHOOSE(CONTROL!$C$42, 695, 695)*CHOOSE(CONTROL!$C$42, 0.5599, 0.5599)*CHOOSE(CONTROL!$C$42, 30, 30))/1000000</f>
        <v>11.673914999999997</v>
      </c>
      <c r="V124" s="57">
        <f>(1000*CHOOSE(CONTROL!$C$42, 500, 500)*CHOOSE(CONTROL!$C$42, 0.275, 0.275)*CHOOSE(CONTROL!$C$42, 30, 30))/1000000</f>
        <v>4.125</v>
      </c>
      <c r="W124" s="57">
        <f>(1000*CHOOSE(CONTROL!$C$42, 0.1146, 0.1146)*CHOOSE(CONTROL!$C$42, 121.5, 121.5)*CHOOSE(CONTROL!$C$42, 30, 30))/1000000</f>
        <v>0.417717</v>
      </c>
      <c r="X124" s="57">
        <f>(30*0.1790888*245000/1000000)+(30*0.2374*100000/1000000)</f>
        <v>2.0285026799999999</v>
      </c>
      <c r="Y124" s="57"/>
      <c r="Z124" s="14"/>
      <c r="AA124" s="56"/>
      <c r="AB124" s="50">
        <f>(B124*141.293+C124*267.993+D124*115.016+E124*89.698+F124*40+G124*185+H124*0+I124*100+J124*300)/(141.293+267.993+115.016+89.698+0+40+185+100+300)</f>
        <v>7.8476015408393867</v>
      </c>
      <c r="AC124" s="45">
        <f>(M124*'RAP TEMPLATE-GAS AVAILABILITY'!O123+N124*'RAP TEMPLATE-GAS AVAILABILITY'!P123+O124*'RAP TEMPLATE-GAS AVAILABILITY'!Q123+P124*'RAP TEMPLATE-GAS AVAILABILITY'!R123)/('RAP TEMPLATE-GAS AVAILABILITY'!O123+'RAP TEMPLATE-GAS AVAILABILITY'!P123+'RAP TEMPLATE-GAS AVAILABILITY'!Q123+'RAP TEMPLATE-GAS AVAILABILITY'!R123)</f>
        <v>7.72953381294964</v>
      </c>
    </row>
    <row r="125" spans="1:29" ht="15.75" x14ac:dyDescent="0.25">
      <c r="A125" s="13">
        <v>44682</v>
      </c>
      <c r="B125" s="14">
        <f>CHOOSE(CONTROL!$C$42, 7.8759, 7.8759) * CHOOSE(CONTROL!$C$21, $C$9, 100%, $E$9)</f>
        <v>7.8758999999999997</v>
      </c>
      <c r="C125" s="14">
        <f>CHOOSE(CONTROL!$C$42, 7.884, 7.884) * CHOOSE(CONTROL!$C$21, $C$9, 100%, $E$9)</f>
        <v>7.8840000000000003</v>
      </c>
      <c r="D125" s="14">
        <f>CHOOSE(CONTROL!$C$42, 8.1045, 8.1045) * CHOOSE(CONTROL!$C$21, $C$9, 100%, $E$9)</f>
        <v>8.1044999999999998</v>
      </c>
      <c r="E125" s="14">
        <f>CHOOSE(CONTROL!$C$42, 8.136, 8.136) * CHOOSE(CONTROL!$C$21, $C$9, 100%, $E$9)</f>
        <v>8.1359999999999992</v>
      </c>
      <c r="F125" s="14">
        <f>CHOOSE(CONTROL!$C$42, 7.9022, 7.9022)*CHOOSE(CONTROL!$C$21, $C$9, 100%, $E$9)</f>
        <v>7.9021999999999997</v>
      </c>
      <c r="G125" s="14">
        <f>CHOOSE(CONTROL!$C$42, 7.9193, 7.9193)*CHOOSE(CONTROL!$C$21, $C$9, 100%, $E$9)</f>
        <v>7.9192999999999998</v>
      </c>
      <c r="H125" s="14">
        <f>CHOOSE(CONTROL!$C$42, 8.1246, 8.1246) * CHOOSE(CONTROL!$C$21, $C$9, 100%, $E$9)</f>
        <v>8.1245999999999992</v>
      </c>
      <c r="I125" s="14">
        <f>CHOOSE(CONTROL!$C$42, 7.9285, 7.9285)* CHOOSE(CONTROL!$C$21, $C$9, 100%, $E$9)</f>
        <v>7.9284999999999997</v>
      </c>
      <c r="J125" s="14">
        <f>CHOOSE(CONTROL!$C$42, 7.8952, 7.8952)* CHOOSE(CONTROL!$C$21, $C$9, 100%, $E$9)</f>
        <v>7.8952</v>
      </c>
      <c r="K125" s="53">
        <f>CHOOSE(CONTROL!$C$42, 7.9246, 7.9246) * CHOOSE(CONTROL!$C$21, $C$9, 100%, $E$9)</f>
        <v>7.9245999999999999</v>
      </c>
      <c r="L125" s="14">
        <f>CHOOSE(CONTROL!$C$42, 8.7116, 8.7116) * CHOOSE(CONTROL!$C$21, $C$9, 100%, $E$9)</f>
        <v>8.7116000000000007</v>
      </c>
      <c r="M125" s="14">
        <f>CHOOSE(CONTROL!$C$42, 7.7411, 7.7411) * CHOOSE(CONTROL!$C$21, $C$9, 100%, $E$9)</f>
        <v>7.7411000000000003</v>
      </c>
      <c r="N125" s="14">
        <f>CHOOSE(CONTROL!$C$42, 7.7579, 7.7579) * CHOOSE(CONTROL!$C$21, $C$9, 100%, $E$9)</f>
        <v>7.7579000000000002</v>
      </c>
      <c r="O125" s="14">
        <f>CHOOSE(CONTROL!$C$42, 7.9659, 7.9659) * CHOOSE(CONTROL!$C$21, $C$9, 100%, $E$9)</f>
        <v>7.9659000000000004</v>
      </c>
      <c r="P125" s="14">
        <f>CHOOSE(CONTROL!$C$42, 7.7733, 7.7733) * CHOOSE(CONTROL!$C$21, $C$9, 100%, $E$9)</f>
        <v>7.7732999999999999</v>
      </c>
      <c r="Q125" s="14">
        <f>CHOOSE(CONTROL!$C$42, 8.5606, 8.5606) * CHOOSE(CONTROL!$C$21, $C$9, 100%, $E$9)</f>
        <v>8.5606000000000009</v>
      </c>
      <c r="R125" s="14">
        <f>CHOOSE(CONTROL!$C$42, 9.169, 9.169) * CHOOSE(CONTROL!$C$21, $C$9, 100%, $E$9)</f>
        <v>9.1690000000000005</v>
      </c>
      <c r="S125" s="14">
        <f>CHOOSE(CONTROL!$C$42, 7.5573, 7.5573) * CHOOSE(CONTROL!$C$21, $C$9, 100%, $E$9)</f>
        <v>7.5572999999999997</v>
      </c>
      <c r="T1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25" s="57">
        <f>(1000*CHOOSE(CONTROL!$C$42, 695, 695)*CHOOSE(CONTROL!$C$42, 0.5599, 0.5599)*CHOOSE(CONTROL!$C$42, 31, 31))/1000000</f>
        <v>12.063045499999998</v>
      </c>
      <c r="V125" s="57">
        <f>(1000*CHOOSE(CONTROL!$C$42, 500, 500)*CHOOSE(CONTROL!$C$42, 0.275, 0.275)*CHOOSE(CONTROL!$C$42, 31, 31))/1000000</f>
        <v>4.2625000000000002</v>
      </c>
      <c r="W125" s="57">
        <f>(1000*CHOOSE(CONTROL!$C$42, 0.1146, 0.1146)*CHOOSE(CONTROL!$C$42, 121.5, 121.5)*CHOOSE(CONTROL!$C$42, 31, 31))/1000000</f>
        <v>0.43164089999999994</v>
      </c>
      <c r="X125" s="57">
        <f>(31*0.1790888*245000/1000000)+(31*0.2374*100000/1000000)</f>
        <v>2.0961194359999999</v>
      </c>
      <c r="Y125" s="57"/>
      <c r="Z125" s="14"/>
      <c r="AA125" s="56"/>
      <c r="AB125" s="50">
        <f>(B125*194.205+C125*267.466+D125*133.845+E125*53.484+F125*40+G125*185+H125*0+I125*100+J125*300)/(194.205+267.466+133.845+53.484+0+40+185+100+300)</f>
        <v>7.9283377001569848</v>
      </c>
      <c r="AC125" s="45">
        <f>(M125*'RAP TEMPLATE-GAS AVAILABILITY'!O124+N125*'RAP TEMPLATE-GAS AVAILABILITY'!P124+O125*'RAP TEMPLATE-GAS AVAILABILITY'!Q124+P125*'RAP TEMPLATE-GAS AVAILABILITY'!R124)/('RAP TEMPLATE-GAS AVAILABILITY'!O124+'RAP TEMPLATE-GAS AVAILABILITY'!P124+'RAP TEMPLATE-GAS AVAILABILITY'!Q124+'RAP TEMPLATE-GAS AVAILABILITY'!R124)</f>
        <v>7.8126741007194243</v>
      </c>
    </row>
    <row r="126" spans="1:29" ht="15.75" x14ac:dyDescent="0.25">
      <c r="A126" s="13">
        <v>44713</v>
      </c>
      <c r="B126" s="14">
        <f>CHOOSE(CONTROL!$C$42, 8.1157, 8.1157) * CHOOSE(CONTROL!$C$21, $C$9, 100%, $E$9)</f>
        <v>8.1157000000000004</v>
      </c>
      <c r="C126" s="14">
        <f>CHOOSE(CONTROL!$C$42, 8.1237, 8.1237) * CHOOSE(CONTROL!$C$21, $C$9, 100%, $E$9)</f>
        <v>8.1236999999999995</v>
      </c>
      <c r="D126" s="14">
        <f>CHOOSE(CONTROL!$C$42, 8.3443, 8.3443) * CHOOSE(CONTROL!$C$21, $C$9, 100%, $E$9)</f>
        <v>8.3443000000000005</v>
      </c>
      <c r="E126" s="14">
        <f>CHOOSE(CONTROL!$C$42, 8.3757, 8.3757) * CHOOSE(CONTROL!$C$21, $C$9, 100%, $E$9)</f>
        <v>8.3757000000000001</v>
      </c>
      <c r="F126" s="14">
        <f>CHOOSE(CONTROL!$C$42, 8.1423, 8.1423)*CHOOSE(CONTROL!$C$21, $C$9, 100%, $E$9)</f>
        <v>8.1423000000000005</v>
      </c>
      <c r="G126" s="14">
        <f>CHOOSE(CONTROL!$C$42, 8.1595, 8.1595)*CHOOSE(CONTROL!$C$21, $C$9, 100%, $E$9)</f>
        <v>8.1594999999999995</v>
      </c>
      <c r="H126" s="14">
        <f>CHOOSE(CONTROL!$C$42, 8.3644, 8.3644) * CHOOSE(CONTROL!$C$21, $C$9, 100%, $E$9)</f>
        <v>8.3643999999999998</v>
      </c>
      <c r="I126" s="14">
        <f>CHOOSE(CONTROL!$C$42, 8.169, 8.169)* CHOOSE(CONTROL!$C$21, $C$9, 100%, $E$9)</f>
        <v>8.1690000000000005</v>
      </c>
      <c r="J126" s="14">
        <f>CHOOSE(CONTROL!$C$42, 8.1353, 8.1353)* CHOOSE(CONTROL!$C$21, $C$9, 100%, $E$9)</f>
        <v>8.1353000000000009</v>
      </c>
      <c r="K126" s="53">
        <f>CHOOSE(CONTROL!$C$42, 8.1651, 8.1651) * CHOOSE(CONTROL!$C$21, $C$9, 100%, $E$9)</f>
        <v>8.1651000000000007</v>
      </c>
      <c r="L126" s="14">
        <f>CHOOSE(CONTROL!$C$42, 8.9514, 8.9514) * CHOOSE(CONTROL!$C$21, $C$9, 100%, $E$9)</f>
        <v>8.9513999999999996</v>
      </c>
      <c r="M126" s="14">
        <f>CHOOSE(CONTROL!$C$42, 7.9763, 7.9763) * CHOOSE(CONTROL!$C$21, $C$9, 100%, $E$9)</f>
        <v>7.9763000000000002</v>
      </c>
      <c r="N126" s="14">
        <f>CHOOSE(CONTROL!$C$42, 7.9931, 7.9931) * CHOOSE(CONTROL!$C$21, $C$9, 100%, $E$9)</f>
        <v>7.9931000000000001</v>
      </c>
      <c r="O126" s="14">
        <f>CHOOSE(CONTROL!$C$42, 8.2007, 8.2007) * CHOOSE(CONTROL!$C$21, $C$9, 100%, $E$9)</f>
        <v>8.2006999999999994</v>
      </c>
      <c r="P126" s="14">
        <f>CHOOSE(CONTROL!$C$42, 8.0088, 8.0088) * CHOOSE(CONTROL!$C$21, $C$9, 100%, $E$9)</f>
        <v>8.0088000000000008</v>
      </c>
      <c r="Q126" s="14">
        <f>CHOOSE(CONTROL!$C$42, 8.7954, 8.7954) * CHOOSE(CONTROL!$C$21, $C$9, 100%, $E$9)</f>
        <v>8.7954000000000008</v>
      </c>
      <c r="R126" s="14">
        <f>CHOOSE(CONTROL!$C$42, 9.4044, 9.4044) * CHOOSE(CONTROL!$C$21, $C$9, 100%, $E$9)</f>
        <v>9.4044000000000008</v>
      </c>
      <c r="S126" s="14">
        <f>CHOOSE(CONTROL!$C$42, 7.7877, 7.7877) * CHOOSE(CONTROL!$C$21, $C$9, 100%, $E$9)</f>
        <v>7.7877000000000001</v>
      </c>
      <c r="T1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26" s="57">
        <f>(1000*CHOOSE(CONTROL!$C$42, 695, 695)*CHOOSE(CONTROL!$C$42, 0.5599, 0.5599)*CHOOSE(CONTROL!$C$42, 30, 30))/1000000</f>
        <v>11.673914999999997</v>
      </c>
      <c r="V126" s="57">
        <f>(1000*CHOOSE(CONTROL!$C$42, 500, 500)*CHOOSE(CONTROL!$C$42, 0.275, 0.275)*CHOOSE(CONTROL!$C$42, 30, 30))/1000000</f>
        <v>4.125</v>
      </c>
      <c r="W126" s="57">
        <f>(1000*CHOOSE(CONTROL!$C$42, 0.1146, 0.1146)*CHOOSE(CONTROL!$C$42, 121.5, 121.5)*CHOOSE(CONTROL!$C$42, 30, 30))/1000000</f>
        <v>0.417717</v>
      </c>
      <c r="X126" s="57">
        <f>(30*0.1790888*245000/1000000)+(30*0.2374*100000/1000000)</f>
        <v>2.0285026799999999</v>
      </c>
      <c r="Y126" s="57"/>
      <c r="Z126" s="14"/>
      <c r="AA126" s="56"/>
      <c r="AB126" s="50">
        <f>(B126*194.205+C126*267.466+D126*133.845+E126*53.484+F126*40+G126*185+H126*0+I126*100+J126*300)/(194.205+267.466+133.845+53.484+0+40+185+100+300)</f>
        <v>8.1683056004709567</v>
      </c>
      <c r="AC126" s="45">
        <f>(M126*'RAP TEMPLATE-GAS AVAILABILITY'!O125+N126*'RAP TEMPLATE-GAS AVAILABILITY'!P125+O126*'RAP TEMPLATE-GAS AVAILABILITY'!Q125+P126*'RAP TEMPLATE-GAS AVAILABILITY'!R125)/('RAP TEMPLATE-GAS AVAILABILITY'!O125+'RAP TEMPLATE-GAS AVAILABILITY'!P125+'RAP TEMPLATE-GAS AVAILABILITY'!Q125+'RAP TEMPLATE-GAS AVAILABILITY'!R125)</f>
        <v>8.0478050359712228</v>
      </c>
    </row>
    <row r="127" spans="1:29" ht="15.75" x14ac:dyDescent="0.25">
      <c r="A127" s="13">
        <v>44743</v>
      </c>
      <c r="B127" s="14">
        <f>CHOOSE(CONTROL!$C$42, 7.9766, 7.9766) * CHOOSE(CONTROL!$C$21, $C$9, 100%, $E$9)</f>
        <v>7.9766000000000004</v>
      </c>
      <c r="C127" s="14">
        <f>CHOOSE(CONTROL!$C$42, 7.9846, 7.9846) * CHOOSE(CONTROL!$C$21, $C$9, 100%, $E$9)</f>
        <v>7.9846000000000004</v>
      </c>
      <c r="D127" s="14">
        <f>CHOOSE(CONTROL!$C$42, 8.2052, 8.2052) * CHOOSE(CONTROL!$C$21, $C$9, 100%, $E$9)</f>
        <v>8.2051999999999996</v>
      </c>
      <c r="E127" s="14">
        <f>CHOOSE(CONTROL!$C$42, 8.2366, 8.2366) * CHOOSE(CONTROL!$C$21, $C$9, 100%, $E$9)</f>
        <v>8.2365999999999993</v>
      </c>
      <c r="F127" s="14">
        <f>CHOOSE(CONTROL!$C$42, 8.0036, 8.0036)*CHOOSE(CONTROL!$C$21, $C$9, 100%, $E$9)</f>
        <v>8.0036000000000005</v>
      </c>
      <c r="G127" s="14">
        <f>CHOOSE(CONTROL!$C$42, 8.021, 8.021)*CHOOSE(CONTROL!$C$21, $C$9, 100%, $E$9)</f>
        <v>8.0210000000000008</v>
      </c>
      <c r="H127" s="14">
        <f>CHOOSE(CONTROL!$C$42, 8.2253, 8.2253) * CHOOSE(CONTROL!$C$21, $C$9, 100%, $E$9)</f>
        <v>8.2253000000000007</v>
      </c>
      <c r="I127" s="14">
        <f>CHOOSE(CONTROL!$C$42, 8.0294, 8.0294)* CHOOSE(CONTROL!$C$21, $C$9, 100%, $E$9)</f>
        <v>8.0294000000000008</v>
      </c>
      <c r="J127" s="14">
        <f>CHOOSE(CONTROL!$C$42, 7.9966, 7.9966)* CHOOSE(CONTROL!$C$21, $C$9, 100%, $E$9)</f>
        <v>7.9965999999999999</v>
      </c>
      <c r="K127" s="53">
        <f>CHOOSE(CONTROL!$C$42, 8.0255, 8.0255) * CHOOSE(CONTROL!$C$21, $C$9, 100%, $E$9)</f>
        <v>8.0254999999999992</v>
      </c>
      <c r="L127" s="14">
        <f>CHOOSE(CONTROL!$C$42, 8.8123, 8.8123) * CHOOSE(CONTROL!$C$21, $C$9, 100%, $E$9)</f>
        <v>8.8123000000000005</v>
      </c>
      <c r="M127" s="14">
        <f>CHOOSE(CONTROL!$C$42, 7.8405, 7.8405) * CHOOSE(CONTROL!$C$21, $C$9, 100%, $E$9)</f>
        <v>7.8404999999999996</v>
      </c>
      <c r="N127" s="14">
        <f>CHOOSE(CONTROL!$C$42, 7.8574, 7.8574) * CHOOSE(CONTROL!$C$21, $C$9, 100%, $E$9)</f>
        <v>7.8574000000000002</v>
      </c>
      <c r="O127" s="14">
        <f>CHOOSE(CONTROL!$C$42, 8.0644, 8.0644) * CHOOSE(CONTROL!$C$21, $C$9, 100%, $E$9)</f>
        <v>8.0643999999999991</v>
      </c>
      <c r="P127" s="14">
        <f>CHOOSE(CONTROL!$C$42, 7.8722, 7.8722) * CHOOSE(CONTROL!$C$21, $C$9, 100%, $E$9)</f>
        <v>7.8722000000000003</v>
      </c>
      <c r="Q127" s="14">
        <f>CHOOSE(CONTROL!$C$42, 8.6591, 8.6591) * CHOOSE(CONTROL!$C$21, $C$9, 100%, $E$9)</f>
        <v>8.6591000000000005</v>
      </c>
      <c r="R127" s="14">
        <f>CHOOSE(CONTROL!$C$42, 9.2678, 9.2678) * CHOOSE(CONTROL!$C$21, $C$9, 100%, $E$9)</f>
        <v>9.2677999999999994</v>
      </c>
      <c r="S127" s="14">
        <f>CHOOSE(CONTROL!$C$42, 7.654, 7.654) * CHOOSE(CONTROL!$C$21, $C$9, 100%, $E$9)</f>
        <v>7.6539999999999999</v>
      </c>
      <c r="T1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27" s="57">
        <f>(1000*CHOOSE(CONTROL!$C$42, 695, 695)*CHOOSE(CONTROL!$C$42, 0.5599, 0.5599)*CHOOSE(CONTROL!$C$42, 31, 31))/1000000</f>
        <v>12.063045499999998</v>
      </c>
      <c r="V127" s="57">
        <f>(1000*CHOOSE(CONTROL!$C$42, 500, 500)*CHOOSE(CONTROL!$C$42, 0.275, 0.275)*CHOOSE(CONTROL!$C$42, 31, 31))/1000000</f>
        <v>4.2625000000000002</v>
      </c>
      <c r="W127" s="57">
        <f>(1000*CHOOSE(CONTROL!$C$42, 0.1146, 0.1146)*CHOOSE(CONTROL!$C$42, 121.5, 121.5)*CHOOSE(CONTROL!$C$42, 31, 31))/1000000</f>
        <v>0.43164089999999994</v>
      </c>
      <c r="X127" s="57">
        <f>(31*0.1790888*245000/1000000)+(31*0.2374*100000/1000000)</f>
        <v>2.0961194359999999</v>
      </c>
      <c r="Y127" s="57"/>
      <c r="Z127" s="14"/>
      <c r="AA127" s="56"/>
      <c r="AB127" s="50">
        <f>(B127*194.205+C127*267.466+D127*133.845+E127*53.484+F127*40+G127*185+H127*0+I127*100+J127*300)/(194.205+267.466+133.845+53.484+0+40+185+100+300)</f>
        <v>8.0293602315541612</v>
      </c>
      <c r="AC127" s="45">
        <f>(M127*'RAP TEMPLATE-GAS AVAILABILITY'!O126+N127*'RAP TEMPLATE-GAS AVAILABILITY'!P126+O127*'RAP TEMPLATE-GAS AVAILABILITY'!Q126+P127*'RAP TEMPLATE-GAS AVAILABILITY'!R126)/('RAP TEMPLATE-GAS AVAILABILITY'!O126+'RAP TEMPLATE-GAS AVAILABILITY'!P126+'RAP TEMPLATE-GAS AVAILABILITY'!Q126+'RAP TEMPLATE-GAS AVAILABILITY'!R126)</f>
        <v>7.9117726618705033</v>
      </c>
    </row>
    <row r="128" spans="1:29" ht="15.75" x14ac:dyDescent="0.25">
      <c r="A128" s="13">
        <v>44774</v>
      </c>
      <c r="B128" s="14">
        <f>CHOOSE(CONTROL!$C$42, 7.5987, 7.5987) * CHOOSE(CONTROL!$C$21, $C$9, 100%, $E$9)</f>
        <v>7.5987</v>
      </c>
      <c r="C128" s="14">
        <f>CHOOSE(CONTROL!$C$42, 7.6068, 7.6068) * CHOOSE(CONTROL!$C$21, $C$9, 100%, $E$9)</f>
        <v>7.6067999999999998</v>
      </c>
      <c r="D128" s="14">
        <f>CHOOSE(CONTROL!$C$42, 7.8274, 7.8274) * CHOOSE(CONTROL!$C$21, $C$9, 100%, $E$9)</f>
        <v>7.8273999999999999</v>
      </c>
      <c r="E128" s="14">
        <f>CHOOSE(CONTROL!$C$42, 7.8588, 7.8588) * CHOOSE(CONTROL!$C$21, $C$9, 100%, $E$9)</f>
        <v>7.8587999999999996</v>
      </c>
      <c r="F128" s="14">
        <f>CHOOSE(CONTROL!$C$42, 7.6261, 7.6261)*CHOOSE(CONTROL!$C$21, $C$9, 100%, $E$9)</f>
        <v>7.6261000000000001</v>
      </c>
      <c r="G128" s="14">
        <f>CHOOSE(CONTROL!$C$42, 7.6435, 7.6435)*CHOOSE(CONTROL!$C$21, $C$9, 100%, $E$9)</f>
        <v>7.6435000000000004</v>
      </c>
      <c r="H128" s="14">
        <f>CHOOSE(CONTROL!$C$42, 7.8475, 7.8475) * CHOOSE(CONTROL!$C$21, $C$9, 100%, $E$9)</f>
        <v>7.8475000000000001</v>
      </c>
      <c r="I128" s="14">
        <f>CHOOSE(CONTROL!$C$42, 7.6504, 7.6504)* CHOOSE(CONTROL!$C$21, $C$9, 100%, $E$9)</f>
        <v>7.6504000000000003</v>
      </c>
      <c r="J128" s="14">
        <f>CHOOSE(CONTROL!$C$42, 7.6191, 7.6191)* CHOOSE(CONTROL!$C$21, $C$9, 100%, $E$9)</f>
        <v>7.6191000000000004</v>
      </c>
      <c r="K128" s="53">
        <f>CHOOSE(CONTROL!$C$42, 7.6465, 7.6465) * CHOOSE(CONTROL!$C$21, $C$9, 100%, $E$9)</f>
        <v>7.6464999999999996</v>
      </c>
      <c r="L128" s="14">
        <f>CHOOSE(CONTROL!$C$42, 8.4345, 8.4345) * CHOOSE(CONTROL!$C$21, $C$9, 100%, $E$9)</f>
        <v>8.4344999999999999</v>
      </c>
      <c r="M128" s="14">
        <f>CHOOSE(CONTROL!$C$42, 7.4707, 7.4707) * CHOOSE(CONTROL!$C$21, $C$9, 100%, $E$9)</f>
        <v>7.4706999999999999</v>
      </c>
      <c r="N128" s="14">
        <f>CHOOSE(CONTROL!$C$42, 7.4877, 7.4877) * CHOOSE(CONTROL!$C$21, $C$9, 100%, $E$9)</f>
        <v>7.4877000000000002</v>
      </c>
      <c r="O128" s="14">
        <f>CHOOSE(CONTROL!$C$42, 7.6944, 7.6944) * CHOOSE(CONTROL!$C$21, $C$9, 100%, $E$9)</f>
        <v>7.6943999999999999</v>
      </c>
      <c r="P128" s="14">
        <f>CHOOSE(CONTROL!$C$42, 7.501, 7.501) * CHOOSE(CONTROL!$C$21, $C$9, 100%, $E$9)</f>
        <v>7.5010000000000003</v>
      </c>
      <c r="Q128" s="14">
        <f>CHOOSE(CONTROL!$C$42, 8.2891, 8.2891) * CHOOSE(CONTROL!$C$21, $C$9, 100%, $E$9)</f>
        <v>8.2890999999999995</v>
      </c>
      <c r="R128" s="14">
        <f>CHOOSE(CONTROL!$C$42, 8.8968, 8.8968) * CHOOSE(CONTROL!$C$21, $C$9, 100%, $E$9)</f>
        <v>8.8968000000000007</v>
      </c>
      <c r="S128" s="14">
        <f>CHOOSE(CONTROL!$C$42, 7.291, 7.291) * CHOOSE(CONTROL!$C$21, $C$9, 100%, $E$9)</f>
        <v>7.2910000000000004</v>
      </c>
      <c r="T1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28" s="57">
        <f>(1000*CHOOSE(CONTROL!$C$42, 695, 695)*CHOOSE(CONTROL!$C$42, 0.5599, 0.5599)*CHOOSE(CONTROL!$C$42, 31, 31))/1000000</f>
        <v>12.063045499999998</v>
      </c>
      <c r="V128" s="57">
        <f>(1000*CHOOSE(CONTROL!$C$42, 500, 500)*CHOOSE(CONTROL!$C$42, 0.275, 0.275)*CHOOSE(CONTROL!$C$42, 31, 31))/1000000</f>
        <v>4.2625000000000002</v>
      </c>
      <c r="W128" s="57">
        <f>(1000*CHOOSE(CONTROL!$C$42, 0.1146, 0.1146)*CHOOSE(CONTROL!$C$42, 121.5, 121.5)*CHOOSE(CONTROL!$C$42, 31, 31))/1000000</f>
        <v>0.43164089999999994</v>
      </c>
      <c r="X128" s="57">
        <f>(31*0.1790888*245000/1000000)+(31*0.2374*100000/1000000)</f>
        <v>2.0961194359999999</v>
      </c>
      <c r="Y128" s="57"/>
      <c r="Z128" s="14"/>
      <c r="AA128" s="56"/>
      <c r="AB128" s="50">
        <f>(B128*194.205+C128*267.466+D128*133.845+E128*53.484+F128*40+G128*185+H128*0+I128*100+J128*300)/(194.205+267.466+133.845+53.484+0+40+185+100+300)</f>
        <v>7.6515744226844591</v>
      </c>
      <c r="AC128" s="45">
        <f>(M128*'RAP TEMPLATE-GAS AVAILABILITY'!O127+N128*'RAP TEMPLATE-GAS AVAILABILITY'!P127+O128*'RAP TEMPLATE-GAS AVAILABILITY'!Q127+P128*'RAP TEMPLATE-GAS AVAILABILITY'!R127)/('RAP TEMPLATE-GAS AVAILABILITY'!O127+'RAP TEMPLATE-GAS AVAILABILITY'!P127+'RAP TEMPLATE-GAS AVAILABILITY'!Q127+'RAP TEMPLATE-GAS AVAILABILITY'!R127)</f>
        <v>7.5417381294964025</v>
      </c>
    </row>
    <row r="129" spans="1:29" ht="15.75" x14ac:dyDescent="0.25">
      <c r="A129" s="13">
        <v>44805</v>
      </c>
      <c r="B129" s="14">
        <f>CHOOSE(CONTROL!$C$42, 7.1315, 7.1315) * CHOOSE(CONTROL!$C$21, $C$9, 100%, $E$9)</f>
        <v>7.1315</v>
      </c>
      <c r="C129" s="14">
        <f>CHOOSE(CONTROL!$C$42, 7.1395, 7.1395) * CHOOSE(CONTROL!$C$21, $C$9, 100%, $E$9)</f>
        <v>7.1395</v>
      </c>
      <c r="D129" s="14">
        <f>CHOOSE(CONTROL!$C$42, 7.3601, 7.3601) * CHOOSE(CONTROL!$C$21, $C$9, 100%, $E$9)</f>
        <v>7.3601000000000001</v>
      </c>
      <c r="E129" s="14">
        <f>CHOOSE(CONTROL!$C$42, 7.3916, 7.3916) * CHOOSE(CONTROL!$C$21, $C$9, 100%, $E$9)</f>
        <v>7.3916000000000004</v>
      </c>
      <c r="F129" s="14">
        <f>CHOOSE(CONTROL!$C$42, 7.1588, 7.1588)*CHOOSE(CONTROL!$C$21, $C$9, 100%, $E$9)</f>
        <v>7.1588000000000003</v>
      </c>
      <c r="G129" s="14">
        <f>CHOOSE(CONTROL!$C$42, 7.1762, 7.1762)*CHOOSE(CONTROL!$C$21, $C$9, 100%, $E$9)</f>
        <v>7.1761999999999997</v>
      </c>
      <c r="H129" s="14">
        <f>CHOOSE(CONTROL!$C$42, 7.3802, 7.3802) * CHOOSE(CONTROL!$C$21, $C$9, 100%, $E$9)</f>
        <v>7.3802000000000003</v>
      </c>
      <c r="I129" s="14">
        <f>CHOOSE(CONTROL!$C$42, 7.1817, 7.1817)* CHOOSE(CONTROL!$C$21, $C$9, 100%, $E$9)</f>
        <v>7.1817000000000002</v>
      </c>
      <c r="J129" s="14">
        <f>CHOOSE(CONTROL!$C$42, 7.1518, 7.1518)* CHOOSE(CONTROL!$C$21, $C$9, 100%, $E$9)</f>
        <v>7.1517999999999997</v>
      </c>
      <c r="K129" s="53">
        <f>CHOOSE(CONTROL!$C$42, 7.1778, 7.1778) * CHOOSE(CONTROL!$C$21, $C$9, 100%, $E$9)</f>
        <v>7.1778000000000004</v>
      </c>
      <c r="L129" s="14">
        <f>CHOOSE(CONTROL!$C$42, 7.9672, 7.9672) * CHOOSE(CONTROL!$C$21, $C$9, 100%, $E$9)</f>
        <v>7.9672000000000001</v>
      </c>
      <c r="M129" s="14">
        <f>CHOOSE(CONTROL!$C$42, 7.013, 7.013) * CHOOSE(CONTROL!$C$21, $C$9, 100%, $E$9)</f>
        <v>7.0129999999999999</v>
      </c>
      <c r="N129" s="14">
        <f>CHOOSE(CONTROL!$C$42, 7.03, 7.03) * CHOOSE(CONTROL!$C$21, $C$9, 100%, $E$9)</f>
        <v>7.03</v>
      </c>
      <c r="O129" s="14">
        <f>CHOOSE(CONTROL!$C$42, 7.2367, 7.2367) * CHOOSE(CONTROL!$C$21, $C$9, 100%, $E$9)</f>
        <v>7.2366999999999999</v>
      </c>
      <c r="P129" s="14">
        <f>CHOOSE(CONTROL!$C$42, 7.0419, 7.0419) * CHOOSE(CONTROL!$C$21, $C$9, 100%, $E$9)</f>
        <v>7.0419</v>
      </c>
      <c r="Q129" s="14">
        <f>CHOOSE(CONTROL!$C$42, 7.8314, 7.8314) * CHOOSE(CONTROL!$C$21, $C$9, 100%, $E$9)</f>
        <v>7.8314000000000004</v>
      </c>
      <c r="R129" s="14">
        <f>CHOOSE(CONTROL!$C$42, 8.4379, 8.4379) * CHOOSE(CONTROL!$C$21, $C$9, 100%, $E$9)</f>
        <v>8.4379000000000008</v>
      </c>
      <c r="S129" s="14">
        <f>CHOOSE(CONTROL!$C$42, 6.842, 6.842) * CHOOSE(CONTROL!$C$21, $C$9, 100%, $E$9)</f>
        <v>6.8419999999999996</v>
      </c>
      <c r="T1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29" s="57">
        <f>(1000*CHOOSE(CONTROL!$C$42, 695, 695)*CHOOSE(CONTROL!$C$42, 0.5599, 0.5599)*CHOOSE(CONTROL!$C$42, 30, 30))/1000000</f>
        <v>11.673914999999997</v>
      </c>
      <c r="V129" s="57">
        <f>(1000*CHOOSE(CONTROL!$C$42, 500, 500)*CHOOSE(CONTROL!$C$42, 0.275, 0.275)*CHOOSE(CONTROL!$C$42, 30, 30))/1000000</f>
        <v>4.125</v>
      </c>
      <c r="W129" s="57">
        <f>(1000*CHOOSE(CONTROL!$C$42, 0.1146, 0.1146)*CHOOSE(CONTROL!$C$42, 121.5, 121.5)*CHOOSE(CONTROL!$C$42, 30, 30))/1000000</f>
        <v>0.417717</v>
      </c>
      <c r="X129" s="57">
        <f>(30*0.1790888*245000/1000000)+(30*0.2374*100000/1000000)</f>
        <v>2.0285026799999999</v>
      </c>
      <c r="Y129" s="57"/>
      <c r="Z129" s="14"/>
      <c r="AA129" s="56"/>
      <c r="AB129" s="50">
        <f>(B129*194.205+C129*267.466+D129*133.845+E129*53.484+F129*40+G129*185+H129*0+I129*100+J129*300)/(194.205+267.466+133.845+53.484+0+40+185+100+300)</f>
        <v>7.1841839744113027</v>
      </c>
      <c r="AC129" s="45">
        <f>(M129*'RAP TEMPLATE-GAS AVAILABILITY'!O128+N129*'RAP TEMPLATE-GAS AVAILABILITY'!P128+O129*'RAP TEMPLATE-GAS AVAILABILITY'!Q128+P129*'RAP TEMPLATE-GAS AVAILABILITY'!R128)/('RAP TEMPLATE-GAS AVAILABILITY'!O128+'RAP TEMPLATE-GAS AVAILABILITY'!P128+'RAP TEMPLATE-GAS AVAILABILITY'!Q128+'RAP TEMPLATE-GAS AVAILABILITY'!R128)</f>
        <v>7.0838366906474812</v>
      </c>
    </row>
    <row r="130" spans="1:29" ht="15.75" x14ac:dyDescent="0.25">
      <c r="A130" s="13">
        <v>44835</v>
      </c>
      <c r="B130" s="14">
        <f>CHOOSE(CONTROL!$C$42, 6.9995, 6.9995) * CHOOSE(CONTROL!$C$21, $C$9, 100%, $E$9)</f>
        <v>6.9995000000000003</v>
      </c>
      <c r="C130" s="14">
        <f>CHOOSE(CONTROL!$C$42, 7.0049, 7.0049) * CHOOSE(CONTROL!$C$21, $C$9, 100%, $E$9)</f>
        <v>7.0049000000000001</v>
      </c>
      <c r="D130" s="14">
        <f>CHOOSE(CONTROL!$C$42, 7.2304, 7.2304) * CHOOSE(CONTROL!$C$21, $C$9, 100%, $E$9)</f>
        <v>7.2304000000000004</v>
      </c>
      <c r="E130" s="14">
        <f>CHOOSE(CONTROL!$C$42, 7.2595, 7.2595) * CHOOSE(CONTROL!$C$21, $C$9, 100%, $E$9)</f>
        <v>7.2595000000000001</v>
      </c>
      <c r="F130" s="14">
        <f>CHOOSE(CONTROL!$C$42, 7.0289, 7.0289)*CHOOSE(CONTROL!$C$21, $C$9, 100%, $E$9)</f>
        <v>7.0289000000000001</v>
      </c>
      <c r="G130" s="14">
        <f>CHOOSE(CONTROL!$C$42, 7.0461, 7.0461)*CHOOSE(CONTROL!$C$21, $C$9, 100%, $E$9)</f>
        <v>7.0461</v>
      </c>
      <c r="H130" s="14">
        <f>CHOOSE(CONTROL!$C$42, 7.25, 7.25) * CHOOSE(CONTROL!$C$21, $C$9, 100%, $E$9)</f>
        <v>7.25</v>
      </c>
      <c r="I130" s="14">
        <f>CHOOSE(CONTROL!$C$42, 7.0511, 7.0511)* CHOOSE(CONTROL!$C$21, $C$9, 100%, $E$9)</f>
        <v>7.0510999999999999</v>
      </c>
      <c r="J130" s="14">
        <f>CHOOSE(CONTROL!$C$42, 7.0219, 7.0219)* CHOOSE(CONTROL!$C$21, $C$9, 100%, $E$9)</f>
        <v>7.0218999999999996</v>
      </c>
      <c r="K130" s="53">
        <f>CHOOSE(CONTROL!$C$42, 7.0472, 7.0472) * CHOOSE(CONTROL!$C$21, $C$9, 100%, $E$9)</f>
        <v>7.0472000000000001</v>
      </c>
      <c r="L130" s="14">
        <f>CHOOSE(CONTROL!$C$42, 7.837, 7.837) * CHOOSE(CONTROL!$C$21, $C$9, 100%, $E$9)</f>
        <v>7.8369999999999997</v>
      </c>
      <c r="M130" s="14">
        <f>CHOOSE(CONTROL!$C$42, 6.8857, 6.8857) * CHOOSE(CONTROL!$C$21, $C$9, 100%, $E$9)</f>
        <v>6.8856999999999999</v>
      </c>
      <c r="N130" s="14">
        <f>CHOOSE(CONTROL!$C$42, 6.9026, 6.9026) * CHOOSE(CONTROL!$C$21, $C$9, 100%, $E$9)</f>
        <v>6.9025999999999996</v>
      </c>
      <c r="O130" s="14">
        <f>CHOOSE(CONTROL!$C$42, 7.1091, 7.1091) * CHOOSE(CONTROL!$C$21, $C$9, 100%, $E$9)</f>
        <v>7.1090999999999998</v>
      </c>
      <c r="P130" s="14">
        <f>CHOOSE(CONTROL!$C$42, 6.914, 6.914) * CHOOSE(CONTROL!$C$21, $C$9, 100%, $E$9)</f>
        <v>6.9139999999999997</v>
      </c>
      <c r="Q130" s="14">
        <f>CHOOSE(CONTROL!$C$42, 7.7038, 7.7038) * CHOOSE(CONTROL!$C$21, $C$9, 100%, $E$9)</f>
        <v>7.7038000000000002</v>
      </c>
      <c r="R130" s="14">
        <f>CHOOSE(CONTROL!$C$42, 8.3101, 8.3101) * CHOOSE(CONTROL!$C$21, $C$9, 100%, $E$9)</f>
        <v>8.3101000000000003</v>
      </c>
      <c r="S130" s="14">
        <f>CHOOSE(CONTROL!$C$42, 6.7169, 6.7169) * CHOOSE(CONTROL!$C$21, $C$9, 100%, $E$9)</f>
        <v>6.7168999999999999</v>
      </c>
      <c r="T1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30" s="57">
        <f>(1000*CHOOSE(CONTROL!$C$42, 695, 695)*CHOOSE(CONTROL!$C$42, 0.5599, 0.5599)*CHOOSE(CONTROL!$C$42, 31, 31))/1000000</f>
        <v>12.063045499999998</v>
      </c>
      <c r="V130" s="57">
        <f>(1000*CHOOSE(CONTROL!$C$42, 500, 500)*CHOOSE(CONTROL!$C$42, 0.275, 0.275)*CHOOSE(CONTROL!$C$42, 31, 31))/1000000</f>
        <v>4.2625000000000002</v>
      </c>
      <c r="W130" s="57">
        <f>(1000*CHOOSE(CONTROL!$C$42, 0.1146, 0.1146)*CHOOSE(CONTROL!$C$42, 121.5, 121.5)*CHOOSE(CONTROL!$C$42, 31, 31))/1000000</f>
        <v>0.43164089999999994</v>
      </c>
      <c r="X130" s="57">
        <f>(31*0.1790888*245000/1000000)+(31*0.2374*100000/1000000)</f>
        <v>2.0961194359999999</v>
      </c>
      <c r="Y130" s="57"/>
      <c r="Z130" s="14"/>
      <c r="AA130" s="56"/>
      <c r="AB130" s="50">
        <f>(B130*131.881+C130*277.167+D130*79.08+E130*125.872+F130*40+G130*185+H130*0+I130*100+J130*300)/(131.881+277.167+79.08+125.872+0+40+185+100+300)</f>
        <v>7.0593547165456005</v>
      </c>
      <c r="AC130" s="45">
        <f>(M130*'RAP TEMPLATE-GAS AVAILABILITY'!O129+N130*'RAP TEMPLATE-GAS AVAILABILITY'!P129+O130*'RAP TEMPLATE-GAS AVAILABILITY'!Q129+P130*'RAP TEMPLATE-GAS AVAILABILITY'!R129)/('RAP TEMPLATE-GAS AVAILABILITY'!O129+'RAP TEMPLATE-GAS AVAILABILITY'!P129+'RAP TEMPLATE-GAS AVAILABILITY'!Q129+'RAP TEMPLATE-GAS AVAILABILITY'!R129)</f>
        <v>6.9563431654676249</v>
      </c>
    </row>
    <row r="131" spans="1:29" ht="15.75" x14ac:dyDescent="0.25">
      <c r="A131" s="13">
        <v>44866</v>
      </c>
      <c r="B131" s="14">
        <f>CHOOSE(CONTROL!$C$42, 7.198, 7.198) * CHOOSE(CONTROL!$C$21, $C$9, 100%, $E$9)</f>
        <v>7.1980000000000004</v>
      </c>
      <c r="C131" s="14">
        <f>CHOOSE(CONTROL!$C$42, 7.2031, 7.2031) * CHOOSE(CONTROL!$C$21, $C$9, 100%, $E$9)</f>
        <v>7.2031000000000001</v>
      </c>
      <c r="D131" s="14">
        <f>CHOOSE(CONTROL!$C$42, 7.2773, 7.2773) * CHOOSE(CONTROL!$C$21, $C$9, 100%, $E$9)</f>
        <v>7.2773000000000003</v>
      </c>
      <c r="E131" s="14">
        <f>CHOOSE(CONTROL!$C$42, 7.3114, 7.3114) * CHOOSE(CONTROL!$C$21, $C$9, 100%, $E$9)</f>
        <v>7.3113999999999999</v>
      </c>
      <c r="F131" s="14">
        <f>CHOOSE(CONTROL!$C$42, 7.2341, 7.2341)*CHOOSE(CONTROL!$C$21, $C$9, 100%, $E$9)</f>
        <v>7.2340999999999998</v>
      </c>
      <c r="G131" s="14">
        <f>CHOOSE(CONTROL!$C$42, 7.2516, 7.2516)*CHOOSE(CONTROL!$C$21, $C$9, 100%, $E$9)</f>
        <v>7.2515999999999998</v>
      </c>
      <c r="H131" s="14">
        <f>CHOOSE(CONTROL!$C$42, 7.3006, 7.3006) * CHOOSE(CONTROL!$C$21, $C$9, 100%, $E$9)</f>
        <v>7.3006000000000002</v>
      </c>
      <c r="I131" s="14">
        <f>CHOOSE(CONTROL!$C$42, 7.248, 7.248)* CHOOSE(CONTROL!$C$21, $C$9, 100%, $E$9)</f>
        <v>7.2480000000000002</v>
      </c>
      <c r="J131" s="14">
        <f>CHOOSE(CONTROL!$C$42, 7.2271, 7.2271)* CHOOSE(CONTROL!$C$21, $C$9, 100%, $E$9)</f>
        <v>7.2271000000000001</v>
      </c>
      <c r="K131" s="53">
        <f>CHOOSE(CONTROL!$C$42, 7.2441, 7.2441) * CHOOSE(CONTROL!$C$21, $C$9, 100%, $E$9)</f>
        <v>7.2441000000000004</v>
      </c>
      <c r="L131" s="14">
        <f>CHOOSE(CONTROL!$C$42, 7.8876, 7.8876) * CHOOSE(CONTROL!$C$21, $C$9, 100%, $E$9)</f>
        <v>7.8875999999999999</v>
      </c>
      <c r="M131" s="14">
        <f>CHOOSE(CONTROL!$C$42, 7.0867, 7.0867) * CHOOSE(CONTROL!$C$21, $C$9, 100%, $E$9)</f>
        <v>7.0867000000000004</v>
      </c>
      <c r="N131" s="14">
        <f>CHOOSE(CONTROL!$C$42, 7.1039, 7.1039) * CHOOSE(CONTROL!$C$21, $C$9, 100%, $E$9)</f>
        <v>7.1039000000000003</v>
      </c>
      <c r="O131" s="14">
        <f>CHOOSE(CONTROL!$C$42, 7.1587, 7.1587) * CHOOSE(CONTROL!$C$21, $C$9, 100%, $E$9)</f>
        <v>7.1586999999999996</v>
      </c>
      <c r="P131" s="14">
        <f>CHOOSE(CONTROL!$C$42, 7.1068, 7.1068) * CHOOSE(CONTROL!$C$21, $C$9, 100%, $E$9)</f>
        <v>7.1067999999999998</v>
      </c>
      <c r="Q131" s="14">
        <f>CHOOSE(CONTROL!$C$42, 7.7534, 7.7534) * CHOOSE(CONTROL!$C$21, $C$9, 100%, $E$9)</f>
        <v>7.7534000000000001</v>
      </c>
      <c r="R131" s="14">
        <f>CHOOSE(CONTROL!$C$42, 8.3598, 8.3598) * CHOOSE(CONTROL!$C$21, $C$9, 100%, $E$9)</f>
        <v>8.3597999999999999</v>
      </c>
      <c r="S131" s="14">
        <f>CHOOSE(CONTROL!$C$42, 6.908, 6.908) * CHOOSE(CONTROL!$C$21, $C$9, 100%, $E$9)</f>
        <v>6.9080000000000004</v>
      </c>
      <c r="T1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31" s="57">
        <f>(1000*CHOOSE(CONTROL!$C$42, 695, 695)*CHOOSE(CONTROL!$C$42, 0.5599, 0.5599)*CHOOSE(CONTROL!$C$42, 30, 30))/1000000</f>
        <v>11.673914999999997</v>
      </c>
      <c r="V131" s="57">
        <f>(1000*CHOOSE(CONTROL!$C$42, 500, 500)*CHOOSE(CONTROL!$C$42, 0.275, 0.275)*CHOOSE(CONTROL!$C$42, 30, 30))/1000000</f>
        <v>4.125</v>
      </c>
      <c r="W131" s="57">
        <f>(1000*CHOOSE(CONTROL!$C$42, 0.1146, 0.1146)*CHOOSE(CONTROL!$C$42, 121.5, 121.5)*CHOOSE(CONTROL!$C$42, 30, 30))/1000000</f>
        <v>0.417717</v>
      </c>
      <c r="X131" s="57">
        <f>(30*0.1790888*100000/1000000)+(30*0.2374*100000/1000000)</f>
        <v>1.2494664</v>
      </c>
      <c r="Y131" s="57"/>
      <c r="Z131" s="14"/>
      <c r="AA131" s="56"/>
      <c r="AB131" s="50">
        <f>(B131*122.58+C131*297.941+D131*89.177+E131*40.302+F131*40+G131*160+H131*0+I131*100+J131*300)/(122.58+297.941+89.177+40.302+0+40+160+100+300)</f>
        <v>7.230096940869565</v>
      </c>
      <c r="AC131" s="45">
        <f>(M131*'RAP TEMPLATE-GAS AVAILABILITY'!O130+N131*'RAP TEMPLATE-GAS AVAILABILITY'!P130+O131*'RAP TEMPLATE-GAS AVAILABILITY'!Q130+P131*'RAP TEMPLATE-GAS AVAILABILITY'!R130)/('RAP TEMPLATE-GAS AVAILABILITY'!O130+'RAP TEMPLATE-GAS AVAILABILITY'!P130+'RAP TEMPLATE-GAS AVAILABILITY'!Q130+'RAP TEMPLATE-GAS AVAILABILITY'!R130)</f>
        <v>7.1232151079136692</v>
      </c>
    </row>
    <row r="132" spans="1:29" ht="15.75" x14ac:dyDescent="0.25">
      <c r="A132" s="13">
        <v>44896</v>
      </c>
      <c r="B132" s="14">
        <f>CHOOSE(CONTROL!$C$42, 7.7039, 7.7039) * CHOOSE(CONTROL!$C$21, $C$9, 100%, $E$9)</f>
        <v>7.7039</v>
      </c>
      <c r="C132" s="14">
        <f>CHOOSE(CONTROL!$C$42, 7.709, 7.709) * CHOOSE(CONTROL!$C$21, $C$9, 100%, $E$9)</f>
        <v>7.7089999999999996</v>
      </c>
      <c r="D132" s="14">
        <f>CHOOSE(CONTROL!$C$42, 7.7832, 7.7832) * CHOOSE(CONTROL!$C$21, $C$9, 100%, $E$9)</f>
        <v>7.7831999999999999</v>
      </c>
      <c r="E132" s="14">
        <f>CHOOSE(CONTROL!$C$42, 7.8173, 7.8173) * CHOOSE(CONTROL!$C$21, $C$9, 100%, $E$9)</f>
        <v>7.8173000000000004</v>
      </c>
      <c r="F132" s="14">
        <f>CHOOSE(CONTROL!$C$42, 7.7424, 7.7424)*CHOOSE(CONTROL!$C$21, $C$9, 100%, $E$9)</f>
        <v>7.7423999999999999</v>
      </c>
      <c r="G132" s="14">
        <f>CHOOSE(CONTROL!$C$42, 7.7605, 7.7605)*CHOOSE(CONTROL!$C$21, $C$9, 100%, $E$9)</f>
        <v>7.7605000000000004</v>
      </c>
      <c r="H132" s="14">
        <f>CHOOSE(CONTROL!$C$42, 7.8065, 7.8065) * CHOOSE(CONTROL!$C$21, $C$9, 100%, $E$9)</f>
        <v>7.8064999999999998</v>
      </c>
      <c r="I132" s="14">
        <f>CHOOSE(CONTROL!$C$42, 7.7555, 7.7555)* CHOOSE(CONTROL!$C$21, $C$9, 100%, $E$9)</f>
        <v>7.7554999999999996</v>
      </c>
      <c r="J132" s="14">
        <f>CHOOSE(CONTROL!$C$42, 7.7354, 7.7354)* CHOOSE(CONTROL!$C$21, $C$9, 100%, $E$9)</f>
        <v>7.7354000000000003</v>
      </c>
      <c r="K132" s="53">
        <f>CHOOSE(CONTROL!$C$42, 7.7516, 7.7516) * CHOOSE(CONTROL!$C$21, $C$9, 100%, $E$9)</f>
        <v>7.7515999999999998</v>
      </c>
      <c r="L132" s="14">
        <f>CHOOSE(CONTROL!$C$42, 8.3935, 8.3935) * CHOOSE(CONTROL!$C$21, $C$9, 100%, $E$9)</f>
        <v>8.3934999999999995</v>
      </c>
      <c r="M132" s="14">
        <f>CHOOSE(CONTROL!$C$42, 7.5846, 7.5846) * CHOOSE(CONTROL!$C$21, $C$9, 100%, $E$9)</f>
        <v>7.5846</v>
      </c>
      <c r="N132" s="14">
        <f>CHOOSE(CONTROL!$C$42, 7.6023, 7.6023) * CHOOSE(CONTROL!$C$21, $C$9, 100%, $E$9)</f>
        <v>7.6022999999999996</v>
      </c>
      <c r="O132" s="14">
        <f>CHOOSE(CONTROL!$C$42, 7.6543, 7.6543) * CHOOSE(CONTROL!$C$21, $C$9, 100%, $E$9)</f>
        <v>7.6543000000000001</v>
      </c>
      <c r="P132" s="14">
        <f>CHOOSE(CONTROL!$C$42, 7.6039, 7.6039) * CHOOSE(CONTROL!$C$21, $C$9, 100%, $E$9)</f>
        <v>7.6039000000000003</v>
      </c>
      <c r="Q132" s="14">
        <f>CHOOSE(CONTROL!$C$42, 8.249, 8.249) * CHOOSE(CONTROL!$C$21, $C$9, 100%, $E$9)</f>
        <v>8.2490000000000006</v>
      </c>
      <c r="R132" s="14">
        <f>CHOOSE(CONTROL!$C$42, 8.8566, 8.8566) * CHOOSE(CONTROL!$C$21, $C$9, 100%, $E$9)</f>
        <v>8.8566000000000003</v>
      </c>
      <c r="S132" s="14">
        <f>CHOOSE(CONTROL!$C$42, 7.3942, 7.3942) * CHOOSE(CONTROL!$C$21, $C$9, 100%, $E$9)</f>
        <v>7.3941999999999997</v>
      </c>
      <c r="T1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32" s="57">
        <f>(1000*CHOOSE(CONTROL!$C$42, 695, 695)*CHOOSE(CONTROL!$C$42, 0.5599, 0.5599)*CHOOSE(CONTROL!$C$42, 31, 31))/1000000</f>
        <v>12.063045499999998</v>
      </c>
      <c r="V132" s="57">
        <f>(1000*CHOOSE(CONTROL!$C$42, 500, 500)*CHOOSE(CONTROL!$C$42, 0.275, 0.275)*CHOOSE(CONTROL!$C$42, 31, 31))/1000000</f>
        <v>4.2625000000000002</v>
      </c>
      <c r="W132" s="57">
        <f>(1000*CHOOSE(CONTROL!$C$42, 0.1146, 0.1146)*CHOOSE(CONTROL!$C$42, 121.5, 121.5)*CHOOSE(CONTROL!$C$42, 31, 31))/1000000</f>
        <v>0.43164089999999994</v>
      </c>
      <c r="X132" s="57">
        <f>(31*0.1790888*100000/1000000)+(31*0.2374*100000/1000000)</f>
        <v>1.2911152800000001</v>
      </c>
      <c r="Y132" s="57"/>
      <c r="Z132" s="14"/>
      <c r="AA132" s="56"/>
      <c r="AB132" s="50">
        <f>(B132*122.58+C132*297.941+D132*89.177+E132*40.302+F132*40+G132*160+H132*0+I132*100+J132*300)/(122.58+297.941+89.177+40.302+0+40+160+100+300)</f>
        <v>7.7372630278260868</v>
      </c>
      <c r="AC132" s="45">
        <f>(M132*'RAP TEMPLATE-GAS AVAILABILITY'!O131+N132*'RAP TEMPLATE-GAS AVAILABILITY'!P131+O132*'RAP TEMPLATE-GAS AVAILABILITY'!Q131+P132*'RAP TEMPLATE-GAS AVAILABILITY'!R131)/('RAP TEMPLATE-GAS AVAILABILITY'!O131+'RAP TEMPLATE-GAS AVAILABILITY'!P131+'RAP TEMPLATE-GAS AVAILABILITY'!Q131+'RAP TEMPLATE-GAS AVAILABILITY'!R131)</f>
        <v>7.6199863309352525</v>
      </c>
    </row>
    <row r="133" spans="1:29" ht="15.75" x14ac:dyDescent="0.25">
      <c r="A133" s="13">
        <v>44927</v>
      </c>
      <c r="B133" s="14">
        <f>CHOOSE(CONTROL!$C$42, 8.5009, 8.5009) * CHOOSE(CONTROL!$C$21, $C$9, 100%, $E$9)</f>
        <v>8.5008999999999997</v>
      </c>
      <c r="C133" s="14">
        <f>CHOOSE(CONTROL!$C$42, 8.506, 8.506) * CHOOSE(CONTROL!$C$21, $C$9, 100%, $E$9)</f>
        <v>8.5060000000000002</v>
      </c>
      <c r="D133" s="14">
        <f>CHOOSE(CONTROL!$C$42, 8.5828, 8.5828) * CHOOSE(CONTROL!$C$21, $C$9, 100%, $E$9)</f>
        <v>8.5828000000000007</v>
      </c>
      <c r="E133" s="14">
        <f>CHOOSE(CONTROL!$C$42, 8.6169, 8.6169) * CHOOSE(CONTROL!$C$21, $C$9, 100%, $E$9)</f>
        <v>8.6168999999999993</v>
      </c>
      <c r="F133" s="14">
        <f>CHOOSE(CONTROL!$C$42, 8.5257, 8.5257)*CHOOSE(CONTROL!$C$21, $C$9, 100%, $E$9)</f>
        <v>8.5257000000000005</v>
      </c>
      <c r="G133" s="14">
        <f>CHOOSE(CONTROL!$C$42, 8.5436, 8.5436)*CHOOSE(CONTROL!$C$21, $C$9, 100%, $E$9)</f>
        <v>8.5435999999999996</v>
      </c>
      <c r="H133" s="14">
        <f>CHOOSE(CONTROL!$C$42, 8.6061, 8.6061) * CHOOSE(CONTROL!$C$21, $C$9, 100%, $E$9)</f>
        <v>8.6060999999999996</v>
      </c>
      <c r="I133" s="14">
        <f>CHOOSE(CONTROL!$C$42, 8.5613, 8.5613)* CHOOSE(CONTROL!$C$21, $C$9, 100%, $E$9)</f>
        <v>8.5612999999999992</v>
      </c>
      <c r="J133" s="14">
        <f>CHOOSE(CONTROL!$C$42, 8.5187, 8.5187)* CHOOSE(CONTROL!$C$21, $C$9, 100%, $E$9)</f>
        <v>8.5187000000000008</v>
      </c>
      <c r="K133" s="53">
        <f>CHOOSE(CONTROL!$C$42, 8.5574, 8.5574) * CHOOSE(CONTROL!$C$21, $C$9, 100%, $E$9)</f>
        <v>8.5573999999999995</v>
      </c>
      <c r="L133" s="14">
        <f>CHOOSE(CONTROL!$C$42, 9.1931, 9.1931) * CHOOSE(CONTROL!$C$21, $C$9, 100%, $E$9)</f>
        <v>9.1930999999999994</v>
      </c>
      <c r="M133" s="14">
        <f>CHOOSE(CONTROL!$C$42, 8.3518, 8.3518) * CHOOSE(CONTROL!$C$21, $C$9, 100%, $E$9)</f>
        <v>8.3518000000000008</v>
      </c>
      <c r="N133" s="14">
        <f>CHOOSE(CONTROL!$C$42, 8.3694, 8.3694) * CHOOSE(CONTROL!$C$21, $C$9, 100%, $E$9)</f>
        <v>8.3694000000000006</v>
      </c>
      <c r="O133" s="14">
        <f>CHOOSE(CONTROL!$C$42, 8.4375, 8.4375) * CHOOSE(CONTROL!$C$21, $C$9, 100%, $E$9)</f>
        <v>8.4375</v>
      </c>
      <c r="P133" s="14">
        <f>CHOOSE(CONTROL!$C$42, 8.3931, 8.3931) * CHOOSE(CONTROL!$C$21, $C$9, 100%, $E$9)</f>
        <v>8.3931000000000004</v>
      </c>
      <c r="Q133" s="14">
        <f>CHOOSE(CONTROL!$C$42, 9.0322, 9.0322) * CHOOSE(CONTROL!$C$21, $C$9, 100%, $E$9)</f>
        <v>9.0321999999999996</v>
      </c>
      <c r="R133" s="14">
        <f>CHOOSE(CONTROL!$C$42, 9.6417, 9.6417) * CHOOSE(CONTROL!$C$21, $C$9, 100%, $E$9)</f>
        <v>9.6417000000000002</v>
      </c>
      <c r="S133" s="14">
        <f>CHOOSE(CONTROL!$C$42, 8.16, 8.16) * CHOOSE(CONTROL!$C$21, $C$9, 100%, $E$9)</f>
        <v>8.16</v>
      </c>
      <c r="T1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33" s="57">
        <f>(1000*CHOOSE(CONTROL!$C$42, 695, 695)*CHOOSE(CONTROL!$C$42, 0.5599, 0.5599)*CHOOSE(CONTROL!$C$42, 31, 31))/1000000</f>
        <v>12.063045499999998</v>
      </c>
      <c r="V133" s="57">
        <f>(1000*CHOOSE(CONTROL!$C$42, 500, 500)*CHOOSE(CONTROL!$C$42, 0.275, 0.275)*CHOOSE(CONTROL!$C$42, 31, 31))/1000000</f>
        <v>4.2625000000000002</v>
      </c>
      <c r="W133" s="57">
        <f>(1000*CHOOSE(CONTROL!$C$42, 0.1146, 0.1146)*CHOOSE(CONTROL!$C$42, 121.5, 121.5)*CHOOSE(CONTROL!$C$42, 31, 31))/1000000</f>
        <v>0.43164089999999994</v>
      </c>
      <c r="X133" s="57">
        <f>(31*0.1790888*100000/1000000)+(31*0.2374*100000/1000000)</f>
        <v>1.2911152800000001</v>
      </c>
      <c r="Y133" s="57"/>
      <c r="Z133" s="14"/>
      <c r="AA133" s="56"/>
      <c r="AB133" s="50">
        <f>(B133*122.58+C133*297.941+D133*89.177+E133*40.302+F133*40+G133*160+H133*0+I133*100+J133*300)/(122.58+297.941+89.177+40.302+0+40+160+100+300)</f>
        <v>8.5293366325217388</v>
      </c>
      <c r="AC133" s="45">
        <f>(M133*'RAP TEMPLATE-GAS AVAILABILITY'!O132+N133*'RAP TEMPLATE-GAS AVAILABILITY'!P132+O133*'RAP TEMPLATE-GAS AVAILABILITY'!Q132+P133*'RAP TEMPLATE-GAS AVAILABILITY'!R132)/('RAP TEMPLATE-GAS AVAILABILITY'!O132+'RAP TEMPLATE-GAS AVAILABILITY'!P132+'RAP TEMPLATE-GAS AVAILABILITY'!Q132+'RAP TEMPLATE-GAS AVAILABILITY'!R132)</f>
        <v>8.3975978417266202</v>
      </c>
    </row>
    <row r="134" spans="1:29" ht="15.75" x14ac:dyDescent="0.25">
      <c r="A134" s="13">
        <v>44958</v>
      </c>
      <c r="B134" s="14">
        <f>CHOOSE(CONTROL!$C$42, 8.6699, 8.6699) * CHOOSE(CONTROL!$C$21, $C$9, 100%, $E$9)</f>
        <v>8.6699000000000002</v>
      </c>
      <c r="C134" s="14">
        <f>CHOOSE(CONTROL!$C$42, 8.6749, 8.6749) * CHOOSE(CONTROL!$C$21, $C$9, 100%, $E$9)</f>
        <v>8.6748999999999992</v>
      </c>
      <c r="D134" s="14">
        <f>CHOOSE(CONTROL!$C$42, 8.7518, 8.7518) * CHOOSE(CONTROL!$C$21, $C$9, 100%, $E$9)</f>
        <v>8.7517999999999994</v>
      </c>
      <c r="E134" s="14">
        <f>CHOOSE(CONTROL!$C$42, 8.7859, 8.7859) * CHOOSE(CONTROL!$C$21, $C$9, 100%, $E$9)</f>
        <v>8.7858999999999998</v>
      </c>
      <c r="F134" s="14">
        <f>CHOOSE(CONTROL!$C$42, 8.6942, 8.6942)*CHOOSE(CONTROL!$C$21, $C$9, 100%, $E$9)</f>
        <v>8.6942000000000004</v>
      </c>
      <c r="G134" s="14">
        <f>CHOOSE(CONTROL!$C$42, 8.7121, 8.7121)*CHOOSE(CONTROL!$C$21, $C$9, 100%, $E$9)</f>
        <v>8.7120999999999995</v>
      </c>
      <c r="H134" s="14">
        <f>CHOOSE(CONTROL!$C$42, 8.7751, 8.7751) * CHOOSE(CONTROL!$C$21, $C$9, 100%, $E$9)</f>
        <v>8.7751000000000001</v>
      </c>
      <c r="I134" s="14">
        <f>CHOOSE(CONTROL!$C$42, 8.7308, 8.7308)* CHOOSE(CONTROL!$C$21, $C$9, 100%, $E$9)</f>
        <v>8.7308000000000003</v>
      </c>
      <c r="J134" s="14">
        <f>CHOOSE(CONTROL!$C$42, 8.6872, 8.6872)* CHOOSE(CONTROL!$C$21, $C$9, 100%, $E$9)</f>
        <v>8.6872000000000007</v>
      </c>
      <c r="K134" s="53">
        <f>CHOOSE(CONTROL!$C$42, 8.7269, 8.7269) * CHOOSE(CONTROL!$C$21, $C$9, 100%, $E$9)</f>
        <v>8.7269000000000005</v>
      </c>
      <c r="L134" s="14">
        <f>CHOOSE(CONTROL!$C$42, 9.3621, 9.3621) * CHOOSE(CONTROL!$C$21, $C$9, 100%, $E$9)</f>
        <v>9.3620999999999999</v>
      </c>
      <c r="M134" s="14">
        <f>CHOOSE(CONTROL!$C$42, 8.5169, 8.5169) * CHOOSE(CONTROL!$C$21, $C$9, 100%, $E$9)</f>
        <v>8.5168999999999997</v>
      </c>
      <c r="N134" s="14">
        <f>CHOOSE(CONTROL!$C$42, 8.5344, 8.5344) * CHOOSE(CONTROL!$C$21, $C$9, 100%, $E$9)</f>
        <v>8.5343999999999998</v>
      </c>
      <c r="O134" s="14">
        <f>CHOOSE(CONTROL!$C$42, 8.603, 8.603) * CHOOSE(CONTROL!$C$21, $C$9, 100%, $E$9)</f>
        <v>8.6029999999999998</v>
      </c>
      <c r="P134" s="14">
        <f>CHOOSE(CONTROL!$C$42, 8.5591, 8.5591) * CHOOSE(CONTROL!$C$21, $C$9, 100%, $E$9)</f>
        <v>8.5591000000000008</v>
      </c>
      <c r="Q134" s="14">
        <f>CHOOSE(CONTROL!$C$42, 9.1977, 9.1977) * CHOOSE(CONTROL!$C$21, $C$9, 100%, $E$9)</f>
        <v>9.1976999999999993</v>
      </c>
      <c r="R134" s="14">
        <f>CHOOSE(CONTROL!$C$42, 9.8077, 9.8077) * CHOOSE(CONTROL!$C$21, $C$9, 100%, $E$9)</f>
        <v>9.8077000000000005</v>
      </c>
      <c r="S134" s="14">
        <f>CHOOSE(CONTROL!$C$42, 8.3223, 8.3223) * CHOOSE(CONTROL!$C$21, $C$9, 100%, $E$9)</f>
        <v>8.3223000000000003</v>
      </c>
      <c r="T13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34" s="57">
        <f>(1000*CHOOSE(CONTROL!$C$42, 695, 695)*CHOOSE(CONTROL!$C$42, 0.5599, 0.5599)*CHOOSE(CONTROL!$C$42, 28, 28))/1000000</f>
        <v>10.895653999999999</v>
      </c>
      <c r="V134" s="57">
        <f>(1000*CHOOSE(CONTROL!$C$42, 500, 500)*CHOOSE(CONTROL!$C$42, 0.275, 0.275)*CHOOSE(CONTROL!$C$42, 28, 28))/1000000</f>
        <v>3.85</v>
      </c>
      <c r="W134" s="57">
        <f>(1000*CHOOSE(CONTROL!$C$42, 0.1146, 0.1146)*CHOOSE(CONTROL!$C$42, 121.5, 121.5)*CHOOSE(CONTROL!$C$42, 28, 28))/1000000</f>
        <v>0.38986920000000003</v>
      </c>
      <c r="X134" s="57">
        <f>(28*0.1790888*100000/1000000)+(28*0.2374*100000/1000000)</f>
        <v>1.16616864</v>
      </c>
      <c r="Y134" s="57"/>
      <c r="Z134" s="14"/>
      <c r="AA134" s="56"/>
      <c r="AB134" s="50">
        <f>(B134*122.58+C134*297.941+D134*89.177+E134*40.302+F134*40+G134*160+H134*0+I134*100+J134*300)/(122.58+297.941+89.177+40.302+0+40+160+100+300)</f>
        <v>8.6981368115652167</v>
      </c>
      <c r="AC134" s="45">
        <f>(M134*'RAP TEMPLATE-GAS AVAILABILITY'!O133+N134*'RAP TEMPLATE-GAS AVAILABILITY'!P133+O134*'RAP TEMPLATE-GAS AVAILABILITY'!Q133+P134*'RAP TEMPLATE-GAS AVAILABILITY'!R133)/('RAP TEMPLATE-GAS AVAILABILITY'!O133+'RAP TEMPLATE-GAS AVAILABILITY'!P133+'RAP TEMPLATE-GAS AVAILABILITY'!Q133+'RAP TEMPLATE-GAS AVAILABILITY'!R133)</f>
        <v>8.5630028776978406</v>
      </c>
    </row>
    <row r="135" spans="1:29" ht="15.75" x14ac:dyDescent="0.25">
      <c r="A135" s="13">
        <v>44986</v>
      </c>
      <c r="B135" s="14">
        <f>CHOOSE(CONTROL!$C$42, 8.4413, 8.4413) * CHOOSE(CONTROL!$C$21, $C$9, 100%, $E$9)</f>
        <v>8.4413</v>
      </c>
      <c r="C135" s="14">
        <f>CHOOSE(CONTROL!$C$42, 8.4464, 8.4464) * CHOOSE(CONTROL!$C$21, $C$9, 100%, $E$9)</f>
        <v>8.4464000000000006</v>
      </c>
      <c r="D135" s="14">
        <f>CHOOSE(CONTROL!$C$42, 8.5232, 8.5232) * CHOOSE(CONTROL!$C$21, $C$9, 100%, $E$9)</f>
        <v>8.5231999999999992</v>
      </c>
      <c r="E135" s="14">
        <f>CHOOSE(CONTROL!$C$42, 8.5573, 8.5573) * CHOOSE(CONTROL!$C$21, $C$9, 100%, $E$9)</f>
        <v>8.5572999999999997</v>
      </c>
      <c r="F135" s="14">
        <f>CHOOSE(CONTROL!$C$42, 8.4648, 8.4648)*CHOOSE(CONTROL!$C$21, $C$9, 100%, $E$9)</f>
        <v>8.4648000000000003</v>
      </c>
      <c r="G135" s="14">
        <f>CHOOSE(CONTROL!$C$42, 8.4824, 8.4824)*CHOOSE(CONTROL!$C$21, $C$9, 100%, $E$9)</f>
        <v>8.4824000000000002</v>
      </c>
      <c r="H135" s="14">
        <f>CHOOSE(CONTROL!$C$42, 8.5465, 8.5465) * CHOOSE(CONTROL!$C$21, $C$9, 100%, $E$9)</f>
        <v>8.5465</v>
      </c>
      <c r="I135" s="14">
        <f>CHOOSE(CONTROL!$C$42, 8.5015, 8.5015)* CHOOSE(CONTROL!$C$21, $C$9, 100%, $E$9)</f>
        <v>8.5015000000000001</v>
      </c>
      <c r="J135" s="14">
        <f>CHOOSE(CONTROL!$C$42, 8.4578, 8.4578)* CHOOSE(CONTROL!$C$21, $C$9, 100%, $E$9)</f>
        <v>8.4578000000000007</v>
      </c>
      <c r="K135" s="53">
        <f>CHOOSE(CONTROL!$C$42, 8.4976, 8.4976) * CHOOSE(CONTROL!$C$21, $C$9, 100%, $E$9)</f>
        <v>8.4976000000000003</v>
      </c>
      <c r="L135" s="14">
        <f>CHOOSE(CONTROL!$C$42, 9.1335, 9.1335) * CHOOSE(CONTROL!$C$21, $C$9, 100%, $E$9)</f>
        <v>9.1334999999999997</v>
      </c>
      <c r="M135" s="14">
        <f>CHOOSE(CONTROL!$C$42, 8.2922, 8.2922) * CHOOSE(CONTROL!$C$21, $C$9, 100%, $E$9)</f>
        <v>8.2921999999999993</v>
      </c>
      <c r="N135" s="14">
        <f>CHOOSE(CONTROL!$C$42, 8.3095, 8.3095) * CHOOSE(CONTROL!$C$21, $C$9, 100%, $E$9)</f>
        <v>8.3094999999999999</v>
      </c>
      <c r="O135" s="14">
        <f>CHOOSE(CONTROL!$C$42, 8.3791, 8.3791) * CHOOSE(CONTROL!$C$21, $C$9, 100%, $E$9)</f>
        <v>8.3790999999999993</v>
      </c>
      <c r="P135" s="14">
        <f>CHOOSE(CONTROL!$C$42, 8.3345, 8.3345) * CHOOSE(CONTROL!$C$21, $C$9, 100%, $E$9)</f>
        <v>8.3345000000000002</v>
      </c>
      <c r="Q135" s="14">
        <f>CHOOSE(CONTROL!$C$42, 8.9738, 8.9738) * CHOOSE(CONTROL!$C$21, $C$9, 100%, $E$9)</f>
        <v>8.9738000000000007</v>
      </c>
      <c r="R135" s="14">
        <f>CHOOSE(CONTROL!$C$42, 9.5832, 9.5832) * CHOOSE(CONTROL!$C$21, $C$9, 100%, $E$9)</f>
        <v>9.5831999999999997</v>
      </c>
      <c r="S135" s="14">
        <f>CHOOSE(CONTROL!$C$42, 8.1027, 8.1027) * CHOOSE(CONTROL!$C$21, $C$9, 100%, $E$9)</f>
        <v>8.1027000000000005</v>
      </c>
      <c r="T1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35" s="57">
        <f>(1000*CHOOSE(CONTROL!$C$42, 695, 695)*CHOOSE(CONTROL!$C$42, 0.5599, 0.5599)*CHOOSE(CONTROL!$C$42, 31, 31))/1000000</f>
        <v>12.063045499999998</v>
      </c>
      <c r="V135" s="57">
        <f>(1000*CHOOSE(CONTROL!$C$42, 500, 500)*CHOOSE(CONTROL!$C$42, 0.275, 0.275)*CHOOSE(CONTROL!$C$42, 31, 31))/1000000</f>
        <v>4.2625000000000002</v>
      </c>
      <c r="W135" s="57">
        <f>(1000*CHOOSE(CONTROL!$C$42, 0.1146, 0.1146)*CHOOSE(CONTROL!$C$42, 121.5, 121.5)*CHOOSE(CONTROL!$C$42, 31, 31))/1000000</f>
        <v>0.43164089999999994</v>
      </c>
      <c r="X135" s="57">
        <f>(31*0.1790888*100000/1000000)+(31*0.2374*100000/1000000)</f>
        <v>1.2911152800000001</v>
      </c>
      <c r="Y135" s="57"/>
      <c r="Z135" s="14"/>
      <c r="AA135" s="56"/>
      <c r="AB135" s="50">
        <f>(B135*122.58+C135*297.941+D135*89.177+E135*40.302+F135*40+G135*160+H135*0+I135*100+J135*300)/(122.58+297.941+89.177+40.302+0+40+160+100+300)</f>
        <v>8.4691122846956528</v>
      </c>
      <c r="AC135" s="45">
        <f>(M135*'RAP TEMPLATE-GAS AVAILABILITY'!O134+N135*'RAP TEMPLATE-GAS AVAILABILITY'!P134+O135*'RAP TEMPLATE-GAS AVAILABILITY'!Q134+P135*'RAP TEMPLATE-GAS AVAILABILITY'!R134)/('RAP TEMPLATE-GAS AVAILABILITY'!O134+'RAP TEMPLATE-GAS AVAILABILITY'!P134+'RAP TEMPLATE-GAS AVAILABILITY'!Q134+'RAP TEMPLATE-GAS AVAILABILITY'!R134)</f>
        <v>8.3386683453237396</v>
      </c>
    </row>
    <row r="136" spans="1:29" ht="15.75" x14ac:dyDescent="0.25">
      <c r="A136" s="13">
        <v>45017</v>
      </c>
      <c r="B136" s="14">
        <f>CHOOSE(CONTROL!$C$42, 8.4344, 8.4344) * CHOOSE(CONTROL!$C$21, $C$9, 100%, $E$9)</f>
        <v>8.4344000000000001</v>
      </c>
      <c r="C136" s="14">
        <f>CHOOSE(CONTROL!$C$42, 8.4389, 8.4389) * CHOOSE(CONTROL!$C$21, $C$9, 100%, $E$9)</f>
        <v>8.4389000000000003</v>
      </c>
      <c r="D136" s="14">
        <f>CHOOSE(CONTROL!$C$42, 8.6626, 8.6626) * CHOOSE(CONTROL!$C$21, $C$9, 100%, $E$9)</f>
        <v>8.6625999999999994</v>
      </c>
      <c r="E136" s="14">
        <f>CHOOSE(CONTROL!$C$42, 8.6947, 8.6947) * CHOOSE(CONTROL!$C$21, $C$9, 100%, $E$9)</f>
        <v>8.6946999999999992</v>
      </c>
      <c r="F136" s="14">
        <f>CHOOSE(CONTROL!$C$42, 8.4621, 8.4621)*CHOOSE(CONTROL!$C$21, $C$9, 100%, $E$9)</f>
        <v>8.4620999999999995</v>
      </c>
      <c r="G136" s="14">
        <f>CHOOSE(CONTROL!$C$42, 8.479, 8.479)*CHOOSE(CONTROL!$C$21, $C$9, 100%, $E$9)</f>
        <v>8.4789999999999992</v>
      </c>
      <c r="H136" s="14">
        <f>CHOOSE(CONTROL!$C$42, 8.6845, 8.6845) * CHOOSE(CONTROL!$C$21, $C$9, 100%, $E$9)</f>
        <v>8.6844999999999999</v>
      </c>
      <c r="I136" s="14">
        <f>CHOOSE(CONTROL!$C$42, 8.4901, 8.4901)* CHOOSE(CONTROL!$C$21, $C$9, 100%, $E$9)</f>
        <v>8.4901</v>
      </c>
      <c r="J136" s="14">
        <f>CHOOSE(CONTROL!$C$42, 8.4551, 8.4551)* CHOOSE(CONTROL!$C$21, $C$9, 100%, $E$9)</f>
        <v>8.4550999999999998</v>
      </c>
      <c r="K136" s="53">
        <f>CHOOSE(CONTROL!$C$42, 8.4862, 8.4862) * CHOOSE(CONTROL!$C$21, $C$9, 100%, $E$9)</f>
        <v>8.4862000000000002</v>
      </c>
      <c r="L136" s="14">
        <f>CHOOSE(CONTROL!$C$42, 9.2715, 9.2715) * CHOOSE(CONTROL!$C$21, $C$9, 100%, $E$9)</f>
        <v>9.2714999999999996</v>
      </c>
      <c r="M136" s="14">
        <f>CHOOSE(CONTROL!$C$42, 8.2896, 8.2896) * CHOOSE(CONTROL!$C$21, $C$9, 100%, $E$9)</f>
        <v>8.2896000000000001</v>
      </c>
      <c r="N136" s="14">
        <f>CHOOSE(CONTROL!$C$42, 8.3061, 8.3061) * CHOOSE(CONTROL!$C$21, $C$9, 100%, $E$9)</f>
        <v>8.3061000000000007</v>
      </c>
      <c r="O136" s="14">
        <f>CHOOSE(CONTROL!$C$42, 8.5143, 8.5143) * CHOOSE(CONTROL!$C$21, $C$9, 100%, $E$9)</f>
        <v>8.5143000000000004</v>
      </c>
      <c r="P136" s="14">
        <f>CHOOSE(CONTROL!$C$42, 8.3234, 8.3234) * CHOOSE(CONTROL!$C$21, $C$9, 100%, $E$9)</f>
        <v>8.3233999999999995</v>
      </c>
      <c r="Q136" s="14">
        <f>CHOOSE(CONTROL!$C$42, 9.109, 9.109) * CHOOSE(CONTROL!$C$21, $C$9, 100%, $E$9)</f>
        <v>9.109</v>
      </c>
      <c r="R136" s="14">
        <f>CHOOSE(CONTROL!$C$42, 9.7187, 9.7187) * CHOOSE(CONTROL!$C$21, $C$9, 100%, $E$9)</f>
        <v>9.7187000000000001</v>
      </c>
      <c r="S136" s="14">
        <f>CHOOSE(CONTROL!$C$42, 8.0953, 8.0953) * CHOOSE(CONTROL!$C$21, $C$9, 100%, $E$9)</f>
        <v>8.0952999999999999</v>
      </c>
      <c r="T1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36" s="57">
        <f>(1000*CHOOSE(CONTROL!$C$42, 695, 695)*CHOOSE(CONTROL!$C$42, 0.5599, 0.5599)*CHOOSE(CONTROL!$C$42, 30, 30))/1000000</f>
        <v>11.673914999999997</v>
      </c>
      <c r="V136" s="57">
        <f>(1000*CHOOSE(CONTROL!$C$42, 500, 500)*CHOOSE(CONTROL!$C$42, 0.275, 0.275)*CHOOSE(CONTROL!$C$42, 30, 30))/1000000</f>
        <v>4.125</v>
      </c>
      <c r="W136" s="57">
        <f>(1000*CHOOSE(CONTROL!$C$42, 0.1146, 0.1146)*CHOOSE(CONTROL!$C$42, 121.5, 121.5)*CHOOSE(CONTROL!$C$42, 30, 30))/1000000</f>
        <v>0.417717</v>
      </c>
      <c r="X136" s="57">
        <f>(30*0.1790888*245000/1000000)+(30*0.2374*100000/1000000)</f>
        <v>2.0285026799999999</v>
      </c>
      <c r="Y136" s="57"/>
      <c r="Z136" s="14"/>
      <c r="AA136" s="56"/>
      <c r="AB136" s="50">
        <f>(B136*141.293+C136*267.993+D136*115.016+E136*89.698+F136*40+G136*185+H136*0+I136*100+J136*300)/(141.293+267.993+115.016+89.698+0+40+185+100+300)</f>
        <v>8.4924629613397897</v>
      </c>
      <c r="AC136" s="45">
        <f>(M136*'RAP TEMPLATE-GAS AVAILABILITY'!O135+N136*'RAP TEMPLATE-GAS AVAILABILITY'!P135+O136*'RAP TEMPLATE-GAS AVAILABILITY'!Q135+P136*'RAP TEMPLATE-GAS AVAILABILITY'!R135)/('RAP TEMPLATE-GAS AVAILABILITY'!O135+'RAP TEMPLATE-GAS AVAILABILITY'!P135+'RAP TEMPLATE-GAS AVAILABILITY'!Q135+'RAP TEMPLATE-GAS AVAILABILITY'!R135)</f>
        <v>8.3613071942446044</v>
      </c>
    </row>
    <row r="137" spans="1:29" ht="15.75" x14ac:dyDescent="0.25">
      <c r="A137" s="13">
        <v>45047</v>
      </c>
      <c r="B137" s="14">
        <f>CHOOSE(CONTROL!$C$42, 8.5277, 8.5277) * CHOOSE(CONTROL!$C$21, $C$9, 100%, $E$9)</f>
        <v>8.5276999999999994</v>
      </c>
      <c r="C137" s="14">
        <f>CHOOSE(CONTROL!$C$42, 8.5357, 8.5357) * CHOOSE(CONTROL!$C$21, $C$9, 100%, $E$9)</f>
        <v>8.5357000000000003</v>
      </c>
      <c r="D137" s="14">
        <f>CHOOSE(CONTROL!$C$42, 8.7563, 8.7563) * CHOOSE(CONTROL!$C$21, $C$9, 100%, $E$9)</f>
        <v>8.7562999999999995</v>
      </c>
      <c r="E137" s="14">
        <f>CHOOSE(CONTROL!$C$42, 8.7877, 8.7877) * CHOOSE(CONTROL!$C$21, $C$9, 100%, $E$9)</f>
        <v>8.7876999999999992</v>
      </c>
      <c r="F137" s="14">
        <f>CHOOSE(CONTROL!$C$42, 8.5539, 8.5539)*CHOOSE(CONTROL!$C$21, $C$9, 100%, $E$9)</f>
        <v>8.5539000000000005</v>
      </c>
      <c r="G137" s="14">
        <f>CHOOSE(CONTROL!$C$42, 8.5711, 8.5711)*CHOOSE(CONTROL!$C$21, $C$9, 100%, $E$9)</f>
        <v>8.5710999999999995</v>
      </c>
      <c r="H137" s="14">
        <f>CHOOSE(CONTROL!$C$42, 8.7764, 8.7764) * CHOOSE(CONTROL!$C$21, $C$9, 100%, $E$9)</f>
        <v>8.7764000000000006</v>
      </c>
      <c r="I137" s="14">
        <f>CHOOSE(CONTROL!$C$42, 8.5823, 8.5823)* CHOOSE(CONTROL!$C$21, $C$9, 100%, $E$9)</f>
        <v>8.5823</v>
      </c>
      <c r="J137" s="14">
        <f>CHOOSE(CONTROL!$C$42, 8.5469, 8.5469)* CHOOSE(CONTROL!$C$21, $C$9, 100%, $E$9)</f>
        <v>8.5469000000000008</v>
      </c>
      <c r="K137" s="53">
        <f>CHOOSE(CONTROL!$C$42, 8.5784, 8.5784) * CHOOSE(CONTROL!$C$21, $C$9, 100%, $E$9)</f>
        <v>8.5784000000000002</v>
      </c>
      <c r="L137" s="14">
        <f>CHOOSE(CONTROL!$C$42, 9.3634, 9.3634) * CHOOSE(CONTROL!$C$21, $C$9, 100%, $E$9)</f>
        <v>9.3634000000000004</v>
      </c>
      <c r="M137" s="14">
        <f>CHOOSE(CONTROL!$C$42, 8.3795, 8.3795) * CHOOSE(CONTROL!$C$21, $C$9, 100%, $E$9)</f>
        <v>8.3795000000000002</v>
      </c>
      <c r="N137" s="14">
        <f>CHOOSE(CONTROL!$C$42, 8.3963, 8.3963) * CHOOSE(CONTROL!$C$21, $C$9, 100%, $E$9)</f>
        <v>8.3963000000000001</v>
      </c>
      <c r="O137" s="14">
        <f>CHOOSE(CONTROL!$C$42, 8.6042, 8.6042) * CHOOSE(CONTROL!$C$21, $C$9, 100%, $E$9)</f>
        <v>8.6042000000000005</v>
      </c>
      <c r="P137" s="14">
        <f>CHOOSE(CONTROL!$C$42, 8.4136, 8.4136) * CHOOSE(CONTROL!$C$21, $C$9, 100%, $E$9)</f>
        <v>8.4136000000000006</v>
      </c>
      <c r="Q137" s="14">
        <f>CHOOSE(CONTROL!$C$42, 9.1989, 9.1989) * CHOOSE(CONTROL!$C$21, $C$9, 100%, $E$9)</f>
        <v>9.1989000000000001</v>
      </c>
      <c r="R137" s="14">
        <f>CHOOSE(CONTROL!$C$42, 9.8089, 9.8089) * CHOOSE(CONTROL!$C$21, $C$9, 100%, $E$9)</f>
        <v>9.8088999999999995</v>
      </c>
      <c r="S137" s="14">
        <f>CHOOSE(CONTROL!$C$42, 8.1836, 8.1836) * CHOOSE(CONTROL!$C$21, $C$9, 100%, $E$9)</f>
        <v>8.1836000000000002</v>
      </c>
      <c r="T1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37" s="57">
        <f>(1000*CHOOSE(CONTROL!$C$42, 695, 695)*CHOOSE(CONTROL!$C$42, 0.5599, 0.5599)*CHOOSE(CONTROL!$C$42, 31, 31))/1000000</f>
        <v>12.063045499999998</v>
      </c>
      <c r="V137" s="57">
        <f>(1000*CHOOSE(CONTROL!$C$42, 500, 500)*CHOOSE(CONTROL!$C$42, 0.275, 0.275)*CHOOSE(CONTROL!$C$42, 31, 31))/1000000</f>
        <v>4.2625000000000002</v>
      </c>
      <c r="W137" s="57">
        <f>(1000*CHOOSE(CONTROL!$C$42, 0.1146, 0.1146)*CHOOSE(CONTROL!$C$42, 121.5, 121.5)*CHOOSE(CONTROL!$C$42, 31, 31))/1000000</f>
        <v>0.43164089999999994</v>
      </c>
      <c r="X137" s="57">
        <f>(31*0.1790888*245000/1000000)+(31*0.2374*100000/1000000)</f>
        <v>2.0961194359999999</v>
      </c>
      <c r="Y137" s="57"/>
      <c r="Z137" s="14"/>
      <c r="AA137" s="56"/>
      <c r="AB137" s="50">
        <f>(B137*194.205+C137*267.466+D137*133.845+E137*53.484+F137*40+G137*185+H137*0+I137*100+J137*300)/(194.205+267.466+133.845+53.484+0+40+185+100+300)</f>
        <v>8.5802428061224489</v>
      </c>
      <c r="AC137" s="45">
        <f>(M137*'RAP TEMPLATE-GAS AVAILABILITY'!O136+N137*'RAP TEMPLATE-GAS AVAILABILITY'!P136+O137*'RAP TEMPLATE-GAS AVAILABILITY'!Q136+P137*'RAP TEMPLATE-GAS AVAILABILITY'!R136)/('RAP TEMPLATE-GAS AVAILABILITY'!O136+'RAP TEMPLATE-GAS AVAILABILITY'!P136+'RAP TEMPLATE-GAS AVAILABILITY'!Q136+'RAP TEMPLATE-GAS AVAILABILITY'!R136)</f>
        <v>8.4513194244604311</v>
      </c>
    </row>
    <row r="138" spans="1:29" ht="15.75" x14ac:dyDescent="0.25">
      <c r="A138" s="13">
        <v>45078</v>
      </c>
      <c r="B138" s="14">
        <f>CHOOSE(CONTROL!$C$42, 8.7873, 8.7873) * CHOOSE(CONTROL!$C$21, $C$9, 100%, $E$9)</f>
        <v>8.7873000000000001</v>
      </c>
      <c r="C138" s="14">
        <f>CHOOSE(CONTROL!$C$42, 8.7953, 8.7953) * CHOOSE(CONTROL!$C$21, $C$9, 100%, $E$9)</f>
        <v>8.7952999999999992</v>
      </c>
      <c r="D138" s="14">
        <f>CHOOSE(CONTROL!$C$42, 9.0159, 9.0159) * CHOOSE(CONTROL!$C$21, $C$9, 100%, $E$9)</f>
        <v>9.0159000000000002</v>
      </c>
      <c r="E138" s="14">
        <f>CHOOSE(CONTROL!$C$42, 9.0473, 9.0473) * CHOOSE(CONTROL!$C$21, $C$9, 100%, $E$9)</f>
        <v>9.0472999999999999</v>
      </c>
      <c r="F138" s="14">
        <f>CHOOSE(CONTROL!$C$42, 8.8139, 8.8139)*CHOOSE(CONTROL!$C$21, $C$9, 100%, $E$9)</f>
        <v>8.8139000000000003</v>
      </c>
      <c r="G138" s="14">
        <f>CHOOSE(CONTROL!$C$42, 8.8311, 8.8311)*CHOOSE(CONTROL!$C$21, $C$9, 100%, $E$9)</f>
        <v>8.8310999999999993</v>
      </c>
      <c r="H138" s="14">
        <f>CHOOSE(CONTROL!$C$42, 9.036, 9.036) * CHOOSE(CONTROL!$C$21, $C$9, 100%, $E$9)</f>
        <v>9.0359999999999996</v>
      </c>
      <c r="I138" s="14">
        <f>CHOOSE(CONTROL!$C$42, 8.8427, 8.8427)* CHOOSE(CONTROL!$C$21, $C$9, 100%, $E$9)</f>
        <v>8.8427000000000007</v>
      </c>
      <c r="J138" s="14">
        <f>CHOOSE(CONTROL!$C$42, 8.8069, 8.8069)* CHOOSE(CONTROL!$C$21, $C$9, 100%, $E$9)</f>
        <v>8.8069000000000006</v>
      </c>
      <c r="K138" s="53">
        <f>CHOOSE(CONTROL!$C$42, 8.8388, 8.8388) * CHOOSE(CONTROL!$C$21, $C$9, 100%, $E$9)</f>
        <v>8.8388000000000009</v>
      </c>
      <c r="L138" s="14">
        <f>CHOOSE(CONTROL!$C$42, 9.623, 9.623) * CHOOSE(CONTROL!$C$21, $C$9, 100%, $E$9)</f>
        <v>9.6229999999999993</v>
      </c>
      <c r="M138" s="14">
        <f>CHOOSE(CONTROL!$C$42, 8.6341, 8.6341) * CHOOSE(CONTROL!$C$21, $C$9, 100%, $E$9)</f>
        <v>8.6341000000000001</v>
      </c>
      <c r="N138" s="14">
        <f>CHOOSE(CONTROL!$C$42, 8.651, 8.651) * CHOOSE(CONTROL!$C$21, $C$9, 100%, $E$9)</f>
        <v>8.6509999999999998</v>
      </c>
      <c r="O138" s="14">
        <f>CHOOSE(CONTROL!$C$42, 8.8585, 8.8585) * CHOOSE(CONTROL!$C$21, $C$9, 100%, $E$9)</f>
        <v>8.8584999999999994</v>
      </c>
      <c r="P138" s="14">
        <f>CHOOSE(CONTROL!$C$42, 8.6687, 8.6687) * CHOOSE(CONTROL!$C$21, $C$9, 100%, $E$9)</f>
        <v>8.6686999999999994</v>
      </c>
      <c r="Q138" s="14">
        <f>CHOOSE(CONTROL!$C$42, 9.4532, 9.4532) * CHOOSE(CONTROL!$C$21, $C$9, 100%, $E$9)</f>
        <v>9.4532000000000007</v>
      </c>
      <c r="R138" s="14">
        <f>CHOOSE(CONTROL!$C$42, 10.0639, 10.0639) * CHOOSE(CONTROL!$C$21, $C$9, 100%, $E$9)</f>
        <v>10.0639</v>
      </c>
      <c r="S138" s="14">
        <f>CHOOSE(CONTROL!$C$42, 8.4331, 8.4331) * CHOOSE(CONTROL!$C$21, $C$9, 100%, $E$9)</f>
        <v>8.4330999999999996</v>
      </c>
      <c r="T1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38" s="57">
        <f>(1000*CHOOSE(CONTROL!$C$42, 695, 695)*CHOOSE(CONTROL!$C$42, 0.5599, 0.5599)*CHOOSE(CONTROL!$C$42, 30, 30))/1000000</f>
        <v>11.673914999999997</v>
      </c>
      <c r="V138" s="57">
        <f>(1000*CHOOSE(CONTROL!$C$42, 500, 500)*CHOOSE(CONTROL!$C$42, 0.275, 0.275)*CHOOSE(CONTROL!$C$42, 30, 30))/1000000</f>
        <v>4.125</v>
      </c>
      <c r="W138" s="57">
        <f>(1000*CHOOSE(CONTROL!$C$42, 0.1146, 0.1146)*CHOOSE(CONTROL!$C$42, 121.5, 121.5)*CHOOSE(CONTROL!$C$42, 30, 30))/1000000</f>
        <v>0.417717</v>
      </c>
      <c r="X138" s="57">
        <f>(30*0.1790888*245000/1000000)+(30*0.2374*100000/1000000)</f>
        <v>2.0285026799999999</v>
      </c>
      <c r="Y138" s="57"/>
      <c r="Z138" s="14"/>
      <c r="AA138" s="56"/>
      <c r="AB138" s="50">
        <f>(B138*194.205+C138*267.466+D138*133.845+E138*53.484+F138*40+G138*185+H138*0+I138*100+J138*300)/(194.205+267.466+133.845+53.484+0+40+185+100+300)</f>
        <v>8.8400704356357931</v>
      </c>
      <c r="AC138" s="45">
        <f>(M138*'RAP TEMPLATE-GAS AVAILABILITY'!O137+N138*'RAP TEMPLATE-GAS AVAILABILITY'!P137+O138*'RAP TEMPLATE-GAS AVAILABILITY'!Q137+P138*'RAP TEMPLATE-GAS AVAILABILITY'!R137)/('RAP TEMPLATE-GAS AVAILABILITY'!O137+'RAP TEMPLATE-GAS AVAILABILITY'!P137+'RAP TEMPLATE-GAS AVAILABILITY'!Q137+'RAP TEMPLATE-GAS AVAILABILITY'!R137)</f>
        <v>8.7059302158273386</v>
      </c>
    </row>
    <row r="139" spans="1:29" ht="15.75" x14ac:dyDescent="0.25">
      <c r="A139" s="13">
        <v>45108</v>
      </c>
      <c r="B139" s="14">
        <f>CHOOSE(CONTROL!$C$42, 8.6366, 8.6366) * CHOOSE(CONTROL!$C$21, $C$9, 100%, $E$9)</f>
        <v>8.6365999999999996</v>
      </c>
      <c r="C139" s="14">
        <f>CHOOSE(CONTROL!$C$42, 8.6447, 8.6447) * CHOOSE(CONTROL!$C$21, $C$9, 100%, $E$9)</f>
        <v>8.6447000000000003</v>
      </c>
      <c r="D139" s="14">
        <f>CHOOSE(CONTROL!$C$42, 8.8653, 8.8653) * CHOOSE(CONTROL!$C$21, $C$9, 100%, $E$9)</f>
        <v>8.8652999999999995</v>
      </c>
      <c r="E139" s="14">
        <f>CHOOSE(CONTROL!$C$42, 8.8967, 8.8967) * CHOOSE(CONTROL!$C$21, $C$9, 100%, $E$9)</f>
        <v>8.8966999999999992</v>
      </c>
      <c r="F139" s="14">
        <f>CHOOSE(CONTROL!$C$42, 8.6637, 8.6637)*CHOOSE(CONTROL!$C$21, $C$9, 100%, $E$9)</f>
        <v>8.6637000000000004</v>
      </c>
      <c r="G139" s="14">
        <f>CHOOSE(CONTROL!$C$42, 8.681, 8.681)*CHOOSE(CONTROL!$C$21, $C$9, 100%, $E$9)</f>
        <v>8.6809999999999992</v>
      </c>
      <c r="H139" s="14">
        <f>CHOOSE(CONTROL!$C$42, 8.8854, 8.8854) * CHOOSE(CONTROL!$C$21, $C$9, 100%, $E$9)</f>
        <v>8.8854000000000006</v>
      </c>
      <c r="I139" s="14">
        <f>CHOOSE(CONTROL!$C$42, 8.6916, 8.6916)* CHOOSE(CONTROL!$C$21, $C$9, 100%, $E$9)</f>
        <v>8.6915999999999993</v>
      </c>
      <c r="J139" s="14">
        <f>CHOOSE(CONTROL!$C$42, 8.6567, 8.6567)* CHOOSE(CONTROL!$C$21, $C$9, 100%, $E$9)</f>
        <v>8.6567000000000007</v>
      </c>
      <c r="K139" s="53">
        <f>CHOOSE(CONTROL!$C$42, 8.6877, 8.6877) * CHOOSE(CONTROL!$C$21, $C$9, 100%, $E$9)</f>
        <v>8.6876999999999995</v>
      </c>
      <c r="L139" s="14">
        <f>CHOOSE(CONTROL!$C$42, 9.4724, 9.4724) * CHOOSE(CONTROL!$C$21, $C$9, 100%, $E$9)</f>
        <v>9.4724000000000004</v>
      </c>
      <c r="M139" s="14">
        <f>CHOOSE(CONTROL!$C$42, 8.487, 8.487) * CHOOSE(CONTROL!$C$21, $C$9, 100%, $E$9)</f>
        <v>8.4870000000000001</v>
      </c>
      <c r="N139" s="14">
        <f>CHOOSE(CONTROL!$C$42, 8.504, 8.504) * CHOOSE(CONTROL!$C$21, $C$9, 100%, $E$9)</f>
        <v>8.5039999999999996</v>
      </c>
      <c r="O139" s="14">
        <f>CHOOSE(CONTROL!$C$42, 8.711, 8.711) * CHOOSE(CONTROL!$C$21, $C$9, 100%, $E$9)</f>
        <v>8.7110000000000003</v>
      </c>
      <c r="P139" s="14">
        <f>CHOOSE(CONTROL!$C$42, 8.5207, 8.5207) * CHOOSE(CONTROL!$C$21, $C$9, 100%, $E$9)</f>
        <v>8.5206999999999997</v>
      </c>
      <c r="Q139" s="14">
        <f>CHOOSE(CONTROL!$C$42, 9.3057, 9.3057) * CHOOSE(CONTROL!$C$21, $C$9, 100%, $E$9)</f>
        <v>9.3056999999999999</v>
      </c>
      <c r="R139" s="14">
        <f>CHOOSE(CONTROL!$C$42, 9.916, 9.916) * CHOOSE(CONTROL!$C$21, $C$9, 100%, $E$9)</f>
        <v>9.9160000000000004</v>
      </c>
      <c r="S139" s="14">
        <f>CHOOSE(CONTROL!$C$42, 8.2883, 8.2883) * CHOOSE(CONTROL!$C$21, $C$9, 100%, $E$9)</f>
        <v>8.2882999999999996</v>
      </c>
      <c r="T1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39" s="57">
        <f>(1000*CHOOSE(CONTROL!$C$42, 695, 695)*CHOOSE(CONTROL!$C$42, 0.5599, 0.5599)*CHOOSE(CONTROL!$C$42, 31, 31))/1000000</f>
        <v>12.063045499999998</v>
      </c>
      <c r="V139" s="57">
        <f>(1000*CHOOSE(CONTROL!$C$42, 500, 500)*CHOOSE(CONTROL!$C$42, 0.275, 0.275)*CHOOSE(CONTROL!$C$42, 31, 31))/1000000</f>
        <v>4.2625000000000002</v>
      </c>
      <c r="W139" s="57">
        <f>(1000*CHOOSE(CONTROL!$C$42, 0.1146, 0.1146)*CHOOSE(CONTROL!$C$42, 121.5, 121.5)*CHOOSE(CONTROL!$C$42, 31, 31))/1000000</f>
        <v>0.43164089999999994</v>
      </c>
      <c r="X139" s="57">
        <f>(31*0.1790888*245000/1000000)+(31*0.2374*100000/1000000)</f>
        <v>2.0961194359999999</v>
      </c>
      <c r="Y139" s="57"/>
      <c r="Z139" s="14"/>
      <c r="AA139" s="56"/>
      <c r="AB139" s="50">
        <f>(B139*194.205+C139*267.466+D139*133.845+E139*53.484+F139*40+G139*185+H139*0+I139*100+J139*300)/(194.205+267.466+133.845+53.484+0+40+185+100+300)</f>
        <v>8.6895953018053369</v>
      </c>
      <c r="AC139" s="45">
        <f>(M139*'RAP TEMPLATE-GAS AVAILABILITY'!O138+N139*'RAP TEMPLATE-GAS AVAILABILITY'!P138+O139*'RAP TEMPLATE-GAS AVAILABILITY'!Q138+P139*'RAP TEMPLATE-GAS AVAILABILITY'!R138)/('RAP TEMPLATE-GAS AVAILABILITY'!O138+'RAP TEMPLATE-GAS AVAILABILITY'!P138+'RAP TEMPLATE-GAS AVAILABILITY'!Q138+'RAP TEMPLATE-GAS AVAILABILITY'!R138)</f>
        <v>8.5586115107913656</v>
      </c>
    </row>
    <row r="140" spans="1:29" ht="15.75" x14ac:dyDescent="0.25">
      <c r="A140" s="13">
        <v>45139</v>
      </c>
      <c r="B140" s="14">
        <f>CHOOSE(CONTROL!$C$42, 8.2275, 8.2275) * CHOOSE(CONTROL!$C$21, $C$9, 100%, $E$9)</f>
        <v>8.2274999999999991</v>
      </c>
      <c r="C140" s="14">
        <f>CHOOSE(CONTROL!$C$42, 8.2355, 8.2355) * CHOOSE(CONTROL!$C$21, $C$9, 100%, $E$9)</f>
        <v>8.2355</v>
      </c>
      <c r="D140" s="14">
        <f>CHOOSE(CONTROL!$C$42, 8.4561, 8.4561) * CHOOSE(CONTROL!$C$21, $C$9, 100%, $E$9)</f>
        <v>8.4560999999999993</v>
      </c>
      <c r="E140" s="14">
        <f>CHOOSE(CONTROL!$C$42, 8.4876, 8.4876) * CHOOSE(CONTROL!$C$21, $C$9, 100%, $E$9)</f>
        <v>8.4876000000000005</v>
      </c>
      <c r="F140" s="14">
        <f>CHOOSE(CONTROL!$C$42, 8.2549, 8.2549)*CHOOSE(CONTROL!$C$21, $C$9, 100%, $E$9)</f>
        <v>8.2548999999999992</v>
      </c>
      <c r="G140" s="14">
        <f>CHOOSE(CONTROL!$C$42, 8.2723, 8.2723)*CHOOSE(CONTROL!$C$21, $C$9, 100%, $E$9)</f>
        <v>8.2722999999999995</v>
      </c>
      <c r="H140" s="14">
        <f>CHOOSE(CONTROL!$C$42, 8.4762, 8.4762) * CHOOSE(CONTROL!$C$21, $C$9, 100%, $E$9)</f>
        <v>8.4762000000000004</v>
      </c>
      <c r="I140" s="14">
        <f>CHOOSE(CONTROL!$C$42, 8.2812, 8.2812)* CHOOSE(CONTROL!$C$21, $C$9, 100%, $E$9)</f>
        <v>8.2812000000000001</v>
      </c>
      <c r="J140" s="14">
        <f>CHOOSE(CONTROL!$C$42, 8.2479, 8.2479)* CHOOSE(CONTROL!$C$21, $C$9, 100%, $E$9)</f>
        <v>8.2478999999999996</v>
      </c>
      <c r="K140" s="53">
        <f>CHOOSE(CONTROL!$C$42, 8.2773, 8.2773) * CHOOSE(CONTROL!$C$21, $C$9, 100%, $E$9)</f>
        <v>8.2773000000000003</v>
      </c>
      <c r="L140" s="14">
        <f>CHOOSE(CONTROL!$C$42, 9.0632, 9.0632) * CHOOSE(CONTROL!$C$21, $C$9, 100%, $E$9)</f>
        <v>9.0632000000000001</v>
      </c>
      <c r="M140" s="14">
        <f>CHOOSE(CONTROL!$C$42, 8.0866, 8.0866) * CHOOSE(CONTROL!$C$21, $C$9, 100%, $E$9)</f>
        <v>8.0866000000000007</v>
      </c>
      <c r="N140" s="14">
        <f>CHOOSE(CONTROL!$C$42, 8.1036, 8.1036) * CHOOSE(CONTROL!$C$21, $C$9, 100%, $E$9)</f>
        <v>8.1036000000000001</v>
      </c>
      <c r="O140" s="14">
        <f>CHOOSE(CONTROL!$C$42, 8.3102, 8.3102) * CHOOSE(CONTROL!$C$21, $C$9, 100%, $E$9)</f>
        <v>8.3102</v>
      </c>
      <c r="P140" s="14">
        <f>CHOOSE(CONTROL!$C$42, 8.1187, 8.1187) * CHOOSE(CONTROL!$C$21, $C$9, 100%, $E$9)</f>
        <v>8.1187000000000005</v>
      </c>
      <c r="Q140" s="14">
        <f>CHOOSE(CONTROL!$C$42, 8.9049, 8.9049) * CHOOSE(CONTROL!$C$21, $C$9, 100%, $E$9)</f>
        <v>8.9048999999999996</v>
      </c>
      <c r="R140" s="14">
        <f>CHOOSE(CONTROL!$C$42, 9.5142, 9.5142) * CHOOSE(CONTROL!$C$21, $C$9, 100%, $E$9)</f>
        <v>9.5142000000000007</v>
      </c>
      <c r="S140" s="14">
        <f>CHOOSE(CONTROL!$C$42, 7.8952, 7.8952) * CHOOSE(CONTROL!$C$21, $C$9, 100%, $E$9)</f>
        <v>7.8952</v>
      </c>
      <c r="T1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40" s="57">
        <f>(1000*CHOOSE(CONTROL!$C$42, 695, 695)*CHOOSE(CONTROL!$C$42, 0.5599, 0.5599)*CHOOSE(CONTROL!$C$42, 31, 31))/1000000</f>
        <v>12.063045499999998</v>
      </c>
      <c r="V140" s="57">
        <f>(1000*CHOOSE(CONTROL!$C$42, 500, 500)*CHOOSE(CONTROL!$C$42, 0.275, 0.275)*CHOOSE(CONTROL!$C$42, 31, 31))/1000000</f>
        <v>4.2625000000000002</v>
      </c>
      <c r="W140" s="57">
        <f>(1000*CHOOSE(CONTROL!$C$42, 0.1146, 0.1146)*CHOOSE(CONTROL!$C$42, 121.5, 121.5)*CHOOSE(CONTROL!$C$42, 31, 31))/1000000</f>
        <v>0.43164089999999994</v>
      </c>
      <c r="X140" s="57">
        <f>(31*0.1790888*245000/1000000)+(31*0.2374*100000/1000000)</f>
        <v>2.0961194359999999</v>
      </c>
      <c r="Y140" s="57"/>
      <c r="Z140" s="14"/>
      <c r="AA140" s="56"/>
      <c r="AB140" s="50">
        <f>(B140*194.205+C140*267.466+D140*133.845+E140*53.484+F140*40+G140*185+H140*0+I140*100+J140*300)/(194.205+267.466+133.845+53.484+0+40+185+100+300)</f>
        <v>8.2804999084772373</v>
      </c>
      <c r="AC140" s="45">
        <f>(M140*'RAP TEMPLATE-GAS AVAILABILITY'!O139+N140*'RAP TEMPLATE-GAS AVAILABILITY'!P139+O140*'RAP TEMPLATE-GAS AVAILABILITY'!Q139+P140*'RAP TEMPLATE-GAS AVAILABILITY'!R139)/('RAP TEMPLATE-GAS AVAILABILITY'!O139+'RAP TEMPLATE-GAS AVAILABILITY'!P139+'RAP TEMPLATE-GAS AVAILABILITY'!Q139+'RAP TEMPLATE-GAS AVAILABILITY'!R139)</f>
        <v>8.1578690647482013</v>
      </c>
    </row>
    <row r="141" spans="1:29" ht="15.75" x14ac:dyDescent="0.25">
      <c r="A141" s="13">
        <v>45170</v>
      </c>
      <c r="B141" s="14">
        <f>CHOOSE(CONTROL!$C$42, 7.7215, 7.7215) * CHOOSE(CONTROL!$C$21, $C$9, 100%, $E$9)</f>
        <v>7.7214999999999998</v>
      </c>
      <c r="C141" s="14">
        <f>CHOOSE(CONTROL!$C$42, 7.7296, 7.7296) * CHOOSE(CONTROL!$C$21, $C$9, 100%, $E$9)</f>
        <v>7.7295999999999996</v>
      </c>
      <c r="D141" s="14">
        <f>CHOOSE(CONTROL!$C$42, 7.9502, 7.9502) * CHOOSE(CONTROL!$C$21, $C$9, 100%, $E$9)</f>
        <v>7.9501999999999997</v>
      </c>
      <c r="E141" s="14">
        <f>CHOOSE(CONTROL!$C$42, 7.9816, 7.9816) * CHOOSE(CONTROL!$C$21, $C$9, 100%, $E$9)</f>
        <v>7.9816000000000003</v>
      </c>
      <c r="F141" s="14">
        <f>CHOOSE(CONTROL!$C$42, 7.7489, 7.7489)*CHOOSE(CONTROL!$C$21, $C$9, 100%, $E$9)</f>
        <v>7.7488999999999999</v>
      </c>
      <c r="G141" s="14">
        <f>CHOOSE(CONTROL!$C$42, 7.7663, 7.7663)*CHOOSE(CONTROL!$C$21, $C$9, 100%, $E$9)</f>
        <v>7.7663000000000002</v>
      </c>
      <c r="H141" s="14">
        <f>CHOOSE(CONTROL!$C$42, 7.9703, 7.9703) * CHOOSE(CONTROL!$C$21, $C$9, 100%, $E$9)</f>
        <v>7.9702999999999999</v>
      </c>
      <c r="I141" s="14">
        <f>CHOOSE(CONTROL!$C$42, 7.7736, 7.7736)* CHOOSE(CONTROL!$C$21, $C$9, 100%, $E$9)</f>
        <v>7.7736000000000001</v>
      </c>
      <c r="J141" s="14">
        <f>CHOOSE(CONTROL!$C$42, 7.7419, 7.7419)* CHOOSE(CONTROL!$C$21, $C$9, 100%, $E$9)</f>
        <v>7.7419000000000002</v>
      </c>
      <c r="K141" s="53">
        <f>CHOOSE(CONTROL!$C$42, 7.7697, 7.7697) * CHOOSE(CONTROL!$C$21, $C$9, 100%, $E$9)</f>
        <v>7.7697000000000003</v>
      </c>
      <c r="L141" s="14">
        <f>CHOOSE(CONTROL!$C$42, 8.5573, 8.5573) * CHOOSE(CONTROL!$C$21, $C$9, 100%, $E$9)</f>
        <v>8.5572999999999997</v>
      </c>
      <c r="M141" s="14">
        <f>CHOOSE(CONTROL!$C$42, 7.591, 7.591) * CHOOSE(CONTROL!$C$21, $C$9, 100%, $E$9)</f>
        <v>7.5910000000000002</v>
      </c>
      <c r="N141" s="14">
        <f>CHOOSE(CONTROL!$C$42, 7.608, 7.608) * CHOOSE(CONTROL!$C$21, $C$9, 100%, $E$9)</f>
        <v>7.6079999999999997</v>
      </c>
      <c r="O141" s="14">
        <f>CHOOSE(CONTROL!$C$42, 7.8146, 7.8146) * CHOOSE(CONTROL!$C$21, $C$9, 100%, $E$9)</f>
        <v>7.8146000000000004</v>
      </c>
      <c r="P141" s="14">
        <f>CHOOSE(CONTROL!$C$42, 7.6216, 7.6216) * CHOOSE(CONTROL!$C$21, $C$9, 100%, $E$9)</f>
        <v>7.6215999999999999</v>
      </c>
      <c r="Q141" s="14">
        <f>CHOOSE(CONTROL!$C$42, 8.4093, 8.4093) * CHOOSE(CONTROL!$C$21, $C$9, 100%, $E$9)</f>
        <v>8.4093</v>
      </c>
      <c r="R141" s="14">
        <f>CHOOSE(CONTROL!$C$42, 9.0174, 9.0174) * CHOOSE(CONTROL!$C$21, $C$9, 100%, $E$9)</f>
        <v>9.0174000000000003</v>
      </c>
      <c r="S141" s="14">
        <f>CHOOSE(CONTROL!$C$42, 7.409, 7.409) * CHOOSE(CONTROL!$C$21, $C$9, 100%, $E$9)</f>
        <v>7.4089999999999998</v>
      </c>
      <c r="T1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41" s="57">
        <f>(1000*CHOOSE(CONTROL!$C$42, 695, 695)*CHOOSE(CONTROL!$C$42, 0.5599, 0.5599)*CHOOSE(CONTROL!$C$42, 30, 30))/1000000</f>
        <v>11.673914999999997</v>
      </c>
      <c r="V141" s="57">
        <f>(1000*CHOOSE(CONTROL!$C$42, 500, 500)*CHOOSE(CONTROL!$C$42, 0.275, 0.275)*CHOOSE(CONTROL!$C$42, 30, 30))/1000000</f>
        <v>4.125</v>
      </c>
      <c r="W141" s="57">
        <f>(1000*CHOOSE(CONTROL!$C$42, 0.1146, 0.1146)*CHOOSE(CONTROL!$C$42, 121.5, 121.5)*CHOOSE(CONTROL!$C$42, 30, 30))/1000000</f>
        <v>0.417717</v>
      </c>
      <c r="X141" s="57">
        <f>(30*0.1790888*245000/1000000)+(30*0.2374*100000/1000000)</f>
        <v>2.0285026799999999</v>
      </c>
      <c r="Y141" s="57"/>
      <c r="Z141" s="14"/>
      <c r="AA141" s="56"/>
      <c r="AB141" s="50">
        <f>(B141*194.205+C141*267.466+D141*133.845+E141*53.484+F141*40+G141*185+H141*0+I141*100+J141*300)/(194.205+267.466+133.845+53.484+0+40+185+100+300)</f>
        <v>7.7744058198587132</v>
      </c>
      <c r="AC141" s="45">
        <f>(M141*'RAP TEMPLATE-GAS AVAILABILITY'!O140+N141*'RAP TEMPLATE-GAS AVAILABILITY'!P140+O141*'RAP TEMPLATE-GAS AVAILABILITY'!Q140+P141*'RAP TEMPLATE-GAS AVAILABILITY'!R140)/('RAP TEMPLATE-GAS AVAILABILITY'!O140+'RAP TEMPLATE-GAS AVAILABILITY'!P140+'RAP TEMPLATE-GAS AVAILABILITY'!Q140+'RAP TEMPLATE-GAS AVAILABILITY'!R140)</f>
        <v>7.6620532374100714</v>
      </c>
    </row>
    <row r="142" spans="1:29" ht="15.75" x14ac:dyDescent="0.25">
      <c r="A142" s="13">
        <v>45200</v>
      </c>
      <c r="B142" s="14">
        <f>CHOOSE(CONTROL!$C$42, 7.5788, 7.5788) * CHOOSE(CONTROL!$C$21, $C$9, 100%, $E$9)</f>
        <v>7.5788000000000002</v>
      </c>
      <c r="C142" s="14">
        <f>CHOOSE(CONTROL!$C$42, 7.5841, 7.5841) * CHOOSE(CONTROL!$C$21, $C$9, 100%, $E$9)</f>
        <v>7.5841000000000003</v>
      </c>
      <c r="D142" s="14">
        <f>CHOOSE(CONTROL!$C$42, 7.8097, 7.8097) * CHOOSE(CONTROL!$C$21, $C$9, 100%, $E$9)</f>
        <v>7.8097000000000003</v>
      </c>
      <c r="E142" s="14">
        <f>CHOOSE(CONTROL!$C$42, 7.8388, 7.8388) * CHOOSE(CONTROL!$C$21, $C$9, 100%, $E$9)</f>
        <v>7.8388</v>
      </c>
      <c r="F142" s="14">
        <f>CHOOSE(CONTROL!$C$42, 7.6082, 7.6082)*CHOOSE(CONTROL!$C$21, $C$9, 100%, $E$9)</f>
        <v>7.6082000000000001</v>
      </c>
      <c r="G142" s="14">
        <f>CHOOSE(CONTROL!$C$42, 7.6254, 7.6254)*CHOOSE(CONTROL!$C$21, $C$9, 100%, $E$9)</f>
        <v>7.6254</v>
      </c>
      <c r="H142" s="14">
        <f>CHOOSE(CONTROL!$C$42, 7.8293, 7.8293) * CHOOSE(CONTROL!$C$21, $C$9, 100%, $E$9)</f>
        <v>7.8292999999999999</v>
      </c>
      <c r="I142" s="14">
        <f>CHOOSE(CONTROL!$C$42, 7.6322, 7.6322)* CHOOSE(CONTROL!$C$21, $C$9, 100%, $E$9)</f>
        <v>7.6322000000000001</v>
      </c>
      <c r="J142" s="14">
        <f>CHOOSE(CONTROL!$C$42, 7.6012, 7.6012)* CHOOSE(CONTROL!$C$21, $C$9, 100%, $E$9)</f>
        <v>7.6012000000000004</v>
      </c>
      <c r="K142" s="53">
        <f>CHOOSE(CONTROL!$C$42, 7.6283, 7.6283) * CHOOSE(CONTROL!$C$21, $C$9, 100%, $E$9)</f>
        <v>7.6283000000000003</v>
      </c>
      <c r="L142" s="14">
        <f>CHOOSE(CONTROL!$C$42, 8.4163, 8.4163) * CHOOSE(CONTROL!$C$21, $C$9, 100%, $E$9)</f>
        <v>8.4162999999999997</v>
      </c>
      <c r="M142" s="14">
        <f>CHOOSE(CONTROL!$C$42, 7.4531, 7.4531) * CHOOSE(CONTROL!$C$21, $C$9, 100%, $E$9)</f>
        <v>7.4531000000000001</v>
      </c>
      <c r="N142" s="14">
        <f>CHOOSE(CONTROL!$C$42, 7.47, 7.47) * CHOOSE(CONTROL!$C$21, $C$9, 100%, $E$9)</f>
        <v>7.47</v>
      </c>
      <c r="O142" s="14">
        <f>CHOOSE(CONTROL!$C$42, 7.6766, 7.6766) * CHOOSE(CONTROL!$C$21, $C$9, 100%, $E$9)</f>
        <v>7.6765999999999996</v>
      </c>
      <c r="P142" s="14">
        <f>CHOOSE(CONTROL!$C$42, 7.4831, 7.4831) * CHOOSE(CONTROL!$C$21, $C$9, 100%, $E$9)</f>
        <v>7.4831000000000003</v>
      </c>
      <c r="Q142" s="14">
        <f>CHOOSE(CONTROL!$C$42, 8.2713, 8.2713) * CHOOSE(CONTROL!$C$21, $C$9, 100%, $E$9)</f>
        <v>8.2713000000000001</v>
      </c>
      <c r="R142" s="14">
        <f>CHOOSE(CONTROL!$C$42, 8.8789, 8.8789) * CHOOSE(CONTROL!$C$21, $C$9, 100%, $E$9)</f>
        <v>8.8788999999999998</v>
      </c>
      <c r="S142" s="14">
        <f>CHOOSE(CONTROL!$C$42, 7.2735, 7.2735) * CHOOSE(CONTROL!$C$21, $C$9, 100%, $E$9)</f>
        <v>7.2735000000000003</v>
      </c>
      <c r="T1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42" s="57">
        <f>(1000*CHOOSE(CONTROL!$C$42, 695, 695)*CHOOSE(CONTROL!$C$42, 0.5599, 0.5599)*CHOOSE(CONTROL!$C$42, 31, 31))/1000000</f>
        <v>12.063045499999998</v>
      </c>
      <c r="V142" s="57">
        <f>(1000*CHOOSE(CONTROL!$C$42, 500, 500)*CHOOSE(CONTROL!$C$42, 0.275, 0.275)*CHOOSE(CONTROL!$C$42, 31, 31))/1000000</f>
        <v>4.2625000000000002</v>
      </c>
      <c r="W142" s="57">
        <f>(1000*CHOOSE(CONTROL!$C$42, 0.1146, 0.1146)*CHOOSE(CONTROL!$C$42, 121.5, 121.5)*CHOOSE(CONTROL!$C$42, 31, 31))/1000000</f>
        <v>0.43164089999999994</v>
      </c>
      <c r="X142" s="57">
        <f>(31*0.1790888*245000/1000000)+(31*0.2374*100000/1000000)</f>
        <v>2.0961194359999999</v>
      </c>
      <c r="Y142" s="57"/>
      <c r="Z142" s="14"/>
      <c r="AA142" s="56"/>
      <c r="AB142" s="50">
        <f>(B142*131.881+C142*277.167+D142*79.08+E142*125.872+F142*40+G142*185+H142*0+I142*100+J142*300)/(131.881+277.167+79.08+125.872+0+40+185+100+300)</f>
        <v>7.6387776247780472</v>
      </c>
      <c r="AC142" s="45">
        <f>(M142*'RAP TEMPLATE-GAS AVAILABILITY'!O141+N142*'RAP TEMPLATE-GAS AVAILABILITY'!P141+O142*'RAP TEMPLATE-GAS AVAILABILITY'!Q141+P142*'RAP TEMPLATE-GAS AVAILABILITY'!R141)/('RAP TEMPLATE-GAS AVAILABILITY'!O141+'RAP TEMPLATE-GAS AVAILABILITY'!P141+'RAP TEMPLATE-GAS AVAILABILITY'!Q141+'RAP TEMPLATE-GAS AVAILABILITY'!R141)</f>
        <v>7.524015827338129</v>
      </c>
    </row>
    <row r="143" spans="1:29" ht="15.75" x14ac:dyDescent="0.25">
      <c r="A143" s="13">
        <v>45231</v>
      </c>
      <c r="B143" s="14">
        <f>CHOOSE(CONTROL!$C$42, 7.7938, 7.7938) * CHOOSE(CONTROL!$C$21, $C$9, 100%, $E$9)</f>
        <v>7.7938000000000001</v>
      </c>
      <c r="C143" s="14">
        <f>CHOOSE(CONTROL!$C$42, 7.7989, 7.7989) * CHOOSE(CONTROL!$C$21, $C$9, 100%, $E$9)</f>
        <v>7.7988999999999997</v>
      </c>
      <c r="D143" s="14">
        <f>CHOOSE(CONTROL!$C$42, 7.8731, 7.8731) * CHOOSE(CONTROL!$C$21, $C$9, 100%, $E$9)</f>
        <v>7.8731</v>
      </c>
      <c r="E143" s="14">
        <f>CHOOSE(CONTROL!$C$42, 7.9072, 7.9072) * CHOOSE(CONTROL!$C$21, $C$9, 100%, $E$9)</f>
        <v>7.9071999999999996</v>
      </c>
      <c r="F143" s="14">
        <f>CHOOSE(CONTROL!$C$42, 7.8298, 7.8298)*CHOOSE(CONTROL!$C$21, $C$9, 100%, $E$9)</f>
        <v>7.8297999999999996</v>
      </c>
      <c r="G143" s="14">
        <f>CHOOSE(CONTROL!$C$42, 7.8474, 7.8474)*CHOOSE(CONTROL!$C$21, $C$9, 100%, $E$9)</f>
        <v>7.8474000000000004</v>
      </c>
      <c r="H143" s="14">
        <f>CHOOSE(CONTROL!$C$42, 7.8964, 7.8964) * CHOOSE(CONTROL!$C$21, $C$9, 100%, $E$9)</f>
        <v>7.8963999999999999</v>
      </c>
      <c r="I143" s="14">
        <f>CHOOSE(CONTROL!$C$42, 7.8457, 7.8457)* CHOOSE(CONTROL!$C$21, $C$9, 100%, $E$9)</f>
        <v>7.8456999999999999</v>
      </c>
      <c r="J143" s="14">
        <f>CHOOSE(CONTROL!$C$42, 7.8228, 7.8228)* CHOOSE(CONTROL!$C$21, $C$9, 100%, $E$9)</f>
        <v>7.8228</v>
      </c>
      <c r="K143" s="53">
        <f>CHOOSE(CONTROL!$C$42, 7.8418, 7.8418) * CHOOSE(CONTROL!$C$21, $C$9, 100%, $E$9)</f>
        <v>7.8418000000000001</v>
      </c>
      <c r="L143" s="14">
        <f>CHOOSE(CONTROL!$C$42, 8.4834, 8.4834) * CHOOSE(CONTROL!$C$21, $C$9, 100%, $E$9)</f>
        <v>8.4833999999999996</v>
      </c>
      <c r="M143" s="14">
        <f>CHOOSE(CONTROL!$C$42, 7.6703, 7.6703) * CHOOSE(CONTROL!$C$21, $C$9, 100%, $E$9)</f>
        <v>7.6703000000000001</v>
      </c>
      <c r="N143" s="14">
        <f>CHOOSE(CONTROL!$C$42, 7.6874, 7.6874) * CHOOSE(CONTROL!$C$21, $C$9, 100%, $E$9)</f>
        <v>7.6874000000000002</v>
      </c>
      <c r="O143" s="14">
        <f>CHOOSE(CONTROL!$C$42, 7.7423, 7.7423) * CHOOSE(CONTROL!$C$21, $C$9, 100%, $E$9)</f>
        <v>7.7423000000000002</v>
      </c>
      <c r="P143" s="14">
        <f>CHOOSE(CONTROL!$C$42, 7.6922, 7.6922) * CHOOSE(CONTROL!$C$21, $C$9, 100%, $E$9)</f>
        <v>7.6921999999999997</v>
      </c>
      <c r="Q143" s="14">
        <f>CHOOSE(CONTROL!$C$42, 8.337, 8.337) * CHOOSE(CONTROL!$C$21, $C$9, 100%, $E$9)</f>
        <v>8.3369999999999997</v>
      </c>
      <c r="R143" s="14">
        <f>CHOOSE(CONTROL!$C$42, 8.9448, 8.9448) * CHOOSE(CONTROL!$C$21, $C$9, 100%, $E$9)</f>
        <v>8.9448000000000008</v>
      </c>
      <c r="S143" s="14">
        <f>CHOOSE(CONTROL!$C$42, 7.4805, 7.4805) * CHOOSE(CONTROL!$C$21, $C$9, 100%, $E$9)</f>
        <v>7.4805000000000001</v>
      </c>
      <c r="T1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43" s="57">
        <f>(1000*CHOOSE(CONTROL!$C$42, 695, 695)*CHOOSE(CONTROL!$C$42, 0.5599, 0.5599)*CHOOSE(CONTROL!$C$42, 30, 30))/1000000</f>
        <v>11.673914999999997</v>
      </c>
      <c r="V143" s="57">
        <f>(1000*CHOOSE(CONTROL!$C$42, 500, 500)*CHOOSE(CONTROL!$C$42, 0.275, 0.275)*CHOOSE(CONTROL!$C$42, 30, 30))/1000000</f>
        <v>4.125</v>
      </c>
      <c r="W143" s="57">
        <f>(1000*CHOOSE(CONTROL!$C$42, 0.1146, 0.1146)*CHOOSE(CONTROL!$C$42, 121.5, 121.5)*CHOOSE(CONTROL!$C$42, 30, 30))/1000000</f>
        <v>0.417717</v>
      </c>
      <c r="X143" s="57">
        <f>(30*0.1790888*100000/1000000)+(30*0.2374*100000/1000000)</f>
        <v>1.2494664</v>
      </c>
      <c r="Y143" s="57"/>
      <c r="Z143" s="14"/>
      <c r="AA143" s="56"/>
      <c r="AB143" s="50">
        <f>(B143*122.58+C143*297.941+D143*89.177+E143*40.302+F143*40+G143*160+H143*0+I143*100+J143*300)/(122.58+297.941+89.177+40.302+0+40+160+100+300)</f>
        <v>7.826032593043478</v>
      </c>
      <c r="AC143" s="45">
        <f>(M143*'RAP TEMPLATE-GAS AVAILABILITY'!O142+N143*'RAP TEMPLATE-GAS AVAILABILITY'!P142+O143*'RAP TEMPLATE-GAS AVAILABILITY'!Q142+P143*'RAP TEMPLATE-GAS AVAILABILITY'!R142)/('RAP TEMPLATE-GAS AVAILABILITY'!O142+'RAP TEMPLATE-GAS AVAILABILITY'!P142+'RAP TEMPLATE-GAS AVAILABILITY'!Q142+'RAP TEMPLATE-GAS AVAILABILITY'!R142)</f>
        <v>7.7070683453237416</v>
      </c>
    </row>
    <row r="144" spans="1:29" ht="15.75" x14ac:dyDescent="0.25">
      <c r="A144" s="13">
        <v>45261</v>
      </c>
      <c r="B144" s="14">
        <f>CHOOSE(CONTROL!$C$42, 8.3416, 8.3416) * CHOOSE(CONTROL!$C$21, $C$9, 100%, $E$9)</f>
        <v>8.3415999999999997</v>
      </c>
      <c r="C144" s="14">
        <f>CHOOSE(CONTROL!$C$42, 8.3467, 8.3467) * CHOOSE(CONTROL!$C$21, $C$9, 100%, $E$9)</f>
        <v>8.3467000000000002</v>
      </c>
      <c r="D144" s="14">
        <f>CHOOSE(CONTROL!$C$42, 8.4209, 8.4209) * CHOOSE(CONTROL!$C$21, $C$9, 100%, $E$9)</f>
        <v>8.4208999999999996</v>
      </c>
      <c r="E144" s="14">
        <f>CHOOSE(CONTROL!$C$42, 8.455, 8.455) * CHOOSE(CONTROL!$C$21, $C$9, 100%, $E$9)</f>
        <v>8.4550000000000001</v>
      </c>
      <c r="F144" s="14">
        <f>CHOOSE(CONTROL!$C$42, 8.38, 8.38)*CHOOSE(CONTROL!$C$21, $C$9, 100%, $E$9)</f>
        <v>8.3800000000000008</v>
      </c>
      <c r="G144" s="14">
        <f>CHOOSE(CONTROL!$C$42, 8.3982, 8.3982)*CHOOSE(CONTROL!$C$21, $C$9, 100%, $E$9)</f>
        <v>8.3981999999999992</v>
      </c>
      <c r="H144" s="14">
        <f>CHOOSE(CONTROL!$C$42, 8.4442, 8.4442) * CHOOSE(CONTROL!$C$21, $C$9, 100%, $E$9)</f>
        <v>8.4442000000000004</v>
      </c>
      <c r="I144" s="14">
        <f>CHOOSE(CONTROL!$C$42, 8.3952, 8.3952)* CHOOSE(CONTROL!$C$21, $C$9, 100%, $E$9)</f>
        <v>8.3952000000000009</v>
      </c>
      <c r="J144" s="14">
        <f>CHOOSE(CONTROL!$C$42, 8.373, 8.373)* CHOOSE(CONTROL!$C$21, $C$9, 100%, $E$9)</f>
        <v>8.3729999999999993</v>
      </c>
      <c r="K144" s="53">
        <f>CHOOSE(CONTROL!$C$42, 8.3913, 8.3913) * CHOOSE(CONTROL!$C$21, $C$9, 100%, $E$9)</f>
        <v>8.3912999999999993</v>
      </c>
      <c r="L144" s="14">
        <f>CHOOSE(CONTROL!$C$42, 9.0312, 9.0312) * CHOOSE(CONTROL!$C$21, $C$9, 100%, $E$9)</f>
        <v>9.0312000000000001</v>
      </c>
      <c r="M144" s="14">
        <f>CHOOSE(CONTROL!$C$42, 8.2092, 8.2092) * CHOOSE(CONTROL!$C$21, $C$9, 100%, $E$9)</f>
        <v>8.2091999999999992</v>
      </c>
      <c r="N144" s="14">
        <f>CHOOSE(CONTROL!$C$42, 8.227, 8.227) * CHOOSE(CONTROL!$C$21, $C$9, 100%, $E$9)</f>
        <v>8.2270000000000003</v>
      </c>
      <c r="O144" s="14">
        <f>CHOOSE(CONTROL!$C$42, 8.2789, 8.2789) * CHOOSE(CONTROL!$C$21, $C$9, 100%, $E$9)</f>
        <v>8.2789000000000001</v>
      </c>
      <c r="P144" s="14">
        <f>CHOOSE(CONTROL!$C$42, 8.2305, 8.2305) * CHOOSE(CONTROL!$C$21, $C$9, 100%, $E$9)</f>
        <v>8.2304999999999993</v>
      </c>
      <c r="Q144" s="14">
        <f>CHOOSE(CONTROL!$C$42, 8.8736, 8.8736) * CHOOSE(CONTROL!$C$21, $C$9, 100%, $E$9)</f>
        <v>8.8735999999999997</v>
      </c>
      <c r="R144" s="14">
        <f>CHOOSE(CONTROL!$C$42, 9.4828, 9.4828) * CHOOSE(CONTROL!$C$21, $C$9, 100%, $E$9)</f>
        <v>9.4827999999999992</v>
      </c>
      <c r="S144" s="14">
        <f>CHOOSE(CONTROL!$C$42, 8.0069, 8.0069) * CHOOSE(CONTROL!$C$21, $C$9, 100%, $E$9)</f>
        <v>8.0068999999999999</v>
      </c>
      <c r="T1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44" s="57">
        <f>(1000*CHOOSE(CONTROL!$C$42, 695, 695)*CHOOSE(CONTROL!$C$42, 0.5599, 0.5599)*CHOOSE(CONTROL!$C$42, 31, 31))/1000000</f>
        <v>12.063045499999998</v>
      </c>
      <c r="V144" s="57">
        <f>(1000*CHOOSE(CONTROL!$C$42, 500, 500)*CHOOSE(CONTROL!$C$42, 0.275, 0.275)*CHOOSE(CONTROL!$C$42, 31, 31))/1000000</f>
        <v>4.2625000000000002</v>
      </c>
      <c r="W144" s="57">
        <f>(1000*CHOOSE(CONTROL!$C$42, 0.1146, 0.1146)*CHOOSE(CONTROL!$C$42, 121.5, 121.5)*CHOOSE(CONTROL!$C$42, 31, 31))/1000000</f>
        <v>0.43164089999999994</v>
      </c>
      <c r="X144" s="57">
        <f>(31*0.1790888*100000/1000000)+(31*0.2374*100000/1000000)</f>
        <v>1.2911152800000001</v>
      </c>
      <c r="Y144" s="57"/>
      <c r="Z144" s="14"/>
      <c r="AA144" s="56"/>
      <c r="AB144" s="50">
        <f>(B144*122.58+C144*297.941+D144*89.177+E144*40.302+F144*40+G144*160+H144*0+I144*100+J144*300)/(122.58+297.941+89.177+40.302+0+40+160+100+300)</f>
        <v>8.3751073756521741</v>
      </c>
      <c r="AC144" s="45">
        <f>(M144*'RAP TEMPLATE-GAS AVAILABILITY'!O143+N144*'RAP TEMPLATE-GAS AVAILABILITY'!P143+O144*'RAP TEMPLATE-GAS AVAILABILITY'!Q143+P144*'RAP TEMPLATE-GAS AVAILABILITY'!R143)/('RAP TEMPLATE-GAS AVAILABILITY'!O143+'RAP TEMPLATE-GAS AVAILABILITY'!P143+'RAP TEMPLATE-GAS AVAILABILITY'!Q143+'RAP TEMPLATE-GAS AVAILABILITY'!R143)</f>
        <v>8.2448798561151087</v>
      </c>
    </row>
    <row r="145" spans="1:29" ht="15.75" x14ac:dyDescent="0.25">
      <c r="A145" s="13">
        <v>45292</v>
      </c>
      <c r="B145" s="14">
        <f>CHOOSE(CONTROL!$C$42, 8.8783, 8.8783) * CHOOSE(CONTROL!$C$21, $C$9, 100%, $E$9)</f>
        <v>8.8782999999999994</v>
      </c>
      <c r="C145" s="14">
        <f>CHOOSE(CONTROL!$C$42, 8.8833, 8.8833) * CHOOSE(CONTROL!$C$21, $C$9, 100%, $E$9)</f>
        <v>8.8833000000000002</v>
      </c>
      <c r="D145" s="14">
        <f>CHOOSE(CONTROL!$C$42, 8.9602, 8.9602) * CHOOSE(CONTROL!$C$21, $C$9, 100%, $E$9)</f>
        <v>8.9602000000000004</v>
      </c>
      <c r="E145" s="14">
        <f>CHOOSE(CONTROL!$C$42, 8.9943, 8.9943) * CHOOSE(CONTROL!$C$21, $C$9, 100%, $E$9)</f>
        <v>8.9943000000000008</v>
      </c>
      <c r="F145" s="14">
        <f>CHOOSE(CONTROL!$C$42, 8.903, 8.903)*CHOOSE(CONTROL!$C$21, $C$9, 100%, $E$9)</f>
        <v>8.9030000000000005</v>
      </c>
      <c r="G145" s="14">
        <f>CHOOSE(CONTROL!$C$42, 8.921, 8.921)*CHOOSE(CONTROL!$C$21, $C$9, 100%, $E$9)</f>
        <v>8.9209999999999994</v>
      </c>
      <c r="H145" s="14">
        <f>CHOOSE(CONTROL!$C$42, 8.9835, 8.9835) * CHOOSE(CONTROL!$C$21, $C$9, 100%, $E$9)</f>
        <v>8.9834999999999994</v>
      </c>
      <c r="I145" s="14">
        <f>CHOOSE(CONTROL!$C$42, 8.9398, 8.9398)* CHOOSE(CONTROL!$C$21, $C$9, 100%, $E$9)</f>
        <v>8.9398</v>
      </c>
      <c r="J145" s="14">
        <f>CHOOSE(CONTROL!$C$42, 8.896, 8.896)* CHOOSE(CONTROL!$C$21, $C$9, 100%, $E$9)</f>
        <v>8.8960000000000008</v>
      </c>
      <c r="K145" s="53">
        <f>CHOOSE(CONTROL!$C$42, 8.9359, 8.9359) * CHOOSE(CONTROL!$C$21, $C$9, 100%, $E$9)</f>
        <v>8.9359000000000002</v>
      </c>
      <c r="L145" s="14">
        <f>CHOOSE(CONTROL!$C$42, 9.5705, 9.5705) * CHOOSE(CONTROL!$C$21, $C$9, 100%, $E$9)</f>
        <v>9.5704999999999991</v>
      </c>
      <c r="M145" s="14">
        <f>CHOOSE(CONTROL!$C$42, 8.7214, 8.7214) * CHOOSE(CONTROL!$C$21, $C$9, 100%, $E$9)</f>
        <v>8.7213999999999992</v>
      </c>
      <c r="N145" s="14">
        <f>CHOOSE(CONTROL!$C$42, 8.739, 8.739) * CHOOSE(CONTROL!$C$21, $C$9, 100%, $E$9)</f>
        <v>8.7390000000000008</v>
      </c>
      <c r="O145" s="14">
        <f>CHOOSE(CONTROL!$C$42, 8.8071, 8.8071) * CHOOSE(CONTROL!$C$21, $C$9, 100%, $E$9)</f>
        <v>8.8071000000000002</v>
      </c>
      <c r="P145" s="14">
        <f>CHOOSE(CONTROL!$C$42, 8.7638, 8.7638) * CHOOSE(CONTROL!$C$21, $C$9, 100%, $E$9)</f>
        <v>8.7637999999999998</v>
      </c>
      <c r="Q145" s="14">
        <f>CHOOSE(CONTROL!$C$42, 9.4018, 9.4018) * CHOOSE(CONTROL!$C$21, $C$9, 100%, $E$9)</f>
        <v>9.4017999999999997</v>
      </c>
      <c r="R145" s="14">
        <f>CHOOSE(CONTROL!$C$42, 10.0123, 10.0123) * CHOOSE(CONTROL!$C$21, $C$9, 100%, $E$9)</f>
        <v>10.0123</v>
      </c>
      <c r="S145" s="14">
        <f>CHOOSE(CONTROL!$C$42, 8.5226, 8.5226) * CHOOSE(CONTROL!$C$21, $C$9, 100%, $E$9)</f>
        <v>8.5226000000000006</v>
      </c>
      <c r="T1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45" s="57">
        <f>(1000*CHOOSE(CONTROL!$C$42, 695, 695)*CHOOSE(CONTROL!$C$42, 0.5599, 0.5599)*CHOOSE(CONTROL!$C$42, 31, 31))/1000000</f>
        <v>12.063045499999998</v>
      </c>
      <c r="V145" s="57">
        <f>(1000*CHOOSE(CONTROL!$C$42, 500, 500)*CHOOSE(CONTROL!$C$42, 0.275, 0.275)*CHOOSE(CONTROL!$C$42, 31, 31))/1000000</f>
        <v>4.2625000000000002</v>
      </c>
      <c r="W145" s="57">
        <f>(1000*CHOOSE(CONTROL!$C$42, 0.1146, 0.1146)*CHOOSE(CONTROL!$C$42, 121.5, 121.5)*CHOOSE(CONTROL!$C$42, 31, 31))/1000000</f>
        <v>0.43164089999999994</v>
      </c>
      <c r="X145" s="57">
        <f>(31*0.1790888*100000/1000000)+(31*0.2374*100000/1000000)</f>
        <v>1.2911152800000001</v>
      </c>
      <c r="Y145" s="57"/>
      <c r="Z145" s="14"/>
      <c r="AA145" s="56"/>
      <c r="AB145" s="50">
        <f>(B145*122.58+C145*297.941+D145*89.177+E145*40.302+F145*40+G145*160+H145*0+I145*100+J145*300)/(122.58+297.941+89.177+40.302+0+40+160+100+300)</f>
        <v>8.9067768115652175</v>
      </c>
      <c r="AC145" s="45">
        <f>(M145*'RAP TEMPLATE-GAS AVAILABILITY'!O144+N145*'RAP TEMPLATE-GAS AVAILABILITY'!P144+O145*'RAP TEMPLATE-GAS AVAILABILITY'!Q144+P145*'RAP TEMPLATE-GAS AVAILABILITY'!R144)/('RAP TEMPLATE-GAS AVAILABILITY'!O144+'RAP TEMPLATE-GAS AVAILABILITY'!P144+'RAP TEMPLATE-GAS AVAILABILITY'!Q144+'RAP TEMPLATE-GAS AVAILABILITY'!R144)</f>
        <v>8.7673561151079138</v>
      </c>
    </row>
    <row r="146" spans="1:29" ht="15.75" x14ac:dyDescent="0.25">
      <c r="A146" s="13">
        <v>45323</v>
      </c>
      <c r="B146" s="14">
        <f>CHOOSE(CONTROL!$C$42, 9.0547, 9.0547) * CHOOSE(CONTROL!$C$21, $C$9, 100%, $E$9)</f>
        <v>9.0547000000000004</v>
      </c>
      <c r="C146" s="14">
        <f>CHOOSE(CONTROL!$C$42, 9.0598, 9.0598) * CHOOSE(CONTROL!$C$21, $C$9, 100%, $E$9)</f>
        <v>9.0597999999999992</v>
      </c>
      <c r="D146" s="14">
        <f>CHOOSE(CONTROL!$C$42, 9.1366, 9.1366) * CHOOSE(CONTROL!$C$21, $C$9, 100%, $E$9)</f>
        <v>9.1365999999999996</v>
      </c>
      <c r="E146" s="14">
        <f>CHOOSE(CONTROL!$C$42, 9.1707, 9.1707) * CHOOSE(CONTROL!$C$21, $C$9, 100%, $E$9)</f>
        <v>9.1707000000000001</v>
      </c>
      <c r="F146" s="14">
        <f>CHOOSE(CONTROL!$C$42, 9.0791, 9.0791)*CHOOSE(CONTROL!$C$21, $C$9, 100%, $E$9)</f>
        <v>9.0791000000000004</v>
      </c>
      <c r="G146" s="14">
        <f>CHOOSE(CONTROL!$C$42, 9.0969, 9.0969)*CHOOSE(CONTROL!$C$21, $C$9, 100%, $E$9)</f>
        <v>9.0968999999999998</v>
      </c>
      <c r="H146" s="14">
        <f>CHOOSE(CONTROL!$C$42, 9.1599, 9.1599) * CHOOSE(CONTROL!$C$21, $C$9, 100%, $E$9)</f>
        <v>9.1599000000000004</v>
      </c>
      <c r="I146" s="14">
        <f>CHOOSE(CONTROL!$C$42, 9.1168, 9.1168)* CHOOSE(CONTROL!$C$21, $C$9, 100%, $E$9)</f>
        <v>9.1167999999999996</v>
      </c>
      <c r="J146" s="14">
        <f>CHOOSE(CONTROL!$C$42, 9.0721, 9.0721)* CHOOSE(CONTROL!$C$21, $C$9, 100%, $E$9)</f>
        <v>9.0721000000000007</v>
      </c>
      <c r="K146" s="53">
        <f>CHOOSE(CONTROL!$C$42, 9.1129, 9.1129) * CHOOSE(CONTROL!$C$21, $C$9, 100%, $E$9)</f>
        <v>9.1128999999999998</v>
      </c>
      <c r="L146" s="14">
        <f>CHOOSE(CONTROL!$C$42, 9.7469, 9.7469) * CHOOSE(CONTROL!$C$21, $C$9, 100%, $E$9)</f>
        <v>9.7469000000000001</v>
      </c>
      <c r="M146" s="14">
        <f>CHOOSE(CONTROL!$C$42, 8.8939, 8.8939) * CHOOSE(CONTROL!$C$21, $C$9, 100%, $E$9)</f>
        <v>8.8939000000000004</v>
      </c>
      <c r="N146" s="14">
        <f>CHOOSE(CONTROL!$C$42, 8.9114, 8.9114) * CHOOSE(CONTROL!$C$21, $C$9, 100%, $E$9)</f>
        <v>8.9114000000000004</v>
      </c>
      <c r="O146" s="14">
        <f>CHOOSE(CONTROL!$C$42, 8.9799, 8.9799) * CHOOSE(CONTROL!$C$21, $C$9, 100%, $E$9)</f>
        <v>8.9799000000000007</v>
      </c>
      <c r="P146" s="14">
        <f>CHOOSE(CONTROL!$C$42, 8.9372, 8.9372) * CHOOSE(CONTROL!$C$21, $C$9, 100%, $E$9)</f>
        <v>8.9372000000000007</v>
      </c>
      <c r="Q146" s="14">
        <f>CHOOSE(CONTROL!$C$42, 9.5746, 9.5746) * CHOOSE(CONTROL!$C$21, $C$9, 100%, $E$9)</f>
        <v>9.5746000000000002</v>
      </c>
      <c r="R146" s="14">
        <f>CHOOSE(CONTROL!$C$42, 10.1856, 10.1856) * CHOOSE(CONTROL!$C$21, $C$9, 100%, $E$9)</f>
        <v>10.185600000000001</v>
      </c>
      <c r="S146" s="14">
        <f>CHOOSE(CONTROL!$C$42, 8.6922, 8.6922) * CHOOSE(CONTROL!$C$21, $C$9, 100%, $E$9)</f>
        <v>8.6921999999999997</v>
      </c>
      <c r="T14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46" s="57">
        <f>(1000*CHOOSE(CONTROL!$C$42, 695, 695)*CHOOSE(CONTROL!$C$42, 0.5599, 0.5599)*CHOOSE(CONTROL!$C$42, 29, 29))/1000000</f>
        <v>11.284784499999999</v>
      </c>
      <c r="V146" s="57">
        <f>(1000*CHOOSE(CONTROL!$C$42, 500, 500)*CHOOSE(CONTROL!$C$42, 0.275, 0.275)*CHOOSE(CONTROL!$C$42, 29, 29))/1000000</f>
        <v>3.9874999999999998</v>
      </c>
      <c r="W146" s="57">
        <f>(1000*CHOOSE(CONTROL!$C$42, 0.1146, 0.1146)*CHOOSE(CONTROL!$C$42, 121.5, 121.5)*CHOOSE(CONTROL!$C$42, 29, 29))/1000000</f>
        <v>0.40379309999999996</v>
      </c>
      <c r="X146" s="57">
        <f>(29*0.1790888*100000/1000000)+(29*0.2374*100000/1000000)</f>
        <v>1.2078175199999999</v>
      </c>
      <c r="Y146" s="57"/>
      <c r="Z146" s="14"/>
      <c r="AA146" s="56"/>
      <c r="AB146" s="50">
        <f>(B146*122.58+C146*297.941+D146*89.177+E146*40.302+F146*40+G146*160+H146*0+I146*100+J146*300)/(122.58+297.941+89.177+40.302+0+40+160+100+300)</f>
        <v>9.0830966325217393</v>
      </c>
      <c r="AC146" s="45">
        <f>(M146*'RAP TEMPLATE-GAS AVAILABILITY'!O145+N146*'RAP TEMPLATE-GAS AVAILABILITY'!P145+O146*'RAP TEMPLATE-GAS AVAILABILITY'!Q145+P146*'RAP TEMPLATE-GAS AVAILABILITY'!R145)/('RAP TEMPLATE-GAS AVAILABILITY'!O145+'RAP TEMPLATE-GAS AVAILABILITY'!P145+'RAP TEMPLATE-GAS AVAILABILITY'!Q145+'RAP TEMPLATE-GAS AVAILABILITY'!R145)</f>
        <v>8.9401158273381292</v>
      </c>
    </row>
    <row r="147" spans="1:29" ht="15.75" x14ac:dyDescent="0.25">
      <c r="A147" s="13">
        <v>45352</v>
      </c>
      <c r="B147" s="14">
        <f>CHOOSE(CONTROL!$C$42, 8.816, 8.816) * CHOOSE(CONTROL!$C$21, $C$9, 100%, $E$9)</f>
        <v>8.8160000000000007</v>
      </c>
      <c r="C147" s="14">
        <f>CHOOSE(CONTROL!$C$42, 8.8211, 8.8211) * CHOOSE(CONTROL!$C$21, $C$9, 100%, $E$9)</f>
        <v>8.8210999999999995</v>
      </c>
      <c r="D147" s="14">
        <f>CHOOSE(CONTROL!$C$42, 8.8979, 8.8979) * CHOOSE(CONTROL!$C$21, $C$9, 100%, $E$9)</f>
        <v>8.8978999999999999</v>
      </c>
      <c r="E147" s="14">
        <f>CHOOSE(CONTROL!$C$42, 8.932, 8.932) * CHOOSE(CONTROL!$C$21, $C$9, 100%, $E$9)</f>
        <v>8.9320000000000004</v>
      </c>
      <c r="F147" s="14">
        <f>CHOOSE(CONTROL!$C$42, 8.8395, 8.8395)*CHOOSE(CONTROL!$C$21, $C$9, 100%, $E$9)</f>
        <v>8.8394999999999992</v>
      </c>
      <c r="G147" s="14">
        <f>CHOOSE(CONTROL!$C$42, 8.8571, 8.8571)*CHOOSE(CONTROL!$C$21, $C$9, 100%, $E$9)</f>
        <v>8.8571000000000009</v>
      </c>
      <c r="H147" s="14">
        <f>CHOOSE(CONTROL!$C$42, 8.9212, 8.9212) * CHOOSE(CONTROL!$C$21, $C$9, 100%, $E$9)</f>
        <v>8.9212000000000007</v>
      </c>
      <c r="I147" s="14">
        <f>CHOOSE(CONTROL!$C$42, 8.8774, 8.8774)* CHOOSE(CONTROL!$C$21, $C$9, 100%, $E$9)</f>
        <v>8.8773999999999997</v>
      </c>
      <c r="J147" s="14">
        <f>CHOOSE(CONTROL!$C$42, 8.8325, 8.8325)* CHOOSE(CONTROL!$C$21, $C$9, 100%, $E$9)</f>
        <v>8.8324999999999996</v>
      </c>
      <c r="K147" s="53">
        <f>CHOOSE(CONTROL!$C$42, 8.8735, 8.8735) * CHOOSE(CONTROL!$C$21, $C$9, 100%, $E$9)</f>
        <v>8.8734999999999999</v>
      </c>
      <c r="L147" s="14">
        <f>CHOOSE(CONTROL!$C$42, 9.5082, 9.5082) * CHOOSE(CONTROL!$C$21, $C$9, 100%, $E$9)</f>
        <v>9.5082000000000004</v>
      </c>
      <c r="M147" s="14">
        <f>CHOOSE(CONTROL!$C$42, 8.6592, 8.6592) * CHOOSE(CONTROL!$C$21, $C$9, 100%, $E$9)</f>
        <v>8.6592000000000002</v>
      </c>
      <c r="N147" s="14">
        <f>CHOOSE(CONTROL!$C$42, 8.6765, 8.6765) * CHOOSE(CONTROL!$C$21, $C$9, 100%, $E$9)</f>
        <v>8.6765000000000008</v>
      </c>
      <c r="O147" s="14">
        <f>CHOOSE(CONTROL!$C$42, 8.7461, 8.7461) * CHOOSE(CONTROL!$C$21, $C$9, 100%, $E$9)</f>
        <v>8.7461000000000002</v>
      </c>
      <c r="P147" s="14">
        <f>CHOOSE(CONTROL!$C$42, 8.7027, 8.7027) * CHOOSE(CONTROL!$C$21, $C$9, 100%, $E$9)</f>
        <v>8.7027000000000001</v>
      </c>
      <c r="Q147" s="14">
        <f>CHOOSE(CONTROL!$C$42, 9.3408, 9.3408) * CHOOSE(CONTROL!$C$21, $C$9, 100%, $E$9)</f>
        <v>9.3407999999999998</v>
      </c>
      <c r="R147" s="14">
        <f>CHOOSE(CONTROL!$C$42, 9.9512, 9.9512) * CHOOSE(CONTROL!$C$21, $C$9, 100%, $E$9)</f>
        <v>9.9512</v>
      </c>
      <c r="S147" s="14">
        <f>CHOOSE(CONTROL!$C$42, 8.4628, 8.4628) * CHOOSE(CONTROL!$C$21, $C$9, 100%, $E$9)</f>
        <v>8.4627999999999997</v>
      </c>
      <c r="T1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47" s="57">
        <f>(1000*CHOOSE(CONTROL!$C$42, 695, 695)*CHOOSE(CONTROL!$C$42, 0.5599, 0.5599)*CHOOSE(CONTROL!$C$42, 31, 31))/1000000</f>
        <v>12.063045499999998</v>
      </c>
      <c r="V147" s="57">
        <f>(1000*CHOOSE(CONTROL!$C$42, 500, 500)*CHOOSE(CONTROL!$C$42, 0.275, 0.275)*CHOOSE(CONTROL!$C$42, 31, 31))/1000000</f>
        <v>4.2625000000000002</v>
      </c>
      <c r="W147" s="57">
        <f>(1000*CHOOSE(CONTROL!$C$42, 0.1146, 0.1146)*CHOOSE(CONTROL!$C$42, 121.5, 121.5)*CHOOSE(CONTROL!$C$42, 31, 31))/1000000</f>
        <v>0.43164089999999994</v>
      </c>
      <c r="X147" s="57">
        <f>(31*0.1790888*100000/1000000)+(31*0.2374*100000/1000000)</f>
        <v>1.2911152800000001</v>
      </c>
      <c r="Y147" s="57"/>
      <c r="Z147" s="14"/>
      <c r="AA147" s="56"/>
      <c r="AB147" s="50">
        <f>(B147*122.58+C147*297.941+D147*89.177+E147*40.302+F147*40+G147*160+H147*0+I147*100+J147*300)/(122.58+297.941+89.177+40.302+0+40+160+100+300)</f>
        <v>8.8439166325217382</v>
      </c>
      <c r="AC147" s="45">
        <f>(M147*'RAP TEMPLATE-GAS AVAILABILITY'!O146+N147*'RAP TEMPLATE-GAS AVAILABILITY'!P146+O147*'RAP TEMPLATE-GAS AVAILABILITY'!Q146+P147*'RAP TEMPLATE-GAS AVAILABILITY'!R146)/('RAP TEMPLATE-GAS AVAILABILITY'!O146+'RAP TEMPLATE-GAS AVAILABILITY'!P146+'RAP TEMPLATE-GAS AVAILABILITY'!Q146+'RAP TEMPLATE-GAS AVAILABILITY'!R146)</f>
        <v>8.7058410071942465</v>
      </c>
    </row>
    <row r="148" spans="1:29" ht="15.75" x14ac:dyDescent="0.25">
      <c r="A148" s="13">
        <v>45383</v>
      </c>
      <c r="B148" s="14">
        <f>CHOOSE(CONTROL!$C$42, 8.8088, 8.8088) * CHOOSE(CONTROL!$C$21, $C$9, 100%, $E$9)</f>
        <v>8.8087999999999997</v>
      </c>
      <c r="C148" s="14">
        <f>CHOOSE(CONTROL!$C$42, 8.8133, 8.8133) * CHOOSE(CONTROL!$C$21, $C$9, 100%, $E$9)</f>
        <v>8.8132999999999999</v>
      </c>
      <c r="D148" s="14">
        <f>CHOOSE(CONTROL!$C$42, 9.037, 9.037) * CHOOSE(CONTROL!$C$21, $C$9, 100%, $E$9)</f>
        <v>9.0370000000000008</v>
      </c>
      <c r="E148" s="14">
        <f>CHOOSE(CONTROL!$C$42, 9.0691, 9.0691) * CHOOSE(CONTROL!$C$21, $C$9, 100%, $E$9)</f>
        <v>9.0691000000000006</v>
      </c>
      <c r="F148" s="14">
        <f>CHOOSE(CONTROL!$C$42, 8.8365, 8.8365)*CHOOSE(CONTROL!$C$21, $C$9, 100%, $E$9)</f>
        <v>8.8364999999999991</v>
      </c>
      <c r="G148" s="14">
        <f>CHOOSE(CONTROL!$C$42, 8.8534, 8.8534)*CHOOSE(CONTROL!$C$21, $C$9, 100%, $E$9)</f>
        <v>8.8534000000000006</v>
      </c>
      <c r="H148" s="14">
        <f>CHOOSE(CONTROL!$C$42, 9.0589, 9.0589) * CHOOSE(CONTROL!$C$21, $C$9, 100%, $E$9)</f>
        <v>9.0588999999999995</v>
      </c>
      <c r="I148" s="14">
        <f>CHOOSE(CONTROL!$C$42, 8.8656, 8.8656)* CHOOSE(CONTROL!$C$21, $C$9, 100%, $E$9)</f>
        <v>8.8656000000000006</v>
      </c>
      <c r="J148" s="14">
        <f>CHOOSE(CONTROL!$C$42, 8.8295, 8.8295)* CHOOSE(CONTROL!$C$21, $C$9, 100%, $E$9)</f>
        <v>8.8294999999999995</v>
      </c>
      <c r="K148" s="53">
        <f>CHOOSE(CONTROL!$C$42, 8.8618, 8.8618) * CHOOSE(CONTROL!$C$21, $C$9, 100%, $E$9)</f>
        <v>8.8618000000000006</v>
      </c>
      <c r="L148" s="14">
        <f>CHOOSE(CONTROL!$C$42, 9.6459, 9.6459) * CHOOSE(CONTROL!$C$21, $C$9, 100%, $E$9)</f>
        <v>9.6458999999999993</v>
      </c>
      <c r="M148" s="14">
        <f>CHOOSE(CONTROL!$C$42, 8.6562, 8.6562) * CHOOSE(CONTROL!$C$21, $C$9, 100%, $E$9)</f>
        <v>8.6562000000000001</v>
      </c>
      <c r="N148" s="14">
        <f>CHOOSE(CONTROL!$C$42, 8.6728, 8.6728) * CHOOSE(CONTROL!$C$21, $C$9, 100%, $E$9)</f>
        <v>8.6728000000000005</v>
      </c>
      <c r="O148" s="14">
        <f>CHOOSE(CONTROL!$C$42, 8.881, 8.881) * CHOOSE(CONTROL!$C$21, $C$9, 100%, $E$9)</f>
        <v>8.8810000000000002</v>
      </c>
      <c r="P148" s="14">
        <f>CHOOSE(CONTROL!$C$42, 8.6912, 8.6912) * CHOOSE(CONTROL!$C$21, $C$9, 100%, $E$9)</f>
        <v>8.6912000000000003</v>
      </c>
      <c r="Q148" s="14">
        <f>CHOOSE(CONTROL!$C$42, 9.4757, 9.4757) * CHOOSE(CONTROL!$C$21, $C$9, 100%, $E$9)</f>
        <v>9.4756999999999998</v>
      </c>
      <c r="R148" s="14">
        <f>CHOOSE(CONTROL!$C$42, 10.0863, 10.0863) * CHOOSE(CONTROL!$C$21, $C$9, 100%, $E$9)</f>
        <v>10.0863</v>
      </c>
      <c r="S148" s="14">
        <f>CHOOSE(CONTROL!$C$42, 8.4551, 8.4551) * CHOOSE(CONTROL!$C$21, $C$9, 100%, $E$9)</f>
        <v>8.4550999999999998</v>
      </c>
      <c r="T1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48" s="57">
        <f>(1000*CHOOSE(CONTROL!$C$42, 695, 695)*CHOOSE(CONTROL!$C$42, 0.5599, 0.5599)*CHOOSE(CONTROL!$C$42, 30, 30))/1000000</f>
        <v>11.673914999999997</v>
      </c>
      <c r="V148" s="57">
        <f>(1000*CHOOSE(CONTROL!$C$42, 500, 500)*CHOOSE(CONTROL!$C$42, 0.275, 0.275)*CHOOSE(CONTROL!$C$42, 30, 30))/1000000</f>
        <v>4.125</v>
      </c>
      <c r="W148" s="57">
        <f>(1000*CHOOSE(CONTROL!$C$42, 0.1146, 0.1146)*CHOOSE(CONTROL!$C$42, 121.5, 121.5)*CHOOSE(CONTROL!$C$42, 30, 30))/1000000</f>
        <v>0.417717</v>
      </c>
      <c r="X148" s="57">
        <f>(30*0.1790888*245000/1000000)+(30*0.2374*100000/1000000)</f>
        <v>2.0285026799999999</v>
      </c>
      <c r="Y148" s="57"/>
      <c r="Z148" s="14"/>
      <c r="AA148" s="56"/>
      <c r="AB148" s="50">
        <f>(B148*141.293+C148*267.993+D148*115.016+E148*89.698+F148*40+G148*185+H148*0+I148*100+J148*300)/(141.293+267.993+115.016+89.698+0+40+185+100+300)</f>
        <v>8.8669517426150133</v>
      </c>
      <c r="AC148" s="45">
        <f>(M148*'RAP TEMPLATE-GAS AVAILABILITY'!O147+N148*'RAP TEMPLATE-GAS AVAILABILITY'!P147+O148*'RAP TEMPLATE-GAS AVAILABILITY'!Q147+P148*'RAP TEMPLATE-GAS AVAILABILITY'!R147)/('RAP TEMPLATE-GAS AVAILABILITY'!O147+'RAP TEMPLATE-GAS AVAILABILITY'!P147+'RAP TEMPLATE-GAS AVAILABILITY'!Q147+'RAP TEMPLATE-GAS AVAILABILITY'!R147)</f>
        <v>8.7281309352517997</v>
      </c>
    </row>
    <row r="149" spans="1:29" ht="15.75" x14ac:dyDescent="0.25">
      <c r="A149" s="13">
        <v>45413</v>
      </c>
      <c r="B149" s="14">
        <f>CHOOSE(CONTROL!$C$42, 8.9061, 8.9061) * CHOOSE(CONTROL!$C$21, $C$9, 100%, $E$9)</f>
        <v>8.9061000000000003</v>
      </c>
      <c r="C149" s="14">
        <f>CHOOSE(CONTROL!$C$42, 8.9141, 8.9141) * CHOOSE(CONTROL!$C$21, $C$9, 100%, $E$9)</f>
        <v>8.9140999999999995</v>
      </c>
      <c r="D149" s="14">
        <f>CHOOSE(CONTROL!$C$42, 9.1347, 9.1347) * CHOOSE(CONTROL!$C$21, $C$9, 100%, $E$9)</f>
        <v>9.1347000000000005</v>
      </c>
      <c r="E149" s="14">
        <f>CHOOSE(CONTROL!$C$42, 9.1662, 9.1662) * CHOOSE(CONTROL!$C$21, $C$9, 100%, $E$9)</f>
        <v>9.1661999999999999</v>
      </c>
      <c r="F149" s="14">
        <f>CHOOSE(CONTROL!$C$42, 8.9324, 8.9324)*CHOOSE(CONTROL!$C$21, $C$9, 100%, $E$9)</f>
        <v>8.9323999999999995</v>
      </c>
      <c r="G149" s="14">
        <f>CHOOSE(CONTROL!$C$42, 8.9495, 8.9495)*CHOOSE(CONTROL!$C$21, $C$9, 100%, $E$9)</f>
        <v>8.9495000000000005</v>
      </c>
      <c r="H149" s="14">
        <f>CHOOSE(CONTROL!$C$42, 9.1548, 9.1548) * CHOOSE(CONTROL!$C$21, $C$9, 100%, $E$9)</f>
        <v>9.1547999999999998</v>
      </c>
      <c r="I149" s="14">
        <f>CHOOSE(CONTROL!$C$42, 8.9619, 8.9619)* CHOOSE(CONTROL!$C$21, $C$9, 100%, $E$9)</f>
        <v>8.9619</v>
      </c>
      <c r="J149" s="14">
        <f>CHOOSE(CONTROL!$C$42, 8.9254, 8.9254)* CHOOSE(CONTROL!$C$21, $C$9, 100%, $E$9)</f>
        <v>8.9253999999999998</v>
      </c>
      <c r="K149" s="53">
        <f>CHOOSE(CONTROL!$C$42, 8.958, 8.958) * CHOOSE(CONTROL!$C$21, $C$9, 100%, $E$9)</f>
        <v>8.9580000000000002</v>
      </c>
      <c r="L149" s="14">
        <f>CHOOSE(CONTROL!$C$42, 9.7418, 9.7418) * CHOOSE(CONTROL!$C$21, $C$9, 100%, $E$9)</f>
        <v>9.7417999999999996</v>
      </c>
      <c r="M149" s="14">
        <f>CHOOSE(CONTROL!$C$42, 8.7502, 8.7502) * CHOOSE(CONTROL!$C$21, $C$9, 100%, $E$9)</f>
        <v>8.7501999999999995</v>
      </c>
      <c r="N149" s="14">
        <f>CHOOSE(CONTROL!$C$42, 8.767, 8.767) * CHOOSE(CONTROL!$C$21, $C$9, 100%, $E$9)</f>
        <v>8.7669999999999995</v>
      </c>
      <c r="O149" s="14">
        <f>CHOOSE(CONTROL!$C$42, 8.9749, 8.9749) * CHOOSE(CONTROL!$C$21, $C$9, 100%, $E$9)</f>
        <v>8.9748999999999999</v>
      </c>
      <c r="P149" s="14">
        <f>CHOOSE(CONTROL!$C$42, 8.7855, 8.7855) * CHOOSE(CONTROL!$C$21, $C$9, 100%, $E$9)</f>
        <v>8.7855000000000008</v>
      </c>
      <c r="Q149" s="14">
        <f>CHOOSE(CONTROL!$C$42, 9.5696, 9.5696) * CHOOSE(CONTROL!$C$21, $C$9, 100%, $E$9)</f>
        <v>9.5695999999999994</v>
      </c>
      <c r="R149" s="14">
        <f>CHOOSE(CONTROL!$C$42, 10.1805, 10.1805) * CHOOSE(CONTROL!$C$21, $C$9, 100%, $E$9)</f>
        <v>10.1805</v>
      </c>
      <c r="S149" s="14">
        <f>CHOOSE(CONTROL!$C$42, 8.5472, 8.5472) * CHOOSE(CONTROL!$C$21, $C$9, 100%, $E$9)</f>
        <v>8.5472000000000001</v>
      </c>
      <c r="T1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49" s="57">
        <f>(1000*CHOOSE(CONTROL!$C$42, 695, 695)*CHOOSE(CONTROL!$C$42, 0.5599, 0.5599)*CHOOSE(CONTROL!$C$42, 31, 31))/1000000</f>
        <v>12.063045499999998</v>
      </c>
      <c r="V149" s="57">
        <f>(1000*CHOOSE(CONTROL!$C$42, 500, 500)*CHOOSE(CONTROL!$C$42, 0.275, 0.275)*CHOOSE(CONTROL!$C$42, 31, 31))/1000000</f>
        <v>4.2625000000000002</v>
      </c>
      <c r="W149" s="57">
        <f>(1000*CHOOSE(CONTROL!$C$42, 0.1146, 0.1146)*CHOOSE(CONTROL!$C$42, 121.5, 121.5)*CHOOSE(CONTROL!$C$42, 31, 31))/1000000</f>
        <v>0.43164089999999994</v>
      </c>
      <c r="X149" s="57">
        <f>(31*0.1790888*245000/1000000)+(31*0.2374*100000/1000000)</f>
        <v>2.0961194359999999</v>
      </c>
      <c r="Y149" s="57"/>
      <c r="Z149" s="14"/>
      <c r="AA149" s="56"/>
      <c r="AB149" s="50">
        <f>(B149*194.205+C149*267.466+D149*133.845+E149*53.484+F149*40+G149*185+H149*0+I149*100+J149*300)/(194.205+267.466+133.845+53.484+0+40+185+100+300)</f>
        <v>8.9587678833594993</v>
      </c>
      <c r="AC149" s="45">
        <f>(M149*'RAP TEMPLATE-GAS AVAILABILITY'!O148+N149*'RAP TEMPLATE-GAS AVAILABILITY'!P148+O149*'RAP TEMPLATE-GAS AVAILABILITY'!Q148+P149*'RAP TEMPLATE-GAS AVAILABILITY'!R148)/('RAP TEMPLATE-GAS AVAILABILITY'!O148+'RAP TEMPLATE-GAS AVAILABILITY'!P148+'RAP TEMPLATE-GAS AVAILABILITY'!Q148+'RAP TEMPLATE-GAS AVAILABILITY'!R148)</f>
        <v>8.8221920863309347</v>
      </c>
    </row>
    <row r="150" spans="1:29" ht="15.75" x14ac:dyDescent="0.25">
      <c r="A150" s="13">
        <v>45444</v>
      </c>
      <c r="B150" s="14">
        <f>CHOOSE(CONTROL!$C$42, 9.1772, 9.1772) * CHOOSE(CONTROL!$C$21, $C$9, 100%, $E$9)</f>
        <v>9.1771999999999991</v>
      </c>
      <c r="C150" s="14">
        <f>CHOOSE(CONTROL!$C$42, 9.1853, 9.1853) * CHOOSE(CONTROL!$C$21, $C$9, 100%, $E$9)</f>
        <v>9.1852999999999998</v>
      </c>
      <c r="D150" s="14">
        <f>CHOOSE(CONTROL!$C$42, 9.4058, 9.4058) * CHOOSE(CONTROL!$C$21, $C$9, 100%, $E$9)</f>
        <v>9.4057999999999993</v>
      </c>
      <c r="E150" s="14">
        <f>CHOOSE(CONTROL!$C$42, 9.4373, 9.4373) * CHOOSE(CONTROL!$C$21, $C$9, 100%, $E$9)</f>
        <v>9.4373000000000005</v>
      </c>
      <c r="F150" s="14">
        <f>CHOOSE(CONTROL!$C$42, 9.2038, 9.2038)*CHOOSE(CONTROL!$C$21, $C$9, 100%, $E$9)</f>
        <v>9.2037999999999993</v>
      </c>
      <c r="G150" s="14">
        <f>CHOOSE(CONTROL!$C$42, 9.2211, 9.2211)*CHOOSE(CONTROL!$C$21, $C$9, 100%, $E$9)</f>
        <v>9.2210999999999999</v>
      </c>
      <c r="H150" s="14">
        <f>CHOOSE(CONTROL!$C$42, 9.4259, 9.4259) * CHOOSE(CONTROL!$C$21, $C$9, 100%, $E$9)</f>
        <v>9.4259000000000004</v>
      </c>
      <c r="I150" s="14">
        <f>CHOOSE(CONTROL!$C$42, 9.2339, 9.2339)* CHOOSE(CONTROL!$C$21, $C$9, 100%, $E$9)</f>
        <v>9.2339000000000002</v>
      </c>
      <c r="J150" s="14">
        <f>CHOOSE(CONTROL!$C$42, 9.1968, 9.1968)* CHOOSE(CONTROL!$C$21, $C$9, 100%, $E$9)</f>
        <v>9.1967999999999996</v>
      </c>
      <c r="K150" s="53">
        <f>CHOOSE(CONTROL!$C$42, 9.23, 9.23) * CHOOSE(CONTROL!$C$21, $C$9, 100%, $E$9)</f>
        <v>9.23</v>
      </c>
      <c r="L150" s="14">
        <f>CHOOSE(CONTROL!$C$42, 10.0129, 10.0129) * CHOOSE(CONTROL!$C$21, $C$9, 100%, $E$9)</f>
        <v>10.0129</v>
      </c>
      <c r="M150" s="14">
        <f>CHOOSE(CONTROL!$C$42, 9.0161, 9.0161) * CHOOSE(CONTROL!$C$21, $C$9, 100%, $E$9)</f>
        <v>9.0160999999999998</v>
      </c>
      <c r="N150" s="14">
        <f>CHOOSE(CONTROL!$C$42, 9.033, 9.033) * CHOOSE(CONTROL!$C$21, $C$9, 100%, $E$9)</f>
        <v>9.0329999999999995</v>
      </c>
      <c r="O150" s="14">
        <f>CHOOSE(CONTROL!$C$42, 9.2405, 9.2405) * CHOOSE(CONTROL!$C$21, $C$9, 100%, $E$9)</f>
        <v>9.2405000000000008</v>
      </c>
      <c r="P150" s="14">
        <f>CHOOSE(CONTROL!$C$42, 9.0519, 9.0519) * CHOOSE(CONTROL!$C$21, $C$9, 100%, $E$9)</f>
        <v>9.0518999999999998</v>
      </c>
      <c r="Q150" s="14">
        <f>CHOOSE(CONTROL!$C$42, 9.8352, 9.8352) * CHOOSE(CONTROL!$C$21, $C$9, 100%, $E$9)</f>
        <v>9.8352000000000004</v>
      </c>
      <c r="R150" s="14">
        <f>CHOOSE(CONTROL!$C$42, 10.4468, 10.4468) * CHOOSE(CONTROL!$C$21, $C$9, 100%, $E$9)</f>
        <v>10.4468</v>
      </c>
      <c r="S150" s="14">
        <f>CHOOSE(CONTROL!$C$42, 8.8078, 8.8078) * CHOOSE(CONTROL!$C$21, $C$9, 100%, $E$9)</f>
        <v>8.8078000000000003</v>
      </c>
      <c r="T1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50" s="57">
        <f>(1000*CHOOSE(CONTROL!$C$42, 695, 695)*CHOOSE(CONTROL!$C$42, 0.5599, 0.5599)*CHOOSE(CONTROL!$C$42, 30, 30))/1000000</f>
        <v>11.673914999999997</v>
      </c>
      <c r="V150" s="57">
        <f>(1000*CHOOSE(CONTROL!$C$42, 500, 500)*CHOOSE(CONTROL!$C$42, 0.275, 0.275)*CHOOSE(CONTROL!$C$42, 30, 30))/1000000</f>
        <v>4.125</v>
      </c>
      <c r="W150" s="57">
        <f>(1000*CHOOSE(CONTROL!$C$42, 0.1146, 0.1146)*CHOOSE(CONTROL!$C$42, 121.5, 121.5)*CHOOSE(CONTROL!$C$42, 30, 30))/1000000</f>
        <v>0.417717</v>
      </c>
      <c r="X150" s="57">
        <f>(30*0.1790888*245000/1000000)+(30*0.2374*100000/1000000)</f>
        <v>2.0285026799999999</v>
      </c>
      <c r="Y150" s="57"/>
      <c r="Z150" s="14"/>
      <c r="AA150" s="56"/>
      <c r="AB150" s="50">
        <f>(B150*194.205+C150*267.466+D150*133.845+E150*53.484+F150*40+G150*185+H150*0+I150*100+J150*300)/(194.205+267.466+133.845+53.484+0+40+185+100+300)</f>
        <v>9.2301121899529033</v>
      </c>
      <c r="AC150" s="45">
        <f>(M150*'RAP TEMPLATE-GAS AVAILABILITY'!O149+N150*'RAP TEMPLATE-GAS AVAILABILITY'!P149+O150*'RAP TEMPLATE-GAS AVAILABILITY'!Q149+P150*'RAP TEMPLATE-GAS AVAILABILITY'!R149)/('RAP TEMPLATE-GAS AVAILABILITY'!O149+'RAP TEMPLATE-GAS AVAILABILITY'!P149+'RAP TEMPLATE-GAS AVAILABILITY'!Q149+'RAP TEMPLATE-GAS AVAILABILITY'!R149)</f>
        <v>9.0881028776978408</v>
      </c>
    </row>
    <row r="151" spans="1:29" ht="15.75" x14ac:dyDescent="0.25">
      <c r="A151" s="13">
        <v>45474</v>
      </c>
      <c r="B151" s="14">
        <f>CHOOSE(CONTROL!$C$42, 9.0199, 9.0199) * CHOOSE(CONTROL!$C$21, $C$9, 100%, $E$9)</f>
        <v>9.0198999999999998</v>
      </c>
      <c r="C151" s="14">
        <f>CHOOSE(CONTROL!$C$42, 9.0279, 9.0279) * CHOOSE(CONTROL!$C$21, $C$9, 100%, $E$9)</f>
        <v>9.0279000000000007</v>
      </c>
      <c r="D151" s="14">
        <f>CHOOSE(CONTROL!$C$42, 9.2485, 9.2485) * CHOOSE(CONTROL!$C$21, $C$9, 100%, $E$9)</f>
        <v>9.2484999999999999</v>
      </c>
      <c r="E151" s="14">
        <f>CHOOSE(CONTROL!$C$42, 9.28, 9.28) * CHOOSE(CONTROL!$C$21, $C$9, 100%, $E$9)</f>
        <v>9.2799999999999994</v>
      </c>
      <c r="F151" s="14">
        <f>CHOOSE(CONTROL!$C$42, 9.047, 9.047)*CHOOSE(CONTROL!$C$21, $C$9, 100%, $E$9)</f>
        <v>9.0470000000000006</v>
      </c>
      <c r="G151" s="14">
        <f>CHOOSE(CONTROL!$C$42, 9.0643, 9.0643)*CHOOSE(CONTROL!$C$21, $C$9, 100%, $E$9)</f>
        <v>9.0642999999999994</v>
      </c>
      <c r="H151" s="14">
        <f>CHOOSE(CONTROL!$C$42, 9.2686, 9.2686) * CHOOSE(CONTROL!$C$21, $C$9, 100%, $E$9)</f>
        <v>9.2685999999999993</v>
      </c>
      <c r="I151" s="14">
        <f>CHOOSE(CONTROL!$C$42, 9.0761, 9.0761)* CHOOSE(CONTROL!$C$21, $C$9, 100%, $E$9)</f>
        <v>9.0761000000000003</v>
      </c>
      <c r="J151" s="14">
        <f>CHOOSE(CONTROL!$C$42, 9.04, 9.04)* CHOOSE(CONTROL!$C$21, $C$9, 100%, $E$9)</f>
        <v>9.0399999999999991</v>
      </c>
      <c r="K151" s="53">
        <f>CHOOSE(CONTROL!$C$42, 9.0722, 9.0722) * CHOOSE(CONTROL!$C$21, $C$9, 100%, $E$9)</f>
        <v>9.0722000000000005</v>
      </c>
      <c r="L151" s="14">
        <f>CHOOSE(CONTROL!$C$42, 9.8556, 9.8556) * CHOOSE(CONTROL!$C$21, $C$9, 100%, $E$9)</f>
        <v>9.8556000000000008</v>
      </c>
      <c r="M151" s="14">
        <f>CHOOSE(CONTROL!$C$42, 8.8625, 8.8625) * CHOOSE(CONTROL!$C$21, $C$9, 100%, $E$9)</f>
        <v>8.8625000000000007</v>
      </c>
      <c r="N151" s="14">
        <f>CHOOSE(CONTROL!$C$42, 8.8794, 8.8794) * CHOOSE(CONTROL!$C$21, $C$9, 100%, $E$9)</f>
        <v>8.8794000000000004</v>
      </c>
      <c r="O151" s="14">
        <f>CHOOSE(CONTROL!$C$42, 9.0864, 9.0864) * CHOOSE(CONTROL!$C$21, $C$9, 100%, $E$9)</f>
        <v>9.0863999999999994</v>
      </c>
      <c r="P151" s="14">
        <f>CHOOSE(CONTROL!$C$42, 8.8973, 8.8973) * CHOOSE(CONTROL!$C$21, $C$9, 100%, $E$9)</f>
        <v>8.8972999999999995</v>
      </c>
      <c r="Q151" s="14">
        <f>CHOOSE(CONTROL!$C$42, 9.6811, 9.6811) * CHOOSE(CONTROL!$C$21, $C$9, 100%, $E$9)</f>
        <v>9.6811000000000007</v>
      </c>
      <c r="R151" s="14">
        <f>CHOOSE(CONTROL!$C$42, 10.2923, 10.2923) * CHOOSE(CONTROL!$C$21, $C$9, 100%, $E$9)</f>
        <v>10.292299999999999</v>
      </c>
      <c r="S151" s="14">
        <f>CHOOSE(CONTROL!$C$42, 8.6566, 8.6566) * CHOOSE(CONTROL!$C$21, $C$9, 100%, $E$9)</f>
        <v>8.6565999999999992</v>
      </c>
      <c r="T1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51" s="57">
        <f>(1000*CHOOSE(CONTROL!$C$42, 695, 695)*CHOOSE(CONTROL!$C$42, 0.5599, 0.5599)*CHOOSE(CONTROL!$C$42, 31, 31))/1000000</f>
        <v>12.063045499999998</v>
      </c>
      <c r="V151" s="57">
        <f>(1000*CHOOSE(CONTROL!$C$42, 500, 500)*CHOOSE(CONTROL!$C$42, 0.275, 0.275)*CHOOSE(CONTROL!$C$42, 31, 31))/1000000</f>
        <v>4.2625000000000002</v>
      </c>
      <c r="W151" s="57">
        <f>(1000*CHOOSE(CONTROL!$C$42, 0.1146, 0.1146)*CHOOSE(CONTROL!$C$42, 121.5, 121.5)*CHOOSE(CONTROL!$C$42, 31, 31))/1000000</f>
        <v>0.43164089999999994</v>
      </c>
      <c r="X151" s="57">
        <f>(31*0.1790888*245000/1000000)+(31*0.2374*100000/1000000)</f>
        <v>2.0961194359999999</v>
      </c>
      <c r="Y151" s="57"/>
      <c r="Z151" s="14"/>
      <c r="AA151" s="56"/>
      <c r="AB151" s="50">
        <f>(B151*194.205+C151*267.466+D151*133.845+E151*53.484+F151*40+G151*185+H151*0+I151*100+J151*300)/(194.205+267.466+133.845+53.484+0+40+185+100+300)</f>
        <v>9.0729579932496076</v>
      </c>
      <c r="AC151" s="45">
        <f>(M151*'RAP TEMPLATE-GAS AVAILABILITY'!O150+N151*'RAP TEMPLATE-GAS AVAILABILITY'!P150+O151*'RAP TEMPLATE-GAS AVAILABILITY'!Q150+P151*'RAP TEMPLATE-GAS AVAILABILITY'!R150)/('RAP TEMPLATE-GAS AVAILABILITY'!O150+'RAP TEMPLATE-GAS AVAILABILITY'!P150+'RAP TEMPLATE-GAS AVAILABILITY'!Q150+'RAP TEMPLATE-GAS AVAILABILITY'!R150)</f>
        <v>8.9342187050359705</v>
      </c>
    </row>
    <row r="152" spans="1:29" ht="15.75" x14ac:dyDescent="0.25">
      <c r="A152" s="13">
        <v>45505</v>
      </c>
      <c r="B152" s="14">
        <f>CHOOSE(CONTROL!$C$42, 8.5926, 8.5926) * CHOOSE(CONTROL!$C$21, $C$9, 100%, $E$9)</f>
        <v>8.5925999999999991</v>
      </c>
      <c r="C152" s="14">
        <f>CHOOSE(CONTROL!$C$42, 8.6006, 8.6006) * CHOOSE(CONTROL!$C$21, $C$9, 100%, $E$9)</f>
        <v>8.6006</v>
      </c>
      <c r="D152" s="14">
        <f>CHOOSE(CONTROL!$C$42, 8.8212, 8.8212) * CHOOSE(CONTROL!$C$21, $C$9, 100%, $E$9)</f>
        <v>8.8211999999999993</v>
      </c>
      <c r="E152" s="14">
        <f>CHOOSE(CONTROL!$C$42, 8.8527, 8.8527) * CHOOSE(CONTROL!$C$21, $C$9, 100%, $E$9)</f>
        <v>8.8527000000000005</v>
      </c>
      <c r="F152" s="14">
        <f>CHOOSE(CONTROL!$C$42, 8.62, 8.62)*CHOOSE(CONTROL!$C$21, $C$9, 100%, $E$9)</f>
        <v>8.6199999999999992</v>
      </c>
      <c r="G152" s="14">
        <f>CHOOSE(CONTROL!$C$42, 8.6374, 8.6374)*CHOOSE(CONTROL!$C$21, $C$9, 100%, $E$9)</f>
        <v>8.6373999999999995</v>
      </c>
      <c r="H152" s="14">
        <f>CHOOSE(CONTROL!$C$42, 8.8413, 8.8413) * CHOOSE(CONTROL!$C$21, $C$9, 100%, $E$9)</f>
        <v>8.8413000000000004</v>
      </c>
      <c r="I152" s="14">
        <f>CHOOSE(CONTROL!$C$42, 8.6474, 8.6474)* CHOOSE(CONTROL!$C$21, $C$9, 100%, $E$9)</f>
        <v>8.6473999999999993</v>
      </c>
      <c r="J152" s="14">
        <f>CHOOSE(CONTROL!$C$42, 8.613, 8.613)* CHOOSE(CONTROL!$C$21, $C$9, 100%, $E$9)</f>
        <v>8.6129999999999995</v>
      </c>
      <c r="K152" s="53">
        <f>CHOOSE(CONTROL!$C$42, 8.6435, 8.6435) * CHOOSE(CONTROL!$C$21, $C$9, 100%, $E$9)</f>
        <v>8.6434999999999995</v>
      </c>
      <c r="L152" s="14">
        <f>CHOOSE(CONTROL!$C$42, 9.4283, 9.4283) * CHOOSE(CONTROL!$C$21, $C$9, 100%, $E$9)</f>
        <v>9.4283000000000001</v>
      </c>
      <c r="M152" s="14">
        <f>CHOOSE(CONTROL!$C$42, 8.4442, 8.4442) * CHOOSE(CONTROL!$C$21, $C$9, 100%, $E$9)</f>
        <v>8.4442000000000004</v>
      </c>
      <c r="N152" s="14">
        <f>CHOOSE(CONTROL!$C$42, 8.4612, 8.4612) * CHOOSE(CONTROL!$C$21, $C$9, 100%, $E$9)</f>
        <v>8.4611999999999998</v>
      </c>
      <c r="O152" s="14">
        <f>CHOOSE(CONTROL!$C$42, 8.6679, 8.6679) * CHOOSE(CONTROL!$C$21, $C$9, 100%, $E$9)</f>
        <v>8.6678999999999995</v>
      </c>
      <c r="P152" s="14">
        <f>CHOOSE(CONTROL!$C$42, 8.4775, 8.4775) * CHOOSE(CONTROL!$C$21, $C$9, 100%, $E$9)</f>
        <v>8.4774999999999991</v>
      </c>
      <c r="Q152" s="14">
        <f>CHOOSE(CONTROL!$C$42, 9.2626, 9.2626) * CHOOSE(CONTROL!$C$21, $C$9, 100%, $E$9)</f>
        <v>9.2626000000000008</v>
      </c>
      <c r="R152" s="14">
        <f>CHOOSE(CONTROL!$C$42, 9.8727, 9.8727) * CHOOSE(CONTROL!$C$21, $C$9, 100%, $E$9)</f>
        <v>9.8727</v>
      </c>
      <c r="S152" s="14">
        <f>CHOOSE(CONTROL!$C$42, 8.246, 8.246) * CHOOSE(CONTROL!$C$21, $C$9, 100%, $E$9)</f>
        <v>8.2460000000000004</v>
      </c>
      <c r="T1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52" s="57">
        <f>(1000*CHOOSE(CONTROL!$C$42, 695, 695)*CHOOSE(CONTROL!$C$42, 0.5599, 0.5599)*CHOOSE(CONTROL!$C$42, 31, 31))/1000000</f>
        <v>12.063045499999998</v>
      </c>
      <c r="V152" s="57">
        <f>(1000*CHOOSE(CONTROL!$C$42, 500, 500)*CHOOSE(CONTROL!$C$42, 0.275, 0.275)*CHOOSE(CONTROL!$C$42, 31, 31))/1000000</f>
        <v>4.2625000000000002</v>
      </c>
      <c r="W152" s="57">
        <f>(1000*CHOOSE(CONTROL!$C$42, 0.1146, 0.1146)*CHOOSE(CONTROL!$C$42, 121.5, 121.5)*CHOOSE(CONTROL!$C$42, 31, 31))/1000000</f>
        <v>0.43164089999999994</v>
      </c>
      <c r="X152" s="57">
        <f>(31*0.1790888*245000/1000000)+(31*0.2374*100000/1000000)</f>
        <v>2.0961194359999999</v>
      </c>
      <c r="Y152" s="57"/>
      <c r="Z152" s="14"/>
      <c r="AA152" s="56"/>
      <c r="AB152" s="50">
        <f>(B152*194.205+C152*267.466+D152*133.845+E152*53.484+F152*40+G152*185+H152*0+I152*100+J152*300)/(194.205+267.466+133.845+53.484+0+40+185+100+300)</f>
        <v>8.6456862507064365</v>
      </c>
      <c r="AC152" s="45">
        <f>(M152*'RAP TEMPLATE-GAS AVAILABILITY'!O151+N152*'RAP TEMPLATE-GAS AVAILABILITY'!P151+O152*'RAP TEMPLATE-GAS AVAILABILITY'!Q151+P152*'RAP TEMPLATE-GAS AVAILABILITY'!R151)/('RAP TEMPLATE-GAS AVAILABILITY'!O151+'RAP TEMPLATE-GAS AVAILABILITY'!P151+'RAP TEMPLATE-GAS AVAILABILITY'!Q151+'RAP TEMPLATE-GAS AVAILABILITY'!R151)</f>
        <v>8.5156697841726618</v>
      </c>
    </row>
    <row r="153" spans="1:29" ht="15.75" x14ac:dyDescent="0.25">
      <c r="A153" s="13">
        <v>45536</v>
      </c>
      <c r="B153" s="14">
        <f>CHOOSE(CONTROL!$C$42, 8.0642, 8.0642) * CHOOSE(CONTROL!$C$21, $C$9, 100%, $E$9)</f>
        <v>8.0641999999999996</v>
      </c>
      <c r="C153" s="14">
        <f>CHOOSE(CONTROL!$C$42, 8.0722, 8.0722) * CHOOSE(CONTROL!$C$21, $C$9, 100%, $E$9)</f>
        <v>8.0722000000000005</v>
      </c>
      <c r="D153" s="14">
        <f>CHOOSE(CONTROL!$C$42, 8.2928, 8.2928) * CHOOSE(CONTROL!$C$21, $C$9, 100%, $E$9)</f>
        <v>8.2927999999999997</v>
      </c>
      <c r="E153" s="14">
        <f>CHOOSE(CONTROL!$C$42, 8.3242, 8.3242) * CHOOSE(CONTROL!$C$21, $C$9, 100%, $E$9)</f>
        <v>8.3241999999999994</v>
      </c>
      <c r="F153" s="14">
        <f>CHOOSE(CONTROL!$C$42, 8.0915, 8.0915)*CHOOSE(CONTROL!$C$21, $C$9, 100%, $E$9)</f>
        <v>8.0914999999999999</v>
      </c>
      <c r="G153" s="14">
        <f>CHOOSE(CONTROL!$C$42, 8.1089, 8.1089)*CHOOSE(CONTROL!$C$21, $C$9, 100%, $E$9)</f>
        <v>8.1089000000000002</v>
      </c>
      <c r="H153" s="14">
        <f>CHOOSE(CONTROL!$C$42, 8.3129, 8.3129) * CHOOSE(CONTROL!$C$21, $C$9, 100%, $E$9)</f>
        <v>8.3129000000000008</v>
      </c>
      <c r="I153" s="14">
        <f>CHOOSE(CONTROL!$C$42, 8.1173, 8.1173)* CHOOSE(CONTROL!$C$21, $C$9, 100%, $E$9)</f>
        <v>8.1173000000000002</v>
      </c>
      <c r="J153" s="14">
        <f>CHOOSE(CONTROL!$C$42, 8.0845, 8.0845)* CHOOSE(CONTROL!$C$21, $C$9, 100%, $E$9)</f>
        <v>8.0845000000000002</v>
      </c>
      <c r="K153" s="53">
        <f>CHOOSE(CONTROL!$C$42, 8.1134, 8.1134) * CHOOSE(CONTROL!$C$21, $C$9, 100%, $E$9)</f>
        <v>8.1134000000000004</v>
      </c>
      <c r="L153" s="14">
        <f>CHOOSE(CONTROL!$C$42, 8.8999, 8.8999) * CHOOSE(CONTROL!$C$21, $C$9, 100%, $E$9)</f>
        <v>8.8999000000000006</v>
      </c>
      <c r="M153" s="14">
        <f>CHOOSE(CONTROL!$C$42, 7.9266, 7.9266) * CHOOSE(CONTROL!$C$21, $C$9, 100%, $E$9)</f>
        <v>7.9265999999999996</v>
      </c>
      <c r="N153" s="14">
        <f>CHOOSE(CONTROL!$C$42, 7.9436, 7.9436) * CHOOSE(CONTROL!$C$21, $C$9, 100%, $E$9)</f>
        <v>7.9436</v>
      </c>
      <c r="O153" s="14">
        <f>CHOOSE(CONTROL!$C$42, 8.1502, 8.1502) * CHOOSE(CONTROL!$C$21, $C$9, 100%, $E$9)</f>
        <v>8.1501999999999999</v>
      </c>
      <c r="P153" s="14">
        <f>CHOOSE(CONTROL!$C$42, 7.9583, 7.9583) * CHOOSE(CONTROL!$C$21, $C$9, 100%, $E$9)</f>
        <v>7.9583000000000004</v>
      </c>
      <c r="Q153" s="14">
        <f>CHOOSE(CONTROL!$C$42, 8.7449, 8.7449) * CHOOSE(CONTROL!$C$21, $C$9, 100%, $E$9)</f>
        <v>8.7448999999999995</v>
      </c>
      <c r="R153" s="14">
        <f>CHOOSE(CONTROL!$C$42, 9.3538, 9.3538) * CHOOSE(CONTROL!$C$21, $C$9, 100%, $E$9)</f>
        <v>9.3537999999999997</v>
      </c>
      <c r="S153" s="14">
        <f>CHOOSE(CONTROL!$C$42, 7.7382, 7.7382) * CHOOSE(CONTROL!$C$21, $C$9, 100%, $E$9)</f>
        <v>7.7382</v>
      </c>
      <c r="T1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53" s="57">
        <f>(1000*CHOOSE(CONTROL!$C$42, 695, 695)*CHOOSE(CONTROL!$C$42, 0.5599, 0.5599)*CHOOSE(CONTROL!$C$42, 30, 30))/1000000</f>
        <v>11.673914999999997</v>
      </c>
      <c r="V153" s="57">
        <f>(1000*CHOOSE(CONTROL!$C$42, 500, 500)*CHOOSE(CONTROL!$C$42, 0.275, 0.275)*CHOOSE(CONTROL!$C$42, 30, 30))/1000000</f>
        <v>4.125</v>
      </c>
      <c r="W153" s="57">
        <f>(1000*CHOOSE(CONTROL!$C$42, 0.1146, 0.1146)*CHOOSE(CONTROL!$C$42, 121.5, 121.5)*CHOOSE(CONTROL!$C$42, 30, 30))/1000000</f>
        <v>0.417717</v>
      </c>
      <c r="X153" s="57">
        <f>(30*0.1790888*245000/1000000)+(30*0.2374*100000/1000000)</f>
        <v>2.0285026799999999</v>
      </c>
      <c r="Y153" s="57"/>
      <c r="Z153" s="14"/>
      <c r="AA153" s="56"/>
      <c r="AB153" s="50">
        <f>(B153*194.205+C153*267.466+D153*133.845+E153*53.484+F153*40+G153*185+H153*0+I153*100+J153*300)/(194.205+267.466+133.845+53.484+0+40+185+100+300)</f>
        <v>8.1171074058084773</v>
      </c>
      <c r="AC153" s="45">
        <f>(M153*'RAP TEMPLATE-GAS AVAILABILITY'!O152+N153*'RAP TEMPLATE-GAS AVAILABILITY'!P152+O153*'RAP TEMPLATE-GAS AVAILABILITY'!Q152+P153*'RAP TEMPLATE-GAS AVAILABILITY'!R152)/('RAP TEMPLATE-GAS AVAILABILITY'!O152+'RAP TEMPLATE-GAS AVAILABILITY'!P152+'RAP TEMPLATE-GAS AVAILABILITY'!Q152+'RAP TEMPLATE-GAS AVAILABILITY'!R152)</f>
        <v>7.997811510791367</v>
      </c>
    </row>
    <row r="154" spans="1:29" ht="15.75" x14ac:dyDescent="0.25">
      <c r="A154" s="13">
        <v>45566</v>
      </c>
      <c r="B154" s="14">
        <f>CHOOSE(CONTROL!$C$42, 7.9152, 7.9152) * CHOOSE(CONTROL!$C$21, $C$9, 100%, $E$9)</f>
        <v>7.9151999999999996</v>
      </c>
      <c r="C154" s="14">
        <f>CHOOSE(CONTROL!$C$42, 7.9205, 7.9205) * CHOOSE(CONTROL!$C$21, $C$9, 100%, $E$9)</f>
        <v>7.9204999999999997</v>
      </c>
      <c r="D154" s="14">
        <f>CHOOSE(CONTROL!$C$42, 8.146, 8.146) * CHOOSE(CONTROL!$C$21, $C$9, 100%, $E$9)</f>
        <v>8.1460000000000008</v>
      </c>
      <c r="E154" s="14">
        <f>CHOOSE(CONTROL!$C$42, 8.1752, 8.1752) * CHOOSE(CONTROL!$C$21, $C$9, 100%, $E$9)</f>
        <v>8.1752000000000002</v>
      </c>
      <c r="F154" s="14">
        <f>CHOOSE(CONTROL!$C$42, 7.9445, 7.9445)*CHOOSE(CONTROL!$C$21, $C$9, 100%, $E$9)</f>
        <v>7.9444999999999997</v>
      </c>
      <c r="G154" s="14">
        <f>CHOOSE(CONTROL!$C$42, 7.9618, 7.9618)*CHOOSE(CONTROL!$C$21, $C$9, 100%, $E$9)</f>
        <v>7.9618000000000002</v>
      </c>
      <c r="H154" s="14">
        <f>CHOOSE(CONTROL!$C$42, 8.1656, 8.1656) * CHOOSE(CONTROL!$C$21, $C$9, 100%, $E$9)</f>
        <v>8.1655999999999995</v>
      </c>
      <c r="I154" s="14">
        <f>CHOOSE(CONTROL!$C$42, 7.9696, 7.9696)* CHOOSE(CONTROL!$C$21, $C$9, 100%, $E$9)</f>
        <v>7.9695999999999998</v>
      </c>
      <c r="J154" s="14">
        <f>CHOOSE(CONTROL!$C$42, 7.9375, 7.9375)* CHOOSE(CONTROL!$C$21, $C$9, 100%, $E$9)</f>
        <v>7.9375</v>
      </c>
      <c r="K154" s="53">
        <f>CHOOSE(CONTROL!$C$42, 7.9657, 7.9657) * CHOOSE(CONTROL!$C$21, $C$9, 100%, $E$9)</f>
        <v>7.9657</v>
      </c>
      <c r="L154" s="14">
        <f>CHOOSE(CONTROL!$C$42, 8.7526, 8.7526) * CHOOSE(CONTROL!$C$21, $C$9, 100%, $E$9)</f>
        <v>8.7525999999999993</v>
      </c>
      <c r="M154" s="14">
        <f>CHOOSE(CONTROL!$C$42, 7.7826, 7.7826) * CHOOSE(CONTROL!$C$21, $C$9, 100%, $E$9)</f>
        <v>7.7826000000000004</v>
      </c>
      <c r="N154" s="14">
        <f>CHOOSE(CONTROL!$C$42, 7.7995, 7.7995) * CHOOSE(CONTROL!$C$21, $C$9, 100%, $E$9)</f>
        <v>7.7995000000000001</v>
      </c>
      <c r="O154" s="14">
        <f>CHOOSE(CONTROL!$C$42, 8.006, 8.006) * CHOOSE(CONTROL!$C$21, $C$9, 100%, $E$9)</f>
        <v>8.0060000000000002</v>
      </c>
      <c r="P154" s="14">
        <f>CHOOSE(CONTROL!$C$42, 7.8136, 7.8136) * CHOOSE(CONTROL!$C$21, $C$9, 100%, $E$9)</f>
        <v>7.8136000000000001</v>
      </c>
      <c r="Q154" s="14">
        <f>CHOOSE(CONTROL!$C$42, 8.6007, 8.6007) * CHOOSE(CONTROL!$C$21, $C$9, 100%, $E$9)</f>
        <v>8.6006999999999998</v>
      </c>
      <c r="R154" s="14">
        <f>CHOOSE(CONTROL!$C$42, 9.2092, 9.2092) * CHOOSE(CONTROL!$C$21, $C$9, 100%, $E$9)</f>
        <v>9.2091999999999992</v>
      </c>
      <c r="S154" s="14">
        <f>CHOOSE(CONTROL!$C$42, 7.5967, 7.5967) * CHOOSE(CONTROL!$C$21, $C$9, 100%, $E$9)</f>
        <v>7.5967000000000002</v>
      </c>
      <c r="T1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54" s="57">
        <f>(1000*CHOOSE(CONTROL!$C$42, 695, 695)*CHOOSE(CONTROL!$C$42, 0.5599, 0.5599)*CHOOSE(CONTROL!$C$42, 31, 31))/1000000</f>
        <v>12.063045499999998</v>
      </c>
      <c r="V154" s="57">
        <f>(1000*CHOOSE(CONTROL!$C$42, 500, 500)*CHOOSE(CONTROL!$C$42, 0.275, 0.275)*CHOOSE(CONTROL!$C$42, 31, 31))/1000000</f>
        <v>4.2625000000000002</v>
      </c>
      <c r="W154" s="57">
        <f>(1000*CHOOSE(CONTROL!$C$42, 0.1146, 0.1146)*CHOOSE(CONTROL!$C$42, 121.5, 121.5)*CHOOSE(CONTROL!$C$42, 31, 31))/1000000</f>
        <v>0.43164089999999994</v>
      </c>
      <c r="X154" s="57">
        <f>(31*0.1790888*245000/1000000)+(31*0.2374*100000/1000000)</f>
        <v>2.0961194359999999</v>
      </c>
      <c r="Y154" s="57"/>
      <c r="Z154" s="14"/>
      <c r="AA154" s="56"/>
      <c r="AB154" s="50">
        <f>(B154*131.881+C154*277.167+D154*79.08+E154*125.872+F154*40+G154*185+H154*0+I154*100+J154*300)/(131.881+277.167+79.08+125.872+0+40+185+100+300)</f>
        <v>7.9752245109765934</v>
      </c>
      <c r="AC154" s="45">
        <f>(M154*'RAP TEMPLATE-GAS AVAILABILITY'!O153+N154*'RAP TEMPLATE-GAS AVAILABILITY'!P153+O154*'RAP TEMPLATE-GAS AVAILABILITY'!Q153+P154*'RAP TEMPLATE-GAS AVAILABILITY'!R153)/('RAP TEMPLATE-GAS AVAILABILITY'!O153+'RAP TEMPLATE-GAS AVAILABILITY'!P153+'RAP TEMPLATE-GAS AVAILABILITY'!Q153+'RAP TEMPLATE-GAS AVAILABILITY'!R153)</f>
        <v>7.8536316546762599</v>
      </c>
    </row>
    <row r="155" spans="1:29" ht="15.75" x14ac:dyDescent="0.25">
      <c r="A155" s="13">
        <v>45597</v>
      </c>
      <c r="B155" s="14">
        <f>CHOOSE(CONTROL!$C$42, 8.1397, 8.1397) * CHOOSE(CONTROL!$C$21, $C$9, 100%, $E$9)</f>
        <v>8.1396999999999995</v>
      </c>
      <c r="C155" s="14">
        <f>CHOOSE(CONTROL!$C$42, 8.1448, 8.1448) * CHOOSE(CONTROL!$C$21, $C$9, 100%, $E$9)</f>
        <v>8.1448</v>
      </c>
      <c r="D155" s="14">
        <f>CHOOSE(CONTROL!$C$42, 8.219, 8.219) * CHOOSE(CONTROL!$C$21, $C$9, 100%, $E$9)</f>
        <v>8.2189999999999994</v>
      </c>
      <c r="E155" s="14">
        <f>CHOOSE(CONTROL!$C$42, 8.2531, 8.2531) * CHOOSE(CONTROL!$C$21, $C$9, 100%, $E$9)</f>
        <v>8.2530999999999999</v>
      </c>
      <c r="F155" s="14">
        <f>CHOOSE(CONTROL!$C$42, 8.1758, 8.1758)*CHOOSE(CONTROL!$C$21, $C$9, 100%, $E$9)</f>
        <v>8.1758000000000006</v>
      </c>
      <c r="G155" s="14">
        <f>CHOOSE(CONTROL!$C$42, 8.1933, 8.1933)*CHOOSE(CONTROL!$C$21, $C$9, 100%, $E$9)</f>
        <v>8.1933000000000007</v>
      </c>
      <c r="H155" s="14">
        <f>CHOOSE(CONTROL!$C$42, 8.2423, 8.2423) * CHOOSE(CONTROL!$C$21, $C$9, 100%, $E$9)</f>
        <v>8.2423000000000002</v>
      </c>
      <c r="I155" s="14">
        <f>CHOOSE(CONTROL!$C$42, 8.1927, 8.1927)* CHOOSE(CONTROL!$C$21, $C$9, 100%, $E$9)</f>
        <v>8.1927000000000003</v>
      </c>
      <c r="J155" s="14">
        <f>CHOOSE(CONTROL!$C$42, 8.1688, 8.1688)* CHOOSE(CONTROL!$C$21, $C$9, 100%, $E$9)</f>
        <v>8.1687999999999992</v>
      </c>
      <c r="K155" s="53">
        <f>CHOOSE(CONTROL!$C$42, 8.1888, 8.1888) * CHOOSE(CONTROL!$C$21, $C$9, 100%, $E$9)</f>
        <v>8.1888000000000005</v>
      </c>
      <c r="L155" s="14">
        <f>CHOOSE(CONTROL!$C$42, 8.8293, 8.8293) * CHOOSE(CONTROL!$C$21, $C$9, 100%, $E$9)</f>
        <v>8.8292999999999999</v>
      </c>
      <c r="M155" s="14">
        <f>CHOOSE(CONTROL!$C$42, 8.0091, 8.0091) * CHOOSE(CONTROL!$C$21, $C$9, 100%, $E$9)</f>
        <v>8.0091000000000001</v>
      </c>
      <c r="N155" s="14">
        <f>CHOOSE(CONTROL!$C$42, 8.0263, 8.0263) * CHOOSE(CONTROL!$C$21, $C$9, 100%, $E$9)</f>
        <v>8.0263000000000009</v>
      </c>
      <c r="O155" s="14">
        <f>CHOOSE(CONTROL!$C$42, 8.0811, 8.0811) * CHOOSE(CONTROL!$C$21, $C$9, 100%, $E$9)</f>
        <v>8.0810999999999993</v>
      </c>
      <c r="P155" s="14">
        <f>CHOOSE(CONTROL!$C$42, 8.0321, 8.0321) * CHOOSE(CONTROL!$C$21, $C$9, 100%, $E$9)</f>
        <v>8.0320999999999998</v>
      </c>
      <c r="Q155" s="14">
        <f>CHOOSE(CONTROL!$C$42, 8.6758, 8.6758) * CHOOSE(CONTROL!$C$21, $C$9, 100%, $E$9)</f>
        <v>8.6758000000000006</v>
      </c>
      <c r="R155" s="14">
        <f>CHOOSE(CONTROL!$C$42, 9.2845, 9.2845) * CHOOSE(CONTROL!$C$21, $C$9, 100%, $E$9)</f>
        <v>9.2844999999999995</v>
      </c>
      <c r="S155" s="14">
        <f>CHOOSE(CONTROL!$C$42, 7.8129, 7.8129) * CHOOSE(CONTROL!$C$21, $C$9, 100%, $E$9)</f>
        <v>7.8129</v>
      </c>
      <c r="T1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55" s="57">
        <f>(1000*CHOOSE(CONTROL!$C$42, 695, 695)*CHOOSE(CONTROL!$C$42, 0.5599, 0.5599)*CHOOSE(CONTROL!$C$42, 30, 30))/1000000</f>
        <v>11.673914999999997</v>
      </c>
      <c r="V155" s="57">
        <f>(1000*CHOOSE(CONTROL!$C$42, 500, 500)*CHOOSE(CONTROL!$C$42, 0.275, 0.275)*CHOOSE(CONTROL!$C$42, 30, 30))/1000000</f>
        <v>4.125</v>
      </c>
      <c r="W155" s="57">
        <f>(1000*CHOOSE(CONTROL!$C$42, 0.1146, 0.1146)*CHOOSE(CONTROL!$C$42, 121.5, 121.5)*CHOOSE(CONTROL!$C$42, 30, 30))/1000000</f>
        <v>0.417717</v>
      </c>
      <c r="X155" s="57">
        <f>(30*0.1790888*100000/1000000)+(30*0.2374*100000/1000000)</f>
        <v>1.2494664</v>
      </c>
      <c r="Y155" s="57"/>
      <c r="Z155" s="14"/>
      <c r="AA155" s="56"/>
      <c r="AB155" s="50">
        <f>(B155*122.58+C155*297.941+D155*89.177+E155*40.302+F155*40+G155*160+H155*0+I155*100+J155*300)/(122.58+297.941+89.177+40.302+0+40+160+100+300)</f>
        <v>8.172057810434783</v>
      </c>
      <c r="AC155" s="45">
        <f>(M155*'RAP TEMPLATE-GAS AVAILABILITY'!O154+N155*'RAP TEMPLATE-GAS AVAILABILITY'!P154+O155*'RAP TEMPLATE-GAS AVAILABILITY'!Q154+P155*'RAP TEMPLATE-GAS AVAILABILITY'!R154)/('RAP TEMPLATE-GAS AVAILABILITY'!O154+'RAP TEMPLATE-GAS AVAILABILITY'!P154+'RAP TEMPLATE-GAS AVAILABILITY'!Q154+'RAP TEMPLATE-GAS AVAILABILITY'!R154)</f>
        <v>8.0460323741007187</v>
      </c>
    </row>
    <row r="156" spans="1:29" ht="15.75" x14ac:dyDescent="0.25">
      <c r="A156" s="13">
        <v>45627</v>
      </c>
      <c r="B156" s="14">
        <f>CHOOSE(CONTROL!$C$42, 8.7119, 8.7119) * CHOOSE(CONTROL!$C$21, $C$9, 100%, $E$9)</f>
        <v>8.7119</v>
      </c>
      <c r="C156" s="14">
        <f>CHOOSE(CONTROL!$C$42, 8.717, 8.717) * CHOOSE(CONTROL!$C$21, $C$9, 100%, $E$9)</f>
        <v>8.7170000000000005</v>
      </c>
      <c r="D156" s="14">
        <f>CHOOSE(CONTROL!$C$42, 8.7912, 8.7912) * CHOOSE(CONTROL!$C$21, $C$9, 100%, $E$9)</f>
        <v>8.7911999999999999</v>
      </c>
      <c r="E156" s="14">
        <f>CHOOSE(CONTROL!$C$42, 8.8253, 8.8253) * CHOOSE(CONTROL!$C$21, $C$9, 100%, $E$9)</f>
        <v>8.8253000000000004</v>
      </c>
      <c r="F156" s="14">
        <f>CHOOSE(CONTROL!$C$42, 8.7503, 8.7503)*CHOOSE(CONTROL!$C$21, $C$9, 100%, $E$9)</f>
        <v>8.7502999999999993</v>
      </c>
      <c r="G156" s="14">
        <f>CHOOSE(CONTROL!$C$42, 8.7685, 8.7685)*CHOOSE(CONTROL!$C$21, $C$9, 100%, $E$9)</f>
        <v>8.7684999999999995</v>
      </c>
      <c r="H156" s="14">
        <f>CHOOSE(CONTROL!$C$42, 8.8145, 8.8145) * CHOOSE(CONTROL!$C$21, $C$9, 100%, $E$9)</f>
        <v>8.8145000000000007</v>
      </c>
      <c r="I156" s="14">
        <f>CHOOSE(CONTROL!$C$42, 8.7667, 8.7667)* CHOOSE(CONTROL!$C$21, $C$9, 100%, $E$9)</f>
        <v>8.7667000000000002</v>
      </c>
      <c r="J156" s="14">
        <f>CHOOSE(CONTROL!$C$42, 8.7433, 8.7433)* CHOOSE(CONTROL!$C$21, $C$9, 100%, $E$9)</f>
        <v>8.7432999999999996</v>
      </c>
      <c r="K156" s="53">
        <f>CHOOSE(CONTROL!$C$42, 8.7628, 8.7628) * CHOOSE(CONTROL!$C$21, $C$9, 100%, $E$9)</f>
        <v>8.7628000000000004</v>
      </c>
      <c r="L156" s="14">
        <f>CHOOSE(CONTROL!$C$42, 9.4015, 9.4015) * CHOOSE(CONTROL!$C$21, $C$9, 100%, $E$9)</f>
        <v>9.4015000000000004</v>
      </c>
      <c r="M156" s="14">
        <f>CHOOSE(CONTROL!$C$42, 8.5719, 8.5719) * CHOOSE(CONTROL!$C$21, $C$9, 100%, $E$9)</f>
        <v>8.5718999999999994</v>
      </c>
      <c r="N156" s="14">
        <f>CHOOSE(CONTROL!$C$42, 8.5896, 8.5896) * CHOOSE(CONTROL!$C$21, $C$9, 100%, $E$9)</f>
        <v>8.5896000000000008</v>
      </c>
      <c r="O156" s="14">
        <f>CHOOSE(CONTROL!$C$42, 8.6416, 8.6416) * CHOOSE(CONTROL!$C$21, $C$9, 100%, $E$9)</f>
        <v>8.6416000000000004</v>
      </c>
      <c r="P156" s="14">
        <f>CHOOSE(CONTROL!$C$42, 8.5943, 8.5943) * CHOOSE(CONTROL!$C$21, $C$9, 100%, $E$9)</f>
        <v>8.5943000000000005</v>
      </c>
      <c r="Q156" s="14">
        <f>CHOOSE(CONTROL!$C$42, 9.2363, 9.2363) * CHOOSE(CONTROL!$C$21, $C$9, 100%, $E$9)</f>
        <v>9.2363</v>
      </c>
      <c r="R156" s="14">
        <f>CHOOSE(CONTROL!$C$42, 9.8464, 9.8464) * CHOOSE(CONTROL!$C$21, $C$9, 100%, $E$9)</f>
        <v>9.8463999999999992</v>
      </c>
      <c r="S156" s="14">
        <f>CHOOSE(CONTROL!$C$42, 8.3627, 8.3627) * CHOOSE(CONTROL!$C$21, $C$9, 100%, $E$9)</f>
        <v>8.3627000000000002</v>
      </c>
      <c r="T1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56" s="57">
        <f>(1000*CHOOSE(CONTROL!$C$42, 695, 695)*CHOOSE(CONTROL!$C$42, 0.5599, 0.5599)*CHOOSE(CONTROL!$C$42, 31, 31))/1000000</f>
        <v>12.063045499999998</v>
      </c>
      <c r="V156" s="57">
        <f>(1000*CHOOSE(CONTROL!$C$42, 500, 500)*CHOOSE(CONTROL!$C$42, 0.275, 0.275)*CHOOSE(CONTROL!$C$42, 31, 31))/1000000</f>
        <v>4.2625000000000002</v>
      </c>
      <c r="W156" s="57">
        <f>(1000*CHOOSE(CONTROL!$C$42, 0.1146, 0.1146)*CHOOSE(CONTROL!$C$42, 121.5, 121.5)*CHOOSE(CONTROL!$C$42, 31, 31))/1000000</f>
        <v>0.43164089999999994</v>
      </c>
      <c r="X156" s="57">
        <f>(31*0.1790888*100000/1000000)+(31*0.2374*100000/1000000)</f>
        <v>1.2911152800000001</v>
      </c>
      <c r="Y156" s="57"/>
      <c r="Z156" s="14"/>
      <c r="AA156" s="56"/>
      <c r="AB156" s="50">
        <f>(B156*122.58+C156*297.941+D156*89.177+E156*40.302+F156*40+G156*160+H156*0+I156*100+J156*300)/(122.58+297.941+89.177+40.302+0+40+160+100+300)</f>
        <v>8.7455117234782609</v>
      </c>
      <c r="AC156" s="45">
        <f>(M156*'RAP TEMPLATE-GAS AVAILABILITY'!O155+N156*'RAP TEMPLATE-GAS AVAILABILITY'!P155+O156*'RAP TEMPLATE-GAS AVAILABILITY'!Q155+P156*'RAP TEMPLATE-GAS AVAILABILITY'!R155)/('RAP TEMPLATE-GAS AVAILABILITY'!O155+'RAP TEMPLATE-GAS AVAILABILITY'!P155+'RAP TEMPLATE-GAS AVAILABILITY'!Q155+'RAP TEMPLATE-GAS AVAILABILITY'!R155)</f>
        <v>8.6077323741007206</v>
      </c>
    </row>
    <row r="157" spans="1:29" ht="15.75" x14ac:dyDescent="0.25">
      <c r="A157" s="13">
        <v>45658</v>
      </c>
      <c r="B157" s="14">
        <f>CHOOSE(CONTROL!$C$42, 9.2538, 9.2538) * CHOOSE(CONTROL!$C$21, $C$9, 100%, $E$9)</f>
        <v>9.2538</v>
      </c>
      <c r="C157" s="14">
        <f>CHOOSE(CONTROL!$C$42, 9.2589, 9.2589) * CHOOSE(CONTROL!$C$21, $C$9, 100%, $E$9)</f>
        <v>9.2589000000000006</v>
      </c>
      <c r="D157" s="14">
        <f>CHOOSE(CONTROL!$C$42, 9.3357, 9.3357) * CHOOSE(CONTROL!$C$21, $C$9, 100%, $E$9)</f>
        <v>9.3356999999999992</v>
      </c>
      <c r="E157" s="14">
        <f>CHOOSE(CONTROL!$C$42, 9.3698, 9.3698) * CHOOSE(CONTROL!$C$21, $C$9, 100%, $E$9)</f>
        <v>9.3697999999999997</v>
      </c>
      <c r="F157" s="14">
        <f>CHOOSE(CONTROL!$C$42, 9.2785, 9.2785)*CHOOSE(CONTROL!$C$21, $C$9, 100%, $E$9)</f>
        <v>9.2784999999999993</v>
      </c>
      <c r="G157" s="14">
        <f>CHOOSE(CONTROL!$C$42, 9.2965, 9.2965)*CHOOSE(CONTROL!$C$21, $C$9, 100%, $E$9)</f>
        <v>9.2965</v>
      </c>
      <c r="H157" s="14">
        <f>CHOOSE(CONTROL!$C$42, 9.359, 9.359) * CHOOSE(CONTROL!$C$21, $C$9, 100%, $E$9)</f>
        <v>9.359</v>
      </c>
      <c r="I157" s="14">
        <f>CHOOSE(CONTROL!$C$42, 9.3165, 9.3165)* CHOOSE(CONTROL!$C$21, $C$9, 100%, $E$9)</f>
        <v>9.3164999999999996</v>
      </c>
      <c r="J157" s="14">
        <f>CHOOSE(CONTROL!$C$42, 9.2715, 9.2715)* CHOOSE(CONTROL!$C$21, $C$9, 100%, $E$9)</f>
        <v>9.2714999999999996</v>
      </c>
      <c r="K157" s="53">
        <f>CHOOSE(CONTROL!$C$42, 9.3126, 9.3126) * CHOOSE(CONTROL!$C$21, $C$9, 100%, $E$9)</f>
        <v>9.3125999999999998</v>
      </c>
      <c r="L157" s="14">
        <f>CHOOSE(CONTROL!$C$42, 9.946, 9.946) * CHOOSE(CONTROL!$C$21, $C$9, 100%, $E$9)</f>
        <v>9.9459999999999997</v>
      </c>
      <c r="M157" s="14">
        <f>CHOOSE(CONTROL!$C$42, 9.0893, 9.0893) * CHOOSE(CONTROL!$C$21, $C$9, 100%, $E$9)</f>
        <v>9.0892999999999997</v>
      </c>
      <c r="N157" s="14">
        <f>CHOOSE(CONTROL!$C$42, 9.1069, 9.1069) * CHOOSE(CONTROL!$C$21, $C$9, 100%, $E$9)</f>
        <v>9.1068999999999996</v>
      </c>
      <c r="O157" s="14">
        <f>CHOOSE(CONTROL!$C$42, 9.1749, 9.1749) * CHOOSE(CONTROL!$C$21, $C$9, 100%, $E$9)</f>
        <v>9.1748999999999992</v>
      </c>
      <c r="P157" s="14">
        <f>CHOOSE(CONTROL!$C$42, 9.1328, 9.1328) * CHOOSE(CONTROL!$C$21, $C$9, 100%, $E$9)</f>
        <v>9.1327999999999996</v>
      </c>
      <c r="Q157" s="14">
        <f>CHOOSE(CONTROL!$C$42, 9.7696, 9.7696) * CHOOSE(CONTROL!$C$21, $C$9, 100%, $E$9)</f>
        <v>9.7696000000000005</v>
      </c>
      <c r="R157" s="14">
        <f>CHOOSE(CONTROL!$C$42, 10.381, 10.381) * CHOOSE(CONTROL!$C$21, $C$9, 100%, $E$9)</f>
        <v>10.381</v>
      </c>
      <c r="S157" s="14">
        <f>CHOOSE(CONTROL!$C$42, 8.8834, 8.8834) * CHOOSE(CONTROL!$C$21, $C$9, 100%, $E$9)</f>
        <v>8.8834</v>
      </c>
      <c r="T1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57" s="57">
        <f>(1000*CHOOSE(CONTROL!$C$42, 695, 695)*CHOOSE(CONTROL!$C$42, 0.5599, 0.5599)*CHOOSE(CONTROL!$C$42, 31, 31))/1000000</f>
        <v>12.063045499999998</v>
      </c>
      <c r="V157" s="57">
        <f>(1000*CHOOSE(CONTROL!$C$42, 500, 500)*CHOOSE(CONTROL!$C$42, 0.275, 0.275)*CHOOSE(CONTROL!$C$42, 31, 31))/1000000</f>
        <v>4.2625000000000002</v>
      </c>
      <c r="W157" s="57">
        <f>(1000*CHOOSE(CONTROL!$C$42, 0.1146, 0.1146)*CHOOSE(CONTROL!$C$42, 121.5, 121.5)*CHOOSE(CONTROL!$C$42, 31, 31))/1000000</f>
        <v>0.43164089999999994</v>
      </c>
      <c r="X157" s="57">
        <f>(31*0.1790888*100000/1000000)+(31*0.2374*100000/1000000)</f>
        <v>1.2911152800000001</v>
      </c>
      <c r="Y157" s="57"/>
      <c r="Z157" s="14"/>
      <c r="AA157" s="56"/>
      <c r="AB157" s="50">
        <f>(B157*122.58+C157*297.941+D157*89.177+E157*40.302+F157*40+G157*160+H157*0+I157*100+J157*300)/(122.58+297.941+89.177+40.302+0+40+160+100+300)</f>
        <v>9.2824070673043462</v>
      </c>
      <c r="AC157" s="45">
        <f>(M157*'RAP TEMPLATE-GAS AVAILABILITY'!O156+N157*'RAP TEMPLATE-GAS AVAILABILITY'!P156+O157*'RAP TEMPLATE-GAS AVAILABILITY'!Q156+P157*'RAP TEMPLATE-GAS AVAILABILITY'!R156)/('RAP TEMPLATE-GAS AVAILABILITY'!O156+'RAP TEMPLATE-GAS AVAILABILITY'!P156+'RAP TEMPLATE-GAS AVAILABILITY'!Q156+'RAP TEMPLATE-GAS AVAILABILITY'!R156)</f>
        <v>9.1353690647482004</v>
      </c>
    </row>
    <row r="158" spans="1:29" ht="15.75" x14ac:dyDescent="0.25">
      <c r="A158" s="13">
        <v>45689</v>
      </c>
      <c r="B158" s="14">
        <f>CHOOSE(CONTROL!$C$42, 9.4377, 9.4377) * CHOOSE(CONTROL!$C$21, $C$9, 100%, $E$9)</f>
        <v>9.4376999999999995</v>
      </c>
      <c r="C158" s="14">
        <f>CHOOSE(CONTROL!$C$42, 9.4428, 9.4428) * CHOOSE(CONTROL!$C$21, $C$9, 100%, $E$9)</f>
        <v>9.4428000000000001</v>
      </c>
      <c r="D158" s="14">
        <f>CHOOSE(CONTROL!$C$42, 9.5196, 9.5196) * CHOOSE(CONTROL!$C$21, $C$9, 100%, $E$9)</f>
        <v>9.5196000000000005</v>
      </c>
      <c r="E158" s="14">
        <f>CHOOSE(CONTROL!$C$42, 9.5537, 9.5537) * CHOOSE(CONTROL!$C$21, $C$9, 100%, $E$9)</f>
        <v>9.5536999999999992</v>
      </c>
      <c r="F158" s="14">
        <f>CHOOSE(CONTROL!$C$42, 9.4621, 9.4621)*CHOOSE(CONTROL!$C$21, $C$9, 100%, $E$9)</f>
        <v>9.4620999999999995</v>
      </c>
      <c r="G158" s="14">
        <f>CHOOSE(CONTROL!$C$42, 9.4799, 9.4799)*CHOOSE(CONTROL!$C$21, $C$9, 100%, $E$9)</f>
        <v>9.4799000000000007</v>
      </c>
      <c r="H158" s="14">
        <f>CHOOSE(CONTROL!$C$42, 9.5429, 9.5429) * CHOOSE(CONTROL!$C$21, $C$9, 100%, $E$9)</f>
        <v>9.5428999999999995</v>
      </c>
      <c r="I158" s="14">
        <f>CHOOSE(CONTROL!$C$42, 9.501, 9.501)* CHOOSE(CONTROL!$C$21, $C$9, 100%, $E$9)</f>
        <v>9.5009999999999994</v>
      </c>
      <c r="J158" s="14">
        <f>CHOOSE(CONTROL!$C$42, 9.4551, 9.4551)* CHOOSE(CONTROL!$C$21, $C$9, 100%, $E$9)</f>
        <v>9.4550999999999998</v>
      </c>
      <c r="K158" s="53">
        <f>CHOOSE(CONTROL!$C$42, 9.4971, 9.4971) * CHOOSE(CONTROL!$C$21, $C$9, 100%, $E$9)</f>
        <v>9.4970999999999997</v>
      </c>
      <c r="L158" s="14">
        <f>CHOOSE(CONTROL!$C$42, 10.1299, 10.1299) * CHOOSE(CONTROL!$C$21, $C$9, 100%, $E$9)</f>
        <v>10.129899999999999</v>
      </c>
      <c r="M158" s="14">
        <f>CHOOSE(CONTROL!$C$42, 9.269, 9.269) * CHOOSE(CONTROL!$C$21, $C$9, 100%, $E$9)</f>
        <v>9.2690000000000001</v>
      </c>
      <c r="N158" s="14">
        <f>CHOOSE(CONTROL!$C$42, 9.2865, 9.2865) * CHOOSE(CONTROL!$C$21, $C$9, 100%, $E$9)</f>
        <v>9.2865000000000002</v>
      </c>
      <c r="O158" s="14">
        <f>CHOOSE(CONTROL!$C$42, 9.3551, 9.3551) * CHOOSE(CONTROL!$C$21, $C$9, 100%, $E$9)</f>
        <v>9.3551000000000002</v>
      </c>
      <c r="P158" s="14">
        <f>CHOOSE(CONTROL!$C$42, 9.3135, 9.3135) * CHOOSE(CONTROL!$C$21, $C$9, 100%, $E$9)</f>
        <v>9.3134999999999994</v>
      </c>
      <c r="Q158" s="14">
        <f>CHOOSE(CONTROL!$C$42, 9.9498, 9.9498) * CHOOSE(CONTROL!$C$21, $C$9, 100%, $E$9)</f>
        <v>9.9497999999999998</v>
      </c>
      <c r="R158" s="14">
        <f>CHOOSE(CONTROL!$C$42, 10.5617, 10.5617) * CHOOSE(CONTROL!$C$21, $C$9, 100%, $E$9)</f>
        <v>10.5617</v>
      </c>
      <c r="S158" s="14">
        <f>CHOOSE(CONTROL!$C$42, 9.0602, 9.0602) * CHOOSE(CONTROL!$C$21, $C$9, 100%, $E$9)</f>
        <v>9.0602</v>
      </c>
      <c r="T15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58" s="57">
        <f>(1000*CHOOSE(CONTROL!$C$42, 695, 695)*CHOOSE(CONTROL!$C$42, 0.5599, 0.5599)*CHOOSE(CONTROL!$C$42, 28, 28))/1000000</f>
        <v>10.895653999999999</v>
      </c>
      <c r="V158" s="57">
        <f>(1000*CHOOSE(CONTROL!$C$42, 500, 500)*CHOOSE(CONTROL!$C$42, 0.275, 0.275)*CHOOSE(CONTROL!$C$42, 28, 28))/1000000</f>
        <v>3.85</v>
      </c>
      <c r="W158" s="57">
        <f>(1000*CHOOSE(CONTROL!$C$42, 0.1146, 0.1146)*CHOOSE(CONTROL!$C$42, 121.5, 121.5)*CHOOSE(CONTROL!$C$42, 28, 28))/1000000</f>
        <v>0.38986920000000003</v>
      </c>
      <c r="X158" s="57">
        <f>(28*0.1790888*100000/1000000)+(28*0.2374*100000/1000000)</f>
        <v>1.16616864</v>
      </c>
      <c r="Y158" s="57"/>
      <c r="Z158" s="14"/>
      <c r="AA158" s="56"/>
      <c r="AB158" s="50">
        <f>(B158*122.58+C158*297.941+D158*89.177+E158*40.302+F158*40+G158*160+H158*0+I158*100+J158*300)/(122.58+297.941+89.177+40.302+0+40+160+100+300)</f>
        <v>9.4662009803478266</v>
      </c>
      <c r="AC158" s="45">
        <f>(M158*'RAP TEMPLATE-GAS AVAILABILITY'!O157+N158*'RAP TEMPLATE-GAS AVAILABILITY'!P157+O158*'RAP TEMPLATE-GAS AVAILABILITY'!Q157+P158*'RAP TEMPLATE-GAS AVAILABILITY'!R157)/('RAP TEMPLATE-GAS AVAILABILITY'!O157+'RAP TEMPLATE-GAS AVAILABILITY'!P157+'RAP TEMPLATE-GAS AVAILABILITY'!Q157+'RAP TEMPLATE-GAS AVAILABILITY'!R157)</f>
        <v>9.3154338129496406</v>
      </c>
    </row>
    <row r="159" spans="1:29" ht="15.75" x14ac:dyDescent="0.25">
      <c r="A159" s="13">
        <v>45717</v>
      </c>
      <c r="B159" s="14">
        <f>CHOOSE(CONTROL!$C$42, 9.1889, 9.1889) * CHOOSE(CONTROL!$C$21, $C$9, 100%, $E$9)</f>
        <v>9.1889000000000003</v>
      </c>
      <c r="C159" s="14">
        <f>CHOOSE(CONTROL!$C$42, 9.194, 9.194) * CHOOSE(CONTROL!$C$21, $C$9, 100%, $E$9)</f>
        <v>9.1940000000000008</v>
      </c>
      <c r="D159" s="14">
        <f>CHOOSE(CONTROL!$C$42, 9.2708, 9.2708) * CHOOSE(CONTROL!$C$21, $C$9, 100%, $E$9)</f>
        <v>9.2707999999999995</v>
      </c>
      <c r="E159" s="14">
        <f>CHOOSE(CONTROL!$C$42, 9.3049, 9.3049) * CHOOSE(CONTROL!$C$21, $C$9, 100%, $E$9)</f>
        <v>9.3048999999999999</v>
      </c>
      <c r="F159" s="14">
        <f>CHOOSE(CONTROL!$C$42, 9.2124, 9.2124)*CHOOSE(CONTROL!$C$21, $C$9, 100%, $E$9)</f>
        <v>9.2124000000000006</v>
      </c>
      <c r="G159" s="14">
        <f>CHOOSE(CONTROL!$C$42, 9.23, 9.23)*CHOOSE(CONTROL!$C$21, $C$9, 100%, $E$9)</f>
        <v>9.23</v>
      </c>
      <c r="H159" s="14">
        <f>CHOOSE(CONTROL!$C$42, 9.2941, 9.2941) * CHOOSE(CONTROL!$C$21, $C$9, 100%, $E$9)</f>
        <v>9.2941000000000003</v>
      </c>
      <c r="I159" s="14">
        <f>CHOOSE(CONTROL!$C$42, 9.2514, 9.2514)* CHOOSE(CONTROL!$C$21, $C$9, 100%, $E$9)</f>
        <v>9.2514000000000003</v>
      </c>
      <c r="J159" s="14">
        <f>CHOOSE(CONTROL!$C$42, 9.2054, 9.2054)* CHOOSE(CONTROL!$C$21, $C$9, 100%, $E$9)</f>
        <v>9.2053999999999991</v>
      </c>
      <c r="K159" s="53">
        <f>CHOOSE(CONTROL!$C$42, 9.2475, 9.2475) * CHOOSE(CONTROL!$C$21, $C$9, 100%, $E$9)</f>
        <v>9.2475000000000005</v>
      </c>
      <c r="L159" s="14">
        <f>CHOOSE(CONTROL!$C$42, 9.8811, 9.8811) * CHOOSE(CONTROL!$C$21, $C$9, 100%, $E$9)</f>
        <v>9.8811</v>
      </c>
      <c r="M159" s="14">
        <f>CHOOSE(CONTROL!$C$42, 9.0245, 9.0245) * CHOOSE(CONTROL!$C$21, $C$9, 100%, $E$9)</f>
        <v>9.0244999999999997</v>
      </c>
      <c r="N159" s="14">
        <f>CHOOSE(CONTROL!$C$42, 9.0418, 9.0418) * CHOOSE(CONTROL!$C$21, $C$9, 100%, $E$9)</f>
        <v>9.0418000000000003</v>
      </c>
      <c r="O159" s="14">
        <f>CHOOSE(CONTROL!$C$42, 9.1114, 9.1114) * CHOOSE(CONTROL!$C$21, $C$9, 100%, $E$9)</f>
        <v>9.1113999999999997</v>
      </c>
      <c r="P159" s="14">
        <f>CHOOSE(CONTROL!$C$42, 9.0691, 9.0691) * CHOOSE(CONTROL!$C$21, $C$9, 100%, $E$9)</f>
        <v>9.0691000000000006</v>
      </c>
      <c r="Q159" s="14">
        <f>CHOOSE(CONTROL!$C$42, 9.7061, 9.7061) * CHOOSE(CONTROL!$C$21, $C$9, 100%, $E$9)</f>
        <v>9.7060999999999993</v>
      </c>
      <c r="R159" s="14">
        <f>CHOOSE(CONTROL!$C$42, 10.3173, 10.3173) * CHOOSE(CONTROL!$C$21, $C$9, 100%, $E$9)</f>
        <v>10.317299999999999</v>
      </c>
      <c r="S159" s="14">
        <f>CHOOSE(CONTROL!$C$42, 8.8211, 8.8211) * CHOOSE(CONTROL!$C$21, $C$9, 100%, $E$9)</f>
        <v>8.8210999999999995</v>
      </c>
      <c r="T1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59" s="57">
        <f>(1000*CHOOSE(CONTROL!$C$42, 695, 695)*CHOOSE(CONTROL!$C$42, 0.5599, 0.5599)*CHOOSE(CONTROL!$C$42, 31, 31))/1000000</f>
        <v>12.063045499999998</v>
      </c>
      <c r="V159" s="57">
        <f>(1000*CHOOSE(CONTROL!$C$42, 500, 500)*CHOOSE(CONTROL!$C$42, 0.275, 0.275)*CHOOSE(CONTROL!$C$42, 31, 31))/1000000</f>
        <v>4.2625000000000002</v>
      </c>
      <c r="W159" s="57">
        <f>(1000*CHOOSE(CONTROL!$C$42, 0.1146, 0.1146)*CHOOSE(CONTROL!$C$42, 121.5, 121.5)*CHOOSE(CONTROL!$C$42, 31, 31))/1000000</f>
        <v>0.43164089999999994</v>
      </c>
      <c r="X159" s="57">
        <f>(31*0.1790888*100000/1000000)+(31*0.2374*100000/1000000)</f>
        <v>1.2911152800000001</v>
      </c>
      <c r="Y159" s="57"/>
      <c r="Z159" s="14"/>
      <c r="AA159" s="56"/>
      <c r="AB159" s="50">
        <f>(B159*122.58+C159*297.941+D159*89.177+E159*40.302+F159*40+G159*160+H159*0+I159*100+J159*300)/(122.58+297.941+89.177+40.302+0+40+160+100+300)</f>
        <v>9.2169122846956526</v>
      </c>
      <c r="AC159" s="45">
        <f>(M159*'RAP TEMPLATE-GAS AVAILABILITY'!O158+N159*'RAP TEMPLATE-GAS AVAILABILITY'!P158+O159*'RAP TEMPLATE-GAS AVAILABILITY'!Q158+P159*'RAP TEMPLATE-GAS AVAILABILITY'!R158)/('RAP TEMPLATE-GAS AVAILABILITY'!O158+'RAP TEMPLATE-GAS AVAILABILITY'!P158+'RAP TEMPLATE-GAS AVAILABILITY'!Q158+'RAP TEMPLATE-GAS AVAILABILITY'!R158)</f>
        <v>9.0712992805755395</v>
      </c>
    </row>
    <row r="160" spans="1:29" ht="15.75" x14ac:dyDescent="0.25">
      <c r="A160" s="13">
        <v>45748</v>
      </c>
      <c r="B160" s="14">
        <f>CHOOSE(CONTROL!$C$42, 9.1813, 9.1813) * CHOOSE(CONTROL!$C$21, $C$9, 100%, $E$9)</f>
        <v>9.1813000000000002</v>
      </c>
      <c r="C160" s="14">
        <f>CHOOSE(CONTROL!$C$42, 9.1858, 9.1858) * CHOOSE(CONTROL!$C$21, $C$9, 100%, $E$9)</f>
        <v>9.1858000000000004</v>
      </c>
      <c r="D160" s="14">
        <f>CHOOSE(CONTROL!$C$42, 9.4095, 9.4095) * CHOOSE(CONTROL!$C$21, $C$9, 100%, $E$9)</f>
        <v>9.4094999999999995</v>
      </c>
      <c r="E160" s="14">
        <f>CHOOSE(CONTROL!$C$42, 9.4416, 9.4416) * CHOOSE(CONTROL!$C$21, $C$9, 100%, $E$9)</f>
        <v>9.4415999999999993</v>
      </c>
      <c r="F160" s="14">
        <f>CHOOSE(CONTROL!$C$42, 9.209, 9.209)*CHOOSE(CONTROL!$C$21, $C$9, 100%, $E$9)</f>
        <v>9.2089999999999996</v>
      </c>
      <c r="G160" s="14">
        <f>CHOOSE(CONTROL!$C$42, 9.2259, 9.2259)*CHOOSE(CONTROL!$C$21, $C$9, 100%, $E$9)</f>
        <v>9.2258999999999993</v>
      </c>
      <c r="H160" s="14">
        <f>CHOOSE(CONTROL!$C$42, 9.4314, 9.4314) * CHOOSE(CONTROL!$C$21, $C$9, 100%, $E$9)</f>
        <v>9.4314</v>
      </c>
      <c r="I160" s="14">
        <f>CHOOSE(CONTROL!$C$42, 9.2394, 9.2394)* CHOOSE(CONTROL!$C$21, $C$9, 100%, $E$9)</f>
        <v>9.2393999999999998</v>
      </c>
      <c r="J160" s="14">
        <f>CHOOSE(CONTROL!$C$42, 9.202, 9.202)* CHOOSE(CONTROL!$C$21, $C$9, 100%, $E$9)</f>
        <v>9.202</v>
      </c>
      <c r="K160" s="53">
        <f>CHOOSE(CONTROL!$C$42, 9.2355, 9.2355) * CHOOSE(CONTROL!$C$21, $C$9, 100%, $E$9)</f>
        <v>9.2355</v>
      </c>
      <c r="L160" s="14">
        <f>CHOOSE(CONTROL!$C$42, 10.0184, 10.0184) * CHOOSE(CONTROL!$C$21, $C$9, 100%, $E$9)</f>
        <v>10.0184</v>
      </c>
      <c r="M160" s="14">
        <f>CHOOSE(CONTROL!$C$42, 9.0211, 9.0211) * CHOOSE(CONTROL!$C$21, $C$9, 100%, $E$9)</f>
        <v>9.0211000000000006</v>
      </c>
      <c r="N160" s="14">
        <f>CHOOSE(CONTROL!$C$42, 9.0377, 9.0377) * CHOOSE(CONTROL!$C$21, $C$9, 100%, $E$9)</f>
        <v>9.0376999999999992</v>
      </c>
      <c r="O160" s="14">
        <f>CHOOSE(CONTROL!$C$42, 9.2459, 9.2459) * CHOOSE(CONTROL!$C$21, $C$9, 100%, $E$9)</f>
        <v>9.2459000000000007</v>
      </c>
      <c r="P160" s="14">
        <f>CHOOSE(CONTROL!$C$42, 9.0572, 9.0572) * CHOOSE(CONTROL!$C$21, $C$9, 100%, $E$9)</f>
        <v>9.0571999999999999</v>
      </c>
      <c r="Q160" s="14">
        <f>CHOOSE(CONTROL!$C$42, 9.8406, 9.8406) * CHOOSE(CONTROL!$C$21, $C$9, 100%, $E$9)</f>
        <v>9.8406000000000002</v>
      </c>
      <c r="R160" s="14">
        <f>CHOOSE(CONTROL!$C$42, 10.4522, 10.4522) * CHOOSE(CONTROL!$C$21, $C$9, 100%, $E$9)</f>
        <v>10.452199999999999</v>
      </c>
      <c r="S160" s="14">
        <f>CHOOSE(CONTROL!$C$42, 8.813, 8.813) * CHOOSE(CONTROL!$C$21, $C$9, 100%, $E$9)</f>
        <v>8.8130000000000006</v>
      </c>
      <c r="T1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60" s="57">
        <f>(1000*CHOOSE(CONTROL!$C$42, 695, 695)*CHOOSE(CONTROL!$C$42, 0.5599, 0.5599)*CHOOSE(CONTROL!$C$42, 30, 30))/1000000</f>
        <v>11.673914999999997</v>
      </c>
      <c r="V160" s="57">
        <f>(1000*CHOOSE(CONTROL!$C$42, 500, 500)*CHOOSE(CONTROL!$C$42, 0.275, 0.275)*CHOOSE(CONTROL!$C$42, 30, 30))/1000000</f>
        <v>4.125</v>
      </c>
      <c r="W160" s="57">
        <f>(1000*CHOOSE(CONTROL!$C$42, 0.1146, 0.1146)*CHOOSE(CONTROL!$C$42, 121.5, 121.5)*CHOOSE(CONTROL!$C$42, 30, 30))/1000000</f>
        <v>0.417717</v>
      </c>
      <c r="X160" s="57">
        <f>(30*0.1790888*245000/1000000)+(30*0.2374*100000/1000000)</f>
        <v>2.0285026799999999</v>
      </c>
      <c r="Y160" s="57"/>
      <c r="Z160" s="14"/>
      <c r="AA160" s="56"/>
      <c r="AB160" s="50">
        <f>(B160*141.293+C160*267.993+D160*115.016+E160*89.698+F160*40+G160*185+H160*0+I160*100+J160*300)/(141.293+267.993+115.016+89.698+0+40+185+100+300)</f>
        <v>9.2395566659402739</v>
      </c>
      <c r="AC160" s="45">
        <f>(M160*'RAP TEMPLATE-GAS AVAILABILITY'!O159+N160*'RAP TEMPLATE-GAS AVAILABILITY'!P159+O160*'RAP TEMPLATE-GAS AVAILABILITY'!Q159+P160*'RAP TEMPLATE-GAS AVAILABILITY'!R159)/('RAP TEMPLATE-GAS AVAILABILITY'!O159+'RAP TEMPLATE-GAS AVAILABILITY'!P159+'RAP TEMPLATE-GAS AVAILABILITY'!Q159+'RAP TEMPLATE-GAS AVAILABILITY'!R159)</f>
        <v>9.0931892086330937</v>
      </c>
    </row>
    <row r="161" spans="1:29" ht="15.75" x14ac:dyDescent="0.25">
      <c r="A161" s="13">
        <v>45778</v>
      </c>
      <c r="B161" s="14">
        <f>CHOOSE(CONTROL!$C$42, 9.2827, 9.2827) * CHOOSE(CONTROL!$C$21, $C$9, 100%, $E$9)</f>
        <v>9.2827000000000002</v>
      </c>
      <c r="C161" s="14">
        <f>CHOOSE(CONTROL!$C$42, 9.2907, 9.2907) * CHOOSE(CONTROL!$C$21, $C$9, 100%, $E$9)</f>
        <v>9.2906999999999993</v>
      </c>
      <c r="D161" s="14">
        <f>CHOOSE(CONTROL!$C$42, 9.5113, 9.5113) * CHOOSE(CONTROL!$C$21, $C$9, 100%, $E$9)</f>
        <v>9.5113000000000003</v>
      </c>
      <c r="E161" s="14">
        <f>CHOOSE(CONTROL!$C$42, 9.5428, 9.5428) * CHOOSE(CONTROL!$C$21, $C$9, 100%, $E$9)</f>
        <v>9.5427999999999997</v>
      </c>
      <c r="F161" s="14">
        <f>CHOOSE(CONTROL!$C$42, 9.309, 9.309)*CHOOSE(CONTROL!$C$21, $C$9, 100%, $E$9)</f>
        <v>9.3089999999999993</v>
      </c>
      <c r="G161" s="14">
        <f>CHOOSE(CONTROL!$C$42, 9.3261, 9.3261)*CHOOSE(CONTROL!$C$21, $C$9, 100%, $E$9)</f>
        <v>9.3261000000000003</v>
      </c>
      <c r="H161" s="14">
        <f>CHOOSE(CONTROL!$C$42, 9.5314, 9.5314) * CHOOSE(CONTROL!$C$21, $C$9, 100%, $E$9)</f>
        <v>9.5313999999999997</v>
      </c>
      <c r="I161" s="14">
        <f>CHOOSE(CONTROL!$C$42, 9.3397, 9.3397)* CHOOSE(CONTROL!$C$21, $C$9, 100%, $E$9)</f>
        <v>9.3397000000000006</v>
      </c>
      <c r="J161" s="14">
        <f>CHOOSE(CONTROL!$C$42, 9.302, 9.302)* CHOOSE(CONTROL!$C$21, $C$9, 100%, $E$9)</f>
        <v>9.3019999999999996</v>
      </c>
      <c r="K161" s="53">
        <f>CHOOSE(CONTROL!$C$42, 9.3358, 9.3358) * CHOOSE(CONTROL!$C$21, $C$9, 100%, $E$9)</f>
        <v>9.3358000000000008</v>
      </c>
      <c r="L161" s="14">
        <f>CHOOSE(CONTROL!$C$42, 10.1184, 10.1184) * CHOOSE(CONTROL!$C$21, $C$9, 100%, $E$9)</f>
        <v>10.118399999999999</v>
      </c>
      <c r="M161" s="14">
        <f>CHOOSE(CONTROL!$C$42, 9.1191, 9.1191) * CHOOSE(CONTROL!$C$21, $C$9, 100%, $E$9)</f>
        <v>9.1190999999999995</v>
      </c>
      <c r="N161" s="14">
        <f>CHOOSE(CONTROL!$C$42, 9.1358, 9.1358) * CHOOSE(CONTROL!$C$21, $C$9, 100%, $E$9)</f>
        <v>9.1357999999999997</v>
      </c>
      <c r="O161" s="14">
        <f>CHOOSE(CONTROL!$C$42, 9.3438, 9.3438) * CHOOSE(CONTROL!$C$21, $C$9, 100%, $E$9)</f>
        <v>9.3437999999999999</v>
      </c>
      <c r="P161" s="14">
        <f>CHOOSE(CONTROL!$C$42, 9.1555, 9.1555) * CHOOSE(CONTROL!$C$21, $C$9, 100%, $E$9)</f>
        <v>9.1555</v>
      </c>
      <c r="Q161" s="14">
        <f>CHOOSE(CONTROL!$C$42, 9.9385, 9.9385) * CHOOSE(CONTROL!$C$21, $C$9, 100%, $E$9)</f>
        <v>9.9384999999999994</v>
      </c>
      <c r="R161" s="14">
        <f>CHOOSE(CONTROL!$C$42, 10.5504, 10.5504) * CHOOSE(CONTROL!$C$21, $C$9, 100%, $E$9)</f>
        <v>10.5504</v>
      </c>
      <c r="S161" s="14">
        <f>CHOOSE(CONTROL!$C$42, 8.9091, 8.9091) * CHOOSE(CONTROL!$C$21, $C$9, 100%, $E$9)</f>
        <v>8.9091000000000005</v>
      </c>
      <c r="T1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61" s="57">
        <f>(1000*CHOOSE(CONTROL!$C$42, 695, 695)*CHOOSE(CONTROL!$C$42, 0.5599, 0.5599)*CHOOSE(CONTROL!$C$42, 31, 31))/1000000</f>
        <v>12.063045499999998</v>
      </c>
      <c r="V161" s="57">
        <f>(1000*CHOOSE(CONTROL!$C$42, 500, 500)*CHOOSE(CONTROL!$C$42, 0.275, 0.275)*CHOOSE(CONTROL!$C$42, 31, 31))/1000000</f>
        <v>4.2625000000000002</v>
      </c>
      <c r="W161" s="57">
        <f>(1000*CHOOSE(CONTROL!$C$42, 0.1146, 0.1146)*CHOOSE(CONTROL!$C$42, 121.5, 121.5)*CHOOSE(CONTROL!$C$42, 31, 31))/1000000</f>
        <v>0.43164089999999994</v>
      </c>
      <c r="X161" s="57">
        <f>(31*0.1790888*245000/1000000)+(31*0.2374*100000/1000000)</f>
        <v>2.0961194359999999</v>
      </c>
      <c r="Y161" s="57"/>
      <c r="Z161" s="14"/>
      <c r="AA161" s="56"/>
      <c r="AB161" s="50">
        <f>(B161*194.205+C161*267.466+D161*133.845+E161*53.484+F161*40+G161*185+H161*0+I161*100+J161*300)/(194.205+267.466+133.845+53.484+0+40+185+100+300)</f>
        <v>9.3354620748822601</v>
      </c>
      <c r="AC161" s="45">
        <f>(M161*'RAP TEMPLATE-GAS AVAILABILITY'!O160+N161*'RAP TEMPLATE-GAS AVAILABILITY'!P160+O161*'RAP TEMPLATE-GAS AVAILABILITY'!Q160+P161*'RAP TEMPLATE-GAS AVAILABILITY'!R160)/('RAP TEMPLATE-GAS AVAILABILITY'!O160+'RAP TEMPLATE-GAS AVAILABILITY'!P160+'RAP TEMPLATE-GAS AVAILABILITY'!Q160+'RAP TEMPLATE-GAS AVAILABILITY'!R160)</f>
        <v>9.1912273381294973</v>
      </c>
    </row>
    <row r="162" spans="1:29" ht="15.75" x14ac:dyDescent="0.25">
      <c r="A162" s="13">
        <v>45809</v>
      </c>
      <c r="B162" s="14">
        <f>CHOOSE(CONTROL!$C$42, 9.5653, 9.5653) * CHOOSE(CONTROL!$C$21, $C$9, 100%, $E$9)</f>
        <v>9.5653000000000006</v>
      </c>
      <c r="C162" s="14">
        <f>CHOOSE(CONTROL!$C$42, 9.5733, 9.5733) * CHOOSE(CONTROL!$C$21, $C$9, 100%, $E$9)</f>
        <v>9.5732999999999997</v>
      </c>
      <c r="D162" s="14">
        <f>CHOOSE(CONTROL!$C$42, 9.7939, 9.7939) * CHOOSE(CONTROL!$C$21, $C$9, 100%, $E$9)</f>
        <v>9.7939000000000007</v>
      </c>
      <c r="E162" s="14">
        <f>CHOOSE(CONTROL!$C$42, 9.8254, 9.8254) * CHOOSE(CONTROL!$C$21, $C$9, 100%, $E$9)</f>
        <v>9.8254000000000001</v>
      </c>
      <c r="F162" s="14">
        <f>CHOOSE(CONTROL!$C$42, 9.5919, 9.5919)*CHOOSE(CONTROL!$C$21, $C$9, 100%, $E$9)</f>
        <v>9.5919000000000008</v>
      </c>
      <c r="G162" s="14">
        <f>CHOOSE(CONTROL!$C$42, 9.6091, 9.6091)*CHOOSE(CONTROL!$C$21, $C$9, 100%, $E$9)</f>
        <v>9.6090999999999998</v>
      </c>
      <c r="H162" s="14">
        <f>CHOOSE(CONTROL!$C$42, 9.814, 9.814) * CHOOSE(CONTROL!$C$21, $C$9, 100%, $E$9)</f>
        <v>9.8140000000000001</v>
      </c>
      <c r="I162" s="14">
        <f>CHOOSE(CONTROL!$C$42, 9.6232, 9.6232)* CHOOSE(CONTROL!$C$21, $C$9, 100%, $E$9)</f>
        <v>9.6232000000000006</v>
      </c>
      <c r="J162" s="14">
        <f>CHOOSE(CONTROL!$C$42, 9.5849, 9.5849)* CHOOSE(CONTROL!$C$21, $C$9, 100%, $E$9)</f>
        <v>9.5848999999999993</v>
      </c>
      <c r="K162" s="53">
        <f>CHOOSE(CONTROL!$C$42, 9.6193, 9.6193) * CHOOSE(CONTROL!$C$21, $C$9, 100%, $E$9)</f>
        <v>9.6193000000000008</v>
      </c>
      <c r="L162" s="14">
        <f>CHOOSE(CONTROL!$C$42, 10.401, 10.401) * CHOOSE(CONTROL!$C$21, $C$9, 100%, $E$9)</f>
        <v>10.401</v>
      </c>
      <c r="M162" s="14">
        <f>CHOOSE(CONTROL!$C$42, 9.3962, 9.3962) * CHOOSE(CONTROL!$C$21, $C$9, 100%, $E$9)</f>
        <v>9.3962000000000003</v>
      </c>
      <c r="N162" s="14">
        <f>CHOOSE(CONTROL!$C$42, 9.4131, 9.4131) * CHOOSE(CONTROL!$C$21, $C$9, 100%, $E$9)</f>
        <v>9.4131</v>
      </c>
      <c r="O162" s="14">
        <f>CHOOSE(CONTROL!$C$42, 9.6206, 9.6206) * CHOOSE(CONTROL!$C$21, $C$9, 100%, $E$9)</f>
        <v>9.6205999999999996</v>
      </c>
      <c r="P162" s="14">
        <f>CHOOSE(CONTROL!$C$42, 9.4332, 9.4332) * CHOOSE(CONTROL!$C$21, $C$9, 100%, $E$9)</f>
        <v>9.4331999999999994</v>
      </c>
      <c r="Q162" s="14">
        <f>CHOOSE(CONTROL!$C$42, 10.2153, 10.2153) * CHOOSE(CONTROL!$C$21, $C$9, 100%, $E$9)</f>
        <v>10.215299999999999</v>
      </c>
      <c r="R162" s="14">
        <f>CHOOSE(CONTROL!$C$42, 10.8279, 10.8279) * CHOOSE(CONTROL!$C$21, $C$9, 100%, $E$9)</f>
        <v>10.8279</v>
      </c>
      <c r="S162" s="14">
        <f>CHOOSE(CONTROL!$C$42, 9.1807, 9.1807) * CHOOSE(CONTROL!$C$21, $C$9, 100%, $E$9)</f>
        <v>9.1806999999999999</v>
      </c>
      <c r="T1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62" s="57">
        <f>(1000*CHOOSE(CONTROL!$C$42, 695, 695)*CHOOSE(CONTROL!$C$42, 0.5599, 0.5599)*CHOOSE(CONTROL!$C$42, 30, 30))/1000000</f>
        <v>11.673914999999997</v>
      </c>
      <c r="V162" s="57">
        <f>(1000*CHOOSE(CONTROL!$C$42, 500, 500)*CHOOSE(CONTROL!$C$42, 0.275, 0.275)*CHOOSE(CONTROL!$C$42, 30, 30))/1000000</f>
        <v>4.125</v>
      </c>
      <c r="W162" s="57">
        <f>(1000*CHOOSE(CONTROL!$C$42, 0.1146, 0.1146)*CHOOSE(CONTROL!$C$42, 121.5, 121.5)*CHOOSE(CONTROL!$C$42, 30, 30))/1000000</f>
        <v>0.417717</v>
      </c>
      <c r="X162" s="57">
        <f>(30*0.1790888*245000/1000000)+(30*0.2374*100000/1000000)</f>
        <v>2.0285026799999999</v>
      </c>
      <c r="Y162" s="57"/>
      <c r="Z162" s="14"/>
      <c r="AA162" s="56"/>
      <c r="AB162" s="50">
        <f>(B162*194.205+C162*267.466+D162*133.845+E162*53.484+F162*40+G162*185+H162*0+I162*100+J162*300)/(194.205+267.466+133.845+53.484+0+40+185+100+300)</f>
        <v>9.6182708660910521</v>
      </c>
      <c r="AC162" s="45">
        <f>(M162*'RAP TEMPLATE-GAS AVAILABILITY'!O161+N162*'RAP TEMPLATE-GAS AVAILABILITY'!P161+O162*'RAP TEMPLATE-GAS AVAILABILITY'!Q161+P162*'RAP TEMPLATE-GAS AVAILABILITY'!R161)/('RAP TEMPLATE-GAS AVAILABILITY'!O161+'RAP TEMPLATE-GAS AVAILABILITY'!P161+'RAP TEMPLATE-GAS AVAILABILITY'!Q161+'RAP TEMPLATE-GAS AVAILABILITY'!R161)</f>
        <v>9.4683755395683455</v>
      </c>
    </row>
    <row r="163" spans="1:29" ht="15.75" x14ac:dyDescent="0.25">
      <c r="A163" s="13">
        <v>45839</v>
      </c>
      <c r="B163" s="14">
        <f>CHOOSE(CONTROL!$C$42, 9.4013, 9.4013) * CHOOSE(CONTROL!$C$21, $C$9, 100%, $E$9)</f>
        <v>9.4013000000000009</v>
      </c>
      <c r="C163" s="14">
        <f>CHOOSE(CONTROL!$C$42, 9.4094, 9.4094) * CHOOSE(CONTROL!$C$21, $C$9, 100%, $E$9)</f>
        <v>9.4093999999999998</v>
      </c>
      <c r="D163" s="14">
        <f>CHOOSE(CONTROL!$C$42, 9.63, 9.63) * CHOOSE(CONTROL!$C$21, $C$9, 100%, $E$9)</f>
        <v>9.6300000000000008</v>
      </c>
      <c r="E163" s="14">
        <f>CHOOSE(CONTROL!$C$42, 9.6614, 9.6614) * CHOOSE(CONTROL!$C$21, $C$9, 100%, $E$9)</f>
        <v>9.6614000000000004</v>
      </c>
      <c r="F163" s="14">
        <f>CHOOSE(CONTROL!$C$42, 9.4284, 9.4284)*CHOOSE(CONTROL!$C$21, $C$9, 100%, $E$9)</f>
        <v>9.4283999999999999</v>
      </c>
      <c r="G163" s="14">
        <f>CHOOSE(CONTROL!$C$42, 9.4457, 9.4457)*CHOOSE(CONTROL!$C$21, $C$9, 100%, $E$9)</f>
        <v>9.4457000000000004</v>
      </c>
      <c r="H163" s="14">
        <f>CHOOSE(CONTROL!$C$42, 9.6501, 9.6501) * CHOOSE(CONTROL!$C$21, $C$9, 100%, $E$9)</f>
        <v>9.6501000000000001</v>
      </c>
      <c r="I163" s="14">
        <f>CHOOSE(CONTROL!$C$42, 9.4587, 9.4587)* CHOOSE(CONTROL!$C$21, $C$9, 100%, $E$9)</f>
        <v>9.4587000000000003</v>
      </c>
      <c r="J163" s="14">
        <f>CHOOSE(CONTROL!$C$42, 9.4214, 9.4214)* CHOOSE(CONTROL!$C$21, $C$9, 100%, $E$9)</f>
        <v>9.4214000000000002</v>
      </c>
      <c r="K163" s="53">
        <f>CHOOSE(CONTROL!$C$42, 9.4548, 9.4548) * CHOOSE(CONTROL!$C$21, $C$9, 100%, $E$9)</f>
        <v>9.4548000000000005</v>
      </c>
      <c r="L163" s="14">
        <f>CHOOSE(CONTROL!$C$42, 10.2371, 10.2371) * CHOOSE(CONTROL!$C$21, $C$9, 100%, $E$9)</f>
        <v>10.2371</v>
      </c>
      <c r="M163" s="14">
        <f>CHOOSE(CONTROL!$C$42, 9.2361, 9.2361) * CHOOSE(CONTROL!$C$21, $C$9, 100%, $E$9)</f>
        <v>9.2361000000000004</v>
      </c>
      <c r="N163" s="14">
        <f>CHOOSE(CONTROL!$C$42, 9.253, 9.253) * CHOOSE(CONTROL!$C$21, $C$9, 100%, $E$9)</f>
        <v>9.2530000000000001</v>
      </c>
      <c r="O163" s="14">
        <f>CHOOSE(CONTROL!$C$42, 9.46, 9.46) * CHOOSE(CONTROL!$C$21, $C$9, 100%, $E$9)</f>
        <v>9.4600000000000009</v>
      </c>
      <c r="P163" s="14">
        <f>CHOOSE(CONTROL!$C$42, 9.272, 9.272) * CHOOSE(CONTROL!$C$21, $C$9, 100%, $E$9)</f>
        <v>9.2720000000000002</v>
      </c>
      <c r="Q163" s="14">
        <f>CHOOSE(CONTROL!$C$42, 10.0547, 10.0547) * CHOOSE(CONTROL!$C$21, $C$9, 100%, $E$9)</f>
        <v>10.0547</v>
      </c>
      <c r="R163" s="14">
        <f>CHOOSE(CONTROL!$C$42, 10.6669, 10.6669) * CHOOSE(CONTROL!$C$21, $C$9, 100%, $E$9)</f>
        <v>10.6669</v>
      </c>
      <c r="S163" s="14">
        <f>CHOOSE(CONTROL!$C$42, 9.0231, 9.0231) * CHOOSE(CONTROL!$C$21, $C$9, 100%, $E$9)</f>
        <v>9.0230999999999995</v>
      </c>
      <c r="T1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63" s="57">
        <f>(1000*CHOOSE(CONTROL!$C$42, 695, 695)*CHOOSE(CONTROL!$C$42, 0.5599, 0.5599)*CHOOSE(CONTROL!$C$42, 31, 31))/1000000</f>
        <v>12.063045499999998</v>
      </c>
      <c r="V163" s="57">
        <f>(1000*CHOOSE(CONTROL!$C$42, 500, 500)*CHOOSE(CONTROL!$C$42, 0.275, 0.275)*CHOOSE(CONTROL!$C$42, 31, 31))/1000000</f>
        <v>4.2625000000000002</v>
      </c>
      <c r="W163" s="57">
        <f>(1000*CHOOSE(CONTROL!$C$42, 0.1146, 0.1146)*CHOOSE(CONTROL!$C$42, 121.5, 121.5)*CHOOSE(CONTROL!$C$42, 31, 31))/1000000</f>
        <v>0.43164089999999994</v>
      </c>
      <c r="X163" s="57">
        <f>(31*0.1790888*245000/1000000)+(31*0.2374*100000/1000000)</f>
        <v>2.0961194359999999</v>
      </c>
      <c r="Y163" s="57"/>
      <c r="Z163" s="14"/>
      <c r="AA163" s="56"/>
      <c r="AB163" s="50">
        <f>(B163*194.205+C163*267.466+D163*133.845+E163*53.484+F163*40+G163*185+H163*0+I163*100+J163*300)/(194.205+267.466+133.845+53.484+0+40+185+100+300)</f>
        <v>9.4544836848508655</v>
      </c>
      <c r="AC163" s="45">
        <f>(M163*'RAP TEMPLATE-GAS AVAILABILITY'!O162+N163*'RAP TEMPLATE-GAS AVAILABILITY'!P162+O163*'RAP TEMPLATE-GAS AVAILABILITY'!Q162+P163*'RAP TEMPLATE-GAS AVAILABILITY'!R162)/('RAP TEMPLATE-GAS AVAILABILITY'!O162+'RAP TEMPLATE-GAS AVAILABILITY'!P162+'RAP TEMPLATE-GAS AVAILABILITY'!Q162+'RAP TEMPLATE-GAS AVAILABILITY'!R162)</f>
        <v>9.3079769784172672</v>
      </c>
    </row>
    <row r="164" spans="1:29" ht="15.75" x14ac:dyDescent="0.25">
      <c r="A164" s="13">
        <v>45870</v>
      </c>
      <c r="B164" s="14">
        <f>CHOOSE(CONTROL!$C$42, 8.9559, 8.9559) * CHOOSE(CONTROL!$C$21, $C$9, 100%, $E$9)</f>
        <v>8.9558999999999997</v>
      </c>
      <c r="C164" s="14">
        <f>CHOOSE(CONTROL!$C$42, 8.964, 8.964) * CHOOSE(CONTROL!$C$21, $C$9, 100%, $E$9)</f>
        <v>8.9640000000000004</v>
      </c>
      <c r="D164" s="14">
        <f>CHOOSE(CONTROL!$C$42, 9.1846, 9.1846) * CHOOSE(CONTROL!$C$21, $C$9, 100%, $E$9)</f>
        <v>9.1845999999999997</v>
      </c>
      <c r="E164" s="14">
        <f>CHOOSE(CONTROL!$C$42, 9.216, 9.216) * CHOOSE(CONTROL!$C$21, $C$9, 100%, $E$9)</f>
        <v>9.2159999999999993</v>
      </c>
      <c r="F164" s="14">
        <f>CHOOSE(CONTROL!$C$42, 8.9833, 8.9833)*CHOOSE(CONTROL!$C$21, $C$9, 100%, $E$9)</f>
        <v>8.9832999999999998</v>
      </c>
      <c r="G164" s="14">
        <f>CHOOSE(CONTROL!$C$42, 9.0007, 9.0007)*CHOOSE(CONTROL!$C$21, $C$9, 100%, $E$9)</f>
        <v>9.0007000000000001</v>
      </c>
      <c r="H164" s="14">
        <f>CHOOSE(CONTROL!$C$42, 9.2046, 9.2046) * CHOOSE(CONTROL!$C$21, $C$9, 100%, $E$9)</f>
        <v>9.2045999999999992</v>
      </c>
      <c r="I164" s="14">
        <f>CHOOSE(CONTROL!$C$42, 9.0119, 9.0119)* CHOOSE(CONTROL!$C$21, $C$9, 100%, $E$9)</f>
        <v>9.0119000000000007</v>
      </c>
      <c r="J164" s="14">
        <f>CHOOSE(CONTROL!$C$42, 8.9763, 8.9763)* CHOOSE(CONTROL!$C$21, $C$9, 100%, $E$9)</f>
        <v>8.9763000000000002</v>
      </c>
      <c r="K164" s="53">
        <f>CHOOSE(CONTROL!$C$42, 9.008, 9.008) * CHOOSE(CONTROL!$C$21, $C$9, 100%, $E$9)</f>
        <v>9.0079999999999991</v>
      </c>
      <c r="L164" s="14">
        <f>CHOOSE(CONTROL!$C$42, 9.7916, 9.7916) * CHOOSE(CONTROL!$C$21, $C$9, 100%, $E$9)</f>
        <v>9.7916000000000007</v>
      </c>
      <c r="M164" s="14">
        <f>CHOOSE(CONTROL!$C$42, 8.8001, 8.8001) * CHOOSE(CONTROL!$C$21, $C$9, 100%, $E$9)</f>
        <v>8.8001000000000005</v>
      </c>
      <c r="N164" s="14">
        <f>CHOOSE(CONTROL!$C$42, 8.8171, 8.8171) * CHOOSE(CONTROL!$C$21, $C$9, 100%, $E$9)</f>
        <v>8.8170999999999999</v>
      </c>
      <c r="O164" s="14">
        <f>CHOOSE(CONTROL!$C$42, 9.0237, 9.0237) * CHOOSE(CONTROL!$C$21, $C$9, 100%, $E$9)</f>
        <v>9.0236999999999998</v>
      </c>
      <c r="P164" s="14">
        <f>CHOOSE(CONTROL!$C$42, 8.8344, 8.8344) * CHOOSE(CONTROL!$C$21, $C$9, 100%, $E$9)</f>
        <v>8.8344000000000005</v>
      </c>
      <c r="Q164" s="14">
        <f>CHOOSE(CONTROL!$C$42, 9.6184, 9.6184) * CHOOSE(CONTROL!$C$21, $C$9, 100%, $E$9)</f>
        <v>9.6183999999999994</v>
      </c>
      <c r="R164" s="14">
        <f>CHOOSE(CONTROL!$C$42, 10.2295, 10.2295) * CHOOSE(CONTROL!$C$21, $C$9, 100%, $E$9)</f>
        <v>10.2295</v>
      </c>
      <c r="S164" s="14">
        <f>CHOOSE(CONTROL!$C$42, 8.5951, 8.5951) * CHOOSE(CONTROL!$C$21, $C$9, 100%, $E$9)</f>
        <v>8.5951000000000004</v>
      </c>
      <c r="T1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64" s="57">
        <f>(1000*CHOOSE(CONTROL!$C$42, 695, 695)*CHOOSE(CONTROL!$C$42, 0.5599, 0.5599)*CHOOSE(CONTROL!$C$42, 31, 31))/1000000</f>
        <v>12.063045499999998</v>
      </c>
      <c r="V164" s="57">
        <f>(1000*CHOOSE(CONTROL!$C$42, 500, 500)*CHOOSE(CONTROL!$C$42, 0.275, 0.275)*CHOOSE(CONTROL!$C$42, 31, 31))/1000000</f>
        <v>4.2625000000000002</v>
      </c>
      <c r="W164" s="57">
        <f>(1000*CHOOSE(CONTROL!$C$42, 0.1146, 0.1146)*CHOOSE(CONTROL!$C$42, 121.5, 121.5)*CHOOSE(CONTROL!$C$42, 31, 31))/1000000</f>
        <v>0.43164089999999994</v>
      </c>
      <c r="X164" s="57">
        <f>(31*0.1790888*245000/1000000)+(31*0.2374*100000/1000000)</f>
        <v>2.0961194359999999</v>
      </c>
      <c r="Y164" s="57"/>
      <c r="Z164" s="14"/>
      <c r="AA164" s="56"/>
      <c r="AB164" s="50">
        <f>(B164*194.205+C164*267.466+D164*133.845+E164*53.484+F164*40+G164*185+H164*0+I164*100+J164*300)/(194.205+267.466+133.845+53.484+0+40+185+100+300)</f>
        <v>9.0091119423076922</v>
      </c>
      <c r="AC164" s="45">
        <f>(M164*'RAP TEMPLATE-GAS AVAILABILITY'!O163+N164*'RAP TEMPLATE-GAS AVAILABILITY'!P163+O164*'RAP TEMPLATE-GAS AVAILABILITY'!Q163+P164*'RAP TEMPLATE-GAS AVAILABILITY'!R163)/('RAP TEMPLATE-GAS AVAILABILITY'!O163+'RAP TEMPLATE-GAS AVAILABILITY'!P163+'RAP TEMPLATE-GAS AVAILABILITY'!Q163+'RAP TEMPLATE-GAS AVAILABILITY'!R163)</f>
        <v>8.8716856115107916</v>
      </c>
    </row>
    <row r="165" spans="1:29" ht="15.75" x14ac:dyDescent="0.25">
      <c r="A165" s="13">
        <v>45901</v>
      </c>
      <c r="B165" s="14">
        <f>CHOOSE(CONTROL!$C$42, 8.4051, 8.4051) * CHOOSE(CONTROL!$C$21, $C$9, 100%, $E$9)</f>
        <v>8.4050999999999991</v>
      </c>
      <c r="C165" s="14">
        <f>CHOOSE(CONTROL!$C$42, 8.4132, 8.4132) * CHOOSE(CONTROL!$C$21, $C$9, 100%, $E$9)</f>
        <v>8.4131999999999998</v>
      </c>
      <c r="D165" s="14">
        <f>CHOOSE(CONTROL!$C$42, 8.6337, 8.6337) * CHOOSE(CONTROL!$C$21, $C$9, 100%, $E$9)</f>
        <v>8.6336999999999993</v>
      </c>
      <c r="E165" s="14">
        <f>CHOOSE(CONTROL!$C$42, 8.6652, 8.6652) * CHOOSE(CONTROL!$C$21, $C$9, 100%, $E$9)</f>
        <v>8.6652000000000005</v>
      </c>
      <c r="F165" s="14">
        <f>CHOOSE(CONTROL!$C$42, 8.4325, 8.4325)*CHOOSE(CONTROL!$C$21, $C$9, 100%, $E$9)</f>
        <v>8.4324999999999992</v>
      </c>
      <c r="G165" s="14">
        <f>CHOOSE(CONTROL!$C$42, 8.4499, 8.4499)*CHOOSE(CONTROL!$C$21, $C$9, 100%, $E$9)</f>
        <v>8.4498999999999995</v>
      </c>
      <c r="H165" s="14">
        <f>CHOOSE(CONTROL!$C$42, 8.6538, 8.6538) * CHOOSE(CONTROL!$C$21, $C$9, 100%, $E$9)</f>
        <v>8.6538000000000004</v>
      </c>
      <c r="I165" s="14">
        <f>CHOOSE(CONTROL!$C$42, 8.4593, 8.4593)* CHOOSE(CONTROL!$C$21, $C$9, 100%, $E$9)</f>
        <v>8.4593000000000007</v>
      </c>
      <c r="J165" s="14">
        <f>CHOOSE(CONTROL!$C$42, 8.4255, 8.4255)* CHOOSE(CONTROL!$C$21, $C$9, 100%, $E$9)</f>
        <v>8.4254999999999995</v>
      </c>
      <c r="K165" s="53">
        <f>CHOOSE(CONTROL!$C$42, 8.4555, 8.4555) * CHOOSE(CONTROL!$C$21, $C$9, 100%, $E$9)</f>
        <v>8.4555000000000007</v>
      </c>
      <c r="L165" s="14">
        <f>CHOOSE(CONTROL!$C$42, 9.2408, 9.2408) * CHOOSE(CONTROL!$C$21, $C$9, 100%, $E$9)</f>
        <v>9.2408000000000001</v>
      </c>
      <c r="M165" s="14">
        <f>CHOOSE(CONTROL!$C$42, 8.2605, 8.2605) * CHOOSE(CONTROL!$C$21, $C$9, 100%, $E$9)</f>
        <v>8.2605000000000004</v>
      </c>
      <c r="N165" s="14">
        <f>CHOOSE(CONTROL!$C$42, 8.2776, 8.2776) * CHOOSE(CONTROL!$C$21, $C$9, 100%, $E$9)</f>
        <v>8.2775999999999996</v>
      </c>
      <c r="O165" s="14">
        <f>CHOOSE(CONTROL!$C$42, 8.4842, 8.4842) * CHOOSE(CONTROL!$C$21, $C$9, 100%, $E$9)</f>
        <v>8.4841999999999995</v>
      </c>
      <c r="P165" s="14">
        <f>CHOOSE(CONTROL!$C$42, 8.2933, 8.2933) * CHOOSE(CONTROL!$C$21, $C$9, 100%, $E$9)</f>
        <v>8.2933000000000003</v>
      </c>
      <c r="Q165" s="14">
        <f>CHOOSE(CONTROL!$C$42, 9.0789, 9.0789) * CHOOSE(CONTROL!$C$21, $C$9, 100%, $E$9)</f>
        <v>9.0789000000000009</v>
      </c>
      <c r="R165" s="14">
        <f>CHOOSE(CONTROL!$C$42, 9.6886, 9.6886) * CHOOSE(CONTROL!$C$21, $C$9, 100%, $E$9)</f>
        <v>9.6885999999999992</v>
      </c>
      <c r="S165" s="14">
        <f>CHOOSE(CONTROL!$C$42, 8.0659, 8.0659) * CHOOSE(CONTROL!$C$21, $C$9, 100%, $E$9)</f>
        <v>8.0658999999999992</v>
      </c>
      <c r="T1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65" s="57">
        <f>(1000*CHOOSE(CONTROL!$C$42, 695, 695)*CHOOSE(CONTROL!$C$42, 0.5599, 0.5599)*CHOOSE(CONTROL!$C$42, 30, 30))/1000000</f>
        <v>11.673914999999997</v>
      </c>
      <c r="V165" s="57">
        <f>(1000*CHOOSE(CONTROL!$C$42, 500, 500)*CHOOSE(CONTROL!$C$42, 0.275, 0.275)*CHOOSE(CONTROL!$C$42, 30, 30))/1000000</f>
        <v>4.125</v>
      </c>
      <c r="W165" s="57">
        <f>(1000*CHOOSE(CONTROL!$C$42, 0.1146, 0.1146)*CHOOSE(CONTROL!$C$42, 121.5, 121.5)*CHOOSE(CONTROL!$C$42, 30, 30))/1000000</f>
        <v>0.417717</v>
      </c>
      <c r="X165" s="57">
        <f>(30*0.1790888*245000/1000000)+(30*0.2374*100000/1000000)</f>
        <v>2.0285026799999999</v>
      </c>
      <c r="Y165" s="57"/>
      <c r="Z165" s="14"/>
      <c r="AA165" s="56"/>
      <c r="AB165" s="50">
        <f>(B165*194.205+C165*267.466+D165*133.845+E165*53.484+F165*40+G165*185+H165*0+I165*100+J165*300)/(194.205+267.466+133.845+53.484+0+40+185+100+300)</f>
        <v>8.4581601491365763</v>
      </c>
      <c r="AC165" s="45">
        <f>(M165*'RAP TEMPLATE-GAS AVAILABILITY'!O164+N165*'RAP TEMPLATE-GAS AVAILABILITY'!P164+O165*'RAP TEMPLATE-GAS AVAILABILITY'!Q164+P165*'RAP TEMPLATE-GAS AVAILABILITY'!R164)/('RAP TEMPLATE-GAS AVAILABILITY'!O164+'RAP TEMPLATE-GAS AVAILABILITY'!P164+'RAP TEMPLATE-GAS AVAILABILITY'!Q164+'RAP TEMPLATE-GAS AVAILABILITY'!R164)</f>
        <v>8.3319208633093513</v>
      </c>
    </row>
    <row r="166" spans="1:29" ht="15.75" x14ac:dyDescent="0.25">
      <c r="A166" s="13">
        <v>45931</v>
      </c>
      <c r="B166" s="14">
        <f>CHOOSE(CONTROL!$C$42, 8.2499, 8.2499) * CHOOSE(CONTROL!$C$21, $C$9, 100%, $E$9)</f>
        <v>8.2499000000000002</v>
      </c>
      <c r="C166" s="14">
        <f>CHOOSE(CONTROL!$C$42, 8.2552, 8.2552) * CHOOSE(CONTROL!$C$21, $C$9, 100%, $E$9)</f>
        <v>8.2552000000000003</v>
      </c>
      <c r="D166" s="14">
        <f>CHOOSE(CONTROL!$C$42, 8.4808, 8.4808) * CHOOSE(CONTROL!$C$21, $C$9, 100%, $E$9)</f>
        <v>8.4808000000000003</v>
      </c>
      <c r="E166" s="14">
        <f>CHOOSE(CONTROL!$C$42, 8.5099, 8.5099) * CHOOSE(CONTROL!$C$21, $C$9, 100%, $E$9)</f>
        <v>8.5099</v>
      </c>
      <c r="F166" s="14">
        <f>CHOOSE(CONTROL!$C$42, 8.2793, 8.2793)*CHOOSE(CONTROL!$C$21, $C$9, 100%, $E$9)</f>
        <v>8.2792999999999992</v>
      </c>
      <c r="G166" s="14">
        <f>CHOOSE(CONTROL!$C$42, 8.2965, 8.2965)*CHOOSE(CONTROL!$C$21, $C$9, 100%, $E$9)</f>
        <v>8.2965</v>
      </c>
      <c r="H166" s="14">
        <f>CHOOSE(CONTROL!$C$42, 8.5004, 8.5004) * CHOOSE(CONTROL!$C$21, $C$9, 100%, $E$9)</f>
        <v>8.5004000000000008</v>
      </c>
      <c r="I166" s="14">
        <f>CHOOSE(CONTROL!$C$42, 8.3054, 8.3054)* CHOOSE(CONTROL!$C$21, $C$9, 100%, $E$9)</f>
        <v>8.3054000000000006</v>
      </c>
      <c r="J166" s="14">
        <f>CHOOSE(CONTROL!$C$42, 8.2723, 8.2723)* CHOOSE(CONTROL!$C$21, $C$9, 100%, $E$9)</f>
        <v>8.2722999999999995</v>
      </c>
      <c r="K166" s="53">
        <f>CHOOSE(CONTROL!$C$42, 8.3015, 8.3015) * CHOOSE(CONTROL!$C$21, $C$9, 100%, $E$9)</f>
        <v>8.3015000000000008</v>
      </c>
      <c r="L166" s="14">
        <f>CHOOSE(CONTROL!$C$42, 9.0874, 9.0874) * CHOOSE(CONTROL!$C$21, $C$9, 100%, $E$9)</f>
        <v>9.0874000000000006</v>
      </c>
      <c r="M166" s="14">
        <f>CHOOSE(CONTROL!$C$42, 8.1105, 8.1105) * CHOOSE(CONTROL!$C$21, $C$9, 100%, $E$9)</f>
        <v>8.1105</v>
      </c>
      <c r="N166" s="14">
        <f>CHOOSE(CONTROL!$C$42, 8.1273, 8.1273) * CHOOSE(CONTROL!$C$21, $C$9, 100%, $E$9)</f>
        <v>8.1273</v>
      </c>
      <c r="O166" s="14">
        <f>CHOOSE(CONTROL!$C$42, 8.3339, 8.3339) * CHOOSE(CONTROL!$C$21, $C$9, 100%, $E$9)</f>
        <v>8.3338999999999999</v>
      </c>
      <c r="P166" s="14">
        <f>CHOOSE(CONTROL!$C$42, 8.1425, 8.1425) * CHOOSE(CONTROL!$C$21, $C$9, 100%, $E$9)</f>
        <v>8.1425000000000001</v>
      </c>
      <c r="Q166" s="14">
        <f>CHOOSE(CONTROL!$C$42, 8.9286, 8.9286) * CHOOSE(CONTROL!$C$21, $C$9, 100%, $E$9)</f>
        <v>8.9285999999999994</v>
      </c>
      <c r="R166" s="14">
        <f>CHOOSE(CONTROL!$C$42, 9.5379, 9.5379) * CHOOSE(CONTROL!$C$21, $C$9, 100%, $E$9)</f>
        <v>9.5379000000000005</v>
      </c>
      <c r="S166" s="14">
        <f>CHOOSE(CONTROL!$C$42, 7.9184, 7.9184) * CHOOSE(CONTROL!$C$21, $C$9, 100%, $E$9)</f>
        <v>7.9184000000000001</v>
      </c>
      <c r="T1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66" s="57">
        <f>(1000*CHOOSE(CONTROL!$C$42, 695, 695)*CHOOSE(CONTROL!$C$42, 0.5599, 0.5599)*CHOOSE(CONTROL!$C$42, 31, 31))/1000000</f>
        <v>12.063045499999998</v>
      </c>
      <c r="V166" s="57">
        <f>(1000*CHOOSE(CONTROL!$C$42, 500, 500)*CHOOSE(CONTROL!$C$42, 0.275, 0.275)*CHOOSE(CONTROL!$C$42, 31, 31))/1000000</f>
        <v>4.2625000000000002</v>
      </c>
      <c r="W166" s="57">
        <f>(1000*CHOOSE(CONTROL!$C$42, 0.1146, 0.1146)*CHOOSE(CONTROL!$C$42, 121.5, 121.5)*CHOOSE(CONTROL!$C$42, 31, 31))/1000000</f>
        <v>0.43164089999999994</v>
      </c>
      <c r="X166" s="57">
        <f>(31*0.1790888*245000/1000000)+(31*0.2374*100000/1000000)</f>
        <v>2.0961194359999999</v>
      </c>
      <c r="Y166" s="57"/>
      <c r="Z166" s="14"/>
      <c r="AA166" s="56"/>
      <c r="AB166" s="50">
        <f>(B166*131.881+C166*277.167+D166*79.08+E166*125.872+F166*40+G166*185+H166*0+I166*100+J166*300)/(131.881+277.167+79.08+125.872+0+40+185+100+300)</f>
        <v>8.3100471163034708</v>
      </c>
      <c r="AC166" s="45">
        <f>(M166*'RAP TEMPLATE-GAS AVAILABILITY'!O165+N166*'RAP TEMPLATE-GAS AVAILABILITY'!P165+O166*'RAP TEMPLATE-GAS AVAILABILITY'!Q165+P166*'RAP TEMPLATE-GAS AVAILABILITY'!R165)/('RAP TEMPLATE-GAS AVAILABILITY'!O165+'RAP TEMPLATE-GAS AVAILABILITY'!P165+'RAP TEMPLATE-GAS AVAILABILITY'!Q165+'RAP TEMPLATE-GAS AVAILABILITY'!R165)</f>
        <v>8.1816525179856114</v>
      </c>
    </row>
    <row r="167" spans="1:29" ht="15.75" x14ac:dyDescent="0.25">
      <c r="A167" s="13">
        <v>45962</v>
      </c>
      <c r="B167" s="14">
        <f>CHOOSE(CONTROL!$C$42, 8.484, 8.484) * CHOOSE(CONTROL!$C$21, $C$9, 100%, $E$9)</f>
        <v>8.484</v>
      </c>
      <c r="C167" s="14">
        <f>CHOOSE(CONTROL!$C$42, 8.489, 8.489) * CHOOSE(CONTROL!$C$21, $C$9, 100%, $E$9)</f>
        <v>8.4890000000000008</v>
      </c>
      <c r="D167" s="14">
        <f>CHOOSE(CONTROL!$C$42, 8.5633, 8.5633) * CHOOSE(CONTROL!$C$21, $C$9, 100%, $E$9)</f>
        <v>8.5632999999999999</v>
      </c>
      <c r="E167" s="14">
        <f>CHOOSE(CONTROL!$C$42, 8.5974, 8.5974) * CHOOSE(CONTROL!$C$21, $C$9, 100%, $E$9)</f>
        <v>8.5974000000000004</v>
      </c>
      <c r="F167" s="14">
        <f>CHOOSE(CONTROL!$C$42, 8.52, 8.52)*CHOOSE(CONTROL!$C$21, $C$9, 100%, $E$9)</f>
        <v>8.52</v>
      </c>
      <c r="G167" s="14">
        <f>CHOOSE(CONTROL!$C$42, 8.5376, 8.5376)*CHOOSE(CONTROL!$C$21, $C$9, 100%, $E$9)</f>
        <v>8.5375999999999994</v>
      </c>
      <c r="H167" s="14">
        <f>CHOOSE(CONTROL!$C$42, 8.5866, 8.5866) * CHOOSE(CONTROL!$C$21, $C$9, 100%, $E$9)</f>
        <v>8.5866000000000007</v>
      </c>
      <c r="I167" s="14">
        <f>CHOOSE(CONTROL!$C$42, 8.538, 8.538)* CHOOSE(CONTROL!$C$21, $C$9, 100%, $E$9)</f>
        <v>8.5380000000000003</v>
      </c>
      <c r="J167" s="14">
        <f>CHOOSE(CONTROL!$C$42, 8.513, 8.513)* CHOOSE(CONTROL!$C$21, $C$9, 100%, $E$9)</f>
        <v>8.5129999999999999</v>
      </c>
      <c r="K167" s="53">
        <f>CHOOSE(CONTROL!$C$42, 8.5341, 8.5341) * CHOOSE(CONTROL!$C$21, $C$9, 100%, $E$9)</f>
        <v>8.5341000000000005</v>
      </c>
      <c r="L167" s="14">
        <f>CHOOSE(CONTROL!$C$42, 9.1736, 9.1736) * CHOOSE(CONTROL!$C$21, $C$9, 100%, $E$9)</f>
        <v>9.1736000000000004</v>
      </c>
      <c r="M167" s="14">
        <f>CHOOSE(CONTROL!$C$42, 8.3463, 8.3463) * CHOOSE(CONTROL!$C$21, $C$9, 100%, $E$9)</f>
        <v>8.3462999999999994</v>
      </c>
      <c r="N167" s="14">
        <f>CHOOSE(CONTROL!$C$42, 8.3635, 8.3635) * CHOOSE(CONTROL!$C$21, $C$9, 100%, $E$9)</f>
        <v>8.3635000000000002</v>
      </c>
      <c r="O167" s="14">
        <f>CHOOSE(CONTROL!$C$42, 8.4183, 8.4183) * CHOOSE(CONTROL!$C$21, $C$9, 100%, $E$9)</f>
        <v>8.4183000000000003</v>
      </c>
      <c r="P167" s="14">
        <f>CHOOSE(CONTROL!$C$42, 8.3703, 8.3703) * CHOOSE(CONTROL!$C$21, $C$9, 100%, $E$9)</f>
        <v>8.3703000000000003</v>
      </c>
      <c r="Q167" s="14">
        <f>CHOOSE(CONTROL!$C$42, 9.013, 9.013) * CHOOSE(CONTROL!$C$21, $C$9, 100%, $E$9)</f>
        <v>9.0129999999999999</v>
      </c>
      <c r="R167" s="14">
        <f>CHOOSE(CONTROL!$C$42, 9.6225, 9.6225) * CHOOSE(CONTROL!$C$21, $C$9, 100%, $E$9)</f>
        <v>9.6225000000000005</v>
      </c>
      <c r="S167" s="14">
        <f>CHOOSE(CONTROL!$C$42, 8.1437, 8.1437) * CHOOSE(CONTROL!$C$21, $C$9, 100%, $E$9)</f>
        <v>8.1437000000000008</v>
      </c>
      <c r="T1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67" s="57">
        <f>(1000*CHOOSE(CONTROL!$C$42, 695, 695)*CHOOSE(CONTROL!$C$42, 0.5599, 0.5599)*CHOOSE(CONTROL!$C$42, 30, 30))/1000000</f>
        <v>11.673914999999997</v>
      </c>
      <c r="V167" s="57">
        <f>(1000*CHOOSE(CONTROL!$C$42, 500, 500)*CHOOSE(CONTROL!$C$42, 0.275, 0.275)*CHOOSE(CONTROL!$C$42, 30, 30))/1000000</f>
        <v>4.125</v>
      </c>
      <c r="W167" s="57">
        <f>(1000*CHOOSE(CONTROL!$C$42, 0.1146, 0.1146)*CHOOSE(CONTROL!$C$42, 121.5, 121.5)*CHOOSE(CONTROL!$C$42, 30, 30))/1000000</f>
        <v>0.417717</v>
      </c>
      <c r="X167" s="57">
        <f>(30*0.1790888*100000/1000000)+(30*0.2374*100000/1000000)</f>
        <v>1.2494664</v>
      </c>
      <c r="Y167" s="57"/>
      <c r="Z167" s="14"/>
      <c r="AA167" s="56"/>
      <c r="AB167" s="50">
        <f>(B167*122.58+C167*297.941+D167*89.177+E167*40.302+F167*40+G167*160+H167*0+I167*100+J167*300)/(122.58+297.941+89.177+40.302+0+40+160+100+300)</f>
        <v>8.5163892938260872</v>
      </c>
      <c r="AC167" s="45">
        <f>(M167*'RAP TEMPLATE-GAS AVAILABILITY'!O166+N167*'RAP TEMPLATE-GAS AVAILABILITY'!P166+O167*'RAP TEMPLATE-GAS AVAILABILITY'!Q166+P167*'RAP TEMPLATE-GAS AVAILABILITY'!R166)/('RAP TEMPLATE-GAS AVAILABILITY'!O166+'RAP TEMPLATE-GAS AVAILABILITY'!P166+'RAP TEMPLATE-GAS AVAILABILITY'!Q166+'RAP TEMPLATE-GAS AVAILABILITY'!R166)</f>
        <v>8.383376258992806</v>
      </c>
    </row>
    <row r="168" spans="1:29" ht="15.75" x14ac:dyDescent="0.25">
      <c r="A168" s="13">
        <v>45992</v>
      </c>
      <c r="B168" s="14">
        <f>CHOOSE(CONTROL!$C$42, 9.0804, 9.0804) * CHOOSE(CONTROL!$C$21, $C$9, 100%, $E$9)</f>
        <v>9.0803999999999991</v>
      </c>
      <c r="C168" s="14">
        <f>CHOOSE(CONTROL!$C$42, 9.0855, 9.0855) * CHOOSE(CONTROL!$C$21, $C$9, 100%, $E$9)</f>
        <v>9.0854999999999997</v>
      </c>
      <c r="D168" s="14">
        <f>CHOOSE(CONTROL!$C$42, 9.1597, 9.1597) * CHOOSE(CONTROL!$C$21, $C$9, 100%, $E$9)</f>
        <v>9.1597000000000008</v>
      </c>
      <c r="E168" s="14">
        <f>CHOOSE(CONTROL!$C$42, 9.1938, 9.1938) * CHOOSE(CONTROL!$C$21, $C$9, 100%, $E$9)</f>
        <v>9.1937999999999995</v>
      </c>
      <c r="F168" s="14">
        <f>CHOOSE(CONTROL!$C$42, 9.1188, 9.1188)*CHOOSE(CONTROL!$C$21, $C$9, 100%, $E$9)</f>
        <v>9.1188000000000002</v>
      </c>
      <c r="G168" s="14">
        <f>CHOOSE(CONTROL!$C$42, 9.137, 9.137)*CHOOSE(CONTROL!$C$21, $C$9, 100%, $E$9)</f>
        <v>9.1370000000000005</v>
      </c>
      <c r="H168" s="14">
        <f>CHOOSE(CONTROL!$C$42, 9.183, 9.183) * CHOOSE(CONTROL!$C$21, $C$9, 100%, $E$9)</f>
        <v>9.1829999999999998</v>
      </c>
      <c r="I168" s="14">
        <f>CHOOSE(CONTROL!$C$42, 9.1363, 9.1363)* CHOOSE(CONTROL!$C$21, $C$9, 100%, $E$9)</f>
        <v>9.1363000000000003</v>
      </c>
      <c r="J168" s="14">
        <f>CHOOSE(CONTROL!$C$42, 9.1118, 9.1118)* CHOOSE(CONTROL!$C$21, $C$9, 100%, $E$9)</f>
        <v>9.1118000000000006</v>
      </c>
      <c r="K168" s="53">
        <f>CHOOSE(CONTROL!$C$42, 9.1324, 9.1324) * CHOOSE(CONTROL!$C$21, $C$9, 100%, $E$9)</f>
        <v>9.1324000000000005</v>
      </c>
      <c r="L168" s="14">
        <f>CHOOSE(CONTROL!$C$42, 9.77, 9.77) * CHOOSE(CONTROL!$C$21, $C$9, 100%, $E$9)</f>
        <v>9.77</v>
      </c>
      <c r="M168" s="14">
        <f>CHOOSE(CONTROL!$C$42, 8.9328, 8.9328) * CHOOSE(CONTROL!$C$21, $C$9, 100%, $E$9)</f>
        <v>8.9328000000000003</v>
      </c>
      <c r="N168" s="14">
        <f>CHOOSE(CONTROL!$C$42, 8.9506, 8.9506) * CHOOSE(CONTROL!$C$21, $C$9, 100%, $E$9)</f>
        <v>8.9505999999999997</v>
      </c>
      <c r="O168" s="14">
        <f>CHOOSE(CONTROL!$C$42, 9.0025, 9.0025) * CHOOSE(CONTROL!$C$21, $C$9, 100%, $E$9)</f>
        <v>9.0024999999999995</v>
      </c>
      <c r="P168" s="14">
        <f>CHOOSE(CONTROL!$C$42, 8.9563, 8.9563) * CHOOSE(CONTROL!$C$21, $C$9, 100%, $E$9)</f>
        <v>8.9563000000000006</v>
      </c>
      <c r="Q168" s="14">
        <f>CHOOSE(CONTROL!$C$42, 9.5972, 9.5972) * CHOOSE(CONTROL!$C$21, $C$9, 100%, $E$9)</f>
        <v>9.5972000000000008</v>
      </c>
      <c r="R168" s="14">
        <f>CHOOSE(CONTROL!$C$42, 10.2082, 10.2082) * CHOOSE(CONTROL!$C$21, $C$9, 100%, $E$9)</f>
        <v>10.2082</v>
      </c>
      <c r="S168" s="14">
        <f>CHOOSE(CONTROL!$C$42, 8.7168, 8.7168) * CHOOSE(CONTROL!$C$21, $C$9, 100%, $E$9)</f>
        <v>8.7167999999999992</v>
      </c>
      <c r="T1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68" s="57">
        <f>(1000*CHOOSE(CONTROL!$C$42, 695, 695)*CHOOSE(CONTROL!$C$42, 0.5599, 0.5599)*CHOOSE(CONTROL!$C$42, 31, 31))/1000000</f>
        <v>12.063045499999998</v>
      </c>
      <c r="V168" s="57">
        <f>(1000*CHOOSE(CONTROL!$C$42, 500, 500)*CHOOSE(CONTROL!$C$42, 0.275, 0.275)*CHOOSE(CONTROL!$C$42, 31, 31))/1000000</f>
        <v>4.2625000000000002</v>
      </c>
      <c r="W168" s="57">
        <f>(1000*CHOOSE(CONTROL!$C$42, 0.1146, 0.1146)*CHOOSE(CONTROL!$C$42, 121.5, 121.5)*CHOOSE(CONTROL!$C$42, 31, 31))/1000000</f>
        <v>0.43164089999999994</v>
      </c>
      <c r="X168" s="57">
        <f>(31*0.1790888*100000/1000000)+(31*0.2374*100000/1000000)</f>
        <v>1.2911152800000001</v>
      </c>
      <c r="Y168" s="57"/>
      <c r="Z168" s="14"/>
      <c r="AA168" s="56"/>
      <c r="AB168" s="50">
        <f>(B168*122.58+C168*297.941+D168*89.177+E168*40.302+F168*40+G168*160+H168*0+I168*100+J168*300)/(122.58+297.941+89.177+40.302+0+40+160+100+300)</f>
        <v>9.1141073756521731</v>
      </c>
      <c r="AC168" s="45">
        <f>(M168*'RAP TEMPLATE-GAS AVAILABILITY'!O167+N168*'RAP TEMPLATE-GAS AVAILABILITY'!P167+O168*'RAP TEMPLATE-GAS AVAILABILITY'!Q167+P168*'RAP TEMPLATE-GAS AVAILABILITY'!R167)/('RAP TEMPLATE-GAS AVAILABILITY'!O167+'RAP TEMPLATE-GAS AVAILABILITY'!P167+'RAP TEMPLATE-GAS AVAILABILITY'!Q167+'RAP TEMPLATE-GAS AVAILABILITY'!R167)</f>
        <v>8.9687964028776985</v>
      </c>
    </row>
    <row r="169" spans="1:29" ht="15.75" x14ac:dyDescent="0.25">
      <c r="A169" s="13">
        <v>46023</v>
      </c>
      <c r="B169" s="14">
        <f>CHOOSE(CONTROL!$C$42, 9.5874, 9.5874) * CHOOSE(CONTROL!$C$21, $C$9, 100%, $E$9)</f>
        <v>9.5874000000000006</v>
      </c>
      <c r="C169" s="14">
        <f>CHOOSE(CONTROL!$C$42, 9.5924, 9.5924) * CHOOSE(CONTROL!$C$21, $C$9, 100%, $E$9)</f>
        <v>9.5923999999999996</v>
      </c>
      <c r="D169" s="14">
        <f>CHOOSE(CONTROL!$C$42, 9.6693, 9.6693) * CHOOSE(CONTROL!$C$21, $C$9, 100%, $E$9)</f>
        <v>9.6692999999999998</v>
      </c>
      <c r="E169" s="14">
        <f>CHOOSE(CONTROL!$C$42, 9.7034, 9.7034) * CHOOSE(CONTROL!$C$21, $C$9, 100%, $E$9)</f>
        <v>9.7034000000000002</v>
      </c>
      <c r="F169" s="14">
        <f>CHOOSE(CONTROL!$C$42, 9.6121, 9.6121)*CHOOSE(CONTROL!$C$21, $C$9, 100%, $E$9)</f>
        <v>9.6120999999999999</v>
      </c>
      <c r="G169" s="14">
        <f>CHOOSE(CONTROL!$C$42, 9.6301, 9.6301)*CHOOSE(CONTROL!$C$21, $C$9, 100%, $E$9)</f>
        <v>9.6301000000000005</v>
      </c>
      <c r="H169" s="14">
        <f>CHOOSE(CONTROL!$C$42, 9.6926, 9.6926) * CHOOSE(CONTROL!$C$21, $C$9, 100%, $E$9)</f>
        <v>9.6926000000000005</v>
      </c>
      <c r="I169" s="14">
        <f>CHOOSE(CONTROL!$C$42, 9.6511, 9.6511)* CHOOSE(CONTROL!$C$21, $C$9, 100%, $E$9)</f>
        <v>9.6510999999999996</v>
      </c>
      <c r="J169" s="14">
        <f>CHOOSE(CONTROL!$C$42, 9.6051, 9.6051)* CHOOSE(CONTROL!$C$21, $C$9, 100%, $E$9)</f>
        <v>9.6051000000000002</v>
      </c>
      <c r="K169" s="53">
        <f>CHOOSE(CONTROL!$C$42, 9.6472, 9.6472) * CHOOSE(CONTROL!$C$21, $C$9, 100%, $E$9)</f>
        <v>9.6471999999999998</v>
      </c>
      <c r="L169" s="14">
        <f>CHOOSE(CONTROL!$C$42, 10.2796, 10.2796) * CHOOSE(CONTROL!$C$21, $C$9, 100%, $E$9)</f>
        <v>10.2796</v>
      </c>
      <c r="M169" s="14">
        <f>CHOOSE(CONTROL!$C$42, 9.416, 9.416) * CHOOSE(CONTROL!$C$21, $C$9, 100%, $E$9)</f>
        <v>9.4160000000000004</v>
      </c>
      <c r="N169" s="14">
        <f>CHOOSE(CONTROL!$C$42, 9.4336, 9.4336) * CHOOSE(CONTROL!$C$21, $C$9, 100%, $E$9)</f>
        <v>9.4336000000000002</v>
      </c>
      <c r="O169" s="14">
        <f>CHOOSE(CONTROL!$C$42, 9.5017, 9.5017) * CHOOSE(CONTROL!$C$21, $C$9, 100%, $E$9)</f>
        <v>9.5016999999999996</v>
      </c>
      <c r="P169" s="14">
        <f>CHOOSE(CONTROL!$C$42, 9.4605, 9.4605) * CHOOSE(CONTROL!$C$21, $C$9, 100%, $E$9)</f>
        <v>9.4604999999999997</v>
      </c>
      <c r="Q169" s="14">
        <f>CHOOSE(CONTROL!$C$42, 10.0964, 10.0964) * CHOOSE(CONTROL!$C$21, $C$9, 100%, $E$9)</f>
        <v>10.096399999999999</v>
      </c>
      <c r="R169" s="14">
        <f>CHOOSE(CONTROL!$C$42, 10.7086, 10.7086) * CHOOSE(CONTROL!$C$21, $C$9, 100%, $E$9)</f>
        <v>10.708600000000001</v>
      </c>
      <c r="S169" s="14">
        <f>CHOOSE(CONTROL!$C$42, 9.204, 9.204) * CHOOSE(CONTROL!$C$21, $C$9, 100%, $E$9)</f>
        <v>9.2040000000000006</v>
      </c>
      <c r="T16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69" s="57">
        <f>(1000*CHOOSE(CONTROL!$C$42, 695, 695)*CHOOSE(CONTROL!$C$42, 0.5599, 0.5599)*CHOOSE(CONTROL!$C$42, 31, 31))/1000000</f>
        <v>12.063045499999998</v>
      </c>
      <c r="V169" s="57">
        <f>(1000*CHOOSE(CONTROL!$C$42, 500, 500)*CHOOSE(CONTROL!$C$42, 0.275, 0.275)*CHOOSE(CONTROL!$C$42, 31, 31))/1000000</f>
        <v>4.2625000000000002</v>
      </c>
      <c r="W169" s="57">
        <f>(1000*CHOOSE(CONTROL!$C$42, 0.1146, 0.1146)*CHOOSE(CONTROL!$C$42, 121.5, 121.5)*CHOOSE(CONTROL!$C$42, 31, 31))/1000000</f>
        <v>0.43164089999999994</v>
      </c>
      <c r="X169" s="57">
        <f>(31*0.1790888*100000/1000000)+(31*0.2374*100000/1000000)</f>
        <v>1.2911152800000001</v>
      </c>
      <c r="Y169" s="57"/>
      <c r="Z169" s="14"/>
      <c r="AA169" s="56"/>
      <c r="AB169" s="50">
        <f>(B169*122.58+C169*297.941+D169*89.177+E169*40.302+F169*40+G169*160+H169*0+I169*100+J169*300)/(122.58+297.941+89.177+40.302+0+40+160+100+300)</f>
        <v>9.616068115913043</v>
      </c>
      <c r="AC169" s="45">
        <f>(M169*'RAP TEMPLATE-GAS AVAILABILITY'!O168+N169*'RAP TEMPLATE-GAS AVAILABILITY'!P168+O169*'RAP TEMPLATE-GAS AVAILABILITY'!Q168+P169*'RAP TEMPLATE-GAS AVAILABILITY'!R168)/('RAP TEMPLATE-GAS AVAILABILITY'!O168+'RAP TEMPLATE-GAS AVAILABILITY'!P168+'RAP TEMPLATE-GAS AVAILABILITY'!Q168+'RAP TEMPLATE-GAS AVAILABILITY'!R168)</f>
        <v>9.4622582733812948</v>
      </c>
    </row>
    <row r="170" spans="1:29" ht="15.75" x14ac:dyDescent="0.25">
      <c r="A170" s="13">
        <v>46054</v>
      </c>
      <c r="B170" s="14">
        <f>CHOOSE(CONTROL!$C$42, 9.778, 9.778) * CHOOSE(CONTROL!$C$21, $C$9, 100%, $E$9)</f>
        <v>9.7780000000000005</v>
      </c>
      <c r="C170" s="14">
        <f>CHOOSE(CONTROL!$C$42, 9.783, 9.783) * CHOOSE(CONTROL!$C$21, $C$9, 100%, $E$9)</f>
        <v>9.7829999999999995</v>
      </c>
      <c r="D170" s="14">
        <f>CHOOSE(CONTROL!$C$42, 9.8598, 9.8598) * CHOOSE(CONTROL!$C$21, $C$9, 100%, $E$9)</f>
        <v>9.8597999999999999</v>
      </c>
      <c r="E170" s="14">
        <f>CHOOSE(CONTROL!$C$42, 9.8939, 9.8939) * CHOOSE(CONTROL!$C$21, $C$9, 100%, $E$9)</f>
        <v>9.8939000000000004</v>
      </c>
      <c r="F170" s="14">
        <f>CHOOSE(CONTROL!$C$42, 9.8023, 9.8023)*CHOOSE(CONTROL!$C$21, $C$9, 100%, $E$9)</f>
        <v>9.8023000000000007</v>
      </c>
      <c r="G170" s="14">
        <f>CHOOSE(CONTROL!$C$42, 9.8202, 9.8202)*CHOOSE(CONTROL!$C$21, $C$9, 100%, $E$9)</f>
        <v>9.8201999999999998</v>
      </c>
      <c r="H170" s="14">
        <f>CHOOSE(CONTROL!$C$42, 9.8831, 9.8831) * CHOOSE(CONTROL!$C$21, $C$9, 100%, $E$9)</f>
        <v>9.8831000000000007</v>
      </c>
      <c r="I170" s="14">
        <f>CHOOSE(CONTROL!$C$42, 9.8423, 9.8423)* CHOOSE(CONTROL!$C$21, $C$9, 100%, $E$9)</f>
        <v>9.8422999999999998</v>
      </c>
      <c r="J170" s="14">
        <f>CHOOSE(CONTROL!$C$42, 9.7953, 9.7953)* CHOOSE(CONTROL!$C$21, $C$9, 100%, $E$9)</f>
        <v>9.7952999999999992</v>
      </c>
      <c r="K170" s="53">
        <f>CHOOSE(CONTROL!$C$42, 9.8384, 9.8384) * CHOOSE(CONTROL!$C$21, $C$9, 100%, $E$9)</f>
        <v>9.8384</v>
      </c>
      <c r="L170" s="14">
        <f>CHOOSE(CONTROL!$C$42, 10.4701, 10.4701) * CHOOSE(CONTROL!$C$21, $C$9, 100%, $E$9)</f>
        <v>10.4701</v>
      </c>
      <c r="M170" s="14">
        <f>CHOOSE(CONTROL!$C$42, 9.6023, 9.6023) * CHOOSE(CONTROL!$C$21, $C$9, 100%, $E$9)</f>
        <v>9.6022999999999996</v>
      </c>
      <c r="N170" s="14">
        <f>CHOOSE(CONTROL!$C$42, 9.6198, 9.6198) * CHOOSE(CONTROL!$C$21, $C$9, 100%, $E$9)</f>
        <v>9.6197999999999997</v>
      </c>
      <c r="O170" s="14">
        <f>CHOOSE(CONTROL!$C$42, 9.6883, 9.6883) * CHOOSE(CONTROL!$C$21, $C$9, 100%, $E$9)</f>
        <v>9.6882999999999999</v>
      </c>
      <c r="P170" s="14">
        <f>CHOOSE(CONTROL!$C$42, 9.6478, 9.6478) * CHOOSE(CONTROL!$C$21, $C$9, 100%, $E$9)</f>
        <v>9.6478000000000002</v>
      </c>
      <c r="Q170" s="14">
        <f>CHOOSE(CONTROL!$C$42, 10.283, 10.283) * CHOOSE(CONTROL!$C$21, $C$9, 100%, $E$9)</f>
        <v>10.282999999999999</v>
      </c>
      <c r="R170" s="14">
        <f>CHOOSE(CONTROL!$C$42, 10.8957, 10.8957) * CHOOSE(CONTROL!$C$21, $C$9, 100%, $E$9)</f>
        <v>10.8957</v>
      </c>
      <c r="S170" s="14">
        <f>CHOOSE(CONTROL!$C$42, 9.3871, 9.3871) * CHOOSE(CONTROL!$C$21, $C$9, 100%, $E$9)</f>
        <v>9.3871000000000002</v>
      </c>
      <c r="T17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70" s="57">
        <f>(1000*CHOOSE(CONTROL!$C$42, 695, 695)*CHOOSE(CONTROL!$C$42, 0.5599, 0.5599)*CHOOSE(CONTROL!$C$42, 28, 28))/1000000</f>
        <v>10.895653999999999</v>
      </c>
      <c r="V170" s="57">
        <f>(1000*CHOOSE(CONTROL!$C$42, 500, 500)*CHOOSE(CONTROL!$C$42, 0.275, 0.275)*CHOOSE(CONTROL!$C$42, 28, 28))/1000000</f>
        <v>3.85</v>
      </c>
      <c r="W170" s="57">
        <f>(1000*CHOOSE(CONTROL!$C$42, 0.1146, 0.1146)*CHOOSE(CONTROL!$C$42, 121.5, 121.5)*CHOOSE(CONTROL!$C$42, 28, 28))/1000000</f>
        <v>0.38986920000000003</v>
      </c>
      <c r="X170" s="57">
        <f>(28*0.1790888*100000/1000000)+(28*0.2374*100000/1000000)</f>
        <v>1.16616864</v>
      </c>
      <c r="Y170" s="57"/>
      <c r="Z170" s="14"/>
      <c r="AA170" s="56"/>
      <c r="AB170" s="50">
        <f>(B170*122.58+C170*297.941+D170*89.177+E170*40.302+F170*40+G170*160+H170*0+I170*100+J170*300)/(122.58+297.941+89.177+40.302+0+40+160+100+300)</f>
        <v>9.8065212046956525</v>
      </c>
      <c r="AC170" s="45">
        <f>(M170*'RAP TEMPLATE-GAS AVAILABILITY'!O169+N170*'RAP TEMPLATE-GAS AVAILABILITY'!P169+O170*'RAP TEMPLATE-GAS AVAILABILITY'!Q169+P170*'RAP TEMPLATE-GAS AVAILABILITY'!R169)/('RAP TEMPLATE-GAS AVAILABILITY'!O169+'RAP TEMPLATE-GAS AVAILABILITY'!P169+'RAP TEMPLATE-GAS AVAILABILITY'!Q169+'RAP TEMPLATE-GAS AVAILABILITY'!R169)</f>
        <v>9.6488323741007189</v>
      </c>
    </row>
    <row r="171" spans="1:29" ht="15.75" x14ac:dyDescent="0.25">
      <c r="A171" s="13">
        <v>46082</v>
      </c>
      <c r="B171" s="14">
        <f>CHOOSE(CONTROL!$C$42, 9.5202, 9.5202) * CHOOSE(CONTROL!$C$21, $C$9, 100%, $E$9)</f>
        <v>9.5202000000000009</v>
      </c>
      <c r="C171" s="14">
        <f>CHOOSE(CONTROL!$C$42, 9.5252, 9.5252) * CHOOSE(CONTROL!$C$21, $C$9, 100%, $E$9)</f>
        <v>9.5251999999999999</v>
      </c>
      <c r="D171" s="14">
        <f>CHOOSE(CONTROL!$C$42, 9.6021, 9.6021) * CHOOSE(CONTROL!$C$21, $C$9, 100%, $E$9)</f>
        <v>9.6021000000000001</v>
      </c>
      <c r="E171" s="14">
        <f>CHOOSE(CONTROL!$C$42, 9.6362, 9.6362) * CHOOSE(CONTROL!$C$21, $C$9, 100%, $E$9)</f>
        <v>9.6362000000000005</v>
      </c>
      <c r="F171" s="14">
        <f>CHOOSE(CONTROL!$C$42, 9.5436, 9.5436)*CHOOSE(CONTROL!$C$21, $C$9, 100%, $E$9)</f>
        <v>9.5435999999999996</v>
      </c>
      <c r="G171" s="14">
        <f>CHOOSE(CONTROL!$C$42, 9.5613, 9.5613)*CHOOSE(CONTROL!$C$21, $C$9, 100%, $E$9)</f>
        <v>9.5612999999999992</v>
      </c>
      <c r="H171" s="14">
        <f>CHOOSE(CONTROL!$C$42, 9.6254, 9.6254) * CHOOSE(CONTROL!$C$21, $C$9, 100%, $E$9)</f>
        <v>9.6254000000000008</v>
      </c>
      <c r="I171" s="14">
        <f>CHOOSE(CONTROL!$C$42, 9.5837, 9.5837)* CHOOSE(CONTROL!$C$21, $C$9, 100%, $E$9)</f>
        <v>9.5837000000000003</v>
      </c>
      <c r="J171" s="14">
        <f>CHOOSE(CONTROL!$C$42, 9.5366, 9.5366)* CHOOSE(CONTROL!$C$21, $C$9, 100%, $E$9)</f>
        <v>9.5366</v>
      </c>
      <c r="K171" s="53">
        <f>CHOOSE(CONTROL!$C$42, 9.5798, 9.5798) * CHOOSE(CONTROL!$C$21, $C$9, 100%, $E$9)</f>
        <v>9.5798000000000005</v>
      </c>
      <c r="L171" s="14">
        <f>CHOOSE(CONTROL!$C$42, 10.2124, 10.2124) * CHOOSE(CONTROL!$C$21, $C$9, 100%, $E$9)</f>
        <v>10.212400000000001</v>
      </c>
      <c r="M171" s="14">
        <f>CHOOSE(CONTROL!$C$42, 9.3489, 9.3489) * CHOOSE(CONTROL!$C$21, $C$9, 100%, $E$9)</f>
        <v>9.3489000000000004</v>
      </c>
      <c r="N171" s="14">
        <f>CHOOSE(CONTROL!$C$42, 9.3662, 9.3662) * CHOOSE(CONTROL!$C$21, $C$9, 100%, $E$9)</f>
        <v>9.3661999999999992</v>
      </c>
      <c r="O171" s="14">
        <f>CHOOSE(CONTROL!$C$42, 9.4358, 9.4358) * CHOOSE(CONTROL!$C$21, $C$9, 100%, $E$9)</f>
        <v>9.4358000000000004</v>
      </c>
      <c r="P171" s="14">
        <f>CHOOSE(CONTROL!$C$42, 9.3945, 9.3945) * CHOOSE(CONTROL!$C$21, $C$9, 100%, $E$9)</f>
        <v>9.3945000000000007</v>
      </c>
      <c r="Q171" s="14">
        <f>CHOOSE(CONTROL!$C$42, 10.0305, 10.0305) * CHOOSE(CONTROL!$C$21, $C$9, 100%, $E$9)</f>
        <v>10.0305</v>
      </c>
      <c r="R171" s="14">
        <f>CHOOSE(CONTROL!$C$42, 10.6426, 10.6426) * CHOOSE(CONTROL!$C$21, $C$9, 100%, $E$9)</f>
        <v>10.6426</v>
      </c>
      <c r="S171" s="14">
        <f>CHOOSE(CONTROL!$C$42, 9.1394, 9.1394) * CHOOSE(CONTROL!$C$21, $C$9, 100%, $E$9)</f>
        <v>9.1394000000000002</v>
      </c>
      <c r="T17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71" s="57">
        <f>(1000*CHOOSE(CONTROL!$C$42, 695, 695)*CHOOSE(CONTROL!$C$42, 0.5599, 0.5599)*CHOOSE(CONTROL!$C$42, 31, 31))/1000000</f>
        <v>12.063045499999998</v>
      </c>
      <c r="V171" s="57">
        <f>(1000*CHOOSE(CONTROL!$C$42, 500, 500)*CHOOSE(CONTROL!$C$42, 0.275, 0.275)*CHOOSE(CONTROL!$C$42, 31, 31))/1000000</f>
        <v>4.2625000000000002</v>
      </c>
      <c r="W171" s="57">
        <f>(1000*CHOOSE(CONTROL!$C$42, 0.1146, 0.1146)*CHOOSE(CONTROL!$C$42, 121.5, 121.5)*CHOOSE(CONTROL!$C$42, 31, 31))/1000000</f>
        <v>0.43164089999999994</v>
      </c>
      <c r="X171" s="57">
        <f>(31*0.1790888*100000/1000000)+(31*0.2374*100000/1000000)</f>
        <v>1.2911152800000001</v>
      </c>
      <c r="Y171" s="57"/>
      <c r="Z171" s="14"/>
      <c r="AA171" s="56"/>
      <c r="AB171" s="50">
        <f>(B171*122.58+C171*297.941+D171*89.177+E171*40.302+F171*40+G171*160+H171*0+I171*100+J171*300)/(122.58+297.941+89.177+40.302+0+40+160+100+300)</f>
        <v>9.5482437680869552</v>
      </c>
      <c r="AC171" s="45">
        <f>(M171*'RAP TEMPLATE-GAS AVAILABILITY'!O170+N171*'RAP TEMPLATE-GAS AVAILABILITY'!P170+O171*'RAP TEMPLATE-GAS AVAILABILITY'!Q170+P171*'RAP TEMPLATE-GAS AVAILABILITY'!R170)/('RAP TEMPLATE-GAS AVAILABILITY'!O170+'RAP TEMPLATE-GAS AVAILABILITY'!P170+'RAP TEMPLATE-GAS AVAILABILITY'!Q170+'RAP TEMPLATE-GAS AVAILABILITY'!R170)</f>
        <v>9.3958431654676264</v>
      </c>
    </row>
    <row r="172" spans="1:29" ht="15.75" x14ac:dyDescent="0.25">
      <c r="A172" s="13">
        <v>46113</v>
      </c>
      <c r="B172" s="14">
        <f>CHOOSE(CONTROL!$C$42, 9.5122, 9.5122) * CHOOSE(CONTROL!$C$21, $C$9, 100%, $E$9)</f>
        <v>9.5122</v>
      </c>
      <c r="C172" s="14">
        <f>CHOOSE(CONTROL!$C$42, 9.5167, 9.5167) * CHOOSE(CONTROL!$C$21, $C$9, 100%, $E$9)</f>
        <v>9.5167000000000002</v>
      </c>
      <c r="D172" s="14">
        <f>CHOOSE(CONTROL!$C$42, 9.7405, 9.7405) * CHOOSE(CONTROL!$C$21, $C$9, 100%, $E$9)</f>
        <v>9.7405000000000008</v>
      </c>
      <c r="E172" s="14">
        <f>CHOOSE(CONTROL!$C$42, 9.7726, 9.7726) * CHOOSE(CONTROL!$C$21, $C$9, 100%, $E$9)</f>
        <v>9.7726000000000006</v>
      </c>
      <c r="F172" s="14">
        <f>CHOOSE(CONTROL!$C$42, 9.5399, 9.5399)*CHOOSE(CONTROL!$C$21, $C$9, 100%, $E$9)</f>
        <v>9.5398999999999994</v>
      </c>
      <c r="G172" s="14">
        <f>CHOOSE(CONTROL!$C$42, 9.5568, 9.5568)*CHOOSE(CONTROL!$C$21, $C$9, 100%, $E$9)</f>
        <v>9.5568000000000008</v>
      </c>
      <c r="H172" s="14">
        <f>CHOOSE(CONTROL!$C$42, 9.7623, 9.7623) * CHOOSE(CONTROL!$C$21, $C$9, 100%, $E$9)</f>
        <v>9.7622999999999998</v>
      </c>
      <c r="I172" s="14">
        <f>CHOOSE(CONTROL!$C$42, 9.5713, 9.5713)* CHOOSE(CONTROL!$C$21, $C$9, 100%, $E$9)</f>
        <v>9.5713000000000008</v>
      </c>
      <c r="J172" s="14">
        <f>CHOOSE(CONTROL!$C$42, 9.5329, 9.5329)* CHOOSE(CONTROL!$C$21, $C$9, 100%, $E$9)</f>
        <v>9.5328999999999997</v>
      </c>
      <c r="K172" s="53">
        <f>CHOOSE(CONTROL!$C$42, 9.5674, 9.5674) * CHOOSE(CONTROL!$C$21, $C$9, 100%, $E$9)</f>
        <v>9.5673999999999992</v>
      </c>
      <c r="L172" s="14">
        <f>CHOOSE(CONTROL!$C$42, 10.3493, 10.3493) * CHOOSE(CONTROL!$C$21, $C$9, 100%, $E$9)</f>
        <v>10.349299999999999</v>
      </c>
      <c r="M172" s="14">
        <f>CHOOSE(CONTROL!$C$42, 9.3453, 9.3453) * CHOOSE(CONTROL!$C$21, $C$9, 100%, $E$9)</f>
        <v>9.3452999999999999</v>
      </c>
      <c r="N172" s="14">
        <f>CHOOSE(CONTROL!$C$42, 9.3618, 9.3618) * CHOOSE(CONTROL!$C$21, $C$9, 100%, $E$9)</f>
        <v>9.3618000000000006</v>
      </c>
      <c r="O172" s="14">
        <f>CHOOSE(CONTROL!$C$42, 9.57, 9.57) * CHOOSE(CONTROL!$C$21, $C$9, 100%, $E$9)</f>
        <v>9.57</v>
      </c>
      <c r="P172" s="14">
        <f>CHOOSE(CONTROL!$C$42, 9.3824, 9.3824) * CHOOSE(CONTROL!$C$21, $C$9, 100%, $E$9)</f>
        <v>9.3824000000000005</v>
      </c>
      <c r="Q172" s="14">
        <f>CHOOSE(CONTROL!$C$42, 10.1647, 10.1647) * CHOOSE(CONTROL!$C$21, $C$9, 100%, $E$9)</f>
        <v>10.1647</v>
      </c>
      <c r="R172" s="14">
        <f>CHOOSE(CONTROL!$C$42, 10.7771, 10.7771) * CHOOSE(CONTROL!$C$21, $C$9, 100%, $E$9)</f>
        <v>10.777100000000001</v>
      </c>
      <c r="S172" s="14">
        <f>CHOOSE(CONTROL!$C$42, 9.131, 9.131) * CHOOSE(CONTROL!$C$21, $C$9, 100%, $E$9)</f>
        <v>9.1310000000000002</v>
      </c>
      <c r="T17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72" s="57">
        <f>(1000*CHOOSE(CONTROL!$C$42, 695, 695)*CHOOSE(CONTROL!$C$42, 0.5599, 0.5599)*CHOOSE(CONTROL!$C$42, 30, 30))/1000000</f>
        <v>11.673914999999997</v>
      </c>
      <c r="V172" s="57">
        <f>(1000*CHOOSE(CONTROL!$C$42, 500, 500)*CHOOSE(CONTROL!$C$42, 0.275, 0.275)*CHOOSE(CONTROL!$C$42, 30, 30))/1000000</f>
        <v>4.125</v>
      </c>
      <c r="W172" s="57">
        <f>(1000*CHOOSE(CONTROL!$C$42, 0.1146, 0.1146)*CHOOSE(CONTROL!$C$42, 121.5, 121.5)*CHOOSE(CONTROL!$C$42, 30, 30))/1000000</f>
        <v>0.417717</v>
      </c>
      <c r="X172" s="57">
        <f>(30*0.1790888*245000/1000000)+(30*0.2374*100000/1000000)</f>
        <v>2.0285026799999999</v>
      </c>
      <c r="Y172" s="57"/>
      <c r="Z172" s="14"/>
      <c r="AA172" s="56"/>
      <c r="AB172" s="50">
        <f>(B172*141.293+C172*267.993+D172*115.016+E172*89.698+F172*40+G172*185+H172*0+I172*100+J172*300)/(141.293+267.993+115.016+89.698+0+40+185+100+300)</f>
        <v>9.5705538987086349</v>
      </c>
      <c r="AC172" s="45">
        <f>(M172*'RAP TEMPLATE-GAS AVAILABILITY'!O171+N172*'RAP TEMPLATE-GAS AVAILABILITY'!P171+O172*'RAP TEMPLATE-GAS AVAILABILITY'!Q171+P172*'RAP TEMPLATE-GAS AVAILABILITY'!R171)/('RAP TEMPLATE-GAS AVAILABILITY'!O171+'RAP TEMPLATE-GAS AVAILABILITY'!P171+'RAP TEMPLATE-GAS AVAILABILITY'!Q171+'RAP TEMPLATE-GAS AVAILABILITY'!R171)</f>
        <v>9.4174820143884883</v>
      </c>
    </row>
    <row r="173" spans="1:29" ht="15.75" x14ac:dyDescent="0.25">
      <c r="A173" s="13">
        <v>46143</v>
      </c>
      <c r="B173" s="14">
        <f>CHOOSE(CONTROL!$C$42, 9.6172, 9.6172) * CHOOSE(CONTROL!$C$21, $C$9, 100%, $E$9)</f>
        <v>9.6172000000000004</v>
      </c>
      <c r="C173" s="14">
        <f>CHOOSE(CONTROL!$C$42, 9.6253, 9.6253) * CHOOSE(CONTROL!$C$21, $C$9, 100%, $E$9)</f>
        <v>9.6252999999999993</v>
      </c>
      <c r="D173" s="14">
        <f>CHOOSE(CONTROL!$C$42, 9.8459, 9.8459) * CHOOSE(CONTROL!$C$21, $C$9, 100%, $E$9)</f>
        <v>9.8459000000000003</v>
      </c>
      <c r="E173" s="14">
        <f>CHOOSE(CONTROL!$C$42, 9.8773, 9.8773) * CHOOSE(CONTROL!$C$21, $C$9, 100%, $E$9)</f>
        <v>9.8773</v>
      </c>
      <c r="F173" s="14">
        <f>CHOOSE(CONTROL!$C$42, 9.6435, 9.6435)*CHOOSE(CONTROL!$C$21, $C$9, 100%, $E$9)</f>
        <v>9.6434999999999995</v>
      </c>
      <c r="G173" s="14">
        <f>CHOOSE(CONTROL!$C$42, 9.6606, 9.6606)*CHOOSE(CONTROL!$C$21, $C$9, 100%, $E$9)</f>
        <v>9.6606000000000005</v>
      </c>
      <c r="H173" s="14">
        <f>CHOOSE(CONTROL!$C$42, 9.866, 9.866) * CHOOSE(CONTROL!$C$21, $C$9, 100%, $E$9)</f>
        <v>9.8659999999999997</v>
      </c>
      <c r="I173" s="14">
        <f>CHOOSE(CONTROL!$C$42, 9.6752, 9.6752)* CHOOSE(CONTROL!$C$21, $C$9, 100%, $E$9)</f>
        <v>9.6752000000000002</v>
      </c>
      <c r="J173" s="14">
        <f>CHOOSE(CONTROL!$C$42, 9.6365, 9.6365)* CHOOSE(CONTROL!$C$21, $C$9, 100%, $E$9)</f>
        <v>9.6364999999999998</v>
      </c>
      <c r="K173" s="53">
        <f>CHOOSE(CONTROL!$C$42, 9.6714, 9.6714) * CHOOSE(CONTROL!$C$21, $C$9, 100%, $E$9)</f>
        <v>9.6714000000000002</v>
      </c>
      <c r="L173" s="14">
        <f>CHOOSE(CONTROL!$C$42, 10.453, 10.453) * CHOOSE(CONTROL!$C$21, $C$9, 100%, $E$9)</f>
        <v>10.452999999999999</v>
      </c>
      <c r="M173" s="14">
        <f>CHOOSE(CONTROL!$C$42, 9.4468, 9.4468) * CHOOSE(CONTROL!$C$21, $C$9, 100%, $E$9)</f>
        <v>9.4467999999999996</v>
      </c>
      <c r="N173" s="14">
        <f>CHOOSE(CONTROL!$C$42, 9.4635, 9.4635) * CHOOSE(CONTROL!$C$21, $C$9, 100%, $E$9)</f>
        <v>9.4634999999999998</v>
      </c>
      <c r="O173" s="14">
        <f>CHOOSE(CONTROL!$C$42, 9.6715, 9.6715) * CHOOSE(CONTROL!$C$21, $C$9, 100%, $E$9)</f>
        <v>9.6715</v>
      </c>
      <c r="P173" s="14">
        <f>CHOOSE(CONTROL!$C$42, 9.4842, 9.4842) * CHOOSE(CONTROL!$C$21, $C$9, 100%, $E$9)</f>
        <v>9.4841999999999995</v>
      </c>
      <c r="Q173" s="14">
        <f>CHOOSE(CONTROL!$C$42, 10.2662, 10.2662) * CHOOSE(CONTROL!$C$21, $C$9, 100%, $E$9)</f>
        <v>10.2662</v>
      </c>
      <c r="R173" s="14">
        <f>CHOOSE(CONTROL!$C$42, 10.8789, 10.8789) * CHOOSE(CONTROL!$C$21, $C$9, 100%, $E$9)</f>
        <v>10.8789</v>
      </c>
      <c r="S173" s="14">
        <f>CHOOSE(CONTROL!$C$42, 9.2306, 9.2306) * CHOOSE(CONTROL!$C$21, $C$9, 100%, $E$9)</f>
        <v>9.2306000000000008</v>
      </c>
      <c r="T17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73" s="57">
        <f>(1000*CHOOSE(CONTROL!$C$42, 695, 695)*CHOOSE(CONTROL!$C$42, 0.5599, 0.5599)*CHOOSE(CONTROL!$C$42, 31, 31))/1000000</f>
        <v>12.063045499999998</v>
      </c>
      <c r="V173" s="57">
        <f>(1000*CHOOSE(CONTROL!$C$42, 500, 500)*CHOOSE(CONTROL!$C$42, 0.275, 0.275)*CHOOSE(CONTROL!$C$42, 31, 31))/1000000</f>
        <v>4.2625000000000002</v>
      </c>
      <c r="W173" s="57">
        <f>(1000*CHOOSE(CONTROL!$C$42, 0.1146, 0.1146)*CHOOSE(CONTROL!$C$42, 121.5, 121.5)*CHOOSE(CONTROL!$C$42, 31, 31))/1000000</f>
        <v>0.43164089999999994</v>
      </c>
      <c r="X173" s="57">
        <f>(31*0.1790888*245000/1000000)+(31*0.2374*100000/1000000)</f>
        <v>2.0961194359999999</v>
      </c>
      <c r="Y173" s="57"/>
      <c r="Z173" s="14"/>
      <c r="AA173" s="56"/>
      <c r="AB173" s="50">
        <f>(B173*194.205+C173*267.466+D173*133.845+E173*53.484+F173*40+G173*185+H173*0+I173*100+J173*300)/(194.205+267.466+133.845+53.484+0+40+185+100+300)</f>
        <v>9.6700720678963901</v>
      </c>
      <c r="AC173" s="45">
        <f>(M173*'RAP TEMPLATE-GAS AVAILABILITY'!O172+N173*'RAP TEMPLATE-GAS AVAILABILITY'!P172+O173*'RAP TEMPLATE-GAS AVAILABILITY'!Q172+P173*'RAP TEMPLATE-GAS AVAILABILITY'!R172)/('RAP TEMPLATE-GAS AVAILABILITY'!O172+'RAP TEMPLATE-GAS AVAILABILITY'!P172+'RAP TEMPLATE-GAS AVAILABILITY'!Q172+'RAP TEMPLATE-GAS AVAILABILITY'!R172)</f>
        <v>9.5190712230215819</v>
      </c>
    </row>
    <row r="174" spans="1:29" ht="15.75" x14ac:dyDescent="0.25">
      <c r="A174" s="13">
        <v>46174</v>
      </c>
      <c r="B174" s="14">
        <f>CHOOSE(CONTROL!$C$42, 9.9101, 9.9101) * CHOOSE(CONTROL!$C$21, $C$9, 100%, $E$9)</f>
        <v>9.9100999999999999</v>
      </c>
      <c r="C174" s="14">
        <f>CHOOSE(CONTROL!$C$42, 9.9181, 9.9181) * CHOOSE(CONTROL!$C$21, $C$9, 100%, $E$9)</f>
        <v>9.9181000000000008</v>
      </c>
      <c r="D174" s="14">
        <f>CHOOSE(CONTROL!$C$42, 10.1387, 10.1387) * CHOOSE(CONTROL!$C$21, $C$9, 100%, $E$9)</f>
        <v>10.1387</v>
      </c>
      <c r="E174" s="14">
        <f>CHOOSE(CONTROL!$C$42, 10.1701, 10.1701) * CHOOSE(CONTROL!$C$21, $C$9, 100%, $E$9)</f>
        <v>10.1701</v>
      </c>
      <c r="F174" s="14">
        <f>CHOOSE(CONTROL!$C$42, 9.9367, 9.9367)*CHOOSE(CONTROL!$C$21, $C$9, 100%, $E$9)</f>
        <v>9.9367000000000001</v>
      </c>
      <c r="G174" s="14">
        <f>CHOOSE(CONTROL!$C$42, 9.9539, 9.9539)*CHOOSE(CONTROL!$C$21, $C$9, 100%, $E$9)</f>
        <v>9.9539000000000009</v>
      </c>
      <c r="H174" s="14">
        <f>CHOOSE(CONTROL!$C$42, 10.1588, 10.1588) * CHOOSE(CONTROL!$C$21, $C$9, 100%, $E$9)</f>
        <v>10.158799999999999</v>
      </c>
      <c r="I174" s="14">
        <f>CHOOSE(CONTROL!$C$42, 9.969, 9.969)* CHOOSE(CONTROL!$C$21, $C$9, 100%, $E$9)</f>
        <v>9.9689999999999994</v>
      </c>
      <c r="J174" s="14">
        <f>CHOOSE(CONTROL!$C$42, 9.9297, 9.9297)* CHOOSE(CONTROL!$C$21, $C$9, 100%, $E$9)</f>
        <v>9.9297000000000004</v>
      </c>
      <c r="K174" s="53">
        <f>CHOOSE(CONTROL!$C$42, 9.9651, 9.9651) * CHOOSE(CONTROL!$C$21, $C$9, 100%, $E$9)</f>
        <v>9.9650999999999996</v>
      </c>
      <c r="L174" s="14">
        <f>CHOOSE(CONTROL!$C$42, 10.7458, 10.7458) * CHOOSE(CONTROL!$C$21, $C$9, 100%, $E$9)</f>
        <v>10.745799999999999</v>
      </c>
      <c r="M174" s="14">
        <f>CHOOSE(CONTROL!$C$42, 9.7339, 9.7339) * CHOOSE(CONTROL!$C$21, $C$9, 100%, $E$9)</f>
        <v>9.7339000000000002</v>
      </c>
      <c r="N174" s="14">
        <f>CHOOSE(CONTROL!$C$42, 9.7508, 9.7508) * CHOOSE(CONTROL!$C$21, $C$9, 100%, $E$9)</f>
        <v>9.7507999999999999</v>
      </c>
      <c r="O174" s="14">
        <f>CHOOSE(CONTROL!$C$42, 9.9583, 9.9583) * CHOOSE(CONTROL!$C$21, $C$9, 100%, $E$9)</f>
        <v>9.9582999999999995</v>
      </c>
      <c r="P174" s="14">
        <f>CHOOSE(CONTROL!$C$42, 9.7719, 9.7719) * CHOOSE(CONTROL!$C$21, $C$9, 100%, $E$9)</f>
        <v>9.7719000000000005</v>
      </c>
      <c r="Q174" s="14">
        <f>CHOOSE(CONTROL!$C$42, 10.553, 10.553) * CHOOSE(CONTROL!$C$21, $C$9, 100%, $E$9)</f>
        <v>10.553000000000001</v>
      </c>
      <c r="R174" s="14">
        <f>CHOOSE(CONTROL!$C$42, 11.1664, 11.1664) * CHOOSE(CONTROL!$C$21, $C$9, 100%, $E$9)</f>
        <v>11.166399999999999</v>
      </c>
      <c r="S174" s="14">
        <f>CHOOSE(CONTROL!$C$42, 9.5119, 9.5119) * CHOOSE(CONTROL!$C$21, $C$9, 100%, $E$9)</f>
        <v>9.5119000000000007</v>
      </c>
      <c r="T17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74" s="57">
        <f>(1000*CHOOSE(CONTROL!$C$42, 695, 695)*CHOOSE(CONTROL!$C$42, 0.5599, 0.5599)*CHOOSE(CONTROL!$C$42, 30, 30))/1000000</f>
        <v>11.673914999999997</v>
      </c>
      <c r="V174" s="57">
        <f>(1000*CHOOSE(CONTROL!$C$42, 500, 500)*CHOOSE(CONTROL!$C$42, 0.275, 0.275)*CHOOSE(CONTROL!$C$42, 30, 30))/1000000</f>
        <v>4.125</v>
      </c>
      <c r="W174" s="57">
        <f>(1000*CHOOSE(CONTROL!$C$42, 0.1146, 0.1146)*CHOOSE(CONTROL!$C$42, 121.5, 121.5)*CHOOSE(CONTROL!$C$42, 30, 30))/1000000</f>
        <v>0.417717</v>
      </c>
      <c r="X174" s="57">
        <f>(30*0.1790888*245000/1000000)+(30*0.2374*100000/1000000)</f>
        <v>2.0285026799999999</v>
      </c>
      <c r="Y174" s="57"/>
      <c r="Z174" s="14"/>
      <c r="AA174" s="56"/>
      <c r="AB174" s="50">
        <f>(B174*194.205+C174*267.466+D174*133.845+E174*53.484+F174*40+G174*185+H174*0+I174*100+J174*300)/(194.205+267.466+133.845+53.484+0+40+185+100+300)</f>
        <v>9.9631451609105177</v>
      </c>
      <c r="AC174" s="45">
        <f>(M174*'RAP TEMPLATE-GAS AVAILABILITY'!O173+N174*'RAP TEMPLATE-GAS AVAILABILITY'!P173+O174*'RAP TEMPLATE-GAS AVAILABILITY'!Q173+P174*'RAP TEMPLATE-GAS AVAILABILITY'!R173)/('RAP TEMPLATE-GAS AVAILABILITY'!O173+'RAP TEMPLATE-GAS AVAILABILITY'!P173+'RAP TEMPLATE-GAS AVAILABILITY'!Q173+'RAP TEMPLATE-GAS AVAILABILITY'!R173)</f>
        <v>9.8062194244604317</v>
      </c>
    </row>
    <row r="175" spans="1:29" ht="15.75" x14ac:dyDescent="0.25">
      <c r="A175" s="13">
        <v>46204</v>
      </c>
      <c r="B175" s="14">
        <f>CHOOSE(CONTROL!$C$42, 9.7402, 9.7402) * CHOOSE(CONTROL!$C$21, $C$9, 100%, $E$9)</f>
        <v>9.7401999999999997</v>
      </c>
      <c r="C175" s="14">
        <f>CHOOSE(CONTROL!$C$42, 9.7482, 9.7482) * CHOOSE(CONTROL!$C$21, $C$9, 100%, $E$9)</f>
        <v>9.7482000000000006</v>
      </c>
      <c r="D175" s="14">
        <f>CHOOSE(CONTROL!$C$42, 9.9688, 9.9688) * CHOOSE(CONTROL!$C$21, $C$9, 100%, $E$9)</f>
        <v>9.9687999999999999</v>
      </c>
      <c r="E175" s="14">
        <f>CHOOSE(CONTROL!$C$42, 10.0002, 10.0002) * CHOOSE(CONTROL!$C$21, $C$9, 100%, $E$9)</f>
        <v>10.0002</v>
      </c>
      <c r="F175" s="14">
        <f>CHOOSE(CONTROL!$C$42, 9.7672, 9.7672)*CHOOSE(CONTROL!$C$21, $C$9, 100%, $E$9)</f>
        <v>9.7672000000000008</v>
      </c>
      <c r="G175" s="14">
        <f>CHOOSE(CONTROL!$C$42, 9.7846, 9.7846)*CHOOSE(CONTROL!$C$21, $C$9, 100%, $E$9)</f>
        <v>9.7845999999999993</v>
      </c>
      <c r="H175" s="14">
        <f>CHOOSE(CONTROL!$C$42, 9.9889, 9.9889) * CHOOSE(CONTROL!$C$21, $C$9, 100%, $E$9)</f>
        <v>9.9888999999999992</v>
      </c>
      <c r="I175" s="14">
        <f>CHOOSE(CONTROL!$C$42, 9.7986, 9.7986)* CHOOSE(CONTROL!$C$21, $C$9, 100%, $E$9)</f>
        <v>9.7986000000000004</v>
      </c>
      <c r="J175" s="14">
        <f>CHOOSE(CONTROL!$C$42, 9.7602, 9.7602)* CHOOSE(CONTROL!$C$21, $C$9, 100%, $E$9)</f>
        <v>9.7601999999999993</v>
      </c>
      <c r="K175" s="53">
        <f>CHOOSE(CONTROL!$C$42, 9.7947, 9.7947) * CHOOSE(CONTROL!$C$21, $C$9, 100%, $E$9)</f>
        <v>9.7947000000000006</v>
      </c>
      <c r="L175" s="14">
        <f>CHOOSE(CONTROL!$C$42, 10.5759, 10.5759) * CHOOSE(CONTROL!$C$21, $C$9, 100%, $E$9)</f>
        <v>10.575900000000001</v>
      </c>
      <c r="M175" s="14">
        <f>CHOOSE(CONTROL!$C$42, 9.5679, 9.5679) * CHOOSE(CONTROL!$C$21, $C$9, 100%, $E$9)</f>
        <v>9.5678999999999998</v>
      </c>
      <c r="N175" s="14">
        <f>CHOOSE(CONTROL!$C$42, 9.5849, 9.5849) * CHOOSE(CONTROL!$C$21, $C$9, 100%, $E$9)</f>
        <v>9.5848999999999993</v>
      </c>
      <c r="O175" s="14">
        <f>CHOOSE(CONTROL!$C$42, 9.7919, 9.7919) * CHOOSE(CONTROL!$C$21, $C$9, 100%, $E$9)</f>
        <v>9.7919</v>
      </c>
      <c r="P175" s="14">
        <f>CHOOSE(CONTROL!$C$42, 9.6049, 9.6049) * CHOOSE(CONTROL!$C$21, $C$9, 100%, $E$9)</f>
        <v>9.6049000000000007</v>
      </c>
      <c r="Q175" s="14">
        <f>CHOOSE(CONTROL!$C$42, 10.3866, 10.3866) * CHOOSE(CONTROL!$C$21, $C$9, 100%, $E$9)</f>
        <v>10.3866</v>
      </c>
      <c r="R175" s="14">
        <f>CHOOSE(CONTROL!$C$42, 10.9996, 10.9996) * CHOOSE(CONTROL!$C$21, $C$9, 100%, $E$9)</f>
        <v>10.999599999999999</v>
      </c>
      <c r="S175" s="14">
        <f>CHOOSE(CONTROL!$C$42, 9.3487, 9.3487) * CHOOSE(CONTROL!$C$21, $C$9, 100%, $E$9)</f>
        <v>9.3486999999999991</v>
      </c>
      <c r="T17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75" s="57">
        <f>(1000*CHOOSE(CONTROL!$C$42, 695, 695)*CHOOSE(CONTROL!$C$42, 0.5599, 0.5599)*CHOOSE(CONTROL!$C$42, 31, 31))/1000000</f>
        <v>12.063045499999998</v>
      </c>
      <c r="V175" s="57">
        <f>(1000*CHOOSE(CONTROL!$C$42, 500, 500)*CHOOSE(CONTROL!$C$42, 0.275, 0.275)*CHOOSE(CONTROL!$C$42, 31, 31))/1000000</f>
        <v>4.2625000000000002</v>
      </c>
      <c r="W175" s="57">
        <f>(1000*CHOOSE(CONTROL!$C$42, 0.1146, 0.1146)*CHOOSE(CONTROL!$C$42, 121.5, 121.5)*CHOOSE(CONTROL!$C$42, 31, 31))/1000000</f>
        <v>0.43164089999999994</v>
      </c>
      <c r="X175" s="57">
        <f>(31*0.1790888*245000/1000000)+(31*0.2374*100000/1000000)</f>
        <v>2.0961194359999999</v>
      </c>
      <c r="Y175" s="57"/>
      <c r="Z175" s="14"/>
      <c r="AA175" s="56"/>
      <c r="AB175" s="50">
        <f>(B175*194.205+C175*267.466+D175*133.845+E175*53.484+F175*40+G175*185+H175*0+I175*100+J175*300)/(194.205+267.466+133.845+53.484+0+40+185+100+300)</f>
        <v>9.7933997919937212</v>
      </c>
      <c r="AC175" s="45">
        <f>(M175*'RAP TEMPLATE-GAS AVAILABILITY'!O174+N175*'RAP TEMPLATE-GAS AVAILABILITY'!P174+O175*'RAP TEMPLATE-GAS AVAILABILITY'!Q174+P175*'RAP TEMPLATE-GAS AVAILABILITY'!R174)/('RAP TEMPLATE-GAS AVAILABILITY'!O174+'RAP TEMPLATE-GAS AVAILABILITY'!P174+'RAP TEMPLATE-GAS AVAILABILITY'!Q174+'RAP TEMPLATE-GAS AVAILABILITY'!R174)</f>
        <v>9.6399863309352511</v>
      </c>
    </row>
    <row r="176" spans="1:29" ht="15.75" x14ac:dyDescent="0.25">
      <c r="A176" s="13">
        <v>46235</v>
      </c>
      <c r="B176" s="14">
        <f>CHOOSE(CONTROL!$C$42, 9.2787, 9.2787) * CHOOSE(CONTROL!$C$21, $C$9, 100%, $E$9)</f>
        <v>9.2787000000000006</v>
      </c>
      <c r="C176" s="14">
        <f>CHOOSE(CONTROL!$C$42, 9.2867, 9.2867) * CHOOSE(CONTROL!$C$21, $C$9, 100%, $E$9)</f>
        <v>9.2866999999999997</v>
      </c>
      <c r="D176" s="14">
        <f>CHOOSE(CONTROL!$C$42, 9.5073, 9.5073) * CHOOSE(CONTROL!$C$21, $C$9, 100%, $E$9)</f>
        <v>9.5073000000000008</v>
      </c>
      <c r="E176" s="14">
        <f>CHOOSE(CONTROL!$C$42, 9.5388, 9.5388) * CHOOSE(CONTROL!$C$21, $C$9, 100%, $E$9)</f>
        <v>9.5388000000000002</v>
      </c>
      <c r="F176" s="14">
        <f>CHOOSE(CONTROL!$C$42, 9.306, 9.306)*CHOOSE(CONTROL!$C$21, $C$9, 100%, $E$9)</f>
        <v>9.3059999999999992</v>
      </c>
      <c r="G176" s="14">
        <f>CHOOSE(CONTROL!$C$42, 9.3235, 9.3235)*CHOOSE(CONTROL!$C$21, $C$9, 100%, $E$9)</f>
        <v>9.3234999999999992</v>
      </c>
      <c r="H176" s="14">
        <f>CHOOSE(CONTROL!$C$42, 9.5274, 9.5274) * CHOOSE(CONTROL!$C$21, $C$9, 100%, $E$9)</f>
        <v>9.5274000000000001</v>
      </c>
      <c r="I176" s="14">
        <f>CHOOSE(CONTROL!$C$42, 9.3356, 9.3356)* CHOOSE(CONTROL!$C$21, $C$9, 100%, $E$9)</f>
        <v>9.3355999999999995</v>
      </c>
      <c r="J176" s="14">
        <f>CHOOSE(CONTROL!$C$42, 9.299, 9.299)* CHOOSE(CONTROL!$C$21, $C$9, 100%, $E$9)</f>
        <v>9.2989999999999995</v>
      </c>
      <c r="K176" s="53">
        <f>CHOOSE(CONTROL!$C$42, 9.3317, 9.3317) * CHOOSE(CONTROL!$C$21, $C$9, 100%, $E$9)</f>
        <v>9.3316999999999997</v>
      </c>
      <c r="L176" s="14">
        <f>CHOOSE(CONTROL!$C$42, 10.1144, 10.1144) * CHOOSE(CONTROL!$C$21, $C$9, 100%, $E$9)</f>
        <v>10.1144</v>
      </c>
      <c r="M176" s="14">
        <f>CHOOSE(CONTROL!$C$42, 9.1162, 9.1162) * CHOOSE(CONTROL!$C$21, $C$9, 100%, $E$9)</f>
        <v>9.1161999999999992</v>
      </c>
      <c r="N176" s="14">
        <f>CHOOSE(CONTROL!$C$42, 9.1333, 9.1333) * CHOOSE(CONTROL!$C$21, $C$9, 100%, $E$9)</f>
        <v>9.1333000000000002</v>
      </c>
      <c r="O176" s="14">
        <f>CHOOSE(CONTROL!$C$42, 9.3399, 9.3399) * CHOOSE(CONTROL!$C$21, $C$9, 100%, $E$9)</f>
        <v>9.3399000000000001</v>
      </c>
      <c r="P176" s="14">
        <f>CHOOSE(CONTROL!$C$42, 9.1515, 9.1515) * CHOOSE(CONTROL!$C$21, $C$9, 100%, $E$9)</f>
        <v>9.1515000000000004</v>
      </c>
      <c r="Q176" s="14">
        <f>CHOOSE(CONTROL!$C$42, 9.9346, 9.9346) * CHOOSE(CONTROL!$C$21, $C$9, 100%, $E$9)</f>
        <v>9.9345999999999997</v>
      </c>
      <c r="R176" s="14">
        <f>CHOOSE(CONTROL!$C$42, 10.5464, 10.5464) * CHOOSE(CONTROL!$C$21, $C$9, 100%, $E$9)</f>
        <v>10.5464</v>
      </c>
      <c r="S176" s="14">
        <f>CHOOSE(CONTROL!$C$42, 8.9053, 8.9053) * CHOOSE(CONTROL!$C$21, $C$9, 100%, $E$9)</f>
        <v>8.9053000000000004</v>
      </c>
      <c r="T17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76" s="57">
        <f>(1000*CHOOSE(CONTROL!$C$42, 695, 695)*CHOOSE(CONTROL!$C$42, 0.5599, 0.5599)*CHOOSE(CONTROL!$C$42, 31, 31))/1000000</f>
        <v>12.063045499999998</v>
      </c>
      <c r="V176" s="57">
        <f>(1000*CHOOSE(CONTROL!$C$42, 500, 500)*CHOOSE(CONTROL!$C$42, 0.275, 0.275)*CHOOSE(CONTROL!$C$42, 31, 31))/1000000</f>
        <v>4.2625000000000002</v>
      </c>
      <c r="W176" s="57">
        <f>(1000*CHOOSE(CONTROL!$C$42, 0.1146, 0.1146)*CHOOSE(CONTROL!$C$42, 121.5, 121.5)*CHOOSE(CONTROL!$C$42, 31, 31))/1000000</f>
        <v>0.43164089999999994</v>
      </c>
      <c r="X176" s="57">
        <f>(31*0.1790888*245000/1000000)+(31*0.2374*100000/1000000)</f>
        <v>2.0961194359999999</v>
      </c>
      <c r="Y176" s="57"/>
      <c r="Z176" s="14"/>
      <c r="AA176" s="56"/>
      <c r="AB176" s="50">
        <f>(B176*194.205+C176*267.466+D176*133.845+E176*53.484+F176*40+G176*185+H176*0+I176*100+J176*300)/(194.205+267.466+133.845+53.484+0+40+185+100+300)</f>
        <v>9.3319243982731557</v>
      </c>
      <c r="AC176" s="45">
        <f>(M176*'RAP TEMPLATE-GAS AVAILABILITY'!O175+N176*'RAP TEMPLATE-GAS AVAILABILITY'!P175+O176*'RAP TEMPLATE-GAS AVAILABILITY'!Q175+P176*'RAP TEMPLATE-GAS AVAILABILITY'!R175)/('RAP TEMPLATE-GAS AVAILABILITY'!O175+'RAP TEMPLATE-GAS AVAILABILITY'!P175+'RAP TEMPLATE-GAS AVAILABILITY'!Q175+'RAP TEMPLATE-GAS AVAILABILITY'!R175)</f>
        <v>9.1879805755395694</v>
      </c>
    </row>
    <row r="177" spans="1:29" ht="15.75" x14ac:dyDescent="0.25">
      <c r="A177" s="13">
        <v>46266</v>
      </c>
      <c r="B177" s="14">
        <f>CHOOSE(CONTROL!$C$42, 8.708, 8.708) * CHOOSE(CONTROL!$C$21, $C$9, 100%, $E$9)</f>
        <v>8.7080000000000002</v>
      </c>
      <c r="C177" s="14">
        <f>CHOOSE(CONTROL!$C$42, 8.716, 8.716) * CHOOSE(CONTROL!$C$21, $C$9, 100%, $E$9)</f>
        <v>8.7159999999999993</v>
      </c>
      <c r="D177" s="14">
        <f>CHOOSE(CONTROL!$C$42, 8.9366, 8.9366) * CHOOSE(CONTROL!$C$21, $C$9, 100%, $E$9)</f>
        <v>8.9366000000000003</v>
      </c>
      <c r="E177" s="14">
        <f>CHOOSE(CONTROL!$C$42, 8.9681, 8.9681) * CHOOSE(CONTROL!$C$21, $C$9, 100%, $E$9)</f>
        <v>8.9680999999999997</v>
      </c>
      <c r="F177" s="14">
        <f>CHOOSE(CONTROL!$C$42, 8.7354, 8.7354)*CHOOSE(CONTROL!$C$21, $C$9, 100%, $E$9)</f>
        <v>8.7354000000000003</v>
      </c>
      <c r="G177" s="14">
        <f>CHOOSE(CONTROL!$C$42, 8.7528, 8.7528)*CHOOSE(CONTROL!$C$21, $C$9, 100%, $E$9)</f>
        <v>8.7528000000000006</v>
      </c>
      <c r="H177" s="14">
        <f>CHOOSE(CONTROL!$C$42, 8.9567, 8.9567) * CHOOSE(CONTROL!$C$21, $C$9, 100%, $E$9)</f>
        <v>8.9566999999999997</v>
      </c>
      <c r="I177" s="14">
        <f>CHOOSE(CONTROL!$C$42, 8.7632, 8.7632)* CHOOSE(CONTROL!$C$21, $C$9, 100%, $E$9)</f>
        <v>8.7631999999999994</v>
      </c>
      <c r="J177" s="14">
        <f>CHOOSE(CONTROL!$C$42, 8.7284, 8.7284)* CHOOSE(CONTROL!$C$21, $C$9, 100%, $E$9)</f>
        <v>8.7284000000000006</v>
      </c>
      <c r="K177" s="53">
        <f>CHOOSE(CONTROL!$C$42, 8.7593, 8.7593) * CHOOSE(CONTROL!$C$21, $C$9, 100%, $E$9)</f>
        <v>8.7592999999999996</v>
      </c>
      <c r="L177" s="14">
        <f>CHOOSE(CONTROL!$C$42, 9.5437, 9.5437) * CHOOSE(CONTROL!$C$21, $C$9, 100%, $E$9)</f>
        <v>9.5436999999999994</v>
      </c>
      <c r="M177" s="14">
        <f>CHOOSE(CONTROL!$C$42, 8.5572, 8.5572) * CHOOSE(CONTROL!$C$21, $C$9, 100%, $E$9)</f>
        <v>8.5571999999999999</v>
      </c>
      <c r="N177" s="14">
        <f>CHOOSE(CONTROL!$C$42, 8.5743, 8.5743) * CHOOSE(CONTROL!$C$21, $C$9, 100%, $E$9)</f>
        <v>8.5742999999999991</v>
      </c>
      <c r="O177" s="14">
        <f>CHOOSE(CONTROL!$C$42, 8.7809, 8.7809) * CHOOSE(CONTROL!$C$21, $C$9, 100%, $E$9)</f>
        <v>8.7809000000000008</v>
      </c>
      <c r="P177" s="14">
        <f>CHOOSE(CONTROL!$C$42, 8.5908, 8.5908) * CHOOSE(CONTROL!$C$21, $C$9, 100%, $E$9)</f>
        <v>8.5907999999999998</v>
      </c>
      <c r="Q177" s="14">
        <f>CHOOSE(CONTROL!$C$42, 9.3756, 9.3756) * CHOOSE(CONTROL!$C$21, $C$9, 100%, $E$9)</f>
        <v>9.3756000000000004</v>
      </c>
      <c r="R177" s="14">
        <f>CHOOSE(CONTROL!$C$42, 9.986, 9.986) * CHOOSE(CONTROL!$C$21, $C$9, 100%, $E$9)</f>
        <v>9.9860000000000007</v>
      </c>
      <c r="S177" s="14">
        <f>CHOOSE(CONTROL!$C$42, 8.3569, 8.3569) * CHOOSE(CONTROL!$C$21, $C$9, 100%, $E$9)</f>
        <v>8.3568999999999996</v>
      </c>
      <c r="T17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77" s="57">
        <f>(1000*CHOOSE(CONTROL!$C$42, 695, 695)*CHOOSE(CONTROL!$C$42, 0.5599, 0.5599)*CHOOSE(CONTROL!$C$42, 30, 30))/1000000</f>
        <v>11.673914999999997</v>
      </c>
      <c r="V177" s="57">
        <f>(1000*CHOOSE(CONTROL!$C$42, 500, 500)*CHOOSE(CONTROL!$C$42, 0.275, 0.275)*CHOOSE(CONTROL!$C$42, 30, 30))/1000000</f>
        <v>4.125</v>
      </c>
      <c r="W177" s="57">
        <f>(1000*CHOOSE(CONTROL!$C$42, 0.1146, 0.1146)*CHOOSE(CONTROL!$C$42, 121.5, 121.5)*CHOOSE(CONTROL!$C$42, 30, 30))/1000000</f>
        <v>0.417717</v>
      </c>
      <c r="X177" s="57">
        <f>(30*0.1790888*245000/1000000)+(30*0.2374*100000/1000000)</f>
        <v>2.0285026799999999</v>
      </c>
      <c r="Y177" s="57"/>
      <c r="Z177" s="14"/>
      <c r="AA177" s="56"/>
      <c r="AB177" s="50">
        <f>(B177*194.205+C177*267.466+D177*133.845+E177*53.484+F177*40+G177*185+H177*0+I177*100+J177*300)/(194.205+267.466+133.845+53.484+0+40+185+100+300)</f>
        <v>8.7611176478806918</v>
      </c>
      <c r="AC177" s="45">
        <f>(M177*'RAP TEMPLATE-GAS AVAILABILITY'!O176+N177*'RAP TEMPLATE-GAS AVAILABILITY'!P176+O177*'RAP TEMPLATE-GAS AVAILABILITY'!Q176+P177*'RAP TEMPLATE-GAS AVAILABILITY'!R176)/('RAP TEMPLATE-GAS AVAILABILITY'!O176+'RAP TEMPLATE-GAS AVAILABILITY'!P176+'RAP TEMPLATE-GAS AVAILABILITY'!Q176+'RAP TEMPLATE-GAS AVAILABILITY'!R176)</f>
        <v>8.6287359712230209</v>
      </c>
    </row>
    <row r="178" spans="1:29" ht="15.75" x14ac:dyDescent="0.25">
      <c r="A178" s="13">
        <v>46296</v>
      </c>
      <c r="B178" s="14">
        <f>CHOOSE(CONTROL!$C$42, 8.5472, 8.5472) * CHOOSE(CONTROL!$C$21, $C$9, 100%, $E$9)</f>
        <v>8.5472000000000001</v>
      </c>
      <c r="C178" s="14">
        <f>CHOOSE(CONTROL!$C$42, 8.5526, 8.5526) * CHOOSE(CONTROL!$C$21, $C$9, 100%, $E$9)</f>
        <v>8.5526</v>
      </c>
      <c r="D178" s="14">
        <f>CHOOSE(CONTROL!$C$42, 8.7781, 8.7781) * CHOOSE(CONTROL!$C$21, $C$9, 100%, $E$9)</f>
        <v>8.7781000000000002</v>
      </c>
      <c r="E178" s="14">
        <f>CHOOSE(CONTROL!$C$42, 8.8072, 8.8072) * CHOOSE(CONTROL!$C$21, $C$9, 100%, $E$9)</f>
        <v>8.8071999999999999</v>
      </c>
      <c r="F178" s="14">
        <f>CHOOSE(CONTROL!$C$42, 8.5766, 8.5766)*CHOOSE(CONTROL!$C$21, $C$9, 100%, $E$9)</f>
        <v>8.5765999999999991</v>
      </c>
      <c r="G178" s="14">
        <f>CHOOSE(CONTROL!$C$42, 8.5938, 8.5938)*CHOOSE(CONTROL!$C$21, $C$9, 100%, $E$9)</f>
        <v>8.5937999999999999</v>
      </c>
      <c r="H178" s="14">
        <f>CHOOSE(CONTROL!$C$42, 8.7977, 8.7977) * CHOOSE(CONTROL!$C$21, $C$9, 100%, $E$9)</f>
        <v>8.7977000000000007</v>
      </c>
      <c r="I178" s="14">
        <f>CHOOSE(CONTROL!$C$42, 8.6037, 8.6037)* CHOOSE(CONTROL!$C$21, $C$9, 100%, $E$9)</f>
        <v>8.6036999999999999</v>
      </c>
      <c r="J178" s="14">
        <f>CHOOSE(CONTROL!$C$42, 8.5696, 8.5696)* CHOOSE(CONTROL!$C$21, $C$9, 100%, $E$9)</f>
        <v>8.5695999999999994</v>
      </c>
      <c r="K178" s="53">
        <f>CHOOSE(CONTROL!$C$42, 8.5998, 8.5998) * CHOOSE(CONTROL!$C$21, $C$9, 100%, $E$9)</f>
        <v>8.5998000000000001</v>
      </c>
      <c r="L178" s="14">
        <f>CHOOSE(CONTROL!$C$42, 9.3847, 9.3847) * CHOOSE(CONTROL!$C$21, $C$9, 100%, $E$9)</f>
        <v>9.3847000000000005</v>
      </c>
      <c r="M178" s="14">
        <f>CHOOSE(CONTROL!$C$42, 8.4017, 8.4017) * CHOOSE(CONTROL!$C$21, $C$9, 100%, $E$9)</f>
        <v>8.4016999999999999</v>
      </c>
      <c r="N178" s="14">
        <f>CHOOSE(CONTROL!$C$42, 8.4186, 8.4186) * CHOOSE(CONTROL!$C$21, $C$9, 100%, $E$9)</f>
        <v>8.4185999999999996</v>
      </c>
      <c r="O178" s="14">
        <f>CHOOSE(CONTROL!$C$42, 8.6251, 8.6251) * CHOOSE(CONTROL!$C$21, $C$9, 100%, $E$9)</f>
        <v>8.6250999999999998</v>
      </c>
      <c r="P178" s="14">
        <f>CHOOSE(CONTROL!$C$42, 8.4346, 8.4346) * CHOOSE(CONTROL!$C$21, $C$9, 100%, $E$9)</f>
        <v>8.4345999999999997</v>
      </c>
      <c r="Q178" s="14">
        <f>CHOOSE(CONTROL!$C$42, 9.2198, 9.2198) * CHOOSE(CONTROL!$C$21, $C$9, 100%, $E$9)</f>
        <v>9.2197999999999993</v>
      </c>
      <c r="R178" s="14">
        <f>CHOOSE(CONTROL!$C$42, 9.8299, 9.8299) * CHOOSE(CONTROL!$C$21, $C$9, 100%, $E$9)</f>
        <v>9.8299000000000003</v>
      </c>
      <c r="S178" s="14">
        <f>CHOOSE(CONTROL!$C$42, 8.2041, 8.2041) * CHOOSE(CONTROL!$C$21, $C$9, 100%, $E$9)</f>
        <v>8.2041000000000004</v>
      </c>
      <c r="T17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78" s="57">
        <f>(1000*CHOOSE(CONTROL!$C$42, 695, 695)*CHOOSE(CONTROL!$C$42, 0.5599, 0.5599)*CHOOSE(CONTROL!$C$42, 31, 31))/1000000</f>
        <v>12.063045499999998</v>
      </c>
      <c r="V178" s="57">
        <f>(1000*CHOOSE(CONTROL!$C$42, 500, 500)*CHOOSE(CONTROL!$C$42, 0.275, 0.275)*CHOOSE(CONTROL!$C$42, 31, 31))/1000000</f>
        <v>4.2625000000000002</v>
      </c>
      <c r="W178" s="57">
        <f>(1000*CHOOSE(CONTROL!$C$42, 0.1146, 0.1146)*CHOOSE(CONTROL!$C$42, 121.5, 121.5)*CHOOSE(CONTROL!$C$42, 31, 31))/1000000</f>
        <v>0.43164089999999994</v>
      </c>
      <c r="X178" s="57">
        <f>(31*0.1790888*245000/1000000)+(31*0.2374*100000/1000000)</f>
        <v>2.0961194359999999</v>
      </c>
      <c r="Y178" s="57"/>
      <c r="Z178" s="14"/>
      <c r="AA178" s="56"/>
      <c r="AB178" s="50">
        <f>(B178*131.881+C178*277.167+D178*79.08+E178*125.872+F178*40+G178*185+H178*0+I178*100+J178*300)/(131.881+277.167+79.08+125.872+0+40+185+100+300)</f>
        <v>8.6074501967715893</v>
      </c>
      <c r="AC178" s="45">
        <f>(M178*'RAP TEMPLATE-GAS AVAILABILITY'!O177+N178*'RAP TEMPLATE-GAS AVAILABILITY'!P177+O178*'RAP TEMPLATE-GAS AVAILABILITY'!Q177+P178*'RAP TEMPLATE-GAS AVAILABILITY'!R177)/('RAP TEMPLATE-GAS AVAILABILITY'!O177+'RAP TEMPLATE-GAS AVAILABILITY'!P177+'RAP TEMPLATE-GAS AVAILABILITY'!Q177+'RAP TEMPLATE-GAS AVAILABILITY'!R177)</f>
        <v>8.473005035971223</v>
      </c>
    </row>
    <row r="179" spans="1:29" ht="15.75" x14ac:dyDescent="0.25">
      <c r="A179" s="13">
        <v>46327</v>
      </c>
      <c r="B179" s="14">
        <f>CHOOSE(CONTROL!$C$42, 8.7898, 8.7898) * CHOOSE(CONTROL!$C$21, $C$9, 100%, $E$9)</f>
        <v>8.7897999999999996</v>
      </c>
      <c r="C179" s="14">
        <f>CHOOSE(CONTROL!$C$42, 8.7948, 8.7948) * CHOOSE(CONTROL!$C$21, $C$9, 100%, $E$9)</f>
        <v>8.7948000000000004</v>
      </c>
      <c r="D179" s="14">
        <f>CHOOSE(CONTROL!$C$42, 8.8691, 8.8691) * CHOOSE(CONTROL!$C$21, $C$9, 100%, $E$9)</f>
        <v>8.8690999999999995</v>
      </c>
      <c r="E179" s="14">
        <f>CHOOSE(CONTROL!$C$42, 8.9032, 8.9032) * CHOOSE(CONTROL!$C$21, $C$9, 100%, $E$9)</f>
        <v>8.9032</v>
      </c>
      <c r="F179" s="14">
        <f>CHOOSE(CONTROL!$C$42, 8.8258, 8.8258)*CHOOSE(CONTROL!$C$21, $C$9, 100%, $E$9)</f>
        <v>8.8257999999999992</v>
      </c>
      <c r="G179" s="14">
        <f>CHOOSE(CONTROL!$C$42, 8.8434, 8.8434)*CHOOSE(CONTROL!$C$21, $C$9, 100%, $E$9)</f>
        <v>8.8434000000000008</v>
      </c>
      <c r="H179" s="14">
        <f>CHOOSE(CONTROL!$C$42, 8.8924, 8.8924) * CHOOSE(CONTROL!$C$21, $C$9, 100%, $E$9)</f>
        <v>8.8924000000000003</v>
      </c>
      <c r="I179" s="14">
        <f>CHOOSE(CONTROL!$C$42, 8.8448, 8.8448)* CHOOSE(CONTROL!$C$21, $C$9, 100%, $E$9)</f>
        <v>8.8447999999999993</v>
      </c>
      <c r="J179" s="14">
        <f>CHOOSE(CONTROL!$C$42, 8.8188, 8.8188)* CHOOSE(CONTROL!$C$21, $C$9, 100%, $E$9)</f>
        <v>8.8187999999999995</v>
      </c>
      <c r="K179" s="53">
        <f>CHOOSE(CONTROL!$C$42, 8.8409, 8.8409) * CHOOSE(CONTROL!$C$21, $C$9, 100%, $E$9)</f>
        <v>8.8408999999999995</v>
      </c>
      <c r="L179" s="14">
        <f>CHOOSE(CONTROL!$C$42, 9.4794, 9.4794) * CHOOSE(CONTROL!$C$21, $C$9, 100%, $E$9)</f>
        <v>9.4794</v>
      </c>
      <c r="M179" s="14">
        <f>CHOOSE(CONTROL!$C$42, 8.6458, 8.6458) * CHOOSE(CONTROL!$C$21, $C$9, 100%, $E$9)</f>
        <v>8.6457999999999995</v>
      </c>
      <c r="N179" s="14">
        <f>CHOOSE(CONTROL!$C$42, 8.663, 8.663) * CHOOSE(CONTROL!$C$21, $C$9, 100%, $E$9)</f>
        <v>8.6630000000000003</v>
      </c>
      <c r="O179" s="14">
        <f>CHOOSE(CONTROL!$C$42, 8.7179, 8.7179) * CHOOSE(CONTROL!$C$21, $C$9, 100%, $E$9)</f>
        <v>8.7179000000000002</v>
      </c>
      <c r="P179" s="14">
        <f>CHOOSE(CONTROL!$C$42, 8.6708, 8.6708) * CHOOSE(CONTROL!$C$21, $C$9, 100%, $E$9)</f>
        <v>8.6707999999999998</v>
      </c>
      <c r="Q179" s="14">
        <f>CHOOSE(CONTROL!$C$42, 9.3126, 9.3126) * CHOOSE(CONTROL!$C$21, $C$9, 100%, $E$9)</f>
        <v>9.3125999999999998</v>
      </c>
      <c r="R179" s="14">
        <f>CHOOSE(CONTROL!$C$42, 9.9228, 9.9228) * CHOOSE(CONTROL!$C$21, $C$9, 100%, $E$9)</f>
        <v>9.9228000000000005</v>
      </c>
      <c r="S179" s="14">
        <f>CHOOSE(CONTROL!$C$42, 8.4376, 8.4376) * CHOOSE(CONTROL!$C$21, $C$9, 100%, $E$9)</f>
        <v>8.4375999999999998</v>
      </c>
      <c r="T17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79" s="57">
        <f>(1000*CHOOSE(CONTROL!$C$42, 695, 695)*CHOOSE(CONTROL!$C$42, 0.5599, 0.5599)*CHOOSE(CONTROL!$C$42, 30, 30))/1000000</f>
        <v>11.673914999999997</v>
      </c>
      <c r="V179" s="57">
        <f>(1000*CHOOSE(CONTROL!$C$42, 500, 500)*CHOOSE(CONTROL!$C$42, 0.275, 0.275)*CHOOSE(CONTROL!$C$42, 30, 30))/1000000</f>
        <v>4.125</v>
      </c>
      <c r="W179" s="57">
        <f>(1000*CHOOSE(CONTROL!$C$42, 0.1146, 0.1146)*CHOOSE(CONTROL!$C$42, 121.5, 121.5)*CHOOSE(CONTROL!$C$42, 30, 30))/1000000</f>
        <v>0.417717</v>
      </c>
      <c r="X179" s="57">
        <f>(30*0.1790888*100000/1000000)+(30*0.2374*100000/1000000)</f>
        <v>1.2494664</v>
      </c>
      <c r="Y179" s="57"/>
      <c r="Z179" s="14"/>
      <c r="AA179" s="56"/>
      <c r="AB179" s="50">
        <f>(B179*122.58+C179*297.941+D179*89.177+E179*40.302+F179*40+G179*160+H179*0+I179*100+J179*300)/(122.58+297.941+89.177+40.302+0+40+160+100+300)</f>
        <v>8.8222762503478265</v>
      </c>
      <c r="AC179" s="45">
        <f>(M179*'RAP TEMPLATE-GAS AVAILABILITY'!O178+N179*'RAP TEMPLATE-GAS AVAILABILITY'!P178+O179*'RAP TEMPLATE-GAS AVAILABILITY'!Q178+P179*'RAP TEMPLATE-GAS AVAILABILITY'!R178)/('RAP TEMPLATE-GAS AVAILABILITY'!O178+'RAP TEMPLATE-GAS AVAILABILITY'!P178+'RAP TEMPLATE-GAS AVAILABILITY'!Q178+'RAP TEMPLATE-GAS AVAILABILITY'!R178)</f>
        <v>8.683065467625898</v>
      </c>
    </row>
    <row r="180" spans="1:29" ht="15.75" x14ac:dyDescent="0.25">
      <c r="A180" s="13">
        <v>46357</v>
      </c>
      <c r="B180" s="14">
        <f>CHOOSE(CONTROL!$C$42, 9.4077, 9.4077) * CHOOSE(CONTROL!$C$21, $C$9, 100%, $E$9)</f>
        <v>9.4077000000000002</v>
      </c>
      <c r="C180" s="14">
        <f>CHOOSE(CONTROL!$C$42, 9.4128, 9.4128) * CHOOSE(CONTROL!$C$21, $C$9, 100%, $E$9)</f>
        <v>9.4128000000000007</v>
      </c>
      <c r="D180" s="14">
        <f>CHOOSE(CONTROL!$C$42, 9.487, 9.487) * CHOOSE(CONTROL!$C$21, $C$9, 100%, $E$9)</f>
        <v>9.4870000000000001</v>
      </c>
      <c r="E180" s="14">
        <f>CHOOSE(CONTROL!$C$42, 9.5211, 9.5211) * CHOOSE(CONTROL!$C$21, $C$9, 100%, $E$9)</f>
        <v>9.5211000000000006</v>
      </c>
      <c r="F180" s="14">
        <f>CHOOSE(CONTROL!$C$42, 9.4461, 9.4461)*CHOOSE(CONTROL!$C$21, $C$9, 100%, $E$9)</f>
        <v>9.4460999999999995</v>
      </c>
      <c r="G180" s="14">
        <f>CHOOSE(CONTROL!$C$42, 9.4643, 9.4643)*CHOOSE(CONTROL!$C$21, $C$9, 100%, $E$9)</f>
        <v>9.4642999999999997</v>
      </c>
      <c r="H180" s="14">
        <f>CHOOSE(CONTROL!$C$42, 9.5103, 9.5103) * CHOOSE(CONTROL!$C$21, $C$9, 100%, $E$9)</f>
        <v>9.5103000000000009</v>
      </c>
      <c r="I180" s="14">
        <f>CHOOSE(CONTROL!$C$42, 9.4646, 9.4646)* CHOOSE(CONTROL!$C$21, $C$9, 100%, $E$9)</f>
        <v>9.4646000000000008</v>
      </c>
      <c r="J180" s="14">
        <f>CHOOSE(CONTROL!$C$42, 9.4391, 9.4391)* CHOOSE(CONTROL!$C$21, $C$9, 100%, $E$9)</f>
        <v>9.4390999999999998</v>
      </c>
      <c r="K180" s="53">
        <f>CHOOSE(CONTROL!$C$42, 9.4608, 9.4608) * CHOOSE(CONTROL!$C$21, $C$9, 100%, $E$9)</f>
        <v>9.4608000000000008</v>
      </c>
      <c r="L180" s="14">
        <f>CHOOSE(CONTROL!$C$42, 10.0973, 10.0973) * CHOOSE(CONTROL!$C$21, $C$9, 100%, $E$9)</f>
        <v>10.097300000000001</v>
      </c>
      <c r="M180" s="14">
        <f>CHOOSE(CONTROL!$C$42, 9.2534, 9.2534) * CHOOSE(CONTROL!$C$21, $C$9, 100%, $E$9)</f>
        <v>9.2533999999999992</v>
      </c>
      <c r="N180" s="14">
        <f>CHOOSE(CONTROL!$C$42, 9.2712, 9.2712) * CHOOSE(CONTROL!$C$21, $C$9, 100%, $E$9)</f>
        <v>9.2712000000000003</v>
      </c>
      <c r="O180" s="14">
        <f>CHOOSE(CONTROL!$C$42, 9.3231, 9.3231) * CHOOSE(CONTROL!$C$21, $C$9, 100%, $E$9)</f>
        <v>9.3231000000000002</v>
      </c>
      <c r="P180" s="14">
        <f>CHOOSE(CONTROL!$C$42, 9.2779, 9.2779) * CHOOSE(CONTROL!$C$21, $C$9, 100%, $E$9)</f>
        <v>9.2779000000000007</v>
      </c>
      <c r="Q180" s="14">
        <f>CHOOSE(CONTROL!$C$42, 9.9178, 9.9178) * CHOOSE(CONTROL!$C$21, $C$9, 100%, $E$9)</f>
        <v>9.9177999999999997</v>
      </c>
      <c r="R180" s="14">
        <f>CHOOSE(CONTROL!$C$42, 10.5296, 10.5296) * CHOOSE(CONTROL!$C$21, $C$9, 100%, $E$9)</f>
        <v>10.5296</v>
      </c>
      <c r="S180" s="14">
        <f>CHOOSE(CONTROL!$C$42, 9.0313, 9.0313) * CHOOSE(CONTROL!$C$21, $C$9, 100%, $E$9)</f>
        <v>9.0312999999999999</v>
      </c>
      <c r="T18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80" s="57">
        <f>(1000*CHOOSE(CONTROL!$C$42, 695, 695)*CHOOSE(CONTROL!$C$42, 0.5599, 0.5599)*CHOOSE(CONTROL!$C$42, 31, 31))/1000000</f>
        <v>12.063045499999998</v>
      </c>
      <c r="V180" s="57">
        <f>(1000*CHOOSE(CONTROL!$C$42, 500, 500)*CHOOSE(CONTROL!$C$42, 0.275, 0.275)*CHOOSE(CONTROL!$C$42, 31, 31))/1000000</f>
        <v>4.2625000000000002</v>
      </c>
      <c r="W180" s="57">
        <f>(1000*CHOOSE(CONTROL!$C$42, 0.1146, 0.1146)*CHOOSE(CONTROL!$C$42, 121.5, 121.5)*CHOOSE(CONTROL!$C$42, 31, 31))/1000000</f>
        <v>0.43164089999999994</v>
      </c>
      <c r="X180" s="57">
        <f>(31*0.1790888*100000/1000000)+(31*0.2374*100000/1000000)</f>
        <v>1.2911152800000001</v>
      </c>
      <c r="Y180" s="57"/>
      <c r="Z180" s="14"/>
      <c r="AA180" s="56"/>
      <c r="AB180" s="50">
        <f>(B180*122.58+C180*297.941+D180*89.177+E180*40.302+F180*40+G180*160+H180*0+I180*100+J180*300)/(122.58+297.941+89.177+40.302+0+40+160+100+300)</f>
        <v>9.4414943321739138</v>
      </c>
      <c r="AC180" s="45">
        <f>(M180*'RAP TEMPLATE-GAS AVAILABILITY'!O179+N180*'RAP TEMPLATE-GAS AVAILABILITY'!P179+O180*'RAP TEMPLATE-GAS AVAILABILITY'!Q179+P180*'RAP TEMPLATE-GAS AVAILABILITY'!R179)/('RAP TEMPLATE-GAS AVAILABILITY'!O179+'RAP TEMPLATE-GAS AVAILABILITY'!P179+'RAP TEMPLATE-GAS AVAILABILITY'!Q179+'RAP TEMPLATE-GAS AVAILABILITY'!R179)</f>
        <v>9.2895402877697837</v>
      </c>
    </row>
    <row r="181" spans="1:29" ht="15.75" x14ac:dyDescent="0.25">
      <c r="A181" s="13">
        <v>46388</v>
      </c>
      <c r="B181" s="14">
        <f>CHOOSE(CONTROL!$C$42, 9.9157, 9.9157) * CHOOSE(CONTROL!$C$21, $C$9, 100%, $E$9)</f>
        <v>9.9156999999999993</v>
      </c>
      <c r="C181" s="14">
        <f>CHOOSE(CONTROL!$C$42, 9.9208, 9.9208) * CHOOSE(CONTROL!$C$21, $C$9, 100%, $E$9)</f>
        <v>9.9207999999999998</v>
      </c>
      <c r="D181" s="14">
        <f>CHOOSE(CONTROL!$C$42, 9.9976, 9.9976) * CHOOSE(CONTROL!$C$21, $C$9, 100%, $E$9)</f>
        <v>9.9976000000000003</v>
      </c>
      <c r="E181" s="14">
        <f>CHOOSE(CONTROL!$C$42, 10.0317, 10.0317) * CHOOSE(CONTROL!$C$21, $C$9, 100%, $E$9)</f>
        <v>10.031700000000001</v>
      </c>
      <c r="F181" s="14">
        <f>CHOOSE(CONTROL!$C$42, 9.9404, 9.9404)*CHOOSE(CONTROL!$C$21, $C$9, 100%, $E$9)</f>
        <v>9.9404000000000003</v>
      </c>
      <c r="G181" s="14">
        <f>CHOOSE(CONTROL!$C$42, 9.9584, 9.9584)*CHOOSE(CONTROL!$C$21, $C$9, 100%, $E$9)</f>
        <v>9.9583999999999993</v>
      </c>
      <c r="H181" s="14">
        <f>CHOOSE(CONTROL!$C$42, 10.0209, 10.0209) * CHOOSE(CONTROL!$C$21, $C$9, 100%, $E$9)</f>
        <v>10.020899999999999</v>
      </c>
      <c r="I181" s="14">
        <f>CHOOSE(CONTROL!$C$42, 9.9805, 9.9805)* CHOOSE(CONTROL!$C$21, $C$9, 100%, $E$9)</f>
        <v>9.9804999999999993</v>
      </c>
      <c r="J181" s="14">
        <f>CHOOSE(CONTROL!$C$42, 9.9334, 9.9334)* CHOOSE(CONTROL!$C$21, $C$9, 100%, $E$9)</f>
        <v>9.9334000000000007</v>
      </c>
      <c r="K181" s="53">
        <f>CHOOSE(CONTROL!$C$42, 9.9766, 9.9766) * CHOOSE(CONTROL!$C$21, $C$9, 100%, $E$9)</f>
        <v>9.9765999999999995</v>
      </c>
      <c r="L181" s="14">
        <f>CHOOSE(CONTROL!$C$42, 10.6079, 10.6079) * CHOOSE(CONTROL!$C$21, $C$9, 100%, $E$9)</f>
        <v>10.607900000000001</v>
      </c>
      <c r="M181" s="14">
        <f>CHOOSE(CONTROL!$C$42, 9.7376, 9.7376) * CHOOSE(CONTROL!$C$21, $C$9, 100%, $E$9)</f>
        <v>9.7376000000000005</v>
      </c>
      <c r="N181" s="14">
        <f>CHOOSE(CONTROL!$C$42, 9.7552, 9.7552) * CHOOSE(CONTROL!$C$21, $C$9, 100%, $E$9)</f>
        <v>9.7552000000000003</v>
      </c>
      <c r="O181" s="14">
        <f>CHOOSE(CONTROL!$C$42, 9.8233, 9.8233) * CHOOSE(CONTROL!$C$21, $C$9, 100%, $E$9)</f>
        <v>9.8232999999999997</v>
      </c>
      <c r="P181" s="14">
        <f>CHOOSE(CONTROL!$C$42, 9.7831, 9.7831) * CHOOSE(CONTROL!$C$21, $C$9, 100%, $E$9)</f>
        <v>9.7830999999999992</v>
      </c>
      <c r="Q181" s="14">
        <f>CHOOSE(CONTROL!$C$42, 10.418, 10.418) * CHOOSE(CONTROL!$C$21, $C$9, 100%, $E$9)</f>
        <v>10.417999999999999</v>
      </c>
      <c r="R181" s="14">
        <f>CHOOSE(CONTROL!$C$42, 11.031, 11.031) * CHOOSE(CONTROL!$C$21, $C$9, 100%, $E$9)</f>
        <v>11.031000000000001</v>
      </c>
      <c r="S181" s="14">
        <f>CHOOSE(CONTROL!$C$42, 9.5195, 9.5195) * CHOOSE(CONTROL!$C$21, $C$9, 100%, $E$9)</f>
        <v>9.5195000000000007</v>
      </c>
      <c r="T18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81" s="57">
        <f>(1000*CHOOSE(CONTROL!$C$42, 695, 695)*CHOOSE(CONTROL!$C$42, 0.5599, 0.5599)*CHOOSE(CONTROL!$C$42, 31, 31))/1000000</f>
        <v>12.063045499999998</v>
      </c>
      <c r="V181" s="57">
        <f>(1000*CHOOSE(CONTROL!$C$42, 500, 500)*CHOOSE(CONTROL!$C$42, 0.275, 0.275)*CHOOSE(CONTROL!$C$42, 31, 31))/1000000</f>
        <v>4.2625000000000002</v>
      </c>
      <c r="W181" s="57">
        <f>(1000*CHOOSE(CONTROL!$C$42, 0.1146, 0.1146)*CHOOSE(CONTROL!$C$42, 121.5, 121.5)*CHOOSE(CONTROL!$C$42, 31, 31))/1000000</f>
        <v>0.43164089999999994</v>
      </c>
      <c r="X181" s="57">
        <f>(31*0.1790888*100000/1000000)+(31*0.2374*100000/1000000)</f>
        <v>1.2911152800000001</v>
      </c>
      <c r="Y181" s="57"/>
      <c r="Z181" s="14"/>
      <c r="AA181" s="56"/>
      <c r="AB181" s="50">
        <f>(B181*122.58+C181*297.941+D181*89.177+E181*40.302+F181*40+G181*160+H181*0+I181*100+J181*300)/(122.58+297.941+89.177+40.302+0+40+160+100+300)</f>
        <v>9.9444896759999999</v>
      </c>
      <c r="AC181" s="45">
        <f>(M181*'RAP TEMPLATE-GAS AVAILABILITY'!O180+N181*'RAP TEMPLATE-GAS AVAILABILITY'!P180+O181*'RAP TEMPLATE-GAS AVAILABILITY'!Q180+P181*'RAP TEMPLATE-GAS AVAILABILITY'!R180)/('RAP TEMPLATE-GAS AVAILABILITY'!O180+'RAP TEMPLATE-GAS AVAILABILITY'!P180+'RAP TEMPLATE-GAS AVAILABILITY'!Q180+'RAP TEMPLATE-GAS AVAILABILITY'!R180)</f>
        <v>9.7840021582733812</v>
      </c>
    </row>
    <row r="182" spans="1:29" ht="15.75" x14ac:dyDescent="0.25">
      <c r="A182" s="13">
        <v>46419</v>
      </c>
      <c r="B182" s="14">
        <f>CHOOSE(CONTROL!$C$42, 10.1128, 10.1128) * CHOOSE(CONTROL!$C$21, $C$9, 100%, $E$9)</f>
        <v>10.1128</v>
      </c>
      <c r="C182" s="14">
        <f>CHOOSE(CONTROL!$C$42, 10.1179, 10.1179) * CHOOSE(CONTROL!$C$21, $C$9, 100%, $E$9)</f>
        <v>10.117900000000001</v>
      </c>
      <c r="D182" s="14">
        <f>CHOOSE(CONTROL!$C$42, 10.1947, 10.1947) * CHOOSE(CONTROL!$C$21, $C$9, 100%, $E$9)</f>
        <v>10.194699999999999</v>
      </c>
      <c r="E182" s="14">
        <f>CHOOSE(CONTROL!$C$42, 10.2288, 10.2288) * CHOOSE(CONTROL!$C$21, $C$9, 100%, $E$9)</f>
        <v>10.2288</v>
      </c>
      <c r="F182" s="14">
        <f>CHOOSE(CONTROL!$C$42, 10.1371, 10.1371)*CHOOSE(CONTROL!$C$21, $C$9, 100%, $E$9)</f>
        <v>10.1371</v>
      </c>
      <c r="G182" s="14">
        <f>CHOOSE(CONTROL!$C$42, 10.155, 10.155)*CHOOSE(CONTROL!$C$21, $C$9, 100%, $E$9)</f>
        <v>10.154999999999999</v>
      </c>
      <c r="H182" s="14">
        <f>CHOOSE(CONTROL!$C$42, 10.218, 10.218) * CHOOSE(CONTROL!$C$21, $C$9, 100%, $E$9)</f>
        <v>10.218</v>
      </c>
      <c r="I182" s="14">
        <f>CHOOSE(CONTROL!$C$42, 10.1782, 10.1782)* CHOOSE(CONTROL!$C$21, $C$9, 100%, $E$9)</f>
        <v>10.1782</v>
      </c>
      <c r="J182" s="14">
        <f>CHOOSE(CONTROL!$C$42, 10.1301, 10.1301)* CHOOSE(CONTROL!$C$21, $C$9, 100%, $E$9)</f>
        <v>10.130100000000001</v>
      </c>
      <c r="K182" s="53">
        <f>CHOOSE(CONTROL!$C$42, 10.1743, 10.1743) * CHOOSE(CONTROL!$C$21, $C$9, 100%, $E$9)</f>
        <v>10.174300000000001</v>
      </c>
      <c r="L182" s="14">
        <f>CHOOSE(CONTROL!$C$42, 10.805, 10.805) * CHOOSE(CONTROL!$C$21, $C$9, 100%, $E$9)</f>
        <v>10.805</v>
      </c>
      <c r="M182" s="14">
        <f>CHOOSE(CONTROL!$C$42, 9.9303, 9.9303) * CHOOSE(CONTROL!$C$21, $C$9, 100%, $E$9)</f>
        <v>9.9303000000000008</v>
      </c>
      <c r="N182" s="14">
        <f>CHOOSE(CONTROL!$C$42, 9.9478, 9.9478) * CHOOSE(CONTROL!$C$21, $C$9, 100%, $E$9)</f>
        <v>9.9478000000000009</v>
      </c>
      <c r="O182" s="14">
        <f>CHOOSE(CONTROL!$C$42, 10.0163, 10.0163) * CHOOSE(CONTROL!$C$21, $C$9, 100%, $E$9)</f>
        <v>10.016299999999999</v>
      </c>
      <c r="P182" s="14">
        <f>CHOOSE(CONTROL!$C$42, 9.9768, 9.9768) * CHOOSE(CONTROL!$C$21, $C$9, 100%, $E$9)</f>
        <v>9.9768000000000008</v>
      </c>
      <c r="Q182" s="14">
        <f>CHOOSE(CONTROL!$C$42, 10.611, 10.611) * CHOOSE(CONTROL!$C$21, $C$9, 100%, $E$9)</f>
        <v>10.611000000000001</v>
      </c>
      <c r="R182" s="14">
        <f>CHOOSE(CONTROL!$C$42, 11.2246, 11.2246) * CHOOSE(CONTROL!$C$21, $C$9, 100%, $E$9)</f>
        <v>11.224600000000001</v>
      </c>
      <c r="S182" s="14">
        <f>CHOOSE(CONTROL!$C$42, 9.7089, 9.7089) * CHOOSE(CONTROL!$C$21, $C$9, 100%, $E$9)</f>
        <v>9.7088999999999999</v>
      </c>
      <c r="T18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82" s="57">
        <f>(1000*CHOOSE(CONTROL!$C$42, 695, 695)*CHOOSE(CONTROL!$C$42, 0.5599, 0.5599)*CHOOSE(CONTROL!$C$42, 28, 28))/1000000</f>
        <v>10.895653999999999</v>
      </c>
      <c r="V182" s="57">
        <f>(1000*CHOOSE(CONTROL!$C$42, 500, 500)*CHOOSE(CONTROL!$C$42, 0.275, 0.275)*CHOOSE(CONTROL!$C$42, 28, 28))/1000000</f>
        <v>3.85</v>
      </c>
      <c r="W182" s="57">
        <f>(1000*CHOOSE(CONTROL!$C$42, 0.1146, 0.1146)*CHOOSE(CONTROL!$C$42, 121.5, 121.5)*CHOOSE(CONTROL!$C$42, 28, 28))/1000000</f>
        <v>0.38986920000000003</v>
      </c>
      <c r="X182" s="57">
        <f>(28*0.1790888*100000/1000000)+(28*0.2374*100000/1000000)</f>
        <v>1.16616864</v>
      </c>
      <c r="Y182" s="57"/>
      <c r="Z182" s="14"/>
      <c r="AA182" s="56"/>
      <c r="AB182" s="50">
        <f>(B182*122.58+C182*297.941+D182*89.177+E182*40.302+F182*40+G182*160+H182*0+I182*100+J182*300)/(122.58+297.941+89.177+40.302+0+40+160+100+300)</f>
        <v>10.141454023826087</v>
      </c>
      <c r="AC182" s="45">
        <f>(M182*'RAP TEMPLATE-GAS AVAILABILITY'!O181+N182*'RAP TEMPLATE-GAS AVAILABILITY'!P181+O182*'RAP TEMPLATE-GAS AVAILABILITY'!Q181+P182*'RAP TEMPLATE-GAS AVAILABILITY'!R181)/('RAP TEMPLATE-GAS AVAILABILITY'!O181+'RAP TEMPLATE-GAS AVAILABILITY'!P181+'RAP TEMPLATE-GAS AVAILABILITY'!Q181+'RAP TEMPLATE-GAS AVAILABILITY'!R181)</f>
        <v>9.9769762589928046</v>
      </c>
    </row>
    <row r="183" spans="1:29" ht="15.75" x14ac:dyDescent="0.25">
      <c r="A183" s="13">
        <v>46447</v>
      </c>
      <c r="B183" s="14">
        <f>CHOOSE(CONTROL!$C$42, 9.8462, 9.8462) * CHOOSE(CONTROL!$C$21, $C$9, 100%, $E$9)</f>
        <v>9.8461999999999996</v>
      </c>
      <c r="C183" s="14">
        <f>CHOOSE(CONTROL!$C$42, 9.8513, 9.8513) * CHOOSE(CONTROL!$C$21, $C$9, 100%, $E$9)</f>
        <v>9.8513000000000002</v>
      </c>
      <c r="D183" s="14">
        <f>CHOOSE(CONTROL!$C$42, 9.9281, 9.9281) * CHOOSE(CONTROL!$C$21, $C$9, 100%, $E$9)</f>
        <v>9.9281000000000006</v>
      </c>
      <c r="E183" s="14">
        <f>CHOOSE(CONTROL!$C$42, 9.9622, 9.9622) * CHOOSE(CONTROL!$C$21, $C$9, 100%, $E$9)</f>
        <v>9.9621999999999993</v>
      </c>
      <c r="F183" s="14">
        <f>CHOOSE(CONTROL!$C$42, 9.8697, 9.8697)*CHOOSE(CONTROL!$C$21, $C$9, 100%, $E$9)</f>
        <v>9.8696999999999999</v>
      </c>
      <c r="G183" s="14">
        <f>CHOOSE(CONTROL!$C$42, 9.8873, 9.8873)*CHOOSE(CONTROL!$C$21, $C$9, 100%, $E$9)</f>
        <v>9.8872999999999998</v>
      </c>
      <c r="H183" s="14">
        <f>CHOOSE(CONTROL!$C$42, 9.9514, 9.9514) * CHOOSE(CONTROL!$C$21, $C$9, 100%, $E$9)</f>
        <v>9.9513999999999996</v>
      </c>
      <c r="I183" s="14">
        <f>CHOOSE(CONTROL!$C$42, 9.9108, 9.9108)* CHOOSE(CONTROL!$C$21, $C$9, 100%, $E$9)</f>
        <v>9.9108000000000001</v>
      </c>
      <c r="J183" s="14">
        <f>CHOOSE(CONTROL!$C$42, 9.8627, 9.8627)* CHOOSE(CONTROL!$C$21, $C$9, 100%, $E$9)</f>
        <v>9.8627000000000002</v>
      </c>
      <c r="K183" s="53">
        <f>CHOOSE(CONTROL!$C$42, 9.9069, 9.9069) * CHOOSE(CONTROL!$C$21, $C$9, 100%, $E$9)</f>
        <v>9.9069000000000003</v>
      </c>
      <c r="L183" s="14">
        <f>CHOOSE(CONTROL!$C$42, 10.5384, 10.5384) * CHOOSE(CONTROL!$C$21, $C$9, 100%, $E$9)</f>
        <v>10.538399999999999</v>
      </c>
      <c r="M183" s="14">
        <f>CHOOSE(CONTROL!$C$42, 9.6683, 9.6683) * CHOOSE(CONTROL!$C$21, $C$9, 100%, $E$9)</f>
        <v>9.6683000000000003</v>
      </c>
      <c r="N183" s="14">
        <f>CHOOSE(CONTROL!$C$42, 9.6856, 9.6856) * CHOOSE(CONTROL!$C$21, $C$9, 100%, $E$9)</f>
        <v>9.6856000000000009</v>
      </c>
      <c r="O183" s="14">
        <f>CHOOSE(CONTROL!$C$42, 9.7552, 9.7552) * CHOOSE(CONTROL!$C$21, $C$9, 100%, $E$9)</f>
        <v>9.7552000000000003</v>
      </c>
      <c r="P183" s="14">
        <f>CHOOSE(CONTROL!$C$42, 9.7148, 9.7148) * CHOOSE(CONTROL!$C$21, $C$9, 100%, $E$9)</f>
        <v>9.7148000000000003</v>
      </c>
      <c r="Q183" s="14">
        <f>CHOOSE(CONTROL!$C$42, 10.3499, 10.3499) * CHOOSE(CONTROL!$C$21, $C$9, 100%, $E$9)</f>
        <v>10.3499</v>
      </c>
      <c r="R183" s="14">
        <f>CHOOSE(CONTROL!$C$42, 10.9628, 10.9628) * CHOOSE(CONTROL!$C$21, $C$9, 100%, $E$9)</f>
        <v>10.9628</v>
      </c>
      <c r="S183" s="14">
        <f>CHOOSE(CONTROL!$C$42, 9.4527, 9.4527) * CHOOSE(CONTROL!$C$21, $C$9, 100%, $E$9)</f>
        <v>9.4527000000000001</v>
      </c>
      <c r="T18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83" s="57">
        <f>(1000*CHOOSE(CONTROL!$C$42, 695, 695)*CHOOSE(CONTROL!$C$42, 0.5599, 0.5599)*CHOOSE(CONTROL!$C$42, 31, 31))/1000000</f>
        <v>12.063045499999998</v>
      </c>
      <c r="V183" s="57">
        <f>(1000*CHOOSE(CONTROL!$C$42, 500, 500)*CHOOSE(CONTROL!$C$42, 0.275, 0.275)*CHOOSE(CONTROL!$C$42, 31, 31))/1000000</f>
        <v>4.2625000000000002</v>
      </c>
      <c r="W183" s="57">
        <f>(1000*CHOOSE(CONTROL!$C$42, 0.1146, 0.1146)*CHOOSE(CONTROL!$C$42, 121.5, 121.5)*CHOOSE(CONTROL!$C$42, 31, 31))/1000000</f>
        <v>0.43164089999999994</v>
      </c>
      <c r="X183" s="57">
        <f>(31*0.1790888*100000/1000000)+(31*0.2374*100000/1000000)</f>
        <v>1.2911152800000001</v>
      </c>
      <c r="Y183" s="57"/>
      <c r="Z183" s="14"/>
      <c r="AA183" s="56"/>
      <c r="AB183" s="50">
        <f>(B183*122.58+C183*297.941+D183*89.177+E183*40.302+F183*40+G183*160+H183*0+I183*100+J183*300)/(122.58+297.941+89.177+40.302+0+40+160+100+300)</f>
        <v>9.8743948933913046</v>
      </c>
      <c r="AC183" s="45">
        <f>(M183*'RAP TEMPLATE-GAS AVAILABILITY'!O182+N183*'RAP TEMPLATE-GAS AVAILABILITY'!P182+O183*'RAP TEMPLATE-GAS AVAILABILITY'!Q182+P183*'RAP TEMPLATE-GAS AVAILABILITY'!R182)/('RAP TEMPLATE-GAS AVAILABILITY'!O182+'RAP TEMPLATE-GAS AVAILABILITY'!P182+'RAP TEMPLATE-GAS AVAILABILITY'!Q182+'RAP TEMPLATE-GAS AVAILABILITY'!R182)</f>
        <v>9.7153726618705019</v>
      </c>
    </row>
    <row r="184" spans="1:29" ht="15.75" x14ac:dyDescent="0.25">
      <c r="A184" s="13">
        <v>46478</v>
      </c>
      <c r="B184" s="14">
        <f>CHOOSE(CONTROL!$C$42, 9.838, 9.838) * CHOOSE(CONTROL!$C$21, $C$9, 100%, $E$9)</f>
        <v>9.8379999999999992</v>
      </c>
      <c r="C184" s="14">
        <f>CHOOSE(CONTROL!$C$42, 9.8424, 9.8424) * CHOOSE(CONTROL!$C$21, $C$9, 100%, $E$9)</f>
        <v>9.8423999999999996</v>
      </c>
      <c r="D184" s="14">
        <f>CHOOSE(CONTROL!$C$42, 10.0662, 10.0662) * CHOOSE(CONTROL!$C$21, $C$9, 100%, $E$9)</f>
        <v>10.0662</v>
      </c>
      <c r="E184" s="14">
        <f>CHOOSE(CONTROL!$C$42, 10.0983, 10.0983) * CHOOSE(CONTROL!$C$21, $C$9, 100%, $E$9)</f>
        <v>10.0983</v>
      </c>
      <c r="F184" s="14">
        <f>CHOOSE(CONTROL!$C$42, 9.8656, 9.8656)*CHOOSE(CONTROL!$C$21, $C$9, 100%, $E$9)</f>
        <v>9.8656000000000006</v>
      </c>
      <c r="G184" s="14">
        <f>CHOOSE(CONTROL!$C$42, 9.8825, 9.8825)*CHOOSE(CONTROL!$C$21, $C$9, 100%, $E$9)</f>
        <v>9.8825000000000003</v>
      </c>
      <c r="H184" s="14">
        <f>CHOOSE(CONTROL!$C$42, 10.0881, 10.0881) * CHOOSE(CONTROL!$C$21, $C$9, 100%, $E$9)</f>
        <v>10.088100000000001</v>
      </c>
      <c r="I184" s="14">
        <f>CHOOSE(CONTROL!$C$42, 9.8981, 9.8981)* CHOOSE(CONTROL!$C$21, $C$9, 100%, $E$9)</f>
        <v>9.8980999999999995</v>
      </c>
      <c r="J184" s="14">
        <f>CHOOSE(CONTROL!$C$42, 9.8586, 9.8586)* CHOOSE(CONTROL!$C$21, $C$9, 100%, $E$9)</f>
        <v>9.8585999999999991</v>
      </c>
      <c r="K184" s="53">
        <f>CHOOSE(CONTROL!$C$42, 9.8942, 9.8942) * CHOOSE(CONTROL!$C$21, $C$9, 100%, $E$9)</f>
        <v>9.8941999999999997</v>
      </c>
      <c r="L184" s="14">
        <f>CHOOSE(CONTROL!$C$42, 10.6751, 10.6751) * CHOOSE(CONTROL!$C$21, $C$9, 100%, $E$9)</f>
        <v>10.6751</v>
      </c>
      <c r="M184" s="14">
        <f>CHOOSE(CONTROL!$C$42, 9.6643, 9.6643) * CHOOSE(CONTROL!$C$21, $C$9, 100%, $E$9)</f>
        <v>9.6643000000000008</v>
      </c>
      <c r="N184" s="14">
        <f>CHOOSE(CONTROL!$C$42, 9.6809, 9.6809) * CHOOSE(CONTROL!$C$21, $C$9, 100%, $E$9)</f>
        <v>9.6808999999999994</v>
      </c>
      <c r="O184" s="14">
        <f>CHOOSE(CONTROL!$C$42, 9.8891, 9.8891) * CHOOSE(CONTROL!$C$21, $C$9, 100%, $E$9)</f>
        <v>9.8890999999999991</v>
      </c>
      <c r="P184" s="14">
        <f>CHOOSE(CONTROL!$C$42, 9.7024, 9.7024) * CHOOSE(CONTROL!$C$21, $C$9, 100%, $E$9)</f>
        <v>9.7024000000000008</v>
      </c>
      <c r="Q184" s="14">
        <f>CHOOSE(CONTROL!$C$42, 10.4838, 10.4838) * CHOOSE(CONTROL!$C$21, $C$9, 100%, $E$9)</f>
        <v>10.4838</v>
      </c>
      <c r="R184" s="14">
        <f>CHOOSE(CONTROL!$C$42, 11.097, 11.097) * CHOOSE(CONTROL!$C$21, $C$9, 100%, $E$9)</f>
        <v>11.097</v>
      </c>
      <c r="S184" s="14">
        <f>CHOOSE(CONTROL!$C$42, 9.444, 9.444) * CHOOSE(CONTROL!$C$21, $C$9, 100%, $E$9)</f>
        <v>9.4440000000000008</v>
      </c>
      <c r="T18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84" s="57">
        <f>(1000*CHOOSE(CONTROL!$C$42, 695, 695)*CHOOSE(CONTROL!$C$42, 0.5599, 0.5599)*CHOOSE(CONTROL!$C$42, 30, 30))/1000000</f>
        <v>11.673914999999997</v>
      </c>
      <c r="V184" s="57">
        <f>(1000*CHOOSE(CONTROL!$C$42, 500, 500)*CHOOSE(CONTROL!$C$42, 0.275, 0.275)*CHOOSE(CONTROL!$C$42, 30, 30))/1000000</f>
        <v>4.125</v>
      </c>
      <c r="W184" s="57">
        <f>(1000*CHOOSE(CONTROL!$C$42, 0.1146, 0.1146)*CHOOSE(CONTROL!$C$42, 121.5, 121.5)*CHOOSE(CONTROL!$C$42, 30, 30))/1000000</f>
        <v>0.417717</v>
      </c>
      <c r="X184" s="57">
        <f>(30*0.1790888*245000/1000000)+(30*0.2374*100000/1000000)</f>
        <v>2.0285026799999999</v>
      </c>
      <c r="Y184" s="57"/>
      <c r="Z184" s="14"/>
      <c r="AA184" s="56"/>
      <c r="AB184" s="50">
        <f>(B184*141.293+C184*267.993+D184*115.016+E184*89.698+F184*40+G184*185+H184*0+I184*100+J184*300)/(141.293+267.993+115.016+89.698+0+40+185+100+300)</f>
        <v>9.8963540837772381</v>
      </c>
      <c r="AC184" s="45">
        <f>(M184*'RAP TEMPLATE-GAS AVAILABILITY'!O183+N184*'RAP TEMPLATE-GAS AVAILABILITY'!P183+O184*'RAP TEMPLATE-GAS AVAILABILITY'!Q183+P184*'RAP TEMPLATE-GAS AVAILABILITY'!R183)/('RAP TEMPLATE-GAS AVAILABILITY'!O183+'RAP TEMPLATE-GAS AVAILABILITY'!P183+'RAP TEMPLATE-GAS AVAILABILITY'!Q183+'RAP TEMPLATE-GAS AVAILABILITY'!R183)</f>
        <v>9.7366769784172664</v>
      </c>
    </row>
    <row r="185" spans="1:29" ht="15.75" x14ac:dyDescent="0.25">
      <c r="A185" s="13">
        <v>46508</v>
      </c>
      <c r="B185" s="14">
        <f>CHOOSE(CONTROL!$C$42, 9.9465, 9.9465) * CHOOSE(CONTROL!$C$21, $C$9, 100%, $E$9)</f>
        <v>9.9465000000000003</v>
      </c>
      <c r="C185" s="14">
        <f>CHOOSE(CONTROL!$C$42, 9.9545, 9.9545) * CHOOSE(CONTROL!$C$21, $C$9, 100%, $E$9)</f>
        <v>9.9544999999999995</v>
      </c>
      <c r="D185" s="14">
        <f>CHOOSE(CONTROL!$C$42, 10.1751, 10.1751) * CHOOSE(CONTROL!$C$21, $C$9, 100%, $E$9)</f>
        <v>10.1751</v>
      </c>
      <c r="E185" s="14">
        <f>CHOOSE(CONTROL!$C$42, 10.2066, 10.2066) * CHOOSE(CONTROL!$C$21, $C$9, 100%, $E$9)</f>
        <v>10.2066</v>
      </c>
      <c r="F185" s="14">
        <f>CHOOSE(CONTROL!$C$42, 9.9728, 9.9728)*CHOOSE(CONTROL!$C$21, $C$9, 100%, $E$9)</f>
        <v>9.9727999999999994</v>
      </c>
      <c r="G185" s="14">
        <f>CHOOSE(CONTROL!$C$42, 9.9899, 9.9899)*CHOOSE(CONTROL!$C$21, $C$9, 100%, $E$9)</f>
        <v>9.9899000000000004</v>
      </c>
      <c r="H185" s="14">
        <f>CHOOSE(CONTROL!$C$42, 10.1952, 10.1952) * CHOOSE(CONTROL!$C$21, $C$9, 100%, $E$9)</f>
        <v>10.1952</v>
      </c>
      <c r="I185" s="14">
        <f>CHOOSE(CONTROL!$C$42, 10.0055, 10.0055)* CHOOSE(CONTROL!$C$21, $C$9, 100%, $E$9)</f>
        <v>10.0055</v>
      </c>
      <c r="J185" s="14">
        <f>CHOOSE(CONTROL!$C$42, 9.9658, 9.9658)* CHOOSE(CONTROL!$C$21, $C$9, 100%, $E$9)</f>
        <v>9.9657999999999998</v>
      </c>
      <c r="K185" s="53">
        <f>CHOOSE(CONTROL!$C$42, 10.0017, 10.0017) * CHOOSE(CONTROL!$C$21, $C$9, 100%, $E$9)</f>
        <v>10.0017</v>
      </c>
      <c r="L185" s="14">
        <f>CHOOSE(CONTROL!$C$42, 10.7822, 10.7822) * CHOOSE(CONTROL!$C$21, $C$9, 100%, $E$9)</f>
        <v>10.7822</v>
      </c>
      <c r="M185" s="14">
        <f>CHOOSE(CONTROL!$C$42, 9.7693, 9.7693) * CHOOSE(CONTROL!$C$21, $C$9, 100%, $E$9)</f>
        <v>9.7692999999999994</v>
      </c>
      <c r="N185" s="14">
        <f>CHOOSE(CONTROL!$C$42, 9.786, 9.786) * CHOOSE(CONTROL!$C$21, $C$9, 100%, $E$9)</f>
        <v>9.7859999999999996</v>
      </c>
      <c r="O185" s="14">
        <f>CHOOSE(CONTROL!$C$42, 9.994, 9.994) * CHOOSE(CONTROL!$C$21, $C$9, 100%, $E$9)</f>
        <v>9.9939999999999998</v>
      </c>
      <c r="P185" s="14">
        <f>CHOOSE(CONTROL!$C$42, 9.8077, 9.8077) * CHOOSE(CONTROL!$C$21, $C$9, 100%, $E$9)</f>
        <v>9.8077000000000005</v>
      </c>
      <c r="Q185" s="14">
        <f>CHOOSE(CONTROL!$C$42, 10.5887, 10.5887) * CHOOSE(CONTROL!$C$21, $C$9, 100%, $E$9)</f>
        <v>10.588699999999999</v>
      </c>
      <c r="R185" s="14">
        <f>CHOOSE(CONTROL!$C$42, 11.2022, 11.2022) * CHOOSE(CONTROL!$C$21, $C$9, 100%, $E$9)</f>
        <v>11.202199999999999</v>
      </c>
      <c r="S185" s="14">
        <f>CHOOSE(CONTROL!$C$42, 9.547, 9.547) * CHOOSE(CONTROL!$C$21, $C$9, 100%, $E$9)</f>
        <v>9.5470000000000006</v>
      </c>
      <c r="T18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85" s="57">
        <f>(1000*CHOOSE(CONTROL!$C$42, 695, 695)*CHOOSE(CONTROL!$C$42, 0.5599, 0.5599)*CHOOSE(CONTROL!$C$42, 31, 31))/1000000</f>
        <v>12.063045499999998</v>
      </c>
      <c r="V185" s="57">
        <f>(1000*CHOOSE(CONTROL!$C$42, 500, 500)*CHOOSE(CONTROL!$C$42, 0.275, 0.275)*CHOOSE(CONTROL!$C$42, 31, 31))/1000000</f>
        <v>4.2625000000000002</v>
      </c>
      <c r="W185" s="57">
        <f>(1000*CHOOSE(CONTROL!$C$42, 0.1146, 0.1146)*CHOOSE(CONTROL!$C$42, 121.5, 121.5)*CHOOSE(CONTROL!$C$42, 31, 31))/1000000</f>
        <v>0.43164089999999994</v>
      </c>
      <c r="X185" s="57">
        <f>(31*0.1790888*245000/1000000)+(31*0.2374*100000/1000000)</f>
        <v>2.0961194359999999</v>
      </c>
      <c r="Y185" s="57"/>
      <c r="Z185" s="14"/>
      <c r="AA185" s="56"/>
      <c r="AB185" s="50">
        <f>(B185*194.205+C185*267.466+D185*133.845+E185*53.484+F185*40+G185*185+H185*0+I185*100+J185*300)/(194.205+267.466+133.845+53.484+0+40+185+100+300)</f>
        <v>9.9994190607535316</v>
      </c>
      <c r="AC185" s="45">
        <f>(M185*'RAP TEMPLATE-GAS AVAILABILITY'!O184+N185*'RAP TEMPLATE-GAS AVAILABILITY'!P184+O185*'RAP TEMPLATE-GAS AVAILABILITY'!Q184+P185*'RAP TEMPLATE-GAS AVAILABILITY'!R184)/('RAP TEMPLATE-GAS AVAILABILITY'!O184+'RAP TEMPLATE-GAS AVAILABILITY'!P184+'RAP TEMPLATE-GAS AVAILABILITY'!Q184+'RAP TEMPLATE-GAS AVAILABILITY'!R184)</f>
        <v>9.8417151079136698</v>
      </c>
    </row>
    <row r="186" spans="1:29" ht="15.75" x14ac:dyDescent="0.25">
      <c r="A186" s="13">
        <v>46539</v>
      </c>
      <c r="B186" s="14">
        <f>CHOOSE(CONTROL!$C$42, 10.2494, 10.2494) * CHOOSE(CONTROL!$C$21, $C$9, 100%, $E$9)</f>
        <v>10.2494</v>
      </c>
      <c r="C186" s="14">
        <f>CHOOSE(CONTROL!$C$42, 10.2574, 10.2574) * CHOOSE(CONTROL!$C$21, $C$9, 100%, $E$9)</f>
        <v>10.257400000000001</v>
      </c>
      <c r="D186" s="14">
        <f>CHOOSE(CONTROL!$C$42, 10.478, 10.478) * CHOOSE(CONTROL!$C$21, $C$9, 100%, $E$9)</f>
        <v>10.478</v>
      </c>
      <c r="E186" s="14">
        <f>CHOOSE(CONTROL!$C$42, 10.5094, 10.5094) * CHOOSE(CONTROL!$C$21, $C$9, 100%, $E$9)</f>
        <v>10.509399999999999</v>
      </c>
      <c r="F186" s="14">
        <f>CHOOSE(CONTROL!$C$42, 10.276, 10.276)*CHOOSE(CONTROL!$C$21, $C$9, 100%, $E$9)</f>
        <v>10.276</v>
      </c>
      <c r="G186" s="14">
        <f>CHOOSE(CONTROL!$C$42, 10.2932, 10.2932)*CHOOSE(CONTROL!$C$21, $C$9, 100%, $E$9)</f>
        <v>10.293200000000001</v>
      </c>
      <c r="H186" s="14">
        <f>CHOOSE(CONTROL!$C$42, 10.4981, 10.4981) * CHOOSE(CONTROL!$C$21, $C$9, 100%, $E$9)</f>
        <v>10.498100000000001</v>
      </c>
      <c r="I186" s="14">
        <f>CHOOSE(CONTROL!$C$42, 10.3093, 10.3093)* CHOOSE(CONTROL!$C$21, $C$9, 100%, $E$9)</f>
        <v>10.3093</v>
      </c>
      <c r="J186" s="14">
        <f>CHOOSE(CONTROL!$C$42, 10.269, 10.269)* CHOOSE(CONTROL!$C$21, $C$9, 100%, $E$9)</f>
        <v>10.269</v>
      </c>
      <c r="K186" s="53">
        <f>CHOOSE(CONTROL!$C$42, 10.3055, 10.3055) * CHOOSE(CONTROL!$C$21, $C$9, 100%, $E$9)</f>
        <v>10.3055</v>
      </c>
      <c r="L186" s="14">
        <f>CHOOSE(CONTROL!$C$42, 11.0851, 11.0851) * CHOOSE(CONTROL!$C$21, $C$9, 100%, $E$9)</f>
        <v>11.085100000000001</v>
      </c>
      <c r="M186" s="14">
        <f>CHOOSE(CONTROL!$C$42, 10.0663, 10.0663) * CHOOSE(CONTROL!$C$21, $C$9, 100%, $E$9)</f>
        <v>10.0663</v>
      </c>
      <c r="N186" s="14">
        <f>CHOOSE(CONTROL!$C$42, 10.0831, 10.0831) * CHOOSE(CONTROL!$C$21, $C$9, 100%, $E$9)</f>
        <v>10.0831</v>
      </c>
      <c r="O186" s="14">
        <f>CHOOSE(CONTROL!$C$42, 10.2907, 10.2907) * CHOOSE(CONTROL!$C$21, $C$9, 100%, $E$9)</f>
        <v>10.290699999999999</v>
      </c>
      <c r="P186" s="14">
        <f>CHOOSE(CONTROL!$C$42, 10.1052, 10.1052) * CHOOSE(CONTROL!$C$21, $C$9, 100%, $E$9)</f>
        <v>10.1052</v>
      </c>
      <c r="Q186" s="14">
        <f>CHOOSE(CONTROL!$C$42, 10.8854, 10.8854) * CHOOSE(CONTROL!$C$21, $C$9, 100%, $E$9)</f>
        <v>10.885400000000001</v>
      </c>
      <c r="R186" s="14">
        <f>CHOOSE(CONTROL!$C$42, 11.4996, 11.4996) * CHOOSE(CONTROL!$C$21, $C$9, 100%, $E$9)</f>
        <v>11.499599999999999</v>
      </c>
      <c r="S186" s="14">
        <f>CHOOSE(CONTROL!$C$42, 9.838, 9.838) * CHOOSE(CONTROL!$C$21, $C$9, 100%, $E$9)</f>
        <v>9.8379999999999992</v>
      </c>
      <c r="T18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86" s="57">
        <f>(1000*CHOOSE(CONTROL!$C$42, 695, 695)*CHOOSE(CONTROL!$C$42, 0.5599, 0.5599)*CHOOSE(CONTROL!$C$42, 30, 30))/1000000</f>
        <v>11.673914999999997</v>
      </c>
      <c r="V186" s="57">
        <f>(1000*CHOOSE(CONTROL!$C$42, 500, 500)*CHOOSE(CONTROL!$C$42, 0.275, 0.275)*CHOOSE(CONTROL!$C$42, 30, 30))/1000000</f>
        <v>4.125</v>
      </c>
      <c r="W186" s="57">
        <f>(1000*CHOOSE(CONTROL!$C$42, 0.1146, 0.1146)*CHOOSE(CONTROL!$C$42, 121.5, 121.5)*CHOOSE(CONTROL!$C$42, 30, 30))/1000000</f>
        <v>0.417717</v>
      </c>
      <c r="X186" s="57">
        <f>(30*0.1790888*245000/1000000)+(30*0.2374*100000/1000000)</f>
        <v>2.0285026799999999</v>
      </c>
      <c r="Y186" s="57"/>
      <c r="Z186" s="14"/>
      <c r="AA186" s="56"/>
      <c r="AB186" s="50">
        <f>(B186*194.205+C186*267.466+D186*133.845+E186*53.484+F186*40+G186*185+H186*0+I186*100+J186*300)/(194.205+267.466+133.845+53.484+0+40+185+100+300)</f>
        <v>10.302523653846153</v>
      </c>
      <c r="AC186" s="45">
        <f>(M186*'RAP TEMPLATE-GAS AVAILABILITY'!O185+N186*'RAP TEMPLATE-GAS AVAILABILITY'!P185+O186*'RAP TEMPLATE-GAS AVAILABILITY'!Q185+P186*'RAP TEMPLATE-GAS AVAILABILITY'!R185)/('RAP TEMPLATE-GAS AVAILABILITY'!O185+'RAP TEMPLATE-GAS AVAILABILITY'!P185+'RAP TEMPLATE-GAS AVAILABILITY'!Q185+'RAP TEMPLATE-GAS AVAILABILITY'!R185)</f>
        <v>10.138725899280574</v>
      </c>
    </row>
    <row r="187" spans="1:29" ht="15.75" x14ac:dyDescent="0.25">
      <c r="A187" s="13">
        <v>46569</v>
      </c>
      <c r="B187" s="14">
        <f>CHOOSE(CONTROL!$C$42, 10.0736, 10.0736) * CHOOSE(CONTROL!$C$21, $C$9, 100%, $E$9)</f>
        <v>10.073600000000001</v>
      </c>
      <c r="C187" s="14">
        <f>CHOOSE(CONTROL!$C$42, 10.0817, 10.0817) * CHOOSE(CONTROL!$C$21, $C$9, 100%, $E$9)</f>
        <v>10.0817</v>
      </c>
      <c r="D187" s="14">
        <f>CHOOSE(CONTROL!$C$42, 10.3023, 10.3023) * CHOOSE(CONTROL!$C$21, $C$9, 100%, $E$9)</f>
        <v>10.302300000000001</v>
      </c>
      <c r="E187" s="14">
        <f>CHOOSE(CONTROL!$C$42, 10.3337, 10.3337) * CHOOSE(CONTROL!$C$21, $C$9, 100%, $E$9)</f>
        <v>10.3337</v>
      </c>
      <c r="F187" s="14">
        <f>CHOOSE(CONTROL!$C$42, 10.1007, 10.1007)*CHOOSE(CONTROL!$C$21, $C$9, 100%, $E$9)</f>
        <v>10.1007</v>
      </c>
      <c r="G187" s="14">
        <f>CHOOSE(CONTROL!$C$42, 10.118, 10.118)*CHOOSE(CONTROL!$C$21, $C$9, 100%, $E$9)</f>
        <v>10.118</v>
      </c>
      <c r="H187" s="14">
        <f>CHOOSE(CONTROL!$C$42, 10.3223, 10.3223) * CHOOSE(CONTROL!$C$21, $C$9, 100%, $E$9)</f>
        <v>10.3223</v>
      </c>
      <c r="I187" s="14">
        <f>CHOOSE(CONTROL!$C$42, 10.1331, 10.1331)* CHOOSE(CONTROL!$C$21, $C$9, 100%, $E$9)</f>
        <v>10.133100000000001</v>
      </c>
      <c r="J187" s="14">
        <f>CHOOSE(CONTROL!$C$42, 10.0937, 10.0937)* CHOOSE(CONTROL!$C$21, $C$9, 100%, $E$9)</f>
        <v>10.0937</v>
      </c>
      <c r="K187" s="53">
        <f>CHOOSE(CONTROL!$C$42, 10.1292, 10.1292) * CHOOSE(CONTROL!$C$21, $C$9, 100%, $E$9)</f>
        <v>10.129200000000001</v>
      </c>
      <c r="L187" s="14">
        <f>CHOOSE(CONTROL!$C$42, 10.9093, 10.9093) * CHOOSE(CONTROL!$C$21, $C$9, 100%, $E$9)</f>
        <v>10.9093</v>
      </c>
      <c r="M187" s="14">
        <f>CHOOSE(CONTROL!$C$42, 9.8946, 9.8946) * CHOOSE(CONTROL!$C$21, $C$9, 100%, $E$9)</f>
        <v>9.8946000000000005</v>
      </c>
      <c r="N187" s="14">
        <f>CHOOSE(CONTROL!$C$42, 9.9116, 9.9116) * CHOOSE(CONTROL!$C$21, $C$9, 100%, $E$9)</f>
        <v>9.9116</v>
      </c>
      <c r="O187" s="14">
        <f>CHOOSE(CONTROL!$C$42, 10.1185, 10.1185) * CHOOSE(CONTROL!$C$21, $C$9, 100%, $E$9)</f>
        <v>10.118499999999999</v>
      </c>
      <c r="P187" s="14">
        <f>CHOOSE(CONTROL!$C$42, 9.9326, 9.9326) * CHOOSE(CONTROL!$C$21, $C$9, 100%, $E$9)</f>
        <v>9.9326000000000008</v>
      </c>
      <c r="Q187" s="14">
        <f>CHOOSE(CONTROL!$C$42, 10.7132, 10.7132) * CHOOSE(CONTROL!$C$21, $C$9, 100%, $E$9)</f>
        <v>10.713200000000001</v>
      </c>
      <c r="R187" s="14">
        <f>CHOOSE(CONTROL!$C$42, 11.327, 11.327) * CHOOSE(CONTROL!$C$21, $C$9, 100%, $E$9)</f>
        <v>11.327</v>
      </c>
      <c r="S187" s="14">
        <f>CHOOSE(CONTROL!$C$42, 9.6691, 9.6691) * CHOOSE(CONTROL!$C$21, $C$9, 100%, $E$9)</f>
        <v>9.6691000000000003</v>
      </c>
      <c r="T18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87" s="57">
        <f>(1000*CHOOSE(CONTROL!$C$42, 695, 695)*CHOOSE(CONTROL!$C$42, 0.5599, 0.5599)*CHOOSE(CONTROL!$C$42, 31, 31))/1000000</f>
        <v>12.063045499999998</v>
      </c>
      <c r="V187" s="57">
        <f>(1000*CHOOSE(CONTROL!$C$42, 500, 500)*CHOOSE(CONTROL!$C$42, 0.275, 0.275)*CHOOSE(CONTROL!$C$42, 31, 31))/1000000</f>
        <v>4.2625000000000002</v>
      </c>
      <c r="W187" s="57">
        <f>(1000*CHOOSE(CONTROL!$C$42, 0.1146, 0.1146)*CHOOSE(CONTROL!$C$42, 121.5, 121.5)*CHOOSE(CONTROL!$C$42, 31, 31))/1000000</f>
        <v>0.43164089999999994</v>
      </c>
      <c r="X187" s="57">
        <f>(31*0.1790888*245000/1000000)+(31*0.2374*100000/1000000)</f>
        <v>2.0961194359999999</v>
      </c>
      <c r="Y187" s="57"/>
      <c r="Z187" s="14"/>
      <c r="AA187" s="56"/>
      <c r="AB187" s="50">
        <f>(B187*194.205+C187*267.466+D187*133.845+E187*53.484+F187*40+G187*185+H187*0+I187*100+J187*300)/(194.205+267.466+133.845+53.484+0+40+185+100+300)</f>
        <v>10.126948520015699</v>
      </c>
      <c r="AC187" s="45">
        <f>(M187*'RAP TEMPLATE-GAS AVAILABILITY'!O186+N187*'RAP TEMPLATE-GAS AVAILABILITY'!P186+O187*'RAP TEMPLATE-GAS AVAILABILITY'!Q186+P187*'RAP TEMPLATE-GAS AVAILABILITY'!R186)/('RAP TEMPLATE-GAS AVAILABILITY'!O186+'RAP TEMPLATE-GAS AVAILABILITY'!P186+'RAP TEMPLATE-GAS AVAILABILITY'!Q186+'RAP TEMPLATE-GAS AVAILABILITY'!R186)</f>
        <v>9.9668021582733815</v>
      </c>
    </row>
    <row r="188" spans="1:29" ht="15.75" x14ac:dyDescent="0.25">
      <c r="A188" s="13">
        <v>46600</v>
      </c>
      <c r="B188" s="14">
        <f>CHOOSE(CONTROL!$C$42, 9.5963, 9.5963) * CHOOSE(CONTROL!$C$21, $C$9, 100%, $E$9)</f>
        <v>9.5962999999999994</v>
      </c>
      <c r="C188" s="14">
        <f>CHOOSE(CONTROL!$C$42, 9.6044, 9.6044) * CHOOSE(CONTROL!$C$21, $C$9, 100%, $E$9)</f>
        <v>9.6044</v>
      </c>
      <c r="D188" s="14">
        <f>CHOOSE(CONTROL!$C$42, 9.825, 9.825) * CHOOSE(CONTROL!$C$21, $C$9, 100%, $E$9)</f>
        <v>9.8249999999999993</v>
      </c>
      <c r="E188" s="14">
        <f>CHOOSE(CONTROL!$C$42, 9.8564, 9.8564) * CHOOSE(CONTROL!$C$21, $C$9, 100%, $E$9)</f>
        <v>9.8564000000000007</v>
      </c>
      <c r="F188" s="14">
        <f>CHOOSE(CONTROL!$C$42, 9.6237, 9.6237)*CHOOSE(CONTROL!$C$21, $C$9, 100%, $E$9)</f>
        <v>9.6236999999999995</v>
      </c>
      <c r="G188" s="14">
        <f>CHOOSE(CONTROL!$C$42, 9.6411, 9.6411)*CHOOSE(CONTROL!$C$21, $C$9, 100%, $E$9)</f>
        <v>9.6410999999999998</v>
      </c>
      <c r="H188" s="14">
        <f>CHOOSE(CONTROL!$C$42, 9.8451, 9.8451) * CHOOSE(CONTROL!$C$21, $C$9, 100%, $E$9)</f>
        <v>9.8451000000000004</v>
      </c>
      <c r="I188" s="14">
        <f>CHOOSE(CONTROL!$C$42, 9.6543, 9.6543)* CHOOSE(CONTROL!$C$21, $C$9, 100%, $E$9)</f>
        <v>9.6542999999999992</v>
      </c>
      <c r="J188" s="14">
        <f>CHOOSE(CONTROL!$C$42, 9.6167, 9.6167)* CHOOSE(CONTROL!$C$21, $C$9, 100%, $E$9)</f>
        <v>9.6166999999999998</v>
      </c>
      <c r="K188" s="53">
        <f>CHOOSE(CONTROL!$C$42, 9.6504, 9.6504) * CHOOSE(CONTROL!$C$21, $C$9, 100%, $E$9)</f>
        <v>9.6503999999999994</v>
      </c>
      <c r="L188" s="14">
        <f>CHOOSE(CONTROL!$C$42, 10.4321, 10.4321) * CHOOSE(CONTROL!$C$21, $C$9, 100%, $E$9)</f>
        <v>10.4321</v>
      </c>
      <c r="M188" s="14">
        <f>CHOOSE(CONTROL!$C$42, 9.4274, 9.4274) * CHOOSE(CONTROL!$C$21, $C$9, 100%, $E$9)</f>
        <v>9.4274000000000004</v>
      </c>
      <c r="N188" s="14">
        <f>CHOOSE(CONTROL!$C$42, 9.4444, 9.4444) * CHOOSE(CONTROL!$C$21, $C$9, 100%, $E$9)</f>
        <v>9.4443999999999999</v>
      </c>
      <c r="O188" s="14">
        <f>CHOOSE(CONTROL!$C$42, 9.651, 9.651) * CHOOSE(CONTROL!$C$21, $C$9, 100%, $E$9)</f>
        <v>9.6509999999999998</v>
      </c>
      <c r="P188" s="14">
        <f>CHOOSE(CONTROL!$C$42, 9.4636, 9.4636) * CHOOSE(CONTROL!$C$21, $C$9, 100%, $E$9)</f>
        <v>9.4635999999999996</v>
      </c>
      <c r="Q188" s="14">
        <f>CHOOSE(CONTROL!$C$42, 10.2457, 10.2457) * CHOOSE(CONTROL!$C$21, $C$9, 100%, $E$9)</f>
        <v>10.245699999999999</v>
      </c>
      <c r="R188" s="14">
        <f>CHOOSE(CONTROL!$C$42, 10.8583, 10.8583) * CHOOSE(CONTROL!$C$21, $C$9, 100%, $E$9)</f>
        <v>10.8583</v>
      </c>
      <c r="S188" s="14">
        <f>CHOOSE(CONTROL!$C$42, 9.2105, 9.2105) * CHOOSE(CONTROL!$C$21, $C$9, 100%, $E$9)</f>
        <v>9.2104999999999997</v>
      </c>
      <c r="T18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88" s="57">
        <f>(1000*CHOOSE(CONTROL!$C$42, 695, 695)*CHOOSE(CONTROL!$C$42, 0.5599, 0.5599)*CHOOSE(CONTROL!$C$42, 31, 31))/1000000</f>
        <v>12.063045499999998</v>
      </c>
      <c r="V188" s="57">
        <f>(1000*CHOOSE(CONTROL!$C$42, 500, 500)*CHOOSE(CONTROL!$C$42, 0.275, 0.275)*CHOOSE(CONTROL!$C$42, 31, 31))/1000000</f>
        <v>4.2625000000000002</v>
      </c>
      <c r="W188" s="57">
        <f>(1000*CHOOSE(CONTROL!$C$42, 0.1146, 0.1146)*CHOOSE(CONTROL!$C$42, 121.5, 121.5)*CHOOSE(CONTROL!$C$42, 31, 31))/1000000</f>
        <v>0.43164089999999994</v>
      </c>
      <c r="X188" s="57">
        <f>(31*0.1790888*245000/1000000)+(31*0.2374*100000/1000000)</f>
        <v>2.0961194359999999</v>
      </c>
      <c r="Y188" s="57"/>
      <c r="Z188" s="14"/>
      <c r="AA188" s="56"/>
      <c r="AB188" s="50">
        <f>(B188*194.205+C188*267.466+D188*133.845+E188*53.484+F188*40+G188*185+H188*0+I188*100+J188*300)/(194.205+267.466+133.845+53.484+0+40+185+100+300)</f>
        <v>9.6496689281789632</v>
      </c>
      <c r="AC188" s="45">
        <f>(M188*'RAP TEMPLATE-GAS AVAILABILITY'!O187+N188*'RAP TEMPLATE-GAS AVAILABILITY'!P187+O188*'RAP TEMPLATE-GAS AVAILABILITY'!Q187+P188*'RAP TEMPLATE-GAS AVAILABILITY'!R187)/('RAP TEMPLATE-GAS AVAILABILITY'!O187+'RAP TEMPLATE-GAS AVAILABILITY'!P187+'RAP TEMPLATE-GAS AVAILABILITY'!Q187+'RAP TEMPLATE-GAS AVAILABILITY'!R187)</f>
        <v>9.4992589928057551</v>
      </c>
    </row>
    <row r="189" spans="1:29" ht="15.75" x14ac:dyDescent="0.25">
      <c r="A189" s="13">
        <v>46631</v>
      </c>
      <c r="B189" s="14">
        <f>CHOOSE(CONTROL!$C$42, 9.0061, 9.0061) * CHOOSE(CONTROL!$C$21, $C$9, 100%, $E$9)</f>
        <v>9.0061</v>
      </c>
      <c r="C189" s="14">
        <f>CHOOSE(CONTROL!$C$42, 9.0141, 9.0141) * CHOOSE(CONTROL!$C$21, $C$9, 100%, $E$9)</f>
        <v>9.0140999999999991</v>
      </c>
      <c r="D189" s="14">
        <f>CHOOSE(CONTROL!$C$42, 9.2347, 9.2347) * CHOOSE(CONTROL!$C$21, $C$9, 100%, $E$9)</f>
        <v>9.2347000000000001</v>
      </c>
      <c r="E189" s="14">
        <f>CHOOSE(CONTROL!$C$42, 9.2662, 9.2662) * CHOOSE(CONTROL!$C$21, $C$9, 100%, $E$9)</f>
        <v>9.2661999999999995</v>
      </c>
      <c r="F189" s="14">
        <f>CHOOSE(CONTROL!$C$42, 9.0335, 9.0335)*CHOOSE(CONTROL!$C$21, $C$9, 100%, $E$9)</f>
        <v>9.0335000000000001</v>
      </c>
      <c r="G189" s="14">
        <f>CHOOSE(CONTROL!$C$42, 9.0509, 9.0509)*CHOOSE(CONTROL!$C$21, $C$9, 100%, $E$9)</f>
        <v>9.0509000000000004</v>
      </c>
      <c r="H189" s="14">
        <f>CHOOSE(CONTROL!$C$42, 9.2548, 9.2548) * CHOOSE(CONTROL!$C$21, $C$9, 100%, $E$9)</f>
        <v>9.2547999999999995</v>
      </c>
      <c r="I189" s="14">
        <f>CHOOSE(CONTROL!$C$42, 9.0622, 9.0622)* CHOOSE(CONTROL!$C$21, $C$9, 100%, $E$9)</f>
        <v>9.0622000000000007</v>
      </c>
      <c r="J189" s="14">
        <f>CHOOSE(CONTROL!$C$42, 9.0265, 9.0265)* CHOOSE(CONTROL!$C$21, $C$9, 100%, $E$9)</f>
        <v>9.0265000000000004</v>
      </c>
      <c r="K189" s="53">
        <f>CHOOSE(CONTROL!$C$42, 9.0583, 9.0583) * CHOOSE(CONTROL!$C$21, $C$9, 100%, $E$9)</f>
        <v>9.0582999999999991</v>
      </c>
      <c r="L189" s="14">
        <f>CHOOSE(CONTROL!$C$42, 9.8418, 9.8418) * CHOOSE(CONTROL!$C$21, $C$9, 100%, $E$9)</f>
        <v>9.8417999999999992</v>
      </c>
      <c r="M189" s="14">
        <f>CHOOSE(CONTROL!$C$42, 8.8492, 8.8492) * CHOOSE(CONTROL!$C$21, $C$9, 100%, $E$9)</f>
        <v>8.8491999999999997</v>
      </c>
      <c r="N189" s="14">
        <f>CHOOSE(CONTROL!$C$42, 8.8663, 8.8663) * CHOOSE(CONTROL!$C$21, $C$9, 100%, $E$9)</f>
        <v>8.8663000000000007</v>
      </c>
      <c r="O189" s="14">
        <f>CHOOSE(CONTROL!$C$42, 9.0729, 9.0729) * CHOOSE(CONTROL!$C$21, $C$9, 100%, $E$9)</f>
        <v>9.0729000000000006</v>
      </c>
      <c r="P189" s="14">
        <f>CHOOSE(CONTROL!$C$42, 8.8837, 8.8837) * CHOOSE(CONTROL!$C$21, $C$9, 100%, $E$9)</f>
        <v>8.8836999999999993</v>
      </c>
      <c r="Q189" s="14">
        <f>CHOOSE(CONTROL!$C$42, 9.6676, 9.6676) * CHOOSE(CONTROL!$C$21, $C$9, 100%, $E$9)</f>
        <v>9.6676000000000002</v>
      </c>
      <c r="R189" s="14">
        <f>CHOOSE(CONTROL!$C$42, 10.2788, 10.2788) * CHOOSE(CONTROL!$C$21, $C$9, 100%, $E$9)</f>
        <v>10.2788</v>
      </c>
      <c r="S189" s="14">
        <f>CHOOSE(CONTROL!$C$42, 8.6433, 8.6433) * CHOOSE(CONTROL!$C$21, $C$9, 100%, $E$9)</f>
        <v>8.6433</v>
      </c>
      <c r="T18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89" s="57">
        <f>(1000*CHOOSE(CONTROL!$C$42, 695, 695)*CHOOSE(CONTROL!$C$42, 0.5599, 0.5599)*CHOOSE(CONTROL!$C$42, 30, 30))/1000000</f>
        <v>11.673914999999997</v>
      </c>
      <c r="V189" s="57">
        <f>(1000*CHOOSE(CONTROL!$C$42, 500, 500)*CHOOSE(CONTROL!$C$42, 0.275, 0.275)*CHOOSE(CONTROL!$C$42, 30, 30))/1000000</f>
        <v>4.125</v>
      </c>
      <c r="W189" s="57">
        <f>(1000*CHOOSE(CONTROL!$C$42, 0.1146, 0.1146)*CHOOSE(CONTROL!$C$42, 121.5, 121.5)*CHOOSE(CONTROL!$C$42, 30, 30))/1000000</f>
        <v>0.417717</v>
      </c>
      <c r="X189" s="57">
        <f>(30*0.1790888*245000/1000000)+(30*0.2374*100000/1000000)</f>
        <v>2.0285026799999999</v>
      </c>
      <c r="Y189" s="57"/>
      <c r="Z189" s="14"/>
      <c r="AA189" s="56"/>
      <c r="AB189" s="50">
        <f>(B189*194.205+C189*267.466+D189*133.845+E189*53.484+F189*40+G189*185+H189*0+I189*100+J189*300)/(194.205+267.466+133.845+53.484+0+40+185+100+300)</f>
        <v>9.0592882915227637</v>
      </c>
      <c r="AC189" s="45">
        <f>(M189*'RAP TEMPLATE-GAS AVAILABILITY'!O188+N189*'RAP TEMPLATE-GAS AVAILABILITY'!P188+O189*'RAP TEMPLATE-GAS AVAILABILITY'!Q188+P189*'RAP TEMPLATE-GAS AVAILABILITY'!R188)/('RAP TEMPLATE-GAS AVAILABILITY'!O188+'RAP TEMPLATE-GAS AVAILABILITY'!P188+'RAP TEMPLATE-GAS AVAILABILITY'!Q188+'RAP TEMPLATE-GAS AVAILABILITY'!R188)</f>
        <v>8.9208654676258998</v>
      </c>
    </row>
    <row r="190" spans="1:29" ht="15.75" x14ac:dyDescent="0.25">
      <c r="A190" s="13">
        <v>46661</v>
      </c>
      <c r="B190" s="14">
        <f>CHOOSE(CONTROL!$C$42, 8.8399, 8.8399) * CHOOSE(CONTROL!$C$21, $C$9, 100%, $E$9)</f>
        <v>8.8399000000000001</v>
      </c>
      <c r="C190" s="14">
        <f>CHOOSE(CONTROL!$C$42, 8.8452, 8.8452) * CHOOSE(CONTROL!$C$21, $C$9, 100%, $E$9)</f>
        <v>8.8452000000000002</v>
      </c>
      <c r="D190" s="14">
        <f>CHOOSE(CONTROL!$C$42, 9.0708, 9.0708) * CHOOSE(CONTROL!$C$21, $C$9, 100%, $E$9)</f>
        <v>9.0708000000000002</v>
      </c>
      <c r="E190" s="14">
        <f>CHOOSE(CONTROL!$C$42, 9.0999, 9.0999) * CHOOSE(CONTROL!$C$21, $C$9, 100%, $E$9)</f>
        <v>9.0998999999999999</v>
      </c>
      <c r="F190" s="14">
        <f>CHOOSE(CONTROL!$C$42, 8.8692, 8.8692)*CHOOSE(CONTROL!$C$21, $C$9, 100%, $E$9)</f>
        <v>8.8691999999999993</v>
      </c>
      <c r="G190" s="14">
        <f>CHOOSE(CONTROL!$C$42, 8.8865, 8.8865)*CHOOSE(CONTROL!$C$21, $C$9, 100%, $E$9)</f>
        <v>8.8864999999999998</v>
      </c>
      <c r="H190" s="14">
        <f>CHOOSE(CONTROL!$C$42, 9.0904, 9.0904) * CHOOSE(CONTROL!$C$21, $C$9, 100%, $E$9)</f>
        <v>9.0904000000000007</v>
      </c>
      <c r="I190" s="14">
        <f>CHOOSE(CONTROL!$C$42, 8.8972, 8.8972)* CHOOSE(CONTROL!$C$21, $C$9, 100%, $E$9)</f>
        <v>8.8971999999999998</v>
      </c>
      <c r="J190" s="14">
        <f>CHOOSE(CONTROL!$C$42, 8.8622, 8.8622)* CHOOSE(CONTROL!$C$21, $C$9, 100%, $E$9)</f>
        <v>8.8621999999999996</v>
      </c>
      <c r="K190" s="53">
        <f>CHOOSE(CONTROL!$C$42, 8.8933, 8.8933) * CHOOSE(CONTROL!$C$21, $C$9, 100%, $E$9)</f>
        <v>8.8933</v>
      </c>
      <c r="L190" s="14">
        <f>CHOOSE(CONTROL!$C$42, 9.6774, 9.6774) * CHOOSE(CONTROL!$C$21, $C$9, 100%, $E$9)</f>
        <v>9.6774000000000004</v>
      </c>
      <c r="M190" s="14">
        <f>CHOOSE(CONTROL!$C$42, 8.6884, 8.6884) * CHOOSE(CONTROL!$C$21, $C$9, 100%, $E$9)</f>
        <v>8.6883999999999997</v>
      </c>
      <c r="N190" s="14">
        <f>CHOOSE(CONTROL!$C$42, 8.7052, 8.7052) * CHOOSE(CONTROL!$C$21, $C$9, 100%, $E$9)</f>
        <v>8.7051999999999996</v>
      </c>
      <c r="O190" s="14">
        <f>CHOOSE(CONTROL!$C$42, 8.9118, 8.9118) * CHOOSE(CONTROL!$C$21, $C$9, 100%, $E$9)</f>
        <v>8.9117999999999995</v>
      </c>
      <c r="P190" s="14">
        <f>CHOOSE(CONTROL!$C$42, 8.7221, 8.7221) * CHOOSE(CONTROL!$C$21, $C$9, 100%, $E$9)</f>
        <v>8.7220999999999993</v>
      </c>
      <c r="Q190" s="14">
        <f>CHOOSE(CONTROL!$C$42, 9.5065, 9.5065) * CHOOSE(CONTROL!$C$21, $C$9, 100%, $E$9)</f>
        <v>9.5065000000000008</v>
      </c>
      <c r="R190" s="14">
        <f>CHOOSE(CONTROL!$C$42, 10.1173, 10.1173) * CHOOSE(CONTROL!$C$21, $C$9, 100%, $E$9)</f>
        <v>10.1173</v>
      </c>
      <c r="S190" s="14">
        <f>CHOOSE(CONTROL!$C$42, 8.4853, 8.4853) * CHOOSE(CONTROL!$C$21, $C$9, 100%, $E$9)</f>
        <v>8.4853000000000005</v>
      </c>
      <c r="T19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90" s="57">
        <f>(1000*CHOOSE(CONTROL!$C$42, 695, 695)*CHOOSE(CONTROL!$C$42, 0.5599, 0.5599)*CHOOSE(CONTROL!$C$42, 31, 31))/1000000</f>
        <v>12.063045499999998</v>
      </c>
      <c r="V190" s="57">
        <f>(1000*CHOOSE(CONTROL!$C$42, 500, 500)*CHOOSE(CONTROL!$C$42, 0.275, 0.275)*CHOOSE(CONTROL!$C$42, 31, 31))/1000000</f>
        <v>4.2625000000000002</v>
      </c>
      <c r="W190" s="57">
        <f>(1000*CHOOSE(CONTROL!$C$42, 0.1146, 0.1146)*CHOOSE(CONTROL!$C$42, 121.5, 121.5)*CHOOSE(CONTROL!$C$42, 31, 31))/1000000</f>
        <v>0.43164089999999994</v>
      </c>
      <c r="X190" s="57">
        <f>(31*0.1790888*245000/1000000)+(31*0.2374*100000/1000000)</f>
        <v>2.0961194359999999</v>
      </c>
      <c r="Y190" s="57"/>
      <c r="Z190" s="14"/>
      <c r="AA190" s="56"/>
      <c r="AB190" s="50">
        <f>(B190*131.881+C190*277.167+D190*79.08+E190*125.872+F190*40+G190*185+H190*0+I190*100+J190*300)/(131.881+277.167+79.08+125.872+0+40+185+100+300)</f>
        <v>8.9001649532687654</v>
      </c>
      <c r="AC190" s="45">
        <f>(M190*'RAP TEMPLATE-GAS AVAILABILITY'!O189+N190*'RAP TEMPLATE-GAS AVAILABILITY'!P189+O190*'RAP TEMPLATE-GAS AVAILABILITY'!Q189+P190*'RAP TEMPLATE-GAS AVAILABILITY'!R189)/('RAP TEMPLATE-GAS AVAILABILITY'!O189+'RAP TEMPLATE-GAS AVAILABILITY'!P189+'RAP TEMPLATE-GAS AVAILABILITY'!Q189+'RAP TEMPLATE-GAS AVAILABILITY'!R189)</f>
        <v>8.7597971223021585</v>
      </c>
    </row>
    <row r="191" spans="1:29" ht="15.75" x14ac:dyDescent="0.25">
      <c r="A191" s="13">
        <v>46692</v>
      </c>
      <c r="B191" s="14">
        <f>CHOOSE(CONTROL!$C$42, 9.0908, 9.0908) * CHOOSE(CONTROL!$C$21, $C$9, 100%, $E$9)</f>
        <v>9.0907999999999998</v>
      </c>
      <c r="C191" s="14">
        <f>CHOOSE(CONTROL!$C$42, 9.0958, 9.0958) * CHOOSE(CONTROL!$C$21, $C$9, 100%, $E$9)</f>
        <v>9.0958000000000006</v>
      </c>
      <c r="D191" s="14">
        <f>CHOOSE(CONTROL!$C$42, 9.17, 9.17) * CHOOSE(CONTROL!$C$21, $C$9, 100%, $E$9)</f>
        <v>9.17</v>
      </c>
      <c r="E191" s="14">
        <f>CHOOSE(CONTROL!$C$42, 9.2041, 9.2041) * CHOOSE(CONTROL!$C$21, $C$9, 100%, $E$9)</f>
        <v>9.2041000000000004</v>
      </c>
      <c r="F191" s="14">
        <f>CHOOSE(CONTROL!$C$42, 9.1268, 9.1268)*CHOOSE(CONTROL!$C$21, $C$9, 100%, $E$9)</f>
        <v>9.1267999999999994</v>
      </c>
      <c r="G191" s="14">
        <f>CHOOSE(CONTROL!$C$42, 9.1443, 9.1443)*CHOOSE(CONTROL!$C$21, $C$9, 100%, $E$9)</f>
        <v>9.1442999999999994</v>
      </c>
      <c r="H191" s="14">
        <f>CHOOSE(CONTROL!$C$42, 9.1933, 9.1933) * CHOOSE(CONTROL!$C$21, $C$9, 100%, $E$9)</f>
        <v>9.1933000000000007</v>
      </c>
      <c r="I191" s="14">
        <f>CHOOSE(CONTROL!$C$42, 9.1467, 9.1467)* CHOOSE(CONTROL!$C$21, $C$9, 100%, $E$9)</f>
        <v>9.1466999999999992</v>
      </c>
      <c r="J191" s="14">
        <f>CHOOSE(CONTROL!$C$42, 9.1198, 9.1198)* CHOOSE(CONTROL!$C$21, $C$9, 100%, $E$9)</f>
        <v>9.1197999999999997</v>
      </c>
      <c r="K191" s="53">
        <f>CHOOSE(CONTROL!$C$42, 9.1428, 9.1428) * CHOOSE(CONTROL!$C$21, $C$9, 100%, $E$9)</f>
        <v>9.1427999999999994</v>
      </c>
      <c r="L191" s="14">
        <f>CHOOSE(CONTROL!$C$42, 9.7803, 9.7803) * CHOOSE(CONTROL!$C$21, $C$9, 100%, $E$9)</f>
        <v>9.7803000000000004</v>
      </c>
      <c r="M191" s="14">
        <f>CHOOSE(CONTROL!$C$42, 8.9406, 8.9406) * CHOOSE(CONTROL!$C$21, $C$9, 100%, $E$9)</f>
        <v>8.9405999999999999</v>
      </c>
      <c r="N191" s="14">
        <f>CHOOSE(CONTROL!$C$42, 8.9578, 8.9578) * CHOOSE(CONTROL!$C$21, $C$9, 100%, $E$9)</f>
        <v>8.9578000000000007</v>
      </c>
      <c r="O191" s="14">
        <f>CHOOSE(CONTROL!$C$42, 9.0127, 9.0127) * CHOOSE(CONTROL!$C$21, $C$9, 100%, $E$9)</f>
        <v>9.0127000000000006</v>
      </c>
      <c r="P191" s="14">
        <f>CHOOSE(CONTROL!$C$42, 8.9665, 8.9665) * CHOOSE(CONTROL!$C$21, $C$9, 100%, $E$9)</f>
        <v>8.9664999999999999</v>
      </c>
      <c r="Q191" s="14">
        <f>CHOOSE(CONTROL!$C$42, 9.6074, 9.6074) * CHOOSE(CONTROL!$C$21, $C$9, 100%, $E$9)</f>
        <v>9.6074000000000002</v>
      </c>
      <c r="R191" s="14">
        <f>CHOOSE(CONTROL!$C$42, 10.2184, 10.2184) * CHOOSE(CONTROL!$C$21, $C$9, 100%, $E$9)</f>
        <v>10.218400000000001</v>
      </c>
      <c r="S191" s="14">
        <f>CHOOSE(CONTROL!$C$42, 8.7268, 8.7268) * CHOOSE(CONTROL!$C$21, $C$9, 100%, $E$9)</f>
        <v>8.7268000000000008</v>
      </c>
      <c r="T19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91" s="57">
        <f>(1000*CHOOSE(CONTROL!$C$42, 695, 695)*CHOOSE(CONTROL!$C$42, 0.5599, 0.5599)*CHOOSE(CONTROL!$C$42, 30, 30))/1000000</f>
        <v>11.673914999999997</v>
      </c>
      <c r="V191" s="57">
        <f>(1000*CHOOSE(CONTROL!$C$42, 500, 500)*CHOOSE(CONTROL!$C$42, 0.275, 0.275)*CHOOSE(CONTROL!$C$42, 30, 30))/1000000</f>
        <v>4.125</v>
      </c>
      <c r="W191" s="57">
        <f>(1000*CHOOSE(CONTROL!$C$42, 0.1146, 0.1146)*CHOOSE(CONTROL!$C$42, 121.5, 121.5)*CHOOSE(CONTROL!$C$42, 30, 30))/1000000</f>
        <v>0.417717</v>
      </c>
      <c r="X191" s="57">
        <f>(30*0.1790888*100000/1000000)+(30*0.2374*100000/1000000)</f>
        <v>1.2494664</v>
      </c>
      <c r="Y191" s="57"/>
      <c r="Z191" s="14"/>
      <c r="AA191" s="56"/>
      <c r="AB191" s="50">
        <f>(B191*122.58+C191*297.941+D191*89.177+E191*40.302+F191*40+G191*160+H191*0+I191*100+J191*300)/(122.58+297.941+89.177+40.302+0+40+160+100+300)</f>
        <v>9.1233293391304358</v>
      </c>
      <c r="AC191" s="45">
        <f>(M191*'RAP TEMPLATE-GAS AVAILABILITY'!O190+N191*'RAP TEMPLATE-GAS AVAILABILITY'!P190+O191*'RAP TEMPLATE-GAS AVAILABILITY'!Q190+P191*'RAP TEMPLATE-GAS AVAILABILITY'!R190)/('RAP TEMPLATE-GAS AVAILABILITY'!O190+'RAP TEMPLATE-GAS AVAILABILITY'!P190+'RAP TEMPLATE-GAS AVAILABILITY'!Q190+'RAP TEMPLATE-GAS AVAILABILITY'!R190)</f>
        <v>8.9779949640287775</v>
      </c>
    </row>
    <row r="192" spans="1:29" ht="15.75" x14ac:dyDescent="0.25">
      <c r="A192" s="13">
        <v>46722</v>
      </c>
      <c r="B192" s="14">
        <f>CHOOSE(CONTROL!$C$42, 9.7299, 9.7299) * CHOOSE(CONTROL!$C$21, $C$9, 100%, $E$9)</f>
        <v>9.7299000000000007</v>
      </c>
      <c r="C192" s="14">
        <f>CHOOSE(CONTROL!$C$42, 9.7349, 9.7349) * CHOOSE(CONTROL!$C$21, $C$9, 100%, $E$9)</f>
        <v>9.7348999999999997</v>
      </c>
      <c r="D192" s="14">
        <f>CHOOSE(CONTROL!$C$42, 9.8092, 9.8092) * CHOOSE(CONTROL!$C$21, $C$9, 100%, $E$9)</f>
        <v>9.8092000000000006</v>
      </c>
      <c r="E192" s="14">
        <f>CHOOSE(CONTROL!$C$42, 9.8433, 9.8433) * CHOOSE(CONTROL!$C$21, $C$9, 100%, $E$9)</f>
        <v>9.8432999999999993</v>
      </c>
      <c r="F192" s="14">
        <f>CHOOSE(CONTROL!$C$42, 9.7683, 9.7683)*CHOOSE(CONTROL!$C$21, $C$9, 100%, $E$9)</f>
        <v>9.7683</v>
      </c>
      <c r="G192" s="14">
        <f>CHOOSE(CONTROL!$C$42, 9.7864, 9.7864)*CHOOSE(CONTROL!$C$21, $C$9, 100%, $E$9)</f>
        <v>9.7864000000000004</v>
      </c>
      <c r="H192" s="14">
        <f>CHOOSE(CONTROL!$C$42, 9.8325, 9.8325) * CHOOSE(CONTROL!$C$21, $C$9, 100%, $E$9)</f>
        <v>9.8324999999999996</v>
      </c>
      <c r="I192" s="14">
        <f>CHOOSE(CONTROL!$C$42, 9.7878, 9.7878)* CHOOSE(CONTROL!$C$21, $C$9, 100%, $E$9)</f>
        <v>9.7878000000000007</v>
      </c>
      <c r="J192" s="14">
        <f>CHOOSE(CONTROL!$C$42, 9.7613, 9.7613)* CHOOSE(CONTROL!$C$21, $C$9, 100%, $E$9)</f>
        <v>9.7613000000000003</v>
      </c>
      <c r="K192" s="53">
        <f>CHOOSE(CONTROL!$C$42, 9.7839, 9.7839) * CHOOSE(CONTROL!$C$21, $C$9, 100%, $E$9)</f>
        <v>9.7838999999999992</v>
      </c>
      <c r="L192" s="14">
        <f>CHOOSE(CONTROL!$C$42, 10.4195, 10.4195) * CHOOSE(CONTROL!$C$21, $C$9, 100%, $E$9)</f>
        <v>10.419499999999999</v>
      </c>
      <c r="M192" s="14">
        <f>CHOOSE(CONTROL!$C$42, 9.569, 9.569) * CHOOSE(CONTROL!$C$21, $C$9, 100%, $E$9)</f>
        <v>9.5690000000000008</v>
      </c>
      <c r="N192" s="14">
        <f>CHOOSE(CONTROL!$C$42, 9.5868, 9.5868) * CHOOSE(CONTROL!$C$21, $C$9, 100%, $E$9)</f>
        <v>9.5868000000000002</v>
      </c>
      <c r="O192" s="14">
        <f>CHOOSE(CONTROL!$C$42, 9.6387, 9.6387) * CHOOSE(CONTROL!$C$21, $C$9, 100%, $E$9)</f>
        <v>9.6387</v>
      </c>
      <c r="P192" s="14">
        <f>CHOOSE(CONTROL!$C$42, 9.5944, 9.5944) * CHOOSE(CONTROL!$C$21, $C$9, 100%, $E$9)</f>
        <v>9.5944000000000003</v>
      </c>
      <c r="Q192" s="14">
        <f>CHOOSE(CONTROL!$C$42, 10.2334, 10.2334) * CHOOSE(CONTROL!$C$21, $C$9, 100%, $E$9)</f>
        <v>10.2334</v>
      </c>
      <c r="R192" s="14">
        <f>CHOOSE(CONTROL!$C$42, 10.846, 10.846) * CHOOSE(CONTROL!$C$21, $C$9, 100%, $E$9)</f>
        <v>10.846</v>
      </c>
      <c r="S192" s="14">
        <f>CHOOSE(CONTROL!$C$42, 9.3409, 9.3409) * CHOOSE(CONTROL!$C$21, $C$9, 100%, $E$9)</f>
        <v>9.3408999999999995</v>
      </c>
      <c r="T19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92" s="57">
        <f>(1000*CHOOSE(CONTROL!$C$42, 695, 695)*CHOOSE(CONTROL!$C$42, 0.5599, 0.5599)*CHOOSE(CONTROL!$C$42, 31, 31))/1000000</f>
        <v>12.063045499999998</v>
      </c>
      <c r="V192" s="57">
        <f>(1000*CHOOSE(CONTROL!$C$42, 500, 500)*CHOOSE(CONTROL!$C$42, 0.275, 0.275)*CHOOSE(CONTROL!$C$42, 31, 31))/1000000</f>
        <v>4.2625000000000002</v>
      </c>
      <c r="W192" s="57">
        <f>(1000*CHOOSE(CONTROL!$C$42, 0.1146, 0.1146)*CHOOSE(CONTROL!$C$42, 121.5, 121.5)*CHOOSE(CONTROL!$C$42, 31, 31))/1000000</f>
        <v>0.43164089999999994</v>
      </c>
      <c r="X192" s="57">
        <f>(31*0.1790888*100000/1000000)+(31*0.2374*100000/1000000)</f>
        <v>1.2911152800000001</v>
      </c>
      <c r="Y192" s="57"/>
      <c r="Z192" s="14"/>
      <c r="AA192" s="56"/>
      <c r="AB192" s="50">
        <f>(B192*122.58+C192*297.941+D192*89.177+E192*40.302+F192*40+G192*160+H192*0+I192*100+J192*300)/(122.58+297.941+89.177+40.302+0+40+160+100+300)</f>
        <v>9.7637414677391305</v>
      </c>
      <c r="AC192" s="45">
        <f>(M192*'RAP TEMPLATE-GAS AVAILABILITY'!O191+N192*'RAP TEMPLATE-GAS AVAILABILITY'!P191+O192*'RAP TEMPLATE-GAS AVAILABILITY'!Q191+P192*'RAP TEMPLATE-GAS AVAILABILITY'!R191)/('RAP TEMPLATE-GAS AVAILABILITY'!O191+'RAP TEMPLATE-GAS AVAILABILITY'!P191+'RAP TEMPLATE-GAS AVAILABILITY'!Q191+'RAP TEMPLATE-GAS AVAILABILITY'!R191)</f>
        <v>9.6052697841726626</v>
      </c>
    </row>
    <row r="193" spans="1:29" ht="15.75" x14ac:dyDescent="0.25">
      <c r="A193" s="13">
        <v>46753</v>
      </c>
      <c r="B193" s="14">
        <f>CHOOSE(CONTROL!$C$42, 10.2462, 10.2462) * CHOOSE(CONTROL!$C$21, $C$9, 100%, $E$9)</f>
        <v>10.2462</v>
      </c>
      <c r="C193" s="14">
        <f>CHOOSE(CONTROL!$C$42, 10.2512, 10.2512) * CHOOSE(CONTROL!$C$21, $C$9, 100%, $E$9)</f>
        <v>10.251200000000001</v>
      </c>
      <c r="D193" s="14">
        <f>CHOOSE(CONTROL!$C$42, 10.3281, 10.3281) * CHOOSE(CONTROL!$C$21, $C$9, 100%, $E$9)</f>
        <v>10.328099999999999</v>
      </c>
      <c r="E193" s="14">
        <f>CHOOSE(CONTROL!$C$42, 10.3622, 10.3622) * CHOOSE(CONTROL!$C$21, $C$9, 100%, $E$9)</f>
        <v>10.3622</v>
      </c>
      <c r="F193" s="14">
        <f>CHOOSE(CONTROL!$C$42, 10.2709, 10.2709)*CHOOSE(CONTROL!$C$21, $C$9, 100%, $E$9)</f>
        <v>10.270899999999999</v>
      </c>
      <c r="G193" s="14">
        <f>CHOOSE(CONTROL!$C$42, 10.2889, 10.2889)*CHOOSE(CONTROL!$C$21, $C$9, 100%, $E$9)</f>
        <v>10.2889</v>
      </c>
      <c r="H193" s="14">
        <f>CHOOSE(CONTROL!$C$42, 10.3514, 10.3514) * CHOOSE(CONTROL!$C$21, $C$9, 100%, $E$9)</f>
        <v>10.3514</v>
      </c>
      <c r="I193" s="14">
        <f>CHOOSE(CONTROL!$C$42, 10.312, 10.312)* CHOOSE(CONTROL!$C$21, $C$9, 100%, $E$9)</f>
        <v>10.311999999999999</v>
      </c>
      <c r="J193" s="14">
        <f>CHOOSE(CONTROL!$C$42, 10.2639, 10.2639)* CHOOSE(CONTROL!$C$21, $C$9, 100%, $E$9)</f>
        <v>10.2639</v>
      </c>
      <c r="K193" s="53">
        <f>CHOOSE(CONTROL!$C$42, 10.3081, 10.3081) * CHOOSE(CONTROL!$C$21, $C$9, 100%, $E$9)</f>
        <v>10.3081</v>
      </c>
      <c r="L193" s="14">
        <f>CHOOSE(CONTROL!$C$42, 10.9384, 10.9384) * CHOOSE(CONTROL!$C$21, $C$9, 100%, $E$9)</f>
        <v>10.9384</v>
      </c>
      <c r="M193" s="14">
        <f>CHOOSE(CONTROL!$C$42, 10.0613, 10.0613) * CHOOSE(CONTROL!$C$21, $C$9, 100%, $E$9)</f>
        <v>10.061299999999999</v>
      </c>
      <c r="N193" s="14">
        <f>CHOOSE(CONTROL!$C$42, 10.0789, 10.0789) * CHOOSE(CONTROL!$C$21, $C$9, 100%, $E$9)</f>
        <v>10.078900000000001</v>
      </c>
      <c r="O193" s="14">
        <f>CHOOSE(CONTROL!$C$42, 10.147, 10.147) * CHOOSE(CONTROL!$C$21, $C$9, 100%, $E$9)</f>
        <v>10.147</v>
      </c>
      <c r="P193" s="14">
        <f>CHOOSE(CONTROL!$C$42, 10.1078, 10.1078) * CHOOSE(CONTROL!$C$21, $C$9, 100%, $E$9)</f>
        <v>10.107799999999999</v>
      </c>
      <c r="Q193" s="14">
        <f>CHOOSE(CONTROL!$C$42, 10.7417, 10.7417) * CHOOSE(CONTROL!$C$21, $C$9, 100%, $E$9)</f>
        <v>10.7417</v>
      </c>
      <c r="R193" s="14">
        <f>CHOOSE(CONTROL!$C$42, 11.3555, 11.3555) * CHOOSE(CONTROL!$C$21, $C$9, 100%, $E$9)</f>
        <v>11.355499999999999</v>
      </c>
      <c r="S193" s="14">
        <f>CHOOSE(CONTROL!$C$42, 9.837, 9.837) * CHOOSE(CONTROL!$C$21, $C$9, 100%, $E$9)</f>
        <v>9.8369999999999997</v>
      </c>
      <c r="T19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93" s="57">
        <f>(1000*CHOOSE(CONTROL!$C$42, 695, 695)*CHOOSE(CONTROL!$C$42, 0.5599, 0.5599)*CHOOSE(CONTROL!$C$42, 31, 31))/1000000</f>
        <v>12.063045499999998</v>
      </c>
      <c r="V193" s="57">
        <f>(1000*CHOOSE(CONTROL!$C$42, 500, 500)*CHOOSE(CONTROL!$C$42, 0.275, 0.275)*CHOOSE(CONTROL!$C$42, 31, 31))/1000000</f>
        <v>4.2625000000000002</v>
      </c>
      <c r="W193" s="57">
        <f>(1000*CHOOSE(CONTROL!$C$42, 0.1146, 0.1146)*CHOOSE(CONTROL!$C$42, 121.5, 121.5)*CHOOSE(CONTROL!$C$42, 31, 31))/1000000</f>
        <v>0.43164089999999994</v>
      </c>
      <c r="X193" s="57">
        <f>(31*0.1790888*100000/1000000)+(31*0.2374*100000/1000000)</f>
        <v>1.2911152800000001</v>
      </c>
      <c r="Y193" s="57"/>
      <c r="Z193" s="14"/>
      <c r="AA193" s="56"/>
      <c r="AB193" s="50">
        <f>(B193*122.58+C193*297.941+D193*89.177+E193*40.302+F193*40+G193*160+H193*0+I193*100+J193*300)/(122.58+297.941+89.177+40.302+0+40+160+100+300)</f>
        <v>10.275050724608697</v>
      </c>
      <c r="AC193" s="45">
        <f>(M193*'RAP TEMPLATE-GAS AVAILABILITY'!O192+N193*'RAP TEMPLATE-GAS AVAILABILITY'!P192+O193*'RAP TEMPLATE-GAS AVAILABILITY'!Q192+P193*'RAP TEMPLATE-GAS AVAILABILITY'!R192)/('RAP TEMPLATE-GAS AVAILABILITY'!O192+'RAP TEMPLATE-GAS AVAILABILITY'!P192+'RAP TEMPLATE-GAS AVAILABILITY'!Q192+'RAP TEMPLATE-GAS AVAILABILITY'!R192)</f>
        <v>10.107846043165468</v>
      </c>
    </row>
    <row r="194" spans="1:29" ht="15.75" x14ac:dyDescent="0.25">
      <c r="A194" s="13">
        <v>46784</v>
      </c>
      <c r="B194" s="14">
        <f>CHOOSE(CONTROL!$C$42, 10.4499, 10.4499) * CHOOSE(CONTROL!$C$21, $C$9, 100%, $E$9)</f>
        <v>10.4499</v>
      </c>
      <c r="C194" s="14">
        <f>CHOOSE(CONTROL!$C$42, 10.4549, 10.4549) * CHOOSE(CONTROL!$C$21, $C$9, 100%, $E$9)</f>
        <v>10.4549</v>
      </c>
      <c r="D194" s="14">
        <f>CHOOSE(CONTROL!$C$42, 10.5317, 10.5317) * CHOOSE(CONTROL!$C$21, $C$9, 100%, $E$9)</f>
        <v>10.531700000000001</v>
      </c>
      <c r="E194" s="14">
        <f>CHOOSE(CONTROL!$C$42, 10.5659, 10.5659) * CHOOSE(CONTROL!$C$21, $C$9, 100%, $E$9)</f>
        <v>10.565899999999999</v>
      </c>
      <c r="F194" s="14">
        <f>CHOOSE(CONTROL!$C$42, 10.4742, 10.4742)*CHOOSE(CONTROL!$C$21, $C$9, 100%, $E$9)</f>
        <v>10.4742</v>
      </c>
      <c r="G194" s="14">
        <f>CHOOSE(CONTROL!$C$42, 10.4921, 10.4921)*CHOOSE(CONTROL!$C$21, $C$9, 100%, $E$9)</f>
        <v>10.492100000000001</v>
      </c>
      <c r="H194" s="14">
        <f>CHOOSE(CONTROL!$C$42, 10.555, 10.555) * CHOOSE(CONTROL!$C$21, $C$9, 100%, $E$9)</f>
        <v>10.555</v>
      </c>
      <c r="I194" s="14">
        <f>CHOOSE(CONTROL!$C$42, 10.5163, 10.5163)* CHOOSE(CONTROL!$C$21, $C$9, 100%, $E$9)</f>
        <v>10.516299999999999</v>
      </c>
      <c r="J194" s="14">
        <f>CHOOSE(CONTROL!$C$42, 10.4672, 10.4672)* CHOOSE(CONTROL!$C$21, $C$9, 100%, $E$9)</f>
        <v>10.4672</v>
      </c>
      <c r="K194" s="53">
        <f>CHOOSE(CONTROL!$C$42, 10.5124, 10.5124) * CHOOSE(CONTROL!$C$21, $C$9, 100%, $E$9)</f>
        <v>10.5124</v>
      </c>
      <c r="L194" s="14">
        <f>CHOOSE(CONTROL!$C$42, 11.142, 11.142) * CHOOSE(CONTROL!$C$21, $C$9, 100%, $E$9)</f>
        <v>11.141999999999999</v>
      </c>
      <c r="M194" s="14">
        <f>CHOOSE(CONTROL!$C$42, 10.2604, 10.2604) * CHOOSE(CONTROL!$C$21, $C$9, 100%, $E$9)</f>
        <v>10.260400000000001</v>
      </c>
      <c r="N194" s="14">
        <f>CHOOSE(CONTROL!$C$42, 10.2779, 10.2779) * CHOOSE(CONTROL!$C$21, $C$9, 100%, $E$9)</f>
        <v>10.277900000000001</v>
      </c>
      <c r="O194" s="14">
        <f>CHOOSE(CONTROL!$C$42, 10.3465, 10.3465) * CHOOSE(CONTROL!$C$21, $C$9, 100%, $E$9)</f>
        <v>10.346500000000001</v>
      </c>
      <c r="P194" s="14">
        <f>CHOOSE(CONTROL!$C$42, 10.3079, 10.3079) * CHOOSE(CONTROL!$C$21, $C$9, 100%, $E$9)</f>
        <v>10.3079</v>
      </c>
      <c r="Q194" s="14">
        <f>CHOOSE(CONTROL!$C$42, 10.9412, 10.9412) * CHOOSE(CONTROL!$C$21, $C$9, 100%, $E$9)</f>
        <v>10.9412</v>
      </c>
      <c r="R194" s="14">
        <f>CHOOSE(CONTROL!$C$42, 11.5555, 11.5555) * CHOOSE(CONTROL!$C$21, $C$9, 100%, $E$9)</f>
        <v>11.5555</v>
      </c>
      <c r="S194" s="14">
        <f>CHOOSE(CONTROL!$C$42, 10.0327, 10.0327) * CHOOSE(CONTROL!$C$21, $C$9, 100%, $E$9)</f>
        <v>10.0327</v>
      </c>
      <c r="T19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94" s="57">
        <f>(1000*CHOOSE(CONTROL!$C$42, 695, 695)*CHOOSE(CONTROL!$C$42, 0.5599, 0.5599)*CHOOSE(CONTROL!$C$42, 29, 29))/1000000</f>
        <v>11.284784499999999</v>
      </c>
      <c r="V194" s="57">
        <f>(1000*CHOOSE(CONTROL!$C$42, 500, 500)*CHOOSE(CONTROL!$C$42, 0.275, 0.275)*CHOOSE(CONTROL!$C$42, 29, 29))/1000000</f>
        <v>3.9874999999999998</v>
      </c>
      <c r="W194" s="57">
        <f>(1000*CHOOSE(CONTROL!$C$42, 0.1146, 0.1146)*CHOOSE(CONTROL!$C$42, 121.5, 121.5)*CHOOSE(CONTROL!$C$42, 29, 29))/1000000</f>
        <v>0.40379309999999996</v>
      </c>
      <c r="X194" s="57">
        <f>(29*0.1790888*100000/1000000)+(29*0.2374*100000/1000000)</f>
        <v>1.2078175199999999</v>
      </c>
      <c r="Y194" s="57"/>
      <c r="Z194" s="14"/>
      <c r="AA194" s="56"/>
      <c r="AB194" s="50">
        <f>(B194*122.58+C194*297.941+D194*89.177+E194*40.302+F194*40+G194*160+H194*0+I194*100+J194*300)/(122.58+297.941+89.177+40.302+0+40+160+100+300)</f>
        <v>10.478607317913042</v>
      </c>
      <c r="AC194" s="45">
        <f>(M194*'RAP TEMPLATE-GAS AVAILABILITY'!O193+N194*'RAP TEMPLATE-GAS AVAILABILITY'!P193+O194*'RAP TEMPLATE-GAS AVAILABILITY'!Q193+P194*'RAP TEMPLATE-GAS AVAILABILITY'!R193)/('RAP TEMPLATE-GAS AVAILABILITY'!O193+'RAP TEMPLATE-GAS AVAILABILITY'!P193+'RAP TEMPLATE-GAS AVAILABILITY'!Q193+'RAP TEMPLATE-GAS AVAILABILITY'!R193)</f>
        <v>10.3072654676259</v>
      </c>
    </row>
    <row r="195" spans="1:29" ht="15.75" x14ac:dyDescent="0.25">
      <c r="A195" s="13">
        <v>46813</v>
      </c>
      <c r="B195" s="14">
        <f>CHOOSE(CONTROL!$C$42, 10.1744, 10.1744) * CHOOSE(CONTROL!$C$21, $C$9, 100%, $E$9)</f>
        <v>10.1744</v>
      </c>
      <c r="C195" s="14">
        <f>CHOOSE(CONTROL!$C$42, 10.1794, 10.1794) * CHOOSE(CONTROL!$C$21, $C$9, 100%, $E$9)</f>
        <v>10.179399999999999</v>
      </c>
      <c r="D195" s="14">
        <f>CHOOSE(CONTROL!$C$42, 10.2562, 10.2562) * CHOOSE(CONTROL!$C$21, $C$9, 100%, $E$9)</f>
        <v>10.2562</v>
      </c>
      <c r="E195" s="14">
        <f>CHOOSE(CONTROL!$C$42, 10.2903, 10.2903) * CHOOSE(CONTROL!$C$21, $C$9, 100%, $E$9)</f>
        <v>10.2903</v>
      </c>
      <c r="F195" s="14">
        <f>CHOOSE(CONTROL!$C$42, 10.1978, 10.1978)*CHOOSE(CONTROL!$C$21, $C$9, 100%, $E$9)</f>
        <v>10.197800000000001</v>
      </c>
      <c r="G195" s="14">
        <f>CHOOSE(CONTROL!$C$42, 10.2155, 10.2155)*CHOOSE(CONTROL!$C$21, $C$9, 100%, $E$9)</f>
        <v>10.2155</v>
      </c>
      <c r="H195" s="14">
        <f>CHOOSE(CONTROL!$C$42, 10.2795, 10.2795) * CHOOSE(CONTROL!$C$21, $C$9, 100%, $E$9)</f>
        <v>10.279500000000001</v>
      </c>
      <c r="I195" s="14">
        <f>CHOOSE(CONTROL!$C$42, 10.2399, 10.2399)* CHOOSE(CONTROL!$C$21, $C$9, 100%, $E$9)</f>
        <v>10.2399</v>
      </c>
      <c r="J195" s="14">
        <f>CHOOSE(CONTROL!$C$42, 10.1908, 10.1908)* CHOOSE(CONTROL!$C$21, $C$9, 100%, $E$9)</f>
        <v>10.190799999999999</v>
      </c>
      <c r="K195" s="53">
        <f>CHOOSE(CONTROL!$C$42, 10.236, 10.236) * CHOOSE(CONTROL!$C$21, $C$9, 100%, $E$9)</f>
        <v>10.236000000000001</v>
      </c>
      <c r="L195" s="14">
        <f>CHOOSE(CONTROL!$C$42, 10.8665, 10.8665) * CHOOSE(CONTROL!$C$21, $C$9, 100%, $E$9)</f>
        <v>10.8665</v>
      </c>
      <c r="M195" s="14">
        <f>CHOOSE(CONTROL!$C$42, 9.9897, 9.9897) * CHOOSE(CONTROL!$C$21, $C$9, 100%, $E$9)</f>
        <v>9.9896999999999991</v>
      </c>
      <c r="N195" s="14">
        <f>CHOOSE(CONTROL!$C$42, 10.007, 10.007) * CHOOSE(CONTROL!$C$21, $C$9, 100%, $E$9)</f>
        <v>10.007</v>
      </c>
      <c r="O195" s="14">
        <f>CHOOSE(CONTROL!$C$42, 10.0766, 10.0766) * CHOOSE(CONTROL!$C$21, $C$9, 100%, $E$9)</f>
        <v>10.076599999999999</v>
      </c>
      <c r="P195" s="14">
        <f>CHOOSE(CONTROL!$C$42, 10.0373, 10.0373) * CHOOSE(CONTROL!$C$21, $C$9, 100%, $E$9)</f>
        <v>10.0373</v>
      </c>
      <c r="Q195" s="14">
        <f>CHOOSE(CONTROL!$C$42, 10.6713, 10.6713) * CHOOSE(CONTROL!$C$21, $C$9, 100%, $E$9)</f>
        <v>10.6713</v>
      </c>
      <c r="R195" s="14">
        <f>CHOOSE(CONTROL!$C$42, 11.285, 11.285) * CHOOSE(CONTROL!$C$21, $C$9, 100%, $E$9)</f>
        <v>11.285</v>
      </c>
      <c r="S195" s="14">
        <f>CHOOSE(CONTROL!$C$42, 9.768, 9.768) * CHOOSE(CONTROL!$C$21, $C$9, 100%, $E$9)</f>
        <v>9.7680000000000007</v>
      </c>
      <c r="T19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95" s="57">
        <f>(1000*CHOOSE(CONTROL!$C$42, 695, 695)*CHOOSE(CONTROL!$C$42, 0.5599, 0.5599)*CHOOSE(CONTROL!$C$42, 31, 31))/1000000</f>
        <v>12.063045499999998</v>
      </c>
      <c r="V195" s="57">
        <f>(1000*CHOOSE(CONTROL!$C$42, 500, 500)*CHOOSE(CONTROL!$C$42, 0.275, 0.275)*CHOOSE(CONTROL!$C$42, 31, 31))/1000000</f>
        <v>4.2625000000000002</v>
      </c>
      <c r="W195" s="57">
        <f>(1000*CHOOSE(CONTROL!$C$42, 0.1146, 0.1146)*CHOOSE(CONTROL!$C$42, 121.5, 121.5)*CHOOSE(CONTROL!$C$42, 31, 31))/1000000</f>
        <v>0.43164089999999994</v>
      </c>
      <c r="X195" s="57">
        <f>(31*0.1790888*100000/1000000)+(31*0.2374*100000/1000000)</f>
        <v>1.2911152800000001</v>
      </c>
      <c r="Y195" s="57"/>
      <c r="Z195" s="14"/>
      <c r="AA195" s="56"/>
      <c r="AB195" s="50">
        <f>(B195*122.58+C195*297.941+D195*89.177+E195*40.302+F195*40+G195*160+H195*0+I195*100+J195*300)/(122.58+297.941+89.177+40.302+0+40+160+100+300)</f>
        <v>10.202606422086957</v>
      </c>
      <c r="AC195" s="45">
        <f>(M195*'RAP TEMPLATE-GAS AVAILABILITY'!O194+N195*'RAP TEMPLATE-GAS AVAILABILITY'!P194+O195*'RAP TEMPLATE-GAS AVAILABILITY'!Q194+P195*'RAP TEMPLATE-GAS AVAILABILITY'!R194)/('RAP TEMPLATE-GAS AVAILABILITY'!O194+'RAP TEMPLATE-GAS AVAILABILITY'!P194+'RAP TEMPLATE-GAS AVAILABILITY'!Q194+'RAP TEMPLATE-GAS AVAILABILITY'!R194)</f>
        <v>10.036930935251798</v>
      </c>
    </row>
    <row r="196" spans="1:29" ht="15.75" x14ac:dyDescent="0.25">
      <c r="A196" s="13">
        <v>46844</v>
      </c>
      <c r="B196" s="14">
        <f>CHOOSE(CONTROL!$C$42, 10.1658, 10.1658) * CHOOSE(CONTROL!$C$21, $C$9, 100%, $E$9)</f>
        <v>10.165800000000001</v>
      </c>
      <c r="C196" s="14">
        <f>CHOOSE(CONTROL!$C$42, 10.1703, 10.1703) * CHOOSE(CONTROL!$C$21, $C$9, 100%, $E$9)</f>
        <v>10.170299999999999</v>
      </c>
      <c r="D196" s="14">
        <f>CHOOSE(CONTROL!$C$42, 10.394, 10.394) * CHOOSE(CONTROL!$C$21, $C$9, 100%, $E$9)</f>
        <v>10.394</v>
      </c>
      <c r="E196" s="14">
        <f>CHOOSE(CONTROL!$C$42, 10.4261, 10.4261) * CHOOSE(CONTROL!$C$21, $C$9, 100%, $E$9)</f>
        <v>10.4261</v>
      </c>
      <c r="F196" s="14">
        <f>CHOOSE(CONTROL!$C$42, 10.1935, 10.1935)*CHOOSE(CONTROL!$C$21, $C$9, 100%, $E$9)</f>
        <v>10.1935</v>
      </c>
      <c r="G196" s="14">
        <f>CHOOSE(CONTROL!$C$42, 10.2104, 10.2104)*CHOOSE(CONTROL!$C$21, $C$9, 100%, $E$9)</f>
        <v>10.2104</v>
      </c>
      <c r="H196" s="14">
        <f>CHOOSE(CONTROL!$C$42, 10.4159, 10.4159) * CHOOSE(CONTROL!$C$21, $C$9, 100%, $E$9)</f>
        <v>10.415900000000001</v>
      </c>
      <c r="I196" s="14">
        <f>CHOOSE(CONTROL!$C$42, 10.2269, 10.2269)* CHOOSE(CONTROL!$C$21, $C$9, 100%, $E$9)</f>
        <v>10.226900000000001</v>
      </c>
      <c r="J196" s="14">
        <f>CHOOSE(CONTROL!$C$42, 10.1865, 10.1865)* CHOOSE(CONTROL!$C$21, $C$9, 100%, $E$9)</f>
        <v>10.186500000000001</v>
      </c>
      <c r="K196" s="53">
        <f>CHOOSE(CONTROL!$C$42, 10.223, 10.223) * CHOOSE(CONTROL!$C$21, $C$9, 100%, $E$9)</f>
        <v>10.223000000000001</v>
      </c>
      <c r="L196" s="14">
        <f>CHOOSE(CONTROL!$C$42, 11.0029, 11.0029) * CHOOSE(CONTROL!$C$21, $C$9, 100%, $E$9)</f>
        <v>11.0029</v>
      </c>
      <c r="M196" s="14">
        <f>CHOOSE(CONTROL!$C$42, 9.9855, 9.9855) * CHOOSE(CONTROL!$C$21, $C$9, 100%, $E$9)</f>
        <v>9.9855</v>
      </c>
      <c r="N196" s="14">
        <f>CHOOSE(CONTROL!$C$42, 10.002, 10.002) * CHOOSE(CONTROL!$C$21, $C$9, 100%, $E$9)</f>
        <v>10.002000000000001</v>
      </c>
      <c r="O196" s="14">
        <f>CHOOSE(CONTROL!$C$42, 10.2102, 10.2102) * CHOOSE(CONTROL!$C$21, $C$9, 100%, $E$9)</f>
        <v>10.2102</v>
      </c>
      <c r="P196" s="14">
        <f>CHOOSE(CONTROL!$C$42, 10.0245, 10.0245) * CHOOSE(CONTROL!$C$21, $C$9, 100%, $E$9)</f>
        <v>10.0245</v>
      </c>
      <c r="Q196" s="14">
        <f>CHOOSE(CONTROL!$C$42, 10.8049, 10.8049) * CHOOSE(CONTROL!$C$21, $C$9, 100%, $E$9)</f>
        <v>10.8049</v>
      </c>
      <c r="R196" s="14">
        <f>CHOOSE(CONTROL!$C$42, 11.4189, 11.4189) * CHOOSE(CONTROL!$C$21, $C$9, 100%, $E$9)</f>
        <v>11.418900000000001</v>
      </c>
      <c r="S196" s="14">
        <f>CHOOSE(CONTROL!$C$42, 9.759, 9.759) * CHOOSE(CONTROL!$C$21, $C$9, 100%, $E$9)</f>
        <v>9.7590000000000003</v>
      </c>
      <c r="T19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96" s="57">
        <f>(1000*CHOOSE(CONTROL!$C$42, 695, 695)*CHOOSE(CONTROL!$C$42, 0.5599, 0.5599)*CHOOSE(CONTROL!$C$42, 30, 30))/1000000</f>
        <v>11.673914999999997</v>
      </c>
      <c r="V196" s="57">
        <f>(1000*CHOOSE(CONTROL!$C$42, 500, 500)*CHOOSE(CONTROL!$C$42, 0.275, 0.275)*CHOOSE(CONTROL!$C$42, 30, 30))/1000000</f>
        <v>4.125</v>
      </c>
      <c r="W196" s="57">
        <f>(1000*CHOOSE(CONTROL!$C$42, 0.1146, 0.1146)*CHOOSE(CONTROL!$C$42, 121.5, 121.5)*CHOOSE(CONTROL!$C$42, 30, 30))/1000000</f>
        <v>0.417717</v>
      </c>
      <c r="X196" s="57">
        <f>(30*0.1790888*245000/1000000)+(30*0.2374*100000/1000000)</f>
        <v>2.0285026799999999</v>
      </c>
      <c r="Y196" s="57"/>
      <c r="Z196" s="14"/>
      <c r="AA196" s="56"/>
      <c r="AB196" s="50">
        <f>(B196*141.293+C196*267.993+D196*115.016+E196*89.698+F196*40+G196*185+H196*0+I196*100+J196*300)/(141.293+267.993+115.016+89.698+0+40+185+100+300)</f>
        <v>10.22429879669088</v>
      </c>
      <c r="AC196" s="45">
        <f>(M196*'RAP TEMPLATE-GAS AVAILABILITY'!O195+N196*'RAP TEMPLATE-GAS AVAILABILITY'!P195+O196*'RAP TEMPLATE-GAS AVAILABILITY'!Q195+P196*'RAP TEMPLATE-GAS AVAILABILITY'!R195)/('RAP TEMPLATE-GAS AVAILABILITY'!O195+'RAP TEMPLATE-GAS AVAILABILITY'!P195+'RAP TEMPLATE-GAS AVAILABILITY'!Q195+'RAP TEMPLATE-GAS AVAILABILITY'!R195)</f>
        <v>10.057955395683452</v>
      </c>
    </row>
    <row r="197" spans="1:29" ht="15.75" x14ac:dyDescent="0.25">
      <c r="A197" s="13">
        <v>46874</v>
      </c>
      <c r="B197" s="14">
        <f>CHOOSE(CONTROL!$C$42, 10.2779, 10.2779) * CHOOSE(CONTROL!$C$21, $C$9, 100%, $E$9)</f>
        <v>10.277900000000001</v>
      </c>
      <c r="C197" s="14">
        <f>CHOOSE(CONTROL!$C$42, 10.286, 10.286) * CHOOSE(CONTROL!$C$21, $C$9, 100%, $E$9)</f>
        <v>10.286</v>
      </c>
      <c r="D197" s="14">
        <f>CHOOSE(CONTROL!$C$42, 10.5065, 10.5065) * CHOOSE(CONTROL!$C$21, $C$9, 100%, $E$9)</f>
        <v>10.506500000000001</v>
      </c>
      <c r="E197" s="14">
        <f>CHOOSE(CONTROL!$C$42, 10.538, 10.538) * CHOOSE(CONTROL!$C$21, $C$9, 100%, $E$9)</f>
        <v>10.538</v>
      </c>
      <c r="F197" s="14">
        <f>CHOOSE(CONTROL!$C$42, 10.3042, 10.3042)*CHOOSE(CONTROL!$C$21, $C$9, 100%, $E$9)</f>
        <v>10.3042</v>
      </c>
      <c r="G197" s="14">
        <f>CHOOSE(CONTROL!$C$42, 10.3213, 10.3213)*CHOOSE(CONTROL!$C$21, $C$9, 100%, $E$9)</f>
        <v>10.321300000000001</v>
      </c>
      <c r="H197" s="14">
        <f>CHOOSE(CONTROL!$C$42, 10.5266, 10.5266) * CHOOSE(CONTROL!$C$21, $C$9, 100%, $E$9)</f>
        <v>10.5266</v>
      </c>
      <c r="I197" s="14">
        <f>CHOOSE(CONTROL!$C$42, 10.338, 10.338)* CHOOSE(CONTROL!$C$21, $C$9, 100%, $E$9)</f>
        <v>10.337999999999999</v>
      </c>
      <c r="J197" s="14">
        <f>CHOOSE(CONTROL!$C$42, 10.2972, 10.2972)* CHOOSE(CONTROL!$C$21, $C$9, 100%, $E$9)</f>
        <v>10.2972</v>
      </c>
      <c r="K197" s="53">
        <f>CHOOSE(CONTROL!$C$42, 10.3341, 10.3341) * CHOOSE(CONTROL!$C$21, $C$9, 100%, $E$9)</f>
        <v>10.334099999999999</v>
      </c>
      <c r="L197" s="14">
        <f>CHOOSE(CONTROL!$C$42, 11.1136, 11.1136) * CHOOSE(CONTROL!$C$21, $C$9, 100%, $E$9)</f>
        <v>11.1136</v>
      </c>
      <c r="M197" s="14">
        <f>CHOOSE(CONTROL!$C$42, 10.0939, 10.0939) * CHOOSE(CONTROL!$C$21, $C$9, 100%, $E$9)</f>
        <v>10.0939</v>
      </c>
      <c r="N197" s="14">
        <f>CHOOSE(CONTROL!$C$42, 10.1107, 10.1107) * CHOOSE(CONTROL!$C$21, $C$9, 100%, $E$9)</f>
        <v>10.1107</v>
      </c>
      <c r="O197" s="14">
        <f>CHOOSE(CONTROL!$C$42, 10.3186, 10.3186) * CHOOSE(CONTROL!$C$21, $C$9, 100%, $E$9)</f>
        <v>10.3186</v>
      </c>
      <c r="P197" s="14">
        <f>CHOOSE(CONTROL!$C$42, 10.1333, 10.1333) * CHOOSE(CONTROL!$C$21, $C$9, 100%, $E$9)</f>
        <v>10.1333</v>
      </c>
      <c r="Q197" s="14">
        <f>CHOOSE(CONTROL!$C$42, 10.9133, 10.9133) * CHOOSE(CONTROL!$C$21, $C$9, 100%, $E$9)</f>
        <v>10.9133</v>
      </c>
      <c r="R197" s="14">
        <f>CHOOSE(CONTROL!$C$42, 11.5276, 11.5276) * CHOOSE(CONTROL!$C$21, $C$9, 100%, $E$9)</f>
        <v>11.5276</v>
      </c>
      <c r="S197" s="14">
        <f>CHOOSE(CONTROL!$C$42, 9.8654, 9.8654) * CHOOSE(CONTROL!$C$21, $C$9, 100%, $E$9)</f>
        <v>9.8653999999999993</v>
      </c>
      <c r="T19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97" s="57">
        <f>(1000*CHOOSE(CONTROL!$C$42, 695, 695)*CHOOSE(CONTROL!$C$42, 0.5599, 0.5599)*CHOOSE(CONTROL!$C$42, 31, 31))/1000000</f>
        <v>12.063045499999998</v>
      </c>
      <c r="V197" s="57">
        <f>(1000*CHOOSE(CONTROL!$C$42, 500, 500)*CHOOSE(CONTROL!$C$42, 0.275, 0.275)*CHOOSE(CONTROL!$C$42, 31, 31))/1000000</f>
        <v>4.2625000000000002</v>
      </c>
      <c r="W197" s="57">
        <f>(1000*CHOOSE(CONTROL!$C$42, 0.1146, 0.1146)*CHOOSE(CONTROL!$C$42, 121.5, 121.5)*CHOOSE(CONTROL!$C$42, 31, 31))/1000000</f>
        <v>0.43164089999999994</v>
      </c>
      <c r="X197" s="57">
        <f>(31*0.1790888*245000/1000000)+(31*0.2374*100000/1000000)</f>
        <v>2.0961194359999999</v>
      </c>
      <c r="Y197" s="57"/>
      <c r="Z197" s="14"/>
      <c r="AA197" s="56"/>
      <c r="AB197" s="50">
        <f>(B197*194.205+C197*267.466+D197*133.845+E197*53.484+F197*40+G197*185+H197*0+I197*100+J197*300)/(194.205+267.466+133.845+53.484+0+40+185+100+300)</f>
        <v>10.330926397174252</v>
      </c>
      <c r="AC197" s="45">
        <f>(M197*'RAP TEMPLATE-GAS AVAILABILITY'!O196+N197*'RAP TEMPLATE-GAS AVAILABILITY'!P196+O197*'RAP TEMPLATE-GAS AVAILABILITY'!Q196+P197*'RAP TEMPLATE-GAS AVAILABILITY'!R196)/('RAP TEMPLATE-GAS AVAILABILITY'!O196+'RAP TEMPLATE-GAS AVAILABILITY'!P196+'RAP TEMPLATE-GAS AVAILABILITY'!Q196+'RAP TEMPLATE-GAS AVAILABILITY'!R196)</f>
        <v>10.166482014388489</v>
      </c>
    </row>
    <row r="198" spans="1:29" ht="15.75" x14ac:dyDescent="0.25">
      <c r="A198" s="13">
        <v>46905</v>
      </c>
      <c r="B198" s="14">
        <f>CHOOSE(CONTROL!$C$42, 10.5909, 10.5909) * CHOOSE(CONTROL!$C$21, $C$9, 100%, $E$9)</f>
        <v>10.5909</v>
      </c>
      <c r="C198" s="14">
        <f>CHOOSE(CONTROL!$C$42, 10.5989, 10.5989) * CHOOSE(CONTROL!$C$21, $C$9, 100%, $E$9)</f>
        <v>10.5989</v>
      </c>
      <c r="D198" s="14">
        <f>CHOOSE(CONTROL!$C$42, 10.8195, 10.8195) * CHOOSE(CONTROL!$C$21, $C$9, 100%, $E$9)</f>
        <v>10.8195</v>
      </c>
      <c r="E198" s="14">
        <f>CHOOSE(CONTROL!$C$42, 10.851, 10.851) * CHOOSE(CONTROL!$C$21, $C$9, 100%, $E$9)</f>
        <v>10.851000000000001</v>
      </c>
      <c r="F198" s="14">
        <f>CHOOSE(CONTROL!$C$42, 10.6175, 10.6175)*CHOOSE(CONTROL!$C$21, $C$9, 100%, $E$9)</f>
        <v>10.6175</v>
      </c>
      <c r="G198" s="14">
        <f>CHOOSE(CONTROL!$C$42, 10.6347, 10.6347)*CHOOSE(CONTROL!$C$21, $C$9, 100%, $E$9)</f>
        <v>10.6347</v>
      </c>
      <c r="H198" s="14">
        <f>CHOOSE(CONTROL!$C$42, 10.8396, 10.8396) * CHOOSE(CONTROL!$C$21, $C$9, 100%, $E$9)</f>
        <v>10.839600000000001</v>
      </c>
      <c r="I198" s="14">
        <f>CHOOSE(CONTROL!$C$42, 10.6519, 10.6519)* CHOOSE(CONTROL!$C$21, $C$9, 100%, $E$9)</f>
        <v>10.651899999999999</v>
      </c>
      <c r="J198" s="14">
        <f>CHOOSE(CONTROL!$C$42, 10.6105, 10.6105)* CHOOSE(CONTROL!$C$21, $C$9, 100%, $E$9)</f>
        <v>10.6105</v>
      </c>
      <c r="K198" s="53">
        <f>CHOOSE(CONTROL!$C$42, 10.648, 10.648) * CHOOSE(CONTROL!$C$21, $C$9, 100%, $E$9)</f>
        <v>10.648</v>
      </c>
      <c r="L198" s="14">
        <f>CHOOSE(CONTROL!$C$42, 11.4266, 11.4266) * CHOOSE(CONTROL!$C$21, $C$9, 100%, $E$9)</f>
        <v>11.426600000000001</v>
      </c>
      <c r="M198" s="14">
        <f>CHOOSE(CONTROL!$C$42, 10.4008, 10.4008) * CHOOSE(CONTROL!$C$21, $C$9, 100%, $E$9)</f>
        <v>10.4008</v>
      </c>
      <c r="N198" s="14">
        <f>CHOOSE(CONTROL!$C$42, 10.4176, 10.4176) * CHOOSE(CONTROL!$C$21, $C$9, 100%, $E$9)</f>
        <v>10.4176</v>
      </c>
      <c r="O198" s="14">
        <f>CHOOSE(CONTROL!$C$42, 10.6252, 10.6252) * CHOOSE(CONTROL!$C$21, $C$9, 100%, $E$9)</f>
        <v>10.6252</v>
      </c>
      <c r="P198" s="14">
        <f>CHOOSE(CONTROL!$C$42, 10.4408, 10.4408) * CHOOSE(CONTROL!$C$21, $C$9, 100%, $E$9)</f>
        <v>10.440799999999999</v>
      </c>
      <c r="Q198" s="14">
        <f>CHOOSE(CONTROL!$C$42, 11.2199, 11.2199) * CHOOSE(CONTROL!$C$21, $C$9, 100%, $E$9)</f>
        <v>11.219900000000001</v>
      </c>
      <c r="R198" s="14">
        <f>CHOOSE(CONTROL!$C$42, 11.8349, 11.8349) * CHOOSE(CONTROL!$C$21, $C$9, 100%, $E$9)</f>
        <v>11.834899999999999</v>
      </c>
      <c r="S198" s="14">
        <f>CHOOSE(CONTROL!$C$42, 10.1661, 10.1661) * CHOOSE(CONTROL!$C$21, $C$9, 100%, $E$9)</f>
        <v>10.1661</v>
      </c>
      <c r="T19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98" s="57">
        <f>(1000*CHOOSE(CONTROL!$C$42, 695, 695)*CHOOSE(CONTROL!$C$42, 0.5599, 0.5599)*CHOOSE(CONTROL!$C$42, 30, 30))/1000000</f>
        <v>11.673914999999997</v>
      </c>
      <c r="V198" s="57">
        <f>(1000*CHOOSE(CONTROL!$C$42, 500, 500)*CHOOSE(CONTROL!$C$42, 0.275, 0.275)*CHOOSE(CONTROL!$C$42, 30, 30))/1000000</f>
        <v>4.125</v>
      </c>
      <c r="W198" s="57">
        <f>(1000*CHOOSE(CONTROL!$C$42, 0.1146, 0.1146)*CHOOSE(CONTROL!$C$42, 121.5, 121.5)*CHOOSE(CONTROL!$C$42, 30, 30))/1000000</f>
        <v>0.417717</v>
      </c>
      <c r="X198" s="57">
        <f>(30*0.1790888*245000/1000000)+(30*0.2374*100000/1000000)</f>
        <v>2.0285026799999999</v>
      </c>
      <c r="Y198" s="57"/>
      <c r="Z198" s="14"/>
      <c r="AA198" s="56"/>
      <c r="AB198" s="50">
        <f>(B198*194.205+C198*267.466+D198*133.845+E198*53.484+F198*40+G198*185+H198*0+I198*100+J198*300)/(194.205+267.466+133.845+53.484+0+40+185+100+300)</f>
        <v>10.644114194191523</v>
      </c>
      <c r="AC198" s="45">
        <f>(M198*'RAP TEMPLATE-GAS AVAILABILITY'!O197+N198*'RAP TEMPLATE-GAS AVAILABILITY'!P197+O198*'RAP TEMPLATE-GAS AVAILABILITY'!Q197+P198*'RAP TEMPLATE-GAS AVAILABILITY'!R197)/('RAP TEMPLATE-GAS AVAILABILITY'!O197+'RAP TEMPLATE-GAS AVAILABILITY'!P197+'RAP TEMPLATE-GAS AVAILABILITY'!Q197+'RAP TEMPLATE-GAS AVAILABILITY'!R197)</f>
        <v>10.47338417266187</v>
      </c>
    </row>
    <row r="199" spans="1:29" ht="15.75" x14ac:dyDescent="0.25">
      <c r="A199" s="13">
        <v>46935</v>
      </c>
      <c r="B199" s="14">
        <f>CHOOSE(CONTROL!$C$42, 10.4093, 10.4093) * CHOOSE(CONTROL!$C$21, $C$9, 100%, $E$9)</f>
        <v>10.4093</v>
      </c>
      <c r="C199" s="14">
        <f>CHOOSE(CONTROL!$C$42, 10.4173, 10.4173) * CHOOSE(CONTROL!$C$21, $C$9, 100%, $E$9)</f>
        <v>10.417299999999999</v>
      </c>
      <c r="D199" s="14">
        <f>CHOOSE(CONTROL!$C$42, 10.6379, 10.6379) * CHOOSE(CONTROL!$C$21, $C$9, 100%, $E$9)</f>
        <v>10.6379</v>
      </c>
      <c r="E199" s="14">
        <f>CHOOSE(CONTROL!$C$42, 10.6694, 10.6694) * CHOOSE(CONTROL!$C$21, $C$9, 100%, $E$9)</f>
        <v>10.6694</v>
      </c>
      <c r="F199" s="14">
        <f>CHOOSE(CONTROL!$C$42, 10.4364, 10.4364)*CHOOSE(CONTROL!$C$21, $C$9, 100%, $E$9)</f>
        <v>10.436400000000001</v>
      </c>
      <c r="G199" s="14">
        <f>CHOOSE(CONTROL!$C$42, 10.4537, 10.4537)*CHOOSE(CONTROL!$C$21, $C$9, 100%, $E$9)</f>
        <v>10.4537</v>
      </c>
      <c r="H199" s="14">
        <f>CHOOSE(CONTROL!$C$42, 10.658, 10.658) * CHOOSE(CONTROL!$C$21, $C$9, 100%, $E$9)</f>
        <v>10.657999999999999</v>
      </c>
      <c r="I199" s="14">
        <f>CHOOSE(CONTROL!$C$42, 10.4698, 10.4698)* CHOOSE(CONTROL!$C$21, $C$9, 100%, $E$9)</f>
        <v>10.469799999999999</v>
      </c>
      <c r="J199" s="14">
        <f>CHOOSE(CONTROL!$C$42, 10.4294, 10.4294)* CHOOSE(CONTROL!$C$21, $C$9, 100%, $E$9)</f>
        <v>10.429399999999999</v>
      </c>
      <c r="K199" s="53">
        <f>CHOOSE(CONTROL!$C$42, 10.4659, 10.4659) * CHOOSE(CONTROL!$C$21, $C$9, 100%, $E$9)</f>
        <v>10.4659</v>
      </c>
      <c r="L199" s="14">
        <f>CHOOSE(CONTROL!$C$42, 11.245, 11.245) * CHOOSE(CONTROL!$C$21, $C$9, 100%, $E$9)</f>
        <v>11.244999999999999</v>
      </c>
      <c r="M199" s="14">
        <f>CHOOSE(CONTROL!$C$42, 10.2234, 10.2234) * CHOOSE(CONTROL!$C$21, $C$9, 100%, $E$9)</f>
        <v>10.2234</v>
      </c>
      <c r="N199" s="14">
        <f>CHOOSE(CONTROL!$C$42, 10.2403, 10.2403) * CHOOSE(CONTROL!$C$21, $C$9, 100%, $E$9)</f>
        <v>10.2403</v>
      </c>
      <c r="O199" s="14">
        <f>CHOOSE(CONTROL!$C$42, 10.4473, 10.4473) * CHOOSE(CONTROL!$C$21, $C$9, 100%, $E$9)</f>
        <v>10.4473</v>
      </c>
      <c r="P199" s="14">
        <f>CHOOSE(CONTROL!$C$42, 10.2624, 10.2624) * CHOOSE(CONTROL!$C$21, $C$9, 100%, $E$9)</f>
        <v>10.2624</v>
      </c>
      <c r="Q199" s="14">
        <f>CHOOSE(CONTROL!$C$42, 11.042, 11.042) * CHOOSE(CONTROL!$C$21, $C$9, 100%, $E$9)</f>
        <v>11.042</v>
      </c>
      <c r="R199" s="14">
        <f>CHOOSE(CONTROL!$C$42, 11.6566, 11.6566) * CHOOSE(CONTROL!$C$21, $C$9, 100%, $E$9)</f>
        <v>11.656599999999999</v>
      </c>
      <c r="S199" s="14">
        <f>CHOOSE(CONTROL!$C$42, 9.9917, 9.9917) * CHOOSE(CONTROL!$C$21, $C$9, 100%, $E$9)</f>
        <v>9.9916999999999998</v>
      </c>
      <c r="T19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99" s="57">
        <f>(1000*CHOOSE(CONTROL!$C$42, 695, 695)*CHOOSE(CONTROL!$C$42, 0.5599, 0.5599)*CHOOSE(CONTROL!$C$42, 31, 31))/1000000</f>
        <v>12.063045499999998</v>
      </c>
      <c r="V199" s="57">
        <f>(1000*CHOOSE(CONTROL!$C$42, 500, 500)*CHOOSE(CONTROL!$C$42, 0.275, 0.275)*CHOOSE(CONTROL!$C$42, 31, 31))/1000000</f>
        <v>4.2625000000000002</v>
      </c>
      <c r="W199" s="57">
        <f>(1000*CHOOSE(CONTROL!$C$42, 0.1146, 0.1146)*CHOOSE(CONTROL!$C$42, 121.5, 121.5)*CHOOSE(CONTROL!$C$42, 31, 31))/1000000</f>
        <v>0.43164089999999994</v>
      </c>
      <c r="X199" s="57">
        <f>(31*0.1790888*245000/1000000)+(31*0.2374*100000/1000000)</f>
        <v>2.0961194359999999</v>
      </c>
      <c r="Y199" s="57"/>
      <c r="Z199" s="14"/>
      <c r="AA199" s="56"/>
      <c r="AB199" s="50">
        <f>(B199*194.205+C199*267.466+D199*133.845+E199*53.484+F199*40+G199*185+H199*0+I199*100+J199*300)/(194.205+267.466+133.845+53.484+0+40+185+100+300)</f>
        <v>10.462695512872841</v>
      </c>
      <c r="AC199" s="45">
        <f>(M199*'RAP TEMPLATE-GAS AVAILABILITY'!O198+N199*'RAP TEMPLATE-GAS AVAILABILITY'!P198+O199*'RAP TEMPLATE-GAS AVAILABILITY'!Q198+P199*'RAP TEMPLATE-GAS AVAILABILITY'!R198)/('RAP TEMPLATE-GAS AVAILABILITY'!O198+'RAP TEMPLATE-GAS AVAILABILITY'!P198+'RAP TEMPLATE-GAS AVAILABILITY'!Q198+'RAP TEMPLATE-GAS AVAILABILITY'!R198)</f>
        <v>10.295723021582734</v>
      </c>
    </row>
    <row r="200" spans="1:29" ht="15.75" x14ac:dyDescent="0.25">
      <c r="A200" s="13">
        <v>46966</v>
      </c>
      <c r="B200" s="14">
        <f>CHOOSE(CONTROL!$C$42, 9.9161, 9.9161) * CHOOSE(CONTROL!$C$21, $C$9, 100%, $E$9)</f>
        <v>9.9161000000000001</v>
      </c>
      <c r="C200" s="14">
        <f>CHOOSE(CONTROL!$C$42, 9.9241, 9.9241) * CHOOSE(CONTROL!$C$21, $C$9, 100%, $E$9)</f>
        <v>9.9240999999999993</v>
      </c>
      <c r="D200" s="14">
        <f>CHOOSE(CONTROL!$C$42, 10.1447, 10.1447) * CHOOSE(CONTROL!$C$21, $C$9, 100%, $E$9)</f>
        <v>10.1447</v>
      </c>
      <c r="E200" s="14">
        <f>CHOOSE(CONTROL!$C$42, 10.1762, 10.1762) * CHOOSE(CONTROL!$C$21, $C$9, 100%, $E$9)</f>
        <v>10.1762</v>
      </c>
      <c r="F200" s="14">
        <f>CHOOSE(CONTROL!$C$42, 9.9434, 9.9434)*CHOOSE(CONTROL!$C$21, $C$9, 100%, $E$9)</f>
        <v>9.9434000000000005</v>
      </c>
      <c r="G200" s="14">
        <f>CHOOSE(CONTROL!$C$42, 9.9609, 9.9609)*CHOOSE(CONTROL!$C$21, $C$9, 100%, $E$9)</f>
        <v>9.9609000000000005</v>
      </c>
      <c r="H200" s="14">
        <f>CHOOSE(CONTROL!$C$42, 10.1648, 10.1648) * CHOOSE(CONTROL!$C$21, $C$9, 100%, $E$9)</f>
        <v>10.1648</v>
      </c>
      <c r="I200" s="14">
        <f>CHOOSE(CONTROL!$C$42, 9.975, 9.975)* CHOOSE(CONTROL!$C$21, $C$9, 100%, $E$9)</f>
        <v>9.9749999999999996</v>
      </c>
      <c r="J200" s="14">
        <f>CHOOSE(CONTROL!$C$42, 9.9364, 9.9364)* CHOOSE(CONTROL!$C$21, $C$9, 100%, $E$9)</f>
        <v>9.9364000000000008</v>
      </c>
      <c r="K200" s="53">
        <f>CHOOSE(CONTROL!$C$42, 9.9711, 9.9711) * CHOOSE(CONTROL!$C$21, $C$9, 100%, $E$9)</f>
        <v>9.9710999999999999</v>
      </c>
      <c r="L200" s="14">
        <f>CHOOSE(CONTROL!$C$42, 10.7518, 10.7518) * CHOOSE(CONTROL!$C$21, $C$9, 100%, $E$9)</f>
        <v>10.751799999999999</v>
      </c>
      <c r="M200" s="14">
        <f>CHOOSE(CONTROL!$C$42, 9.7405, 9.7405) * CHOOSE(CONTROL!$C$21, $C$9, 100%, $E$9)</f>
        <v>9.7405000000000008</v>
      </c>
      <c r="N200" s="14">
        <f>CHOOSE(CONTROL!$C$42, 9.7576, 9.7576) * CHOOSE(CONTROL!$C$21, $C$9, 100%, $E$9)</f>
        <v>9.7576000000000001</v>
      </c>
      <c r="O200" s="14">
        <f>CHOOSE(CONTROL!$C$42, 9.9642, 9.9642) * CHOOSE(CONTROL!$C$21, $C$9, 100%, $E$9)</f>
        <v>9.9641999999999999</v>
      </c>
      <c r="P200" s="14">
        <f>CHOOSE(CONTROL!$C$42, 9.7778, 9.7778) * CHOOSE(CONTROL!$C$21, $C$9, 100%, $E$9)</f>
        <v>9.7777999999999992</v>
      </c>
      <c r="Q200" s="14">
        <f>CHOOSE(CONTROL!$C$42, 10.5589, 10.5589) * CHOOSE(CONTROL!$C$21, $C$9, 100%, $E$9)</f>
        <v>10.5589</v>
      </c>
      <c r="R200" s="14">
        <f>CHOOSE(CONTROL!$C$42, 11.1723, 11.1723) * CHOOSE(CONTROL!$C$21, $C$9, 100%, $E$9)</f>
        <v>11.1723</v>
      </c>
      <c r="S200" s="14">
        <f>CHOOSE(CONTROL!$C$42, 9.5177, 9.5177) * CHOOSE(CONTROL!$C$21, $C$9, 100%, $E$9)</f>
        <v>9.5176999999999996</v>
      </c>
      <c r="T20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00" s="57">
        <f>(1000*CHOOSE(CONTROL!$C$42, 695, 695)*CHOOSE(CONTROL!$C$42, 0.5599, 0.5599)*CHOOSE(CONTROL!$C$42, 31, 31))/1000000</f>
        <v>12.063045499999998</v>
      </c>
      <c r="V200" s="57">
        <f>(1000*CHOOSE(CONTROL!$C$42, 500, 500)*CHOOSE(CONTROL!$C$42, 0.275, 0.275)*CHOOSE(CONTROL!$C$42, 31, 31))/1000000</f>
        <v>4.2625000000000002</v>
      </c>
      <c r="W200" s="57">
        <f>(1000*CHOOSE(CONTROL!$C$42, 0.1146, 0.1146)*CHOOSE(CONTROL!$C$42, 121.5, 121.5)*CHOOSE(CONTROL!$C$42, 31, 31))/1000000</f>
        <v>0.43164089999999994</v>
      </c>
      <c r="X200" s="57">
        <f>(31*0.1790888*245000/1000000)+(31*0.2374*100000/1000000)</f>
        <v>2.0961194359999999</v>
      </c>
      <c r="Y200" s="57"/>
      <c r="Z200" s="14"/>
      <c r="AA200" s="56"/>
      <c r="AB200" s="50">
        <f>(B200*194.205+C200*267.466+D200*133.845+E200*53.484+F200*40+G200*185+H200*0+I200*100+J200*300)/(194.205+267.466+133.845+53.484+0+40+185+100+300)</f>
        <v>9.9694813841444283</v>
      </c>
      <c r="AC200" s="45">
        <f>(M200*'RAP TEMPLATE-GAS AVAILABILITY'!O199+N200*'RAP TEMPLATE-GAS AVAILABILITY'!P199+O200*'RAP TEMPLATE-GAS AVAILABILITY'!Q199+P200*'RAP TEMPLATE-GAS AVAILABILITY'!R199)/('RAP TEMPLATE-GAS AVAILABILITY'!O199+'RAP TEMPLATE-GAS AVAILABILITY'!P199+'RAP TEMPLATE-GAS AVAILABILITY'!Q199+'RAP TEMPLATE-GAS AVAILABILITY'!R199)</f>
        <v>9.81256834532374</v>
      </c>
    </row>
    <row r="201" spans="1:29" ht="15.75" x14ac:dyDescent="0.25">
      <c r="A201" s="13">
        <v>46997</v>
      </c>
      <c r="B201" s="14">
        <f>CHOOSE(CONTROL!$C$42, 9.3062, 9.3062) * CHOOSE(CONTROL!$C$21, $C$9, 100%, $E$9)</f>
        <v>9.3062000000000005</v>
      </c>
      <c r="C201" s="14">
        <f>CHOOSE(CONTROL!$C$42, 9.3142, 9.3142) * CHOOSE(CONTROL!$C$21, $C$9, 100%, $E$9)</f>
        <v>9.3141999999999996</v>
      </c>
      <c r="D201" s="14">
        <f>CHOOSE(CONTROL!$C$42, 9.5348, 9.5348) * CHOOSE(CONTROL!$C$21, $C$9, 100%, $E$9)</f>
        <v>9.5348000000000006</v>
      </c>
      <c r="E201" s="14">
        <f>CHOOSE(CONTROL!$C$42, 9.5662, 9.5662) * CHOOSE(CONTROL!$C$21, $C$9, 100%, $E$9)</f>
        <v>9.5662000000000003</v>
      </c>
      <c r="F201" s="14">
        <f>CHOOSE(CONTROL!$C$42, 9.3335, 9.3335)*CHOOSE(CONTROL!$C$21, $C$9, 100%, $E$9)</f>
        <v>9.3335000000000008</v>
      </c>
      <c r="G201" s="14">
        <f>CHOOSE(CONTROL!$C$42, 9.3509, 9.3509)*CHOOSE(CONTROL!$C$21, $C$9, 100%, $E$9)</f>
        <v>9.3508999999999993</v>
      </c>
      <c r="H201" s="14">
        <f>CHOOSE(CONTROL!$C$42, 9.5549, 9.5549) * CHOOSE(CONTROL!$C$21, $C$9, 100%, $E$9)</f>
        <v>9.5548999999999999</v>
      </c>
      <c r="I201" s="14">
        <f>CHOOSE(CONTROL!$C$42, 9.3632, 9.3632)* CHOOSE(CONTROL!$C$21, $C$9, 100%, $E$9)</f>
        <v>9.3632000000000009</v>
      </c>
      <c r="J201" s="14">
        <f>CHOOSE(CONTROL!$C$42, 9.3265, 9.3265)* CHOOSE(CONTROL!$C$21, $C$9, 100%, $E$9)</f>
        <v>9.3264999999999993</v>
      </c>
      <c r="K201" s="53">
        <f>CHOOSE(CONTROL!$C$42, 9.3593, 9.3593) * CHOOSE(CONTROL!$C$21, $C$9, 100%, $E$9)</f>
        <v>9.3592999999999993</v>
      </c>
      <c r="L201" s="14">
        <f>CHOOSE(CONTROL!$C$42, 10.1419, 10.1419) * CHOOSE(CONTROL!$C$21, $C$9, 100%, $E$9)</f>
        <v>10.1419</v>
      </c>
      <c r="M201" s="14">
        <f>CHOOSE(CONTROL!$C$42, 9.1431, 9.1431) * CHOOSE(CONTROL!$C$21, $C$9, 100%, $E$9)</f>
        <v>9.1431000000000004</v>
      </c>
      <c r="N201" s="14">
        <f>CHOOSE(CONTROL!$C$42, 9.1602, 9.1602) * CHOOSE(CONTROL!$C$21, $C$9, 100%, $E$9)</f>
        <v>9.1601999999999997</v>
      </c>
      <c r="O201" s="14">
        <f>CHOOSE(CONTROL!$C$42, 9.3668, 9.3668) * CHOOSE(CONTROL!$C$21, $C$9, 100%, $E$9)</f>
        <v>9.3667999999999996</v>
      </c>
      <c r="P201" s="14">
        <f>CHOOSE(CONTROL!$C$42, 9.1785, 9.1785) * CHOOSE(CONTROL!$C$21, $C$9, 100%, $E$9)</f>
        <v>9.1784999999999997</v>
      </c>
      <c r="Q201" s="14">
        <f>CHOOSE(CONTROL!$C$42, 9.9615, 9.9615) * CHOOSE(CONTROL!$C$21, $C$9, 100%, $E$9)</f>
        <v>9.9614999999999991</v>
      </c>
      <c r="R201" s="14">
        <f>CHOOSE(CONTROL!$C$42, 10.5734, 10.5734) * CHOOSE(CONTROL!$C$21, $C$9, 100%, $E$9)</f>
        <v>10.573399999999999</v>
      </c>
      <c r="S201" s="14">
        <f>CHOOSE(CONTROL!$C$42, 8.9317, 8.9317) * CHOOSE(CONTROL!$C$21, $C$9, 100%, $E$9)</f>
        <v>8.9316999999999993</v>
      </c>
      <c r="T20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01" s="57">
        <f>(1000*CHOOSE(CONTROL!$C$42, 695, 695)*CHOOSE(CONTROL!$C$42, 0.5599, 0.5599)*CHOOSE(CONTROL!$C$42, 30, 30))/1000000</f>
        <v>11.673914999999997</v>
      </c>
      <c r="V201" s="57">
        <f>(1000*CHOOSE(CONTROL!$C$42, 500, 500)*CHOOSE(CONTROL!$C$42, 0.275, 0.275)*CHOOSE(CONTROL!$C$42, 30, 30))/1000000</f>
        <v>4.125</v>
      </c>
      <c r="W201" s="57">
        <f>(1000*CHOOSE(CONTROL!$C$42, 0.1146, 0.1146)*CHOOSE(CONTROL!$C$42, 121.5, 121.5)*CHOOSE(CONTROL!$C$42, 30, 30))/1000000</f>
        <v>0.417717</v>
      </c>
      <c r="X201" s="57">
        <f>(30*0.1790888*245000/1000000)+(30*0.2374*100000/1000000)</f>
        <v>2.0285026799999999</v>
      </c>
      <c r="Y201" s="57"/>
      <c r="Z201" s="14"/>
      <c r="AA201" s="56"/>
      <c r="AB201" s="50">
        <f>(B201*194.205+C201*267.466+D201*133.845+E201*53.484+F201*40+G201*185+H201*0+I201*100+J201*300)/(194.205+267.466+133.845+53.484+0+40+185+100+300)</f>
        <v>9.3594135282574555</v>
      </c>
      <c r="AC201" s="45">
        <f>(M201*'RAP TEMPLATE-GAS AVAILABILITY'!O200+N201*'RAP TEMPLATE-GAS AVAILABILITY'!P200+O201*'RAP TEMPLATE-GAS AVAILABILITY'!Q200+P201*'RAP TEMPLATE-GAS AVAILABILITY'!R200)/('RAP TEMPLATE-GAS AVAILABILITY'!O200+'RAP TEMPLATE-GAS AVAILABILITY'!P200+'RAP TEMPLATE-GAS AVAILABILITY'!Q200+'RAP TEMPLATE-GAS AVAILABILITY'!R200)</f>
        <v>9.2148949640287778</v>
      </c>
    </row>
    <row r="202" spans="1:29" ht="15.75" x14ac:dyDescent="0.25">
      <c r="A202" s="13">
        <v>47027</v>
      </c>
      <c r="B202" s="14">
        <f>CHOOSE(CONTROL!$C$42, 9.1345, 9.1345) * CHOOSE(CONTROL!$C$21, $C$9, 100%, $E$9)</f>
        <v>9.1344999999999992</v>
      </c>
      <c r="C202" s="14">
        <f>CHOOSE(CONTROL!$C$42, 9.1398, 9.1398) * CHOOSE(CONTROL!$C$21, $C$9, 100%, $E$9)</f>
        <v>9.1397999999999993</v>
      </c>
      <c r="D202" s="14">
        <f>CHOOSE(CONTROL!$C$42, 9.3653, 9.3653) * CHOOSE(CONTROL!$C$21, $C$9, 100%, $E$9)</f>
        <v>9.3652999999999995</v>
      </c>
      <c r="E202" s="14">
        <f>CHOOSE(CONTROL!$C$42, 9.3945, 9.3945) * CHOOSE(CONTROL!$C$21, $C$9, 100%, $E$9)</f>
        <v>9.3945000000000007</v>
      </c>
      <c r="F202" s="14">
        <f>CHOOSE(CONTROL!$C$42, 9.1638, 9.1638)*CHOOSE(CONTROL!$C$21, $C$9, 100%, $E$9)</f>
        <v>9.1638000000000002</v>
      </c>
      <c r="G202" s="14">
        <f>CHOOSE(CONTROL!$C$42, 9.1811, 9.1811)*CHOOSE(CONTROL!$C$21, $C$9, 100%, $E$9)</f>
        <v>9.1811000000000007</v>
      </c>
      <c r="H202" s="14">
        <f>CHOOSE(CONTROL!$C$42, 9.3849, 9.3849) * CHOOSE(CONTROL!$C$21, $C$9, 100%, $E$9)</f>
        <v>9.3849</v>
      </c>
      <c r="I202" s="14">
        <f>CHOOSE(CONTROL!$C$42, 9.1927, 9.1927)* CHOOSE(CONTROL!$C$21, $C$9, 100%, $E$9)</f>
        <v>9.1927000000000003</v>
      </c>
      <c r="J202" s="14">
        <f>CHOOSE(CONTROL!$C$42, 9.1568, 9.1568)* CHOOSE(CONTROL!$C$21, $C$9, 100%, $E$9)</f>
        <v>9.1568000000000005</v>
      </c>
      <c r="K202" s="53">
        <f>CHOOSE(CONTROL!$C$42, 9.1888, 9.1888) * CHOOSE(CONTROL!$C$21, $C$9, 100%, $E$9)</f>
        <v>9.1888000000000005</v>
      </c>
      <c r="L202" s="14">
        <f>CHOOSE(CONTROL!$C$42, 9.9719, 9.9719) * CHOOSE(CONTROL!$C$21, $C$9, 100%, $E$9)</f>
        <v>9.9718999999999998</v>
      </c>
      <c r="M202" s="14">
        <f>CHOOSE(CONTROL!$C$42, 8.9769, 8.9769) * CHOOSE(CONTROL!$C$21, $C$9, 100%, $E$9)</f>
        <v>8.9769000000000005</v>
      </c>
      <c r="N202" s="14">
        <f>CHOOSE(CONTROL!$C$42, 8.9938, 8.9938) * CHOOSE(CONTROL!$C$21, $C$9, 100%, $E$9)</f>
        <v>8.9938000000000002</v>
      </c>
      <c r="O202" s="14">
        <f>CHOOSE(CONTROL!$C$42, 9.2003, 9.2003) * CHOOSE(CONTROL!$C$21, $C$9, 100%, $E$9)</f>
        <v>9.2003000000000004</v>
      </c>
      <c r="P202" s="14">
        <f>CHOOSE(CONTROL!$C$42, 9.0116, 9.0116) * CHOOSE(CONTROL!$C$21, $C$9, 100%, $E$9)</f>
        <v>9.0115999999999996</v>
      </c>
      <c r="Q202" s="14">
        <f>CHOOSE(CONTROL!$C$42, 9.795, 9.795) * CHOOSE(CONTROL!$C$21, $C$9, 100%, $E$9)</f>
        <v>9.7949999999999999</v>
      </c>
      <c r="R202" s="14">
        <f>CHOOSE(CONTROL!$C$42, 10.4065, 10.4065) * CHOOSE(CONTROL!$C$21, $C$9, 100%, $E$9)</f>
        <v>10.406499999999999</v>
      </c>
      <c r="S202" s="14">
        <f>CHOOSE(CONTROL!$C$42, 8.7684, 8.7684) * CHOOSE(CONTROL!$C$21, $C$9, 100%, $E$9)</f>
        <v>8.7683999999999997</v>
      </c>
      <c r="T20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02" s="57">
        <f>(1000*CHOOSE(CONTROL!$C$42, 695, 695)*CHOOSE(CONTROL!$C$42, 0.5599, 0.5599)*CHOOSE(CONTROL!$C$42, 31, 31))/1000000</f>
        <v>12.063045499999998</v>
      </c>
      <c r="V202" s="57">
        <f>(1000*CHOOSE(CONTROL!$C$42, 500, 500)*CHOOSE(CONTROL!$C$42, 0.275, 0.275)*CHOOSE(CONTROL!$C$42, 31, 31))/1000000</f>
        <v>4.2625000000000002</v>
      </c>
      <c r="W202" s="57">
        <f>(1000*CHOOSE(CONTROL!$C$42, 0.1146, 0.1146)*CHOOSE(CONTROL!$C$42, 121.5, 121.5)*CHOOSE(CONTROL!$C$42, 31, 31))/1000000</f>
        <v>0.43164089999999994</v>
      </c>
      <c r="X202" s="57">
        <f>(31*0.1790888*245000/1000000)+(31*0.2374*100000/1000000)</f>
        <v>2.0961194359999999</v>
      </c>
      <c r="Y202" s="57"/>
      <c r="Z202" s="14"/>
      <c r="AA202" s="56"/>
      <c r="AB202" s="50">
        <f>(B202*131.881+C202*277.167+D202*79.08+E202*125.872+F202*40+G202*185+H202*0+I202*100+J202*300)/(131.881+277.167+79.08+125.872+0+40+185+100+300)</f>
        <v>9.1948312099273579</v>
      </c>
      <c r="AC202" s="45">
        <f>(M202*'RAP TEMPLATE-GAS AVAILABILITY'!O201+N202*'RAP TEMPLATE-GAS AVAILABILITY'!P201+O202*'RAP TEMPLATE-GAS AVAILABILITY'!Q201+P202*'RAP TEMPLATE-GAS AVAILABILITY'!R201)/('RAP TEMPLATE-GAS AVAILABILITY'!O201+'RAP TEMPLATE-GAS AVAILABILITY'!P201+'RAP TEMPLATE-GAS AVAILABILITY'!Q201+'RAP TEMPLATE-GAS AVAILABILITY'!R201)</f>
        <v>9.0484640287769782</v>
      </c>
    </row>
    <row r="203" spans="1:29" ht="15.75" x14ac:dyDescent="0.25">
      <c r="A203" s="13">
        <v>47058</v>
      </c>
      <c r="B203" s="14">
        <f>CHOOSE(CONTROL!$C$42, 9.3937, 9.3937) * CHOOSE(CONTROL!$C$21, $C$9, 100%, $E$9)</f>
        <v>9.3937000000000008</v>
      </c>
      <c r="C203" s="14">
        <f>CHOOSE(CONTROL!$C$42, 9.3988, 9.3988) * CHOOSE(CONTROL!$C$21, $C$9, 100%, $E$9)</f>
        <v>9.3987999999999996</v>
      </c>
      <c r="D203" s="14">
        <f>CHOOSE(CONTROL!$C$42, 9.473, 9.473) * CHOOSE(CONTROL!$C$21, $C$9, 100%, $E$9)</f>
        <v>9.4730000000000008</v>
      </c>
      <c r="E203" s="14">
        <f>CHOOSE(CONTROL!$C$42, 9.5071, 9.5071) * CHOOSE(CONTROL!$C$21, $C$9, 100%, $E$9)</f>
        <v>9.5070999999999994</v>
      </c>
      <c r="F203" s="14">
        <f>CHOOSE(CONTROL!$C$42, 9.4298, 9.4298)*CHOOSE(CONTROL!$C$21, $C$9, 100%, $E$9)</f>
        <v>9.4298000000000002</v>
      </c>
      <c r="G203" s="14">
        <f>CHOOSE(CONTROL!$C$42, 9.4473, 9.4473)*CHOOSE(CONTROL!$C$21, $C$9, 100%, $E$9)</f>
        <v>9.4473000000000003</v>
      </c>
      <c r="H203" s="14">
        <f>CHOOSE(CONTROL!$C$42, 9.4963, 9.4963) * CHOOSE(CONTROL!$C$21, $C$9, 100%, $E$9)</f>
        <v>9.4962999999999997</v>
      </c>
      <c r="I203" s="14">
        <f>CHOOSE(CONTROL!$C$42, 9.4506, 9.4506)* CHOOSE(CONTROL!$C$21, $C$9, 100%, $E$9)</f>
        <v>9.4505999999999997</v>
      </c>
      <c r="J203" s="14">
        <f>CHOOSE(CONTROL!$C$42, 9.4228, 9.4228)* CHOOSE(CONTROL!$C$21, $C$9, 100%, $E$9)</f>
        <v>9.4228000000000005</v>
      </c>
      <c r="K203" s="53">
        <f>CHOOSE(CONTROL!$C$42, 9.4467, 9.4467) * CHOOSE(CONTROL!$C$21, $C$9, 100%, $E$9)</f>
        <v>9.4466999999999999</v>
      </c>
      <c r="L203" s="14">
        <f>CHOOSE(CONTROL!$C$42, 10.0833, 10.0833) * CHOOSE(CONTROL!$C$21, $C$9, 100%, $E$9)</f>
        <v>10.083299999999999</v>
      </c>
      <c r="M203" s="14">
        <f>CHOOSE(CONTROL!$C$42, 9.2374, 9.2374) * CHOOSE(CONTROL!$C$21, $C$9, 100%, $E$9)</f>
        <v>9.2373999999999992</v>
      </c>
      <c r="N203" s="14">
        <f>CHOOSE(CONTROL!$C$42, 9.2546, 9.2546) * CHOOSE(CONTROL!$C$21, $C$9, 100%, $E$9)</f>
        <v>9.2545999999999999</v>
      </c>
      <c r="O203" s="14">
        <f>CHOOSE(CONTROL!$C$42, 9.3094, 9.3094) * CHOOSE(CONTROL!$C$21, $C$9, 100%, $E$9)</f>
        <v>9.3094000000000001</v>
      </c>
      <c r="P203" s="14">
        <f>CHOOSE(CONTROL!$C$42, 9.2641, 9.2641) * CHOOSE(CONTROL!$C$21, $C$9, 100%, $E$9)</f>
        <v>9.2640999999999991</v>
      </c>
      <c r="Q203" s="14">
        <f>CHOOSE(CONTROL!$C$42, 9.9041, 9.9041) * CHOOSE(CONTROL!$C$21, $C$9, 100%, $E$9)</f>
        <v>9.9040999999999997</v>
      </c>
      <c r="R203" s="14">
        <f>CHOOSE(CONTROL!$C$42, 10.5159, 10.5159) * CHOOSE(CONTROL!$C$21, $C$9, 100%, $E$9)</f>
        <v>10.5159</v>
      </c>
      <c r="S203" s="14">
        <f>CHOOSE(CONTROL!$C$42, 9.0179, 9.0179) * CHOOSE(CONTROL!$C$21, $C$9, 100%, $E$9)</f>
        <v>9.0178999999999991</v>
      </c>
      <c r="T20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03" s="57">
        <f>(1000*CHOOSE(CONTROL!$C$42, 695, 695)*CHOOSE(CONTROL!$C$42, 0.5599, 0.5599)*CHOOSE(CONTROL!$C$42, 30, 30))/1000000</f>
        <v>11.673914999999997</v>
      </c>
      <c r="V203" s="57">
        <f>(1000*CHOOSE(CONTROL!$C$42, 500, 500)*CHOOSE(CONTROL!$C$42, 0.275, 0.275)*CHOOSE(CONTROL!$C$42, 30, 30))/1000000</f>
        <v>4.125</v>
      </c>
      <c r="W203" s="57">
        <f>(1000*CHOOSE(CONTROL!$C$42, 0.1146, 0.1146)*CHOOSE(CONTROL!$C$42, 121.5, 121.5)*CHOOSE(CONTROL!$C$42, 30, 30))/1000000</f>
        <v>0.417717</v>
      </c>
      <c r="X203" s="57">
        <f>(30*0.1790888*100000/1000000)+(30*0.2374*100000/1000000)</f>
        <v>1.2494664</v>
      </c>
      <c r="Y203" s="57"/>
      <c r="Z203" s="14"/>
      <c r="AA203" s="56"/>
      <c r="AB203" s="50">
        <f>(B203*122.58+C203*297.941+D203*89.177+E203*40.302+F203*40+G203*160+H203*0+I203*100+J203*300)/(122.58+297.941+89.177+40.302+0+40+160+100+300)</f>
        <v>9.4263969408695658</v>
      </c>
      <c r="AC203" s="45">
        <f>(M203*'RAP TEMPLATE-GAS AVAILABILITY'!O202+N203*'RAP TEMPLATE-GAS AVAILABILITY'!P202+O203*'RAP TEMPLATE-GAS AVAILABILITY'!Q202+P203*'RAP TEMPLATE-GAS AVAILABILITY'!R202)/('RAP TEMPLATE-GAS AVAILABILITY'!O202+'RAP TEMPLATE-GAS AVAILABILITY'!P202+'RAP TEMPLATE-GAS AVAILABILITY'!Q202+'RAP TEMPLATE-GAS AVAILABILITY'!R202)</f>
        <v>9.2748647482014395</v>
      </c>
    </row>
    <row r="204" spans="1:29" ht="15.75" x14ac:dyDescent="0.25">
      <c r="A204" s="13">
        <v>47088</v>
      </c>
      <c r="B204" s="14">
        <f>CHOOSE(CONTROL!$C$42, 10.0542, 10.0542) * CHOOSE(CONTROL!$C$21, $C$9, 100%, $E$9)</f>
        <v>10.0542</v>
      </c>
      <c r="C204" s="14">
        <f>CHOOSE(CONTROL!$C$42, 10.0592, 10.0592) * CHOOSE(CONTROL!$C$21, $C$9, 100%, $E$9)</f>
        <v>10.059200000000001</v>
      </c>
      <c r="D204" s="14">
        <f>CHOOSE(CONTROL!$C$42, 10.1334, 10.1334) * CHOOSE(CONTROL!$C$21, $C$9, 100%, $E$9)</f>
        <v>10.1334</v>
      </c>
      <c r="E204" s="14">
        <f>CHOOSE(CONTROL!$C$42, 10.1675, 10.1675) * CHOOSE(CONTROL!$C$21, $C$9, 100%, $E$9)</f>
        <v>10.1675</v>
      </c>
      <c r="F204" s="14">
        <f>CHOOSE(CONTROL!$C$42, 10.0926, 10.0926)*CHOOSE(CONTROL!$C$21, $C$9, 100%, $E$9)</f>
        <v>10.092599999999999</v>
      </c>
      <c r="G204" s="14">
        <f>CHOOSE(CONTROL!$C$42, 10.1107, 10.1107)*CHOOSE(CONTROL!$C$21, $C$9, 100%, $E$9)</f>
        <v>10.1107</v>
      </c>
      <c r="H204" s="14">
        <f>CHOOSE(CONTROL!$C$42, 10.1567, 10.1567) * CHOOSE(CONTROL!$C$21, $C$9, 100%, $E$9)</f>
        <v>10.156700000000001</v>
      </c>
      <c r="I204" s="14">
        <f>CHOOSE(CONTROL!$C$42, 10.1131, 10.1131)* CHOOSE(CONTROL!$C$21, $C$9, 100%, $E$9)</f>
        <v>10.113099999999999</v>
      </c>
      <c r="J204" s="14">
        <f>CHOOSE(CONTROL!$C$42, 10.0856, 10.0856)* CHOOSE(CONTROL!$C$21, $C$9, 100%, $E$9)</f>
        <v>10.085599999999999</v>
      </c>
      <c r="K204" s="53">
        <f>CHOOSE(CONTROL!$C$42, 10.1092, 10.1092) * CHOOSE(CONTROL!$C$21, $C$9, 100%, $E$9)</f>
        <v>10.1092</v>
      </c>
      <c r="L204" s="14">
        <f>CHOOSE(CONTROL!$C$42, 10.7437, 10.7437) * CHOOSE(CONTROL!$C$21, $C$9, 100%, $E$9)</f>
        <v>10.7437</v>
      </c>
      <c r="M204" s="14">
        <f>CHOOSE(CONTROL!$C$42, 9.8866, 9.8866) * CHOOSE(CONTROL!$C$21, $C$9, 100%, $E$9)</f>
        <v>9.8865999999999996</v>
      </c>
      <c r="N204" s="14">
        <f>CHOOSE(CONTROL!$C$42, 9.9044, 9.9044) * CHOOSE(CONTROL!$C$21, $C$9, 100%, $E$9)</f>
        <v>9.9044000000000008</v>
      </c>
      <c r="O204" s="14">
        <f>CHOOSE(CONTROL!$C$42, 9.9563, 9.9563) * CHOOSE(CONTROL!$C$21, $C$9, 100%, $E$9)</f>
        <v>9.9563000000000006</v>
      </c>
      <c r="P204" s="14">
        <f>CHOOSE(CONTROL!$C$42, 9.913, 9.913) * CHOOSE(CONTROL!$C$21, $C$9, 100%, $E$9)</f>
        <v>9.9130000000000003</v>
      </c>
      <c r="Q204" s="14">
        <f>CHOOSE(CONTROL!$C$42, 10.551, 10.551) * CHOOSE(CONTROL!$C$21, $C$9, 100%, $E$9)</f>
        <v>10.551</v>
      </c>
      <c r="R204" s="14">
        <f>CHOOSE(CONTROL!$C$42, 11.1644, 11.1644) * CHOOSE(CONTROL!$C$21, $C$9, 100%, $E$9)</f>
        <v>11.164400000000001</v>
      </c>
      <c r="S204" s="14">
        <f>CHOOSE(CONTROL!$C$42, 9.6525, 9.6525) * CHOOSE(CONTROL!$C$21, $C$9, 100%, $E$9)</f>
        <v>9.6524999999999999</v>
      </c>
      <c r="T20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04" s="57">
        <f>(1000*CHOOSE(CONTROL!$C$42, 695, 695)*CHOOSE(CONTROL!$C$42, 0.5599, 0.5599)*CHOOSE(CONTROL!$C$42, 31, 31))/1000000</f>
        <v>12.063045499999998</v>
      </c>
      <c r="V204" s="57">
        <f>(1000*CHOOSE(CONTROL!$C$42, 500, 500)*CHOOSE(CONTROL!$C$42, 0.275, 0.275)*CHOOSE(CONTROL!$C$42, 31, 31))/1000000</f>
        <v>4.2625000000000002</v>
      </c>
      <c r="W204" s="57">
        <f>(1000*CHOOSE(CONTROL!$C$42, 0.1146, 0.1146)*CHOOSE(CONTROL!$C$42, 121.5, 121.5)*CHOOSE(CONTROL!$C$42, 31, 31))/1000000</f>
        <v>0.43164089999999994</v>
      </c>
      <c r="X204" s="57">
        <f>(31*0.1790888*100000/1000000)+(31*0.2374*100000/1000000)</f>
        <v>1.2911152800000001</v>
      </c>
      <c r="Y204" s="57"/>
      <c r="Z204" s="14"/>
      <c r="AA204" s="56"/>
      <c r="AB204" s="50">
        <f>(B204*122.58+C204*297.941+D204*89.177+E204*40.302+F204*40+G204*160+H204*0+I204*100+J204*300)/(122.58+297.941+89.177+40.302+0+40+160+100+300)</f>
        <v>10.088117165217392</v>
      </c>
      <c r="AC204" s="45">
        <f>(M204*'RAP TEMPLATE-GAS AVAILABILITY'!O203+N204*'RAP TEMPLATE-GAS AVAILABILITY'!P203+O204*'RAP TEMPLATE-GAS AVAILABILITY'!Q203+P204*'RAP TEMPLATE-GAS AVAILABILITY'!R203)/('RAP TEMPLATE-GAS AVAILABILITY'!O203+'RAP TEMPLATE-GAS AVAILABILITY'!P203+'RAP TEMPLATE-GAS AVAILABILITY'!Q203+'RAP TEMPLATE-GAS AVAILABILITY'!R203)</f>
        <v>9.9230136690647477</v>
      </c>
    </row>
    <row r="205" spans="1:29" ht="15.75" x14ac:dyDescent="0.25">
      <c r="A205" s="13">
        <v>47119</v>
      </c>
      <c r="B205" s="14">
        <f>CHOOSE(CONTROL!$C$42, 10.587, 10.587) * CHOOSE(CONTROL!$C$21, $C$9, 100%, $E$9)</f>
        <v>10.587</v>
      </c>
      <c r="C205" s="14">
        <f>CHOOSE(CONTROL!$C$42, 10.592, 10.592) * CHOOSE(CONTROL!$C$21, $C$9, 100%, $E$9)</f>
        <v>10.592000000000001</v>
      </c>
      <c r="D205" s="14">
        <f>CHOOSE(CONTROL!$C$42, 10.6689, 10.6689) * CHOOSE(CONTROL!$C$21, $C$9, 100%, $E$9)</f>
        <v>10.668900000000001</v>
      </c>
      <c r="E205" s="14">
        <f>CHOOSE(CONTROL!$C$42, 10.703, 10.703) * CHOOSE(CONTROL!$C$21, $C$9, 100%, $E$9)</f>
        <v>10.702999999999999</v>
      </c>
      <c r="F205" s="14">
        <f>CHOOSE(CONTROL!$C$42, 10.6117, 10.6117)*CHOOSE(CONTROL!$C$21, $C$9, 100%, $E$9)</f>
        <v>10.611700000000001</v>
      </c>
      <c r="G205" s="14">
        <f>CHOOSE(CONTROL!$C$42, 10.6297, 10.6297)*CHOOSE(CONTROL!$C$21, $C$9, 100%, $E$9)</f>
        <v>10.6297</v>
      </c>
      <c r="H205" s="14">
        <f>CHOOSE(CONTROL!$C$42, 10.6922, 10.6922) * CHOOSE(CONTROL!$C$21, $C$9, 100%, $E$9)</f>
        <v>10.6922</v>
      </c>
      <c r="I205" s="14">
        <f>CHOOSE(CONTROL!$C$42, 10.6539, 10.6539)* CHOOSE(CONTROL!$C$21, $C$9, 100%, $E$9)</f>
        <v>10.6539</v>
      </c>
      <c r="J205" s="14">
        <f>CHOOSE(CONTROL!$C$42, 10.6047, 10.6047)* CHOOSE(CONTROL!$C$21, $C$9, 100%, $E$9)</f>
        <v>10.604699999999999</v>
      </c>
      <c r="K205" s="53">
        <f>CHOOSE(CONTROL!$C$42, 10.65, 10.65) * CHOOSE(CONTROL!$C$21, $C$9, 100%, $E$9)</f>
        <v>10.65</v>
      </c>
      <c r="L205" s="14">
        <f>CHOOSE(CONTROL!$C$42, 11.2792, 11.2792) * CHOOSE(CONTROL!$C$21, $C$9, 100%, $E$9)</f>
        <v>11.279199999999999</v>
      </c>
      <c r="M205" s="14">
        <f>CHOOSE(CONTROL!$C$42, 10.3951, 10.3951) * CHOOSE(CONTROL!$C$21, $C$9, 100%, $E$9)</f>
        <v>10.395099999999999</v>
      </c>
      <c r="N205" s="14">
        <f>CHOOSE(CONTROL!$C$42, 10.4127, 10.4127) * CHOOSE(CONTROL!$C$21, $C$9, 100%, $E$9)</f>
        <v>10.412699999999999</v>
      </c>
      <c r="O205" s="14">
        <f>CHOOSE(CONTROL!$C$42, 10.4808, 10.4808) * CHOOSE(CONTROL!$C$21, $C$9, 100%, $E$9)</f>
        <v>10.4808</v>
      </c>
      <c r="P205" s="14">
        <f>CHOOSE(CONTROL!$C$42, 10.4427, 10.4427) * CHOOSE(CONTROL!$C$21, $C$9, 100%, $E$9)</f>
        <v>10.4427</v>
      </c>
      <c r="Q205" s="14">
        <f>CHOOSE(CONTROL!$C$42, 11.0755, 11.0755) * CHOOSE(CONTROL!$C$21, $C$9, 100%, $E$9)</f>
        <v>11.0755</v>
      </c>
      <c r="R205" s="14">
        <f>CHOOSE(CONTROL!$C$42, 11.6902, 11.6902) * CHOOSE(CONTROL!$C$21, $C$9, 100%, $E$9)</f>
        <v>11.690200000000001</v>
      </c>
      <c r="S205" s="14">
        <f>CHOOSE(CONTROL!$C$42, 10.1645, 10.1645) * CHOOSE(CONTROL!$C$21, $C$9, 100%, $E$9)</f>
        <v>10.1645</v>
      </c>
      <c r="T20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05" s="57">
        <f>(1000*CHOOSE(CONTROL!$C$42, 695, 695)*CHOOSE(CONTROL!$C$42, 0.5599, 0.5599)*CHOOSE(CONTROL!$C$42, 31, 31))/1000000</f>
        <v>12.063045499999998</v>
      </c>
      <c r="V205" s="57">
        <f>(1000*CHOOSE(CONTROL!$C$42, 500, 500)*CHOOSE(CONTROL!$C$42, 0.275, 0.275)*CHOOSE(CONTROL!$C$42, 31, 31))/1000000</f>
        <v>4.2625000000000002</v>
      </c>
      <c r="W205" s="57">
        <f>(1000*CHOOSE(CONTROL!$C$42, 0.1146, 0.1146)*CHOOSE(CONTROL!$C$42, 121.5, 121.5)*CHOOSE(CONTROL!$C$42, 31, 31))/1000000</f>
        <v>0.43164089999999994</v>
      </c>
      <c r="X205" s="57">
        <f>(31*0.1790888*100000/1000000)+(31*0.2374*100000/1000000)</f>
        <v>1.2911152800000001</v>
      </c>
      <c r="Y205" s="57"/>
      <c r="Z205" s="14"/>
      <c r="AA205" s="56"/>
      <c r="AB205" s="50">
        <f>(B205*122.58+C205*297.941+D205*89.177+E205*40.302+F205*40+G205*160+H205*0+I205*100+J205*300)/(122.58+297.941+89.177+40.302+0+40+160+100+300)</f>
        <v>10.615946376782608</v>
      </c>
      <c r="AC205" s="45">
        <f>(M205*'RAP TEMPLATE-GAS AVAILABILITY'!O204+N205*'RAP TEMPLATE-GAS AVAILABILITY'!P204+O205*'RAP TEMPLATE-GAS AVAILABILITY'!Q204+P205*'RAP TEMPLATE-GAS AVAILABILITY'!R204)/('RAP TEMPLATE-GAS AVAILABILITY'!O204+'RAP TEMPLATE-GAS AVAILABILITY'!P204+'RAP TEMPLATE-GAS AVAILABILITY'!Q204+'RAP TEMPLATE-GAS AVAILABILITY'!R204)</f>
        <v>10.441804316546763</v>
      </c>
    </row>
    <row r="206" spans="1:29" ht="15.75" x14ac:dyDescent="0.25">
      <c r="A206" s="13">
        <v>47150</v>
      </c>
      <c r="B206" s="14">
        <f>CHOOSE(CONTROL!$C$42, 10.7974, 10.7974) * CHOOSE(CONTROL!$C$21, $C$9, 100%, $E$9)</f>
        <v>10.7974</v>
      </c>
      <c r="C206" s="14">
        <f>CHOOSE(CONTROL!$C$42, 10.8025, 10.8025) * CHOOSE(CONTROL!$C$21, $C$9, 100%, $E$9)</f>
        <v>10.8025</v>
      </c>
      <c r="D206" s="14">
        <f>CHOOSE(CONTROL!$C$42, 10.8793, 10.8793) * CHOOSE(CONTROL!$C$21, $C$9, 100%, $E$9)</f>
        <v>10.879300000000001</v>
      </c>
      <c r="E206" s="14">
        <f>CHOOSE(CONTROL!$C$42, 10.9134, 10.9134) * CHOOSE(CONTROL!$C$21, $C$9, 100%, $E$9)</f>
        <v>10.913399999999999</v>
      </c>
      <c r="F206" s="14">
        <f>CHOOSE(CONTROL!$C$42, 10.8218, 10.8218)*CHOOSE(CONTROL!$C$21, $C$9, 100%, $E$9)</f>
        <v>10.8218</v>
      </c>
      <c r="G206" s="14">
        <f>CHOOSE(CONTROL!$C$42, 10.8397, 10.8397)*CHOOSE(CONTROL!$C$21, $C$9, 100%, $E$9)</f>
        <v>10.839700000000001</v>
      </c>
      <c r="H206" s="14">
        <f>CHOOSE(CONTROL!$C$42, 10.9026, 10.9026) * CHOOSE(CONTROL!$C$21, $C$9, 100%, $E$9)</f>
        <v>10.9026</v>
      </c>
      <c r="I206" s="14">
        <f>CHOOSE(CONTROL!$C$42, 10.865, 10.865)* CHOOSE(CONTROL!$C$21, $C$9, 100%, $E$9)</f>
        <v>10.865</v>
      </c>
      <c r="J206" s="14">
        <f>CHOOSE(CONTROL!$C$42, 10.8148, 10.8148)* CHOOSE(CONTROL!$C$21, $C$9, 100%, $E$9)</f>
        <v>10.8148</v>
      </c>
      <c r="K206" s="53">
        <f>CHOOSE(CONTROL!$C$42, 10.8611, 10.8611) * CHOOSE(CONTROL!$C$21, $C$9, 100%, $E$9)</f>
        <v>10.8611</v>
      </c>
      <c r="L206" s="14">
        <f>CHOOSE(CONTROL!$C$42, 11.4896, 11.4896) * CHOOSE(CONTROL!$C$21, $C$9, 100%, $E$9)</f>
        <v>11.489599999999999</v>
      </c>
      <c r="M206" s="14">
        <f>CHOOSE(CONTROL!$C$42, 10.6009, 10.6009) * CHOOSE(CONTROL!$C$21, $C$9, 100%, $E$9)</f>
        <v>10.600899999999999</v>
      </c>
      <c r="N206" s="14">
        <f>CHOOSE(CONTROL!$C$42, 10.6184, 10.6184) * CHOOSE(CONTROL!$C$21, $C$9, 100%, $E$9)</f>
        <v>10.618399999999999</v>
      </c>
      <c r="O206" s="14">
        <f>CHOOSE(CONTROL!$C$42, 10.6869, 10.6869) * CHOOSE(CONTROL!$C$21, $C$9, 100%, $E$9)</f>
        <v>10.6869</v>
      </c>
      <c r="P206" s="14">
        <f>CHOOSE(CONTROL!$C$42, 10.6495, 10.6495) * CHOOSE(CONTROL!$C$21, $C$9, 100%, $E$9)</f>
        <v>10.6495</v>
      </c>
      <c r="Q206" s="14">
        <f>CHOOSE(CONTROL!$C$42, 11.2816, 11.2816) * CHOOSE(CONTROL!$C$21, $C$9, 100%, $E$9)</f>
        <v>11.281599999999999</v>
      </c>
      <c r="R206" s="14">
        <f>CHOOSE(CONTROL!$C$42, 11.8968, 11.8968) * CHOOSE(CONTROL!$C$21, $C$9, 100%, $E$9)</f>
        <v>11.896800000000001</v>
      </c>
      <c r="S206" s="14">
        <f>CHOOSE(CONTROL!$C$42, 10.3667, 10.3667) * CHOOSE(CONTROL!$C$21, $C$9, 100%, $E$9)</f>
        <v>10.3667</v>
      </c>
      <c r="T20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06" s="57">
        <f>(1000*CHOOSE(CONTROL!$C$42, 695, 695)*CHOOSE(CONTROL!$C$42, 0.5599, 0.5599)*CHOOSE(CONTROL!$C$42, 28, 28))/1000000</f>
        <v>10.895653999999999</v>
      </c>
      <c r="V206" s="57">
        <f>(1000*CHOOSE(CONTROL!$C$42, 500, 500)*CHOOSE(CONTROL!$C$42, 0.275, 0.275)*CHOOSE(CONTROL!$C$42, 28, 28))/1000000</f>
        <v>3.85</v>
      </c>
      <c r="W206" s="57">
        <f>(1000*CHOOSE(CONTROL!$C$42, 0.1146, 0.1146)*CHOOSE(CONTROL!$C$42, 121.5, 121.5)*CHOOSE(CONTROL!$C$42, 28, 28))/1000000</f>
        <v>0.38986920000000003</v>
      </c>
      <c r="X206" s="57">
        <f>(28*0.1790888*100000/1000000)+(28*0.2374*100000/1000000)</f>
        <v>1.16616864</v>
      </c>
      <c r="Y206" s="57"/>
      <c r="Z206" s="14"/>
      <c r="AA206" s="56"/>
      <c r="AB206" s="50">
        <f>(B206*122.58+C206*297.941+D206*89.177+E206*40.302+F206*40+G206*160+H206*0+I206*100+J206*300)/(122.58+297.941+89.177+40.302+0+40+160+100+300)</f>
        <v>10.826288806434784</v>
      </c>
      <c r="AC206" s="45">
        <f>(M206*'RAP TEMPLATE-GAS AVAILABILITY'!O205+N206*'RAP TEMPLATE-GAS AVAILABILITY'!P205+O206*'RAP TEMPLATE-GAS AVAILABILITY'!Q205+P206*'RAP TEMPLATE-GAS AVAILABILITY'!R205)/('RAP TEMPLATE-GAS AVAILABILITY'!O205+'RAP TEMPLATE-GAS AVAILABILITY'!P205+'RAP TEMPLATE-GAS AVAILABILITY'!Q205+'RAP TEMPLATE-GAS AVAILABILITY'!R205)</f>
        <v>10.647878417266185</v>
      </c>
    </row>
    <row r="207" spans="1:29" ht="15.75" x14ac:dyDescent="0.25">
      <c r="A207" s="13">
        <v>47178</v>
      </c>
      <c r="B207" s="14">
        <f>CHOOSE(CONTROL!$C$42, 10.5128, 10.5128) * CHOOSE(CONTROL!$C$21, $C$9, 100%, $E$9)</f>
        <v>10.5128</v>
      </c>
      <c r="C207" s="14">
        <f>CHOOSE(CONTROL!$C$42, 10.5178, 10.5178) * CHOOSE(CONTROL!$C$21, $C$9, 100%, $E$9)</f>
        <v>10.517799999999999</v>
      </c>
      <c r="D207" s="14">
        <f>CHOOSE(CONTROL!$C$42, 10.5946, 10.5946) * CHOOSE(CONTROL!$C$21, $C$9, 100%, $E$9)</f>
        <v>10.5946</v>
      </c>
      <c r="E207" s="14">
        <f>CHOOSE(CONTROL!$C$42, 10.6288, 10.6288) * CHOOSE(CONTROL!$C$21, $C$9, 100%, $E$9)</f>
        <v>10.6288</v>
      </c>
      <c r="F207" s="14">
        <f>CHOOSE(CONTROL!$C$42, 10.5362, 10.5362)*CHOOSE(CONTROL!$C$21, $C$9, 100%, $E$9)</f>
        <v>10.536199999999999</v>
      </c>
      <c r="G207" s="14">
        <f>CHOOSE(CONTROL!$C$42, 10.5539, 10.5539)*CHOOSE(CONTROL!$C$21, $C$9, 100%, $E$9)</f>
        <v>10.553900000000001</v>
      </c>
      <c r="H207" s="14">
        <f>CHOOSE(CONTROL!$C$42, 10.618, 10.618) * CHOOSE(CONTROL!$C$21, $C$9, 100%, $E$9)</f>
        <v>10.618</v>
      </c>
      <c r="I207" s="14">
        <f>CHOOSE(CONTROL!$C$42, 10.5794, 10.5794)* CHOOSE(CONTROL!$C$21, $C$9, 100%, $E$9)</f>
        <v>10.5794</v>
      </c>
      <c r="J207" s="14">
        <f>CHOOSE(CONTROL!$C$42, 10.5292, 10.5292)* CHOOSE(CONTROL!$C$21, $C$9, 100%, $E$9)</f>
        <v>10.529199999999999</v>
      </c>
      <c r="K207" s="53">
        <f>CHOOSE(CONTROL!$C$42, 10.5755, 10.5755) * CHOOSE(CONTROL!$C$21, $C$9, 100%, $E$9)</f>
        <v>10.5755</v>
      </c>
      <c r="L207" s="14">
        <f>CHOOSE(CONTROL!$C$42, 11.205, 11.205) * CHOOSE(CONTROL!$C$21, $C$9, 100%, $E$9)</f>
        <v>11.205</v>
      </c>
      <c r="M207" s="14">
        <f>CHOOSE(CONTROL!$C$42, 10.3212, 10.3212) * CHOOSE(CONTROL!$C$21, $C$9, 100%, $E$9)</f>
        <v>10.321199999999999</v>
      </c>
      <c r="N207" s="14">
        <f>CHOOSE(CONTROL!$C$42, 10.3385, 10.3385) * CHOOSE(CONTROL!$C$21, $C$9, 100%, $E$9)</f>
        <v>10.3385</v>
      </c>
      <c r="O207" s="14">
        <f>CHOOSE(CONTROL!$C$42, 10.4081, 10.4081) * CHOOSE(CONTROL!$C$21, $C$9, 100%, $E$9)</f>
        <v>10.408099999999999</v>
      </c>
      <c r="P207" s="14">
        <f>CHOOSE(CONTROL!$C$42, 10.3698, 10.3698) * CHOOSE(CONTROL!$C$21, $C$9, 100%, $E$9)</f>
        <v>10.3698</v>
      </c>
      <c r="Q207" s="14">
        <f>CHOOSE(CONTROL!$C$42, 11.0028, 11.0028) * CHOOSE(CONTROL!$C$21, $C$9, 100%, $E$9)</f>
        <v>11.002800000000001</v>
      </c>
      <c r="R207" s="14">
        <f>CHOOSE(CONTROL!$C$42, 11.6173, 11.6173) * CHOOSE(CONTROL!$C$21, $C$9, 100%, $E$9)</f>
        <v>11.6173</v>
      </c>
      <c r="S207" s="14">
        <f>CHOOSE(CONTROL!$C$42, 10.0932, 10.0932) * CHOOSE(CONTROL!$C$21, $C$9, 100%, $E$9)</f>
        <v>10.0932</v>
      </c>
      <c r="T20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07" s="57">
        <f>(1000*CHOOSE(CONTROL!$C$42, 695, 695)*CHOOSE(CONTROL!$C$42, 0.5599, 0.5599)*CHOOSE(CONTROL!$C$42, 31, 31))/1000000</f>
        <v>12.063045499999998</v>
      </c>
      <c r="V207" s="57">
        <f>(1000*CHOOSE(CONTROL!$C$42, 500, 500)*CHOOSE(CONTROL!$C$42, 0.275, 0.275)*CHOOSE(CONTROL!$C$42, 31, 31))/1000000</f>
        <v>4.2625000000000002</v>
      </c>
      <c r="W207" s="57">
        <f>(1000*CHOOSE(CONTROL!$C$42, 0.1146, 0.1146)*CHOOSE(CONTROL!$C$42, 121.5, 121.5)*CHOOSE(CONTROL!$C$42, 31, 31))/1000000</f>
        <v>0.43164089999999994</v>
      </c>
      <c r="X207" s="57">
        <f>(31*0.1790888*100000/1000000)+(31*0.2374*100000/1000000)</f>
        <v>1.2911152800000001</v>
      </c>
      <c r="Y207" s="57"/>
      <c r="Z207" s="14"/>
      <c r="AA207" s="56"/>
      <c r="AB207" s="50">
        <f>(B207*122.58+C207*297.941+D207*89.177+E207*40.302+F207*40+G207*160+H207*0+I207*100+J207*300)/(122.58+297.941+89.177+40.302+0+40+160+100+300)</f>
        <v>10.541105578782609</v>
      </c>
      <c r="AC207" s="45">
        <f>(M207*'RAP TEMPLATE-GAS AVAILABILITY'!O206+N207*'RAP TEMPLATE-GAS AVAILABILITY'!P206+O207*'RAP TEMPLATE-GAS AVAILABILITY'!Q206+P207*'RAP TEMPLATE-GAS AVAILABILITY'!R206)/('RAP TEMPLATE-GAS AVAILABILITY'!O206+'RAP TEMPLATE-GAS AVAILABILITY'!P206+'RAP TEMPLATE-GAS AVAILABILITY'!Q206+'RAP TEMPLATE-GAS AVAILABILITY'!R206)</f>
        <v>10.368574820143884</v>
      </c>
    </row>
    <row r="208" spans="1:29" ht="15.75" x14ac:dyDescent="0.25">
      <c r="A208" s="13">
        <v>47209</v>
      </c>
      <c r="B208" s="14">
        <f>CHOOSE(CONTROL!$C$42, 10.5039, 10.5039) * CHOOSE(CONTROL!$C$21, $C$9, 100%, $E$9)</f>
        <v>10.5039</v>
      </c>
      <c r="C208" s="14">
        <f>CHOOSE(CONTROL!$C$42, 10.5084, 10.5084) * CHOOSE(CONTROL!$C$21, $C$9, 100%, $E$9)</f>
        <v>10.5084</v>
      </c>
      <c r="D208" s="14">
        <f>CHOOSE(CONTROL!$C$42, 10.7321, 10.7321) * CHOOSE(CONTROL!$C$21, $C$9, 100%, $E$9)</f>
        <v>10.732100000000001</v>
      </c>
      <c r="E208" s="14">
        <f>CHOOSE(CONTROL!$C$42, 10.7642, 10.7642) * CHOOSE(CONTROL!$C$21, $C$9, 100%, $E$9)</f>
        <v>10.764200000000001</v>
      </c>
      <c r="F208" s="14">
        <f>CHOOSE(CONTROL!$C$42, 10.5316, 10.5316)*CHOOSE(CONTROL!$C$21, $C$9, 100%, $E$9)</f>
        <v>10.531599999999999</v>
      </c>
      <c r="G208" s="14">
        <f>CHOOSE(CONTROL!$C$42, 10.5485, 10.5485)*CHOOSE(CONTROL!$C$21, $C$9, 100%, $E$9)</f>
        <v>10.548500000000001</v>
      </c>
      <c r="H208" s="14">
        <f>CHOOSE(CONTROL!$C$42, 10.754, 10.754) * CHOOSE(CONTROL!$C$21, $C$9, 100%, $E$9)</f>
        <v>10.754</v>
      </c>
      <c r="I208" s="14">
        <f>CHOOSE(CONTROL!$C$42, 10.5661, 10.5661)* CHOOSE(CONTROL!$C$21, $C$9, 100%, $E$9)</f>
        <v>10.5661</v>
      </c>
      <c r="J208" s="14">
        <f>CHOOSE(CONTROL!$C$42, 10.5246, 10.5246)* CHOOSE(CONTROL!$C$21, $C$9, 100%, $E$9)</f>
        <v>10.5246</v>
      </c>
      <c r="K208" s="53">
        <f>CHOOSE(CONTROL!$C$42, 10.5622, 10.5622) * CHOOSE(CONTROL!$C$21, $C$9, 100%, $E$9)</f>
        <v>10.562200000000001</v>
      </c>
      <c r="L208" s="14">
        <f>CHOOSE(CONTROL!$C$42, 11.341, 11.341) * CHOOSE(CONTROL!$C$21, $C$9, 100%, $E$9)</f>
        <v>11.340999999999999</v>
      </c>
      <c r="M208" s="14">
        <f>CHOOSE(CONTROL!$C$42, 10.3166, 10.3166) * CHOOSE(CONTROL!$C$21, $C$9, 100%, $E$9)</f>
        <v>10.316599999999999</v>
      </c>
      <c r="N208" s="14">
        <f>CHOOSE(CONTROL!$C$42, 10.3332, 10.3332) * CHOOSE(CONTROL!$C$21, $C$9, 100%, $E$9)</f>
        <v>10.3332</v>
      </c>
      <c r="O208" s="14">
        <f>CHOOSE(CONTROL!$C$42, 10.5413, 10.5413) * CHOOSE(CONTROL!$C$21, $C$9, 100%, $E$9)</f>
        <v>10.5413</v>
      </c>
      <c r="P208" s="14">
        <f>CHOOSE(CONTROL!$C$42, 10.3567, 10.3567) * CHOOSE(CONTROL!$C$21, $C$9, 100%, $E$9)</f>
        <v>10.3567</v>
      </c>
      <c r="Q208" s="14">
        <f>CHOOSE(CONTROL!$C$42, 11.136, 11.136) * CHOOSE(CONTROL!$C$21, $C$9, 100%, $E$9)</f>
        <v>11.135999999999999</v>
      </c>
      <c r="R208" s="14">
        <f>CHOOSE(CONTROL!$C$42, 11.7509, 11.7509) * CHOOSE(CONTROL!$C$21, $C$9, 100%, $E$9)</f>
        <v>11.7509</v>
      </c>
      <c r="S208" s="14">
        <f>CHOOSE(CONTROL!$C$42, 10.0839, 10.0839) * CHOOSE(CONTROL!$C$21, $C$9, 100%, $E$9)</f>
        <v>10.0839</v>
      </c>
      <c r="T20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08" s="57">
        <f>(1000*CHOOSE(CONTROL!$C$42, 695, 695)*CHOOSE(CONTROL!$C$42, 0.5599, 0.5599)*CHOOSE(CONTROL!$C$42, 30, 30))/1000000</f>
        <v>11.673914999999997</v>
      </c>
      <c r="V208" s="57">
        <f>(1000*CHOOSE(CONTROL!$C$42, 500, 500)*CHOOSE(CONTROL!$C$42, 0.275, 0.275)*CHOOSE(CONTROL!$C$42, 30, 30))/1000000</f>
        <v>4.125</v>
      </c>
      <c r="W208" s="57">
        <f>(1000*CHOOSE(CONTROL!$C$42, 0.1146, 0.1146)*CHOOSE(CONTROL!$C$42, 121.5, 121.5)*CHOOSE(CONTROL!$C$42, 30, 30))/1000000</f>
        <v>0.417717</v>
      </c>
      <c r="X208" s="57">
        <f>(30*0.1790888*245000/1000000)+(30*0.2374*100000/1000000)</f>
        <v>2.0285026799999999</v>
      </c>
      <c r="Y208" s="57"/>
      <c r="Z208" s="14"/>
      <c r="AA208" s="56"/>
      <c r="AB208" s="50">
        <f>(B208*141.293+C208*267.993+D208*115.016+E208*89.698+F208*40+G208*185+H208*0+I208*100+J208*300)/(141.293+267.993+115.016+89.698+0+40+185+100+300)</f>
        <v>10.562487577966102</v>
      </c>
      <c r="AC208" s="45">
        <f>(M208*'RAP TEMPLATE-GAS AVAILABILITY'!O207+N208*'RAP TEMPLATE-GAS AVAILABILITY'!P207+O208*'RAP TEMPLATE-GAS AVAILABILITY'!Q207+P208*'RAP TEMPLATE-GAS AVAILABILITY'!R207)/('RAP TEMPLATE-GAS AVAILABILITY'!O207+'RAP TEMPLATE-GAS AVAILABILITY'!P207+'RAP TEMPLATE-GAS AVAILABILITY'!Q207+'RAP TEMPLATE-GAS AVAILABILITY'!R207)</f>
        <v>10.389236690647483</v>
      </c>
    </row>
    <row r="209" spans="1:29" ht="15.75" x14ac:dyDescent="0.25">
      <c r="A209" s="13">
        <v>47239</v>
      </c>
      <c r="B209" s="14">
        <f>CHOOSE(CONTROL!$C$42, 10.6197, 10.6197) * CHOOSE(CONTROL!$C$21, $C$9, 100%, $E$9)</f>
        <v>10.6197</v>
      </c>
      <c r="C209" s="14">
        <f>CHOOSE(CONTROL!$C$42, 10.6277, 10.6277) * CHOOSE(CONTROL!$C$21, $C$9, 100%, $E$9)</f>
        <v>10.627700000000001</v>
      </c>
      <c r="D209" s="14">
        <f>CHOOSE(CONTROL!$C$42, 10.8483, 10.8483) * CHOOSE(CONTROL!$C$21, $C$9, 100%, $E$9)</f>
        <v>10.8483</v>
      </c>
      <c r="E209" s="14">
        <f>CHOOSE(CONTROL!$C$42, 10.8798, 10.8798) * CHOOSE(CONTROL!$C$21, $C$9, 100%, $E$9)</f>
        <v>10.879799999999999</v>
      </c>
      <c r="F209" s="14">
        <f>CHOOSE(CONTROL!$C$42, 10.646, 10.646)*CHOOSE(CONTROL!$C$21, $C$9, 100%, $E$9)</f>
        <v>10.646000000000001</v>
      </c>
      <c r="G209" s="14">
        <f>CHOOSE(CONTROL!$C$42, 10.6631, 10.6631)*CHOOSE(CONTROL!$C$21, $C$9, 100%, $E$9)</f>
        <v>10.6631</v>
      </c>
      <c r="H209" s="14">
        <f>CHOOSE(CONTROL!$C$42, 10.8684, 10.8684) * CHOOSE(CONTROL!$C$21, $C$9, 100%, $E$9)</f>
        <v>10.868399999999999</v>
      </c>
      <c r="I209" s="14">
        <f>CHOOSE(CONTROL!$C$42, 10.6809, 10.6809)* CHOOSE(CONTROL!$C$21, $C$9, 100%, $E$9)</f>
        <v>10.680899999999999</v>
      </c>
      <c r="J209" s="14">
        <f>CHOOSE(CONTROL!$C$42, 10.639, 10.639)* CHOOSE(CONTROL!$C$21, $C$9, 100%, $E$9)</f>
        <v>10.638999999999999</v>
      </c>
      <c r="K209" s="53">
        <f>CHOOSE(CONTROL!$C$42, 10.677, 10.677) * CHOOSE(CONTROL!$C$21, $C$9, 100%, $E$9)</f>
        <v>10.677</v>
      </c>
      <c r="L209" s="14">
        <f>CHOOSE(CONTROL!$C$42, 11.4554, 11.4554) * CHOOSE(CONTROL!$C$21, $C$9, 100%, $E$9)</f>
        <v>11.455399999999999</v>
      </c>
      <c r="M209" s="14">
        <f>CHOOSE(CONTROL!$C$42, 10.4287, 10.4287) * CHOOSE(CONTROL!$C$21, $C$9, 100%, $E$9)</f>
        <v>10.428699999999999</v>
      </c>
      <c r="N209" s="14">
        <f>CHOOSE(CONTROL!$C$42, 10.4455, 10.4455) * CHOOSE(CONTROL!$C$21, $C$9, 100%, $E$9)</f>
        <v>10.445499999999999</v>
      </c>
      <c r="O209" s="14">
        <f>CHOOSE(CONTROL!$C$42, 10.6534, 10.6534) * CHOOSE(CONTROL!$C$21, $C$9, 100%, $E$9)</f>
        <v>10.6534</v>
      </c>
      <c r="P209" s="14">
        <f>CHOOSE(CONTROL!$C$42, 10.4691, 10.4691) * CHOOSE(CONTROL!$C$21, $C$9, 100%, $E$9)</f>
        <v>10.469099999999999</v>
      </c>
      <c r="Q209" s="14">
        <f>CHOOSE(CONTROL!$C$42, 11.2481, 11.2481) * CHOOSE(CONTROL!$C$21, $C$9, 100%, $E$9)</f>
        <v>11.248100000000001</v>
      </c>
      <c r="R209" s="14">
        <f>CHOOSE(CONTROL!$C$42, 11.8632, 11.8632) * CHOOSE(CONTROL!$C$21, $C$9, 100%, $E$9)</f>
        <v>11.863200000000001</v>
      </c>
      <c r="S209" s="14">
        <f>CHOOSE(CONTROL!$C$42, 10.1938, 10.1938) * CHOOSE(CONTROL!$C$21, $C$9, 100%, $E$9)</f>
        <v>10.1938</v>
      </c>
      <c r="T20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09" s="57">
        <f>(1000*CHOOSE(CONTROL!$C$42, 695, 695)*CHOOSE(CONTROL!$C$42, 0.5599, 0.5599)*CHOOSE(CONTROL!$C$42, 31, 31))/1000000</f>
        <v>12.063045499999998</v>
      </c>
      <c r="V209" s="57">
        <f>(1000*CHOOSE(CONTROL!$C$42, 500, 500)*CHOOSE(CONTROL!$C$42, 0.275, 0.275)*CHOOSE(CONTROL!$C$42, 31, 31))/1000000</f>
        <v>4.2625000000000002</v>
      </c>
      <c r="W209" s="57">
        <f>(1000*CHOOSE(CONTROL!$C$42, 0.1146, 0.1146)*CHOOSE(CONTROL!$C$42, 121.5, 121.5)*CHOOSE(CONTROL!$C$42, 31, 31))/1000000</f>
        <v>0.43164089999999994</v>
      </c>
      <c r="X209" s="57">
        <f>(31*0.1790888*245000/1000000)+(31*0.2374*100000/1000000)</f>
        <v>2.0961194359999999</v>
      </c>
      <c r="Y209" s="57"/>
      <c r="Z209" s="14"/>
      <c r="AA209" s="56"/>
      <c r="AB209" s="50">
        <f>(B209*194.205+C209*267.466+D209*133.845+E209*53.484+F209*40+G209*185+H209*0+I209*100+J209*300)/(194.205+267.466+133.845+53.484+0+40+185+100+300)</f>
        <v>10.672791745211931</v>
      </c>
      <c r="AC209" s="45">
        <f>(M209*'RAP TEMPLATE-GAS AVAILABILITY'!O208+N209*'RAP TEMPLATE-GAS AVAILABILITY'!P208+O209*'RAP TEMPLATE-GAS AVAILABILITY'!Q208+P209*'RAP TEMPLATE-GAS AVAILABILITY'!R208)/('RAP TEMPLATE-GAS AVAILABILITY'!O208+'RAP TEMPLATE-GAS AVAILABILITY'!P208+'RAP TEMPLATE-GAS AVAILABILITY'!Q208+'RAP TEMPLATE-GAS AVAILABILITY'!R208)</f>
        <v>10.501425899280575</v>
      </c>
    </row>
    <row r="210" spans="1:29" ht="15.75" x14ac:dyDescent="0.25">
      <c r="A210" s="13">
        <v>47270</v>
      </c>
      <c r="B210" s="14">
        <f>CHOOSE(CONTROL!$C$42, 10.9431, 10.9431) * CHOOSE(CONTROL!$C$21, $C$9, 100%, $E$9)</f>
        <v>10.943099999999999</v>
      </c>
      <c r="C210" s="14">
        <f>CHOOSE(CONTROL!$C$42, 10.9511, 10.9511) * CHOOSE(CONTROL!$C$21, $C$9, 100%, $E$9)</f>
        <v>10.9511</v>
      </c>
      <c r="D210" s="14">
        <f>CHOOSE(CONTROL!$C$42, 11.1717, 11.1717) * CHOOSE(CONTROL!$C$21, $C$9, 100%, $E$9)</f>
        <v>11.1717</v>
      </c>
      <c r="E210" s="14">
        <f>CHOOSE(CONTROL!$C$42, 11.2032, 11.2032) * CHOOSE(CONTROL!$C$21, $C$9, 100%, $E$9)</f>
        <v>11.203200000000001</v>
      </c>
      <c r="F210" s="14">
        <f>CHOOSE(CONTROL!$C$42, 10.9697, 10.9697)*CHOOSE(CONTROL!$C$21, $C$9, 100%, $E$9)</f>
        <v>10.9697</v>
      </c>
      <c r="G210" s="14">
        <f>CHOOSE(CONTROL!$C$42, 10.9869, 10.9869)*CHOOSE(CONTROL!$C$21, $C$9, 100%, $E$9)</f>
        <v>10.9869</v>
      </c>
      <c r="H210" s="14">
        <f>CHOOSE(CONTROL!$C$42, 11.1918, 11.1918) * CHOOSE(CONTROL!$C$21, $C$9, 100%, $E$9)</f>
        <v>11.191800000000001</v>
      </c>
      <c r="I210" s="14">
        <f>CHOOSE(CONTROL!$C$42, 11.0052, 11.0052)* CHOOSE(CONTROL!$C$21, $C$9, 100%, $E$9)</f>
        <v>11.0052</v>
      </c>
      <c r="J210" s="14">
        <f>CHOOSE(CONTROL!$C$42, 10.9627, 10.9627)* CHOOSE(CONTROL!$C$21, $C$9, 100%, $E$9)</f>
        <v>10.9627</v>
      </c>
      <c r="K210" s="53">
        <f>CHOOSE(CONTROL!$C$42, 11.0014, 11.0014) * CHOOSE(CONTROL!$C$21, $C$9, 100%, $E$9)</f>
        <v>11.0014</v>
      </c>
      <c r="L210" s="14">
        <f>CHOOSE(CONTROL!$C$42, 11.7788, 11.7788) * CHOOSE(CONTROL!$C$21, $C$9, 100%, $E$9)</f>
        <v>11.7788</v>
      </c>
      <c r="M210" s="14">
        <f>CHOOSE(CONTROL!$C$42, 10.7458, 10.7458) * CHOOSE(CONTROL!$C$21, $C$9, 100%, $E$9)</f>
        <v>10.745799999999999</v>
      </c>
      <c r="N210" s="14">
        <f>CHOOSE(CONTROL!$C$42, 10.7626, 10.7626) * CHOOSE(CONTROL!$C$21, $C$9, 100%, $E$9)</f>
        <v>10.762600000000001</v>
      </c>
      <c r="O210" s="14">
        <f>CHOOSE(CONTROL!$C$42, 10.9702, 10.9702) * CHOOSE(CONTROL!$C$21, $C$9, 100%, $E$9)</f>
        <v>10.9702</v>
      </c>
      <c r="P210" s="14">
        <f>CHOOSE(CONTROL!$C$42, 10.7868, 10.7868) * CHOOSE(CONTROL!$C$21, $C$9, 100%, $E$9)</f>
        <v>10.786799999999999</v>
      </c>
      <c r="Q210" s="14">
        <f>CHOOSE(CONTROL!$C$42, 11.5649, 11.5649) * CHOOSE(CONTROL!$C$21, $C$9, 100%, $E$9)</f>
        <v>11.5649</v>
      </c>
      <c r="R210" s="14">
        <f>CHOOSE(CONTROL!$C$42, 12.1808, 12.1808) * CHOOSE(CONTROL!$C$21, $C$9, 100%, $E$9)</f>
        <v>12.1808</v>
      </c>
      <c r="S210" s="14">
        <f>CHOOSE(CONTROL!$C$42, 10.5046, 10.5046) * CHOOSE(CONTROL!$C$21, $C$9, 100%, $E$9)</f>
        <v>10.5046</v>
      </c>
      <c r="T21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10" s="57">
        <f>(1000*CHOOSE(CONTROL!$C$42, 695, 695)*CHOOSE(CONTROL!$C$42, 0.5599, 0.5599)*CHOOSE(CONTROL!$C$42, 30, 30))/1000000</f>
        <v>11.673914999999997</v>
      </c>
      <c r="V210" s="57">
        <f>(1000*CHOOSE(CONTROL!$C$42, 500, 500)*CHOOSE(CONTROL!$C$42, 0.275, 0.275)*CHOOSE(CONTROL!$C$42, 30, 30))/1000000</f>
        <v>4.125</v>
      </c>
      <c r="W210" s="57">
        <f>(1000*CHOOSE(CONTROL!$C$42, 0.1146, 0.1146)*CHOOSE(CONTROL!$C$42, 121.5, 121.5)*CHOOSE(CONTROL!$C$42, 30, 30))/1000000</f>
        <v>0.417717</v>
      </c>
      <c r="X210" s="57">
        <f>(30*0.1790888*245000/1000000)+(30*0.2374*100000/1000000)</f>
        <v>2.0285026799999999</v>
      </c>
      <c r="Y210" s="57"/>
      <c r="Z210" s="14"/>
      <c r="AA210" s="56"/>
      <c r="AB210" s="50">
        <f>(B210*194.205+C210*267.466+D210*133.845+E210*53.484+F210*40+G210*185+H210*0+I210*100+J210*300)/(194.205+267.466+133.845+53.484+0+40+185+100+300)</f>
        <v>10.996400536420722</v>
      </c>
      <c r="AC210" s="45">
        <f>(M210*'RAP TEMPLATE-GAS AVAILABILITY'!O209+N210*'RAP TEMPLATE-GAS AVAILABILITY'!P209+O210*'RAP TEMPLATE-GAS AVAILABILITY'!Q209+P210*'RAP TEMPLATE-GAS AVAILABILITY'!R209)/('RAP TEMPLATE-GAS AVAILABILITY'!O209+'RAP TEMPLATE-GAS AVAILABILITY'!P209+'RAP TEMPLATE-GAS AVAILABILITY'!Q209+'RAP TEMPLATE-GAS AVAILABILITY'!R209)</f>
        <v>10.818528057553957</v>
      </c>
    </row>
    <row r="211" spans="1:29" ht="15.75" x14ac:dyDescent="0.25">
      <c r="A211" s="13">
        <v>47300</v>
      </c>
      <c r="B211" s="14">
        <f>CHOOSE(CONTROL!$C$42, 10.7555, 10.7555) * CHOOSE(CONTROL!$C$21, $C$9, 100%, $E$9)</f>
        <v>10.7555</v>
      </c>
      <c r="C211" s="14">
        <f>CHOOSE(CONTROL!$C$42, 10.7635, 10.7635) * CHOOSE(CONTROL!$C$21, $C$9, 100%, $E$9)</f>
        <v>10.763500000000001</v>
      </c>
      <c r="D211" s="14">
        <f>CHOOSE(CONTROL!$C$42, 10.9841, 10.9841) * CHOOSE(CONTROL!$C$21, $C$9, 100%, $E$9)</f>
        <v>10.9841</v>
      </c>
      <c r="E211" s="14">
        <f>CHOOSE(CONTROL!$C$42, 11.0155, 11.0155) * CHOOSE(CONTROL!$C$21, $C$9, 100%, $E$9)</f>
        <v>11.015499999999999</v>
      </c>
      <c r="F211" s="14">
        <f>CHOOSE(CONTROL!$C$42, 10.7825, 10.7825)*CHOOSE(CONTROL!$C$21, $C$9, 100%, $E$9)</f>
        <v>10.782500000000001</v>
      </c>
      <c r="G211" s="14">
        <f>CHOOSE(CONTROL!$C$42, 10.7999, 10.7999)*CHOOSE(CONTROL!$C$21, $C$9, 100%, $E$9)</f>
        <v>10.799899999999999</v>
      </c>
      <c r="H211" s="14">
        <f>CHOOSE(CONTROL!$C$42, 11.0042, 11.0042) * CHOOSE(CONTROL!$C$21, $C$9, 100%, $E$9)</f>
        <v>11.004200000000001</v>
      </c>
      <c r="I211" s="14">
        <f>CHOOSE(CONTROL!$C$42, 10.817, 10.817)* CHOOSE(CONTROL!$C$21, $C$9, 100%, $E$9)</f>
        <v>10.817</v>
      </c>
      <c r="J211" s="14">
        <f>CHOOSE(CONTROL!$C$42, 10.7755, 10.7755)* CHOOSE(CONTROL!$C$21, $C$9, 100%, $E$9)</f>
        <v>10.775499999999999</v>
      </c>
      <c r="K211" s="53">
        <f>CHOOSE(CONTROL!$C$42, 10.8131, 10.8131) * CHOOSE(CONTROL!$C$21, $C$9, 100%, $E$9)</f>
        <v>10.8131</v>
      </c>
      <c r="L211" s="14">
        <f>CHOOSE(CONTROL!$C$42, 11.5912, 11.5912) * CHOOSE(CONTROL!$C$21, $C$9, 100%, $E$9)</f>
        <v>11.591200000000001</v>
      </c>
      <c r="M211" s="14">
        <f>CHOOSE(CONTROL!$C$42, 10.5624, 10.5624) * CHOOSE(CONTROL!$C$21, $C$9, 100%, $E$9)</f>
        <v>10.5624</v>
      </c>
      <c r="N211" s="14">
        <f>CHOOSE(CONTROL!$C$42, 10.5794, 10.5794) * CHOOSE(CONTROL!$C$21, $C$9, 100%, $E$9)</f>
        <v>10.5794</v>
      </c>
      <c r="O211" s="14">
        <f>CHOOSE(CONTROL!$C$42, 10.7864, 10.7864) * CHOOSE(CONTROL!$C$21, $C$9, 100%, $E$9)</f>
        <v>10.7864</v>
      </c>
      <c r="P211" s="14">
        <f>CHOOSE(CONTROL!$C$42, 10.6025, 10.6025) * CHOOSE(CONTROL!$C$21, $C$9, 100%, $E$9)</f>
        <v>10.602499999999999</v>
      </c>
      <c r="Q211" s="14">
        <f>CHOOSE(CONTROL!$C$42, 11.3811, 11.3811) * CHOOSE(CONTROL!$C$21, $C$9, 100%, $E$9)</f>
        <v>11.3811</v>
      </c>
      <c r="R211" s="14">
        <f>CHOOSE(CONTROL!$C$42, 11.9965, 11.9965) * CHOOSE(CONTROL!$C$21, $C$9, 100%, $E$9)</f>
        <v>11.996499999999999</v>
      </c>
      <c r="S211" s="14">
        <f>CHOOSE(CONTROL!$C$42, 10.3243, 10.3243) * CHOOSE(CONTROL!$C$21, $C$9, 100%, $E$9)</f>
        <v>10.324299999999999</v>
      </c>
      <c r="T21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11" s="57">
        <f>(1000*CHOOSE(CONTROL!$C$42, 695, 695)*CHOOSE(CONTROL!$C$42, 0.5599, 0.5599)*CHOOSE(CONTROL!$C$42, 31, 31))/1000000</f>
        <v>12.063045499999998</v>
      </c>
      <c r="V211" s="57">
        <f>(1000*CHOOSE(CONTROL!$C$42, 500, 500)*CHOOSE(CONTROL!$C$42, 0.275, 0.275)*CHOOSE(CONTROL!$C$42, 31, 31))/1000000</f>
        <v>4.2625000000000002</v>
      </c>
      <c r="W211" s="57">
        <f>(1000*CHOOSE(CONTROL!$C$42, 0.1146, 0.1146)*CHOOSE(CONTROL!$C$42, 121.5, 121.5)*CHOOSE(CONTROL!$C$42, 31, 31))/1000000</f>
        <v>0.43164089999999994</v>
      </c>
      <c r="X211" s="57">
        <f>(31*0.1790888*245000/1000000)+(31*0.2374*100000/1000000)</f>
        <v>2.0961194359999999</v>
      </c>
      <c r="Y211" s="57"/>
      <c r="Z211" s="14"/>
      <c r="AA211" s="56"/>
      <c r="AB211" s="50">
        <f>(B211*194.205+C211*267.466+D211*133.845+E211*53.484+F211*40+G211*185+H211*0+I211*100+J211*300)/(194.205+267.466+133.845+53.484+0+40+185+100+300)</f>
        <v>10.808943120094193</v>
      </c>
      <c r="AC211" s="45">
        <f>(M211*'RAP TEMPLATE-GAS AVAILABILITY'!O210+N211*'RAP TEMPLATE-GAS AVAILABILITY'!P210+O211*'RAP TEMPLATE-GAS AVAILABILITY'!Q210+P211*'RAP TEMPLATE-GAS AVAILABILITY'!R210)/('RAP TEMPLATE-GAS AVAILABILITY'!O210+'RAP TEMPLATE-GAS AVAILABILITY'!P210+'RAP TEMPLATE-GAS AVAILABILITY'!Q210+'RAP TEMPLATE-GAS AVAILABILITY'!R210)</f>
        <v>10.634932374100719</v>
      </c>
    </row>
    <row r="212" spans="1:29" ht="15.75" x14ac:dyDescent="0.25">
      <c r="A212" s="13">
        <v>47331</v>
      </c>
      <c r="B212" s="14">
        <f>CHOOSE(CONTROL!$C$42, 10.2458, 10.2458) * CHOOSE(CONTROL!$C$21, $C$9, 100%, $E$9)</f>
        <v>10.245799999999999</v>
      </c>
      <c r="C212" s="14">
        <f>CHOOSE(CONTROL!$C$42, 10.2538, 10.2538) * CHOOSE(CONTROL!$C$21, $C$9, 100%, $E$9)</f>
        <v>10.2538</v>
      </c>
      <c r="D212" s="14">
        <f>CHOOSE(CONTROL!$C$42, 10.4744, 10.4744) * CHOOSE(CONTROL!$C$21, $C$9, 100%, $E$9)</f>
        <v>10.474399999999999</v>
      </c>
      <c r="E212" s="14">
        <f>CHOOSE(CONTROL!$C$42, 10.5059, 10.5059) * CHOOSE(CONTROL!$C$21, $C$9, 100%, $E$9)</f>
        <v>10.5059</v>
      </c>
      <c r="F212" s="14">
        <f>CHOOSE(CONTROL!$C$42, 10.2732, 10.2732)*CHOOSE(CONTROL!$C$21, $C$9, 100%, $E$9)</f>
        <v>10.273199999999999</v>
      </c>
      <c r="G212" s="14">
        <f>CHOOSE(CONTROL!$C$42, 10.2906, 10.2906)*CHOOSE(CONTROL!$C$21, $C$9, 100%, $E$9)</f>
        <v>10.2906</v>
      </c>
      <c r="H212" s="14">
        <f>CHOOSE(CONTROL!$C$42, 10.4945, 10.4945) * CHOOSE(CONTROL!$C$21, $C$9, 100%, $E$9)</f>
        <v>10.4945</v>
      </c>
      <c r="I212" s="14">
        <f>CHOOSE(CONTROL!$C$42, 10.3058, 10.3058)* CHOOSE(CONTROL!$C$21, $C$9, 100%, $E$9)</f>
        <v>10.3058</v>
      </c>
      <c r="J212" s="14">
        <f>CHOOSE(CONTROL!$C$42, 10.2662, 10.2662)* CHOOSE(CONTROL!$C$21, $C$9, 100%, $E$9)</f>
        <v>10.2662</v>
      </c>
      <c r="K212" s="53">
        <f>CHOOSE(CONTROL!$C$42, 10.3019, 10.3019) * CHOOSE(CONTROL!$C$21, $C$9, 100%, $E$9)</f>
        <v>10.3019</v>
      </c>
      <c r="L212" s="14">
        <f>CHOOSE(CONTROL!$C$42, 11.0815, 11.0815) * CHOOSE(CONTROL!$C$21, $C$9, 100%, $E$9)</f>
        <v>11.0815</v>
      </c>
      <c r="M212" s="14">
        <f>CHOOSE(CONTROL!$C$42, 10.0635, 10.0635) * CHOOSE(CONTROL!$C$21, $C$9, 100%, $E$9)</f>
        <v>10.063499999999999</v>
      </c>
      <c r="N212" s="14">
        <f>CHOOSE(CONTROL!$C$42, 10.0806, 10.0806) * CHOOSE(CONTROL!$C$21, $C$9, 100%, $E$9)</f>
        <v>10.0806</v>
      </c>
      <c r="O212" s="14">
        <f>CHOOSE(CONTROL!$C$42, 10.2872, 10.2872) * CHOOSE(CONTROL!$C$21, $C$9, 100%, $E$9)</f>
        <v>10.2872</v>
      </c>
      <c r="P212" s="14">
        <f>CHOOSE(CONTROL!$C$42, 10.1018, 10.1018) * CHOOSE(CONTROL!$C$21, $C$9, 100%, $E$9)</f>
        <v>10.101800000000001</v>
      </c>
      <c r="Q212" s="14">
        <f>CHOOSE(CONTROL!$C$42, 10.8819, 10.8819) * CHOOSE(CONTROL!$C$21, $C$9, 100%, $E$9)</f>
        <v>10.8819</v>
      </c>
      <c r="R212" s="14">
        <f>CHOOSE(CONTROL!$C$42, 11.4961, 11.4961) * CHOOSE(CONTROL!$C$21, $C$9, 100%, $E$9)</f>
        <v>11.4961</v>
      </c>
      <c r="S212" s="14">
        <f>CHOOSE(CONTROL!$C$42, 9.8346, 9.8346) * CHOOSE(CONTROL!$C$21, $C$9, 100%, $E$9)</f>
        <v>9.8346</v>
      </c>
      <c r="T21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12" s="57">
        <f>(1000*CHOOSE(CONTROL!$C$42, 695, 695)*CHOOSE(CONTROL!$C$42, 0.5599, 0.5599)*CHOOSE(CONTROL!$C$42, 31, 31))/1000000</f>
        <v>12.063045499999998</v>
      </c>
      <c r="V212" s="57">
        <f>(1000*CHOOSE(CONTROL!$C$42, 500, 500)*CHOOSE(CONTROL!$C$42, 0.275, 0.275)*CHOOSE(CONTROL!$C$42, 31, 31))/1000000</f>
        <v>4.2625000000000002</v>
      </c>
      <c r="W212" s="57">
        <f>(1000*CHOOSE(CONTROL!$C$42, 0.1146, 0.1146)*CHOOSE(CONTROL!$C$42, 121.5, 121.5)*CHOOSE(CONTROL!$C$42, 31, 31))/1000000</f>
        <v>0.43164089999999994</v>
      </c>
      <c r="X212" s="57">
        <f>(31*0.1790888*245000/1000000)+(31*0.2374*100000/1000000)</f>
        <v>2.0961194359999999</v>
      </c>
      <c r="Y212" s="57"/>
      <c r="Z212" s="14"/>
      <c r="AA212" s="56"/>
      <c r="AB212" s="50">
        <f>(B212*194.205+C212*267.466+D212*133.845+E212*53.484+F212*40+G212*185+H212*0+I212*100+J212*300)/(194.205+267.466+133.845+53.484+0+40+185+100+300)</f>
        <v>10.299294413971744</v>
      </c>
      <c r="AC212" s="45">
        <f>(M212*'RAP TEMPLATE-GAS AVAILABILITY'!O211+N212*'RAP TEMPLATE-GAS AVAILABILITY'!P211+O212*'RAP TEMPLATE-GAS AVAILABILITY'!Q211+P212*'RAP TEMPLATE-GAS AVAILABILITY'!R211)/('RAP TEMPLATE-GAS AVAILABILITY'!O211+'RAP TEMPLATE-GAS AVAILABILITY'!P211+'RAP TEMPLATE-GAS AVAILABILITY'!Q211+'RAP TEMPLATE-GAS AVAILABILITY'!R211)</f>
        <v>10.135712230215828</v>
      </c>
    </row>
    <row r="213" spans="1:29" ht="15.75" x14ac:dyDescent="0.25">
      <c r="A213" s="13">
        <v>47362</v>
      </c>
      <c r="B213" s="14">
        <f>CHOOSE(CONTROL!$C$42, 9.6156, 9.6156) * CHOOSE(CONTROL!$C$21, $C$9, 100%, $E$9)</f>
        <v>9.6156000000000006</v>
      </c>
      <c r="C213" s="14">
        <f>CHOOSE(CONTROL!$C$42, 9.6236, 9.6236) * CHOOSE(CONTROL!$C$21, $C$9, 100%, $E$9)</f>
        <v>9.6235999999999997</v>
      </c>
      <c r="D213" s="14">
        <f>CHOOSE(CONTROL!$C$42, 9.8442, 9.8442) * CHOOSE(CONTROL!$C$21, $C$9, 100%, $E$9)</f>
        <v>9.8442000000000007</v>
      </c>
      <c r="E213" s="14">
        <f>CHOOSE(CONTROL!$C$42, 9.8757, 9.8757) * CHOOSE(CONTROL!$C$21, $C$9, 100%, $E$9)</f>
        <v>9.8757000000000001</v>
      </c>
      <c r="F213" s="14">
        <f>CHOOSE(CONTROL!$C$42, 9.643, 9.643)*CHOOSE(CONTROL!$C$21, $C$9, 100%, $E$9)</f>
        <v>9.6430000000000007</v>
      </c>
      <c r="G213" s="14">
        <f>CHOOSE(CONTROL!$C$42, 9.6604, 9.6604)*CHOOSE(CONTROL!$C$21, $C$9, 100%, $E$9)</f>
        <v>9.6603999999999992</v>
      </c>
      <c r="H213" s="14">
        <f>CHOOSE(CONTROL!$C$42, 9.8643, 9.8643) * CHOOSE(CONTROL!$C$21, $C$9, 100%, $E$9)</f>
        <v>9.8643000000000001</v>
      </c>
      <c r="I213" s="14">
        <f>CHOOSE(CONTROL!$C$42, 9.6736, 9.6736)* CHOOSE(CONTROL!$C$21, $C$9, 100%, $E$9)</f>
        <v>9.6736000000000004</v>
      </c>
      <c r="J213" s="14">
        <f>CHOOSE(CONTROL!$C$42, 9.636, 9.636)* CHOOSE(CONTROL!$C$21, $C$9, 100%, $E$9)</f>
        <v>9.6359999999999992</v>
      </c>
      <c r="K213" s="53">
        <f>CHOOSE(CONTROL!$C$42, 9.6697, 9.6697) * CHOOSE(CONTROL!$C$21, $C$9, 100%, $E$9)</f>
        <v>9.6697000000000006</v>
      </c>
      <c r="L213" s="14">
        <f>CHOOSE(CONTROL!$C$42, 10.4513, 10.4513) * CHOOSE(CONTROL!$C$21, $C$9, 100%, $E$9)</f>
        <v>10.4513</v>
      </c>
      <c r="M213" s="14">
        <f>CHOOSE(CONTROL!$C$42, 9.4462, 9.4462) * CHOOSE(CONTROL!$C$21, $C$9, 100%, $E$9)</f>
        <v>9.4461999999999993</v>
      </c>
      <c r="N213" s="14">
        <f>CHOOSE(CONTROL!$C$42, 9.4633, 9.4633) * CHOOSE(CONTROL!$C$21, $C$9, 100%, $E$9)</f>
        <v>9.4633000000000003</v>
      </c>
      <c r="O213" s="14">
        <f>CHOOSE(CONTROL!$C$42, 9.6699, 9.6699) * CHOOSE(CONTROL!$C$21, $C$9, 100%, $E$9)</f>
        <v>9.6699000000000002</v>
      </c>
      <c r="P213" s="14">
        <f>CHOOSE(CONTROL!$C$42, 9.4826, 9.4826) * CHOOSE(CONTROL!$C$21, $C$9, 100%, $E$9)</f>
        <v>9.4825999999999997</v>
      </c>
      <c r="Q213" s="14">
        <f>CHOOSE(CONTROL!$C$42, 10.2646, 10.2646) * CHOOSE(CONTROL!$C$21, $C$9, 100%, $E$9)</f>
        <v>10.2646</v>
      </c>
      <c r="R213" s="14">
        <f>CHOOSE(CONTROL!$C$42, 10.8773, 10.8773) * CHOOSE(CONTROL!$C$21, $C$9, 100%, $E$9)</f>
        <v>10.8773</v>
      </c>
      <c r="S213" s="14">
        <f>CHOOSE(CONTROL!$C$42, 9.229, 9.229) * CHOOSE(CONTROL!$C$21, $C$9, 100%, $E$9)</f>
        <v>9.2289999999999992</v>
      </c>
      <c r="T21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13" s="57">
        <f>(1000*CHOOSE(CONTROL!$C$42, 695, 695)*CHOOSE(CONTROL!$C$42, 0.5599, 0.5599)*CHOOSE(CONTROL!$C$42, 30, 30))/1000000</f>
        <v>11.673914999999997</v>
      </c>
      <c r="V213" s="57">
        <f>(1000*CHOOSE(CONTROL!$C$42, 500, 500)*CHOOSE(CONTROL!$C$42, 0.275, 0.275)*CHOOSE(CONTROL!$C$42, 30, 30))/1000000</f>
        <v>4.125</v>
      </c>
      <c r="W213" s="57">
        <f>(1000*CHOOSE(CONTROL!$C$42, 0.1146, 0.1146)*CHOOSE(CONTROL!$C$42, 121.5, 121.5)*CHOOSE(CONTROL!$C$42, 30, 30))/1000000</f>
        <v>0.417717</v>
      </c>
      <c r="X213" s="57">
        <f>(30*0.1790888*245000/1000000)+(30*0.2374*100000/1000000)</f>
        <v>2.0285026799999999</v>
      </c>
      <c r="Y213" s="57"/>
      <c r="Z213" s="14"/>
      <c r="AA213" s="56"/>
      <c r="AB213" s="50">
        <f>(B213*194.205+C213*267.466+D213*133.845+E213*53.484+F213*40+G213*185+H213*0+I213*100+J213*300)/(194.205+267.466+133.845+53.484+0+40+185+100+300)</f>
        <v>9.6689374281004703</v>
      </c>
      <c r="AC213" s="45">
        <f>(M213*'RAP TEMPLATE-GAS AVAILABILITY'!O212+N213*'RAP TEMPLATE-GAS AVAILABILITY'!P212+O213*'RAP TEMPLATE-GAS AVAILABILITY'!Q212+P213*'RAP TEMPLATE-GAS AVAILABILITY'!R212)/('RAP TEMPLATE-GAS AVAILABILITY'!O212+'RAP TEMPLATE-GAS AVAILABILITY'!P212+'RAP TEMPLATE-GAS AVAILABILITY'!Q212+'RAP TEMPLATE-GAS AVAILABILITY'!R212)</f>
        <v>9.5181388489208629</v>
      </c>
    </row>
    <row r="214" spans="1:29" ht="15.75" x14ac:dyDescent="0.25">
      <c r="A214" s="13">
        <v>47392</v>
      </c>
      <c r="B214" s="14">
        <f>CHOOSE(CONTROL!$C$42, 9.4382, 9.4382) * CHOOSE(CONTROL!$C$21, $C$9, 100%, $E$9)</f>
        <v>9.4382000000000001</v>
      </c>
      <c r="C214" s="14">
        <f>CHOOSE(CONTROL!$C$42, 9.4436, 9.4436) * CHOOSE(CONTROL!$C$21, $C$9, 100%, $E$9)</f>
        <v>9.4436</v>
      </c>
      <c r="D214" s="14">
        <f>CHOOSE(CONTROL!$C$42, 9.6691, 9.6691) * CHOOSE(CONTROL!$C$21, $C$9, 100%, $E$9)</f>
        <v>9.6691000000000003</v>
      </c>
      <c r="E214" s="14">
        <f>CHOOSE(CONTROL!$C$42, 9.6982, 9.6982) * CHOOSE(CONTROL!$C$21, $C$9, 100%, $E$9)</f>
        <v>9.6981999999999999</v>
      </c>
      <c r="F214" s="14">
        <f>CHOOSE(CONTROL!$C$42, 9.4676, 9.4676)*CHOOSE(CONTROL!$C$21, $C$9, 100%, $E$9)</f>
        <v>9.4675999999999991</v>
      </c>
      <c r="G214" s="14">
        <f>CHOOSE(CONTROL!$C$42, 9.4848, 9.4848)*CHOOSE(CONTROL!$C$21, $C$9, 100%, $E$9)</f>
        <v>9.4847999999999999</v>
      </c>
      <c r="H214" s="14">
        <f>CHOOSE(CONTROL!$C$42, 9.6887, 9.6887) * CHOOSE(CONTROL!$C$21, $C$9, 100%, $E$9)</f>
        <v>9.6887000000000008</v>
      </c>
      <c r="I214" s="14">
        <f>CHOOSE(CONTROL!$C$42, 9.4974, 9.4974)* CHOOSE(CONTROL!$C$21, $C$9, 100%, $E$9)</f>
        <v>9.4974000000000007</v>
      </c>
      <c r="J214" s="14">
        <f>CHOOSE(CONTROL!$C$42, 9.4606, 9.4606)* CHOOSE(CONTROL!$C$21, $C$9, 100%, $E$9)</f>
        <v>9.4605999999999995</v>
      </c>
      <c r="K214" s="53">
        <f>CHOOSE(CONTROL!$C$42, 9.4936, 9.4936) * CHOOSE(CONTROL!$C$21, $C$9, 100%, $E$9)</f>
        <v>9.4936000000000007</v>
      </c>
      <c r="L214" s="14">
        <f>CHOOSE(CONTROL!$C$42, 10.2757, 10.2757) * CHOOSE(CONTROL!$C$21, $C$9, 100%, $E$9)</f>
        <v>10.275700000000001</v>
      </c>
      <c r="M214" s="14">
        <f>CHOOSE(CONTROL!$C$42, 9.2744, 9.2744) * CHOOSE(CONTROL!$C$21, $C$9, 100%, $E$9)</f>
        <v>9.2744</v>
      </c>
      <c r="N214" s="14">
        <f>CHOOSE(CONTROL!$C$42, 9.2913, 9.2913) * CHOOSE(CONTROL!$C$21, $C$9, 100%, $E$9)</f>
        <v>9.2912999999999997</v>
      </c>
      <c r="O214" s="14">
        <f>CHOOSE(CONTROL!$C$42, 9.4979, 9.4979) * CHOOSE(CONTROL!$C$21, $C$9, 100%, $E$9)</f>
        <v>9.4978999999999996</v>
      </c>
      <c r="P214" s="14">
        <f>CHOOSE(CONTROL!$C$42, 9.31, 9.31) * CHOOSE(CONTROL!$C$21, $C$9, 100%, $E$9)</f>
        <v>9.31</v>
      </c>
      <c r="Q214" s="14">
        <f>CHOOSE(CONTROL!$C$42, 10.0926, 10.0926) * CHOOSE(CONTROL!$C$21, $C$9, 100%, $E$9)</f>
        <v>10.092599999999999</v>
      </c>
      <c r="R214" s="14">
        <f>CHOOSE(CONTROL!$C$42, 10.7048, 10.7048) * CHOOSE(CONTROL!$C$21, $C$9, 100%, $E$9)</f>
        <v>10.704800000000001</v>
      </c>
      <c r="S214" s="14">
        <f>CHOOSE(CONTROL!$C$42, 9.0603, 9.0603) * CHOOSE(CONTROL!$C$21, $C$9, 100%, $E$9)</f>
        <v>9.0602999999999998</v>
      </c>
      <c r="T21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14" s="57">
        <f>(1000*CHOOSE(CONTROL!$C$42, 695, 695)*CHOOSE(CONTROL!$C$42, 0.5599, 0.5599)*CHOOSE(CONTROL!$C$42, 31, 31))/1000000</f>
        <v>12.063045499999998</v>
      </c>
      <c r="V214" s="57">
        <f>(1000*CHOOSE(CONTROL!$C$42, 500, 500)*CHOOSE(CONTROL!$C$42, 0.275, 0.275)*CHOOSE(CONTROL!$C$42, 31, 31))/1000000</f>
        <v>4.2625000000000002</v>
      </c>
      <c r="W214" s="57">
        <f>(1000*CHOOSE(CONTROL!$C$42, 0.1146, 0.1146)*CHOOSE(CONTROL!$C$42, 121.5, 121.5)*CHOOSE(CONTROL!$C$42, 31, 31))/1000000</f>
        <v>0.43164089999999994</v>
      </c>
      <c r="X214" s="57">
        <f>(31*0.1790888*245000/1000000)+(31*0.2374*100000/1000000)</f>
        <v>2.0961194359999999</v>
      </c>
      <c r="Y214" s="57"/>
      <c r="Z214" s="14"/>
      <c r="AA214" s="56"/>
      <c r="AB214" s="50">
        <f>(B214*131.881+C214*277.167+D214*79.08+E214*125.872+F214*40+G214*185+H214*0+I214*100+J214*300)/(131.881+277.167+79.08+125.872+0+40+185+100+300)</f>
        <v>9.4986681144471348</v>
      </c>
      <c r="AC214" s="45">
        <f>(M214*'RAP TEMPLATE-GAS AVAILABILITY'!O213+N214*'RAP TEMPLATE-GAS AVAILABILITY'!P213+O214*'RAP TEMPLATE-GAS AVAILABILITY'!Q213+P214*'RAP TEMPLATE-GAS AVAILABILITY'!R213)/('RAP TEMPLATE-GAS AVAILABILITY'!O213+'RAP TEMPLATE-GAS AVAILABILITY'!P213+'RAP TEMPLATE-GAS AVAILABILITY'!Q213+'RAP TEMPLATE-GAS AVAILABILITY'!R213)</f>
        <v>9.3461215827338133</v>
      </c>
    </row>
    <row r="215" spans="1:29" ht="15.75" x14ac:dyDescent="0.25">
      <c r="A215" s="13">
        <v>47423</v>
      </c>
      <c r="B215" s="14">
        <f>CHOOSE(CONTROL!$C$42, 9.7061, 9.7061) * CHOOSE(CONTROL!$C$21, $C$9, 100%, $E$9)</f>
        <v>9.7060999999999993</v>
      </c>
      <c r="C215" s="14">
        <f>CHOOSE(CONTROL!$C$42, 9.7112, 9.7112) * CHOOSE(CONTROL!$C$21, $C$9, 100%, $E$9)</f>
        <v>9.7111999999999998</v>
      </c>
      <c r="D215" s="14">
        <f>CHOOSE(CONTROL!$C$42, 9.7854, 9.7854) * CHOOSE(CONTROL!$C$21, $C$9, 100%, $E$9)</f>
        <v>9.7853999999999992</v>
      </c>
      <c r="E215" s="14">
        <f>CHOOSE(CONTROL!$C$42, 9.8195, 9.8195) * CHOOSE(CONTROL!$C$21, $C$9, 100%, $E$9)</f>
        <v>9.8194999999999997</v>
      </c>
      <c r="F215" s="14">
        <f>CHOOSE(CONTROL!$C$42, 9.7422, 9.7422)*CHOOSE(CONTROL!$C$21, $C$9, 100%, $E$9)</f>
        <v>9.7422000000000004</v>
      </c>
      <c r="G215" s="14">
        <f>CHOOSE(CONTROL!$C$42, 9.7597, 9.7597)*CHOOSE(CONTROL!$C$21, $C$9, 100%, $E$9)</f>
        <v>9.7597000000000005</v>
      </c>
      <c r="H215" s="14">
        <f>CHOOSE(CONTROL!$C$42, 9.8087, 9.8087) * CHOOSE(CONTROL!$C$21, $C$9, 100%, $E$9)</f>
        <v>9.8087</v>
      </c>
      <c r="I215" s="14">
        <f>CHOOSE(CONTROL!$C$42, 9.764, 9.764)* CHOOSE(CONTROL!$C$21, $C$9, 100%, $E$9)</f>
        <v>9.7639999999999993</v>
      </c>
      <c r="J215" s="14">
        <f>CHOOSE(CONTROL!$C$42, 9.7352, 9.7352)* CHOOSE(CONTROL!$C$21, $C$9, 100%, $E$9)</f>
        <v>9.7352000000000007</v>
      </c>
      <c r="K215" s="53">
        <f>CHOOSE(CONTROL!$C$42, 9.7601, 9.7601) * CHOOSE(CONTROL!$C$21, $C$9, 100%, $E$9)</f>
        <v>9.7600999999999996</v>
      </c>
      <c r="L215" s="14">
        <f>CHOOSE(CONTROL!$C$42, 10.3957, 10.3957) * CHOOSE(CONTROL!$C$21, $C$9, 100%, $E$9)</f>
        <v>10.3957</v>
      </c>
      <c r="M215" s="14">
        <f>CHOOSE(CONTROL!$C$42, 9.5434, 9.5434) * CHOOSE(CONTROL!$C$21, $C$9, 100%, $E$9)</f>
        <v>9.5434000000000001</v>
      </c>
      <c r="N215" s="14">
        <f>CHOOSE(CONTROL!$C$42, 9.5606, 9.5606) * CHOOSE(CONTROL!$C$21, $C$9, 100%, $E$9)</f>
        <v>9.5606000000000009</v>
      </c>
      <c r="O215" s="14">
        <f>CHOOSE(CONTROL!$C$42, 9.6154, 9.6154) * CHOOSE(CONTROL!$C$21, $C$9, 100%, $E$9)</f>
        <v>9.6153999999999993</v>
      </c>
      <c r="P215" s="14">
        <f>CHOOSE(CONTROL!$C$42, 9.5711, 9.5711) * CHOOSE(CONTROL!$C$21, $C$9, 100%, $E$9)</f>
        <v>9.5710999999999995</v>
      </c>
      <c r="Q215" s="14">
        <f>CHOOSE(CONTROL!$C$42, 10.2101, 10.2101) * CHOOSE(CONTROL!$C$21, $C$9, 100%, $E$9)</f>
        <v>10.210100000000001</v>
      </c>
      <c r="R215" s="14">
        <f>CHOOSE(CONTROL!$C$42, 10.8227, 10.8227) * CHOOSE(CONTROL!$C$21, $C$9, 100%, $E$9)</f>
        <v>10.822699999999999</v>
      </c>
      <c r="S215" s="14">
        <f>CHOOSE(CONTROL!$C$42, 9.3181, 9.3181) * CHOOSE(CONTROL!$C$21, $C$9, 100%, $E$9)</f>
        <v>9.3180999999999994</v>
      </c>
      <c r="T21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15" s="57">
        <f>(1000*CHOOSE(CONTROL!$C$42, 695, 695)*CHOOSE(CONTROL!$C$42, 0.5599, 0.5599)*CHOOSE(CONTROL!$C$42, 30, 30))/1000000</f>
        <v>11.673914999999997</v>
      </c>
      <c r="V215" s="57">
        <f>(1000*CHOOSE(CONTROL!$C$42, 500, 500)*CHOOSE(CONTROL!$C$42, 0.275, 0.275)*CHOOSE(CONTROL!$C$42, 30, 30))/1000000</f>
        <v>4.125</v>
      </c>
      <c r="W215" s="57">
        <f>(1000*CHOOSE(CONTROL!$C$42, 0.1146, 0.1146)*CHOOSE(CONTROL!$C$42, 121.5, 121.5)*CHOOSE(CONTROL!$C$42, 30, 30))/1000000</f>
        <v>0.417717</v>
      </c>
      <c r="X215" s="57">
        <f>(30*0.1790888*100000/1000000)+(30*0.2374*100000/1000000)</f>
        <v>1.2494664</v>
      </c>
      <c r="Y215" s="57"/>
      <c r="Z215" s="14"/>
      <c r="AA215" s="56"/>
      <c r="AB215" s="50">
        <f>(B215*122.58+C215*297.941+D215*89.177+E215*40.302+F215*40+G215*160+H215*0+I215*100+J215*300)/(122.58+297.941+89.177+40.302+0+40+160+100+300)</f>
        <v>9.7388838973913039</v>
      </c>
      <c r="AC215" s="45">
        <f>(M215*'RAP TEMPLATE-GAS AVAILABILITY'!O214+N215*'RAP TEMPLATE-GAS AVAILABILITY'!P214+O215*'RAP TEMPLATE-GAS AVAILABILITY'!Q214+P215*'RAP TEMPLATE-GAS AVAILABILITY'!R214)/('RAP TEMPLATE-GAS AVAILABILITY'!O214+'RAP TEMPLATE-GAS AVAILABILITY'!P214+'RAP TEMPLATE-GAS AVAILABILITY'!Q214+'RAP TEMPLATE-GAS AVAILABILITY'!R214)</f>
        <v>9.5810086330935249</v>
      </c>
    </row>
    <row r="216" spans="1:29" ht="15.75" x14ac:dyDescent="0.25">
      <c r="A216" s="13">
        <v>47453</v>
      </c>
      <c r="B216" s="14">
        <f>CHOOSE(CONTROL!$C$42, 10.3886, 10.3886) * CHOOSE(CONTROL!$C$21, $C$9, 100%, $E$9)</f>
        <v>10.3886</v>
      </c>
      <c r="C216" s="14">
        <f>CHOOSE(CONTROL!$C$42, 10.3936, 10.3936) * CHOOSE(CONTROL!$C$21, $C$9, 100%, $E$9)</f>
        <v>10.393599999999999</v>
      </c>
      <c r="D216" s="14">
        <f>CHOOSE(CONTROL!$C$42, 10.4679, 10.4679) * CHOOSE(CONTROL!$C$21, $C$9, 100%, $E$9)</f>
        <v>10.4679</v>
      </c>
      <c r="E216" s="14">
        <f>CHOOSE(CONTROL!$C$42, 10.502, 10.502) * CHOOSE(CONTROL!$C$21, $C$9, 100%, $E$9)</f>
        <v>10.502000000000001</v>
      </c>
      <c r="F216" s="14">
        <f>CHOOSE(CONTROL!$C$42, 10.427, 10.427)*CHOOSE(CONTROL!$C$21, $C$9, 100%, $E$9)</f>
        <v>10.427</v>
      </c>
      <c r="G216" s="14">
        <f>CHOOSE(CONTROL!$C$42, 10.4451, 10.4451)*CHOOSE(CONTROL!$C$21, $C$9, 100%, $E$9)</f>
        <v>10.4451</v>
      </c>
      <c r="H216" s="14">
        <f>CHOOSE(CONTROL!$C$42, 10.4912, 10.4912) * CHOOSE(CONTROL!$C$21, $C$9, 100%, $E$9)</f>
        <v>10.491199999999999</v>
      </c>
      <c r="I216" s="14">
        <f>CHOOSE(CONTROL!$C$42, 10.4486, 10.4486)* CHOOSE(CONTROL!$C$21, $C$9, 100%, $E$9)</f>
        <v>10.448600000000001</v>
      </c>
      <c r="J216" s="14">
        <f>CHOOSE(CONTROL!$C$42, 10.42, 10.42)* CHOOSE(CONTROL!$C$21, $C$9, 100%, $E$9)</f>
        <v>10.42</v>
      </c>
      <c r="K216" s="53">
        <f>CHOOSE(CONTROL!$C$42, 10.4447, 10.4447) * CHOOSE(CONTROL!$C$21, $C$9, 100%, $E$9)</f>
        <v>10.444699999999999</v>
      </c>
      <c r="L216" s="14">
        <f>CHOOSE(CONTROL!$C$42, 11.0782, 11.0782) * CHOOSE(CONTROL!$C$21, $C$9, 100%, $E$9)</f>
        <v>11.078200000000001</v>
      </c>
      <c r="M216" s="14">
        <f>CHOOSE(CONTROL!$C$42, 10.2142, 10.2142) * CHOOSE(CONTROL!$C$21, $C$9, 100%, $E$9)</f>
        <v>10.2142</v>
      </c>
      <c r="N216" s="14">
        <f>CHOOSE(CONTROL!$C$42, 10.232, 10.232) * CHOOSE(CONTROL!$C$21, $C$9, 100%, $E$9)</f>
        <v>10.231999999999999</v>
      </c>
      <c r="O216" s="14">
        <f>CHOOSE(CONTROL!$C$42, 10.2839, 10.2839) * CHOOSE(CONTROL!$C$21, $C$9, 100%, $E$9)</f>
        <v>10.283899999999999</v>
      </c>
      <c r="P216" s="14">
        <f>CHOOSE(CONTROL!$C$42, 10.2416, 10.2416) * CHOOSE(CONTROL!$C$21, $C$9, 100%, $E$9)</f>
        <v>10.2416</v>
      </c>
      <c r="Q216" s="14">
        <f>CHOOSE(CONTROL!$C$42, 10.8786, 10.8786) * CHOOSE(CONTROL!$C$21, $C$9, 100%, $E$9)</f>
        <v>10.8786</v>
      </c>
      <c r="R216" s="14">
        <f>CHOOSE(CONTROL!$C$42, 11.4928, 11.4928) * CHOOSE(CONTROL!$C$21, $C$9, 100%, $E$9)</f>
        <v>11.492800000000001</v>
      </c>
      <c r="S216" s="14">
        <f>CHOOSE(CONTROL!$C$42, 9.9738, 9.9738) * CHOOSE(CONTROL!$C$21, $C$9, 100%, $E$9)</f>
        <v>9.9738000000000007</v>
      </c>
      <c r="T21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16" s="57">
        <f>(1000*CHOOSE(CONTROL!$C$42, 695, 695)*CHOOSE(CONTROL!$C$42, 0.5599, 0.5599)*CHOOSE(CONTROL!$C$42, 31, 31))/1000000</f>
        <v>12.063045499999998</v>
      </c>
      <c r="V216" s="57">
        <f>(1000*CHOOSE(CONTROL!$C$42, 500, 500)*CHOOSE(CONTROL!$C$42, 0.275, 0.275)*CHOOSE(CONTROL!$C$42, 31, 31))/1000000</f>
        <v>4.2625000000000002</v>
      </c>
      <c r="W216" s="57">
        <f>(1000*CHOOSE(CONTROL!$C$42, 0.1146, 0.1146)*CHOOSE(CONTROL!$C$42, 121.5, 121.5)*CHOOSE(CONTROL!$C$42, 31, 31))/1000000</f>
        <v>0.43164089999999994</v>
      </c>
      <c r="X216" s="57">
        <f>(31*0.1790888*100000/1000000)+(31*0.2374*100000/1000000)</f>
        <v>1.2911152800000001</v>
      </c>
      <c r="Y216" s="57"/>
      <c r="Z216" s="14"/>
      <c r="AA216" s="56"/>
      <c r="AB216" s="50">
        <f>(B216*122.58+C216*297.941+D216*89.177+E216*40.302+F216*40+G216*160+H216*0+I216*100+J216*300)/(122.58+297.941+89.177+40.302+0+40+160+100+300)</f>
        <v>10.422624076434783</v>
      </c>
      <c r="AC216" s="45">
        <f>(M216*'RAP TEMPLATE-GAS AVAILABILITY'!O215+N216*'RAP TEMPLATE-GAS AVAILABILITY'!P215+O216*'RAP TEMPLATE-GAS AVAILABILITY'!Q215+P216*'RAP TEMPLATE-GAS AVAILABILITY'!R215)/('RAP TEMPLATE-GAS AVAILABILITY'!O215+'RAP TEMPLATE-GAS AVAILABILITY'!P215+'RAP TEMPLATE-GAS AVAILABILITY'!Q215+'RAP TEMPLATE-GAS AVAILABILITY'!R215)</f>
        <v>10.250757553956834</v>
      </c>
    </row>
    <row r="217" spans="1:29" ht="15.75" x14ac:dyDescent="0.25">
      <c r="A217" s="13">
        <v>47484</v>
      </c>
      <c r="B217" s="14">
        <f>CHOOSE(CONTROL!$C$42, 10.921, 10.921) * CHOOSE(CONTROL!$C$21, $C$9, 100%, $E$9)</f>
        <v>10.920999999999999</v>
      </c>
      <c r="C217" s="14">
        <f>CHOOSE(CONTROL!$C$42, 10.9261, 10.9261) * CHOOSE(CONTROL!$C$21, $C$9, 100%, $E$9)</f>
        <v>10.9261</v>
      </c>
      <c r="D217" s="14">
        <f>CHOOSE(CONTROL!$C$42, 11.0029, 11.0029) * CHOOSE(CONTROL!$C$21, $C$9, 100%, $E$9)</f>
        <v>11.0029</v>
      </c>
      <c r="E217" s="14">
        <f>CHOOSE(CONTROL!$C$42, 11.037, 11.037) * CHOOSE(CONTROL!$C$21, $C$9, 100%, $E$9)</f>
        <v>11.037000000000001</v>
      </c>
      <c r="F217" s="14">
        <f>CHOOSE(CONTROL!$C$42, 10.9458, 10.9458)*CHOOSE(CONTROL!$C$21, $C$9, 100%, $E$9)</f>
        <v>10.9458</v>
      </c>
      <c r="G217" s="14">
        <f>CHOOSE(CONTROL!$C$42, 10.9637, 10.9637)*CHOOSE(CONTROL!$C$21, $C$9, 100%, $E$9)</f>
        <v>10.963699999999999</v>
      </c>
      <c r="H217" s="14">
        <f>CHOOSE(CONTROL!$C$42, 11.0262, 11.0262) * CHOOSE(CONTROL!$C$21, $C$9, 100%, $E$9)</f>
        <v>11.026199999999999</v>
      </c>
      <c r="I217" s="14">
        <f>CHOOSE(CONTROL!$C$42, 10.9889, 10.9889)* CHOOSE(CONTROL!$C$21, $C$9, 100%, $E$9)</f>
        <v>10.988899999999999</v>
      </c>
      <c r="J217" s="14">
        <f>CHOOSE(CONTROL!$C$42, 10.9388, 10.9388)* CHOOSE(CONTROL!$C$21, $C$9, 100%, $E$9)</f>
        <v>10.938800000000001</v>
      </c>
      <c r="K217" s="53">
        <f>CHOOSE(CONTROL!$C$42, 10.9851, 10.9851) * CHOOSE(CONTROL!$C$21, $C$9, 100%, $E$9)</f>
        <v>10.985099999999999</v>
      </c>
      <c r="L217" s="14">
        <f>CHOOSE(CONTROL!$C$42, 11.6132, 11.6132) * CHOOSE(CONTROL!$C$21, $C$9, 100%, $E$9)</f>
        <v>11.613200000000001</v>
      </c>
      <c r="M217" s="14">
        <f>CHOOSE(CONTROL!$C$42, 10.7223, 10.7223) * CHOOSE(CONTROL!$C$21, $C$9, 100%, $E$9)</f>
        <v>10.722300000000001</v>
      </c>
      <c r="N217" s="14">
        <f>CHOOSE(CONTROL!$C$42, 10.7399, 10.7399) * CHOOSE(CONTROL!$C$21, $C$9, 100%, $E$9)</f>
        <v>10.7399</v>
      </c>
      <c r="O217" s="14">
        <f>CHOOSE(CONTROL!$C$42, 10.808, 10.808) * CHOOSE(CONTROL!$C$21, $C$9, 100%, $E$9)</f>
        <v>10.808</v>
      </c>
      <c r="P217" s="14">
        <f>CHOOSE(CONTROL!$C$42, 10.7709, 10.7709) * CHOOSE(CONTROL!$C$21, $C$9, 100%, $E$9)</f>
        <v>10.770899999999999</v>
      </c>
      <c r="Q217" s="14">
        <f>CHOOSE(CONTROL!$C$42, 11.4027, 11.4027) * CHOOSE(CONTROL!$C$21, $C$9, 100%, $E$9)</f>
        <v>11.402699999999999</v>
      </c>
      <c r="R217" s="14">
        <f>CHOOSE(CONTROL!$C$42, 12.0182, 12.0182) * CHOOSE(CONTROL!$C$21, $C$9, 100%, $E$9)</f>
        <v>12.0182</v>
      </c>
      <c r="S217" s="14">
        <f>CHOOSE(CONTROL!$C$42, 10.4855, 10.4855) * CHOOSE(CONTROL!$C$21, $C$9, 100%, $E$9)</f>
        <v>10.4855</v>
      </c>
      <c r="T21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17" s="57">
        <f>(1000*CHOOSE(CONTROL!$C$42, 695, 695)*CHOOSE(CONTROL!$C$42, 0.5599, 0.5599)*CHOOSE(CONTROL!$C$42, 31, 31))/1000000</f>
        <v>12.063045499999998</v>
      </c>
      <c r="V217" s="57">
        <f>(1000*CHOOSE(CONTROL!$C$42, 500, 500)*CHOOSE(CONTROL!$C$42, 0.275, 0.275)*CHOOSE(CONTROL!$C$42, 31, 31))/1000000</f>
        <v>4.2625000000000002</v>
      </c>
      <c r="W217" s="57">
        <f>(1000*CHOOSE(CONTROL!$C$42, 0.1146, 0.1146)*CHOOSE(CONTROL!$C$42, 121.5, 121.5)*CHOOSE(CONTROL!$C$42, 31, 31))/1000000</f>
        <v>0.43164089999999994</v>
      </c>
      <c r="X217" s="57">
        <f>(31*0.1790888*100000/1000000)+(31*0.2374*100000/1000000)</f>
        <v>1.2911152800000001</v>
      </c>
      <c r="Y217" s="57"/>
      <c r="Z217" s="14"/>
      <c r="AA217" s="56"/>
      <c r="AB217" s="50">
        <f>(B217*122.58+C217*297.941+D217*89.177+E217*40.302+F217*40+G217*160+H217*0+I217*100+J217*300)/(122.58+297.941+89.177+40.302+0+40+160+100+300)</f>
        <v>10.950088806434783</v>
      </c>
      <c r="AC217" s="45">
        <f>(M217*'RAP TEMPLATE-GAS AVAILABILITY'!O216+N217*'RAP TEMPLATE-GAS AVAILABILITY'!P216+O217*'RAP TEMPLATE-GAS AVAILABILITY'!Q216+P217*'RAP TEMPLATE-GAS AVAILABILITY'!R216)/('RAP TEMPLATE-GAS AVAILABILITY'!O216+'RAP TEMPLATE-GAS AVAILABILITY'!P216+'RAP TEMPLATE-GAS AVAILABILITY'!Q216+'RAP TEMPLATE-GAS AVAILABILITY'!R216)</f>
        <v>10.769148201438851</v>
      </c>
    </row>
    <row r="218" spans="1:29" ht="15.75" x14ac:dyDescent="0.25">
      <c r="A218" s="13">
        <v>47515</v>
      </c>
      <c r="B218" s="14">
        <f>CHOOSE(CONTROL!$C$42, 11.1381, 11.1381) * CHOOSE(CONTROL!$C$21, $C$9, 100%, $E$9)</f>
        <v>11.1381</v>
      </c>
      <c r="C218" s="14">
        <f>CHOOSE(CONTROL!$C$42, 11.1432, 11.1432) * CHOOSE(CONTROL!$C$21, $C$9, 100%, $E$9)</f>
        <v>11.1432</v>
      </c>
      <c r="D218" s="14">
        <f>CHOOSE(CONTROL!$C$42, 11.22, 11.22) * CHOOSE(CONTROL!$C$21, $C$9, 100%, $E$9)</f>
        <v>11.22</v>
      </c>
      <c r="E218" s="14">
        <f>CHOOSE(CONTROL!$C$42, 11.2541, 11.2541) * CHOOSE(CONTROL!$C$21, $C$9, 100%, $E$9)</f>
        <v>11.254099999999999</v>
      </c>
      <c r="F218" s="14">
        <f>CHOOSE(CONTROL!$C$42, 11.1625, 11.1625)*CHOOSE(CONTROL!$C$21, $C$9, 100%, $E$9)</f>
        <v>11.1625</v>
      </c>
      <c r="G218" s="14">
        <f>CHOOSE(CONTROL!$C$42, 11.1803, 11.1803)*CHOOSE(CONTROL!$C$21, $C$9, 100%, $E$9)</f>
        <v>11.180300000000001</v>
      </c>
      <c r="H218" s="14">
        <f>CHOOSE(CONTROL!$C$42, 11.2433, 11.2433) * CHOOSE(CONTROL!$C$21, $C$9, 100%, $E$9)</f>
        <v>11.2433</v>
      </c>
      <c r="I218" s="14">
        <f>CHOOSE(CONTROL!$C$42, 11.2067, 11.2067)* CHOOSE(CONTROL!$C$21, $C$9, 100%, $E$9)</f>
        <v>11.2067</v>
      </c>
      <c r="J218" s="14">
        <f>CHOOSE(CONTROL!$C$42, 11.1555, 11.1555)* CHOOSE(CONTROL!$C$21, $C$9, 100%, $E$9)</f>
        <v>11.1555</v>
      </c>
      <c r="K218" s="53">
        <f>CHOOSE(CONTROL!$C$42, 11.2029, 11.2029) * CHOOSE(CONTROL!$C$21, $C$9, 100%, $E$9)</f>
        <v>11.2029</v>
      </c>
      <c r="L218" s="14">
        <f>CHOOSE(CONTROL!$C$42, 11.8303, 11.8303) * CHOOSE(CONTROL!$C$21, $C$9, 100%, $E$9)</f>
        <v>11.830299999999999</v>
      </c>
      <c r="M218" s="14">
        <f>CHOOSE(CONTROL!$C$42, 10.9346, 10.9346) * CHOOSE(CONTROL!$C$21, $C$9, 100%, $E$9)</f>
        <v>10.9346</v>
      </c>
      <c r="N218" s="14">
        <f>CHOOSE(CONTROL!$C$42, 10.9521, 10.9521) * CHOOSE(CONTROL!$C$21, $C$9, 100%, $E$9)</f>
        <v>10.9521</v>
      </c>
      <c r="O218" s="14">
        <f>CHOOSE(CONTROL!$C$42, 11.0206, 11.0206) * CHOOSE(CONTROL!$C$21, $C$9, 100%, $E$9)</f>
        <v>11.0206</v>
      </c>
      <c r="P218" s="14">
        <f>CHOOSE(CONTROL!$C$42, 10.9842, 10.9842) * CHOOSE(CONTROL!$C$21, $C$9, 100%, $E$9)</f>
        <v>10.9842</v>
      </c>
      <c r="Q218" s="14">
        <f>CHOOSE(CONTROL!$C$42, 11.6153, 11.6153) * CHOOSE(CONTROL!$C$21, $C$9, 100%, $E$9)</f>
        <v>11.6153</v>
      </c>
      <c r="R218" s="14">
        <f>CHOOSE(CONTROL!$C$42, 12.2314, 12.2314) * CHOOSE(CONTROL!$C$21, $C$9, 100%, $E$9)</f>
        <v>12.231400000000001</v>
      </c>
      <c r="S218" s="14">
        <f>CHOOSE(CONTROL!$C$42, 10.6941, 10.6941) * CHOOSE(CONTROL!$C$21, $C$9, 100%, $E$9)</f>
        <v>10.694100000000001</v>
      </c>
      <c r="T21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18" s="57">
        <f>(1000*CHOOSE(CONTROL!$C$42, 695, 695)*CHOOSE(CONTROL!$C$42, 0.5599, 0.5599)*CHOOSE(CONTROL!$C$42, 28, 28))/1000000</f>
        <v>10.895653999999999</v>
      </c>
      <c r="V218" s="57">
        <f>(1000*CHOOSE(CONTROL!$C$42, 500, 500)*CHOOSE(CONTROL!$C$42, 0.275, 0.275)*CHOOSE(CONTROL!$C$42, 28, 28))/1000000</f>
        <v>3.85</v>
      </c>
      <c r="W218" s="57">
        <f>(1000*CHOOSE(CONTROL!$C$42, 0.1146, 0.1146)*CHOOSE(CONTROL!$C$42, 121.5, 121.5)*CHOOSE(CONTROL!$C$42, 28, 28))/1000000</f>
        <v>0.38986920000000003</v>
      </c>
      <c r="X218" s="57">
        <f>(28*0.1790888*100000/1000000)+(28*0.2374*100000/1000000)</f>
        <v>1.16616864</v>
      </c>
      <c r="Y218" s="57"/>
      <c r="Z218" s="14"/>
      <c r="AA218" s="56"/>
      <c r="AB218" s="50">
        <f>(B218*122.58+C218*297.941+D218*89.177+E218*40.302+F218*40+G218*160+H218*0+I218*100+J218*300)/(122.58+297.941+89.177+40.302+0+40+160+100+300)</f>
        <v>11.167061849913043</v>
      </c>
      <c r="AC218" s="45">
        <f>(M218*'RAP TEMPLATE-GAS AVAILABILITY'!O217+N218*'RAP TEMPLATE-GAS AVAILABILITY'!P217+O218*'RAP TEMPLATE-GAS AVAILABILITY'!Q217+P218*'RAP TEMPLATE-GAS AVAILABILITY'!R217)/('RAP TEMPLATE-GAS AVAILABILITY'!O217+'RAP TEMPLATE-GAS AVAILABILITY'!P217+'RAP TEMPLATE-GAS AVAILABILITY'!Q217+'RAP TEMPLATE-GAS AVAILABILITY'!R217)</f>
        <v>10.981722302158275</v>
      </c>
    </row>
    <row r="219" spans="1:29" ht="15.75" x14ac:dyDescent="0.25">
      <c r="A219" s="13">
        <v>47543</v>
      </c>
      <c r="B219" s="14">
        <f>CHOOSE(CONTROL!$C$42, 10.8445, 10.8445) * CHOOSE(CONTROL!$C$21, $C$9, 100%, $E$9)</f>
        <v>10.8445</v>
      </c>
      <c r="C219" s="14">
        <f>CHOOSE(CONTROL!$C$42, 10.8495, 10.8495) * CHOOSE(CONTROL!$C$21, $C$9, 100%, $E$9)</f>
        <v>10.849500000000001</v>
      </c>
      <c r="D219" s="14">
        <f>CHOOSE(CONTROL!$C$42, 10.9263, 10.9263) * CHOOSE(CONTROL!$C$21, $C$9, 100%, $E$9)</f>
        <v>10.926299999999999</v>
      </c>
      <c r="E219" s="14">
        <f>CHOOSE(CONTROL!$C$42, 10.9605, 10.9605) * CHOOSE(CONTROL!$C$21, $C$9, 100%, $E$9)</f>
        <v>10.9605</v>
      </c>
      <c r="F219" s="14">
        <f>CHOOSE(CONTROL!$C$42, 10.8679, 10.8679)*CHOOSE(CONTROL!$C$21, $C$9, 100%, $E$9)</f>
        <v>10.867900000000001</v>
      </c>
      <c r="G219" s="14">
        <f>CHOOSE(CONTROL!$C$42, 10.8856, 10.8856)*CHOOSE(CONTROL!$C$21, $C$9, 100%, $E$9)</f>
        <v>10.8856</v>
      </c>
      <c r="H219" s="14">
        <f>CHOOSE(CONTROL!$C$42, 10.9497, 10.9497) * CHOOSE(CONTROL!$C$21, $C$9, 100%, $E$9)</f>
        <v>10.9497</v>
      </c>
      <c r="I219" s="14">
        <f>CHOOSE(CONTROL!$C$42, 10.9121, 10.9121)* CHOOSE(CONTROL!$C$21, $C$9, 100%, $E$9)</f>
        <v>10.912100000000001</v>
      </c>
      <c r="J219" s="14">
        <f>CHOOSE(CONTROL!$C$42, 10.8609, 10.8609)* CHOOSE(CONTROL!$C$21, $C$9, 100%, $E$9)</f>
        <v>10.860900000000001</v>
      </c>
      <c r="K219" s="53">
        <f>CHOOSE(CONTROL!$C$42, 10.9083, 10.9083) * CHOOSE(CONTROL!$C$21, $C$9, 100%, $E$9)</f>
        <v>10.908300000000001</v>
      </c>
      <c r="L219" s="14">
        <f>CHOOSE(CONTROL!$C$42, 11.5367, 11.5367) * CHOOSE(CONTROL!$C$21, $C$9, 100%, $E$9)</f>
        <v>11.5367</v>
      </c>
      <c r="M219" s="14">
        <f>CHOOSE(CONTROL!$C$42, 10.6461, 10.6461) * CHOOSE(CONTROL!$C$21, $C$9, 100%, $E$9)</f>
        <v>10.646100000000001</v>
      </c>
      <c r="N219" s="14">
        <f>CHOOSE(CONTROL!$C$42, 10.6634, 10.6634) * CHOOSE(CONTROL!$C$21, $C$9, 100%, $E$9)</f>
        <v>10.663399999999999</v>
      </c>
      <c r="O219" s="14">
        <f>CHOOSE(CONTROL!$C$42, 10.733, 10.733) * CHOOSE(CONTROL!$C$21, $C$9, 100%, $E$9)</f>
        <v>10.733000000000001</v>
      </c>
      <c r="P219" s="14">
        <f>CHOOSE(CONTROL!$C$42, 10.6957, 10.6957) * CHOOSE(CONTROL!$C$21, $C$9, 100%, $E$9)</f>
        <v>10.6957</v>
      </c>
      <c r="Q219" s="14">
        <f>CHOOSE(CONTROL!$C$42, 11.3277, 11.3277) * CHOOSE(CONTROL!$C$21, $C$9, 100%, $E$9)</f>
        <v>11.3277</v>
      </c>
      <c r="R219" s="14">
        <f>CHOOSE(CONTROL!$C$42, 11.943, 11.943) * CHOOSE(CONTROL!$C$21, $C$9, 100%, $E$9)</f>
        <v>11.943</v>
      </c>
      <c r="S219" s="14">
        <f>CHOOSE(CONTROL!$C$42, 10.4119, 10.4119) * CHOOSE(CONTROL!$C$21, $C$9, 100%, $E$9)</f>
        <v>10.411899999999999</v>
      </c>
      <c r="T21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19" s="57">
        <f>(1000*CHOOSE(CONTROL!$C$42, 695, 695)*CHOOSE(CONTROL!$C$42, 0.5599, 0.5599)*CHOOSE(CONTROL!$C$42, 31, 31))/1000000</f>
        <v>12.063045499999998</v>
      </c>
      <c r="V219" s="57">
        <f>(1000*CHOOSE(CONTROL!$C$42, 500, 500)*CHOOSE(CONTROL!$C$42, 0.275, 0.275)*CHOOSE(CONTROL!$C$42, 31, 31))/1000000</f>
        <v>4.2625000000000002</v>
      </c>
      <c r="W219" s="57">
        <f>(1000*CHOOSE(CONTROL!$C$42, 0.1146, 0.1146)*CHOOSE(CONTROL!$C$42, 121.5, 121.5)*CHOOSE(CONTROL!$C$42, 31, 31))/1000000</f>
        <v>0.43164089999999994</v>
      </c>
      <c r="X219" s="57">
        <f>(31*0.1790888*100000/1000000)+(31*0.2374*100000/1000000)</f>
        <v>1.2911152800000001</v>
      </c>
      <c r="Y219" s="57"/>
      <c r="Z219" s="14"/>
      <c r="AA219" s="56"/>
      <c r="AB219" s="50">
        <f>(B219*122.58+C219*297.941+D219*89.177+E219*40.302+F219*40+G219*160+H219*0+I219*100+J219*300)/(122.58+297.941+89.177+40.302+0+40+160+100+300)</f>
        <v>10.872892535304349</v>
      </c>
      <c r="AC219" s="45">
        <f>(M219*'RAP TEMPLATE-GAS AVAILABILITY'!O218+N219*'RAP TEMPLATE-GAS AVAILABILITY'!P218+O219*'RAP TEMPLATE-GAS AVAILABILITY'!Q218+P219*'RAP TEMPLATE-GAS AVAILABILITY'!R218)/('RAP TEMPLATE-GAS AVAILABILITY'!O218+'RAP TEMPLATE-GAS AVAILABILITY'!P218+'RAP TEMPLATE-GAS AVAILABILITY'!Q218+'RAP TEMPLATE-GAS AVAILABILITY'!R218)</f>
        <v>10.693618705035972</v>
      </c>
    </row>
    <row r="220" spans="1:29" ht="15.75" x14ac:dyDescent="0.25">
      <c r="A220" s="13">
        <v>47574</v>
      </c>
      <c r="B220" s="14">
        <f>CHOOSE(CONTROL!$C$42, 10.8353, 10.8353) * CHOOSE(CONTROL!$C$21, $C$9, 100%, $E$9)</f>
        <v>10.8353</v>
      </c>
      <c r="C220" s="14">
        <f>CHOOSE(CONTROL!$C$42, 10.8398, 10.8398) * CHOOSE(CONTROL!$C$21, $C$9, 100%, $E$9)</f>
        <v>10.8398</v>
      </c>
      <c r="D220" s="14">
        <f>CHOOSE(CONTROL!$C$42, 11.0635, 11.0635) * CHOOSE(CONTROL!$C$21, $C$9, 100%, $E$9)</f>
        <v>11.063499999999999</v>
      </c>
      <c r="E220" s="14">
        <f>CHOOSE(CONTROL!$C$42, 11.0956, 11.0956) * CHOOSE(CONTROL!$C$21, $C$9, 100%, $E$9)</f>
        <v>11.095599999999999</v>
      </c>
      <c r="F220" s="14">
        <f>CHOOSE(CONTROL!$C$42, 10.863, 10.863)*CHOOSE(CONTROL!$C$21, $C$9, 100%, $E$9)</f>
        <v>10.863</v>
      </c>
      <c r="G220" s="14">
        <f>CHOOSE(CONTROL!$C$42, 10.8799, 10.8799)*CHOOSE(CONTROL!$C$21, $C$9, 100%, $E$9)</f>
        <v>10.879899999999999</v>
      </c>
      <c r="H220" s="14">
        <f>CHOOSE(CONTROL!$C$42, 11.0854, 11.0854) * CHOOSE(CONTROL!$C$21, $C$9, 100%, $E$9)</f>
        <v>11.0854</v>
      </c>
      <c r="I220" s="14">
        <f>CHOOSE(CONTROL!$C$42, 10.8985, 10.8985)* CHOOSE(CONTROL!$C$21, $C$9, 100%, $E$9)</f>
        <v>10.8985</v>
      </c>
      <c r="J220" s="14">
        <f>CHOOSE(CONTROL!$C$42, 10.856, 10.856)* CHOOSE(CONTROL!$C$21, $C$9, 100%, $E$9)</f>
        <v>10.856</v>
      </c>
      <c r="K220" s="53">
        <f>CHOOSE(CONTROL!$C$42, 10.8946, 10.8946) * CHOOSE(CONTROL!$C$21, $C$9, 100%, $E$9)</f>
        <v>10.894600000000001</v>
      </c>
      <c r="L220" s="14">
        <f>CHOOSE(CONTROL!$C$42, 11.6724, 11.6724) * CHOOSE(CONTROL!$C$21, $C$9, 100%, $E$9)</f>
        <v>11.6724</v>
      </c>
      <c r="M220" s="14">
        <f>CHOOSE(CONTROL!$C$42, 10.6412, 10.6412) * CHOOSE(CONTROL!$C$21, $C$9, 100%, $E$9)</f>
        <v>10.6412</v>
      </c>
      <c r="N220" s="14">
        <f>CHOOSE(CONTROL!$C$42, 10.6578, 10.6578) * CHOOSE(CONTROL!$C$21, $C$9, 100%, $E$9)</f>
        <v>10.6578</v>
      </c>
      <c r="O220" s="14">
        <f>CHOOSE(CONTROL!$C$42, 10.8659, 10.8659) * CHOOSE(CONTROL!$C$21, $C$9, 100%, $E$9)</f>
        <v>10.8659</v>
      </c>
      <c r="P220" s="14">
        <f>CHOOSE(CONTROL!$C$42, 10.6823, 10.6823) * CHOOSE(CONTROL!$C$21, $C$9, 100%, $E$9)</f>
        <v>10.6823</v>
      </c>
      <c r="Q220" s="14">
        <f>CHOOSE(CONTROL!$C$42, 11.4606, 11.4606) * CHOOSE(CONTROL!$C$21, $C$9, 100%, $E$9)</f>
        <v>11.460599999999999</v>
      </c>
      <c r="R220" s="14">
        <f>CHOOSE(CONTROL!$C$42, 12.0763, 12.0763) * CHOOSE(CONTROL!$C$21, $C$9, 100%, $E$9)</f>
        <v>12.0763</v>
      </c>
      <c r="S220" s="14">
        <f>CHOOSE(CONTROL!$C$42, 10.4023, 10.4023) * CHOOSE(CONTROL!$C$21, $C$9, 100%, $E$9)</f>
        <v>10.4023</v>
      </c>
      <c r="T22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20" s="57">
        <f>(1000*CHOOSE(CONTROL!$C$42, 695, 695)*CHOOSE(CONTROL!$C$42, 0.5599, 0.5599)*CHOOSE(CONTROL!$C$42, 30, 30))/1000000</f>
        <v>11.673914999999997</v>
      </c>
      <c r="V220" s="57">
        <f>(1000*CHOOSE(CONTROL!$C$42, 500, 500)*CHOOSE(CONTROL!$C$42, 0.275, 0.275)*CHOOSE(CONTROL!$C$42, 30, 30))/1000000</f>
        <v>4.125</v>
      </c>
      <c r="W220" s="57">
        <f>(1000*CHOOSE(CONTROL!$C$42, 0.1146, 0.1146)*CHOOSE(CONTROL!$C$42, 121.5, 121.5)*CHOOSE(CONTROL!$C$42, 30, 30))/1000000</f>
        <v>0.417717</v>
      </c>
      <c r="X220" s="57">
        <f>(30*0.1790888*245000/1000000)+(30*0.2374*100000/1000000)</f>
        <v>2.0285026799999999</v>
      </c>
      <c r="Y220" s="57"/>
      <c r="Z220" s="14"/>
      <c r="AA220" s="56"/>
      <c r="AB220" s="50">
        <f>(B220*141.293+C220*267.993+D220*115.016+E220*89.698+F220*40+G220*185+H220*0+I220*100+J220*300)/(141.293+267.993+115.016+89.698+0+40+185+100+300)</f>
        <v>10.893968288216303</v>
      </c>
      <c r="AC220" s="45">
        <f>(M220*'RAP TEMPLATE-GAS AVAILABILITY'!O219+N220*'RAP TEMPLATE-GAS AVAILABILITY'!P219+O220*'RAP TEMPLATE-GAS AVAILABILITY'!Q219+P220*'RAP TEMPLATE-GAS AVAILABILITY'!R219)/('RAP TEMPLATE-GAS AVAILABILITY'!O219+'RAP TEMPLATE-GAS AVAILABILITY'!P219+'RAP TEMPLATE-GAS AVAILABILITY'!Q219+'RAP TEMPLATE-GAS AVAILABILITY'!R219)</f>
        <v>10.713980575539569</v>
      </c>
    </row>
    <row r="221" spans="1:29" ht="15.75" x14ac:dyDescent="0.25">
      <c r="A221" s="13">
        <v>47604</v>
      </c>
      <c r="B221" s="14">
        <f>CHOOSE(CONTROL!$C$42, 10.9547, 10.9547) * CHOOSE(CONTROL!$C$21, $C$9, 100%, $E$9)</f>
        <v>10.954700000000001</v>
      </c>
      <c r="C221" s="14">
        <f>CHOOSE(CONTROL!$C$42, 10.9627, 10.9627) * CHOOSE(CONTROL!$C$21, $C$9, 100%, $E$9)</f>
        <v>10.9627</v>
      </c>
      <c r="D221" s="14">
        <f>CHOOSE(CONTROL!$C$42, 11.1833, 11.1833) * CHOOSE(CONTROL!$C$21, $C$9, 100%, $E$9)</f>
        <v>11.183299999999999</v>
      </c>
      <c r="E221" s="14">
        <f>CHOOSE(CONTROL!$C$42, 11.2148, 11.2148) * CHOOSE(CONTROL!$C$21, $C$9, 100%, $E$9)</f>
        <v>11.2148</v>
      </c>
      <c r="F221" s="14">
        <f>CHOOSE(CONTROL!$C$42, 10.981, 10.981)*CHOOSE(CONTROL!$C$21, $C$9, 100%, $E$9)</f>
        <v>10.981</v>
      </c>
      <c r="G221" s="14">
        <f>CHOOSE(CONTROL!$C$42, 10.9981, 10.9981)*CHOOSE(CONTROL!$C$21, $C$9, 100%, $E$9)</f>
        <v>10.998100000000001</v>
      </c>
      <c r="H221" s="14">
        <f>CHOOSE(CONTROL!$C$42, 11.2034, 11.2034) * CHOOSE(CONTROL!$C$21, $C$9, 100%, $E$9)</f>
        <v>11.2034</v>
      </c>
      <c r="I221" s="14">
        <f>CHOOSE(CONTROL!$C$42, 11.0169, 11.0169)* CHOOSE(CONTROL!$C$21, $C$9, 100%, $E$9)</f>
        <v>11.0169</v>
      </c>
      <c r="J221" s="14">
        <f>CHOOSE(CONTROL!$C$42, 10.974, 10.974)* CHOOSE(CONTROL!$C$21, $C$9, 100%, $E$9)</f>
        <v>10.974</v>
      </c>
      <c r="K221" s="53">
        <f>CHOOSE(CONTROL!$C$42, 11.013, 11.013) * CHOOSE(CONTROL!$C$21, $C$9, 100%, $E$9)</f>
        <v>11.013</v>
      </c>
      <c r="L221" s="14">
        <f>CHOOSE(CONTROL!$C$42, 11.7904, 11.7904) * CHOOSE(CONTROL!$C$21, $C$9, 100%, $E$9)</f>
        <v>11.7904</v>
      </c>
      <c r="M221" s="14">
        <f>CHOOSE(CONTROL!$C$42, 10.7568, 10.7568) * CHOOSE(CONTROL!$C$21, $C$9, 100%, $E$9)</f>
        <v>10.7568</v>
      </c>
      <c r="N221" s="14">
        <f>CHOOSE(CONTROL!$C$42, 10.7736, 10.7736) * CHOOSE(CONTROL!$C$21, $C$9, 100%, $E$9)</f>
        <v>10.7736</v>
      </c>
      <c r="O221" s="14">
        <f>CHOOSE(CONTROL!$C$42, 10.9816, 10.9816) * CHOOSE(CONTROL!$C$21, $C$9, 100%, $E$9)</f>
        <v>10.9816</v>
      </c>
      <c r="P221" s="14">
        <f>CHOOSE(CONTROL!$C$42, 10.7983, 10.7983) * CHOOSE(CONTROL!$C$21, $C$9, 100%, $E$9)</f>
        <v>10.798299999999999</v>
      </c>
      <c r="Q221" s="14">
        <f>CHOOSE(CONTROL!$C$42, 11.5763, 11.5763) * CHOOSE(CONTROL!$C$21, $C$9, 100%, $E$9)</f>
        <v>11.5763</v>
      </c>
      <c r="R221" s="14">
        <f>CHOOSE(CONTROL!$C$42, 12.1922, 12.1922) * CHOOSE(CONTROL!$C$21, $C$9, 100%, $E$9)</f>
        <v>12.1922</v>
      </c>
      <c r="S221" s="14">
        <f>CHOOSE(CONTROL!$C$42, 10.5158, 10.5158) * CHOOSE(CONTROL!$C$21, $C$9, 100%, $E$9)</f>
        <v>10.5158</v>
      </c>
      <c r="T22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21" s="57">
        <f>(1000*CHOOSE(CONTROL!$C$42, 695, 695)*CHOOSE(CONTROL!$C$42, 0.5599, 0.5599)*CHOOSE(CONTROL!$C$42, 31, 31))/1000000</f>
        <v>12.063045499999998</v>
      </c>
      <c r="V221" s="57">
        <f>(1000*CHOOSE(CONTROL!$C$42, 500, 500)*CHOOSE(CONTROL!$C$42, 0.275, 0.275)*CHOOSE(CONTROL!$C$42, 31, 31))/1000000</f>
        <v>4.2625000000000002</v>
      </c>
      <c r="W221" s="57">
        <f>(1000*CHOOSE(CONTROL!$C$42, 0.1146, 0.1146)*CHOOSE(CONTROL!$C$42, 121.5, 121.5)*CHOOSE(CONTROL!$C$42, 31, 31))/1000000</f>
        <v>0.43164089999999994</v>
      </c>
      <c r="X221" s="57">
        <f>(31*0.1790888*245000/1000000)+(31*0.2374*100000/1000000)</f>
        <v>2.0961194359999999</v>
      </c>
      <c r="Y221" s="57"/>
      <c r="Z221" s="14"/>
      <c r="AA221" s="56"/>
      <c r="AB221" s="50">
        <f>(B221*194.205+C221*267.466+D221*133.845+E221*53.484+F221*40+G221*185+H221*0+I221*100+J221*300)/(194.205+267.466+133.845+53.484+0+40+185+100+300)</f>
        <v>11.007870238147568</v>
      </c>
      <c r="AC221" s="45">
        <f>(M221*'RAP TEMPLATE-GAS AVAILABILITY'!O220+N221*'RAP TEMPLATE-GAS AVAILABILITY'!P220+O221*'RAP TEMPLATE-GAS AVAILABILITY'!Q220+P221*'RAP TEMPLATE-GAS AVAILABILITY'!R220)/('RAP TEMPLATE-GAS AVAILABILITY'!O220+'RAP TEMPLATE-GAS AVAILABILITY'!P220+'RAP TEMPLATE-GAS AVAILABILITY'!Q220+'RAP TEMPLATE-GAS AVAILABILITY'!R220)</f>
        <v>10.829712230215828</v>
      </c>
    </row>
    <row r="222" spans="1:29" ht="15.75" x14ac:dyDescent="0.25">
      <c r="A222" s="13">
        <v>47635</v>
      </c>
      <c r="B222" s="14">
        <f>CHOOSE(CONTROL!$C$42, 11.2883, 11.2883) * CHOOSE(CONTROL!$C$21, $C$9, 100%, $E$9)</f>
        <v>11.2883</v>
      </c>
      <c r="C222" s="14">
        <f>CHOOSE(CONTROL!$C$42, 11.2963, 11.2963) * CHOOSE(CONTROL!$C$21, $C$9, 100%, $E$9)</f>
        <v>11.2963</v>
      </c>
      <c r="D222" s="14">
        <f>CHOOSE(CONTROL!$C$42, 11.5169, 11.5169) * CHOOSE(CONTROL!$C$21, $C$9, 100%, $E$9)</f>
        <v>11.5169</v>
      </c>
      <c r="E222" s="14">
        <f>CHOOSE(CONTROL!$C$42, 11.5484, 11.5484) * CHOOSE(CONTROL!$C$21, $C$9, 100%, $E$9)</f>
        <v>11.548400000000001</v>
      </c>
      <c r="F222" s="14">
        <f>CHOOSE(CONTROL!$C$42, 11.3149, 11.3149)*CHOOSE(CONTROL!$C$21, $C$9, 100%, $E$9)</f>
        <v>11.3149</v>
      </c>
      <c r="G222" s="14">
        <f>CHOOSE(CONTROL!$C$42, 11.3321, 11.3321)*CHOOSE(CONTROL!$C$21, $C$9, 100%, $E$9)</f>
        <v>11.332100000000001</v>
      </c>
      <c r="H222" s="14">
        <f>CHOOSE(CONTROL!$C$42, 11.537, 11.537) * CHOOSE(CONTROL!$C$21, $C$9, 100%, $E$9)</f>
        <v>11.537000000000001</v>
      </c>
      <c r="I222" s="14">
        <f>CHOOSE(CONTROL!$C$42, 11.3515, 11.3515)* CHOOSE(CONTROL!$C$21, $C$9, 100%, $E$9)</f>
        <v>11.3515</v>
      </c>
      <c r="J222" s="14">
        <f>CHOOSE(CONTROL!$C$42, 11.3079, 11.3079)* CHOOSE(CONTROL!$C$21, $C$9, 100%, $E$9)</f>
        <v>11.3079</v>
      </c>
      <c r="K222" s="53">
        <f>CHOOSE(CONTROL!$C$42, 11.3476, 11.3476) * CHOOSE(CONTROL!$C$21, $C$9, 100%, $E$9)</f>
        <v>11.3476</v>
      </c>
      <c r="L222" s="14">
        <f>CHOOSE(CONTROL!$C$42, 12.124, 12.124) * CHOOSE(CONTROL!$C$21, $C$9, 100%, $E$9)</f>
        <v>12.124000000000001</v>
      </c>
      <c r="M222" s="14">
        <f>CHOOSE(CONTROL!$C$42, 11.0839, 11.0839) * CHOOSE(CONTROL!$C$21, $C$9, 100%, $E$9)</f>
        <v>11.0839</v>
      </c>
      <c r="N222" s="14">
        <f>CHOOSE(CONTROL!$C$42, 11.1008, 11.1008) * CHOOSE(CONTROL!$C$21, $C$9, 100%, $E$9)</f>
        <v>11.1008</v>
      </c>
      <c r="O222" s="14">
        <f>CHOOSE(CONTROL!$C$42, 11.3083, 11.3083) * CHOOSE(CONTROL!$C$21, $C$9, 100%, $E$9)</f>
        <v>11.308299999999999</v>
      </c>
      <c r="P222" s="14">
        <f>CHOOSE(CONTROL!$C$42, 11.126, 11.126) * CHOOSE(CONTROL!$C$21, $C$9, 100%, $E$9)</f>
        <v>11.125999999999999</v>
      </c>
      <c r="Q222" s="14">
        <f>CHOOSE(CONTROL!$C$42, 11.903, 11.903) * CHOOSE(CONTROL!$C$21, $C$9, 100%, $E$9)</f>
        <v>11.903</v>
      </c>
      <c r="R222" s="14">
        <f>CHOOSE(CONTROL!$C$42, 12.5198, 12.5198) * CHOOSE(CONTROL!$C$21, $C$9, 100%, $E$9)</f>
        <v>12.5198</v>
      </c>
      <c r="S222" s="14">
        <f>CHOOSE(CONTROL!$C$42, 10.8363, 10.8363) * CHOOSE(CONTROL!$C$21, $C$9, 100%, $E$9)</f>
        <v>10.8363</v>
      </c>
      <c r="T22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22" s="57">
        <f>(1000*CHOOSE(CONTROL!$C$42, 695, 695)*CHOOSE(CONTROL!$C$42, 0.5599, 0.5599)*CHOOSE(CONTROL!$C$42, 30, 30))/1000000</f>
        <v>11.673914999999997</v>
      </c>
      <c r="V222" s="57">
        <f>(1000*CHOOSE(CONTROL!$C$42, 500, 500)*CHOOSE(CONTROL!$C$42, 0.275, 0.275)*CHOOSE(CONTROL!$C$42, 30, 30))/1000000</f>
        <v>4.125</v>
      </c>
      <c r="W222" s="57">
        <f>(1000*CHOOSE(CONTROL!$C$42, 0.1146, 0.1146)*CHOOSE(CONTROL!$C$42, 121.5, 121.5)*CHOOSE(CONTROL!$C$42, 30, 30))/1000000</f>
        <v>0.417717</v>
      </c>
      <c r="X222" s="57">
        <f>(30*0.1790888*245000/1000000)+(30*0.2374*100000/1000000)</f>
        <v>2.0285026799999999</v>
      </c>
      <c r="Y222" s="57"/>
      <c r="Z222" s="14"/>
      <c r="AA222" s="56"/>
      <c r="AB222" s="50">
        <f>(B222*194.205+C222*267.466+D222*133.845+E222*53.484+F222*40+G222*185+H222*0+I222*100+J222*300)/(194.205+267.466+133.845+53.484+0+40+185+100+300)</f>
        <v>11.341686878649922</v>
      </c>
      <c r="AC222" s="45">
        <f>(M222*'RAP TEMPLATE-GAS AVAILABILITY'!O221+N222*'RAP TEMPLATE-GAS AVAILABILITY'!P221+O222*'RAP TEMPLATE-GAS AVAILABILITY'!Q221+P222*'RAP TEMPLATE-GAS AVAILABILITY'!R221)/('RAP TEMPLATE-GAS AVAILABILITY'!O221+'RAP TEMPLATE-GAS AVAILABILITY'!P221+'RAP TEMPLATE-GAS AVAILABILITY'!Q221+'RAP TEMPLATE-GAS AVAILABILITY'!R221)</f>
        <v>11.156809352517985</v>
      </c>
    </row>
    <row r="223" spans="1:29" ht="15.75" x14ac:dyDescent="0.25">
      <c r="A223" s="13">
        <v>47665</v>
      </c>
      <c r="B223" s="14">
        <f>CHOOSE(CONTROL!$C$42, 11.0947, 11.0947) * CHOOSE(CONTROL!$C$21, $C$9, 100%, $E$9)</f>
        <v>11.0947</v>
      </c>
      <c r="C223" s="14">
        <f>CHOOSE(CONTROL!$C$42, 11.1028, 11.1028) * CHOOSE(CONTROL!$C$21, $C$9, 100%, $E$9)</f>
        <v>11.1028</v>
      </c>
      <c r="D223" s="14">
        <f>CHOOSE(CONTROL!$C$42, 11.3234, 11.3234) * CHOOSE(CONTROL!$C$21, $C$9, 100%, $E$9)</f>
        <v>11.323399999999999</v>
      </c>
      <c r="E223" s="14">
        <f>CHOOSE(CONTROL!$C$42, 11.3548, 11.3548) * CHOOSE(CONTROL!$C$21, $C$9, 100%, $E$9)</f>
        <v>11.354799999999999</v>
      </c>
      <c r="F223" s="14">
        <f>CHOOSE(CONTROL!$C$42, 11.1218, 11.1218)*CHOOSE(CONTROL!$C$21, $C$9, 100%, $E$9)</f>
        <v>11.1218</v>
      </c>
      <c r="G223" s="14">
        <f>CHOOSE(CONTROL!$C$42, 11.1391, 11.1391)*CHOOSE(CONTROL!$C$21, $C$9, 100%, $E$9)</f>
        <v>11.139099999999999</v>
      </c>
      <c r="H223" s="14">
        <f>CHOOSE(CONTROL!$C$42, 11.3435, 11.3435) * CHOOSE(CONTROL!$C$21, $C$9, 100%, $E$9)</f>
        <v>11.343500000000001</v>
      </c>
      <c r="I223" s="14">
        <f>CHOOSE(CONTROL!$C$42, 11.1574, 11.1574)* CHOOSE(CONTROL!$C$21, $C$9, 100%, $E$9)</f>
        <v>11.157400000000001</v>
      </c>
      <c r="J223" s="14">
        <f>CHOOSE(CONTROL!$C$42, 11.1148, 11.1148)* CHOOSE(CONTROL!$C$21, $C$9, 100%, $E$9)</f>
        <v>11.114800000000001</v>
      </c>
      <c r="K223" s="53">
        <f>CHOOSE(CONTROL!$C$42, 11.1535, 11.1535) * CHOOSE(CONTROL!$C$21, $C$9, 100%, $E$9)</f>
        <v>11.153499999999999</v>
      </c>
      <c r="L223" s="14">
        <f>CHOOSE(CONTROL!$C$42, 11.9305, 11.9305) * CHOOSE(CONTROL!$C$21, $C$9, 100%, $E$9)</f>
        <v>11.9305</v>
      </c>
      <c r="M223" s="14">
        <f>CHOOSE(CONTROL!$C$42, 10.8948, 10.8948) * CHOOSE(CONTROL!$C$21, $C$9, 100%, $E$9)</f>
        <v>10.8948</v>
      </c>
      <c r="N223" s="14">
        <f>CHOOSE(CONTROL!$C$42, 10.9117, 10.9117) * CHOOSE(CONTROL!$C$21, $C$9, 100%, $E$9)</f>
        <v>10.9117</v>
      </c>
      <c r="O223" s="14">
        <f>CHOOSE(CONTROL!$C$42, 11.1187, 11.1187) * CHOOSE(CONTROL!$C$21, $C$9, 100%, $E$9)</f>
        <v>11.1187</v>
      </c>
      <c r="P223" s="14">
        <f>CHOOSE(CONTROL!$C$42, 10.9358, 10.9358) * CHOOSE(CONTROL!$C$21, $C$9, 100%, $E$9)</f>
        <v>10.9358</v>
      </c>
      <c r="Q223" s="14">
        <f>CHOOSE(CONTROL!$C$42, 11.7134, 11.7134) * CHOOSE(CONTROL!$C$21, $C$9, 100%, $E$9)</f>
        <v>11.7134</v>
      </c>
      <c r="R223" s="14">
        <f>CHOOSE(CONTROL!$C$42, 12.3297, 12.3297) * CHOOSE(CONTROL!$C$21, $C$9, 100%, $E$9)</f>
        <v>12.329700000000001</v>
      </c>
      <c r="S223" s="14">
        <f>CHOOSE(CONTROL!$C$42, 10.6503, 10.6503) * CHOOSE(CONTROL!$C$21, $C$9, 100%, $E$9)</f>
        <v>10.6503</v>
      </c>
      <c r="T22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23" s="57">
        <f>(1000*CHOOSE(CONTROL!$C$42, 695, 695)*CHOOSE(CONTROL!$C$42, 0.5599, 0.5599)*CHOOSE(CONTROL!$C$42, 31, 31))/1000000</f>
        <v>12.063045499999998</v>
      </c>
      <c r="V223" s="57">
        <f>(1000*CHOOSE(CONTROL!$C$42, 500, 500)*CHOOSE(CONTROL!$C$42, 0.275, 0.275)*CHOOSE(CONTROL!$C$42, 31, 31))/1000000</f>
        <v>4.2625000000000002</v>
      </c>
      <c r="W223" s="57">
        <f>(1000*CHOOSE(CONTROL!$C$42, 0.1146, 0.1146)*CHOOSE(CONTROL!$C$42, 121.5, 121.5)*CHOOSE(CONTROL!$C$42, 31, 31))/1000000</f>
        <v>0.43164089999999994</v>
      </c>
      <c r="X223" s="57">
        <f>(31*0.1790888*245000/1000000)+(31*0.2374*100000/1000000)</f>
        <v>2.0961194359999999</v>
      </c>
      <c r="Y223" s="57"/>
      <c r="Z223" s="14"/>
      <c r="AA223" s="56"/>
      <c r="AB223" s="50">
        <f>(B223*194.205+C223*267.466+D223*133.845+E223*53.484+F223*40+G223*185+H223*0+I223*100+J223*300)/(194.205+267.466+133.845+53.484+0+40+185+100+300)</f>
        <v>11.148299697409733</v>
      </c>
      <c r="AC223" s="45">
        <f>(M223*'RAP TEMPLATE-GAS AVAILABILITY'!O222+N223*'RAP TEMPLATE-GAS AVAILABILITY'!P222+O223*'RAP TEMPLATE-GAS AVAILABILITY'!Q222+P223*'RAP TEMPLATE-GAS AVAILABILITY'!R222)/('RAP TEMPLATE-GAS AVAILABILITY'!O222+'RAP TEMPLATE-GAS AVAILABILITY'!P222+'RAP TEMPLATE-GAS AVAILABILITY'!Q222+'RAP TEMPLATE-GAS AVAILABILITY'!R222)</f>
        <v>10.967410791366907</v>
      </c>
    </row>
    <row r="224" spans="1:29" ht="15.75" x14ac:dyDescent="0.25">
      <c r="A224" s="13">
        <v>47696</v>
      </c>
      <c r="B224" s="14">
        <f>CHOOSE(CONTROL!$C$42, 10.5473, 10.5473) * CHOOSE(CONTROL!$C$21, $C$9, 100%, $E$9)</f>
        <v>10.5473</v>
      </c>
      <c r="C224" s="14">
        <f>CHOOSE(CONTROL!$C$42, 10.5553, 10.5553) * CHOOSE(CONTROL!$C$21, $C$9, 100%, $E$9)</f>
        <v>10.555300000000001</v>
      </c>
      <c r="D224" s="14">
        <f>CHOOSE(CONTROL!$C$42, 10.7759, 10.7759) * CHOOSE(CONTROL!$C$21, $C$9, 100%, $E$9)</f>
        <v>10.7759</v>
      </c>
      <c r="E224" s="14">
        <f>CHOOSE(CONTROL!$C$42, 10.8074, 10.8074) * CHOOSE(CONTROL!$C$21, $C$9, 100%, $E$9)</f>
        <v>10.807399999999999</v>
      </c>
      <c r="F224" s="14">
        <f>CHOOSE(CONTROL!$C$42, 10.5747, 10.5747)*CHOOSE(CONTROL!$C$21, $C$9, 100%, $E$9)</f>
        <v>10.5747</v>
      </c>
      <c r="G224" s="14">
        <f>CHOOSE(CONTROL!$C$42, 10.5921, 10.5921)*CHOOSE(CONTROL!$C$21, $C$9, 100%, $E$9)</f>
        <v>10.5921</v>
      </c>
      <c r="H224" s="14">
        <f>CHOOSE(CONTROL!$C$42, 10.796, 10.796) * CHOOSE(CONTROL!$C$21, $C$9, 100%, $E$9)</f>
        <v>10.795999999999999</v>
      </c>
      <c r="I224" s="14">
        <f>CHOOSE(CONTROL!$C$42, 10.6082, 10.6082)* CHOOSE(CONTROL!$C$21, $C$9, 100%, $E$9)</f>
        <v>10.6082</v>
      </c>
      <c r="J224" s="14">
        <f>CHOOSE(CONTROL!$C$42, 10.5677, 10.5677)* CHOOSE(CONTROL!$C$21, $C$9, 100%, $E$9)</f>
        <v>10.5677</v>
      </c>
      <c r="K224" s="53">
        <f>CHOOSE(CONTROL!$C$42, 10.6043, 10.6043) * CHOOSE(CONTROL!$C$21, $C$9, 100%, $E$9)</f>
        <v>10.6043</v>
      </c>
      <c r="L224" s="14">
        <f>CHOOSE(CONTROL!$C$42, 11.383, 11.383) * CHOOSE(CONTROL!$C$21, $C$9, 100%, $E$9)</f>
        <v>11.382999999999999</v>
      </c>
      <c r="M224" s="14">
        <f>CHOOSE(CONTROL!$C$42, 10.3588, 10.3588) * CHOOSE(CONTROL!$C$21, $C$9, 100%, $E$9)</f>
        <v>10.3588</v>
      </c>
      <c r="N224" s="14">
        <f>CHOOSE(CONTROL!$C$42, 10.3759, 10.3759) * CHOOSE(CONTROL!$C$21, $C$9, 100%, $E$9)</f>
        <v>10.3759</v>
      </c>
      <c r="O224" s="14">
        <f>CHOOSE(CONTROL!$C$42, 10.5825, 10.5825) * CHOOSE(CONTROL!$C$21, $C$9, 100%, $E$9)</f>
        <v>10.5825</v>
      </c>
      <c r="P224" s="14">
        <f>CHOOSE(CONTROL!$C$42, 10.398, 10.398) * CHOOSE(CONTROL!$C$21, $C$9, 100%, $E$9)</f>
        <v>10.398</v>
      </c>
      <c r="Q224" s="14">
        <f>CHOOSE(CONTROL!$C$42, 11.1772, 11.1772) * CHOOSE(CONTROL!$C$21, $C$9, 100%, $E$9)</f>
        <v>11.177199999999999</v>
      </c>
      <c r="R224" s="14">
        <f>CHOOSE(CONTROL!$C$42, 11.7922, 11.7922) * CHOOSE(CONTROL!$C$21, $C$9, 100%, $E$9)</f>
        <v>11.792199999999999</v>
      </c>
      <c r="S224" s="14">
        <f>CHOOSE(CONTROL!$C$42, 10.1243, 10.1243) * CHOOSE(CONTROL!$C$21, $C$9, 100%, $E$9)</f>
        <v>10.1243</v>
      </c>
      <c r="T22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24" s="57">
        <f>(1000*CHOOSE(CONTROL!$C$42, 695, 695)*CHOOSE(CONTROL!$C$42, 0.5599, 0.5599)*CHOOSE(CONTROL!$C$42, 31, 31))/1000000</f>
        <v>12.063045499999998</v>
      </c>
      <c r="V224" s="57">
        <f>(1000*CHOOSE(CONTROL!$C$42, 500, 500)*CHOOSE(CONTROL!$C$42, 0.275, 0.275)*CHOOSE(CONTROL!$C$42, 31, 31))/1000000</f>
        <v>4.2625000000000002</v>
      </c>
      <c r="W224" s="57">
        <f>(1000*CHOOSE(CONTROL!$C$42, 0.1146, 0.1146)*CHOOSE(CONTROL!$C$42, 121.5, 121.5)*CHOOSE(CONTROL!$C$42, 31, 31))/1000000</f>
        <v>0.43164089999999994</v>
      </c>
      <c r="X224" s="57">
        <f>(31*0.1790888*245000/1000000)+(31*0.2374*100000/1000000)</f>
        <v>2.0961194359999999</v>
      </c>
      <c r="Y224" s="57"/>
      <c r="Z224" s="14"/>
      <c r="AA224" s="56"/>
      <c r="AB224" s="50">
        <f>(B224*194.205+C224*267.466+D224*133.845+E224*53.484+F224*40+G224*185+H224*0+I224*100+J224*300)/(194.205+267.466+133.845+53.484+0+40+185+100+300)</f>
        <v>10.600865057613815</v>
      </c>
      <c r="AC224" s="45">
        <f>(M224*'RAP TEMPLATE-GAS AVAILABILITY'!O223+N224*'RAP TEMPLATE-GAS AVAILABILITY'!P223+O224*'RAP TEMPLATE-GAS AVAILABILITY'!Q223+P224*'RAP TEMPLATE-GAS AVAILABILITY'!R223)/('RAP TEMPLATE-GAS AVAILABILITY'!O223+'RAP TEMPLATE-GAS AVAILABILITY'!P223+'RAP TEMPLATE-GAS AVAILABILITY'!Q223+'RAP TEMPLATE-GAS AVAILABILITY'!R223)</f>
        <v>10.431141726618707</v>
      </c>
    </row>
    <row r="225" spans="1:29" ht="15.75" x14ac:dyDescent="0.25">
      <c r="A225" s="13">
        <v>47727</v>
      </c>
      <c r="B225" s="14">
        <f>CHOOSE(CONTROL!$C$42, 9.8782, 9.8782) * CHOOSE(CONTROL!$C$21, $C$9, 100%, $E$9)</f>
        <v>9.8781999999999996</v>
      </c>
      <c r="C225" s="14">
        <f>CHOOSE(CONTROL!$C$42, 9.8862, 9.8862) * CHOOSE(CONTROL!$C$21, $C$9, 100%, $E$9)</f>
        <v>9.8862000000000005</v>
      </c>
      <c r="D225" s="14">
        <f>CHOOSE(CONTROL!$C$42, 10.1068, 10.1068) * CHOOSE(CONTROL!$C$21, $C$9, 100%, $E$9)</f>
        <v>10.1068</v>
      </c>
      <c r="E225" s="14">
        <f>CHOOSE(CONTROL!$C$42, 10.1383, 10.1383) * CHOOSE(CONTROL!$C$21, $C$9, 100%, $E$9)</f>
        <v>10.138299999999999</v>
      </c>
      <c r="F225" s="14">
        <f>CHOOSE(CONTROL!$C$42, 9.9056, 9.9056)*CHOOSE(CONTROL!$C$21, $C$9, 100%, $E$9)</f>
        <v>9.9055999999999997</v>
      </c>
      <c r="G225" s="14">
        <f>CHOOSE(CONTROL!$C$42, 9.923, 9.923)*CHOOSE(CONTROL!$C$21, $C$9, 100%, $E$9)</f>
        <v>9.923</v>
      </c>
      <c r="H225" s="14">
        <f>CHOOSE(CONTROL!$C$42, 10.1269, 10.1269) * CHOOSE(CONTROL!$C$21, $C$9, 100%, $E$9)</f>
        <v>10.126899999999999</v>
      </c>
      <c r="I225" s="14">
        <f>CHOOSE(CONTROL!$C$42, 9.937, 9.937)* CHOOSE(CONTROL!$C$21, $C$9, 100%, $E$9)</f>
        <v>9.9369999999999994</v>
      </c>
      <c r="J225" s="14">
        <f>CHOOSE(CONTROL!$C$42, 9.8986, 9.8986)* CHOOSE(CONTROL!$C$21, $C$9, 100%, $E$9)</f>
        <v>9.8986000000000001</v>
      </c>
      <c r="K225" s="53">
        <f>CHOOSE(CONTROL!$C$42, 9.9331, 9.9331) * CHOOSE(CONTROL!$C$21, $C$9, 100%, $E$9)</f>
        <v>9.9330999999999996</v>
      </c>
      <c r="L225" s="14">
        <f>CHOOSE(CONTROL!$C$42, 10.7139, 10.7139) * CHOOSE(CONTROL!$C$21, $C$9, 100%, $E$9)</f>
        <v>10.713900000000001</v>
      </c>
      <c r="M225" s="14">
        <f>CHOOSE(CONTROL!$C$42, 9.7034, 9.7034) * CHOOSE(CONTROL!$C$21, $C$9, 100%, $E$9)</f>
        <v>9.7034000000000002</v>
      </c>
      <c r="N225" s="14">
        <f>CHOOSE(CONTROL!$C$42, 9.7205, 9.7205) * CHOOSE(CONTROL!$C$21, $C$9, 100%, $E$9)</f>
        <v>9.7204999999999995</v>
      </c>
      <c r="O225" s="14">
        <f>CHOOSE(CONTROL!$C$42, 9.9271, 9.9271) * CHOOSE(CONTROL!$C$21, $C$9, 100%, $E$9)</f>
        <v>9.9270999999999994</v>
      </c>
      <c r="P225" s="14">
        <f>CHOOSE(CONTROL!$C$42, 9.7406, 9.7406) * CHOOSE(CONTROL!$C$21, $C$9, 100%, $E$9)</f>
        <v>9.7406000000000006</v>
      </c>
      <c r="Q225" s="14">
        <f>CHOOSE(CONTROL!$C$42, 10.5218, 10.5218) * CHOOSE(CONTROL!$C$21, $C$9, 100%, $E$9)</f>
        <v>10.521800000000001</v>
      </c>
      <c r="R225" s="14">
        <f>CHOOSE(CONTROL!$C$42, 11.1351, 11.1351) * CHOOSE(CONTROL!$C$21, $C$9, 100%, $E$9)</f>
        <v>11.1351</v>
      </c>
      <c r="S225" s="14">
        <f>CHOOSE(CONTROL!$C$42, 9.4813, 9.4813) * CHOOSE(CONTROL!$C$21, $C$9, 100%, $E$9)</f>
        <v>9.4812999999999992</v>
      </c>
      <c r="T22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25" s="57">
        <f>(1000*CHOOSE(CONTROL!$C$42, 695, 695)*CHOOSE(CONTROL!$C$42, 0.5599, 0.5599)*CHOOSE(CONTROL!$C$42, 30, 30))/1000000</f>
        <v>11.673914999999997</v>
      </c>
      <c r="V225" s="57">
        <f>(1000*CHOOSE(CONTROL!$C$42, 500, 500)*CHOOSE(CONTROL!$C$42, 0.275, 0.275)*CHOOSE(CONTROL!$C$42, 30, 30))/1000000</f>
        <v>4.125</v>
      </c>
      <c r="W225" s="57">
        <f>(1000*CHOOSE(CONTROL!$C$42, 0.1146, 0.1146)*CHOOSE(CONTROL!$C$42, 121.5, 121.5)*CHOOSE(CONTROL!$C$42, 30, 30))/1000000</f>
        <v>0.417717</v>
      </c>
      <c r="X225" s="57">
        <f>(30*0.1790888*245000/1000000)+(30*0.2374*100000/1000000)</f>
        <v>2.0285026799999999</v>
      </c>
      <c r="Y225" s="57"/>
      <c r="Z225" s="14"/>
      <c r="AA225" s="56"/>
      <c r="AB225" s="50">
        <f>(B225*194.205+C225*267.466+D225*133.845+E225*53.484+F225*40+G225*185+H225*0+I225*100+J225*300)/(194.205+267.466+133.845+53.484+0+40+185+100+300)</f>
        <v>9.9316002224489814</v>
      </c>
      <c r="AC225" s="45">
        <f>(M225*'RAP TEMPLATE-GAS AVAILABILITY'!O224+N225*'RAP TEMPLATE-GAS AVAILABILITY'!P224+O225*'RAP TEMPLATE-GAS AVAILABILITY'!Q224+P225*'RAP TEMPLATE-GAS AVAILABILITY'!R224)/('RAP TEMPLATE-GAS AVAILABILITY'!O224+'RAP TEMPLATE-GAS AVAILABILITY'!P224+'RAP TEMPLATE-GAS AVAILABILITY'!Q224+'RAP TEMPLATE-GAS AVAILABILITY'!R224)</f>
        <v>9.775453956834534</v>
      </c>
    </row>
    <row r="226" spans="1:29" ht="15.75" x14ac:dyDescent="0.25">
      <c r="A226" s="13">
        <v>47757</v>
      </c>
      <c r="B226" s="14">
        <f>CHOOSE(CONTROL!$C$42, 9.6761, 9.6761) * CHOOSE(CONTROL!$C$21, $C$9, 100%, $E$9)</f>
        <v>9.6760999999999999</v>
      </c>
      <c r="C226" s="14">
        <f>CHOOSE(CONTROL!$C$42, 9.6815, 9.6815) * CHOOSE(CONTROL!$C$21, $C$9, 100%, $E$9)</f>
        <v>9.6814999999999998</v>
      </c>
      <c r="D226" s="14">
        <f>CHOOSE(CONTROL!$C$42, 9.907, 9.907) * CHOOSE(CONTROL!$C$21, $C$9, 100%, $E$9)</f>
        <v>9.907</v>
      </c>
      <c r="E226" s="14">
        <f>CHOOSE(CONTROL!$C$42, 9.9361, 9.9361) * CHOOSE(CONTROL!$C$21, $C$9, 100%, $E$9)</f>
        <v>9.9360999999999997</v>
      </c>
      <c r="F226" s="14">
        <f>CHOOSE(CONTROL!$C$42, 9.7055, 9.7055)*CHOOSE(CONTROL!$C$21, $C$9, 100%, $E$9)</f>
        <v>9.7055000000000007</v>
      </c>
      <c r="G226" s="14">
        <f>CHOOSE(CONTROL!$C$42, 9.7227, 9.7227)*CHOOSE(CONTROL!$C$21, $C$9, 100%, $E$9)</f>
        <v>9.7226999999999997</v>
      </c>
      <c r="H226" s="14">
        <f>CHOOSE(CONTROL!$C$42, 9.9266, 9.9266) * CHOOSE(CONTROL!$C$21, $C$9, 100%, $E$9)</f>
        <v>9.9266000000000005</v>
      </c>
      <c r="I226" s="14">
        <f>CHOOSE(CONTROL!$C$42, 9.7361, 9.7361)* CHOOSE(CONTROL!$C$21, $C$9, 100%, $E$9)</f>
        <v>9.7361000000000004</v>
      </c>
      <c r="J226" s="14">
        <f>CHOOSE(CONTROL!$C$42, 9.6985, 9.6985)* CHOOSE(CONTROL!$C$21, $C$9, 100%, $E$9)</f>
        <v>9.6984999999999992</v>
      </c>
      <c r="K226" s="53">
        <f>CHOOSE(CONTROL!$C$42, 9.7322, 9.7322) * CHOOSE(CONTROL!$C$21, $C$9, 100%, $E$9)</f>
        <v>9.7322000000000006</v>
      </c>
      <c r="L226" s="14">
        <f>CHOOSE(CONTROL!$C$42, 10.5136, 10.5136) * CHOOSE(CONTROL!$C$21, $C$9, 100%, $E$9)</f>
        <v>10.5136</v>
      </c>
      <c r="M226" s="14">
        <f>CHOOSE(CONTROL!$C$42, 9.5075, 9.5075) * CHOOSE(CONTROL!$C$21, $C$9, 100%, $E$9)</f>
        <v>9.5075000000000003</v>
      </c>
      <c r="N226" s="14">
        <f>CHOOSE(CONTROL!$C$42, 9.5244, 9.5244) * CHOOSE(CONTROL!$C$21, $C$9, 100%, $E$9)</f>
        <v>9.5244</v>
      </c>
      <c r="O226" s="14">
        <f>CHOOSE(CONTROL!$C$42, 9.7309, 9.7309) * CHOOSE(CONTROL!$C$21, $C$9, 100%, $E$9)</f>
        <v>9.7309000000000001</v>
      </c>
      <c r="P226" s="14">
        <f>CHOOSE(CONTROL!$C$42, 9.5438, 9.5438) * CHOOSE(CONTROL!$C$21, $C$9, 100%, $E$9)</f>
        <v>9.5437999999999992</v>
      </c>
      <c r="Q226" s="14">
        <f>CHOOSE(CONTROL!$C$42, 10.3256, 10.3256) * CHOOSE(CONTROL!$C$21, $C$9, 100%, $E$9)</f>
        <v>10.3256</v>
      </c>
      <c r="R226" s="14">
        <f>CHOOSE(CONTROL!$C$42, 10.9384, 10.9384) * CHOOSE(CONTROL!$C$21, $C$9, 100%, $E$9)</f>
        <v>10.9384</v>
      </c>
      <c r="S226" s="14">
        <f>CHOOSE(CONTROL!$C$42, 9.2889, 9.2889) * CHOOSE(CONTROL!$C$21, $C$9, 100%, $E$9)</f>
        <v>9.2888999999999999</v>
      </c>
      <c r="T22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26" s="57">
        <f>(1000*CHOOSE(CONTROL!$C$42, 695, 695)*CHOOSE(CONTROL!$C$42, 0.5599, 0.5599)*CHOOSE(CONTROL!$C$42, 31, 31))/1000000</f>
        <v>12.063045499999998</v>
      </c>
      <c r="V226" s="57">
        <f>(1000*CHOOSE(CONTROL!$C$42, 500, 500)*CHOOSE(CONTROL!$C$42, 0.275, 0.275)*CHOOSE(CONTROL!$C$42, 31, 31))/1000000</f>
        <v>4.2625000000000002</v>
      </c>
      <c r="W226" s="57">
        <f>(1000*CHOOSE(CONTROL!$C$42, 0.1146, 0.1146)*CHOOSE(CONTROL!$C$42, 121.5, 121.5)*CHOOSE(CONTROL!$C$42, 31, 31))/1000000</f>
        <v>0.43164089999999994</v>
      </c>
      <c r="X226" s="57">
        <f>(31*0.1790888*245000/1000000)+(31*0.2374*100000/1000000)</f>
        <v>2.0961194359999999</v>
      </c>
      <c r="Y226" s="57"/>
      <c r="Z226" s="14"/>
      <c r="AA226" s="56"/>
      <c r="AB226" s="50">
        <f>(B226*131.881+C226*277.167+D226*79.08+E226*125.872+F226*40+G226*185+H226*0+I226*100+J226*300)/(131.881+277.167+79.08+125.872+0+40+185+100+300)</f>
        <v>9.7366326826472953</v>
      </c>
      <c r="AC226" s="45">
        <f>(M226*'RAP TEMPLATE-GAS AVAILABILITY'!O225+N226*'RAP TEMPLATE-GAS AVAILABILITY'!P225+O226*'RAP TEMPLATE-GAS AVAILABILITY'!Q225+P226*'RAP TEMPLATE-GAS AVAILABILITY'!R225)/('RAP TEMPLATE-GAS AVAILABILITY'!O225+'RAP TEMPLATE-GAS AVAILABILITY'!P225+'RAP TEMPLATE-GAS AVAILABILITY'!Q225+'RAP TEMPLATE-GAS AVAILABILITY'!R225)</f>
        <v>9.5792942446043181</v>
      </c>
    </row>
    <row r="227" spans="1:29" ht="15.75" x14ac:dyDescent="0.25">
      <c r="A227" s="13">
        <v>47788</v>
      </c>
      <c r="B227" s="14">
        <f>CHOOSE(CONTROL!$C$42, 9.9304, 9.9304) * CHOOSE(CONTROL!$C$21, $C$9, 100%, $E$9)</f>
        <v>9.9304000000000006</v>
      </c>
      <c r="C227" s="14">
        <f>CHOOSE(CONTROL!$C$42, 9.9354, 9.9354) * CHOOSE(CONTROL!$C$21, $C$9, 100%, $E$9)</f>
        <v>9.9353999999999996</v>
      </c>
      <c r="D227" s="14">
        <f>CHOOSE(CONTROL!$C$42, 10.0096, 10.0096) * CHOOSE(CONTROL!$C$21, $C$9, 100%, $E$9)</f>
        <v>10.009600000000001</v>
      </c>
      <c r="E227" s="14">
        <f>CHOOSE(CONTROL!$C$42, 10.0438, 10.0438) * CHOOSE(CONTROL!$C$21, $C$9, 100%, $E$9)</f>
        <v>10.043799999999999</v>
      </c>
      <c r="F227" s="14">
        <f>CHOOSE(CONTROL!$C$42, 9.9664, 9.9664)*CHOOSE(CONTROL!$C$21, $C$9, 100%, $E$9)</f>
        <v>9.9664000000000001</v>
      </c>
      <c r="G227" s="14">
        <f>CHOOSE(CONTROL!$C$42, 9.9839, 9.9839)*CHOOSE(CONTROL!$C$21, $C$9, 100%, $E$9)</f>
        <v>9.9839000000000002</v>
      </c>
      <c r="H227" s="14">
        <f>CHOOSE(CONTROL!$C$42, 10.0329, 10.0329) * CHOOSE(CONTROL!$C$21, $C$9, 100%, $E$9)</f>
        <v>10.0329</v>
      </c>
      <c r="I227" s="14">
        <f>CHOOSE(CONTROL!$C$42, 9.9889, 9.9889)* CHOOSE(CONTROL!$C$21, $C$9, 100%, $E$9)</f>
        <v>9.9888999999999992</v>
      </c>
      <c r="J227" s="14">
        <f>CHOOSE(CONTROL!$C$42, 9.9594, 9.9594)* CHOOSE(CONTROL!$C$21, $C$9, 100%, $E$9)</f>
        <v>9.9594000000000005</v>
      </c>
      <c r="K227" s="53">
        <f>CHOOSE(CONTROL!$C$42, 9.985, 9.985) * CHOOSE(CONTROL!$C$21, $C$9, 100%, $E$9)</f>
        <v>9.9849999999999994</v>
      </c>
      <c r="L227" s="14">
        <f>CHOOSE(CONTROL!$C$42, 10.6199, 10.6199) * CHOOSE(CONTROL!$C$21, $C$9, 100%, $E$9)</f>
        <v>10.619899999999999</v>
      </c>
      <c r="M227" s="14">
        <f>CHOOSE(CONTROL!$C$42, 9.763, 9.763) * CHOOSE(CONTROL!$C$21, $C$9, 100%, $E$9)</f>
        <v>9.7629999999999999</v>
      </c>
      <c r="N227" s="14">
        <f>CHOOSE(CONTROL!$C$42, 9.7802, 9.7802) * CHOOSE(CONTROL!$C$21, $C$9, 100%, $E$9)</f>
        <v>9.7802000000000007</v>
      </c>
      <c r="O227" s="14">
        <f>CHOOSE(CONTROL!$C$42, 9.8351, 9.8351) * CHOOSE(CONTROL!$C$21, $C$9, 100%, $E$9)</f>
        <v>9.8351000000000006</v>
      </c>
      <c r="P227" s="14">
        <f>CHOOSE(CONTROL!$C$42, 9.7914, 9.7914) * CHOOSE(CONTROL!$C$21, $C$9, 100%, $E$9)</f>
        <v>9.7913999999999994</v>
      </c>
      <c r="Q227" s="14">
        <f>CHOOSE(CONTROL!$C$42, 10.4298, 10.4298) * CHOOSE(CONTROL!$C$21, $C$9, 100%, $E$9)</f>
        <v>10.4298</v>
      </c>
      <c r="R227" s="14">
        <f>CHOOSE(CONTROL!$C$42, 11.0428, 11.0428) * CHOOSE(CONTROL!$C$21, $C$9, 100%, $E$9)</f>
        <v>11.0428</v>
      </c>
      <c r="S227" s="14">
        <f>CHOOSE(CONTROL!$C$42, 9.5335, 9.5335) * CHOOSE(CONTROL!$C$21, $C$9, 100%, $E$9)</f>
        <v>9.5335000000000001</v>
      </c>
      <c r="T22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27" s="57">
        <f>(1000*CHOOSE(CONTROL!$C$42, 695, 695)*CHOOSE(CONTROL!$C$42, 0.5599, 0.5599)*CHOOSE(CONTROL!$C$42, 30, 30))/1000000</f>
        <v>11.673914999999997</v>
      </c>
      <c r="V227" s="57">
        <f>(1000*CHOOSE(CONTROL!$C$42, 500, 500)*CHOOSE(CONTROL!$C$42, 0.275, 0.275)*CHOOSE(CONTROL!$C$42, 30, 30))/1000000</f>
        <v>4.125</v>
      </c>
      <c r="W227" s="57">
        <f>(1000*CHOOSE(CONTROL!$C$42, 0.1146, 0.1146)*CHOOSE(CONTROL!$C$42, 121.5, 121.5)*CHOOSE(CONTROL!$C$42, 30, 30))/1000000</f>
        <v>0.417717</v>
      </c>
      <c r="X227" s="57">
        <f>(30*0.1790888*100000/1000000)+(30*0.2374*100000/1000000)</f>
        <v>1.2494664</v>
      </c>
      <c r="Y227" s="57"/>
      <c r="Z227" s="14"/>
      <c r="AA227" s="56"/>
      <c r="AB227" s="50">
        <f>(B227*122.58+C227*297.941+D227*89.177+E227*40.302+F227*40+G227*160+H227*0+I227*100+J227*300)/(122.58+297.941+89.177+40.302+0+40+160+100+300)</f>
        <v>9.9631589306086958</v>
      </c>
      <c r="AC227" s="45">
        <f>(M227*'RAP TEMPLATE-GAS AVAILABILITY'!O226+N227*'RAP TEMPLATE-GAS AVAILABILITY'!P226+O227*'RAP TEMPLATE-GAS AVAILABILITY'!Q226+P227*'RAP TEMPLATE-GAS AVAILABILITY'!R226)/('RAP TEMPLATE-GAS AVAILABILITY'!O226+'RAP TEMPLATE-GAS AVAILABILITY'!P226+'RAP TEMPLATE-GAS AVAILABILITY'!Q226+'RAP TEMPLATE-GAS AVAILABILITY'!R226)</f>
        <v>9.8007546762589932</v>
      </c>
    </row>
    <row r="228" spans="1:29" ht="15.75" x14ac:dyDescent="0.25">
      <c r="A228" s="13">
        <v>47818</v>
      </c>
      <c r="B228" s="14">
        <f>CHOOSE(CONTROL!$C$42, 10.6068, 10.6068) * CHOOSE(CONTROL!$C$21, $C$9, 100%, $E$9)</f>
        <v>10.6068</v>
      </c>
      <c r="C228" s="14">
        <f>CHOOSE(CONTROL!$C$42, 10.6118, 10.6118) * CHOOSE(CONTROL!$C$21, $C$9, 100%, $E$9)</f>
        <v>10.611800000000001</v>
      </c>
      <c r="D228" s="14">
        <f>CHOOSE(CONTROL!$C$42, 10.686, 10.686) * CHOOSE(CONTROL!$C$21, $C$9, 100%, $E$9)</f>
        <v>10.686</v>
      </c>
      <c r="E228" s="14">
        <f>CHOOSE(CONTROL!$C$42, 10.7201, 10.7201) * CHOOSE(CONTROL!$C$21, $C$9, 100%, $E$9)</f>
        <v>10.7201</v>
      </c>
      <c r="F228" s="14">
        <f>CHOOSE(CONTROL!$C$42, 10.6452, 10.6452)*CHOOSE(CONTROL!$C$21, $C$9, 100%, $E$9)</f>
        <v>10.645200000000001</v>
      </c>
      <c r="G228" s="14">
        <f>CHOOSE(CONTROL!$C$42, 10.6633, 10.6633)*CHOOSE(CONTROL!$C$21, $C$9, 100%, $E$9)</f>
        <v>10.6633</v>
      </c>
      <c r="H228" s="14">
        <f>CHOOSE(CONTROL!$C$42, 10.7093, 10.7093) * CHOOSE(CONTROL!$C$21, $C$9, 100%, $E$9)</f>
        <v>10.709300000000001</v>
      </c>
      <c r="I228" s="14">
        <f>CHOOSE(CONTROL!$C$42, 10.6674, 10.6674)* CHOOSE(CONTROL!$C$21, $C$9, 100%, $E$9)</f>
        <v>10.667400000000001</v>
      </c>
      <c r="J228" s="14">
        <f>CHOOSE(CONTROL!$C$42, 10.6382, 10.6382)* CHOOSE(CONTROL!$C$21, $C$9, 100%, $E$9)</f>
        <v>10.638199999999999</v>
      </c>
      <c r="K228" s="53">
        <f>CHOOSE(CONTROL!$C$42, 10.6635, 10.6635) * CHOOSE(CONTROL!$C$21, $C$9, 100%, $E$9)</f>
        <v>10.663500000000001</v>
      </c>
      <c r="L228" s="14">
        <f>CHOOSE(CONTROL!$C$42, 11.2963, 11.2963) * CHOOSE(CONTROL!$C$21, $C$9, 100%, $E$9)</f>
        <v>11.2963</v>
      </c>
      <c r="M228" s="14">
        <f>CHOOSE(CONTROL!$C$42, 10.4279, 10.4279) * CHOOSE(CONTROL!$C$21, $C$9, 100%, $E$9)</f>
        <v>10.427899999999999</v>
      </c>
      <c r="N228" s="14">
        <f>CHOOSE(CONTROL!$C$42, 10.4457, 10.4457) * CHOOSE(CONTROL!$C$21, $C$9, 100%, $E$9)</f>
        <v>10.4457</v>
      </c>
      <c r="O228" s="14">
        <f>CHOOSE(CONTROL!$C$42, 10.4976, 10.4976) * CHOOSE(CONTROL!$C$21, $C$9, 100%, $E$9)</f>
        <v>10.4976</v>
      </c>
      <c r="P228" s="14">
        <f>CHOOSE(CONTROL!$C$42, 10.456, 10.456) * CHOOSE(CONTROL!$C$21, $C$9, 100%, $E$9)</f>
        <v>10.456</v>
      </c>
      <c r="Q228" s="14">
        <f>CHOOSE(CONTROL!$C$42, 11.0923, 11.0923) * CHOOSE(CONTROL!$C$21, $C$9, 100%, $E$9)</f>
        <v>11.0923</v>
      </c>
      <c r="R228" s="14">
        <f>CHOOSE(CONTROL!$C$42, 11.707, 11.707) * CHOOSE(CONTROL!$C$21, $C$9, 100%, $E$9)</f>
        <v>11.707000000000001</v>
      </c>
      <c r="S228" s="14">
        <f>CHOOSE(CONTROL!$C$42, 10.1835, 10.1835) * CHOOSE(CONTROL!$C$21, $C$9, 100%, $E$9)</f>
        <v>10.1835</v>
      </c>
      <c r="T22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28" s="57">
        <f>(1000*CHOOSE(CONTROL!$C$42, 695, 695)*CHOOSE(CONTROL!$C$42, 0.5599, 0.5599)*CHOOSE(CONTROL!$C$42, 31, 31))/1000000</f>
        <v>12.063045499999998</v>
      </c>
      <c r="V228" s="57">
        <f>(1000*CHOOSE(CONTROL!$C$42, 500, 500)*CHOOSE(CONTROL!$C$42, 0.275, 0.275)*CHOOSE(CONTROL!$C$42, 31, 31))/1000000</f>
        <v>4.2625000000000002</v>
      </c>
      <c r="W228" s="57">
        <f>(1000*CHOOSE(CONTROL!$C$42, 0.1146, 0.1146)*CHOOSE(CONTROL!$C$42, 121.5, 121.5)*CHOOSE(CONTROL!$C$42, 31, 31))/1000000</f>
        <v>0.43164089999999994</v>
      </c>
      <c r="X228" s="57">
        <f>(31*0.1790888*100000/1000000)+(31*0.2374*100000/1000000)</f>
        <v>1.2911152800000001</v>
      </c>
      <c r="Y228" s="57"/>
      <c r="Z228" s="14"/>
      <c r="AA228" s="56"/>
      <c r="AB228" s="50">
        <f>(B228*122.58+C228*297.941+D228*89.177+E228*40.302+F228*40+G228*160+H228*0+I228*100+J228*300)/(122.58+297.941+89.177+40.302+0+40+160+100+300)</f>
        <v>10.640864991304346</v>
      </c>
      <c r="AC228" s="45">
        <f>(M228*'RAP TEMPLATE-GAS AVAILABILITY'!O227+N228*'RAP TEMPLATE-GAS AVAILABILITY'!P227+O228*'RAP TEMPLATE-GAS AVAILABILITY'!Q227+P228*'RAP TEMPLATE-GAS AVAILABILITY'!R227)/('RAP TEMPLATE-GAS AVAILABILITY'!O227+'RAP TEMPLATE-GAS AVAILABILITY'!P227+'RAP TEMPLATE-GAS AVAILABILITY'!Q227+'RAP TEMPLATE-GAS AVAILABILITY'!R227)</f>
        <v>10.464558273381295</v>
      </c>
    </row>
    <row r="229" spans="1:29" ht="15.75" x14ac:dyDescent="0.25">
      <c r="A229" s="13">
        <v>47849</v>
      </c>
      <c r="B229" s="14">
        <f>CHOOSE(CONTROL!$C$42, 11.4853, 11.4853) * CHOOSE(CONTROL!$C$21, $C$9, 100%, $E$9)</f>
        <v>11.485300000000001</v>
      </c>
      <c r="C229" s="14">
        <f>CHOOSE(CONTROL!$C$42, 11.4903, 11.4903) * CHOOSE(CONTROL!$C$21, $C$9, 100%, $E$9)</f>
        <v>11.4903</v>
      </c>
      <c r="D229" s="14">
        <f>CHOOSE(CONTROL!$C$42, 11.5672, 11.5672) * CHOOSE(CONTROL!$C$21, $C$9, 100%, $E$9)</f>
        <v>11.5672</v>
      </c>
      <c r="E229" s="14">
        <f>CHOOSE(CONTROL!$C$42, 11.6013, 11.6013) * CHOOSE(CONTROL!$C$21, $C$9, 100%, $E$9)</f>
        <v>11.6013</v>
      </c>
      <c r="F229" s="14">
        <f>CHOOSE(CONTROL!$C$42, 11.51, 11.51)*CHOOSE(CONTROL!$C$21, $C$9, 100%, $E$9)</f>
        <v>11.51</v>
      </c>
      <c r="G229" s="14">
        <f>CHOOSE(CONTROL!$C$42, 11.528, 11.528)*CHOOSE(CONTROL!$C$21, $C$9, 100%, $E$9)</f>
        <v>11.528</v>
      </c>
      <c r="H229" s="14">
        <f>CHOOSE(CONTROL!$C$42, 11.5905, 11.5905) * CHOOSE(CONTROL!$C$21, $C$9, 100%, $E$9)</f>
        <v>11.5905</v>
      </c>
      <c r="I229" s="14">
        <f>CHOOSE(CONTROL!$C$42, 11.555, 11.555)* CHOOSE(CONTROL!$C$21, $C$9, 100%, $E$9)</f>
        <v>11.555</v>
      </c>
      <c r="J229" s="14">
        <f>CHOOSE(CONTROL!$C$42, 11.503, 11.503)* CHOOSE(CONTROL!$C$21, $C$9, 100%, $E$9)</f>
        <v>11.503</v>
      </c>
      <c r="K229" s="53">
        <f>CHOOSE(CONTROL!$C$42, 11.5511, 11.5511) * CHOOSE(CONTROL!$C$21, $C$9, 100%, $E$9)</f>
        <v>11.5511</v>
      </c>
      <c r="L229" s="14">
        <f>CHOOSE(CONTROL!$C$42, 12.1775, 12.1775) * CHOOSE(CONTROL!$C$21, $C$9, 100%, $E$9)</f>
        <v>12.1775</v>
      </c>
      <c r="M229" s="14">
        <f>CHOOSE(CONTROL!$C$42, 11.275, 11.275) * CHOOSE(CONTROL!$C$21, $C$9, 100%, $E$9)</f>
        <v>11.275</v>
      </c>
      <c r="N229" s="14">
        <f>CHOOSE(CONTROL!$C$42, 11.2926, 11.2926) * CHOOSE(CONTROL!$C$21, $C$9, 100%, $E$9)</f>
        <v>11.2926</v>
      </c>
      <c r="O229" s="14">
        <f>CHOOSE(CONTROL!$C$42, 11.3607, 11.3607) * CHOOSE(CONTROL!$C$21, $C$9, 100%, $E$9)</f>
        <v>11.3607</v>
      </c>
      <c r="P229" s="14">
        <f>CHOOSE(CONTROL!$C$42, 11.3253, 11.3253) * CHOOSE(CONTROL!$C$21, $C$9, 100%, $E$9)</f>
        <v>11.3253</v>
      </c>
      <c r="Q229" s="14">
        <f>CHOOSE(CONTROL!$C$42, 11.9554, 11.9554) * CHOOSE(CONTROL!$C$21, $C$9, 100%, $E$9)</f>
        <v>11.955399999999999</v>
      </c>
      <c r="R229" s="14">
        <f>CHOOSE(CONTROL!$C$42, 12.5723, 12.5723) * CHOOSE(CONTROL!$C$21, $C$9, 100%, $E$9)</f>
        <v>12.5723</v>
      </c>
      <c r="S229" s="14">
        <f>CHOOSE(CONTROL!$C$42, 11.0277, 11.0277) * CHOOSE(CONTROL!$C$21, $C$9, 100%, $E$9)</f>
        <v>11.027699999999999</v>
      </c>
      <c r="T22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29" s="57">
        <f>(1000*CHOOSE(CONTROL!$C$42, 695, 695)*CHOOSE(CONTROL!$C$42, 0.5599, 0.5599)*CHOOSE(CONTROL!$C$42, 31, 31))/1000000</f>
        <v>12.063045499999998</v>
      </c>
      <c r="V229" s="57">
        <f>(1000*CHOOSE(CONTROL!$C$42, 500, 500)*CHOOSE(CONTROL!$C$42, 0.275, 0.275)*CHOOSE(CONTROL!$C$42, 31, 31))/1000000</f>
        <v>4.2625000000000002</v>
      </c>
      <c r="W229" s="57">
        <f>(1000*CHOOSE(CONTROL!$C$42, 0.1146, 0.1146)*CHOOSE(CONTROL!$C$42, 121.5, 121.5)*CHOOSE(CONTROL!$C$42, 31, 31))/1000000</f>
        <v>0.43164089999999994</v>
      </c>
      <c r="X229" s="57">
        <f>(31*0.1790888*100000/1000000)+(31*0.2374*100000/1000000)</f>
        <v>1.2911152800000001</v>
      </c>
      <c r="Y229" s="57"/>
      <c r="Z229" s="14"/>
      <c r="AA229" s="56"/>
      <c r="AB229" s="50">
        <f>(B229*122.58+C229*297.941+D229*89.177+E229*40.302+F229*40+G229*160+H229*0+I229*100+J229*300)/(122.58+297.941+89.177+40.302+0+40+160+100+300)</f>
        <v>11.514489855043477</v>
      </c>
      <c r="AC229" s="45">
        <f>(M229*'RAP TEMPLATE-GAS AVAILABILITY'!O228+N229*'RAP TEMPLATE-GAS AVAILABILITY'!P228+O229*'RAP TEMPLATE-GAS AVAILABILITY'!Q228+P229*'RAP TEMPLATE-GAS AVAILABILITY'!R228)/('RAP TEMPLATE-GAS AVAILABILITY'!O228+'RAP TEMPLATE-GAS AVAILABILITY'!P228+'RAP TEMPLATE-GAS AVAILABILITY'!Q228+'RAP TEMPLATE-GAS AVAILABILITY'!R228)</f>
        <v>11.322092805755396</v>
      </c>
    </row>
    <row r="230" spans="1:29" ht="15.75" x14ac:dyDescent="0.25">
      <c r="A230" s="13">
        <v>47880</v>
      </c>
      <c r="B230" s="14">
        <f>CHOOSE(CONTROL!$C$42, 11.6896, 11.6896) * CHOOSE(CONTROL!$C$21, $C$9, 100%, $E$9)</f>
        <v>11.6896</v>
      </c>
      <c r="C230" s="14">
        <f>CHOOSE(CONTROL!$C$42, 11.6946, 11.6946) * CHOOSE(CONTROL!$C$21, $C$9, 100%, $E$9)</f>
        <v>11.694599999999999</v>
      </c>
      <c r="D230" s="14">
        <f>CHOOSE(CONTROL!$C$42, 11.7714, 11.7714) * CHOOSE(CONTROL!$C$21, $C$9, 100%, $E$9)</f>
        <v>11.7714</v>
      </c>
      <c r="E230" s="14">
        <f>CHOOSE(CONTROL!$C$42, 11.8055, 11.8055) * CHOOSE(CONTROL!$C$21, $C$9, 100%, $E$9)</f>
        <v>11.8055</v>
      </c>
      <c r="F230" s="14">
        <f>CHOOSE(CONTROL!$C$42, 11.7139, 11.7139)*CHOOSE(CONTROL!$C$21, $C$9, 100%, $E$9)</f>
        <v>11.713900000000001</v>
      </c>
      <c r="G230" s="14">
        <f>CHOOSE(CONTROL!$C$42, 11.7318, 11.7318)*CHOOSE(CONTROL!$C$21, $C$9, 100%, $E$9)</f>
        <v>11.7318</v>
      </c>
      <c r="H230" s="14">
        <f>CHOOSE(CONTROL!$C$42, 11.7947, 11.7947) * CHOOSE(CONTROL!$C$21, $C$9, 100%, $E$9)</f>
        <v>11.794700000000001</v>
      </c>
      <c r="I230" s="14">
        <f>CHOOSE(CONTROL!$C$42, 11.7599, 11.7599)* CHOOSE(CONTROL!$C$21, $C$9, 100%, $E$9)</f>
        <v>11.7599</v>
      </c>
      <c r="J230" s="14">
        <f>CHOOSE(CONTROL!$C$42, 11.7069, 11.7069)* CHOOSE(CONTROL!$C$21, $C$9, 100%, $E$9)</f>
        <v>11.706899999999999</v>
      </c>
      <c r="K230" s="53">
        <f>CHOOSE(CONTROL!$C$42, 11.756, 11.756) * CHOOSE(CONTROL!$C$21, $C$9, 100%, $E$9)</f>
        <v>11.756</v>
      </c>
      <c r="L230" s="14">
        <f>CHOOSE(CONTROL!$C$42, 12.3817, 12.3817) * CHOOSE(CONTROL!$C$21, $C$9, 100%, $E$9)</f>
        <v>12.3817</v>
      </c>
      <c r="M230" s="14">
        <f>CHOOSE(CONTROL!$C$42, 11.4747, 11.4747) * CHOOSE(CONTROL!$C$21, $C$9, 100%, $E$9)</f>
        <v>11.4747</v>
      </c>
      <c r="N230" s="14">
        <f>CHOOSE(CONTROL!$C$42, 11.4922, 11.4922) * CHOOSE(CONTROL!$C$21, $C$9, 100%, $E$9)</f>
        <v>11.4922</v>
      </c>
      <c r="O230" s="14">
        <f>CHOOSE(CONTROL!$C$42, 11.5608, 11.5608) * CHOOSE(CONTROL!$C$21, $C$9, 100%, $E$9)</f>
        <v>11.5608</v>
      </c>
      <c r="P230" s="14">
        <f>CHOOSE(CONTROL!$C$42, 11.526, 11.526) * CHOOSE(CONTROL!$C$21, $C$9, 100%, $E$9)</f>
        <v>11.526</v>
      </c>
      <c r="Q230" s="14">
        <f>CHOOSE(CONTROL!$C$42, 12.1555, 12.1555) * CHOOSE(CONTROL!$C$21, $C$9, 100%, $E$9)</f>
        <v>12.1555</v>
      </c>
      <c r="R230" s="14">
        <f>CHOOSE(CONTROL!$C$42, 12.7729, 12.7729) * CHOOSE(CONTROL!$C$21, $C$9, 100%, $E$9)</f>
        <v>12.7729</v>
      </c>
      <c r="S230" s="14">
        <f>CHOOSE(CONTROL!$C$42, 11.2239, 11.2239) * CHOOSE(CONTROL!$C$21, $C$9, 100%, $E$9)</f>
        <v>11.2239</v>
      </c>
      <c r="T23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30" s="57">
        <f>(1000*CHOOSE(CONTROL!$C$42, 695, 695)*CHOOSE(CONTROL!$C$42, 0.5599, 0.5599)*CHOOSE(CONTROL!$C$42, 28, 28))/1000000</f>
        <v>10.895653999999999</v>
      </c>
      <c r="V230" s="57">
        <f>(1000*CHOOSE(CONTROL!$C$42, 500, 500)*CHOOSE(CONTROL!$C$42, 0.275, 0.275)*CHOOSE(CONTROL!$C$42, 28, 28))/1000000</f>
        <v>3.85</v>
      </c>
      <c r="W230" s="57">
        <f>(1000*CHOOSE(CONTROL!$C$42, 0.1146, 0.1146)*CHOOSE(CONTROL!$C$42, 121.5, 121.5)*CHOOSE(CONTROL!$C$42, 28, 28))/1000000</f>
        <v>0.38986920000000003</v>
      </c>
      <c r="X230" s="57">
        <f>(28*0.1790888*100000/1000000)+(28*0.2374*100000/1000000)</f>
        <v>1.16616864</v>
      </c>
      <c r="Y230" s="57"/>
      <c r="Z230" s="14"/>
      <c r="AA230" s="56"/>
      <c r="AB230" s="50">
        <f>(B230*122.58+C230*297.941+D230*89.177+E230*40.302+F230*40+G230*160+H230*0+I230*100+J230*300)/(122.58+297.941+89.177+40.302+0+40+160+100+300)</f>
        <v>11.718642943826087</v>
      </c>
      <c r="AC230" s="45">
        <f>(M230*'RAP TEMPLATE-GAS AVAILABILITY'!O229+N230*'RAP TEMPLATE-GAS AVAILABILITY'!P229+O230*'RAP TEMPLATE-GAS AVAILABILITY'!Q229+P230*'RAP TEMPLATE-GAS AVAILABILITY'!R229)/('RAP TEMPLATE-GAS AVAILABILITY'!O229+'RAP TEMPLATE-GAS AVAILABILITY'!P229+'RAP TEMPLATE-GAS AVAILABILITY'!Q229+'RAP TEMPLATE-GAS AVAILABILITY'!R229)</f>
        <v>11.522112230215829</v>
      </c>
    </row>
    <row r="231" spans="1:29" ht="15.75" x14ac:dyDescent="0.25">
      <c r="A231" s="13">
        <v>47908</v>
      </c>
      <c r="B231" s="14">
        <f>CHOOSE(CONTROL!$C$42, 11.3579, 11.3579) * CHOOSE(CONTROL!$C$21, $C$9, 100%, $E$9)</f>
        <v>11.357900000000001</v>
      </c>
      <c r="C231" s="14">
        <f>CHOOSE(CONTROL!$C$42, 11.363, 11.363) * CHOOSE(CONTROL!$C$21, $C$9, 100%, $E$9)</f>
        <v>11.363</v>
      </c>
      <c r="D231" s="14">
        <f>CHOOSE(CONTROL!$C$42, 11.4398, 11.4398) * CHOOSE(CONTROL!$C$21, $C$9, 100%, $E$9)</f>
        <v>11.4398</v>
      </c>
      <c r="E231" s="14">
        <f>CHOOSE(CONTROL!$C$42, 11.4739, 11.4739) * CHOOSE(CONTROL!$C$21, $C$9, 100%, $E$9)</f>
        <v>11.4739</v>
      </c>
      <c r="F231" s="14">
        <f>CHOOSE(CONTROL!$C$42, 11.3814, 11.3814)*CHOOSE(CONTROL!$C$21, $C$9, 100%, $E$9)</f>
        <v>11.381399999999999</v>
      </c>
      <c r="G231" s="14">
        <f>CHOOSE(CONTROL!$C$42, 11.3991, 11.3991)*CHOOSE(CONTROL!$C$21, $C$9, 100%, $E$9)</f>
        <v>11.399100000000001</v>
      </c>
      <c r="H231" s="14">
        <f>CHOOSE(CONTROL!$C$42, 11.4631, 11.4631) * CHOOSE(CONTROL!$C$21, $C$9, 100%, $E$9)</f>
        <v>11.463100000000001</v>
      </c>
      <c r="I231" s="14">
        <f>CHOOSE(CONTROL!$C$42, 11.4272, 11.4272)* CHOOSE(CONTROL!$C$21, $C$9, 100%, $E$9)</f>
        <v>11.427199999999999</v>
      </c>
      <c r="J231" s="14">
        <f>CHOOSE(CONTROL!$C$42, 11.3744, 11.3744)* CHOOSE(CONTROL!$C$21, $C$9, 100%, $E$9)</f>
        <v>11.3744</v>
      </c>
      <c r="K231" s="53">
        <f>CHOOSE(CONTROL!$C$42, 11.4234, 11.4234) * CHOOSE(CONTROL!$C$21, $C$9, 100%, $E$9)</f>
        <v>11.423400000000001</v>
      </c>
      <c r="L231" s="14">
        <f>CHOOSE(CONTROL!$C$42, 12.0501, 12.0501) * CHOOSE(CONTROL!$C$21, $C$9, 100%, $E$9)</f>
        <v>12.0501</v>
      </c>
      <c r="M231" s="14">
        <f>CHOOSE(CONTROL!$C$42, 11.1491, 11.1491) * CHOOSE(CONTROL!$C$21, $C$9, 100%, $E$9)</f>
        <v>11.149100000000001</v>
      </c>
      <c r="N231" s="14">
        <f>CHOOSE(CONTROL!$C$42, 11.1663, 11.1663) * CHOOSE(CONTROL!$C$21, $C$9, 100%, $E$9)</f>
        <v>11.1663</v>
      </c>
      <c r="O231" s="14">
        <f>CHOOSE(CONTROL!$C$42, 11.236, 11.236) * CHOOSE(CONTROL!$C$21, $C$9, 100%, $E$9)</f>
        <v>11.236000000000001</v>
      </c>
      <c r="P231" s="14">
        <f>CHOOSE(CONTROL!$C$42, 11.2002, 11.2002) * CHOOSE(CONTROL!$C$21, $C$9, 100%, $E$9)</f>
        <v>11.200200000000001</v>
      </c>
      <c r="Q231" s="14">
        <f>CHOOSE(CONTROL!$C$42, 11.8307, 11.8307) * CHOOSE(CONTROL!$C$21, $C$9, 100%, $E$9)</f>
        <v>11.8307</v>
      </c>
      <c r="R231" s="14">
        <f>CHOOSE(CONTROL!$C$42, 12.4472, 12.4472) * CHOOSE(CONTROL!$C$21, $C$9, 100%, $E$9)</f>
        <v>12.4472</v>
      </c>
      <c r="S231" s="14">
        <f>CHOOSE(CONTROL!$C$42, 10.9053, 10.9053) * CHOOSE(CONTROL!$C$21, $C$9, 100%, $E$9)</f>
        <v>10.9053</v>
      </c>
      <c r="T23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31" s="57">
        <f>(1000*CHOOSE(CONTROL!$C$42, 695, 695)*CHOOSE(CONTROL!$C$42, 0.5599, 0.5599)*CHOOSE(CONTROL!$C$42, 31, 31))/1000000</f>
        <v>12.063045499999998</v>
      </c>
      <c r="V231" s="57">
        <f>(1000*CHOOSE(CONTROL!$C$42, 500, 500)*CHOOSE(CONTROL!$C$42, 0.275, 0.275)*CHOOSE(CONTROL!$C$42, 31, 31))/1000000</f>
        <v>4.2625000000000002</v>
      </c>
      <c r="W231" s="57">
        <f>(1000*CHOOSE(CONTROL!$C$42, 0.1146, 0.1146)*CHOOSE(CONTROL!$C$42, 121.5, 121.5)*CHOOSE(CONTROL!$C$42, 31, 31))/1000000</f>
        <v>0.43164089999999994</v>
      </c>
      <c r="X231" s="57">
        <f>(31*0.1790888*100000/1000000)+(31*0.2374*100000/1000000)</f>
        <v>1.2911152800000001</v>
      </c>
      <c r="Y231" s="57"/>
      <c r="Z231" s="14"/>
      <c r="AA231" s="56"/>
      <c r="AB231" s="50">
        <f>(B231*122.58+C231*297.941+D231*89.177+E231*40.302+F231*40+G231*160+H231*0+I231*100+J231*300)/(122.58+297.941+89.177+40.302+0+40+160+100+300)</f>
        <v>11.386517502086956</v>
      </c>
      <c r="AC231" s="45">
        <f>(M231*'RAP TEMPLATE-GAS AVAILABILITY'!O230+N231*'RAP TEMPLATE-GAS AVAILABILITY'!P230+O231*'RAP TEMPLATE-GAS AVAILABILITY'!Q230+P231*'RAP TEMPLATE-GAS AVAILABILITY'!R230)/('RAP TEMPLATE-GAS AVAILABILITY'!O230+'RAP TEMPLATE-GAS AVAILABILITY'!P230+'RAP TEMPLATE-GAS AVAILABILITY'!Q230+'RAP TEMPLATE-GAS AVAILABILITY'!R230)</f>
        <v>11.196828776978418</v>
      </c>
    </row>
    <row r="232" spans="1:29" ht="15.75" x14ac:dyDescent="0.25">
      <c r="A232" s="13">
        <v>47939</v>
      </c>
      <c r="B232" s="14">
        <f>CHOOSE(CONTROL!$C$42, 11.325, 11.325) * CHOOSE(CONTROL!$C$21, $C$9, 100%, $E$9)</f>
        <v>11.324999999999999</v>
      </c>
      <c r="C232" s="14">
        <f>CHOOSE(CONTROL!$C$42, 11.3295, 11.3295) * CHOOSE(CONTROL!$C$21, $C$9, 100%, $E$9)</f>
        <v>11.329499999999999</v>
      </c>
      <c r="D232" s="14">
        <f>CHOOSE(CONTROL!$C$42, 11.5532, 11.5532) * CHOOSE(CONTROL!$C$21, $C$9, 100%, $E$9)</f>
        <v>11.5532</v>
      </c>
      <c r="E232" s="14">
        <f>CHOOSE(CONTROL!$C$42, 11.5853, 11.5853) * CHOOSE(CONTROL!$C$21, $C$9, 100%, $E$9)</f>
        <v>11.5853</v>
      </c>
      <c r="F232" s="14">
        <f>CHOOSE(CONTROL!$C$42, 11.3527, 11.3527)*CHOOSE(CONTROL!$C$21, $C$9, 100%, $E$9)</f>
        <v>11.3527</v>
      </c>
      <c r="G232" s="14">
        <f>CHOOSE(CONTROL!$C$42, 11.3696, 11.3696)*CHOOSE(CONTROL!$C$21, $C$9, 100%, $E$9)</f>
        <v>11.3696</v>
      </c>
      <c r="H232" s="14">
        <f>CHOOSE(CONTROL!$C$42, 11.5751, 11.5751) * CHOOSE(CONTROL!$C$21, $C$9, 100%, $E$9)</f>
        <v>11.575100000000001</v>
      </c>
      <c r="I232" s="14">
        <f>CHOOSE(CONTROL!$C$42, 11.3897, 11.3897)* CHOOSE(CONTROL!$C$21, $C$9, 100%, $E$9)</f>
        <v>11.389699999999999</v>
      </c>
      <c r="J232" s="14">
        <f>CHOOSE(CONTROL!$C$42, 11.3457, 11.3457)* CHOOSE(CONTROL!$C$21, $C$9, 100%, $E$9)</f>
        <v>11.345700000000001</v>
      </c>
      <c r="K232" s="53">
        <f>CHOOSE(CONTROL!$C$42, 11.3858, 11.3858) * CHOOSE(CONTROL!$C$21, $C$9, 100%, $E$9)</f>
        <v>11.3858</v>
      </c>
      <c r="L232" s="14">
        <f>CHOOSE(CONTROL!$C$42, 12.1621, 12.1621) * CHOOSE(CONTROL!$C$21, $C$9, 100%, $E$9)</f>
        <v>12.162100000000001</v>
      </c>
      <c r="M232" s="14">
        <f>CHOOSE(CONTROL!$C$42, 11.1209, 11.1209) * CHOOSE(CONTROL!$C$21, $C$9, 100%, $E$9)</f>
        <v>11.120900000000001</v>
      </c>
      <c r="N232" s="14">
        <f>CHOOSE(CONTROL!$C$42, 11.1374, 11.1374) * CHOOSE(CONTROL!$C$21, $C$9, 100%, $E$9)</f>
        <v>11.1374</v>
      </c>
      <c r="O232" s="14">
        <f>CHOOSE(CONTROL!$C$42, 11.3456, 11.3456) * CHOOSE(CONTROL!$C$21, $C$9, 100%, $E$9)</f>
        <v>11.345599999999999</v>
      </c>
      <c r="P232" s="14">
        <f>CHOOSE(CONTROL!$C$42, 11.1634, 11.1634) * CHOOSE(CONTROL!$C$21, $C$9, 100%, $E$9)</f>
        <v>11.163399999999999</v>
      </c>
      <c r="Q232" s="14">
        <f>CHOOSE(CONTROL!$C$42, 11.9403, 11.9403) * CHOOSE(CONTROL!$C$21, $C$9, 100%, $E$9)</f>
        <v>11.940300000000001</v>
      </c>
      <c r="R232" s="14">
        <f>CHOOSE(CONTROL!$C$42, 12.5572, 12.5572) * CHOOSE(CONTROL!$C$21, $C$9, 100%, $E$9)</f>
        <v>12.5572</v>
      </c>
      <c r="S232" s="14">
        <f>CHOOSE(CONTROL!$C$42, 10.8729, 10.8729) * CHOOSE(CONTROL!$C$21, $C$9, 100%, $E$9)</f>
        <v>10.8729</v>
      </c>
      <c r="T23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32" s="57">
        <f>(1000*CHOOSE(CONTROL!$C$42, 695, 695)*CHOOSE(CONTROL!$C$42, 0.5599, 0.5599)*CHOOSE(CONTROL!$C$42, 30, 30))/1000000</f>
        <v>11.673914999999997</v>
      </c>
      <c r="V232" s="57">
        <f>(1000*CHOOSE(CONTROL!$C$42, 500, 500)*CHOOSE(CONTROL!$C$42, 0.275, 0.275)*CHOOSE(CONTROL!$C$42, 30, 30))/1000000</f>
        <v>4.125</v>
      </c>
      <c r="W232" s="57">
        <f>(1000*CHOOSE(CONTROL!$C$42, 0.1146, 0.1146)*CHOOSE(CONTROL!$C$42, 121.5, 121.5)*CHOOSE(CONTROL!$C$42, 30, 30))/1000000</f>
        <v>0.417717</v>
      </c>
      <c r="X232" s="57">
        <f>(30*0.1790888*245000/1000000)+(30*0.2374*100000/1000000)</f>
        <v>2.0285026799999999</v>
      </c>
      <c r="Y232" s="57"/>
      <c r="Z232" s="14"/>
      <c r="AA232" s="56"/>
      <c r="AB232" s="50">
        <f>(B232*141.293+C232*267.993+D232*115.016+E232*89.698+F232*40+G232*185+H232*0+I232*100+J232*300)/(141.293+267.993+115.016+89.698+0+40+185+100+300)</f>
        <v>11.383789353591606</v>
      </c>
      <c r="AC232" s="45">
        <f>(M232*'RAP TEMPLATE-GAS AVAILABILITY'!O231+N232*'RAP TEMPLATE-GAS AVAILABILITY'!P231+O232*'RAP TEMPLATE-GAS AVAILABILITY'!Q231+P232*'RAP TEMPLATE-GAS AVAILABILITY'!R231)/('RAP TEMPLATE-GAS AVAILABILITY'!O231+'RAP TEMPLATE-GAS AVAILABILITY'!P231+'RAP TEMPLATE-GAS AVAILABILITY'!Q231+'RAP TEMPLATE-GAS AVAILABILITY'!R231)</f>
        <v>11.193858992805755</v>
      </c>
    </row>
    <row r="233" spans="1:29" ht="15.75" x14ac:dyDescent="0.25">
      <c r="A233" s="13">
        <v>47969</v>
      </c>
      <c r="B233" s="14">
        <f>CHOOSE(CONTROL!$C$42, 11.4262, 11.4262) * CHOOSE(CONTROL!$C$21, $C$9, 100%, $E$9)</f>
        <v>11.4262</v>
      </c>
      <c r="C233" s="14">
        <f>CHOOSE(CONTROL!$C$42, 11.4343, 11.4343) * CHOOSE(CONTROL!$C$21, $C$9, 100%, $E$9)</f>
        <v>11.4343</v>
      </c>
      <c r="D233" s="14">
        <f>CHOOSE(CONTROL!$C$42, 11.6548, 11.6548) * CHOOSE(CONTROL!$C$21, $C$9, 100%, $E$9)</f>
        <v>11.6548</v>
      </c>
      <c r="E233" s="14">
        <f>CHOOSE(CONTROL!$C$42, 11.6863, 11.6863) * CHOOSE(CONTROL!$C$21, $C$9, 100%, $E$9)</f>
        <v>11.686299999999999</v>
      </c>
      <c r="F233" s="14">
        <f>CHOOSE(CONTROL!$C$42, 11.4525, 11.4525)*CHOOSE(CONTROL!$C$21, $C$9, 100%, $E$9)</f>
        <v>11.452500000000001</v>
      </c>
      <c r="G233" s="14">
        <f>CHOOSE(CONTROL!$C$42, 11.4696, 11.4696)*CHOOSE(CONTROL!$C$21, $C$9, 100%, $E$9)</f>
        <v>11.4696</v>
      </c>
      <c r="H233" s="14">
        <f>CHOOSE(CONTROL!$C$42, 11.6749, 11.6749) * CHOOSE(CONTROL!$C$21, $C$9, 100%, $E$9)</f>
        <v>11.674899999999999</v>
      </c>
      <c r="I233" s="14">
        <f>CHOOSE(CONTROL!$C$42, 11.4899, 11.4899)* CHOOSE(CONTROL!$C$21, $C$9, 100%, $E$9)</f>
        <v>11.4899</v>
      </c>
      <c r="J233" s="14">
        <f>CHOOSE(CONTROL!$C$42, 11.4455, 11.4455)* CHOOSE(CONTROL!$C$21, $C$9, 100%, $E$9)</f>
        <v>11.445499999999999</v>
      </c>
      <c r="K233" s="53">
        <f>CHOOSE(CONTROL!$C$42, 11.486, 11.486) * CHOOSE(CONTROL!$C$21, $C$9, 100%, $E$9)</f>
        <v>11.486000000000001</v>
      </c>
      <c r="L233" s="14">
        <f>CHOOSE(CONTROL!$C$42, 12.2619, 12.2619) * CHOOSE(CONTROL!$C$21, $C$9, 100%, $E$9)</f>
        <v>12.261900000000001</v>
      </c>
      <c r="M233" s="14">
        <f>CHOOSE(CONTROL!$C$42, 11.2187, 11.2187) * CHOOSE(CONTROL!$C$21, $C$9, 100%, $E$9)</f>
        <v>11.2187</v>
      </c>
      <c r="N233" s="14">
        <f>CHOOSE(CONTROL!$C$42, 11.2355, 11.2355) * CHOOSE(CONTROL!$C$21, $C$9, 100%, $E$9)</f>
        <v>11.2355</v>
      </c>
      <c r="O233" s="14">
        <f>CHOOSE(CONTROL!$C$42, 11.4434, 11.4434) * CHOOSE(CONTROL!$C$21, $C$9, 100%, $E$9)</f>
        <v>11.4434</v>
      </c>
      <c r="P233" s="14">
        <f>CHOOSE(CONTROL!$C$42, 11.2615, 11.2615) * CHOOSE(CONTROL!$C$21, $C$9, 100%, $E$9)</f>
        <v>11.2615</v>
      </c>
      <c r="Q233" s="14">
        <f>CHOOSE(CONTROL!$C$42, 12.0381, 12.0381) * CHOOSE(CONTROL!$C$21, $C$9, 100%, $E$9)</f>
        <v>12.0381</v>
      </c>
      <c r="R233" s="14">
        <f>CHOOSE(CONTROL!$C$42, 12.6552, 12.6552) * CHOOSE(CONTROL!$C$21, $C$9, 100%, $E$9)</f>
        <v>12.655200000000001</v>
      </c>
      <c r="S233" s="14">
        <f>CHOOSE(CONTROL!$C$42, 10.9688, 10.9688) * CHOOSE(CONTROL!$C$21, $C$9, 100%, $E$9)</f>
        <v>10.9688</v>
      </c>
      <c r="T23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33" s="57">
        <f>(1000*CHOOSE(CONTROL!$C$42, 695, 695)*CHOOSE(CONTROL!$C$42, 0.5599, 0.5599)*CHOOSE(CONTROL!$C$42, 31, 31))/1000000</f>
        <v>12.063045499999998</v>
      </c>
      <c r="V233" s="57">
        <f>(1000*CHOOSE(CONTROL!$C$42, 500, 500)*CHOOSE(CONTROL!$C$42, 0.275, 0.275)*CHOOSE(CONTROL!$C$42, 31, 31))/1000000</f>
        <v>4.2625000000000002</v>
      </c>
      <c r="W233" s="57">
        <f>(1000*CHOOSE(CONTROL!$C$42, 0.1146, 0.1146)*CHOOSE(CONTROL!$C$42, 121.5, 121.5)*CHOOSE(CONTROL!$C$42, 31, 31))/1000000</f>
        <v>0.43164089999999994</v>
      </c>
      <c r="X233" s="57">
        <f>(31*0.1790888*245000/1000000)+(31*0.2374*100000/1000000)</f>
        <v>2.0961194359999999</v>
      </c>
      <c r="Y233" s="57"/>
      <c r="Z233" s="14"/>
      <c r="AA233" s="56"/>
      <c r="AB233" s="50">
        <f>(B233*194.205+C233*267.466+D233*133.845+E233*53.484+F233*40+G233*185+H233*0+I233*100+J233*300)/(194.205+267.466+133.845+53.484+0+40+185+100+300)</f>
        <v>11.479508971742543</v>
      </c>
      <c r="AC233" s="45">
        <f>(M233*'RAP TEMPLATE-GAS AVAILABILITY'!O232+N233*'RAP TEMPLATE-GAS AVAILABILITY'!P232+O233*'RAP TEMPLATE-GAS AVAILABILITY'!Q232+P233*'RAP TEMPLATE-GAS AVAILABILITY'!R232)/('RAP TEMPLATE-GAS AVAILABILITY'!O232+'RAP TEMPLATE-GAS AVAILABILITY'!P232+'RAP TEMPLATE-GAS AVAILABILITY'!Q232+'RAP TEMPLATE-GAS AVAILABILITY'!R232)</f>
        <v>11.291771223021581</v>
      </c>
    </row>
    <row r="234" spans="1:29" ht="15.75" x14ac:dyDescent="0.25">
      <c r="A234" s="13">
        <v>48000</v>
      </c>
      <c r="B234" s="14">
        <f>CHOOSE(CONTROL!$C$42, 11.75, 11.75) * CHOOSE(CONTROL!$C$21, $C$9, 100%, $E$9)</f>
        <v>11.75</v>
      </c>
      <c r="C234" s="14">
        <f>CHOOSE(CONTROL!$C$42, 11.758, 11.758) * CHOOSE(CONTROL!$C$21, $C$9, 100%, $E$9)</f>
        <v>11.757999999999999</v>
      </c>
      <c r="D234" s="14">
        <f>CHOOSE(CONTROL!$C$42, 11.9786, 11.9786) * CHOOSE(CONTROL!$C$21, $C$9, 100%, $E$9)</f>
        <v>11.9786</v>
      </c>
      <c r="E234" s="14">
        <f>CHOOSE(CONTROL!$C$42, 12.0101, 12.0101) * CHOOSE(CONTROL!$C$21, $C$9, 100%, $E$9)</f>
        <v>12.0101</v>
      </c>
      <c r="F234" s="14">
        <f>CHOOSE(CONTROL!$C$42, 11.7766, 11.7766)*CHOOSE(CONTROL!$C$21, $C$9, 100%, $E$9)</f>
        <v>11.7766</v>
      </c>
      <c r="G234" s="14">
        <f>CHOOSE(CONTROL!$C$42, 11.7938, 11.7938)*CHOOSE(CONTROL!$C$21, $C$9, 100%, $E$9)</f>
        <v>11.793799999999999</v>
      </c>
      <c r="H234" s="14">
        <f>CHOOSE(CONTROL!$C$42, 11.9987, 11.9987) * CHOOSE(CONTROL!$C$21, $C$9, 100%, $E$9)</f>
        <v>11.998699999999999</v>
      </c>
      <c r="I234" s="14">
        <f>CHOOSE(CONTROL!$C$42, 11.8147, 11.8147)* CHOOSE(CONTROL!$C$21, $C$9, 100%, $E$9)</f>
        <v>11.8147</v>
      </c>
      <c r="J234" s="14">
        <f>CHOOSE(CONTROL!$C$42, 11.7696, 11.7696)* CHOOSE(CONTROL!$C$21, $C$9, 100%, $E$9)</f>
        <v>11.769600000000001</v>
      </c>
      <c r="K234" s="53">
        <f>CHOOSE(CONTROL!$C$42, 11.8108, 11.8108) * CHOOSE(CONTROL!$C$21, $C$9, 100%, $E$9)</f>
        <v>11.8108</v>
      </c>
      <c r="L234" s="14">
        <f>CHOOSE(CONTROL!$C$42, 12.5857, 12.5857) * CHOOSE(CONTROL!$C$21, $C$9, 100%, $E$9)</f>
        <v>12.585699999999999</v>
      </c>
      <c r="M234" s="14">
        <f>CHOOSE(CONTROL!$C$42, 11.5362, 11.5362) * CHOOSE(CONTROL!$C$21, $C$9, 100%, $E$9)</f>
        <v>11.536199999999999</v>
      </c>
      <c r="N234" s="14">
        <f>CHOOSE(CONTROL!$C$42, 11.553, 11.553) * CHOOSE(CONTROL!$C$21, $C$9, 100%, $E$9)</f>
        <v>11.553000000000001</v>
      </c>
      <c r="O234" s="14">
        <f>CHOOSE(CONTROL!$C$42, 11.7606, 11.7606) * CHOOSE(CONTROL!$C$21, $C$9, 100%, $E$9)</f>
        <v>11.7606</v>
      </c>
      <c r="P234" s="14">
        <f>CHOOSE(CONTROL!$C$42, 11.5797, 11.5797) * CHOOSE(CONTROL!$C$21, $C$9, 100%, $E$9)</f>
        <v>11.579700000000001</v>
      </c>
      <c r="Q234" s="14">
        <f>CHOOSE(CONTROL!$C$42, 12.3553, 12.3553) * CHOOSE(CONTROL!$C$21, $C$9, 100%, $E$9)</f>
        <v>12.3553</v>
      </c>
      <c r="R234" s="14">
        <f>CHOOSE(CONTROL!$C$42, 12.9732, 12.9732) * CHOOSE(CONTROL!$C$21, $C$9, 100%, $E$9)</f>
        <v>12.9732</v>
      </c>
      <c r="S234" s="14">
        <f>CHOOSE(CONTROL!$C$42, 11.28, 11.28) * CHOOSE(CONTROL!$C$21, $C$9, 100%, $E$9)</f>
        <v>11.28</v>
      </c>
      <c r="T23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34" s="57">
        <f>(1000*CHOOSE(CONTROL!$C$42, 695, 695)*CHOOSE(CONTROL!$C$42, 0.5599, 0.5599)*CHOOSE(CONTROL!$C$42, 30, 30))/1000000</f>
        <v>11.673914999999997</v>
      </c>
      <c r="V234" s="57">
        <f>(1000*CHOOSE(CONTROL!$C$42, 500, 500)*CHOOSE(CONTROL!$C$42, 0.275, 0.275)*CHOOSE(CONTROL!$C$42, 30, 30))/1000000</f>
        <v>4.125</v>
      </c>
      <c r="W234" s="57">
        <f>(1000*CHOOSE(CONTROL!$C$42, 0.1146, 0.1146)*CHOOSE(CONTROL!$C$42, 121.5, 121.5)*CHOOSE(CONTROL!$C$42, 30, 30))/1000000</f>
        <v>0.417717</v>
      </c>
      <c r="X234" s="57">
        <f>(30*0.1790888*245000/1000000)+(30*0.2374*100000/1000000)</f>
        <v>2.0285026799999999</v>
      </c>
      <c r="Y234" s="57"/>
      <c r="Z234" s="14"/>
      <c r="AA234" s="56"/>
      <c r="AB234" s="50">
        <f>(B234*194.205+C234*267.466+D234*133.845+E234*53.484+F234*40+G234*185+H234*0+I234*100+J234*300)/(194.205+267.466+133.845+53.484+0+40+185+100+300)</f>
        <v>11.803504618053376</v>
      </c>
      <c r="AC234" s="45">
        <f>(M234*'RAP TEMPLATE-GAS AVAILABILITY'!O233+N234*'RAP TEMPLATE-GAS AVAILABILITY'!P233+O234*'RAP TEMPLATE-GAS AVAILABILITY'!Q233+P234*'RAP TEMPLATE-GAS AVAILABILITY'!R233)/('RAP TEMPLATE-GAS AVAILABILITY'!O233+'RAP TEMPLATE-GAS AVAILABILITY'!P233+'RAP TEMPLATE-GAS AVAILABILITY'!Q233+'RAP TEMPLATE-GAS AVAILABILITY'!R233)</f>
        <v>11.609287769784173</v>
      </c>
    </row>
    <row r="235" spans="1:29" ht="15.75" x14ac:dyDescent="0.25">
      <c r="A235" s="13">
        <v>48030</v>
      </c>
      <c r="B235" s="14">
        <f>CHOOSE(CONTROL!$C$42, 11.5248, 11.5248) * CHOOSE(CONTROL!$C$21, $C$9, 100%, $E$9)</f>
        <v>11.524800000000001</v>
      </c>
      <c r="C235" s="14">
        <f>CHOOSE(CONTROL!$C$42, 11.5329, 11.5329) * CHOOSE(CONTROL!$C$21, $C$9, 100%, $E$9)</f>
        <v>11.5329</v>
      </c>
      <c r="D235" s="14">
        <f>CHOOSE(CONTROL!$C$42, 11.7534, 11.7534) * CHOOSE(CONTROL!$C$21, $C$9, 100%, $E$9)</f>
        <v>11.753399999999999</v>
      </c>
      <c r="E235" s="14">
        <f>CHOOSE(CONTROL!$C$42, 11.7849, 11.7849) * CHOOSE(CONTROL!$C$21, $C$9, 100%, $E$9)</f>
        <v>11.7849</v>
      </c>
      <c r="F235" s="14">
        <f>CHOOSE(CONTROL!$C$42, 11.5519, 11.5519)*CHOOSE(CONTROL!$C$21, $C$9, 100%, $E$9)</f>
        <v>11.5519</v>
      </c>
      <c r="G235" s="14">
        <f>CHOOSE(CONTROL!$C$42, 11.5692, 11.5692)*CHOOSE(CONTROL!$C$21, $C$9, 100%, $E$9)</f>
        <v>11.5692</v>
      </c>
      <c r="H235" s="14">
        <f>CHOOSE(CONTROL!$C$42, 11.7735, 11.7735) * CHOOSE(CONTROL!$C$21, $C$9, 100%, $E$9)</f>
        <v>11.7735</v>
      </c>
      <c r="I235" s="14">
        <f>CHOOSE(CONTROL!$C$42, 11.5888, 11.5888)* CHOOSE(CONTROL!$C$21, $C$9, 100%, $E$9)</f>
        <v>11.588800000000001</v>
      </c>
      <c r="J235" s="14">
        <f>CHOOSE(CONTROL!$C$42, 11.5449, 11.5449)* CHOOSE(CONTROL!$C$21, $C$9, 100%, $E$9)</f>
        <v>11.5449</v>
      </c>
      <c r="K235" s="53">
        <f>CHOOSE(CONTROL!$C$42, 11.5849, 11.5849) * CHOOSE(CONTROL!$C$21, $C$9, 100%, $E$9)</f>
        <v>11.584899999999999</v>
      </c>
      <c r="L235" s="14">
        <f>CHOOSE(CONTROL!$C$42, 12.3605, 12.3605) * CHOOSE(CONTROL!$C$21, $C$9, 100%, $E$9)</f>
        <v>12.3605</v>
      </c>
      <c r="M235" s="14">
        <f>CHOOSE(CONTROL!$C$42, 11.316, 11.316) * CHOOSE(CONTROL!$C$21, $C$9, 100%, $E$9)</f>
        <v>11.316000000000001</v>
      </c>
      <c r="N235" s="14">
        <f>CHOOSE(CONTROL!$C$42, 11.333, 11.333) * CHOOSE(CONTROL!$C$21, $C$9, 100%, $E$9)</f>
        <v>11.333</v>
      </c>
      <c r="O235" s="14">
        <f>CHOOSE(CONTROL!$C$42, 11.54, 11.54) * CHOOSE(CONTROL!$C$21, $C$9, 100%, $E$9)</f>
        <v>11.54</v>
      </c>
      <c r="P235" s="14">
        <f>CHOOSE(CONTROL!$C$42, 11.3584, 11.3584) * CHOOSE(CONTROL!$C$21, $C$9, 100%, $E$9)</f>
        <v>11.3584</v>
      </c>
      <c r="Q235" s="14">
        <f>CHOOSE(CONTROL!$C$42, 12.1347, 12.1347) * CHOOSE(CONTROL!$C$21, $C$9, 100%, $E$9)</f>
        <v>12.1347</v>
      </c>
      <c r="R235" s="14">
        <f>CHOOSE(CONTROL!$C$42, 12.752, 12.752) * CHOOSE(CONTROL!$C$21, $C$9, 100%, $E$9)</f>
        <v>12.752000000000001</v>
      </c>
      <c r="S235" s="14">
        <f>CHOOSE(CONTROL!$C$42, 11.0636, 11.0636) * CHOOSE(CONTROL!$C$21, $C$9, 100%, $E$9)</f>
        <v>11.063599999999999</v>
      </c>
      <c r="T23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35" s="57">
        <f>(1000*CHOOSE(CONTROL!$C$42, 695, 695)*CHOOSE(CONTROL!$C$42, 0.5599, 0.5599)*CHOOSE(CONTROL!$C$42, 31, 31))/1000000</f>
        <v>12.063045499999998</v>
      </c>
      <c r="V235" s="57">
        <f>(1000*CHOOSE(CONTROL!$C$42, 500, 500)*CHOOSE(CONTROL!$C$42, 0.275, 0.275)*CHOOSE(CONTROL!$C$42, 31, 31))/1000000</f>
        <v>4.2625000000000002</v>
      </c>
      <c r="W235" s="57">
        <f>(1000*CHOOSE(CONTROL!$C$42, 0.1146, 0.1146)*CHOOSE(CONTROL!$C$42, 121.5, 121.5)*CHOOSE(CONTROL!$C$42, 31, 31))/1000000</f>
        <v>0.43164089999999994</v>
      </c>
      <c r="X235" s="57">
        <f>(31*0.1790888*245000/1000000)+(31*0.2374*100000/1000000)</f>
        <v>2.0961194359999999</v>
      </c>
      <c r="Y235" s="57"/>
      <c r="Z235" s="14"/>
      <c r="AA235" s="56"/>
      <c r="AB235" s="50">
        <f>(B235*194.205+C235*267.466+D235*133.845+E235*53.484+F235*40+G235*185+H235*0+I235*100+J235*300)/(194.205+267.466+133.845+53.484+0+40+185+100+300)</f>
        <v>11.57849123233909</v>
      </c>
      <c r="AC235" s="45">
        <f>(M235*'RAP TEMPLATE-GAS AVAILABILITY'!O234+N235*'RAP TEMPLATE-GAS AVAILABILITY'!P234+O235*'RAP TEMPLATE-GAS AVAILABILITY'!Q234+P235*'RAP TEMPLATE-GAS AVAILABILITY'!R234)/('RAP TEMPLATE-GAS AVAILABILITY'!O234+'RAP TEMPLATE-GAS AVAILABILITY'!P234+'RAP TEMPLATE-GAS AVAILABILITY'!Q234+'RAP TEMPLATE-GAS AVAILABILITY'!R234)</f>
        <v>11.388863309352518</v>
      </c>
    </row>
    <row r="236" spans="1:29" ht="15.75" x14ac:dyDescent="0.25">
      <c r="A236" s="13">
        <v>48061</v>
      </c>
      <c r="B236" s="14">
        <f>CHOOSE(CONTROL!$C$42, 10.9561, 10.9561) * CHOOSE(CONTROL!$C$21, $C$9, 100%, $E$9)</f>
        <v>10.956099999999999</v>
      </c>
      <c r="C236" s="14">
        <f>CHOOSE(CONTROL!$C$42, 10.9642, 10.9642) * CHOOSE(CONTROL!$C$21, $C$9, 100%, $E$9)</f>
        <v>10.9642</v>
      </c>
      <c r="D236" s="14">
        <f>CHOOSE(CONTROL!$C$42, 11.1848, 11.1848) * CHOOSE(CONTROL!$C$21, $C$9, 100%, $E$9)</f>
        <v>11.184799999999999</v>
      </c>
      <c r="E236" s="14">
        <f>CHOOSE(CONTROL!$C$42, 11.2162, 11.2162) * CHOOSE(CONTROL!$C$21, $C$9, 100%, $E$9)</f>
        <v>11.216200000000001</v>
      </c>
      <c r="F236" s="14">
        <f>CHOOSE(CONTROL!$C$42, 10.9835, 10.9835)*CHOOSE(CONTROL!$C$21, $C$9, 100%, $E$9)</f>
        <v>10.983499999999999</v>
      </c>
      <c r="G236" s="14">
        <f>CHOOSE(CONTROL!$C$42, 11.0009, 11.0009)*CHOOSE(CONTROL!$C$21, $C$9, 100%, $E$9)</f>
        <v>11.0009</v>
      </c>
      <c r="H236" s="14">
        <f>CHOOSE(CONTROL!$C$42, 11.2049, 11.2049) * CHOOSE(CONTROL!$C$21, $C$9, 100%, $E$9)</f>
        <v>11.2049</v>
      </c>
      <c r="I236" s="14">
        <f>CHOOSE(CONTROL!$C$42, 11.0183, 11.0183)* CHOOSE(CONTROL!$C$21, $C$9, 100%, $E$9)</f>
        <v>11.0183</v>
      </c>
      <c r="J236" s="14">
        <f>CHOOSE(CONTROL!$C$42, 10.9765, 10.9765)* CHOOSE(CONTROL!$C$21, $C$9, 100%, $E$9)</f>
        <v>10.9765</v>
      </c>
      <c r="K236" s="53">
        <f>CHOOSE(CONTROL!$C$42, 11.0145, 11.0145) * CHOOSE(CONTROL!$C$21, $C$9, 100%, $E$9)</f>
        <v>11.0145</v>
      </c>
      <c r="L236" s="14">
        <f>CHOOSE(CONTROL!$C$42, 11.7919, 11.7919) * CHOOSE(CONTROL!$C$21, $C$9, 100%, $E$9)</f>
        <v>11.7919</v>
      </c>
      <c r="M236" s="14">
        <f>CHOOSE(CONTROL!$C$42, 10.7593, 10.7593) * CHOOSE(CONTROL!$C$21, $C$9, 100%, $E$9)</f>
        <v>10.7593</v>
      </c>
      <c r="N236" s="14">
        <f>CHOOSE(CONTROL!$C$42, 10.7764, 10.7764) * CHOOSE(CONTROL!$C$21, $C$9, 100%, $E$9)</f>
        <v>10.776400000000001</v>
      </c>
      <c r="O236" s="14">
        <f>CHOOSE(CONTROL!$C$42, 10.983, 10.983) * CHOOSE(CONTROL!$C$21, $C$9, 100%, $E$9)</f>
        <v>10.983000000000001</v>
      </c>
      <c r="P236" s="14">
        <f>CHOOSE(CONTROL!$C$42, 10.7997, 10.7997) * CHOOSE(CONTROL!$C$21, $C$9, 100%, $E$9)</f>
        <v>10.7997</v>
      </c>
      <c r="Q236" s="14">
        <f>CHOOSE(CONTROL!$C$42, 11.5777, 11.5777) * CHOOSE(CONTROL!$C$21, $C$9, 100%, $E$9)</f>
        <v>11.5777</v>
      </c>
      <c r="R236" s="14">
        <f>CHOOSE(CONTROL!$C$42, 12.1936, 12.1936) * CHOOSE(CONTROL!$C$21, $C$9, 100%, $E$9)</f>
        <v>12.1936</v>
      </c>
      <c r="S236" s="14">
        <f>CHOOSE(CONTROL!$C$42, 10.5171, 10.5171) * CHOOSE(CONTROL!$C$21, $C$9, 100%, $E$9)</f>
        <v>10.517099999999999</v>
      </c>
      <c r="T23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36" s="57">
        <f>(1000*CHOOSE(CONTROL!$C$42, 695, 695)*CHOOSE(CONTROL!$C$42, 0.5599, 0.5599)*CHOOSE(CONTROL!$C$42, 31, 31))/1000000</f>
        <v>12.063045499999998</v>
      </c>
      <c r="V236" s="57">
        <f>(1000*CHOOSE(CONTROL!$C$42, 500, 500)*CHOOSE(CONTROL!$C$42, 0.275, 0.275)*CHOOSE(CONTROL!$C$42, 31, 31))/1000000</f>
        <v>4.2625000000000002</v>
      </c>
      <c r="W236" s="57">
        <f>(1000*CHOOSE(CONTROL!$C$42, 0.1146, 0.1146)*CHOOSE(CONTROL!$C$42, 121.5, 121.5)*CHOOSE(CONTROL!$C$42, 31, 31))/1000000</f>
        <v>0.43164089999999994</v>
      </c>
      <c r="X236" s="57">
        <f>(31*0.1790888*245000/1000000)+(31*0.2374*100000/1000000)</f>
        <v>2.0961194359999999</v>
      </c>
      <c r="Y236" s="57"/>
      <c r="Z236" s="14"/>
      <c r="AA236" s="56"/>
      <c r="AB236" s="50">
        <f>(B236*194.205+C236*267.466+D236*133.845+E236*53.484+F236*40+G236*185+H236*0+I236*100+J236*300)/(194.205+267.466+133.845+53.484+0+40+185+100+300)</f>
        <v>11.009798598508633</v>
      </c>
      <c r="AC236" s="45">
        <f>(M236*'RAP TEMPLATE-GAS AVAILABILITY'!O235+N236*'RAP TEMPLATE-GAS AVAILABILITY'!P235+O236*'RAP TEMPLATE-GAS AVAILABILITY'!Q235+P236*'RAP TEMPLATE-GAS AVAILABILITY'!R235)/('RAP TEMPLATE-GAS AVAILABILITY'!O235+'RAP TEMPLATE-GAS AVAILABILITY'!P235+'RAP TEMPLATE-GAS AVAILABILITY'!Q235+'RAP TEMPLATE-GAS AVAILABILITY'!R235)</f>
        <v>10.831814388489208</v>
      </c>
    </row>
    <row r="237" spans="1:29" ht="15.75" x14ac:dyDescent="0.25">
      <c r="A237" s="13">
        <v>48092</v>
      </c>
      <c r="B237" s="14">
        <f>CHOOSE(CONTROL!$C$42, 10.2611, 10.2611) * CHOOSE(CONTROL!$C$21, $C$9, 100%, $E$9)</f>
        <v>10.261100000000001</v>
      </c>
      <c r="C237" s="14">
        <f>CHOOSE(CONTROL!$C$42, 10.2691, 10.2691) * CHOOSE(CONTROL!$C$21, $C$9, 100%, $E$9)</f>
        <v>10.2691</v>
      </c>
      <c r="D237" s="14">
        <f>CHOOSE(CONTROL!$C$42, 10.4897, 10.4897) * CHOOSE(CONTROL!$C$21, $C$9, 100%, $E$9)</f>
        <v>10.489699999999999</v>
      </c>
      <c r="E237" s="14">
        <f>CHOOSE(CONTROL!$C$42, 10.5212, 10.5212) * CHOOSE(CONTROL!$C$21, $C$9, 100%, $E$9)</f>
        <v>10.5212</v>
      </c>
      <c r="F237" s="14">
        <f>CHOOSE(CONTROL!$C$42, 10.2884, 10.2884)*CHOOSE(CONTROL!$C$21, $C$9, 100%, $E$9)</f>
        <v>10.288399999999999</v>
      </c>
      <c r="G237" s="14">
        <f>CHOOSE(CONTROL!$C$42, 10.3059, 10.3059)*CHOOSE(CONTROL!$C$21, $C$9, 100%, $E$9)</f>
        <v>10.305899999999999</v>
      </c>
      <c r="H237" s="14">
        <f>CHOOSE(CONTROL!$C$42, 10.5098, 10.5098) * CHOOSE(CONTROL!$C$21, $C$9, 100%, $E$9)</f>
        <v>10.5098</v>
      </c>
      <c r="I237" s="14">
        <f>CHOOSE(CONTROL!$C$42, 10.3211, 10.3211)* CHOOSE(CONTROL!$C$21, $C$9, 100%, $E$9)</f>
        <v>10.321099999999999</v>
      </c>
      <c r="J237" s="14">
        <f>CHOOSE(CONTROL!$C$42, 10.2814, 10.2814)* CHOOSE(CONTROL!$C$21, $C$9, 100%, $E$9)</f>
        <v>10.2814</v>
      </c>
      <c r="K237" s="53">
        <f>CHOOSE(CONTROL!$C$42, 10.3172, 10.3172) * CHOOSE(CONTROL!$C$21, $C$9, 100%, $E$9)</f>
        <v>10.3172</v>
      </c>
      <c r="L237" s="14">
        <f>CHOOSE(CONTROL!$C$42, 11.0968, 11.0968) * CHOOSE(CONTROL!$C$21, $C$9, 100%, $E$9)</f>
        <v>11.0968</v>
      </c>
      <c r="M237" s="14">
        <f>CHOOSE(CONTROL!$C$42, 10.0785, 10.0785) * CHOOSE(CONTROL!$C$21, $C$9, 100%, $E$9)</f>
        <v>10.0785</v>
      </c>
      <c r="N237" s="14">
        <f>CHOOSE(CONTROL!$C$42, 10.0955, 10.0955) * CHOOSE(CONTROL!$C$21, $C$9, 100%, $E$9)</f>
        <v>10.095499999999999</v>
      </c>
      <c r="O237" s="14">
        <f>CHOOSE(CONTROL!$C$42, 10.3022, 10.3022) * CHOOSE(CONTROL!$C$21, $C$9, 100%, $E$9)</f>
        <v>10.302199999999999</v>
      </c>
      <c r="P237" s="14">
        <f>CHOOSE(CONTROL!$C$42, 10.1168, 10.1168) * CHOOSE(CONTROL!$C$21, $C$9, 100%, $E$9)</f>
        <v>10.1168</v>
      </c>
      <c r="Q237" s="14">
        <f>CHOOSE(CONTROL!$C$42, 10.8969, 10.8969) * CHOOSE(CONTROL!$C$21, $C$9, 100%, $E$9)</f>
        <v>10.8969</v>
      </c>
      <c r="R237" s="14">
        <f>CHOOSE(CONTROL!$C$42, 11.5111, 11.5111) * CHOOSE(CONTROL!$C$21, $C$9, 100%, $E$9)</f>
        <v>11.511100000000001</v>
      </c>
      <c r="S237" s="14">
        <f>CHOOSE(CONTROL!$C$42, 9.8493, 9.8493) * CHOOSE(CONTROL!$C$21, $C$9, 100%, $E$9)</f>
        <v>9.8492999999999995</v>
      </c>
      <c r="T23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37" s="57">
        <f>(1000*CHOOSE(CONTROL!$C$42, 695, 695)*CHOOSE(CONTROL!$C$42, 0.5599, 0.5599)*CHOOSE(CONTROL!$C$42, 30, 30))/1000000</f>
        <v>11.673914999999997</v>
      </c>
      <c r="V237" s="57">
        <f>(1000*CHOOSE(CONTROL!$C$42, 500, 500)*CHOOSE(CONTROL!$C$42, 0.275, 0.275)*CHOOSE(CONTROL!$C$42, 30, 30))/1000000</f>
        <v>4.125</v>
      </c>
      <c r="W237" s="57">
        <f>(1000*CHOOSE(CONTROL!$C$42, 0.1146, 0.1146)*CHOOSE(CONTROL!$C$42, 121.5, 121.5)*CHOOSE(CONTROL!$C$42, 30, 30))/1000000</f>
        <v>0.417717</v>
      </c>
      <c r="X237" s="57">
        <f>(30*0.1790888*245000/1000000)+(30*0.2374*100000/1000000)</f>
        <v>2.0285026799999999</v>
      </c>
      <c r="Y237" s="57"/>
      <c r="Z237" s="14"/>
      <c r="AA237" s="56"/>
      <c r="AB237" s="50">
        <f>(B237*194.205+C237*267.466+D237*133.845+E237*53.484+F237*40+G237*185+H237*0+I237*100+J237*300)/(194.205+267.466+133.845+53.484+0+40+185+100+300)</f>
        <v>10.314567726373626</v>
      </c>
      <c r="AC237" s="45">
        <f>(M237*'RAP TEMPLATE-GAS AVAILABILITY'!O236+N237*'RAP TEMPLATE-GAS AVAILABILITY'!P236+O237*'RAP TEMPLATE-GAS AVAILABILITY'!Q236+P237*'RAP TEMPLATE-GAS AVAILABILITY'!R236)/('RAP TEMPLATE-GAS AVAILABILITY'!O236+'RAP TEMPLATE-GAS AVAILABILITY'!P236+'RAP TEMPLATE-GAS AVAILABILITY'!Q236+'RAP TEMPLATE-GAS AVAILABILITY'!R236)</f>
        <v>10.150689208633095</v>
      </c>
    </row>
    <row r="238" spans="1:29" ht="15.75" x14ac:dyDescent="0.25">
      <c r="A238" s="13">
        <v>48122</v>
      </c>
      <c r="B238" s="14">
        <f>CHOOSE(CONTROL!$C$42, 10.0512, 10.0512) * CHOOSE(CONTROL!$C$21, $C$9, 100%, $E$9)</f>
        <v>10.0512</v>
      </c>
      <c r="C238" s="14">
        <f>CHOOSE(CONTROL!$C$42, 10.0566, 10.0566) * CHOOSE(CONTROL!$C$21, $C$9, 100%, $E$9)</f>
        <v>10.0566</v>
      </c>
      <c r="D238" s="14">
        <f>CHOOSE(CONTROL!$C$42, 10.2821, 10.2821) * CHOOSE(CONTROL!$C$21, $C$9, 100%, $E$9)</f>
        <v>10.2821</v>
      </c>
      <c r="E238" s="14">
        <f>CHOOSE(CONTROL!$C$42, 10.3112, 10.3112) * CHOOSE(CONTROL!$C$21, $C$9, 100%, $E$9)</f>
        <v>10.311199999999999</v>
      </c>
      <c r="F238" s="14">
        <f>CHOOSE(CONTROL!$C$42, 10.0806, 10.0806)*CHOOSE(CONTROL!$C$21, $C$9, 100%, $E$9)</f>
        <v>10.0806</v>
      </c>
      <c r="G238" s="14">
        <f>CHOOSE(CONTROL!$C$42, 10.0978, 10.0978)*CHOOSE(CONTROL!$C$21, $C$9, 100%, $E$9)</f>
        <v>10.097799999999999</v>
      </c>
      <c r="H238" s="14">
        <f>CHOOSE(CONTROL!$C$42, 10.3017, 10.3017) * CHOOSE(CONTROL!$C$21, $C$9, 100%, $E$9)</f>
        <v>10.3017</v>
      </c>
      <c r="I238" s="14">
        <f>CHOOSE(CONTROL!$C$42, 10.1124, 10.1124)* CHOOSE(CONTROL!$C$21, $C$9, 100%, $E$9)</f>
        <v>10.112399999999999</v>
      </c>
      <c r="J238" s="14">
        <f>CHOOSE(CONTROL!$C$42, 10.0736, 10.0736)* CHOOSE(CONTROL!$C$21, $C$9, 100%, $E$9)</f>
        <v>10.073600000000001</v>
      </c>
      <c r="K238" s="53">
        <f>CHOOSE(CONTROL!$C$42, 10.1085, 10.1085) * CHOOSE(CONTROL!$C$21, $C$9, 100%, $E$9)</f>
        <v>10.108499999999999</v>
      </c>
      <c r="L238" s="14">
        <f>CHOOSE(CONTROL!$C$42, 10.8887, 10.8887) * CHOOSE(CONTROL!$C$21, $C$9, 100%, $E$9)</f>
        <v>10.8887</v>
      </c>
      <c r="M238" s="14">
        <f>CHOOSE(CONTROL!$C$42, 9.8749, 9.8749) * CHOOSE(CONTROL!$C$21, $C$9, 100%, $E$9)</f>
        <v>9.8749000000000002</v>
      </c>
      <c r="N238" s="14">
        <f>CHOOSE(CONTROL!$C$42, 9.8918, 9.8918) * CHOOSE(CONTROL!$C$21, $C$9, 100%, $E$9)</f>
        <v>9.8917999999999999</v>
      </c>
      <c r="O238" s="14">
        <f>CHOOSE(CONTROL!$C$42, 10.0983, 10.0983) * CHOOSE(CONTROL!$C$21, $C$9, 100%, $E$9)</f>
        <v>10.0983</v>
      </c>
      <c r="P238" s="14">
        <f>CHOOSE(CONTROL!$C$42, 9.9123, 9.9123) * CHOOSE(CONTROL!$C$21, $C$9, 100%, $E$9)</f>
        <v>9.9123000000000001</v>
      </c>
      <c r="Q238" s="14">
        <f>CHOOSE(CONTROL!$C$42, 10.693, 10.693) * CHOOSE(CONTROL!$C$21, $C$9, 100%, $E$9)</f>
        <v>10.693</v>
      </c>
      <c r="R238" s="14">
        <f>CHOOSE(CONTROL!$C$42, 11.3068, 11.3068) * CHOOSE(CONTROL!$C$21, $C$9, 100%, $E$9)</f>
        <v>11.306800000000001</v>
      </c>
      <c r="S238" s="14">
        <f>CHOOSE(CONTROL!$C$42, 9.6493, 9.6493) * CHOOSE(CONTROL!$C$21, $C$9, 100%, $E$9)</f>
        <v>9.6493000000000002</v>
      </c>
      <c r="T23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38" s="57">
        <f>(1000*CHOOSE(CONTROL!$C$42, 695, 695)*CHOOSE(CONTROL!$C$42, 0.5599, 0.5599)*CHOOSE(CONTROL!$C$42, 31, 31))/1000000</f>
        <v>12.063045499999998</v>
      </c>
      <c r="V238" s="57">
        <f>(1000*CHOOSE(CONTROL!$C$42, 500, 500)*CHOOSE(CONTROL!$C$42, 0.275, 0.275)*CHOOSE(CONTROL!$C$42, 31, 31))/1000000</f>
        <v>4.2625000000000002</v>
      </c>
      <c r="W238" s="57">
        <f>(1000*CHOOSE(CONTROL!$C$42, 0.1146, 0.1146)*CHOOSE(CONTROL!$C$42, 121.5, 121.5)*CHOOSE(CONTROL!$C$42, 31, 31))/1000000</f>
        <v>0.43164089999999994</v>
      </c>
      <c r="X238" s="57">
        <f>(31*0.1790888*245000/1000000)+(31*0.2374*100000/1000000)</f>
        <v>2.0961194359999999</v>
      </c>
      <c r="Y238" s="57"/>
      <c r="Z238" s="14"/>
      <c r="AA238" s="56"/>
      <c r="AB238" s="50">
        <f>(B238*131.881+C238*277.167+D238*79.08+E238*125.872+F238*40+G238*185+H238*0+I238*100+J238*300)/(131.881+277.167+79.08+125.872+0+40+185+100+300)</f>
        <v>10.111829534947537</v>
      </c>
      <c r="AC238" s="45">
        <f>(M238*'RAP TEMPLATE-GAS AVAILABILITY'!O237+N238*'RAP TEMPLATE-GAS AVAILABILITY'!P237+O238*'RAP TEMPLATE-GAS AVAILABILITY'!Q237+P238*'RAP TEMPLATE-GAS AVAILABILITY'!R237)/('RAP TEMPLATE-GAS AVAILABILITY'!O237+'RAP TEMPLATE-GAS AVAILABILITY'!P237+'RAP TEMPLATE-GAS AVAILABILITY'!Q237+'RAP TEMPLATE-GAS AVAILABILITY'!R237)</f>
        <v>9.9468525179856115</v>
      </c>
    </row>
    <row r="239" spans="1:29" ht="15.75" x14ac:dyDescent="0.25">
      <c r="A239" s="13">
        <v>48153</v>
      </c>
      <c r="B239" s="14">
        <f>CHOOSE(CONTROL!$C$42, 10.3154, 10.3154) * CHOOSE(CONTROL!$C$21, $C$9, 100%, $E$9)</f>
        <v>10.3154</v>
      </c>
      <c r="C239" s="14">
        <f>CHOOSE(CONTROL!$C$42, 10.3204, 10.3204) * CHOOSE(CONTROL!$C$21, $C$9, 100%, $E$9)</f>
        <v>10.320399999999999</v>
      </c>
      <c r="D239" s="14">
        <f>CHOOSE(CONTROL!$C$42, 10.3946, 10.3946) * CHOOSE(CONTROL!$C$21, $C$9, 100%, $E$9)</f>
        <v>10.394600000000001</v>
      </c>
      <c r="E239" s="14">
        <f>CHOOSE(CONTROL!$C$42, 10.4287, 10.4287) * CHOOSE(CONTROL!$C$21, $C$9, 100%, $E$9)</f>
        <v>10.428699999999999</v>
      </c>
      <c r="F239" s="14">
        <f>CHOOSE(CONTROL!$C$42, 10.3514, 10.3514)*CHOOSE(CONTROL!$C$21, $C$9, 100%, $E$9)</f>
        <v>10.3514</v>
      </c>
      <c r="G239" s="14">
        <f>CHOOSE(CONTROL!$C$42, 10.3689, 10.3689)*CHOOSE(CONTROL!$C$21, $C$9, 100%, $E$9)</f>
        <v>10.3689</v>
      </c>
      <c r="H239" s="14">
        <f>CHOOSE(CONTROL!$C$42, 10.4179, 10.4179) * CHOOSE(CONTROL!$C$21, $C$9, 100%, $E$9)</f>
        <v>10.417899999999999</v>
      </c>
      <c r="I239" s="14">
        <f>CHOOSE(CONTROL!$C$42, 10.3751, 10.3751)* CHOOSE(CONTROL!$C$21, $C$9, 100%, $E$9)</f>
        <v>10.3751</v>
      </c>
      <c r="J239" s="14">
        <f>CHOOSE(CONTROL!$C$42, 10.3444, 10.3444)* CHOOSE(CONTROL!$C$21, $C$9, 100%, $E$9)</f>
        <v>10.3444</v>
      </c>
      <c r="K239" s="53">
        <f>CHOOSE(CONTROL!$C$42, 10.3712, 10.3712) * CHOOSE(CONTROL!$C$21, $C$9, 100%, $E$9)</f>
        <v>10.3712</v>
      </c>
      <c r="L239" s="14">
        <f>CHOOSE(CONTROL!$C$42, 11.0049, 11.0049) * CHOOSE(CONTROL!$C$21, $C$9, 100%, $E$9)</f>
        <v>11.004899999999999</v>
      </c>
      <c r="M239" s="14">
        <f>CHOOSE(CONTROL!$C$42, 10.1401, 10.1401) * CHOOSE(CONTROL!$C$21, $C$9, 100%, $E$9)</f>
        <v>10.1401</v>
      </c>
      <c r="N239" s="14">
        <f>CHOOSE(CONTROL!$C$42, 10.1573, 10.1573) * CHOOSE(CONTROL!$C$21, $C$9, 100%, $E$9)</f>
        <v>10.157299999999999</v>
      </c>
      <c r="O239" s="14">
        <f>CHOOSE(CONTROL!$C$42, 10.2122, 10.2122) * CHOOSE(CONTROL!$C$21, $C$9, 100%, $E$9)</f>
        <v>10.212199999999999</v>
      </c>
      <c r="P239" s="14">
        <f>CHOOSE(CONTROL!$C$42, 10.1697, 10.1697) * CHOOSE(CONTROL!$C$21, $C$9, 100%, $E$9)</f>
        <v>10.169700000000001</v>
      </c>
      <c r="Q239" s="14">
        <f>CHOOSE(CONTROL!$C$42, 10.8069, 10.8069) * CHOOSE(CONTROL!$C$21, $C$9, 100%, $E$9)</f>
        <v>10.806900000000001</v>
      </c>
      <c r="R239" s="14">
        <f>CHOOSE(CONTROL!$C$42, 11.4209, 11.4209) * CHOOSE(CONTROL!$C$21, $C$9, 100%, $E$9)</f>
        <v>11.4209</v>
      </c>
      <c r="S239" s="14">
        <f>CHOOSE(CONTROL!$C$42, 9.9035, 9.9035) * CHOOSE(CONTROL!$C$21, $C$9, 100%, $E$9)</f>
        <v>9.9034999999999993</v>
      </c>
      <c r="T23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39" s="57">
        <f>(1000*CHOOSE(CONTROL!$C$42, 695, 695)*CHOOSE(CONTROL!$C$42, 0.5599, 0.5599)*CHOOSE(CONTROL!$C$42, 30, 30))/1000000</f>
        <v>11.673914999999997</v>
      </c>
      <c r="V239" s="57">
        <f>(1000*CHOOSE(CONTROL!$C$42, 500, 500)*CHOOSE(CONTROL!$C$42, 0.275, 0.275)*CHOOSE(CONTROL!$C$42, 30, 30))/1000000</f>
        <v>4.125</v>
      </c>
      <c r="W239" s="57">
        <f>(1000*CHOOSE(CONTROL!$C$42, 0.1146, 0.1146)*CHOOSE(CONTROL!$C$42, 121.5, 121.5)*CHOOSE(CONTROL!$C$42, 30, 30))/1000000</f>
        <v>0.417717</v>
      </c>
      <c r="X239" s="57">
        <f>(30*0.1790888*100000/1000000)+(30*0.2374*100000/1000000)</f>
        <v>1.2494664</v>
      </c>
      <c r="Y239" s="57"/>
      <c r="Z239" s="14"/>
      <c r="AA239" s="56"/>
      <c r="AB239" s="50">
        <f>(B239*122.58+C239*297.941+D239*89.177+E239*40.302+F239*40+G239*160+H239*0+I239*100+J239*300)/(122.58+297.941+89.177+40.302+0+40+160+100+300)</f>
        <v>10.348259773913043</v>
      </c>
      <c r="AC239" s="45">
        <f>(M239*'RAP TEMPLATE-GAS AVAILABILITY'!O238+N239*'RAP TEMPLATE-GAS AVAILABILITY'!P238+O239*'RAP TEMPLATE-GAS AVAILABILITY'!Q238+P239*'RAP TEMPLATE-GAS AVAILABILITY'!R238)/('RAP TEMPLATE-GAS AVAILABILITY'!O238+'RAP TEMPLATE-GAS AVAILABILITY'!P238+'RAP TEMPLATE-GAS AVAILABILITY'!Q238+'RAP TEMPLATE-GAS AVAILABILITY'!R238)</f>
        <v>10.178027338129496</v>
      </c>
    </row>
    <row r="240" spans="1:29" ht="15.75" x14ac:dyDescent="0.25">
      <c r="A240" s="13">
        <v>48183</v>
      </c>
      <c r="B240" s="14">
        <f>CHOOSE(CONTROL!$C$42, 11.018, 11.018) * CHOOSE(CONTROL!$C$21, $C$9, 100%, $E$9)</f>
        <v>11.018000000000001</v>
      </c>
      <c r="C240" s="14">
        <f>CHOOSE(CONTROL!$C$42, 11.0231, 11.0231) * CHOOSE(CONTROL!$C$21, $C$9, 100%, $E$9)</f>
        <v>11.023099999999999</v>
      </c>
      <c r="D240" s="14">
        <f>CHOOSE(CONTROL!$C$42, 11.0973, 11.0973) * CHOOSE(CONTROL!$C$21, $C$9, 100%, $E$9)</f>
        <v>11.097300000000001</v>
      </c>
      <c r="E240" s="14">
        <f>CHOOSE(CONTROL!$C$42, 11.1314, 11.1314) * CHOOSE(CONTROL!$C$21, $C$9, 100%, $E$9)</f>
        <v>11.131399999999999</v>
      </c>
      <c r="F240" s="14">
        <f>CHOOSE(CONTROL!$C$42, 11.0564, 11.0564)*CHOOSE(CONTROL!$C$21, $C$9, 100%, $E$9)</f>
        <v>11.0564</v>
      </c>
      <c r="G240" s="14">
        <f>CHOOSE(CONTROL!$C$42, 11.0746, 11.0746)*CHOOSE(CONTROL!$C$21, $C$9, 100%, $E$9)</f>
        <v>11.0746</v>
      </c>
      <c r="H240" s="14">
        <f>CHOOSE(CONTROL!$C$42, 11.1206, 11.1206) * CHOOSE(CONTROL!$C$21, $C$9, 100%, $E$9)</f>
        <v>11.1206</v>
      </c>
      <c r="I240" s="14">
        <f>CHOOSE(CONTROL!$C$42, 11.08, 11.08)* CHOOSE(CONTROL!$C$21, $C$9, 100%, $E$9)</f>
        <v>11.08</v>
      </c>
      <c r="J240" s="14">
        <f>CHOOSE(CONTROL!$C$42, 11.0494, 11.0494)* CHOOSE(CONTROL!$C$21, $C$9, 100%, $E$9)</f>
        <v>11.0494</v>
      </c>
      <c r="K240" s="53">
        <f>CHOOSE(CONTROL!$C$42, 11.0761, 11.0761) * CHOOSE(CONTROL!$C$21, $C$9, 100%, $E$9)</f>
        <v>11.0761</v>
      </c>
      <c r="L240" s="14">
        <f>CHOOSE(CONTROL!$C$42, 11.7076, 11.7076) * CHOOSE(CONTROL!$C$21, $C$9, 100%, $E$9)</f>
        <v>11.707599999999999</v>
      </c>
      <c r="M240" s="14">
        <f>CHOOSE(CONTROL!$C$42, 10.8307, 10.8307) * CHOOSE(CONTROL!$C$21, $C$9, 100%, $E$9)</f>
        <v>10.8307</v>
      </c>
      <c r="N240" s="14">
        <f>CHOOSE(CONTROL!$C$42, 10.8485, 10.8485) * CHOOSE(CONTROL!$C$21, $C$9, 100%, $E$9)</f>
        <v>10.8485</v>
      </c>
      <c r="O240" s="14">
        <f>CHOOSE(CONTROL!$C$42, 10.9004, 10.9004) * CHOOSE(CONTROL!$C$21, $C$9, 100%, $E$9)</f>
        <v>10.900399999999999</v>
      </c>
      <c r="P240" s="14">
        <f>CHOOSE(CONTROL!$C$42, 10.86, 10.86) * CHOOSE(CONTROL!$C$21, $C$9, 100%, $E$9)</f>
        <v>10.86</v>
      </c>
      <c r="Q240" s="14">
        <f>CHOOSE(CONTROL!$C$42, 11.4951, 11.4951) * CHOOSE(CONTROL!$C$21, $C$9, 100%, $E$9)</f>
        <v>11.495100000000001</v>
      </c>
      <c r="R240" s="14">
        <f>CHOOSE(CONTROL!$C$42, 12.1109, 12.1109) * CHOOSE(CONTROL!$C$21, $C$9, 100%, $E$9)</f>
        <v>12.110900000000001</v>
      </c>
      <c r="S240" s="14">
        <f>CHOOSE(CONTROL!$C$42, 10.5786, 10.5786) * CHOOSE(CONTROL!$C$21, $C$9, 100%, $E$9)</f>
        <v>10.5786</v>
      </c>
      <c r="T24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40" s="57">
        <f>(1000*CHOOSE(CONTROL!$C$42, 695, 695)*CHOOSE(CONTROL!$C$42, 0.5599, 0.5599)*CHOOSE(CONTROL!$C$42, 31, 31))/1000000</f>
        <v>12.063045499999998</v>
      </c>
      <c r="V240" s="57">
        <f>(1000*CHOOSE(CONTROL!$C$42, 500, 500)*CHOOSE(CONTROL!$C$42, 0.275, 0.275)*CHOOSE(CONTROL!$C$42, 31, 31))/1000000</f>
        <v>4.2625000000000002</v>
      </c>
      <c r="W240" s="57">
        <f>(1000*CHOOSE(CONTROL!$C$42, 0.1146, 0.1146)*CHOOSE(CONTROL!$C$42, 121.5, 121.5)*CHOOSE(CONTROL!$C$42, 31, 31))/1000000</f>
        <v>0.43164089999999994</v>
      </c>
      <c r="X240" s="57">
        <f>(31*0.1790888*100000/1000000)+(31*0.2374*100000/1000000)</f>
        <v>1.2911152800000001</v>
      </c>
      <c r="Y240" s="57"/>
      <c r="Z240" s="14"/>
      <c r="AA240" s="56"/>
      <c r="AB240" s="50">
        <f>(B240*122.58+C240*297.941+D240*89.177+E240*40.302+F240*40+G240*160+H240*0+I240*100+J240*300)/(122.58+297.941+89.177+40.302+0+40+160+100+300)</f>
        <v>11.052237810434782</v>
      </c>
      <c r="AC240" s="45">
        <f>(M240*'RAP TEMPLATE-GAS AVAILABILITY'!O239+N240*'RAP TEMPLATE-GAS AVAILABILITY'!P239+O240*'RAP TEMPLATE-GAS AVAILABILITY'!Q239+P240*'RAP TEMPLATE-GAS AVAILABILITY'!R239)/('RAP TEMPLATE-GAS AVAILABILITY'!O239+'RAP TEMPLATE-GAS AVAILABILITY'!P239+'RAP TEMPLATE-GAS AVAILABILITY'!Q239+'RAP TEMPLATE-GAS AVAILABILITY'!R239)</f>
        <v>10.867530935251798</v>
      </c>
    </row>
    <row r="241" spans="1:29" ht="15.75" x14ac:dyDescent="0.25">
      <c r="A241" s="13">
        <v>48214</v>
      </c>
      <c r="B241" s="14">
        <f>CHOOSE(CONTROL!$C$42, 11.9306, 11.9306) * CHOOSE(CONTROL!$C$21, $C$9, 100%, $E$9)</f>
        <v>11.9306</v>
      </c>
      <c r="C241" s="14">
        <f>CHOOSE(CONTROL!$C$42, 11.9357, 11.9357) * CHOOSE(CONTROL!$C$21, $C$9, 100%, $E$9)</f>
        <v>11.935700000000001</v>
      </c>
      <c r="D241" s="14">
        <f>CHOOSE(CONTROL!$C$42, 12.0125, 12.0125) * CHOOSE(CONTROL!$C$21, $C$9, 100%, $E$9)</f>
        <v>12.012499999999999</v>
      </c>
      <c r="E241" s="14">
        <f>CHOOSE(CONTROL!$C$42, 12.0466, 12.0466) * CHOOSE(CONTROL!$C$21, $C$9, 100%, $E$9)</f>
        <v>12.0466</v>
      </c>
      <c r="F241" s="14">
        <f>CHOOSE(CONTROL!$C$42, 11.9553, 11.9553)*CHOOSE(CONTROL!$C$21, $C$9, 100%, $E$9)</f>
        <v>11.955299999999999</v>
      </c>
      <c r="G241" s="14">
        <f>CHOOSE(CONTROL!$C$42, 11.9733, 11.9733)*CHOOSE(CONTROL!$C$21, $C$9, 100%, $E$9)</f>
        <v>11.9733</v>
      </c>
      <c r="H241" s="14">
        <f>CHOOSE(CONTROL!$C$42, 12.0358, 12.0358) * CHOOSE(CONTROL!$C$21, $C$9, 100%, $E$9)</f>
        <v>12.0358</v>
      </c>
      <c r="I241" s="14">
        <f>CHOOSE(CONTROL!$C$42, 12.0017, 12.0017)* CHOOSE(CONTROL!$C$21, $C$9, 100%, $E$9)</f>
        <v>12.0017</v>
      </c>
      <c r="J241" s="14">
        <f>CHOOSE(CONTROL!$C$42, 11.9483, 11.9483)* CHOOSE(CONTROL!$C$21, $C$9, 100%, $E$9)</f>
        <v>11.9483</v>
      </c>
      <c r="K241" s="53">
        <f>CHOOSE(CONTROL!$C$42, 11.9978, 11.9978) * CHOOSE(CONTROL!$C$21, $C$9, 100%, $E$9)</f>
        <v>11.9978</v>
      </c>
      <c r="L241" s="14">
        <f>CHOOSE(CONTROL!$C$42, 12.6228, 12.6228) * CHOOSE(CONTROL!$C$21, $C$9, 100%, $E$9)</f>
        <v>12.6228</v>
      </c>
      <c r="M241" s="14">
        <f>CHOOSE(CONTROL!$C$42, 11.7112, 11.7112) * CHOOSE(CONTROL!$C$21, $C$9, 100%, $E$9)</f>
        <v>11.7112</v>
      </c>
      <c r="N241" s="14">
        <f>CHOOSE(CONTROL!$C$42, 11.7288, 11.7288) * CHOOSE(CONTROL!$C$21, $C$9, 100%, $E$9)</f>
        <v>11.7288</v>
      </c>
      <c r="O241" s="14">
        <f>CHOOSE(CONTROL!$C$42, 11.7969, 11.7969) * CHOOSE(CONTROL!$C$21, $C$9, 100%, $E$9)</f>
        <v>11.796900000000001</v>
      </c>
      <c r="P241" s="14">
        <f>CHOOSE(CONTROL!$C$42, 11.7628, 11.7628) * CHOOSE(CONTROL!$C$21, $C$9, 100%, $E$9)</f>
        <v>11.7628</v>
      </c>
      <c r="Q241" s="14">
        <f>CHOOSE(CONTROL!$C$42, 12.3916, 12.3916) * CHOOSE(CONTROL!$C$21, $C$9, 100%, $E$9)</f>
        <v>12.3916</v>
      </c>
      <c r="R241" s="14">
        <f>CHOOSE(CONTROL!$C$42, 13.0095, 13.0095) * CHOOSE(CONTROL!$C$21, $C$9, 100%, $E$9)</f>
        <v>13.009499999999999</v>
      </c>
      <c r="S241" s="14">
        <f>CHOOSE(CONTROL!$C$42, 11.4556, 11.4556) * CHOOSE(CONTROL!$C$21, $C$9, 100%, $E$9)</f>
        <v>11.4556</v>
      </c>
      <c r="T24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41" s="57">
        <f>(1000*CHOOSE(CONTROL!$C$42, 695, 695)*CHOOSE(CONTROL!$C$42, 0.5599, 0.5599)*CHOOSE(CONTROL!$C$42, 31, 31))/1000000</f>
        <v>12.063045499999998</v>
      </c>
      <c r="V241" s="57">
        <f>(1000*CHOOSE(CONTROL!$C$42, 500, 500)*CHOOSE(CONTROL!$C$42, 0.275, 0.275)*CHOOSE(CONTROL!$C$42, 31, 31))/1000000</f>
        <v>4.2625000000000002</v>
      </c>
      <c r="W241" s="57">
        <f>(1000*CHOOSE(CONTROL!$C$42, 0.1146, 0.1146)*CHOOSE(CONTROL!$C$42, 121.5, 121.5)*CHOOSE(CONTROL!$C$42, 31, 31))/1000000</f>
        <v>0.43164089999999994</v>
      </c>
      <c r="X241" s="57">
        <f>(31*0.1790888*100000/1000000)+(31*0.2374*100000/1000000)</f>
        <v>1.2911152800000001</v>
      </c>
      <c r="Y241" s="57"/>
      <c r="Z241" s="14"/>
      <c r="AA241" s="56"/>
      <c r="AB241" s="50">
        <f>(B241*122.58+C241*297.941+D241*89.177+E241*40.302+F241*40+G241*160+H241*0+I241*100+J241*300)/(122.58+297.941+89.177+40.302+0+40+160+100+300)</f>
        <v>11.959937502086955</v>
      </c>
      <c r="AC241" s="45">
        <f>(M241*'RAP TEMPLATE-GAS AVAILABILITY'!O240+N241*'RAP TEMPLATE-GAS AVAILABILITY'!P240+O241*'RAP TEMPLATE-GAS AVAILABILITY'!Q240+P241*'RAP TEMPLATE-GAS AVAILABILITY'!R240)/('RAP TEMPLATE-GAS AVAILABILITY'!O240+'RAP TEMPLATE-GAS AVAILABILITY'!P240+'RAP TEMPLATE-GAS AVAILABILITY'!Q240+'RAP TEMPLATE-GAS AVAILABILITY'!R240)</f>
        <v>11.758479856115109</v>
      </c>
    </row>
    <row r="242" spans="1:29" ht="15.75" x14ac:dyDescent="0.25">
      <c r="A242" s="13">
        <v>48245</v>
      </c>
      <c r="B242" s="14">
        <f>CHOOSE(CONTROL!$C$42, 12.1428, 12.1428) * CHOOSE(CONTROL!$C$21, $C$9, 100%, $E$9)</f>
        <v>12.142799999999999</v>
      </c>
      <c r="C242" s="14">
        <f>CHOOSE(CONTROL!$C$42, 12.1479, 12.1479) * CHOOSE(CONTROL!$C$21, $C$9, 100%, $E$9)</f>
        <v>12.1479</v>
      </c>
      <c r="D242" s="14">
        <f>CHOOSE(CONTROL!$C$42, 12.2247, 12.2247) * CHOOSE(CONTROL!$C$21, $C$9, 100%, $E$9)</f>
        <v>12.2247</v>
      </c>
      <c r="E242" s="14">
        <f>CHOOSE(CONTROL!$C$42, 12.2588, 12.2588) * CHOOSE(CONTROL!$C$21, $C$9, 100%, $E$9)</f>
        <v>12.258800000000001</v>
      </c>
      <c r="F242" s="14">
        <f>CHOOSE(CONTROL!$C$42, 12.1671, 12.1671)*CHOOSE(CONTROL!$C$21, $C$9, 100%, $E$9)</f>
        <v>12.1671</v>
      </c>
      <c r="G242" s="14">
        <f>CHOOSE(CONTROL!$C$42, 12.185, 12.185)*CHOOSE(CONTROL!$C$21, $C$9, 100%, $E$9)</f>
        <v>12.185</v>
      </c>
      <c r="H242" s="14">
        <f>CHOOSE(CONTROL!$C$42, 12.248, 12.248) * CHOOSE(CONTROL!$C$21, $C$9, 100%, $E$9)</f>
        <v>12.247999999999999</v>
      </c>
      <c r="I242" s="14">
        <f>CHOOSE(CONTROL!$C$42, 12.2146, 12.2146)* CHOOSE(CONTROL!$C$21, $C$9, 100%, $E$9)</f>
        <v>12.214600000000001</v>
      </c>
      <c r="J242" s="14">
        <f>CHOOSE(CONTROL!$C$42, 12.1601, 12.1601)* CHOOSE(CONTROL!$C$21, $C$9, 100%, $E$9)</f>
        <v>12.1601</v>
      </c>
      <c r="K242" s="53">
        <f>CHOOSE(CONTROL!$C$42, 12.2107, 12.2107) * CHOOSE(CONTROL!$C$21, $C$9, 100%, $E$9)</f>
        <v>12.210699999999999</v>
      </c>
      <c r="L242" s="14">
        <f>CHOOSE(CONTROL!$C$42, 12.835, 12.835) * CHOOSE(CONTROL!$C$21, $C$9, 100%, $E$9)</f>
        <v>12.835000000000001</v>
      </c>
      <c r="M242" s="14">
        <f>CHOOSE(CONTROL!$C$42, 11.9187, 11.9187) * CHOOSE(CONTROL!$C$21, $C$9, 100%, $E$9)</f>
        <v>11.918699999999999</v>
      </c>
      <c r="N242" s="14">
        <f>CHOOSE(CONTROL!$C$42, 11.9362, 11.9362) * CHOOSE(CONTROL!$C$21, $C$9, 100%, $E$9)</f>
        <v>11.936199999999999</v>
      </c>
      <c r="O242" s="14">
        <f>CHOOSE(CONTROL!$C$42, 12.0047, 12.0047) * CHOOSE(CONTROL!$C$21, $C$9, 100%, $E$9)</f>
        <v>12.0047</v>
      </c>
      <c r="P242" s="14">
        <f>CHOOSE(CONTROL!$C$42, 11.9713, 11.9713) * CHOOSE(CONTROL!$C$21, $C$9, 100%, $E$9)</f>
        <v>11.971299999999999</v>
      </c>
      <c r="Q242" s="14">
        <f>CHOOSE(CONTROL!$C$42, 12.5994, 12.5994) * CHOOSE(CONTROL!$C$21, $C$9, 100%, $E$9)</f>
        <v>12.599399999999999</v>
      </c>
      <c r="R242" s="14">
        <f>CHOOSE(CONTROL!$C$42, 13.2179, 13.2179) * CHOOSE(CONTROL!$C$21, $C$9, 100%, $E$9)</f>
        <v>13.2179</v>
      </c>
      <c r="S242" s="14">
        <f>CHOOSE(CONTROL!$C$42, 11.6595, 11.6595) * CHOOSE(CONTROL!$C$21, $C$9, 100%, $E$9)</f>
        <v>11.6595</v>
      </c>
      <c r="T24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42" s="57">
        <f>(1000*CHOOSE(CONTROL!$C$42, 695, 695)*CHOOSE(CONTROL!$C$42, 0.5599, 0.5599)*CHOOSE(CONTROL!$C$42, 29, 29))/1000000</f>
        <v>11.284784499999999</v>
      </c>
      <c r="V242" s="57">
        <f>(1000*CHOOSE(CONTROL!$C$42, 500, 500)*CHOOSE(CONTROL!$C$42, 0.275, 0.275)*CHOOSE(CONTROL!$C$42, 29, 29))/1000000</f>
        <v>3.9874999999999998</v>
      </c>
      <c r="W242" s="57">
        <f>(1000*CHOOSE(CONTROL!$C$42, 0.1146, 0.1146)*CHOOSE(CONTROL!$C$42, 121.5, 121.5)*CHOOSE(CONTROL!$C$42, 29, 29))/1000000</f>
        <v>0.40379309999999996</v>
      </c>
      <c r="X242" s="57">
        <f>(29*0.1790888*100000/1000000)+(29*0.2374*100000/1000000)</f>
        <v>1.2078175199999999</v>
      </c>
      <c r="Y242" s="57"/>
      <c r="Z242" s="14"/>
      <c r="AA242" s="56"/>
      <c r="AB242" s="50">
        <f>(B242*122.58+C242*297.941+D242*89.177+E242*40.302+F242*40+G242*160+H242*0+I242*100+J242*300)/(122.58+297.941+89.177+40.302+0+40+160+100+300)</f>
        <v>12.172010545565215</v>
      </c>
      <c r="AC242" s="45">
        <f>(M242*'RAP TEMPLATE-GAS AVAILABILITY'!O241+N242*'RAP TEMPLATE-GAS AVAILABILITY'!P241+O242*'RAP TEMPLATE-GAS AVAILABILITY'!Q241+P242*'RAP TEMPLATE-GAS AVAILABILITY'!R241)/('RAP TEMPLATE-GAS AVAILABILITY'!O241+'RAP TEMPLATE-GAS AVAILABILITY'!P241+'RAP TEMPLATE-GAS AVAILABILITY'!Q241+'RAP TEMPLATE-GAS AVAILABILITY'!R241)</f>
        <v>11.96625395683453</v>
      </c>
    </row>
    <row r="243" spans="1:29" ht="15.75" x14ac:dyDescent="0.25">
      <c r="A243" s="13">
        <v>48274</v>
      </c>
      <c r="B243" s="14">
        <f>CHOOSE(CONTROL!$C$42, 11.7983, 11.7983) * CHOOSE(CONTROL!$C$21, $C$9, 100%, $E$9)</f>
        <v>11.798299999999999</v>
      </c>
      <c r="C243" s="14">
        <f>CHOOSE(CONTROL!$C$42, 11.8034, 11.8034) * CHOOSE(CONTROL!$C$21, $C$9, 100%, $E$9)</f>
        <v>11.8034</v>
      </c>
      <c r="D243" s="14">
        <f>CHOOSE(CONTROL!$C$42, 11.8802, 11.8802) * CHOOSE(CONTROL!$C$21, $C$9, 100%, $E$9)</f>
        <v>11.8802</v>
      </c>
      <c r="E243" s="14">
        <f>CHOOSE(CONTROL!$C$42, 11.9143, 11.9143) * CHOOSE(CONTROL!$C$21, $C$9, 100%, $E$9)</f>
        <v>11.914300000000001</v>
      </c>
      <c r="F243" s="14">
        <f>CHOOSE(CONTROL!$C$42, 11.8218, 11.8218)*CHOOSE(CONTROL!$C$21, $C$9, 100%, $E$9)</f>
        <v>11.8218</v>
      </c>
      <c r="G243" s="14">
        <f>CHOOSE(CONTROL!$C$42, 11.8394, 11.8394)*CHOOSE(CONTROL!$C$21, $C$9, 100%, $E$9)</f>
        <v>11.839399999999999</v>
      </c>
      <c r="H243" s="14">
        <f>CHOOSE(CONTROL!$C$42, 11.9035, 11.9035) * CHOOSE(CONTROL!$C$21, $C$9, 100%, $E$9)</f>
        <v>11.903499999999999</v>
      </c>
      <c r="I243" s="14">
        <f>CHOOSE(CONTROL!$C$42, 11.869, 11.869)* CHOOSE(CONTROL!$C$21, $C$9, 100%, $E$9)</f>
        <v>11.869</v>
      </c>
      <c r="J243" s="14">
        <f>CHOOSE(CONTROL!$C$42, 11.8148, 11.8148)* CHOOSE(CONTROL!$C$21, $C$9, 100%, $E$9)</f>
        <v>11.8148</v>
      </c>
      <c r="K243" s="53">
        <f>CHOOSE(CONTROL!$C$42, 11.8651, 11.8651) * CHOOSE(CONTROL!$C$21, $C$9, 100%, $E$9)</f>
        <v>11.8651</v>
      </c>
      <c r="L243" s="14">
        <f>CHOOSE(CONTROL!$C$42, 12.4905, 12.4905) * CHOOSE(CONTROL!$C$21, $C$9, 100%, $E$9)</f>
        <v>12.490500000000001</v>
      </c>
      <c r="M243" s="14">
        <f>CHOOSE(CONTROL!$C$42, 11.5804, 11.5804) * CHOOSE(CONTROL!$C$21, $C$9, 100%, $E$9)</f>
        <v>11.580399999999999</v>
      </c>
      <c r="N243" s="14">
        <f>CHOOSE(CONTROL!$C$42, 11.5977, 11.5977) * CHOOSE(CONTROL!$C$21, $C$9, 100%, $E$9)</f>
        <v>11.5977</v>
      </c>
      <c r="O243" s="14">
        <f>CHOOSE(CONTROL!$C$42, 11.6673, 11.6673) * CHOOSE(CONTROL!$C$21, $C$9, 100%, $E$9)</f>
        <v>11.667299999999999</v>
      </c>
      <c r="P243" s="14">
        <f>CHOOSE(CONTROL!$C$42, 11.6328, 11.6328) * CHOOSE(CONTROL!$C$21, $C$9, 100%, $E$9)</f>
        <v>11.6328</v>
      </c>
      <c r="Q243" s="14">
        <f>CHOOSE(CONTROL!$C$42, 12.262, 12.262) * CHOOSE(CONTROL!$C$21, $C$9, 100%, $E$9)</f>
        <v>12.262</v>
      </c>
      <c r="R243" s="14">
        <f>CHOOSE(CONTROL!$C$42, 12.8797, 12.8797) * CHOOSE(CONTROL!$C$21, $C$9, 100%, $E$9)</f>
        <v>12.8797</v>
      </c>
      <c r="S243" s="14">
        <f>CHOOSE(CONTROL!$C$42, 11.3285, 11.3285) * CHOOSE(CONTROL!$C$21, $C$9, 100%, $E$9)</f>
        <v>11.3285</v>
      </c>
      <c r="T24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43" s="57">
        <f>(1000*CHOOSE(CONTROL!$C$42, 695, 695)*CHOOSE(CONTROL!$C$42, 0.5599, 0.5599)*CHOOSE(CONTROL!$C$42, 31, 31))/1000000</f>
        <v>12.063045499999998</v>
      </c>
      <c r="V243" s="57">
        <f>(1000*CHOOSE(CONTROL!$C$42, 500, 500)*CHOOSE(CONTROL!$C$42, 0.275, 0.275)*CHOOSE(CONTROL!$C$42, 31, 31))/1000000</f>
        <v>4.2625000000000002</v>
      </c>
      <c r="W243" s="57">
        <f>(1000*CHOOSE(CONTROL!$C$42, 0.1146, 0.1146)*CHOOSE(CONTROL!$C$42, 121.5, 121.5)*CHOOSE(CONTROL!$C$42, 31, 31))/1000000</f>
        <v>0.43164089999999994</v>
      </c>
      <c r="X243" s="57">
        <f>(31*0.1790888*100000/1000000)+(31*0.2374*100000/1000000)</f>
        <v>1.2911152800000001</v>
      </c>
      <c r="Y243" s="57"/>
      <c r="Z243" s="14"/>
      <c r="AA243" s="56"/>
      <c r="AB243" s="50">
        <f>(B243*122.58+C243*297.941+D243*89.177+E243*40.302+F243*40+G243*160+H243*0+I243*100+J243*300)/(122.58+297.941+89.177+40.302+0+40+160+100+300)</f>
        <v>11.827025328173914</v>
      </c>
      <c r="AC243" s="45">
        <f>(M243*'RAP TEMPLATE-GAS AVAILABILITY'!O242+N243*'RAP TEMPLATE-GAS AVAILABILITY'!P242+O243*'RAP TEMPLATE-GAS AVAILABILITY'!Q242+P243*'RAP TEMPLATE-GAS AVAILABILITY'!R242)/('RAP TEMPLATE-GAS AVAILABILITY'!O242+'RAP TEMPLATE-GAS AVAILABILITY'!P242+'RAP TEMPLATE-GAS AVAILABILITY'!Q242+'RAP TEMPLATE-GAS AVAILABILITY'!R242)</f>
        <v>11.628321582733811</v>
      </c>
    </row>
    <row r="244" spans="1:29" ht="15.75" x14ac:dyDescent="0.25">
      <c r="A244" s="13">
        <v>48305</v>
      </c>
      <c r="B244" s="14">
        <f>CHOOSE(CONTROL!$C$42, 11.7641, 11.7641) * CHOOSE(CONTROL!$C$21, $C$9, 100%, $E$9)</f>
        <v>11.764099999999999</v>
      </c>
      <c r="C244" s="14">
        <f>CHOOSE(CONTROL!$C$42, 11.7685, 11.7685) * CHOOSE(CONTROL!$C$21, $C$9, 100%, $E$9)</f>
        <v>11.7685</v>
      </c>
      <c r="D244" s="14">
        <f>CHOOSE(CONTROL!$C$42, 11.9923, 11.9923) * CHOOSE(CONTROL!$C$21, $C$9, 100%, $E$9)</f>
        <v>11.9923</v>
      </c>
      <c r="E244" s="14">
        <f>CHOOSE(CONTROL!$C$42, 12.0244, 12.0244) * CHOOSE(CONTROL!$C$21, $C$9, 100%, $E$9)</f>
        <v>12.0244</v>
      </c>
      <c r="F244" s="14">
        <f>CHOOSE(CONTROL!$C$42, 11.7917, 11.7917)*CHOOSE(CONTROL!$C$21, $C$9, 100%, $E$9)</f>
        <v>11.791700000000001</v>
      </c>
      <c r="G244" s="14">
        <f>CHOOSE(CONTROL!$C$42, 11.8086, 11.8086)*CHOOSE(CONTROL!$C$21, $C$9, 100%, $E$9)</f>
        <v>11.8086</v>
      </c>
      <c r="H244" s="14">
        <f>CHOOSE(CONTROL!$C$42, 12.0142, 12.0142) * CHOOSE(CONTROL!$C$21, $C$9, 100%, $E$9)</f>
        <v>12.014200000000001</v>
      </c>
      <c r="I244" s="14">
        <f>CHOOSE(CONTROL!$C$42, 11.8302, 11.8302)* CHOOSE(CONTROL!$C$21, $C$9, 100%, $E$9)</f>
        <v>11.8302</v>
      </c>
      <c r="J244" s="14">
        <f>CHOOSE(CONTROL!$C$42, 11.7847, 11.7847)* CHOOSE(CONTROL!$C$21, $C$9, 100%, $E$9)</f>
        <v>11.784700000000001</v>
      </c>
      <c r="K244" s="53">
        <f>CHOOSE(CONTROL!$C$42, 11.8263, 11.8263) * CHOOSE(CONTROL!$C$21, $C$9, 100%, $E$9)</f>
        <v>11.8263</v>
      </c>
      <c r="L244" s="14">
        <f>CHOOSE(CONTROL!$C$42, 12.6012, 12.6012) * CHOOSE(CONTROL!$C$21, $C$9, 100%, $E$9)</f>
        <v>12.6012</v>
      </c>
      <c r="M244" s="14">
        <f>CHOOSE(CONTROL!$C$42, 11.551, 11.551) * CHOOSE(CONTROL!$C$21, $C$9, 100%, $E$9)</f>
        <v>11.551</v>
      </c>
      <c r="N244" s="14">
        <f>CHOOSE(CONTROL!$C$42, 11.5675, 11.5675) * CHOOSE(CONTROL!$C$21, $C$9, 100%, $E$9)</f>
        <v>11.567500000000001</v>
      </c>
      <c r="O244" s="14">
        <f>CHOOSE(CONTROL!$C$42, 11.7757, 11.7757) * CHOOSE(CONTROL!$C$21, $C$9, 100%, $E$9)</f>
        <v>11.775700000000001</v>
      </c>
      <c r="P244" s="14">
        <f>CHOOSE(CONTROL!$C$42, 11.5948, 11.5948) * CHOOSE(CONTROL!$C$21, $C$9, 100%, $E$9)</f>
        <v>11.594799999999999</v>
      </c>
      <c r="Q244" s="14">
        <f>CHOOSE(CONTROL!$C$42, 12.3704, 12.3704) * CHOOSE(CONTROL!$C$21, $C$9, 100%, $E$9)</f>
        <v>12.3704</v>
      </c>
      <c r="R244" s="14">
        <f>CHOOSE(CONTROL!$C$42, 12.9883, 12.9883) * CHOOSE(CONTROL!$C$21, $C$9, 100%, $E$9)</f>
        <v>12.988300000000001</v>
      </c>
      <c r="S244" s="14">
        <f>CHOOSE(CONTROL!$C$42, 11.2948, 11.2948) * CHOOSE(CONTROL!$C$21, $C$9, 100%, $E$9)</f>
        <v>11.2948</v>
      </c>
      <c r="T24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44" s="57">
        <f>(1000*CHOOSE(CONTROL!$C$42, 695, 695)*CHOOSE(CONTROL!$C$42, 0.5599, 0.5599)*CHOOSE(CONTROL!$C$42, 30, 30))/1000000</f>
        <v>11.673914999999997</v>
      </c>
      <c r="V244" s="57">
        <f>(1000*CHOOSE(CONTROL!$C$42, 500, 500)*CHOOSE(CONTROL!$C$42, 0.275, 0.275)*CHOOSE(CONTROL!$C$42, 30, 30))/1000000</f>
        <v>4.125</v>
      </c>
      <c r="W244" s="57">
        <f>(1000*CHOOSE(CONTROL!$C$42, 0.1146, 0.1146)*CHOOSE(CONTROL!$C$42, 121.5, 121.5)*CHOOSE(CONTROL!$C$42, 30, 30))/1000000</f>
        <v>0.417717</v>
      </c>
      <c r="X244" s="57">
        <f>(30*0.1790888*245000/1000000)+(30*0.2374*100000/1000000)</f>
        <v>2.0285026799999999</v>
      </c>
      <c r="Y244" s="57"/>
      <c r="Z244" s="14"/>
      <c r="AA244" s="56"/>
      <c r="AB244" s="50">
        <f>(B244*141.293+C244*267.993+D244*115.016+E244*89.698+F244*40+G244*185+H244*0+I244*100+J244*300)/(141.293+267.993+115.016+89.698+0+40+185+100+300)</f>
        <v>11.82293834527845</v>
      </c>
      <c r="AC244" s="45">
        <f>(M244*'RAP TEMPLATE-GAS AVAILABILITY'!O243+N244*'RAP TEMPLATE-GAS AVAILABILITY'!P243+O244*'RAP TEMPLATE-GAS AVAILABILITY'!Q243+P244*'RAP TEMPLATE-GAS AVAILABILITY'!R243)/('RAP TEMPLATE-GAS AVAILABILITY'!O243+'RAP TEMPLATE-GAS AVAILABILITY'!P243+'RAP TEMPLATE-GAS AVAILABILITY'!Q243+'RAP TEMPLATE-GAS AVAILABILITY'!R243)</f>
        <v>11.624146043165469</v>
      </c>
    </row>
    <row r="245" spans="1:29" ht="15.75" x14ac:dyDescent="0.25">
      <c r="A245" s="13">
        <v>48335</v>
      </c>
      <c r="B245" s="14">
        <f>CHOOSE(CONTROL!$C$42, 11.8692, 11.8692) * CHOOSE(CONTROL!$C$21, $C$9, 100%, $E$9)</f>
        <v>11.869199999999999</v>
      </c>
      <c r="C245" s="14">
        <f>CHOOSE(CONTROL!$C$42, 11.8772, 11.8772) * CHOOSE(CONTROL!$C$21, $C$9, 100%, $E$9)</f>
        <v>11.8772</v>
      </c>
      <c r="D245" s="14">
        <f>CHOOSE(CONTROL!$C$42, 12.0978, 12.0978) * CHOOSE(CONTROL!$C$21, $C$9, 100%, $E$9)</f>
        <v>12.097799999999999</v>
      </c>
      <c r="E245" s="14">
        <f>CHOOSE(CONTROL!$C$42, 12.1293, 12.1293) * CHOOSE(CONTROL!$C$21, $C$9, 100%, $E$9)</f>
        <v>12.129300000000001</v>
      </c>
      <c r="F245" s="14">
        <f>CHOOSE(CONTROL!$C$42, 11.8954, 11.8954)*CHOOSE(CONTROL!$C$21, $C$9, 100%, $E$9)</f>
        <v>11.8954</v>
      </c>
      <c r="G245" s="14">
        <f>CHOOSE(CONTROL!$C$42, 11.9126, 11.9126)*CHOOSE(CONTROL!$C$21, $C$9, 100%, $E$9)</f>
        <v>11.912599999999999</v>
      </c>
      <c r="H245" s="14">
        <f>CHOOSE(CONTROL!$C$42, 12.1179, 12.1179) * CHOOSE(CONTROL!$C$21, $C$9, 100%, $E$9)</f>
        <v>12.117900000000001</v>
      </c>
      <c r="I245" s="14">
        <f>CHOOSE(CONTROL!$C$42, 11.9342, 11.9342)* CHOOSE(CONTROL!$C$21, $C$9, 100%, $E$9)</f>
        <v>11.934200000000001</v>
      </c>
      <c r="J245" s="14">
        <f>CHOOSE(CONTROL!$C$42, 11.8884, 11.8884)* CHOOSE(CONTROL!$C$21, $C$9, 100%, $E$9)</f>
        <v>11.888400000000001</v>
      </c>
      <c r="K245" s="53">
        <f>CHOOSE(CONTROL!$C$42, 11.9304, 11.9304) * CHOOSE(CONTROL!$C$21, $C$9, 100%, $E$9)</f>
        <v>11.930400000000001</v>
      </c>
      <c r="L245" s="14">
        <f>CHOOSE(CONTROL!$C$42, 12.7049, 12.7049) * CHOOSE(CONTROL!$C$21, $C$9, 100%, $E$9)</f>
        <v>12.7049</v>
      </c>
      <c r="M245" s="14">
        <f>CHOOSE(CONTROL!$C$42, 11.6526, 11.6526) * CHOOSE(CONTROL!$C$21, $C$9, 100%, $E$9)</f>
        <v>11.6526</v>
      </c>
      <c r="N245" s="14">
        <f>CHOOSE(CONTROL!$C$42, 11.6693, 11.6693) * CHOOSE(CONTROL!$C$21, $C$9, 100%, $E$9)</f>
        <v>11.6693</v>
      </c>
      <c r="O245" s="14">
        <f>CHOOSE(CONTROL!$C$42, 11.8773, 11.8773) * CHOOSE(CONTROL!$C$21, $C$9, 100%, $E$9)</f>
        <v>11.8773</v>
      </c>
      <c r="P245" s="14">
        <f>CHOOSE(CONTROL!$C$42, 11.6967, 11.6967) * CHOOSE(CONTROL!$C$21, $C$9, 100%, $E$9)</f>
        <v>11.6967</v>
      </c>
      <c r="Q245" s="14">
        <f>CHOOSE(CONTROL!$C$42, 12.472, 12.472) * CHOOSE(CONTROL!$C$21, $C$9, 100%, $E$9)</f>
        <v>12.472</v>
      </c>
      <c r="R245" s="14">
        <f>CHOOSE(CONTROL!$C$42, 13.0902, 13.0902) * CHOOSE(CONTROL!$C$21, $C$9, 100%, $E$9)</f>
        <v>13.090199999999999</v>
      </c>
      <c r="S245" s="14">
        <f>CHOOSE(CONTROL!$C$42, 11.3945, 11.3945) * CHOOSE(CONTROL!$C$21, $C$9, 100%, $E$9)</f>
        <v>11.394500000000001</v>
      </c>
      <c r="T24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45" s="57">
        <f>(1000*CHOOSE(CONTROL!$C$42, 695, 695)*CHOOSE(CONTROL!$C$42, 0.5599, 0.5599)*CHOOSE(CONTROL!$C$42, 31, 31))/1000000</f>
        <v>12.063045499999998</v>
      </c>
      <c r="V245" s="57">
        <f>(1000*CHOOSE(CONTROL!$C$42, 500, 500)*CHOOSE(CONTROL!$C$42, 0.275, 0.275)*CHOOSE(CONTROL!$C$42, 31, 31))/1000000</f>
        <v>4.2625000000000002</v>
      </c>
      <c r="W245" s="57">
        <f>(1000*CHOOSE(CONTROL!$C$42, 0.1146, 0.1146)*CHOOSE(CONTROL!$C$42, 121.5, 121.5)*CHOOSE(CONTROL!$C$42, 31, 31))/1000000</f>
        <v>0.43164089999999994</v>
      </c>
      <c r="X245" s="57">
        <f>(31*0.1790888*245000/1000000)+(31*0.2374*100000/1000000)</f>
        <v>2.0961194359999999</v>
      </c>
      <c r="Y245" s="57"/>
      <c r="Z245" s="14"/>
      <c r="AA245" s="56"/>
      <c r="AB245" s="50">
        <f>(B245*194.205+C245*267.466+D245*133.845+E245*53.484+F245*40+G245*185+H245*0+I245*100+J245*300)/(194.205+267.466+133.845+53.484+0+40+185+100+300)</f>
        <v>11.922563330769231</v>
      </c>
      <c r="AC245" s="45">
        <f>(M245*'RAP TEMPLATE-GAS AVAILABILITY'!O244+N245*'RAP TEMPLATE-GAS AVAILABILITY'!P244+O245*'RAP TEMPLATE-GAS AVAILABILITY'!Q244+P245*'RAP TEMPLATE-GAS AVAILABILITY'!R244)/('RAP TEMPLATE-GAS AVAILABILITY'!O244+'RAP TEMPLATE-GAS AVAILABILITY'!P244+'RAP TEMPLATE-GAS AVAILABILITY'!Q244+'RAP TEMPLATE-GAS AVAILABILITY'!R244)</f>
        <v>11.725835251798561</v>
      </c>
    </row>
    <row r="246" spans="1:29" ht="15.75" x14ac:dyDescent="0.25">
      <c r="A246" s="13">
        <v>48366</v>
      </c>
      <c r="B246" s="14">
        <f>CHOOSE(CONTROL!$C$42, 12.2055, 12.2055) * CHOOSE(CONTROL!$C$21, $C$9, 100%, $E$9)</f>
        <v>12.205500000000001</v>
      </c>
      <c r="C246" s="14">
        <f>CHOOSE(CONTROL!$C$42, 12.2136, 12.2136) * CHOOSE(CONTROL!$C$21, $C$9, 100%, $E$9)</f>
        <v>12.2136</v>
      </c>
      <c r="D246" s="14">
        <f>CHOOSE(CONTROL!$C$42, 12.4341, 12.4341) * CHOOSE(CONTROL!$C$21, $C$9, 100%, $E$9)</f>
        <v>12.434100000000001</v>
      </c>
      <c r="E246" s="14">
        <f>CHOOSE(CONTROL!$C$42, 12.4656, 12.4656) * CHOOSE(CONTROL!$C$21, $C$9, 100%, $E$9)</f>
        <v>12.4656</v>
      </c>
      <c r="F246" s="14">
        <f>CHOOSE(CONTROL!$C$42, 12.2321, 12.2321)*CHOOSE(CONTROL!$C$21, $C$9, 100%, $E$9)</f>
        <v>12.232100000000001</v>
      </c>
      <c r="G246" s="14">
        <f>CHOOSE(CONTROL!$C$42, 12.2494, 12.2494)*CHOOSE(CONTROL!$C$21, $C$9, 100%, $E$9)</f>
        <v>12.2494</v>
      </c>
      <c r="H246" s="14">
        <f>CHOOSE(CONTROL!$C$42, 12.4542, 12.4542) * CHOOSE(CONTROL!$C$21, $C$9, 100%, $E$9)</f>
        <v>12.4542</v>
      </c>
      <c r="I246" s="14">
        <f>CHOOSE(CONTROL!$C$42, 12.2716, 12.2716)* CHOOSE(CONTROL!$C$21, $C$9, 100%, $E$9)</f>
        <v>12.271599999999999</v>
      </c>
      <c r="J246" s="14">
        <f>CHOOSE(CONTROL!$C$42, 12.2251, 12.2251)* CHOOSE(CONTROL!$C$21, $C$9, 100%, $E$9)</f>
        <v>12.225099999999999</v>
      </c>
      <c r="K246" s="53">
        <f>CHOOSE(CONTROL!$C$42, 12.2677, 12.2677) * CHOOSE(CONTROL!$C$21, $C$9, 100%, $E$9)</f>
        <v>12.2677</v>
      </c>
      <c r="L246" s="14">
        <f>CHOOSE(CONTROL!$C$42, 13.0412, 13.0412) * CHOOSE(CONTROL!$C$21, $C$9, 100%, $E$9)</f>
        <v>13.0412</v>
      </c>
      <c r="M246" s="14">
        <f>CHOOSE(CONTROL!$C$42, 11.9823, 11.9823) * CHOOSE(CONTROL!$C$21, $C$9, 100%, $E$9)</f>
        <v>11.9823</v>
      </c>
      <c r="N246" s="14">
        <f>CHOOSE(CONTROL!$C$42, 11.9992, 11.9992) * CHOOSE(CONTROL!$C$21, $C$9, 100%, $E$9)</f>
        <v>11.9992</v>
      </c>
      <c r="O246" s="14">
        <f>CHOOSE(CONTROL!$C$42, 12.2067, 12.2067) * CHOOSE(CONTROL!$C$21, $C$9, 100%, $E$9)</f>
        <v>12.2067</v>
      </c>
      <c r="P246" s="14">
        <f>CHOOSE(CONTROL!$C$42, 12.0272, 12.0272) * CHOOSE(CONTROL!$C$21, $C$9, 100%, $E$9)</f>
        <v>12.027200000000001</v>
      </c>
      <c r="Q246" s="14">
        <f>CHOOSE(CONTROL!$C$42, 12.8014, 12.8014) * CHOOSE(CONTROL!$C$21, $C$9, 100%, $E$9)</f>
        <v>12.801399999999999</v>
      </c>
      <c r="R246" s="14">
        <f>CHOOSE(CONTROL!$C$42, 13.4205, 13.4205) * CHOOSE(CONTROL!$C$21, $C$9, 100%, $E$9)</f>
        <v>13.420500000000001</v>
      </c>
      <c r="S246" s="14">
        <f>CHOOSE(CONTROL!$C$42, 11.7177, 11.7177) * CHOOSE(CONTROL!$C$21, $C$9, 100%, $E$9)</f>
        <v>11.717700000000001</v>
      </c>
      <c r="T24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46" s="57">
        <f>(1000*CHOOSE(CONTROL!$C$42, 695, 695)*CHOOSE(CONTROL!$C$42, 0.5599, 0.5599)*CHOOSE(CONTROL!$C$42, 30, 30))/1000000</f>
        <v>11.673914999999997</v>
      </c>
      <c r="V246" s="57">
        <f>(1000*CHOOSE(CONTROL!$C$42, 500, 500)*CHOOSE(CONTROL!$C$42, 0.275, 0.275)*CHOOSE(CONTROL!$C$42, 30, 30))/1000000</f>
        <v>4.125</v>
      </c>
      <c r="W246" s="57">
        <f>(1000*CHOOSE(CONTROL!$C$42, 0.1146, 0.1146)*CHOOSE(CONTROL!$C$42, 121.5, 121.5)*CHOOSE(CONTROL!$C$42, 30, 30))/1000000</f>
        <v>0.417717</v>
      </c>
      <c r="X246" s="57">
        <f>(30*0.1790888*245000/1000000)+(30*0.2374*100000/1000000)</f>
        <v>2.0285026799999999</v>
      </c>
      <c r="Y246" s="57"/>
      <c r="Z246" s="14"/>
      <c r="AA246" s="56"/>
      <c r="AB246" s="50">
        <f>(B246*194.205+C246*267.466+D246*133.845+E246*53.484+F246*40+G246*185+H246*0+I246*100+J246*300)/(194.205+267.466+133.845+53.484+0+40+185+100+300)</f>
        <v>12.25915002354788</v>
      </c>
      <c r="AC246" s="45">
        <f>(M246*'RAP TEMPLATE-GAS AVAILABILITY'!O245+N246*'RAP TEMPLATE-GAS AVAILABILITY'!P245+O246*'RAP TEMPLATE-GAS AVAILABILITY'!Q245+P246*'RAP TEMPLATE-GAS AVAILABILITY'!R245)/('RAP TEMPLATE-GAS AVAILABILITY'!O245+'RAP TEMPLATE-GAS AVAILABILITY'!P245+'RAP TEMPLATE-GAS AVAILABILITY'!Q245+'RAP TEMPLATE-GAS AVAILABILITY'!R245)</f>
        <v>12.055612230215827</v>
      </c>
    </row>
    <row r="247" spans="1:29" ht="15.75" x14ac:dyDescent="0.25">
      <c r="A247" s="13">
        <v>48396</v>
      </c>
      <c r="B247" s="14">
        <f>CHOOSE(CONTROL!$C$42, 11.9716, 11.9716) * CHOOSE(CONTROL!$C$21, $C$9, 100%, $E$9)</f>
        <v>11.9716</v>
      </c>
      <c r="C247" s="14">
        <f>CHOOSE(CONTROL!$C$42, 11.9796, 11.9796) * CHOOSE(CONTROL!$C$21, $C$9, 100%, $E$9)</f>
        <v>11.9796</v>
      </c>
      <c r="D247" s="14">
        <f>CHOOSE(CONTROL!$C$42, 12.2002, 12.2002) * CHOOSE(CONTROL!$C$21, $C$9, 100%, $E$9)</f>
        <v>12.200200000000001</v>
      </c>
      <c r="E247" s="14">
        <f>CHOOSE(CONTROL!$C$42, 12.2317, 12.2317) * CHOOSE(CONTROL!$C$21, $C$9, 100%, $E$9)</f>
        <v>12.2317</v>
      </c>
      <c r="F247" s="14">
        <f>CHOOSE(CONTROL!$C$42, 11.9987, 11.9987)*CHOOSE(CONTROL!$C$21, $C$9, 100%, $E$9)</f>
        <v>11.998699999999999</v>
      </c>
      <c r="G247" s="14">
        <f>CHOOSE(CONTROL!$C$42, 12.016, 12.016)*CHOOSE(CONTROL!$C$21, $C$9, 100%, $E$9)</f>
        <v>12.016</v>
      </c>
      <c r="H247" s="14">
        <f>CHOOSE(CONTROL!$C$42, 12.2203, 12.2203) * CHOOSE(CONTROL!$C$21, $C$9, 100%, $E$9)</f>
        <v>12.2203</v>
      </c>
      <c r="I247" s="14">
        <f>CHOOSE(CONTROL!$C$42, 12.037, 12.037)* CHOOSE(CONTROL!$C$21, $C$9, 100%, $E$9)</f>
        <v>12.037000000000001</v>
      </c>
      <c r="J247" s="14">
        <f>CHOOSE(CONTROL!$C$42, 11.9917, 11.9917)* CHOOSE(CONTROL!$C$21, $C$9, 100%, $E$9)</f>
        <v>11.9917</v>
      </c>
      <c r="K247" s="53">
        <f>CHOOSE(CONTROL!$C$42, 12.0331, 12.0331) * CHOOSE(CONTROL!$C$21, $C$9, 100%, $E$9)</f>
        <v>12.033099999999999</v>
      </c>
      <c r="L247" s="14">
        <f>CHOOSE(CONTROL!$C$42, 12.8073, 12.8073) * CHOOSE(CONTROL!$C$21, $C$9, 100%, $E$9)</f>
        <v>12.8073</v>
      </c>
      <c r="M247" s="14">
        <f>CHOOSE(CONTROL!$C$42, 11.7537, 11.7537) * CHOOSE(CONTROL!$C$21, $C$9, 100%, $E$9)</f>
        <v>11.7537</v>
      </c>
      <c r="N247" s="14">
        <f>CHOOSE(CONTROL!$C$42, 11.7706, 11.7706) * CHOOSE(CONTROL!$C$21, $C$9, 100%, $E$9)</f>
        <v>11.7706</v>
      </c>
      <c r="O247" s="14">
        <f>CHOOSE(CONTROL!$C$42, 11.9776, 11.9776) * CHOOSE(CONTROL!$C$21, $C$9, 100%, $E$9)</f>
        <v>11.977600000000001</v>
      </c>
      <c r="P247" s="14">
        <f>CHOOSE(CONTROL!$C$42, 11.7974, 11.7974) * CHOOSE(CONTROL!$C$21, $C$9, 100%, $E$9)</f>
        <v>11.7974</v>
      </c>
      <c r="Q247" s="14">
        <f>CHOOSE(CONTROL!$C$42, 12.5723, 12.5723) * CHOOSE(CONTROL!$C$21, $C$9, 100%, $E$9)</f>
        <v>12.5723</v>
      </c>
      <c r="R247" s="14">
        <f>CHOOSE(CONTROL!$C$42, 13.1907, 13.1907) * CHOOSE(CONTROL!$C$21, $C$9, 100%, $E$9)</f>
        <v>13.1907</v>
      </c>
      <c r="S247" s="14">
        <f>CHOOSE(CONTROL!$C$42, 11.4929, 11.4929) * CHOOSE(CONTROL!$C$21, $C$9, 100%, $E$9)</f>
        <v>11.492900000000001</v>
      </c>
      <c r="T24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47" s="57">
        <f>(1000*CHOOSE(CONTROL!$C$42, 695, 695)*CHOOSE(CONTROL!$C$42, 0.5599, 0.5599)*CHOOSE(CONTROL!$C$42, 31, 31))/1000000</f>
        <v>12.063045499999998</v>
      </c>
      <c r="V247" s="57">
        <f>(1000*CHOOSE(CONTROL!$C$42, 500, 500)*CHOOSE(CONTROL!$C$42, 0.275, 0.275)*CHOOSE(CONTROL!$C$42, 31, 31))/1000000</f>
        <v>4.2625000000000002</v>
      </c>
      <c r="W247" s="57">
        <f>(1000*CHOOSE(CONTROL!$C$42, 0.1146, 0.1146)*CHOOSE(CONTROL!$C$42, 121.5, 121.5)*CHOOSE(CONTROL!$C$42, 31, 31))/1000000</f>
        <v>0.43164089999999994</v>
      </c>
      <c r="X247" s="57">
        <f>(31*0.1790888*245000/1000000)+(31*0.2374*100000/1000000)</f>
        <v>2.0961194359999999</v>
      </c>
      <c r="Y247" s="57"/>
      <c r="Z247" s="14"/>
      <c r="AA247" s="56"/>
      <c r="AB247" s="50">
        <f>(B247*194.205+C247*267.466+D247*133.845+E247*53.484+F247*40+G247*185+H247*0+I247*100+J247*300)/(194.205+267.466+133.845+53.484+0+40+185+100+300)</f>
        <v>12.025380128257458</v>
      </c>
      <c r="AC247" s="45">
        <f>(M247*'RAP TEMPLATE-GAS AVAILABILITY'!O246+N247*'RAP TEMPLATE-GAS AVAILABILITY'!P246+O247*'RAP TEMPLATE-GAS AVAILABILITY'!Q246+P247*'RAP TEMPLATE-GAS AVAILABILITY'!R246)/('RAP TEMPLATE-GAS AVAILABILITY'!O246+'RAP TEMPLATE-GAS AVAILABILITY'!P246+'RAP TEMPLATE-GAS AVAILABILITY'!Q246+'RAP TEMPLATE-GAS AVAILABILITY'!R246)</f>
        <v>11.826699280575541</v>
      </c>
    </row>
    <row r="248" spans="1:29" ht="15.75" x14ac:dyDescent="0.25">
      <c r="A248" s="13">
        <v>48427</v>
      </c>
      <c r="B248" s="14">
        <f>CHOOSE(CONTROL!$C$42, 11.3809, 11.3809) * CHOOSE(CONTROL!$C$21, $C$9, 100%, $E$9)</f>
        <v>11.3809</v>
      </c>
      <c r="C248" s="14">
        <f>CHOOSE(CONTROL!$C$42, 11.3889, 11.3889) * CHOOSE(CONTROL!$C$21, $C$9, 100%, $E$9)</f>
        <v>11.3889</v>
      </c>
      <c r="D248" s="14">
        <f>CHOOSE(CONTROL!$C$42, 11.6095, 11.6095) * CHOOSE(CONTROL!$C$21, $C$9, 100%, $E$9)</f>
        <v>11.609500000000001</v>
      </c>
      <c r="E248" s="14">
        <f>CHOOSE(CONTROL!$C$42, 11.6409, 11.6409) * CHOOSE(CONTROL!$C$21, $C$9, 100%, $E$9)</f>
        <v>11.6409</v>
      </c>
      <c r="F248" s="14">
        <f>CHOOSE(CONTROL!$C$42, 11.4082, 11.4082)*CHOOSE(CONTROL!$C$21, $C$9, 100%, $E$9)</f>
        <v>11.408200000000001</v>
      </c>
      <c r="G248" s="14">
        <f>CHOOSE(CONTROL!$C$42, 11.4256, 11.4256)*CHOOSE(CONTROL!$C$21, $C$9, 100%, $E$9)</f>
        <v>11.425599999999999</v>
      </c>
      <c r="H248" s="14">
        <f>CHOOSE(CONTROL!$C$42, 11.6296, 11.6296) * CHOOSE(CONTROL!$C$21, $C$9, 100%, $E$9)</f>
        <v>11.6296</v>
      </c>
      <c r="I248" s="14">
        <f>CHOOSE(CONTROL!$C$42, 11.4444, 11.4444)* CHOOSE(CONTROL!$C$21, $C$9, 100%, $E$9)</f>
        <v>11.4444</v>
      </c>
      <c r="J248" s="14">
        <f>CHOOSE(CONTROL!$C$42, 11.4012, 11.4012)* CHOOSE(CONTROL!$C$21, $C$9, 100%, $E$9)</f>
        <v>11.401199999999999</v>
      </c>
      <c r="K248" s="53">
        <f>CHOOSE(CONTROL!$C$42, 11.4405, 11.4405) * CHOOSE(CONTROL!$C$21, $C$9, 100%, $E$9)</f>
        <v>11.4405</v>
      </c>
      <c r="L248" s="14">
        <f>CHOOSE(CONTROL!$C$42, 12.2166, 12.2166) * CHOOSE(CONTROL!$C$21, $C$9, 100%, $E$9)</f>
        <v>12.2166</v>
      </c>
      <c r="M248" s="14">
        <f>CHOOSE(CONTROL!$C$42, 11.1753, 11.1753) * CHOOSE(CONTROL!$C$21, $C$9, 100%, $E$9)</f>
        <v>11.1753</v>
      </c>
      <c r="N248" s="14">
        <f>CHOOSE(CONTROL!$C$42, 11.1924, 11.1924) * CHOOSE(CONTROL!$C$21, $C$9, 100%, $E$9)</f>
        <v>11.192399999999999</v>
      </c>
      <c r="O248" s="14">
        <f>CHOOSE(CONTROL!$C$42, 11.399, 11.399) * CHOOSE(CONTROL!$C$21, $C$9, 100%, $E$9)</f>
        <v>11.398999999999999</v>
      </c>
      <c r="P248" s="14">
        <f>CHOOSE(CONTROL!$C$42, 11.2169, 11.2169) * CHOOSE(CONTROL!$C$21, $C$9, 100%, $E$9)</f>
        <v>11.216900000000001</v>
      </c>
      <c r="Q248" s="14">
        <f>CHOOSE(CONTROL!$C$42, 11.9937, 11.9937) * CHOOSE(CONTROL!$C$21, $C$9, 100%, $E$9)</f>
        <v>11.9937</v>
      </c>
      <c r="R248" s="14">
        <f>CHOOSE(CONTROL!$C$42, 12.6107, 12.6107) * CHOOSE(CONTROL!$C$21, $C$9, 100%, $E$9)</f>
        <v>12.6107</v>
      </c>
      <c r="S248" s="14">
        <f>CHOOSE(CONTROL!$C$42, 10.9252, 10.9252) * CHOOSE(CONTROL!$C$21, $C$9, 100%, $E$9)</f>
        <v>10.9252</v>
      </c>
      <c r="T24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48" s="57">
        <f>(1000*CHOOSE(CONTROL!$C$42, 695, 695)*CHOOSE(CONTROL!$C$42, 0.5599, 0.5599)*CHOOSE(CONTROL!$C$42, 31, 31))/1000000</f>
        <v>12.063045499999998</v>
      </c>
      <c r="V248" s="57">
        <f>(1000*CHOOSE(CONTROL!$C$42, 500, 500)*CHOOSE(CONTROL!$C$42, 0.275, 0.275)*CHOOSE(CONTROL!$C$42, 31, 31))/1000000</f>
        <v>4.2625000000000002</v>
      </c>
      <c r="W248" s="57">
        <f>(1000*CHOOSE(CONTROL!$C$42, 0.1146, 0.1146)*CHOOSE(CONTROL!$C$42, 121.5, 121.5)*CHOOSE(CONTROL!$C$42, 31, 31))/1000000</f>
        <v>0.43164089999999994</v>
      </c>
      <c r="X248" s="57">
        <f>(31*0.1790888*245000/1000000)+(31*0.2374*100000/1000000)</f>
        <v>2.0961194359999999</v>
      </c>
      <c r="Y248" s="57"/>
      <c r="Z248" s="14"/>
      <c r="AA248" s="56"/>
      <c r="AB248" s="50">
        <f>(B248*194.205+C248*267.466+D248*133.845+E248*53.484+F248*40+G248*185+H248*0+I248*100+J248*300)/(194.205+267.466+133.845+53.484+0+40+185+100+300)</f>
        <v>11.434623732339089</v>
      </c>
      <c r="AC248" s="45">
        <f>(M248*'RAP TEMPLATE-GAS AVAILABILITY'!O247+N248*'RAP TEMPLATE-GAS AVAILABILITY'!P247+O248*'RAP TEMPLATE-GAS AVAILABILITY'!Q247+P248*'RAP TEMPLATE-GAS AVAILABILITY'!R247)/('RAP TEMPLATE-GAS AVAILABILITY'!O247+'RAP TEMPLATE-GAS AVAILABILITY'!P247+'RAP TEMPLATE-GAS AVAILABILITY'!Q247+'RAP TEMPLATE-GAS AVAILABILITY'!R247)</f>
        <v>11.247987050359713</v>
      </c>
    </row>
    <row r="249" spans="1:29" ht="15.75" x14ac:dyDescent="0.25">
      <c r="A249" s="13">
        <v>48458</v>
      </c>
      <c r="B249" s="14">
        <f>CHOOSE(CONTROL!$C$42, 10.6588, 10.6588) * CHOOSE(CONTROL!$C$21, $C$9, 100%, $E$9)</f>
        <v>10.658799999999999</v>
      </c>
      <c r="C249" s="14">
        <f>CHOOSE(CONTROL!$C$42, 10.6669, 10.6669) * CHOOSE(CONTROL!$C$21, $C$9, 100%, $E$9)</f>
        <v>10.6669</v>
      </c>
      <c r="D249" s="14">
        <f>CHOOSE(CONTROL!$C$42, 10.8874, 10.8874) * CHOOSE(CONTROL!$C$21, $C$9, 100%, $E$9)</f>
        <v>10.8874</v>
      </c>
      <c r="E249" s="14">
        <f>CHOOSE(CONTROL!$C$42, 10.9189, 10.9189) * CHOOSE(CONTROL!$C$21, $C$9, 100%, $E$9)</f>
        <v>10.918900000000001</v>
      </c>
      <c r="F249" s="14">
        <f>CHOOSE(CONTROL!$C$42, 10.6862, 10.6862)*CHOOSE(CONTROL!$C$21, $C$9, 100%, $E$9)</f>
        <v>10.686199999999999</v>
      </c>
      <c r="G249" s="14">
        <f>CHOOSE(CONTROL!$C$42, 10.7036, 10.7036)*CHOOSE(CONTROL!$C$21, $C$9, 100%, $E$9)</f>
        <v>10.7036</v>
      </c>
      <c r="H249" s="14">
        <f>CHOOSE(CONTROL!$C$42, 10.9075, 10.9075) * CHOOSE(CONTROL!$C$21, $C$9, 100%, $E$9)</f>
        <v>10.907500000000001</v>
      </c>
      <c r="I249" s="14">
        <f>CHOOSE(CONTROL!$C$42, 10.7201, 10.7201)* CHOOSE(CONTROL!$C$21, $C$9, 100%, $E$9)</f>
        <v>10.7201</v>
      </c>
      <c r="J249" s="14">
        <f>CHOOSE(CONTROL!$C$42, 10.6792, 10.6792)* CHOOSE(CONTROL!$C$21, $C$9, 100%, $E$9)</f>
        <v>10.6792</v>
      </c>
      <c r="K249" s="53">
        <f>CHOOSE(CONTROL!$C$42, 10.7162, 10.7162) * CHOOSE(CONTROL!$C$21, $C$9, 100%, $E$9)</f>
        <v>10.716200000000001</v>
      </c>
      <c r="L249" s="14">
        <f>CHOOSE(CONTROL!$C$42, 11.4945, 11.4945) * CHOOSE(CONTROL!$C$21, $C$9, 100%, $E$9)</f>
        <v>11.4945</v>
      </c>
      <c r="M249" s="14">
        <f>CHOOSE(CONTROL!$C$42, 10.4681, 10.4681) * CHOOSE(CONTROL!$C$21, $C$9, 100%, $E$9)</f>
        <v>10.4681</v>
      </c>
      <c r="N249" s="14">
        <f>CHOOSE(CONTROL!$C$42, 10.4851, 10.4851) * CHOOSE(CONTROL!$C$21, $C$9, 100%, $E$9)</f>
        <v>10.485099999999999</v>
      </c>
      <c r="O249" s="14">
        <f>CHOOSE(CONTROL!$C$42, 10.6917, 10.6917) * CHOOSE(CONTROL!$C$21, $C$9, 100%, $E$9)</f>
        <v>10.691700000000001</v>
      </c>
      <c r="P249" s="14">
        <f>CHOOSE(CONTROL!$C$42, 10.5076, 10.5076) * CHOOSE(CONTROL!$C$21, $C$9, 100%, $E$9)</f>
        <v>10.5076</v>
      </c>
      <c r="Q249" s="14">
        <f>CHOOSE(CONTROL!$C$42, 11.2864, 11.2864) * CHOOSE(CONTROL!$C$21, $C$9, 100%, $E$9)</f>
        <v>11.2864</v>
      </c>
      <c r="R249" s="14">
        <f>CHOOSE(CONTROL!$C$42, 11.9017, 11.9017) * CHOOSE(CONTROL!$C$21, $C$9, 100%, $E$9)</f>
        <v>11.9017</v>
      </c>
      <c r="S249" s="14">
        <f>CHOOSE(CONTROL!$C$42, 10.2314, 10.2314) * CHOOSE(CONTROL!$C$21, $C$9, 100%, $E$9)</f>
        <v>10.231400000000001</v>
      </c>
      <c r="T24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49" s="57">
        <f>(1000*CHOOSE(CONTROL!$C$42, 695, 695)*CHOOSE(CONTROL!$C$42, 0.5599, 0.5599)*CHOOSE(CONTROL!$C$42, 30, 30))/1000000</f>
        <v>11.673914999999997</v>
      </c>
      <c r="V249" s="57">
        <f>(1000*CHOOSE(CONTROL!$C$42, 500, 500)*CHOOSE(CONTROL!$C$42, 0.275, 0.275)*CHOOSE(CONTROL!$C$42, 30, 30))/1000000</f>
        <v>4.125</v>
      </c>
      <c r="W249" s="57">
        <f>(1000*CHOOSE(CONTROL!$C$42, 0.1146, 0.1146)*CHOOSE(CONTROL!$C$42, 121.5, 121.5)*CHOOSE(CONTROL!$C$42, 30, 30))/1000000</f>
        <v>0.417717</v>
      </c>
      <c r="X249" s="57">
        <f>(30*0.1790888*245000/1000000)+(30*0.2374*100000/1000000)</f>
        <v>2.0285026799999999</v>
      </c>
      <c r="Y249" s="57"/>
      <c r="Z249" s="14"/>
      <c r="AA249" s="56"/>
      <c r="AB249" s="50">
        <f>(B249*194.205+C249*267.466+D249*133.845+E249*53.484+F249*40+G249*185+H249*0+I249*100+J249*300)/(194.205+267.466+133.845+53.484+0+40+185+100+300)</f>
        <v>10.712417448979593</v>
      </c>
      <c r="AC249" s="45">
        <f>(M249*'RAP TEMPLATE-GAS AVAILABILITY'!O248+N249*'RAP TEMPLATE-GAS AVAILABILITY'!P248+O249*'RAP TEMPLATE-GAS AVAILABILITY'!Q248+P249*'RAP TEMPLATE-GAS AVAILABILITY'!R248)/('RAP TEMPLATE-GAS AVAILABILITY'!O248+'RAP TEMPLATE-GAS AVAILABILITY'!P248+'RAP TEMPLATE-GAS AVAILABILITY'!Q248+'RAP TEMPLATE-GAS AVAILABILITY'!R248)</f>
        <v>10.540433812949642</v>
      </c>
    </row>
    <row r="250" spans="1:29" ht="15.75" x14ac:dyDescent="0.25">
      <c r="A250" s="13">
        <v>48488</v>
      </c>
      <c r="B250" s="14">
        <f>CHOOSE(CONTROL!$C$42, 10.4409, 10.4409) * CHOOSE(CONTROL!$C$21, $C$9, 100%, $E$9)</f>
        <v>10.440899999999999</v>
      </c>
      <c r="C250" s="14">
        <f>CHOOSE(CONTROL!$C$42, 10.4462, 10.4462) * CHOOSE(CONTROL!$C$21, $C$9, 100%, $E$9)</f>
        <v>10.446199999999999</v>
      </c>
      <c r="D250" s="14">
        <f>CHOOSE(CONTROL!$C$42, 10.6718, 10.6718) * CHOOSE(CONTROL!$C$21, $C$9, 100%, $E$9)</f>
        <v>10.671799999999999</v>
      </c>
      <c r="E250" s="14">
        <f>CHOOSE(CONTROL!$C$42, 10.7009, 10.7009) * CHOOSE(CONTROL!$C$21, $C$9, 100%, $E$9)</f>
        <v>10.700900000000001</v>
      </c>
      <c r="F250" s="14">
        <f>CHOOSE(CONTROL!$C$42, 10.4703, 10.4703)*CHOOSE(CONTROL!$C$21, $C$9, 100%, $E$9)</f>
        <v>10.4703</v>
      </c>
      <c r="G250" s="14">
        <f>CHOOSE(CONTROL!$C$42, 10.4875, 10.4875)*CHOOSE(CONTROL!$C$21, $C$9, 100%, $E$9)</f>
        <v>10.487500000000001</v>
      </c>
      <c r="H250" s="14">
        <f>CHOOSE(CONTROL!$C$42, 10.6914, 10.6914) * CHOOSE(CONTROL!$C$21, $C$9, 100%, $E$9)</f>
        <v>10.6914</v>
      </c>
      <c r="I250" s="14">
        <f>CHOOSE(CONTROL!$C$42, 10.5032, 10.5032)* CHOOSE(CONTROL!$C$21, $C$9, 100%, $E$9)</f>
        <v>10.5032</v>
      </c>
      <c r="J250" s="14">
        <f>CHOOSE(CONTROL!$C$42, 10.4633, 10.4633)* CHOOSE(CONTROL!$C$21, $C$9, 100%, $E$9)</f>
        <v>10.4633</v>
      </c>
      <c r="K250" s="53">
        <f>CHOOSE(CONTROL!$C$42, 10.4994, 10.4994) * CHOOSE(CONTROL!$C$21, $C$9, 100%, $E$9)</f>
        <v>10.4994</v>
      </c>
      <c r="L250" s="14">
        <f>CHOOSE(CONTROL!$C$42, 11.2784, 11.2784) * CHOOSE(CONTROL!$C$21, $C$9, 100%, $E$9)</f>
        <v>11.2784</v>
      </c>
      <c r="M250" s="14">
        <f>CHOOSE(CONTROL!$C$42, 10.2566, 10.2566) * CHOOSE(CONTROL!$C$21, $C$9, 100%, $E$9)</f>
        <v>10.256600000000001</v>
      </c>
      <c r="N250" s="14">
        <f>CHOOSE(CONTROL!$C$42, 10.2735, 10.2735) * CHOOSE(CONTROL!$C$21, $C$9, 100%, $E$9)</f>
        <v>10.2735</v>
      </c>
      <c r="O250" s="14">
        <f>CHOOSE(CONTROL!$C$42, 10.48, 10.48) * CHOOSE(CONTROL!$C$21, $C$9, 100%, $E$9)</f>
        <v>10.48</v>
      </c>
      <c r="P250" s="14">
        <f>CHOOSE(CONTROL!$C$42, 10.2952, 10.2952) * CHOOSE(CONTROL!$C$21, $C$9, 100%, $E$9)</f>
        <v>10.295199999999999</v>
      </c>
      <c r="Q250" s="14">
        <f>CHOOSE(CONTROL!$C$42, 11.0747, 11.0747) * CHOOSE(CONTROL!$C$21, $C$9, 100%, $E$9)</f>
        <v>11.0747</v>
      </c>
      <c r="R250" s="14">
        <f>CHOOSE(CONTROL!$C$42, 11.6894, 11.6894) * CHOOSE(CONTROL!$C$21, $C$9, 100%, $E$9)</f>
        <v>11.689399999999999</v>
      </c>
      <c r="S250" s="14">
        <f>CHOOSE(CONTROL!$C$42, 10.0237, 10.0237) * CHOOSE(CONTROL!$C$21, $C$9, 100%, $E$9)</f>
        <v>10.0237</v>
      </c>
      <c r="T25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50" s="57">
        <f>(1000*CHOOSE(CONTROL!$C$42, 695, 695)*CHOOSE(CONTROL!$C$42, 0.5599, 0.5599)*CHOOSE(CONTROL!$C$42, 31, 31))/1000000</f>
        <v>12.063045499999998</v>
      </c>
      <c r="V250" s="57">
        <f>(1000*CHOOSE(CONTROL!$C$42, 500, 500)*CHOOSE(CONTROL!$C$42, 0.275, 0.275)*CHOOSE(CONTROL!$C$42, 31, 31))/1000000</f>
        <v>4.2625000000000002</v>
      </c>
      <c r="W250" s="57">
        <f>(1000*CHOOSE(CONTROL!$C$42, 0.1146, 0.1146)*CHOOSE(CONTROL!$C$42, 121.5, 121.5)*CHOOSE(CONTROL!$C$42, 31, 31))/1000000</f>
        <v>0.43164089999999994</v>
      </c>
      <c r="X250" s="57">
        <f>(31*0.1790888*245000/1000000)+(31*0.2374*100000/1000000)</f>
        <v>2.0961194359999999</v>
      </c>
      <c r="Y250" s="57"/>
      <c r="Z250" s="14"/>
      <c r="AA250" s="56"/>
      <c r="AB250" s="50">
        <f>(B250*131.881+C250*277.167+D250*79.08+E250*125.872+F250*40+G250*185+H250*0+I250*100+J250*300)/(131.881+277.167+79.08+125.872+0+40+185+100+300)</f>
        <v>10.501595946004841</v>
      </c>
      <c r="AC250" s="45">
        <f>(M250*'RAP TEMPLATE-GAS AVAILABILITY'!O249+N250*'RAP TEMPLATE-GAS AVAILABILITY'!P249+O250*'RAP TEMPLATE-GAS AVAILABILITY'!Q249+P250*'RAP TEMPLATE-GAS AVAILABILITY'!R249)/('RAP TEMPLATE-GAS AVAILABILITY'!O249+'RAP TEMPLATE-GAS AVAILABILITY'!P249+'RAP TEMPLATE-GAS AVAILABILITY'!Q249+'RAP TEMPLATE-GAS AVAILABILITY'!R249)</f>
        <v>10.328725179856114</v>
      </c>
    </row>
    <row r="251" spans="1:29" ht="15.75" x14ac:dyDescent="0.25">
      <c r="A251" s="13">
        <v>48519</v>
      </c>
      <c r="B251" s="14">
        <f>CHOOSE(CONTROL!$C$42, 10.7153, 10.7153) * CHOOSE(CONTROL!$C$21, $C$9, 100%, $E$9)</f>
        <v>10.715299999999999</v>
      </c>
      <c r="C251" s="14">
        <f>CHOOSE(CONTROL!$C$42, 10.7203, 10.7203) * CHOOSE(CONTROL!$C$21, $C$9, 100%, $E$9)</f>
        <v>10.7203</v>
      </c>
      <c r="D251" s="14">
        <f>CHOOSE(CONTROL!$C$42, 10.7946, 10.7946) * CHOOSE(CONTROL!$C$21, $C$9, 100%, $E$9)</f>
        <v>10.794600000000001</v>
      </c>
      <c r="E251" s="14">
        <f>CHOOSE(CONTROL!$C$42, 10.8287, 10.8287) * CHOOSE(CONTROL!$C$21, $C$9, 100%, $E$9)</f>
        <v>10.8287</v>
      </c>
      <c r="F251" s="14">
        <f>CHOOSE(CONTROL!$C$42, 10.7513, 10.7513)*CHOOSE(CONTROL!$C$21, $C$9, 100%, $E$9)</f>
        <v>10.751300000000001</v>
      </c>
      <c r="G251" s="14">
        <f>CHOOSE(CONTROL!$C$42, 10.7689, 10.7689)*CHOOSE(CONTROL!$C$21, $C$9, 100%, $E$9)</f>
        <v>10.7689</v>
      </c>
      <c r="H251" s="14">
        <f>CHOOSE(CONTROL!$C$42, 10.8179, 10.8179) * CHOOSE(CONTROL!$C$21, $C$9, 100%, $E$9)</f>
        <v>10.8179</v>
      </c>
      <c r="I251" s="14">
        <f>CHOOSE(CONTROL!$C$42, 10.7763, 10.7763)* CHOOSE(CONTROL!$C$21, $C$9, 100%, $E$9)</f>
        <v>10.776300000000001</v>
      </c>
      <c r="J251" s="14">
        <f>CHOOSE(CONTROL!$C$42, 10.7443, 10.7443)* CHOOSE(CONTROL!$C$21, $C$9, 100%, $E$9)</f>
        <v>10.744300000000001</v>
      </c>
      <c r="K251" s="53">
        <f>CHOOSE(CONTROL!$C$42, 10.7724, 10.7724) * CHOOSE(CONTROL!$C$21, $C$9, 100%, $E$9)</f>
        <v>10.772399999999999</v>
      </c>
      <c r="L251" s="14">
        <f>CHOOSE(CONTROL!$C$42, 11.4049, 11.4049) * CHOOSE(CONTROL!$C$21, $C$9, 100%, $E$9)</f>
        <v>11.4049</v>
      </c>
      <c r="M251" s="14">
        <f>CHOOSE(CONTROL!$C$42, 10.5319, 10.5319) * CHOOSE(CONTROL!$C$21, $C$9, 100%, $E$9)</f>
        <v>10.5319</v>
      </c>
      <c r="N251" s="14">
        <f>CHOOSE(CONTROL!$C$42, 10.5491, 10.5491) * CHOOSE(CONTROL!$C$21, $C$9, 100%, $E$9)</f>
        <v>10.549099999999999</v>
      </c>
      <c r="O251" s="14">
        <f>CHOOSE(CONTROL!$C$42, 10.6039, 10.6039) * CHOOSE(CONTROL!$C$21, $C$9, 100%, $E$9)</f>
        <v>10.603899999999999</v>
      </c>
      <c r="P251" s="14">
        <f>CHOOSE(CONTROL!$C$42, 10.5626, 10.5626) * CHOOSE(CONTROL!$C$21, $C$9, 100%, $E$9)</f>
        <v>10.5626</v>
      </c>
      <c r="Q251" s="14">
        <f>CHOOSE(CONTROL!$C$42, 11.1986, 11.1986) * CHOOSE(CONTROL!$C$21, $C$9, 100%, $E$9)</f>
        <v>11.198600000000001</v>
      </c>
      <c r="R251" s="14">
        <f>CHOOSE(CONTROL!$C$42, 11.8136, 11.8136) * CHOOSE(CONTROL!$C$21, $C$9, 100%, $E$9)</f>
        <v>11.813599999999999</v>
      </c>
      <c r="S251" s="14">
        <f>CHOOSE(CONTROL!$C$42, 10.2878, 10.2878) * CHOOSE(CONTROL!$C$21, $C$9, 100%, $E$9)</f>
        <v>10.287800000000001</v>
      </c>
      <c r="T25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51" s="57">
        <f>(1000*CHOOSE(CONTROL!$C$42, 695, 695)*CHOOSE(CONTROL!$C$42, 0.5599, 0.5599)*CHOOSE(CONTROL!$C$42, 30, 30))/1000000</f>
        <v>11.673914999999997</v>
      </c>
      <c r="V251" s="57">
        <f>(1000*CHOOSE(CONTROL!$C$42, 500, 500)*CHOOSE(CONTROL!$C$42, 0.275, 0.275)*CHOOSE(CONTROL!$C$42, 30, 30))/1000000</f>
        <v>4.125</v>
      </c>
      <c r="W251" s="57">
        <f>(1000*CHOOSE(CONTROL!$C$42, 0.1146, 0.1146)*CHOOSE(CONTROL!$C$42, 121.5, 121.5)*CHOOSE(CONTROL!$C$42, 30, 30))/1000000</f>
        <v>0.417717</v>
      </c>
      <c r="X251" s="57">
        <f>(30*0.1790888*100000/1000000)+(30*0.2374*100000/1000000)</f>
        <v>1.2494664</v>
      </c>
      <c r="Y251" s="57"/>
      <c r="Z251" s="14"/>
      <c r="AA251" s="56"/>
      <c r="AB251" s="50">
        <f>(B251*122.58+C251*297.941+D251*89.177+E251*40.302+F251*40+G251*160+H251*0+I251*100+J251*300)/(122.58+297.941+89.177+40.302+0+40+160+100+300)</f>
        <v>10.748297989478262</v>
      </c>
      <c r="AC251" s="45">
        <f>(M251*'RAP TEMPLATE-GAS AVAILABILITY'!O250+N251*'RAP TEMPLATE-GAS AVAILABILITY'!P250+O251*'RAP TEMPLATE-GAS AVAILABILITY'!Q250+P251*'RAP TEMPLATE-GAS AVAILABILITY'!R250)/('RAP TEMPLATE-GAS AVAILABILITY'!O250+'RAP TEMPLATE-GAS AVAILABILITY'!P250+'RAP TEMPLATE-GAS AVAILABILITY'!Q250+'RAP TEMPLATE-GAS AVAILABILITY'!R250)</f>
        <v>10.569940287769784</v>
      </c>
    </row>
    <row r="252" spans="1:29" ht="15.75" x14ac:dyDescent="0.25">
      <c r="A252" s="13">
        <v>48549</v>
      </c>
      <c r="B252" s="14">
        <f>CHOOSE(CONTROL!$C$42, 11.4452, 11.4452) * CHOOSE(CONTROL!$C$21, $C$9, 100%, $E$9)</f>
        <v>11.4452</v>
      </c>
      <c r="C252" s="14">
        <f>CHOOSE(CONTROL!$C$42, 11.4503, 11.4503) * CHOOSE(CONTROL!$C$21, $C$9, 100%, $E$9)</f>
        <v>11.4503</v>
      </c>
      <c r="D252" s="14">
        <f>CHOOSE(CONTROL!$C$42, 11.5245, 11.5245) * CHOOSE(CONTROL!$C$21, $C$9, 100%, $E$9)</f>
        <v>11.5245</v>
      </c>
      <c r="E252" s="14">
        <f>CHOOSE(CONTROL!$C$42, 11.5586, 11.5586) * CHOOSE(CONTROL!$C$21, $C$9, 100%, $E$9)</f>
        <v>11.5586</v>
      </c>
      <c r="F252" s="14">
        <f>CHOOSE(CONTROL!$C$42, 11.4836, 11.4836)*CHOOSE(CONTROL!$C$21, $C$9, 100%, $E$9)</f>
        <v>11.483599999999999</v>
      </c>
      <c r="G252" s="14">
        <f>CHOOSE(CONTROL!$C$42, 11.5017, 11.5017)*CHOOSE(CONTROL!$C$21, $C$9, 100%, $E$9)</f>
        <v>11.5017</v>
      </c>
      <c r="H252" s="14">
        <f>CHOOSE(CONTROL!$C$42, 11.5478, 11.5478) * CHOOSE(CONTROL!$C$21, $C$9, 100%, $E$9)</f>
        <v>11.547800000000001</v>
      </c>
      <c r="I252" s="14">
        <f>CHOOSE(CONTROL!$C$42, 11.5085, 11.5085)* CHOOSE(CONTROL!$C$21, $C$9, 100%, $E$9)</f>
        <v>11.5085</v>
      </c>
      <c r="J252" s="14">
        <f>CHOOSE(CONTROL!$C$42, 11.4766, 11.4766)* CHOOSE(CONTROL!$C$21, $C$9, 100%, $E$9)</f>
        <v>11.476599999999999</v>
      </c>
      <c r="K252" s="53">
        <f>CHOOSE(CONTROL!$C$42, 11.5046, 11.5046) * CHOOSE(CONTROL!$C$21, $C$9, 100%, $E$9)</f>
        <v>11.5046</v>
      </c>
      <c r="L252" s="14">
        <f>CHOOSE(CONTROL!$C$42, 12.1348, 12.1348) * CHOOSE(CONTROL!$C$21, $C$9, 100%, $E$9)</f>
        <v>12.1348</v>
      </c>
      <c r="M252" s="14">
        <f>CHOOSE(CONTROL!$C$42, 11.2491, 11.2491) * CHOOSE(CONTROL!$C$21, $C$9, 100%, $E$9)</f>
        <v>11.2491</v>
      </c>
      <c r="N252" s="14">
        <f>CHOOSE(CONTROL!$C$42, 11.2669, 11.2669) * CHOOSE(CONTROL!$C$21, $C$9, 100%, $E$9)</f>
        <v>11.2669</v>
      </c>
      <c r="O252" s="14">
        <f>CHOOSE(CONTROL!$C$42, 11.3189, 11.3189) * CHOOSE(CONTROL!$C$21, $C$9, 100%, $E$9)</f>
        <v>11.318899999999999</v>
      </c>
      <c r="P252" s="14">
        <f>CHOOSE(CONTROL!$C$42, 11.2797, 11.2797) * CHOOSE(CONTROL!$C$21, $C$9, 100%, $E$9)</f>
        <v>11.2797</v>
      </c>
      <c r="Q252" s="14">
        <f>CHOOSE(CONTROL!$C$42, 11.9136, 11.9136) * CHOOSE(CONTROL!$C$21, $C$9, 100%, $E$9)</f>
        <v>11.913600000000001</v>
      </c>
      <c r="R252" s="14">
        <f>CHOOSE(CONTROL!$C$42, 12.5303, 12.5303) * CHOOSE(CONTROL!$C$21, $C$9, 100%, $E$9)</f>
        <v>12.5303</v>
      </c>
      <c r="S252" s="14">
        <f>CHOOSE(CONTROL!$C$42, 10.9891, 10.9891) * CHOOSE(CONTROL!$C$21, $C$9, 100%, $E$9)</f>
        <v>10.989100000000001</v>
      </c>
      <c r="T25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52" s="57">
        <f>(1000*CHOOSE(CONTROL!$C$42, 695, 695)*CHOOSE(CONTROL!$C$42, 0.5599, 0.5599)*CHOOSE(CONTROL!$C$42, 31, 31))/1000000</f>
        <v>12.063045499999998</v>
      </c>
      <c r="V252" s="57">
        <f>(1000*CHOOSE(CONTROL!$C$42, 500, 500)*CHOOSE(CONTROL!$C$42, 0.275, 0.275)*CHOOSE(CONTROL!$C$42, 31, 31))/1000000</f>
        <v>4.2625000000000002</v>
      </c>
      <c r="W252" s="57">
        <f>(1000*CHOOSE(CONTROL!$C$42, 0.1146, 0.1146)*CHOOSE(CONTROL!$C$42, 121.5, 121.5)*CHOOSE(CONTROL!$C$42, 31, 31))/1000000</f>
        <v>0.43164089999999994</v>
      </c>
      <c r="X252" s="57">
        <f>(31*0.1790888*100000/1000000)+(31*0.2374*100000/1000000)</f>
        <v>1.2911152800000001</v>
      </c>
      <c r="Y252" s="57"/>
      <c r="Z252" s="14"/>
      <c r="AA252" s="56"/>
      <c r="AB252" s="50">
        <f>(B252*122.58+C252*297.941+D252*89.177+E252*40.302+F252*40+G252*160+H252*0+I252*100+J252*300)/(122.58+297.941+89.177+40.302+0+40+160+100+300)</f>
        <v>11.479536940869565</v>
      </c>
      <c r="AC252" s="45">
        <f>(M252*'RAP TEMPLATE-GAS AVAILABILITY'!O251+N252*'RAP TEMPLATE-GAS AVAILABILITY'!P251+O252*'RAP TEMPLATE-GAS AVAILABILITY'!Q251+P252*'RAP TEMPLATE-GAS AVAILABILITY'!R251)/('RAP TEMPLATE-GAS AVAILABILITY'!O251+'RAP TEMPLATE-GAS AVAILABILITY'!P251+'RAP TEMPLATE-GAS AVAILABILITY'!Q251+'RAP TEMPLATE-GAS AVAILABILITY'!R251)</f>
        <v>11.286163309352517</v>
      </c>
    </row>
    <row r="253" spans="1:29" ht="15.75" x14ac:dyDescent="0.25">
      <c r="A253" s="13">
        <v>48580</v>
      </c>
      <c r="B253" s="14">
        <f>CHOOSE(CONTROL!$C$42, 12.3932, 12.3932) * CHOOSE(CONTROL!$C$21, $C$9, 100%, $E$9)</f>
        <v>12.3932</v>
      </c>
      <c r="C253" s="14">
        <f>CHOOSE(CONTROL!$C$42, 12.3983, 12.3983) * CHOOSE(CONTROL!$C$21, $C$9, 100%, $E$9)</f>
        <v>12.398300000000001</v>
      </c>
      <c r="D253" s="14">
        <f>CHOOSE(CONTROL!$C$42, 12.4751, 12.4751) * CHOOSE(CONTROL!$C$21, $C$9, 100%, $E$9)</f>
        <v>12.475099999999999</v>
      </c>
      <c r="E253" s="14">
        <f>CHOOSE(CONTROL!$C$42, 12.5092, 12.5092) * CHOOSE(CONTROL!$C$21, $C$9, 100%, $E$9)</f>
        <v>12.5092</v>
      </c>
      <c r="F253" s="14">
        <f>CHOOSE(CONTROL!$C$42, 12.4179, 12.4179)*CHOOSE(CONTROL!$C$21, $C$9, 100%, $E$9)</f>
        <v>12.417899999999999</v>
      </c>
      <c r="G253" s="14">
        <f>CHOOSE(CONTROL!$C$42, 12.4359, 12.4359)*CHOOSE(CONTROL!$C$21, $C$9, 100%, $E$9)</f>
        <v>12.4359</v>
      </c>
      <c r="H253" s="14">
        <f>CHOOSE(CONTROL!$C$42, 12.4984, 12.4984) * CHOOSE(CONTROL!$C$21, $C$9, 100%, $E$9)</f>
        <v>12.4984</v>
      </c>
      <c r="I253" s="14">
        <f>CHOOSE(CONTROL!$C$42, 12.4657, 12.4657)* CHOOSE(CONTROL!$C$21, $C$9, 100%, $E$9)</f>
        <v>12.4657</v>
      </c>
      <c r="J253" s="14">
        <f>CHOOSE(CONTROL!$C$42, 12.4109, 12.4109)* CHOOSE(CONTROL!$C$21, $C$9, 100%, $E$9)</f>
        <v>12.4109</v>
      </c>
      <c r="K253" s="53">
        <f>CHOOSE(CONTROL!$C$42, 12.4619, 12.4619) * CHOOSE(CONTROL!$C$21, $C$9, 100%, $E$9)</f>
        <v>12.4619</v>
      </c>
      <c r="L253" s="14">
        <f>CHOOSE(CONTROL!$C$42, 13.0854, 13.0854) * CHOOSE(CONTROL!$C$21, $C$9, 100%, $E$9)</f>
        <v>13.0854</v>
      </c>
      <c r="M253" s="14">
        <f>CHOOSE(CONTROL!$C$42, 12.1643, 12.1643) * CHOOSE(CONTROL!$C$21, $C$9, 100%, $E$9)</f>
        <v>12.164300000000001</v>
      </c>
      <c r="N253" s="14">
        <f>CHOOSE(CONTROL!$C$42, 12.182, 12.182) * CHOOSE(CONTROL!$C$21, $C$9, 100%, $E$9)</f>
        <v>12.182</v>
      </c>
      <c r="O253" s="14">
        <f>CHOOSE(CONTROL!$C$42, 12.25, 12.25) * CHOOSE(CONTROL!$C$21, $C$9, 100%, $E$9)</f>
        <v>12.25</v>
      </c>
      <c r="P253" s="14">
        <f>CHOOSE(CONTROL!$C$42, 12.2173, 12.2173) * CHOOSE(CONTROL!$C$21, $C$9, 100%, $E$9)</f>
        <v>12.2173</v>
      </c>
      <c r="Q253" s="14">
        <f>CHOOSE(CONTROL!$C$42, 12.8447, 12.8447) * CHOOSE(CONTROL!$C$21, $C$9, 100%, $E$9)</f>
        <v>12.8447</v>
      </c>
      <c r="R253" s="14">
        <f>CHOOSE(CONTROL!$C$42, 13.4638, 13.4638) * CHOOSE(CONTROL!$C$21, $C$9, 100%, $E$9)</f>
        <v>13.463800000000001</v>
      </c>
      <c r="S253" s="14">
        <f>CHOOSE(CONTROL!$C$42, 11.9001, 11.9001) * CHOOSE(CONTROL!$C$21, $C$9, 100%, $E$9)</f>
        <v>11.9001</v>
      </c>
      <c r="T25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3" s="57">
        <f>(1000*CHOOSE(CONTROL!$C$42, 695, 695)*CHOOSE(CONTROL!$C$42, 0.5599, 0.5599)*CHOOSE(CONTROL!$C$42, 31, 31))/1000000</f>
        <v>12.063045499999998</v>
      </c>
      <c r="V253" s="57">
        <f>(1000*CHOOSE(CONTROL!$C$42, 500, 500)*CHOOSE(CONTROL!$C$42, 0.275, 0.275)*CHOOSE(CONTROL!$C$42, 31, 31))/1000000</f>
        <v>4.2625000000000002</v>
      </c>
      <c r="W253" s="57">
        <f>(1000*CHOOSE(CONTROL!$C$42, 0.1146, 0.1146)*CHOOSE(CONTROL!$C$42, 121.5, 121.5)*CHOOSE(CONTROL!$C$42, 31, 31))/1000000</f>
        <v>0.43164089999999994</v>
      </c>
      <c r="X253" s="57">
        <f>(31*0.1790888*100000/1000000)+(31*0.2374*100000/1000000)</f>
        <v>1.2911152800000001</v>
      </c>
      <c r="Y253" s="57"/>
      <c r="Z253" s="14"/>
      <c r="AA253" s="56"/>
      <c r="AB253" s="50">
        <f>(B253*122.58+C253*297.941+D253*89.177+E253*40.302+F253*40+G253*160+H253*0+I253*100+J253*300)/(122.58+297.941+89.177+40.302+0+40+160+100+300)</f>
        <v>12.422659241217392</v>
      </c>
      <c r="AC253" s="45">
        <f>(M253*'RAP TEMPLATE-GAS AVAILABILITY'!O252+N253*'RAP TEMPLATE-GAS AVAILABILITY'!P252+O253*'RAP TEMPLATE-GAS AVAILABILITY'!Q252+P253*'RAP TEMPLATE-GAS AVAILABILITY'!R252)/('RAP TEMPLATE-GAS AVAILABILITY'!O252+'RAP TEMPLATE-GAS AVAILABILITY'!P252+'RAP TEMPLATE-GAS AVAILABILITY'!Q252+'RAP TEMPLATE-GAS AVAILABILITY'!R252)</f>
        <v>12.211787050359714</v>
      </c>
    </row>
    <row r="254" spans="1:29" ht="15.75" x14ac:dyDescent="0.25">
      <c r="A254" s="13">
        <v>48611</v>
      </c>
      <c r="B254" s="14">
        <f>CHOOSE(CONTROL!$C$42, 12.6137, 12.6137) * CHOOSE(CONTROL!$C$21, $C$9, 100%, $E$9)</f>
        <v>12.6137</v>
      </c>
      <c r="C254" s="14">
        <f>CHOOSE(CONTROL!$C$42, 12.6187, 12.6187) * CHOOSE(CONTROL!$C$21, $C$9, 100%, $E$9)</f>
        <v>12.6187</v>
      </c>
      <c r="D254" s="14">
        <f>CHOOSE(CONTROL!$C$42, 12.6955, 12.6955) * CHOOSE(CONTROL!$C$21, $C$9, 100%, $E$9)</f>
        <v>12.695499999999999</v>
      </c>
      <c r="E254" s="14">
        <f>CHOOSE(CONTROL!$C$42, 12.7296, 12.7296) * CHOOSE(CONTROL!$C$21, $C$9, 100%, $E$9)</f>
        <v>12.7296</v>
      </c>
      <c r="F254" s="14">
        <f>CHOOSE(CONTROL!$C$42, 12.638, 12.638)*CHOOSE(CONTROL!$C$21, $C$9, 100%, $E$9)</f>
        <v>12.638</v>
      </c>
      <c r="G254" s="14">
        <f>CHOOSE(CONTROL!$C$42, 12.6559, 12.6559)*CHOOSE(CONTROL!$C$21, $C$9, 100%, $E$9)</f>
        <v>12.655900000000001</v>
      </c>
      <c r="H254" s="14">
        <f>CHOOSE(CONTROL!$C$42, 12.7188, 12.7188) * CHOOSE(CONTROL!$C$21, $C$9, 100%, $E$9)</f>
        <v>12.7188</v>
      </c>
      <c r="I254" s="14">
        <f>CHOOSE(CONTROL!$C$42, 12.6869, 12.6869)* CHOOSE(CONTROL!$C$21, $C$9, 100%, $E$9)</f>
        <v>12.6869</v>
      </c>
      <c r="J254" s="14">
        <f>CHOOSE(CONTROL!$C$42, 12.631, 12.631)* CHOOSE(CONTROL!$C$21, $C$9, 100%, $E$9)</f>
        <v>12.631</v>
      </c>
      <c r="K254" s="53">
        <f>CHOOSE(CONTROL!$C$42, 12.683, 12.683) * CHOOSE(CONTROL!$C$21, $C$9, 100%, $E$9)</f>
        <v>12.683</v>
      </c>
      <c r="L254" s="14">
        <f>CHOOSE(CONTROL!$C$42, 13.3058, 13.3058) * CHOOSE(CONTROL!$C$21, $C$9, 100%, $E$9)</f>
        <v>13.3058</v>
      </c>
      <c r="M254" s="14">
        <f>CHOOSE(CONTROL!$C$42, 12.3799, 12.3799) * CHOOSE(CONTROL!$C$21, $C$9, 100%, $E$9)</f>
        <v>12.379899999999999</v>
      </c>
      <c r="N254" s="14">
        <f>CHOOSE(CONTROL!$C$42, 12.3974, 12.3974) * CHOOSE(CONTROL!$C$21, $C$9, 100%, $E$9)</f>
        <v>12.397399999999999</v>
      </c>
      <c r="O254" s="14">
        <f>CHOOSE(CONTROL!$C$42, 12.4659, 12.4659) * CHOOSE(CONTROL!$C$21, $C$9, 100%, $E$9)</f>
        <v>12.4659</v>
      </c>
      <c r="P254" s="14">
        <f>CHOOSE(CONTROL!$C$42, 12.4339, 12.4339) * CHOOSE(CONTROL!$C$21, $C$9, 100%, $E$9)</f>
        <v>12.4339</v>
      </c>
      <c r="Q254" s="14">
        <f>CHOOSE(CONTROL!$C$42, 13.0606, 13.0606) * CHOOSE(CONTROL!$C$21, $C$9, 100%, $E$9)</f>
        <v>13.060600000000001</v>
      </c>
      <c r="R254" s="14">
        <f>CHOOSE(CONTROL!$C$42, 13.6803, 13.6803) * CHOOSE(CONTROL!$C$21, $C$9, 100%, $E$9)</f>
        <v>13.680300000000001</v>
      </c>
      <c r="S254" s="14">
        <f>CHOOSE(CONTROL!$C$42, 12.1119, 12.1119) * CHOOSE(CONTROL!$C$21, $C$9, 100%, $E$9)</f>
        <v>12.1119</v>
      </c>
      <c r="T25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54" s="57">
        <f>(1000*CHOOSE(CONTROL!$C$42, 695, 695)*CHOOSE(CONTROL!$C$42, 0.5599, 0.5599)*CHOOSE(CONTROL!$C$42, 28, 28))/1000000</f>
        <v>10.895653999999999</v>
      </c>
      <c r="V254" s="57">
        <f>(1000*CHOOSE(CONTROL!$C$42, 500, 500)*CHOOSE(CONTROL!$C$42, 0.275, 0.275)*CHOOSE(CONTROL!$C$42, 28, 28))/1000000</f>
        <v>3.85</v>
      </c>
      <c r="W254" s="57">
        <f>(1000*CHOOSE(CONTROL!$C$42, 0.1146, 0.1146)*CHOOSE(CONTROL!$C$42, 121.5, 121.5)*CHOOSE(CONTROL!$C$42, 28, 28))/1000000</f>
        <v>0.38986920000000003</v>
      </c>
      <c r="X254" s="57">
        <f>(28*0.1790888*100000/1000000)+(28*0.2374*100000/1000000)</f>
        <v>1.16616864</v>
      </c>
      <c r="Y254" s="57"/>
      <c r="Z254" s="14"/>
      <c r="AA254" s="56"/>
      <c r="AB254" s="50">
        <f>(B254*122.58+C254*297.941+D254*89.177+E254*40.302+F254*40+G254*160+H254*0+I254*100+J254*300)/(122.58+297.941+89.177+40.302+0+40+160+100+300)</f>
        <v>12.642995117739131</v>
      </c>
      <c r="AC254" s="45">
        <f>(M254*'RAP TEMPLATE-GAS AVAILABILITY'!O253+N254*'RAP TEMPLATE-GAS AVAILABILITY'!P253+O254*'RAP TEMPLATE-GAS AVAILABILITY'!Q253+P254*'RAP TEMPLATE-GAS AVAILABILITY'!R253)/('RAP TEMPLATE-GAS AVAILABILITY'!O253+'RAP TEMPLATE-GAS AVAILABILITY'!P253+'RAP TEMPLATE-GAS AVAILABILITY'!Q253+'RAP TEMPLATE-GAS AVAILABILITY'!R253)</f>
        <v>12.427655395683452</v>
      </c>
    </row>
    <row r="255" spans="1:29" ht="15.75" x14ac:dyDescent="0.25">
      <c r="A255" s="13">
        <v>48639</v>
      </c>
      <c r="B255" s="14">
        <f>CHOOSE(CONTROL!$C$42, 12.2558, 12.2558) * CHOOSE(CONTROL!$C$21, $C$9, 100%, $E$9)</f>
        <v>12.255800000000001</v>
      </c>
      <c r="C255" s="14">
        <f>CHOOSE(CONTROL!$C$42, 12.2609, 12.2609) * CHOOSE(CONTROL!$C$21, $C$9, 100%, $E$9)</f>
        <v>12.260899999999999</v>
      </c>
      <c r="D255" s="14">
        <f>CHOOSE(CONTROL!$C$42, 12.3377, 12.3377) * CHOOSE(CONTROL!$C$21, $C$9, 100%, $E$9)</f>
        <v>12.3377</v>
      </c>
      <c r="E255" s="14">
        <f>CHOOSE(CONTROL!$C$42, 12.3718, 12.3718) * CHOOSE(CONTROL!$C$21, $C$9, 100%, $E$9)</f>
        <v>12.3718</v>
      </c>
      <c r="F255" s="14">
        <f>CHOOSE(CONTROL!$C$42, 12.2793, 12.2793)*CHOOSE(CONTROL!$C$21, $C$9, 100%, $E$9)</f>
        <v>12.279299999999999</v>
      </c>
      <c r="G255" s="14">
        <f>CHOOSE(CONTROL!$C$42, 12.2969, 12.2969)*CHOOSE(CONTROL!$C$21, $C$9, 100%, $E$9)</f>
        <v>12.296900000000001</v>
      </c>
      <c r="H255" s="14">
        <f>CHOOSE(CONTROL!$C$42, 12.361, 12.361) * CHOOSE(CONTROL!$C$21, $C$9, 100%, $E$9)</f>
        <v>12.361000000000001</v>
      </c>
      <c r="I255" s="14">
        <f>CHOOSE(CONTROL!$C$42, 12.3279, 12.3279)* CHOOSE(CONTROL!$C$21, $C$9, 100%, $E$9)</f>
        <v>12.3279</v>
      </c>
      <c r="J255" s="14">
        <f>CHOOSE(CONTROL!$C$42, 12.2723, 12.2723)* CHOOSE(CONTROL!$C$21, $C$9, 100%, $E$9)</f>
        <v>12.2723</v>
      </c>
      <c r="K255" s="53">
        <f>CHOOSE(CONTROL!$C$42, 12.324, 12.324) * CHOOSE(CONTROL!$C$21, $C$9, 100%, $E$9)</f>
        <v>12.324</v>
      </c>
      <c r="L255" s="14">
        <f>CHOOSE(CONTROL!$C$42, 12.948, 12.948) * CHOOSE(CONTROL!$C$21, $C$9, 100%, $E$9)</f>
        <v>12.948</v>
      </c>
      <c r="M255" s="14">
        <f>CHOOSE(CONTROL!$C$42, 12.0285, 12.0285) * CHOOSE(CONTROL!$C$21, $C$9, 100%, $E$9)</f>
        <v>12.028499999999999</v>
      </c>
      <c r="N255" s="14">
        <f>CHOOSE(CONTROL!$C$42, 12.0458, 12.0458) * CHOOSE(CONTROL!$C$21, $C$9, 100%, $E$9)</f>
        <v>12.0458</v>
      </c>
      <c r="O255" s="14">
        <f>CHOOSE(CONTROL!$C$42, 12.1154, 12.1154) * CHOOSE(CONTROL!$C$21, $C$9, 100%, $E$9)</f>
        <v>12.115399999999999</v>
      </c>
      <c r="P255" s="14">
        <f>CHOOSE(CONTROL!$C$42, 12.0823, 12.0823) * CHOOSE(CONTROL!$C$21, $C$9, 100%, $E$9)</f>
        <v>12.0823</v>
      </c>
      <c r="Q255" s="14">
        <f>CHOOSE(CONTROL!$C$42, 12.7101, 12.7101) * CHOOSE(CONTROL!$C$21, $C$9, 100%, $E$9)</f>
        <v>12.710100000000001</v>
      </c>
      <c r="R255" s="14">
        <f>CHOOSE(CONTROL!$C$42, 13.3289, 13.3289) * CHOOSE(CONTROL!$C$21, $C$9, 100%, $E$9)</f>
        <v>13.328900000000001</v>
      </c>
      <c r="S255" s="14">
        <f>CHOOSE(CONTROL!$C$42, 11.7681, 11.7681) * CHOOSE(CONTROL!$C$21, $C$9, 100%, $E$9)</f>
        <v>11.7681</v>
      </c>
      <c r="T25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55" s="57">
        <f>(1000*CHOOSE(CONTROL!$C$42, 695, 695)*CHOOSE(CONTROL!$C$42, 0.5599, 0.5599)*CHOOSE(CONTROL!$C$42, 31, 31))/1000000</f>
        <v>12.063045499999998</v>
      </c>
      <c r="V255" s="57">
        <f>(1000*CHOOSE(CONTROL!$C$42, 500, 500)*CHOOSE(CONTROL!$C$42, 0.275, 0.275)*CHOOSE(CONTROL!$C$42, 31, 31))/1000000</f>
        <v>4.2625000000000002</v>
      </c>
      <c r="W255" s="57">
        <f>(1000*CHOOSE(CONTROL!$C$42, 0.1146, 0.1146)*CHOOSE(CONTROL!$C$42, 121.5, 121.5)*CHOOSE(CONTROL!$C$42, 31, 31))/1000000</f>
        <v>0.43164089999999994</v>
      </c>
      <c r="X255" s="57">
        <f>(31*0.1790888*100000/1000000)+(31*0.2374*100000/1000000)</f>
        <v>1.2911152800000001</v>
      </c>
      <c r="Y255" s="57"/>
      <c r="Z255" s="14"/>
      <c r="AA255" s="56"/>
      <c r="AB255" s="50">
        <f>(B255*122.58+C255*297.941+D255*89.177+E255*40.302+F255*40+G255*160+H255*0+I255*100+J255*300)/(122.58+297.941+89.177+40.302+0+40+160+100+300)</f>
        <v>12.284647067304347</v>
      </c>
      <c r="AC255" s="45">
        <f>(M255*'RAP TEMPLATE-GAS AVAILABILITY'!O254+N255*'RAP TEMPLATE-GAS AVAILABILITY'!P254+O255*'RAP TEMPLATE-GAS AVAILABILITY'!Q254+P255*'RAP TEMPLATE-GAS AVAILABILITY'!R254)/('RAP TEMPLATE-GAS AVAILABILITY'!O254+'RAP TEMPLATE-GAS AVAILABILITY'!P254+'RAP TEMPLATE-GAS AVAILABILITY'!Q254+'RAP TEMPLATE-GAS AVAILABILITY'!R254)</f>
        <v>12.076623021582732</v>
      </c>
    </row>
    <row r="256" spans="1:29" ht="15.75" x14ac:dyDescent="0.25">
      <c r="A256" s="13">
        <v>48670</v>
      </c>
      <c r="B256" s="14">
        <f>CHOOSE(CONTROL!$C$42, 12.2202, 12.2202) * CHOOSE(CONTROL!$C$21, $C$9, 100%, $E$9)</f>
        <v>12.2202</v>
      </c>
      <c r="C256" s="14">
        <f>CHOOSE(CONTROL!$C$42, 12.2246, 12.2246) * CHOOSE(CONTROL!$C$21, $C$9, 100%, $E$9)</f>
        <v>12.224600000000001</v>
      </c>
      <c r="D256" s="14">
        <f>CHOOSE(CONTROL!$C$42, 12.4484, 12.4484) * CHOOSE(CONTROL!$C$21, $C$9, 100%, $E$9)</f>
        <v>12.448399999999999</v>
      </c>
      <c r="E256" s="14">
        <f>CHOOSE(CONTROL!$C$42, 12.4805, 12.4805) * CHOOSE(CONTROL!$C$21, $C$9, 100%, $E$9)</f>
        <v>12.480499999999999</v>
      </c>
      <c r="F256" s="14">
        <f>CHOOSE(CONTROL!$C$42, 12.2478, 12.2478)*CHOOSE(CONTROL!$C$21, $C$9, 100%, $E$9)</f>
        <v>12.2478</v>
      </c>
      <c r="G256" s="14">
        <f>CHOOSE(CONTROL!$C$42, 12.2647, 12.2647)*CHOOSE(CONTROL!$C$21, $C$9, 100%, $E$9)</f>
        <v>12.264699999999999</v>
      </c>
      <c r="H256" s="14">
        <f>CHOOSE(CONTROL!$C$42, 12.4703, 12.4703) * CHOOSE(CONTROL!$C$21, $C$9, 100%, $E$9)</f>
        <v>12.4703</v>
      </c>
      <c r="I256" s="14">
        <f>CHOOSE(CONTROL!$C$42, 12.2877, 12.2877)* CHOOSE(CONTROL!$C$21, $C$9, 100%, $E$9)</f>
        <v>12.287699999999999</v>
      </c>
      <c r="J256" s="14">
        <f>CHOOSE(CONTROL!$C$42, 12.2408, 12.2408)* CHOOSE(CONTROL!$C$21, $C$9, 100%, $E$9)</f>
        <v>12.2408</v>
      </c>
      <c r="K256" s="53">
        <f>CHOOSE(CONTROL!$C$42, 12.2838, 12.2838) * CHOOSE(CONTROL!$C$21, $C$9, 100%, $E$9)</f>
        <v>12.283799999999999</v>
      </c>
      <c r="L256" s="14">
        <f>CHOOSE(CONTROL!$C$42, 13.0573, 13.0573) * CHOOSE(CONTROL!$C$21, $C$9, 100%, $E$9)</f>
        <v>13.0573</v>
      </c>
      <c r="M256" s="14">
        <f>CHOOSE(CONTROL!$C$42, 11.9977, 11.9977) * CHOOSE(CONTROL!$C$21, $C$9, 100%, $E$9)</f>
        <v>11.9977</v>
      </c>
      <c r="N256" s="14">
        <f>CHOOSE(CONTROL!$C$42, 12.0143, 12.0143) * CHOOSE(CONTROL!$C$21, $C$9, 100%, $E$9)</f>
        <v>12.0143</v>
      </c>
      <c r="O256" s="14">
        <f>CHOOSE(CONTROL!$C$42, 12.2224, 12.2224) * CHOOSE(CONTROL!$C$21, $C$9, 100%, $E$9)</f>
        <v>12.2224</v>
      </c>
      <c r="P256" s="14">
        <f>CHOOSE(CONTROL!$C$42, 12.0429, 12.0429) * CHOOSE(CONTROL!$C$21, $C$9, 100%, $E$9)</f>
        <v>12.042899999999999</v>
      </c>
      <c r="Q256" s="14">
        <f>CHOOSE(CONTROL!$C$42, 12.8171, 12.8171) * CHOOSE(CONTROL!$C$21, $C$9, 100%, $E$9)</f>
        <v>12.8171</v>
      </c>
      <c r="R256" s="14">
        <f>CHOOSE(CONTROL!$C$42, 13.4362, 13.4362) * CHOOSE(CONTROL!$C$21, $C$9, 100%, $E$9)</f>
        <v>13.436199999999999</v>
      </c>
      <c r="S256" s="14">
        <f>CHOOSE(CONTROL!$C$42, 11.7331, 11.7331) * CHOOSE(CONTROL!$C$21, $C$9, 100%, $E$9)</f>
        <v>11.7331</v>
      </c>
      <c r="T25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56" s="57">
        <f>(1000*CHOOSE(CONTROL!$C$42, 695, 695)*CHOOSE(CONTROL!$C$42, 0.5599, 0.5599)*CHOOSE(CONTROL!$C$42, 30, 30))/1000000</f>
        <v>11.673914999999997</v>
      </c>
      <c r="V256" s="57">
        <f>(1000*CHOOSE(CONTROL!$C$42, 500, 500)*CHOOSE(CONTROL!$C$42, 0.275, 0.275)*CHOOSE(CONTROL!$C$42, 30, 30))/1000000</f>
        <v>4.125</v>
      </c>
      <c r="W256" s="57">
        <f>(1000*CHOOSE(CONTROL!$C$42, 0.1146, 0.1146)*CHOOSE(CONTROL!$C$42, 121.5, 121.5)*CHOOSE(CONTROL!$C$42, 30, 30))/1000000</f>
        <v>0.417717</v>
      </c>
      <c r="X256" s="57">
        <f>(30*0.1790888*245000/1000000)+(30*0.2374*100000/1000000)</f>
        <v>2.0285026799999999</v>
      </c>
      <c r="Y256" s="57"/>
      <c r="Z256" s="14"/>
      <c r="AA256" s="56"/>
      <c r="AB256" s="50">
        <f>(B256*141.293+C256*267.993+D256*115.016+E256*89.698+F256*40+G256*185+H256*0+I256*100+J256*300)/(141.293+267.993+115.016+89.698+0+40+185+100+300)</f>
        <v>12.279151339628731</v>
      </c>
      <c r="AC256" s="45">
        <f>(M256*'RAP TEMPLATE-GAS AVAILABILITY'!O255+N256*'RAP TEMPLATE-GAS AVAILABILITY'!P255+O256*'RAP TEMPLATE-GAS AVAILABILITY'!Q255+P256*'RAP TEMPLATE-GAS AVAILABILITY'!R255)/('RAP TEMPLATE-GAS AVAILABILITY'!O255+'RAP TEMPLATE-GAS AVAILABILITY'!P255+'RAP TEMPLATE-GAS AVAILABILITY'!Q255+'RAP TEMPLATE-GAS AVAILABILITY'!R255)</f>
        <v>12.071070503597122</v>
      </c>
    </row>
    <row r="257" spans="1:29" ht="15.75" x14ac:dyDescent="0.25">
      <c r="A257" s="13">
        <v>48700</v>
      </c>
      <c r="B257" s="14">
        <f>CHOOSE(CONTROL!$C$42, 12.3293, 12.3293) * CHOOSE(CONTROL!$C$21, $C$9, 100%, $E$9)</f>
        <v>12.3293</v>
      </c>
      <c r="C257" s="14">
        <f>CHOOSE(CONTROL!$C$42, 12.3373, 12.3373) * CHOOSE(CONTROL!$C$21, $C$9, 100%, $E$9)</f>
        <v>12.337300000000001</v>
      </c>
      <c r="D257" s="14">
        <f>CHOOSE(CONTROL!$C$42, 12.5579, 12.5579) * CHOOSE(CONTROL!$C$21, $C$9, 100%, $E$9)</f>
        <v>12.5579</v>
      </c>
      <c r="E257" s="14">
        <f>CHOOSE(CONTROL!$C$42, 12.5894, 12.5894) * CHOOSE(CONTROL!$C$21, $C$9, 100%, $E$9)</f>
        <v>12.589399999999999</v>
      </c>
      <c r="F257" s="14">
        <f>CHOOSE(CONTROL!$C$42, 12.3556, 12.3556)*CHOOSE(CONTROL!$C$21, $C$9, 100%, $E$9)</f>
        <v>12.355600000000001</v>
      </c>
      <c r="G257" s="14">
        <f>CHOOSE(CONTROL!$C$42, 12.3727, 12.3727)*CHOOSE(CONTROL!$C$21, $C$9, 100%, $E$9)</f>
        <v>12.3727</v>
      </c>
      <c r="H257" s="14">
        <f>CHOOSE(CONTROL!$C$42, 12.578, 12.578) * CHOOSE(CONTROL!$C$21, $C$9, 100%, $E$9)</f>
        <v>12.577999999999999</v>
      </c>
      <c r="I257" s="14">
        <f>CHOOSE(CONTROL!$C$42, 12.3958, 12.3958)* CHOOSE(CONTROL!$C$21, $C$9, 100%, $E$9)</f>
        <v>12.395799999999999</v>
      </c>
      <c r="J257" s="14">
        <f>CHOOSE(CONTROL!$C$42, 12.3486, 12.3486)* CHOOSE(CONTROL!$C$21, $C$9, 100%, $E$9)</f>
        <v>12.348599999999999</v>
      </c>
      <c r="K257" s="53">
        <f>CHOOSE(CONTROL!$C$42, 12.3919, 12.3919) * CHOOSE(CONTROL!$C$21, $C$9, 100%, $E$9)</f>
        <v>12.3919</v>
      </c>
      <c r="L257" s="14">
        <f>CHOOSE(CONTROL!$C$42, 13.165, 13.165) * CHOOSE(CONTROL!$C$21, $C$9, 100%, $E$9)</f>
        <v>13.164999999999999</v>
      </c>
      <c r="M257" s="14">
        <f>CHOOSE(CONTROL!$C$42, 12.1033, 12.1033) * CHOOSE(CONTROL!$C$21, $C$9, 100%, $E$9)</f>
        <v>12.103300000000001</v>
      </c>
      <c r="N257" s="14">
        <f>CHOOSE(CONTROL!$C$42, 12.12, 12.12) * CHOOSE(CONTROL!$C$21, $C$9, 100%, $E$9)</f>
        <v>12.12</v>
      </c>
      <c r="O257" s="14">
        <f>CHOOSE(CONTROL!$C$42, 12.328, 12.328) * CHOOSE(CONTROL!$C$21, $C$9, 100%, $E$9)</f>
        <v>12.327999999999999</v>
      </c>
      <c r="P257" s="14">
        <f>CHOOSE(CONTROL!$C$42, 12.1488, 12.1488) * CHOOSE(CONTROL!$C$21, $C$9, 100%, $E$9)</f>
        <v>12.1488</v>
      </c>
      <c r="Q257" s="14">
        <f>CHOOSE(CONTROL!$C$42, 12.9227, 12.9227) * CHOOSE(CONTROL!$C$21, $C$9, 100%, $E$9)</f>
        <v>12.922700000000001</v>
      </c>
      <c r="R257" s="14">
        <f>CHOOSE(CONTROL!$C$42, 13.542, 13.542) * CHOOSE(CONTROL!$C$21, $C$9, 100%, $E$9)</f>
        <v>13.542</v>
      </c>
      <c r="S257" s="14">
        <f>CHOOSE(CONTROL!$C$42, 11.8366, 11.8366) * CHOOSE(CONTROL!$C$21, $C$9, 100%, $E$9)</f>
        <v>11.836600000000001</v>
      </c>
      <c r="T25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57" s="57">
        <f>(1000*CHOOSE(CONTROL!$C$42, 695, 695)*CHOOSE(CONTROL!$C$42, 0.5599, 0.5599)*CHOOSE(CONTROL!$C$42, 31, 31))/1000000</f>
        <v>12.063045499999998</v>
      </c>
      <c r="V257" s="57">
        <f>(1000*CHOOSE(CONTROL!$C$42, 500, 500)*CHOOSE(CONTROL!$C$42, 0.275, 0.275)*CHOOSE(CONTROL!$C$42, 31, 31))/1000000</f>
        <v>4.2625000000000002</v>
      </c>
      <c r="W257" s="57">
        <f>(1000*CHOOSE(CONTROL!$C$42, 0.1146, 0.1146)*CHOOSE(CONTROL!$C$42, 121.5, 121.5)*CHOOSE(CONTROL!$C$42, 31, 31))/1000000</f>
        <v>0.43164089999999994</v>
      </c>
      <c r="X257" s="57">
        <f>(31*0.1790888*245000/1000000)+(31*0.2374*100000/1000000)</f>
        <v>2.0961194359999999</v>
      </c>
      <c r="Y257" s="57"/>
      <c r="Z257" s="14"/>
      <c r="AA257" s="56"/>
      <c r="AB257" s="50">
        <f>(B257*194.205+C257*267.466+D257*133.845+E257*53.484+F257*40+G257*185+H257*0+I257*100+J257*300)/(194.205+267.466+133.845+53.484+0+40+185+100+300)</f>
        <v>12.3828077577708</v>
      </c>
      <c r="AC257" s="45">
        <f>(M257*'RAP TEMPLATE-GAS AVAILABILITY'!O256+N257*'RAP TEMPLATE-GAS AVAILABILITY'!P256+O257*'RAP TEMPLATE-GAS AVAILABILITY'!Q256+P257*'RAP TEMPLATE-GAS AVAILABILITY'!R256)/('RAP TEMPLATE-GAS AVAILABILITY'!O256+'RAP TEMPLATE-GAS AVAILABILITY'!P256+'RAP TEMPLATE-GAS AVAILABILITY'!Q256+'RAP TEMPLATE-GAS AVAILABILITY'!R256)</f>
        <v>12.176736690647482</v>
      </c>
    </row>
    <row r="258" spans="1:29" ht="15.75" x14ac:dyDescent="0.25">
      <c r="A258" s="13">
        <v>48731</v>
      </c>
      <c r="B258" s="14">
        <f>CHOOSE(CONTROL!$C$42, 12.6787, 12.6787) * CHOOSE(CONTROL!$C$21, $C$9, 100%, $E$9)</f>
        <v>12.678699999999999</v>
      </c>
      <c r="C258" s="14">
        <f>CHOOSE(CONTROL!$C$42, 12.6867, 12.6867) * CHOOSE(CONTROL!$C$21, $C$9, 100%, $E$9)</f>
        <v>12.6867</v>
      </c>
      <c r="D258" s="14">
        <f>CHOOSE(CONTROL!$C$42, 12.9073, 12.9073) * CHOOSE(CONTROL!$C$21, $C$9, 100%, $E$9)</f>
        <v>12.907299999999999</v>
      </c>
      <c r="E258" s="14">
        <f>CHOOSE(CONTROL!$C$42, 12.9388, 12.9388) * CHOOSE(CONTROL!$C$21, $C$9, 100%, $E$9)</f>
        <v>12.938800000000001</v>
      </c>
      <c r="F258" s="14">
        <f>CHOOSE(CONTROL!$C$42, 12.7053, 12.7053)*CHOOSE(CONTROL!$C$21, $C$9, 100%, $E$9)</f>
        <v>12.705299999999999</v>
      </c>
      <c r="G258" s="14">
        <f>CHOOSE(CONTROL!$C$42, 12.7225, 12.7225)*CHOOSE(CONTROL!$C$21, $C$9, 100%, $E$9)</f>
        <v>12.7225</v>
      </c>
      <c r="H258" s="14">
        <f>CHOOSE(CONTROL!$C$42, 12.9274, 12.9274) * CHOOSE(CONTROL!$C$21, $C$9, 100%, $E$9)</f>
        <v>12.9274</v>
      </c>
      <c r="I258" s="14">
        <f>CHOOSE(CONTROL!$C$42, 12.7463, 12.7463)* CHOOSE(CONTROL!$C$21, $C$9, 100%, $E$9)</f>
        <v>12.7463</v>
      </c>
      <c r="J258" s="14">
        <f>CHOOSE(CONTROL!$C$42, 12.6983, 12.6983)* CHOOSE(CONTROL!$C$21, $C$9, 100%, $E$9)</f>
        <v>12.6983</v>
      </c>
      <c r="K258" s="53">
        <f>CHOOSE(CONTROL!$C$42, 12.7424, 12.7424) * CHOOSE(CONTROL!$C$21, $C$9, 100%, $E$9)</f>
        <v>12.7424</v>
      </c>
      <c r="L258" s="14">
        <f>CHOOSE(CONTROL!$C$42, 13.5144, 13.5144) * CHOOSE(CONTROL!$C$21, $C$9, 100%, $E$9)</f>
        <v>13.5144</v>
      </c>
      <c r="M258" s="14">
        <f>CHOOSE(CONTROL!$C$42, 12.4458, 12.4458) * CHOOSE(CONTROL!$C$21, $C$9, 100%, $E$9)</f>
        <v>12.4458</v>
      </c>
      <c r="N258" s="14">
        <f>CHOOSE(CONTROL!$C$42, 12.4627, 12.4627) * CHOOSE(CONTROL!$C$21, $C$9, 100%, $E$9)</f>
        <v>12.4627</v>
      </c>
      <c r="O258" s="14">
        <f>CHOOSE(CONTROL!$C$42, 12.6702, 12.6702) * CHOOSE(CONTROL!$C$21, $C$9, 100%, $E$9)</f>
        <v>12.670199999999999</v>
      </c>
      <c r="P258" s="14">
        <f>CHOOSE(CONTROL!$C$42, 12.4921, 12.4921) * CHOOSE(CONTROL!$C$21, $C$9, 100%, $E$9)</f>
        <v>12.492100000000001</v>
      </c>
      <c r="Q258" s="14">
        <f>CHOOSE(CONTROL!$C$42, 13.2649, 13.2649) * CHOOSE(CONTROL!$C$21, $C$9, 100%, $E$9)</f>
        <v>13.264900000000001</v>
      </c>
      <c r="R258" s="14">
        <f>CHOOSE(CONTROL!$C$42, 13.8851, 13.8851) * CHOOSE(CONTROL!$C$21, $C$9, 100%, $E$9)</f>
        <v>13.8851</v>
      </c>
      <c r="S258" s="14">
        <f>CHOOSE(CONTROL!$C$42, 12.1723, 12.1723) * CHOOSE(CONTROL!$C$21, $C$9, 100%, $E$9)</f>
        <v>12.1723</v>
      </c>
      <c r="T25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58" s="57">
        <f>(1000*CHOOSE(CONTROL!$C$42, 695, 695)*CHOOSE(CONTROL!$C$42, 0.5599, 0.5599)*CHOOSE(CONTROL!$C$42, 30, 30))/1000000</f>
        <v>11.673914999999997</v>
      </c>
      <c r="V258" s="57">
        <f>(1000*CHOOSE(CONTROL!$C$42, 500, 500)*CHOOSE(CONTROL!$C$42, 0.275, 0.275)*CHOOSE(CONTROL!$C$42, 30, 30))/1000000</f>
        <v>4.125</v>
      </c>
      <c r="W258" s="57">
        <f>(1000*CHOOSE(CONTROL!$C$42, 0.1146, 0.1146)*CHOOSE(CONTROL!$C$42, 121.5, 121.5)*CHOOSE(CONTROL!$C$42, 30, 30))/1000000</f>
        <v>0.417717</v>
      </c>
      <c r="X258" s="57">
        <f>(30*0.1790888*245000/1000000)+(30*0.2374*100000/1000000)</f>
        <v>2.0285026799999999</v>
      </c>
      <c r="Y258" s="57"/>
      <c r="Z258" s="14"/>
      <c r="AA258" s="56"/>
      <c r="AB258" s="50">
        <f>(B258*194.205+C258*267.466+D258*133.845+E258*53.484+F258*40+G258*185+H258*0+I258*100+J258*300)/(194.205+267.466+133.845+53.484+0+40+185+100+300)</f>
        <v>12.732432247566718</v>
      </c>
      <c r="AC258" s="45">
        <f>(M258*'RAP TEMPLATE-GAS AVAILABILITY'!O257+N258*'RAP TEMPLATE-GAS AVAILABILITY'!P257+O258*'RAP TEMPLATE-GAS AVAILABILITY'!Q257+P258*'RAP TEMPLATE-GAS AVAILABILITY'!R257)/('RAP TEMPLATE-GAS AVAILABILITY'!O257+'RAP TEMPLATE-GAS AVAILABILITY'!P257+'RAP TEMPLATE-GAS AVAILABILITY'!Q257+'RAP TEMPLATE-GAS AVAILABILITY'!R257)</f>
        <v>12.519313669064747</v>
      </c>
    </row>
    <row r="259" spans="1:29" ht="15.75" x14ac:dyDescent="0.25">
      <c r="A259" s="13">
        <v>48761</v>
      </c>
      <c r="B259" s="14">
        <f>CHOOSE(CONTROL!$C$42, 12.4357, 12.4357) * CHOOSE(CONTROL!$C$21, $C$9, 100%, $E$9)</f>
        <v>12.435700000000001</v>
      </c>
      <c r="C259" s="14">
        <f>CHOOSE(CONTROL!$C$42, 12.4437, 12.4437) * CHOOSE(CONTROL!$C$21, $C$9, 100%, $E$9)</f>
        <v>12.4437</v>
      </c>
      <c r="D259" s="14">
        <f>CHOOSE(CONTROL!$C$42, 12.6643, 12.6643) * CHOOSE(CONTROL!$C$21, $C$9, 100%, $E$9)</f>
        <v>12.664300000000001</v>
      </c>
      <c r="E259" s="14">
        <f>CHOOSE(CONTROL!$C$42, 12.6958, 12.6958) * CHOOSE(CONTROL!$C$21, $C$9, 100%, $E$9)</f>
        <v>12.6958</v>
      </c>
      <c r="F259" s="14">
        <f>CHOOSE(CONTROL!$C$42, 12.4628, 12.4628)*CHOOSE(CONTROL!$C$21, $C$9, 100%, $E$9)</f>
        <v>12.4628</v>
      </c>
      <c r="G259" s="14">
        <f>CHOOSE(CONTROL!$C$42, 12.4801, 12.4801)*CHOOSE(CONTROL!$C$21, $C$9, 100%, $E$9)</f>
        <v>12.4801</v>
      </c>
      <c r="H259" s="14">
        <f>CHOOSE(CONTROL!$C$42, 12.6844, 12.6844) * CHOOSE(CONTROL!$C$21, $C$9, 100%, $E$9)</f>
        <v>12.6844</v>
      </c>
      <c r="I259" s="14">
        <f>CHOOSE(CONTROL!$C$42, 12.5025, 12.5025)* CHOOSE(CONTROL!$C$21, $C$9, 100%, $E$9)</f>
        <v>12.5025</v>
      </c>
      <c r="J259" s="14">
        <f>CHOOSE(CONTROL!$C$42, 12.4558, 12.4558)* CHOOSE(CONTROL!$C$21, $C$9, 100%, $E$9)</f>
        <v>12.4558</v>
      </c>
      <c r="K259" s="53">
        <f>CHOOSE(CONTROL!$C$42, 12.4986, 12.4986) * CHOOSE(CONTROL!$C$21, $C$9, 100%, $E$9)</f>
        <v>12.4986</v>
      </c>
      <c r="L259" s="14">
        <f>CHOOSE(CONTROL!$C$42, 13.2714, 13.2714) * CHOOSE(CONTROL!$C$21, $C$9, 100%, $E$9)</f>
        <v>13.2714</v>
      </c>
      <c r="M259" s="14">
        <f>CHOOSE(CONTROL!$C$42, 12.2083, 12.2083) * CHOOSE(CONTROL!$C$21, $C$9, 100%, $E$9)</f>
        <v>12.208299999999999</v>
      </c>
      <c r="N259" s="14">
        <f>CHOOSE(CONTROL!$C$42, 12.2252, 12.2252) * CHOOSE(CONTROL!$C$21, $C$9, 100%, $E$9)</f>
        <v>12.225199999999999</v>
      </c>
      <c r="O259" s="14">
        <f>CHOOSE(CONTROL!$C$42, 12.4322, 12.4322) * CHOOSE(CONTROL!$C$21, $C$9, 100%, $E$9)</f>
        <v>12.4322</v>
      </c>
      <c r="P259" s="14">
        <f>CHOOSE(CONTROL!$C$42, 12.2534, 12.2534) * CHOOSE(CONTROL!$C$21, $C$9, 100%, $E$9)</f>
        <v>12.253399999999999</v>
      </c>
      <c r="Q259" s="14">
        <f>CHOOSE(CONTROL!$C$42, 13.0269, 13.0269) * CHOOSE(CONTROL!$C$21, $C$9, 100%, $E$9)</f>
        <v>13.026899999999999</v>
      </c>
      <c r="R259" s="14">
        <f>CHOOSE(CONTROL!$C$42, 13.6465, 13.6465) * CHOOSE(CONTROL!$C$21, $C$9, 100%, $E$9)</f>
        <v>13.6465</v>
      </c>
      <c r="S259" s="14">
        <f>CHOOSE(CONTROL!$C$42, 11.9388, 11.9388) * CHOOSE(CONTROL!$C$21, $C$9, 100%, $E$9)</f>
        <v>11.938800000000001</v>
      </c>
      <c r="T25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59" s="57">
        <f>(1000*CHOOSE(CONTROL!$C$42, 695, 695)*CHOOSE(CONTROL!$C$42, 0.5599, 0.5599)*CHOOSE(CONTROL!$C$42, 31, 31))/1000000</f>
        <v>12.063045499999998</v>
      </c>
      <c r="V259" s="57">
        <f>(1000*CHOOSE(CONTROL!$C$42, 500, 500)*CHOOSE(CONTROL!$C$42, 0.275, 0.275)*CHOOSE(CONTROL!$C$42, 31, 31))/1000000</f>
        <v>4.2625000000000002</v>
      </c>
      <c r="W259" s="57">
        <f>(1000*CHOOSE(CONTROL!$C$42, 0.1146, 0.1146)*CHOOSE(CONTROL!$C$42, 121.5, 121.5)*CHOOSE(CONTROL!$C$42, 31, 31))/1000000</f>
        <v>0.43164089999999994</v>
      </c>
      <c r="X259" s="57">
        <f>(31*0.1790888*245000/1000000)+(31*0.2374*100000/1000000)</f>
        <v>2.0961194359999999</v>
      </c>
      <c r="Y259" s="57"/>
      <c r="Z259" s="14"/>
      <c r="AA259" s="56"/>
      <c r="AB259" s="50">
        <f>(B259*194.205+C259*267.466+D259*133.845+E259*53.484+F259*40+G259*185+H259*0+I259*100+J259*300)/(194.205+267.466+133.845+53.484+0+40+185+100+300)</f>
        <v>12.489590018367347</v>
      </c>
      <c r="AC259" s="45">
        <f>(M259*'RAP TEMPLATE-GAS AVAILABILITY'!O258+N259*'RAP TEMPLATE-GAS AVAILABILITY'!P258+O259*'RAP TEMPLATE-GAS AVAILABILITY'!Q258+P259*'RAP TEMPLATE-GAS AVAILABILITY'!R258)/('RAP TEMPLATE-GAS AVAILABILITY'!O258+'RAP TEMPLATE-GAS AVAILABILITY'!P258+'RAP TEMPLATE-GAS AVAILABILITY'!Q258+'RAP TEMPLATE-GAS AVAILABILITY'!R258)</f>
        <v>12.281500719424461</v>
      </c>
    </row>
    <row r="260" spans="1:29" ht="15.75" x14ac:dyDescent="0.25">
      <c r="A260" s="13">
        <v>48792</v>
      </c>
      <c r="B260" s="14">
        <f>CHOOSE(CONTROL!$C$42, 11.822, 11.822) * CHOOSE(CONTROL!$C$21, $C$9, 100%, $E$9)</f>
        <v>11.821999999999999</v>
      </c>
      <c r="C260" s="14">
        <f>CHOOSE(CONTROL!$C$42, 11.8301, 11.8301) * CHOOSE(CONTROL!$C$21, $C$9, 100%, $E$9)</f>
        <v>11.8301</v>
      </c>
      <c r="D260" s="14">
        <f>CHOOSE(CONTROL!$C$42, 12.0506, 12.0506) * CHOOSE(CONTROL!$C$21, $C$9, 100%, $E$9)</f>
        <v>12.050599999999999</v>
      </c>
      <c r="E260" s="14">
        <f>CHOOSE(CONTROL!$C$42, 12.0821, 12.0821) * CHOOSE(CONTROL!$C$21, $C$9, 100%, $E$9)</f>
        <v>12.082100000000001</v>
      </c>
      <c r="F260" s="14">
        <f>CHOOSE(CONTROL!$C$42, 11.8494, 11.8494)*CHOOSE(CONTROL!$C$21, $C$9, 100%, $E$9)</f>
        <v>11.849399999999999</v>
      </c>
      <c r="G260" s="14">
        <f>CHOOSE(CONTROL!$C$42, 11.8668, 11.8668)*CHOOSE(CONTROL!$C$21, $C$9, 100%, $E$9)</f>
        <v>11.8668</v>
      </c>
      <c r="H260" s="14">
        <f>CHOOSE(CONTROL!$C$42, 12.0707, 12.0707) * CHOOSE(CONTROL!$C$21, $C$9, 100%, $E$9)</f>
        <v>12.0707</v>
      </c>
      <c r="I260" s="14">
        <f>CHOOSE(CONTROL!$C$42, 11.8869, 11.8869)* CHOOSE(CONTROL!$C$21, $C$9, 100%, $E$9)</f>
        <v>11.886900000000001</v>
      </c>
      <c r="J260" s="14">
        <f>CHOOSE(CONTROL!$C$42, 11.8424, 11.8424)* CHOOSE(CONTROL!$C$21, $C$9, 100%, $E$9)</f>
        <v>11.8424</v>
      </c>
      <c r="K260" s="53">
        <f>CHOOSE(CONTROL!$C$42, 11.8831, 11.8831) * CHOOSE(CONTROL!$C$21, $C$9, 100%, $E$9)</f>
        <v>11.883100000000001</v>
      </c>
      <c r="L260" s="14">
        <f>CHOOSE(CONTROL!$C$42, 12.6577, 12.6577) * CHOOSE(CONTROL!$C$21, $C$9, 100%, $E$9)</f>
        <v>12.6577</v>
      </c>
      <c r="M260" s="14">
        <f>CHOOSE(CONTROL!$C$42, 11.6074, 11.6074) * CHOOSE(CONTROL!$C$21, $C$9, 100%, $E$9)</f>
        <v>11.6074</v>
      </c>
      <c r="N260" s="14">
        <f>CHOOSE(CONTROL!$C$42, 11.6245, 11.6245) * CHOOSE(CONTROL!$C$21, $C$9, 100%, $E$9)</f>
        <v>11.624499999999999</v>
      </c>
      <c r="O260" s="14">
        <f>CHOOSE(CONTROL!$C$42, 11.8311, 11.8311) * CHOOSE(CONTROL!$C$21, $C$9, 100%, $E$9)</f>
        <v>11.831099999999999</v>
      </c>
      <c r="P260" s="14">
        <f>CHOOSE(CONTROL!$C$42, 11.6504, 11.6504) * CHOOSE(CONTROL!$C$21, $C$9, 100%, $E$9)</f>
        <v>11.650399999999999</v>
      </c>
      <c r="Q260" s="14">
        <f>CHOOSE(CONTROL!$C$42, 12.4258, 12.4258) * CHOOSE(CONTROL!$C$21, $C$9, 100%, $E$9)</f>
        <v>12.425800000000001</v>
      </c>
      <c r="R260" s="14">
        <f>CHOOSE(CONTROL!$C$42, 13.0439, 13.0439) * CHOOSE(CONTROL!$C$21, $C$9, 100%, $E$9)</f>
        <v>13.043900000000001</v>
      </c>
      <c r="S260" s="14">
        <f>CHOOSE(CONTROL!$C$42, 11.3492, 11.3492) * CHOOSE(CONTROL!$C$21, $C$9, 100%, $E$9)</f>
        <v>11.3492</v>
      </c>
      <c r="T26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60" s="57">
        <f>(1000*CHOOSE(CONTROL!$C$42, 695, 695)*CHOOSE(CONTROL!$C$42, 0.5599, 0.5599)*CHOOSE(CONTROL!$C$42, 31, 31))/1000000</f>
        <v>12.063045499999998</v>
      </c>
      <c r="V260" s="57">
        <f>(1000*CHOOSE(CONTROL!$C$42, 500, 500)*CHOOSE(CONTROL!$C$42, 0.275, 0.275)*CHOOSE(CONTROL!$C$42, 31, 31))/1000000</f>
        <v>4.2625000000000002</v>
      </c>
      <c r="W260" s="57">
        <f>(1000*CHOOSE(CONTROL!$C$42, 0.1146, 0.1146)*CHOOSE(CONTROL!$C$42, 121.5, 121.5)*CHOOSE(CONTROL!$C$42, 31, 31))/1000000</f>
        <v>0.43164089999999994</v>
      </c>
      <c r="X260" s="57">
        <f>(31*0.1790888*245000/1000000)+(31*0.2374*100000/1000000)</f>
        <v>2.0961194359999999</v>
      </c>
      <c r="Y260" s="57"/>
      <c r="Z260" s="14"/>
      <c r="AA260" s="56"/>
      <c r="AB260" s="50">
        <f>(B260*194.205+C260*267.466+D260*133.845+E260*53.484+F260*40+G260*185+H260*0+I260*100+J260*300)/(194.205+267.466+133.845+53.484+0+40+185+100+300)</f>
        <v>11.87590002354788</v>
      </c>
      <c r="AC260" s="45">
        <f>(M260*'RAP TEMPLATE-GAS AVAILABILITY'!O259+N260*'RAP TEMPLATE-GAS AVAILABILITY'!P259+O260*'RAP TEMPLATE-GAS AVAILABILITY'!Q259+P260*'RAP TEMPLATE-GAS AVAILABILITY'!R259)/('RAP TEMPLATE-GAS AVAILABILITY'!O259+'RAP TEMPLATE-GAS AVAILABILITY'!P259+'RAP TEMPLATE-GAS AVAILABILITY'!Q259+'RAP TEMPLATE-GAS AVAILABILITY'!R259)</f>
        <v>11.680288489208634</v>
      </c>
    </row>
    <row r="261" spans="1:29" ht="15.75" x14ac:dyDescent="0.25">
      <c r="A261" s="13">
        <v>48823</v>
      </c>
      <c r="B261" s="14">
        <f>CHOOSE(CONTROL!$C$42, 11.072, 11.072) * CHOOSE(CONTROL!$C$21, $C$9, 100%, $E$9)</f>
        <v>11.071999999999999</v>
      </c>
      <c r="C261" s="14">
        <f>CHOOSE(CONTROL!$C$42, 11.08, 11.08) * CHOOSE(CONTROL!$C$21, $C$9, 100%, $E$9)</f>
        <v>11.08</v>
      </c>
      <c r="D261" s="14">
        <f>CHOOSE(CONTROL!$C$42, 11.3006, 11.3006) * CHOOSE(CONTROL!$C$21, $C$9, 100%, $E$9)</f>
        <v>11.300599999999999</v>
      </c>
      <c r="E261" s="14">
        <f>CHOOSE(CONTROL!$C$42, 11.3321, 11.3321) * CHOOSE(CONTROL!$C$21, $C$9, 100%, $E$9)</f>
        <v>11.332100000000001</v>
      </c>
      <c r="F261" s="14">
        <f>CHOOSE(CONTROL!$C$42, 11.0994, 11.0994)*CHOOSE(CONTROL!$C$21, $C$9, 100%, $E$9)</f>
        <v>11.099399999999999</v>
      </c>
      <c r="G261" s="14">
        <f>CHOOSE(CONTROL!$C$42, 11.1168, 11.1168)*CHOOSE(CONTROL!$C$21, $C$9, 100%, $E$9)</f>
        <v>11.1168</v>
      </c>
      <c r="H261" s="14">
        <f>CHOOSE(CONTROL!$C$42, 11.3207, 11.3207) * CHOOSE(CONTROL!$C$21, $C$9, 100%, $E$9)</f>
        <v>11.3207</v>
      </c>
      <c r="I261" s="14">
        <f>CHOOSE(CONTROL!$C$42, 11.1346, 11.1346)* CHOOSE(CONTROL!$C$21, $C$9, 100%, $E$9)</f>
        <v>11.134600000000001</v>
      </c>
      <c r="J261" s="14">
        <f>CHOOSE(CONTROL!$C$42, 11.0924, 11.0924)* CHOOSE(CONTROL!$C$21, $C$9, 100%, $E$9)</f>
        <v>11.0924</v>
      </c>
      <c r="K261" s="53">
        <f>CHOOSE(CONTROL!$C$42, 11.1307, 11.1307) * CHOOSE(CONTROL!$C$21, $C$9, 100%, $E$9)</f>
        <v>11.130699999999999</v>
      </c>
      <c r="L261" s="14">
        <f>CHOOSE(CONTROL!$C$42, 11.9077, 11.9077) * CHOOSE(CONTROL!$C$21, $C$9, 100%, $E$9)</f>
        <v>11.9077</v>
      </c>
      <c r="M261" s="14">
        <f>CHOOSE(CONTROL!$C$42, 10.8728, 10.8728) * CHOOSE(CONTROL!$C$21, $C$9, 100%, $E$9)</f>
        <v>10.8728</v>
      </c>
      <c r="N261" s="14">
        <f>CHOOSE(CONTROL!$C$42, 10.8898, 10.8898) * CHOOSE(CONTROL!$C$21, $C$9, 100%, $E$9)</f>
        <v>10.889799999999999</v>
      </c>
      <c r="O261" s="14">
        <f>CHOOSE(CONTROL!$C$42, 11.0965, 11.0965) * CHOOSE(CONTROL!$C$21, $C$9, 100%, $E$9)</f>
        <v>11.096500000000001</v>
      </c>
      <c r="P261" s="14">
        <f>CHOOSE(CONTROL!$C$42, 10.9135, 10.9135) * CHOOSE(CONTROL!$C$21, $C$9, 100%, $E$9)</f>
        <v>10.913500000000001</v>
      </c>
      <c r="Q261" s="14">
        <f>CHOOSE(CONTROL!$C$42, 11.6912, 11.6912) * CHOOSE(CONTROL!$C$21, $C$9, 100%, $E$9)</f>
        <v>11.6912</v>
      </c>
      <c r="R261" s="14">
        <f>CHOOSE(CONTROL!$C$42, 12.3074, 12.3074) * CHOOSE(CONTROL!$C$21, $C$9, 100%, $E$9)</f>
        <v>12.307399999999999</v>
      </c>
      <c r="S261" s="14">
        <f>CHOOSE(CONTROL!$C$42, 10.6285, 10.6285) * CHOOSE(CONTROL!$C$21, $C$9, 100%, $E$9)</f>
        <v>10.628500000000001</v>
      </c>
      <c r="T26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61" s="57">
        <f>(1000*CHOOSE(CONTROL!$C$42, 695, 695)*CHOOSE(CONTROL!$C$42, 0.5599, 0.5599)*CHOOSE(CONTROL!$C$42, 30, 30))/1000000</f>
        <v>11.673914999999997</v>
      </c>
      <c r="V261" s="57">
        <f>(1000*CHOOSE(CONTROL!$C$42, 500, 500)*CHOOSE(CONTROL!$C$42, 0.275, 0.275)*CHOOSE(CONTROL!$C$42, 30, 30))/1000000</f>
        <v>4.125</v>
      </c>
      <c r="W261" s="57">
        <f>(1000*CHOOSE(CONTROL!$C$42, 0.1146, 0.1146)*CHOOSE(CONTROL!$C$42, 121.5, 121.5)*CHOOSE(CONTROL!$C$42, 30, 30))/1000000</f>
        <v>0.417717</v>
      </c>
      <c r="X261" s="57">
        <f>(30*0.1790888*245000/1000000)+(30*0.2374*100000/1000000)</f>
        <v>2.0285026799999999</v>
      </c>
      <c r="Y261" s="57"/>
      <c r="Z261" s="14"/>
      <c r="AA261" s="56"/>
      <c r="AB261" s="50">
        <f>(B261*194.205+C261*267.466+D261*133.845+E261*53.484+F261*40+G261*185+H261*0+I261*100+J261*300)/(194.205+267.466+133.845+53.484+0+40+185+100+300)</f>
        <v>11.125698495604393</v>
      </c>
      <c r="AC261" s="45">
        <f>(M261*'RAP TEMPLATE-GAS AVAILABILITY'!O260+N261*'RAP TEMPLATE-GAS AVAILABILITY'!P260+O261*'RAP TEMPLATE-GAS AVAILABILITY'!Q260+P261*'RAP TEMPLATE-GAS AVAILABILITY'!R260)/('RAP TEMPLATE-GAS AVAILABILITY'!O260+'RAP TEMPLATE-GAS AVAILABILITY'!P260+'RAP TEMPLATE-GAS AVAILABILITY'!Q260+'RAP TEMPLATE-GAS AVAILABILITY'!R260)</f>
        <v>10.945334532374101</v>
      </c>
    </row>
    <row r="262" spans="1:29" ht="15.75" x14ac:dyDescent="0.25">
      <c r="A262" s="13">
        <v>48853</v>
      </c>
      <c r="B262" s="14">
        <f>CHOOSE(CONTROL!$C$42, 10.8457, 10.8457) * CHOOSE(CONTROL!$C$21, $C$9, 100%, $E$9)</f>
        <v>10.845700000000001</v>
      </c>
      <c r="C262" s="14">
        <f>CHOOSE(CONTROL!$C$42, 10.851, 10.851) * CHOOSE(CONTROL!$C$21, $C$9, 100%, $E$9)</f>
        <v>10.851000000000001</v>
      </c>
      <c r="D262" s="14">
        <f>CHOOSE(CONTROL!$C$42, 11.0766, 11.0766) * CHOOSE(CONTROL!$C$21, $C$9, 100%, $E$9)</f>
        <v>11.076599999999999</v>
      </c>
      <c r="E262" s="14">
        <f>CHOOSE(CONTROL!$C$42, 11.1057, 11.1057) * CHOOSE(CONTROL!$C$21, $C$9, 100%, $E$9)</f>
        <v>11.105700000000001</v>
      </c>
      <c r="F262" s="14">
        <f>CHOOSE(CONTROL!$C$42, 10.875, 10.875)*CHOOSE(CONTROL!$C$21, $C$9, 100%, $E$9)</f>
        <v>10.875</v>
      </c>
      <c r="G262" s="14">
        <f>CHOOSE(CONTROL!$C$42, 10.8923, 10.8923)*CHOOSE(CONTROL!$C$21, $C$9, 100%, $E$9)</f>
        <v>10.892300000000001</v>
      </c>
      <c r="H262" s="14">
        <f>CHOOSE(CONTROL!$C$42, 11.0962, 11.0962) * CHOOSE(CONTROL!$C$21, $C$9, 100%, $E$9)</f>
        <v>11.0962</v>
      </c>
      <c r="I262" s="14">
        <f>CHOOSE(CONTROL!$C$42, 10.9093, 10.9093)* CHOOSE(CONTROL!$C$21, $C$9, 100%, $E$9)</f>
        <v>10.9093</v>
      </c>
      <c r="J262" s="14">
        <f>CHOOSE(CONTROL!$C$42, 10.868, 10.868)* CHOOSE(CONTROL!$C$21, $C$9, 100%, $E$9)</f>
        <v>10.868</v>
      </c>
      <c r="K262" s="53">
        <f>CHOOSE(CONTROL!$C$42, 10.9054, 10.9054) * CHOOSE(CONTROL!$C$21, $C$9, 100%, $E$9)</f>
        <v>10.9054</v>
      </c>
      <c r="L262" s="14">
        <f>CHOOSE(CONTROL!$C$42, 11.6832, 11.6832) * CHOOSE(CONTROL!$C$21, $C$9, 100%, $E$9)</f>
        <v>11.683199999999999</v>
      </c>
      <c r="M262" s="14">
        <f>CHOOSE(CONTROL!$C$42, 10.6531, 10.6531) * CHOOSE(CONTROL!$C$21, $C$9, 100%, $E$9)</f>
        <v>10.6531</v>
      </c>
      <c r="N262" s="14">
        <f>CHOOSE(CONTROL!$C$42, 10.67, 10.67) * CHOOSE(CONTROL!$C$21, $C$9, 100%, $E$9)</f>
        <v>10.67</v>
      </c>
      <c r="O262" s="14">
        <f>CHOOSE(CONTROL!$C$42, 10.8765, 10.8765) * CHOOSE(CONTROL!$C$21, $C$9, 100%, $E$9)</f>
        <v>10.8765</v>
      </c>
      <c r="P262" s="14">
        <f>CHOOSE(CONTROL!$C$42, 10.6929, 10.6929) * CHOOSE(CONTROL!$C$21, $C$9, 100%, $E$9)</f>
        <v>10.6929</v>
      </c>
      <c r="Q262" s="14">
        <f>CHOOSE(CONTROL!$C$42, 11.4712, 11.4712) * CHOOSE(CONTROL!$C$21, $C$9, 100%, $E$9)</f>
        <v>11.4712</v>
      </c>
      <c r="R262" s="14">
        <f>CHOOSE(CONTROL!$C$42, 12.0869, 12.0869) * CHOOSE(CONTROL!$C$21, $C$9, 100%, $E$9)</f>
        <v>12.0869</v>
      </c>
      <c r="S262" s="14">
        <f>CHOOSE(CONTROL!$C$42, 10.4127, 10.4127) * CHOOSE(CONTROL!$C$21, $C$9, 100%, $E$9)</f>
        <v>10.412699999999999</v>
      </c>
      <c r="T26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62" s="57">
        <f>(1000*CHOOSE(CONTROL!$C$42, 695, 695)*CHOOSE(CONTROL!$C$42, 0.5599, 0.5599)*CHOOSE(CONTROL!$C$42, 31, 31))/1000000</f>
        <v>12.063045499999998</v>
      </c>
      <c r="V262" s="57">
        <f>(1000*CHOOSE(CONTROL!$C$42, 500, 500)*CHOOSE(CONTROL!$C$42, 0.275, 0.275)*CHOOSE(CONTROL!$C$42, 31, 31))/1000000</f>
        <v>4.2625000000000002</v>
      </c>
      <c r="W262" s="57">
        <f>(1000*CHOOSE(CONTROL!$C$42, 0.1146, 0.1146)*CHOOSE(CONTROL!$C$42, 121.5, 121.5)*CHOOSE(CONTROL!$C$42, 31, 31))/1000000</f>
        <v>0.43164089999999994</v>
      </c>
      <c r="X262" s="57">
        <f>(31*0.1790888*245000/1000000)+(31*0.2374*100000/1000000)</f>
        <v>2.0961194359999999</v>
      </c>
      <c r="Y262" s="57"/>
      <c r="Z262" s="14"/>
      <c r="AA262" s="56"/>
      <c r="AB262" s="50">
        <f>(B262*131.881+C262*277.167+D262*79.08+E262*125.872+F262*40+G262*185+H262*0+I262*100+J262*300)/(131.881+277.167+79.08+125.872+0+40+185+100+300)</f>
        <v>10.906473427845036</v>
      </c>
      <c r="AC262" s="45">
        <f>(M262*'RAP TEMPLATE-GAS AVAILABILITY'!O261+N262*'RAP TEMPLATE-GAS AVAILABILITY'!P261+O262*'RAP TEMPLATE-GAS AVAILABILITY'!Q261+P262*'RAP TEMPLATE-GAS AVAILABILITY'!R261)/('RAP TEMPLATE-GAS AVAILABILITY'!O261+'RAP TEMPLATE-GAS AVAILABILITY'!P261+'RAP TEMPLATE-GAS AVAILABILITY'!Q261+'RAP TEMPLATE-GAS AVAILABILITY'!R261)</f>
        <v>10.72539784172662</v>
      </c>
    </row>
    <row r="263" spans="1:29" ht="15.75" x14ac:dyDescent="0.25">
      <c r="A263" s="13">
        <v>48884</v>
      </c>
      <c r="B263" s="14">
        <f>CHOOSE(CONTROL!$C$42, 11.1307, 11.1307) * CHOOSE(CONTROL!$C$21, $C$9, 100%, $E$9)</f>
        <v>11.130699999999999</v>
      </c>
      <c r="C263" s="14">
        <f>CHOOSE(CONTROL!$C$42, 11.1358, 11.1358) * CHOOSE(CONTROL!$C$21, $C$9, 100%, $E$9)</f>
        <v>11.1358</v>
      </c>
      <c r="D263" s="14">
        <f>CHOOSE(CONTROL!$C$42, 11.21, 11.21) * CHOOSE(CONTROL!$C$21, $C$9, 100%, $E$9)</f>
        <v>11.21</v>
      </c>
      <c r="E263" s="14">
        <f>CHOOSE(CONTROL!$C$42, 11.2441, 11.2441) * CHOOSE(CONTROL!$C$21, $C$9, 100%, $E$9)</f>
        <v>11.2441</v>
      </c>
      <c r="F263" s="14">
        <f>CHOOSE(CONTROL!$C$42, 11.1668, 11.1668)*CHOOSE(CONTROL!$C$21, $C$9, 100%, $E$9)</f>
        <v>11.1668</v>
      </c>
      <c r="G263" s="14">
        <f>CHOOSE(CONTROL!$C$42, 11.1843, 11.1843)*CHOOSE(CONTROL!$C$21, $C$9, 100%, $E$9)</f>
        <v>11.1843</v>
      </c>
      <c r="H263" s="14">
        <f>CHOOSE(CONTROL!$C$42, 11.2333, 11.2333) * CHOOSE(CONTROL!$C$21, $C$9, 100%, $E$9)</f>
        <v>11.2333</v>
      </c>
      <c r="I263" s="14">
        <f>CHOOSE(CONTROL!$C$42, 11.193, 11.193)* CHOOSE(CONTROL!$C$21, $C$9, 100%, $E$9)</f>
        <v>11.193</v>
      </c>
      <c r="J263" s="14">
        <f>CHOOSE(CONTROL!$C$42, 11.1598, 11.1598)* CHOOSE(CONTROL!$C$21, $C$9, 100%, $E$9)</f>
        <v>11.159800000000001</v>
      </c>
      <c r="K263" s="53">
        <f>CHOOSE(CONTROL!$C$42, 11.1892, 11.1892) * CHOOSE(CONTROL!$C$21, $C$9, 100%, $E$9)</f>
        <v>11.1892</v>
      </c>
      <c r="L263" s="14">
        <f>CHOOSE(CONTROL!$C$42, 11.8203, 11.8203) * CHOOSE(CONTROL!$C$21, $C$9, 100%, $E$9)</f>
        <v>11.8203</v>
      </c>
      <c r="M263" s="14">
        <f>CHOOSE(CONTROL!$C$42, 10.9388, 10.9388) * CHOOSE(CONTROL!$C$21, $C$9, 100%, $E$9)</f>
        <v>10.938800000000001</v>
      </c>
      <c r="N263" s="14">
        <f>CHOOSE(CONTROL!$C$42, 10.956, 10.956) * CHOOSE(CONTROL!$C$21, $C$9, 100%, $E$9)</f>
        <v>10.956</v>
      </c>
      <c r="O263" s="14">
        <f>CHOOSE(CONTROL!$C$42, 11.0108, 11.0108) * CHOOSE(CONTROL!$C$21, $C$9, 100%, $E$9)</f>
        <v>11.0108</v>
      </c>
      <c r="P263" s="14">
        <f>CHOOSE(CONTROL!$C$42, 10.9708, 10.9708) * CHOOSE(CONTROL!$C$21, $C$9, 100%, $E$9)</f>
        <v>10.970800000000001</v>
      </c>
      <c r="Q263" s="14">
        <f>CHOOSE(CONTROL!$C$42, 11.6055, 11.6055) * CHOOSE(CONTROL!$C$21, $C$9, 100%, $E$9)</f>
        <v>11.605499999999999</v>
      </c>
      <c r="R263" s="14">
        <f>CHOOSE(CONTROL!$C$42, 12.2216, 12.2216) * CHOOSE(CONTROL!$C$21, $C$9, 100%, $E$9)</f>
        <v>12.2216</v>
      </c>
      <c r="S263" s="14">
        <f>CHOOSE(CONTROL!$C$42, 10.687, 10.687) * CHOOSE(CONTROL!$C$21, $C$9, 100%, $E$9)</f>
        <v>10.686999999999999</v>
      </c>
      <c r="T26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63" s="57">
        <f>(1000*CHOOSE(CONTROL!$C$42, 695, 695)*CHOOSE(CONTROL!$C$42, 0.5599, 0.5599)*CHOOSE(CONTROL!$C$42, 30, 30))/1000000</f>
        <v>11.673914999999997</v>
      </c>
      <c r="V263" s="57">
        <f>(1000*CHOOSE(CONTROL!$C$42, 500, 500)*CHOOSE(CONTROL!$C$42, 0.275, 0.275)*CHOOSE(CONTROL!$C$42, 30, 30))/1000000</f>
        <v>4.125</v>
      </c>
      <c r="W263" s="57">
        <f>(1000*CHOOSE(CONTROL!$C$42, 0.1146, 0.1146)*CHOOSE(CONTROL!$C$42, 121.5, 121.5)*CHOOSE(CONTROL!$C$42, 30, 30))/1000000</f>
        <v>0.417717</v>
      </c>
      <c r="X263" s="57">
        <f>(30*0.1790888*100000/1000000)+(30*0.2374*100000/1000000)</f>
        <v>1.2494664</v>
      </c>
      <c r="Y263" s="57"/>
      <c r="Z263" s="14"/>
      <c r="AA263" s="56"/>
      <c r="AB263" s="50">
        <f>(B263*122.58+C263*297.941+D263*89.177+E263*40.302+F263*40+G263*160+H263*0+I263*100+J263*300)/(122.58+297.941+89.177+40.302+0+40+160+100+300)</f>
        <v>11.163866506086954</v>
      </c>
      <c r="AC263" s="45">
        <f>(M263*'RAP TEMPLATE-GAS AVAILABILITY'!O262+N263*'RAP TEMPLATE-GAS AVAILABILITY'!P262+O263*'RAP TEMPLATE-GAS AVAILABILITY'!Q262+P263*'RAP TEMPLATE-GAS AVAILABILITY'!R262)/('RAP TEMPLATE-GAS AVAILABILITY'!O262+'RAP TEMPLATE-GAS AVAILABILITY'!P262+'RAP TEMPLATE-GAS AVAILABILITY'!Q262+'RAP TEMPLATE-GAS AVAILABILITY'!R262)</f>
        <v>10.977027338129496</v>
      </c>
    </row>
    <row r="264" spans="1:29" ht="15.75" x14ac:dyDescent="0.25">
      <c r="A264" s="13">
        <v>48914</v>
      </c>
      <c r="B264" s="14">
        <f>CHOOSE(CONTROL!$C$42, 11.889, 11.889) * CHOOSE(CONTROL!$C$21, $C$9, 100%, $E$9)</f>
        <v>11.888999999999999</v>
      </c>
      <c r="C264" s="14">
        <f>CHOOSE(CONTROL!$C$42, 11.894, 11.894) * CHOOSE(CONTROL!$C$21, $C$9, 100%, $E$9)</f>
        <v>11.894</v>
      </c>
      <c r="D264" s="14">
        <f>CHOOSE(CONTROL!$C$42, 11.9682, 11.9682) * CHOOSE(CONTROL!$C$21, $C$9, 100%, $E$9)</f>
        <v>11.9682</v>
      </c>
      <c r="E264" s="14">
        <f>CHOOSE(CONTROL!$C$42, 12.0024, 12.0024) * CHOOSE(CONTROL!$C$21, $C$9, 100%, $E$9)</f>
        <v>12.0024</v>
      </c>
      <c r="F264" s="14">
        <f>CHOOSE(CONTROL!$C$42, 11.9274, 11.9274)*CHOOSE(CONTROL!$C$21, $C$9, 100%, $E$9)</f>
        <v>11.9274</v>
      </c>
      <c r="G264" s="14">
        <f>CHOOSE(CONTROL!$C$42, 11.9455, 11.9455)*CHOOSE(CONTROL!$C$21, $C$9, 100%, $E$9)</f>
        <v>11.945499999999999</v>
      </c>
      <c r="H264" s="14">
        <f>CHOOSE(CONTROL!$C$42, 11.9915, 11.9915) * CHOOSE(CONTROL!$C$21, $C$9, 100%, $E$9)</f>
        <v>11.9915</v>
      </c>
      <c r="I264" s="14">
        <f>CHOOSE(CONTROL!$C$42, 11.9537, 11.9537)* CHOOSE(CONTROL!$C$21, $C$9, 100%, $E$9)</f>
        <v>11.9537</v>
      </c>
      <c r="J264" s="14">
        <f>CHOOSE(CONTROL!$C$42, 11.9204, 11.9204)* CHOOSE(CONTROL!$C$21, $C$9, 100%, $E$9)</f>
        <v>11.920400000000001</v>
      </c>
      <c r="K264" s="53">
        <f>CHOOSE(CONTROL!$C$42, 11.9498, 11.9498) * CHOOSE(CONTROL!$C$21, $C$9, 100%, $E$9)</f>
        <v>11.9498</v>
      </c>
      <c r="L264" s="14">
        <f>CHOOSE(CONTROL!$C$42, 12.5785, 12.5785) * CHOOSE(CONTROL!$C$21, $C$9, 100%, $E$9)</f>
        <v>12.5785</v>
      </c>
      <c r="M264" s="14">
        <f>CHOOSE(CONTROL!$C$42, 11.6838, 11.6838) * CHOOSE(CONTROL!$C$21, $C$9, 100%, $E$9)</f>
        <v>11.6838</v>
      </c>
      <c r="N264" s="14">
        <f>CHOOSE(CONTROL!$C$42, 11.7016, 11.7016) * CHOOSE(CONTROL!$C$21, $C$9, 100%, $E$9)</f>
        <v>11.701599999999999</v>
      </c>
      <c r="O264" s="14">
        <f>CHOOSE(CONTROL!$C$42, 11.7535, 11.7535) * CHOOSE(CONTROL!$C$21, $C$9, 100%, $E$9)</f>
        <v>11.753500000000001</v>
      </c>
      <c r="P264" s="14">
        <f>CHOOSE(CONTROL!$C$42, 11.7158, 11.7158) * CHOOSE(CONTROL!$C$21, $C$9, 100%, $E$9)</f>
        <v>11.7158</v>
      </c>
      <c r="Q264" s="14">
        <f>CHOOSE(CONTROL!$C$42, 12.3482, 12.3482) * CHOOSE(CONTROL!$C$21, $C$9, 100%, $E$9)</f>
        <v>12.3482</v>
      </c>
      <c r="R264" s="14">
        <f>CHOOSE(CONTROL!$C$42, 12.9661, 12.9661) * CHOOSE(CONTROL!$C$21, $C$9, 100%, $E$9)</f>
        <v>12.966100000000001</v>
      </c>
      <c r="S264" s="14">
        <f>CHOOSE(CONTROL!$C$42, 11.4156, 11.4156) * CHOOSE(CONTROL!$C$21, $C$9, 100%, $E$9)</f>
        <v>11.4156</v>
      </c>
      <c r="T26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64" s="57">
        <f>(1000*CHOOSE(CONTROL!$C$42, 695, 695)*CHOOSE(CONTROL!$C$42, 0.5599, 0.5599)*CHOOSE(CONTROL!$C$42, 31, 31))/1000000</f>
        <v>12.063045499999998</v>
      </c>
      <c r="V264" s="57">
        <f>(1000*CHOOSE(CONTROL!$C$42, 500, 500)*CHOOSE(CONTROL!$C$42, 0.275, 0.275)*CHOOSE(CONTROL!$C$42, 31, 31))/1000000</f>
        <v>4.2625000000000002</v>
      </c>
      <c r="W264" s="57">
        <f>(1000*CHOOSE(CONTROL!$C$42, 0.1146, 0.1146)*CHOOSE(CONTROL!$C$42, 121.5, 121.5)*CHOOSE(CONTROL!$C$42, 31, 31))/1000000</f>
        <v>0.43164089999999994</v>
      </c>
      <c r="X264" s="57">
        <f>(31*0.1790888*100000/1000000)+(31*0.2374*100000/1000000)</f>
        <v>1.2911152800000001</v>
      </c>
      <c r="Y264" s="57"/>
      <c r="Z264" s="14"/>
      <c r="AA264" s="56"/>
      <c r="AB264" s="50">
        <f>(B264*122.58+C264*297.941+D264*89.177+E264*40.302+F264*40+G264*160+H264*0+I264*100+J264*300)/(122.58+297.941+89.177+40.302+0+40+160+100+300)</f>
        <v>11.923425017565215</v>
      </c>
      <c r="AC264" s="45">
        <f>(M264*'RAP TEMPLATE-GAS AVAILABILITY'!O263+N264*'RAP TEMPLATE-GAS AVAILABILITY'!P263+O264*'RAP TEMPLATE-GAS AVAILABILITY'!Q263+P264*'RAP TEMPLATE-GAS AVAILABILITY'!R263)/('RAP TEMPLATE-GAS AVAILABILITY'!O263+'RAP TEMPLATE-GAS AVAILABILITY'!P263+'RAP TEMPLATE-GAS AVAILABILITY'!Q263+'RAP TEMPLATE-GAS AVAILABILITY'!R263)</f>
        <v>11.721019424460431</v>
      </c>
    </row>
    <row r="265" spans="1:29" ht="15.75" x14ac:dyDescent="0.25">
      <c r="A265" s="13">
        <v>48945</v>
      </c>
      <c r="B265" s="14">
        <f>CHOOSE(CONTROL!$C$42, 12.8738, 12.8738) * CHOOSE(CONTROL!$C$21, $C$9, 100%, $E$9)</f>
        <v>12.873799999999999</v>
      </c>
      <c r="C265" s="14">
        <f>CHOOSE(CONTROL!$C$42, 12.8788, 12.8788) * CHOOSE(CONTROL!$C$21, $C$9, 100%, $E$9)</f>
        <v>12.8788</v>
      </c>
      <c r="D265" s="14">
        <f>CHOOSE(CONTROL!$C$42, 12.9557, 12.9557) * CHOOSE(CONTROL!$C$21, $C$9, 100%, $E$9)</f>
        <v>12.9557</v>
      </c>
      <c r="E265" s="14">
        <f>CHOOSE(CONTROL!$C$42, 12.9898, 12.9898) * CHOOSE(CONTROL!$C$21, $C$9, 100%, $E$9)</f>
        <v>12.989800000000001</v>
      </c>
      <c r="F265" s="14">
        <f>CHOOSE(CONTROL!$C$42, 12.8985, 12.8985)*CHOOSE(CONTROL!$C$21, $C$9, 100%, $E$9)</f>
        <v>12.8985</v>
      </c>
      <c r="G265" s="14">
        <f>CHOOSE(CONTROL!$C$42, 12.9165, 12.9165)*CHOOSE(CONTROL!$C$21, $C$9, 100%, $E$9)</f>
        <v>12.916499999999999</v>
      </c>
      <c r="H265" s="14">
        <f>CHOOSE(CONTROL!$C$42, 12.979, 12.979) * CHOOSE(CONTROL!$C$21, $C$9, 100%, $E$9)</f>
        <v>12.978999999999999</v>
      </c>
      <c r="I265" s="14">
        <f>CHOOSE(CONTROL!$C$42, 12.9478, 12.9478)* CHOOSE(CONTROL!$C$21, $C$9, 100%, $E$9)</f>
        <v>12.947800000000001</v>
      </c>
      <c r="J265" s="14">
        <f>CHOOSE(CONTROL!$C$42, 12.8915, 12.8915)* CHOOSE(CONTROL!$C$21, $C$9, 100%, $E$9)</f>
        <v>12.891500000000001</v>
      </c>
      <c r="K265" s="53">
        <f>CHOOSE(CONTROL!$C$42, 12.9439, 12.9439) * CHOOSE(CONTROL!$C$21, $C$9, 100%, $E$9)</f>
        <v>12.943899999999999</v>
      </c>
      <c r="L265" s="14">
        <f>CHOOSE(CONTROL!$C$42, 13.566, 13.566) * CHOOSE(CONTROL!$C$21, $C$9, 100%, $E$9)</f>
        <v>13.566000000000001</v>
      </c>
      <c r="M265" s="14">
        <f>CHOOSE(CONTROL!$C$42, 12.6351, 12.6351) * CHOOSE(CONTROL!$C$21, $C$9, 100%, $E$9)</f>
        <v>12.6351</v>
      </c>
      <c r="N265" s="14">
        <f>CHOOSE(CONTROL!$C$42, 12.6527, 12.6527) * CHOOSE(CONTROL!$C$21, $C$9, 100%, $E$9)</f>
        <v>12.652699999999999</v>
      </c>
      <c r="O265" s="14">
        <f>CHOOSE(CONTROL!$C$42, 12.7207, 12.7207) * CHOOSE(CONTROL!$C$21, $C$9, 100%, $E$9)</f>
        <v>12.720700000000001</v>
      </c>
      <c r="P265" s="14">
        <f>CHOOSE(CONTROL!$C$42, 12.6895, 12.6895) * CHOOSE(CONTROL!$C$21, $C$9, 100%, $E$9)</f>
        <v>12.689500000000001</v>
      </c>
      <c r="Q265" s="14">
        <f>CHOOSE(CONTROL!$C$42, 13.3154, 13.3154) * CHOOSE(CONTROL!$C$21, $C$9, 100%, $E$9)</f>
        <v>13.3154</v>
      </c>
      <c r="R265" s="14">
        <f>CHOOSE(CONTROL!$C$42, 13.9357, 13.9357) * CHOOSE(CONTROL!$C$21, $C$9, 100%, $E$9)</f>
        <v>13.935700000000001</v>
      </c>
      <c r="S265" s="14">
        <f>CHOOSE(CONTROL!$C$42, 12.3619, 12.3619) * CHOOSE(CONTROL!$C$21, $C$9, 100%, $E$9)</f>
        <v>12.3619</v>
      </c>
      <c r="T26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65" s="57">
        <f>(1000*CHOOSE(CONTROL!$C$42, 695, 695)*CHOOSE(CONTROL!$C$42, 0.5599, 0.5599)*CHOOSE(CONTROL!$C$42, 31, 31))/1000000</f>
        <v>12.063045499999998</v>
      </c>
      <c r="V265" s="57">
        <f>(1000*CHOOSE(CONTROL!$C$42, 500, 500)*CHOOSE(CONTROL!$C$42, 0.275, 0.275)*CHOOSE(CONTROL!$C$42, 31, 31))/1000000</f>
        <v>4.2625000000000002</v>
      </c>
      <c r="W265" s="57">
        <f>(1000*CHOOSE(CONTROL!$C$42, 0.1146, 0.1146)*CHOOSE(CONTROL!$C$42, 121.5, 121.5)*CHOOSE(CONTROL!$C$42, 31, 31))/1000000</f>
        <v>0.43164089999999994</v>
      </c>
      <c r="X265" s="57">
        <f>(31*0.1790888*100000/1000000)+(31*0.2374*100000/1000000)</f>
        <v>1.2911152800000001</v>
      </c>
      <c r="Y265" s="57"/>
      <c r="Z265" s="14"/>
      <c r="AA265" s="56"/>
      <c r="AB265" s="50">
        <f>(B265*122.58+C265*297.941+D265*89.177+E265*40.302+F265*40+G265*160+H265*0+I265*100+J265*300)/(122.58+297.941+89.177+40.302+0+40+160+100+300)</f>
        <v>12.903363768086956</v>
      </c>
      <c r="AC265" s="45">
        <f>(M265*'RAP TEMPLATE-GAS AVAILABILITY'!O264+N265*'RAP TEMPLATE-GAS AVAILABILITY'!P264+O265*'RAP TEMPLATE-GAS AVAILABILITY'!Q264+P265*'RAP TEMPLATE-GAS AVAILABILITY'!R264)/('RAP TEMPLATE-GAS AVAILABILITY'!O264+'RAP TEMPLATE-GAS AVAILABILITY'!P264+'RAP TEMPLATE-GAS AVAILABILITY'!Q264+'RAP TEMPLATE-GAS AVAILABILITY'!R264)</f>
        <v>12.682737410071944</v>
      </c>
    </row>
    <row r="266" spans="1:29" ht="15.75" x14ac:dyDescent="0.25">
      <c r="A266" s="13">
        <v>48976</v>
      </c>
      <c r="B266" s="14">
        <f>CHOOSE(CONTROL!$C$42, 13.1028, 13.1028) * CHOOSE(CONTROL!$C$21, $C$9, 100%, $E$9)</f>
        <v>13.1028</v>
      </c>
      <c r="C266" s="14">
        <f>CHOOSE(CONTROL!$C$42, 13.1078, 13.1078) * CHOOSE(CONTROL!$C$21, $C$9, 100%, $E$9)</f>
        <v>13.107799999999999</v>
      </c>
      <c r="D266" s="14">
        <f>CHOOSE(CONTROL!$C$42, 13.1847, 13.1847) * CHOOSE(CONTROL!$C$21, $C$9, 100%, $E$9)</f>
        <v>13.184699999999999</v>
      </c>
      <c r="E266" s="14">
        <f>CHOOSE(CONTROL!$C$42, 13.2188, 13.2188) * CHOOSE(CONTROL!$C$21, $C$9, 100%, $E$9)</f>
        <v>13.2188</v>
      </c>
      <c r="F266" s="14">
        <f>CHOOSE(CONTROL!$C$42, 13.1271, 13.1271)*CHOOSE(CONTROL!$C$21, $C$9, 100%, $E$9)</f>
        <v>13.1271</v>
      </c>
      <c r="G266" s="14">
        <f>CHOOSE(CONTROL!$C$42, 13.145, 13.145)*CHOOSE(CONTROL!$C$21, $C$9, 100%, $E$9)</f>
        <v>13.145</v>
      </c>
      <c r="H266" s="14">
        <f>CHOOSE(CONTROL!$C$42, 13.208, 13.208) * CHOOSE(CONTROL!$C$21, $C$9, 100%, $E$9)</f>
        <v>13.208</v>
      </c>
      <c r="I266" s="14">
        <f>CHOOSE(CONTROL!$C$42, 13.1775, 13.1775)* CHOOSE(CONTROL!$C$21, $C$9, 100%, $E$9)</f>
        <v>13.1775</v>
      </c>
      <c r="J266" s="14">
        <f>CHOOSE(CONTROL!$C$42, 13.1201, 13.1201)* CHOOSE(CONTROL!$C$21, $C$9, 100%, $E$9)</f>
        <v>13.120100000000001</v>
      </c>
      <c r="K266" s="53">
        <f>CHOOSE(CONTROL!$C$42, 13.1736, 13.1736) * CHOOSE(CONTROL!$C$21, $C$9, 100%, $E$9)</f>
        <v>13.1736</v>
      </c>
      <c r="L266" s="14">
        <f>CHOOSE(CONTROL!$C$42, 13.795, 13.795) * CHOOSE(CONTROL!$C$21, $C$9, 100%, $E$9)</f>
        <v>13.795</v>
      </c>
      <c r="M266" s="14">
        <f>CHOOSE(CONTROL!$C$42, 12.859, 12.859) * CHOOSE(CONTROL!$C$21, $C$9, 100%, $E$9)</f>
        <v>12.859</v>
      </c>
      <c r="N266" s="14">
        <f>CHOOSE(CONTROL!$C$42, 12.8765, 12.8765) * CHOOSE(CONTROL!$C$21, $C$9, 100%, $E$9)</f>
        <v>12.8765</v>
      </c>
      <c r="O266" s="14">
        <f>CHOOSE(CONTROL!$C$42, 12.945, 12.945) * CHOOSE(CONTROL!$C$21, $C$9, 100%, $E$9)</f>
        <v>12.945</v>
      </c>
      <c r="P266" s="14">
        <f>CHOOSE(CONTROL!$C$42, 12.9145, 12.9145) * CHOOSE(CONTROL!$C$21, $C$9, 100%, $E$9)</f>
        <v>12.9145</v>
      </c>
      <c r="Q266" s="14">
        <f>CHOOSE(CONTROL!$C$42, 13.5397, 13.5397) * CHOOSE(CONTROL!$C$21, $C$9, 100%, $E$9)</f>
        <v>13.5397</v>
      </c>
      <c r="R266" s="14">
        <f>CHOOSE(CONTROL!$C$42, 14.1606, 14.1606) * CHOOSE(CONTROL!$C$21, $C$9, 100%, $E$9)</f>
        <v>14.160600000000001</v>
      </c>
      <c r="S266" s="14">
        <f>CHOOSE(CONTROL!$C$42, 12.5819, 12.5819) * CHOOSE(CONTROL!$C$21, $C$9, 100%, $E$9)</f>
        <v>12.581899999999999</v>
      </c>
      <c r="T26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6" s="57">
        <f>(1000*CHOOSE(CONTROL!$C$42, 695, 695)*CHOOSE(CONTROL!$C$42, 0.5599, 0.5599)*CHOOSE(CONTROL!$C$42, 28, 28))/1000000</f>
        <v>10.895653999999999</v>
      </c>
      <c r="V266" s="57">
        <f>(1000*CHOOSE(CONTROL!$C$42, 500, 500)*CHOOSE(CONTROL!$C$42, 0.275, 0.275)*CHOOSE(CONTROL!$C$42, 28, 28))/1000000</f>
        <v>3.85</v>
      </c>
      <c r="W266" s="57">
        <f>(1000*CHOOSE(CONTROL!$C$42, 0.1146, 0.1146)*CHOOSE(CONTROL!$C$42, 121.5, 121.5)*CHOOSE(CONTROL!$C$42, 28, 28))/1000000</f>
        <v>0.38986920000000003</v>
      </c>
      <c r="X266" s="57">
        <f>(28*0.1790888*100000/1000000)+(28*0.2374*100000/1000000)</f>
        <v>1.16616864</v>
      </c>
      <c r="Y266" s="57"/>
      <c r="Z266" s="14"/>
      <c r="AA266" s="56"/>
      <c r="AB266" s="50">
        <f>(B266*122.58+C266*297.941+D266*89.177+E266*40.302+F266*40+G266*160+H266*0+I266*100+J266*300)/(122.58+297.941+89.177+40.302+0+40+160+100+300)</f>
        <v>13.132236811565217</v>
      </c>
      <c r="AC266" s="45">
        <f>(M266*'RAP TEMPLATE-GAS AVAILABILITY'!O265+N266*'RAP TEMPLATE-GAS AVAILABILITY'!P265+O266*'RAP TEMPLATE-GAS AVAILABILITY'!Q265+P266*'RAP TEMPLATE-GAS AVAILABILITY'!R265)/('RAP TEMPLATE-GAS AVAILABILITY'!O265+'RAP TEMPLATE-GAS AVAILABILITY'!P265+'RAP TEMPLATE-GAS AVAILABILITY'!Q265+'RAP TEMPLATE-GAS AVAILABILITY'!R265)</f>
        <v>12.906971223021584</v>
      </c>
    </row>
    <row r="267" spans="1:29" ht="15.75" x14ac:dyDescent="0.25">
      <c r="A267" s="13">
        <v>49004</v>
      </c>
      <c r="B267" s="14">
        <f>CHOOSE(CONTROL!$C$42, 12.731, 12.731) * CHOOSE(CONTROL!$C$21, $C$9, 100%, $E$9)</f>
        <v>12.731</v>
      </c>
      <c r="C267" s="14">
        <f>CHOOSE(CONTROL!$C$42, 12.7361, 12.7361) * CHOOSE(CONTROL!$C$21, $C$9, 100%, $E$9)</f>
        <v>12.7361</v>
      </c>
      <c r="D267" s="14">
        <f>CHOOSE(CONTROL!$C$42, 12.8129, 12.8129) * CHOOSE(CONTROL!$C$21, $C$9, 100%, $E$9)</f>
        <v>12.812900000000001</v>
      </c>
      <c r="E267" s="14">
        <f>CHOOSE(CONTROL!$C$42, 12.847, 12.847) * CHOOSE(CONTROL!$C$21, $C$9, 100%, $E$9)</f>
        <v>12.847</v>
      </c>
      <c r="F267" s="14">
        <f>CHOOSE(CONTROL!$C$42, 12.7545, 12.7545)*CHOOSE(CONTROL!$C$21, $C$9, 100%, $E$9)</f>
        <v>12.7545</v>
      </c>
      <c r="G267" s="14">
        <f>CHOOSE(CONTROL!$C$42, 12.7722, 12.7722)*CHOOSE(CONTROL!$C$21, $C$9, 100%, $E$9)</f>
        <v>12.7722</v>
      </c>
      <c r="H267" s="14">
        <f>CHOOSE(CONTROL!$C$42, 12.8362, 12.8362) * CHOOSE(CONTROL!$C$21, $C$9, 100%, $E$9)</f>
        <v>12.8362</v>
      </c>
      <c r="I267" s="14">
        <f>CHOOSE(CONTROL!$C$42, 12.8046, 12.8046)* CHOOSE(CONTROL!$C$21, $C$9, 100%, $E$9)</f>
        <v>12.804600000000001</v>
      </c>
      <c r="J267" s="14">
        <f>CHOOSE(CONTROL!$C$42, 12.7475, 12.7475)* CHOOSE(CONTROL!$C$21, $C$9, 100%, $E$9)</f>
        <v>12.7475</v>
      </c>
      <c r="K267" s="53">
        <f>CHOOSE(CONTROL!$C$42, 12.8008, 12.8008) * CHOOSE(CONTROL!$C$21, $C$9, 100%, $E$9)</f>
        <v>12.800800000000001</v>
      </c>
      <c r="L267" s="14">
        <f>CHOOSE(CONTROL!$C$42, 13.4232, 13.4232) * CHOOSE(CONTROL!$C$21, $C$9, 100%, $E$9)</f>
        <v>13.4232</v>
      </c>
      <c r="M267" s="14">
        <f>CHOOSE(CONTROL!$C$42, 12.494, 12.494) * CHOOSE(CONTROL!$C$21, $C$9, 100%, $E$9)</f>
        <v>12.494</v>
      </c>
      <c r="N267" s="14">
        <f>CHOOSE(CONTROL!$C$42, 12.5113, 12.5113) * CHOOSE(CONTROL!$C$21, $C$9, 100%, $E$9)</f>
        <v>12.5113</v>
      </c>
      <c r="O267" s="14">
        <f>CHOOSE(CONTROL!$C$42, 12.5809, 12.5809) * CHOOSE(CONTROL!$C$21, $C$9, 100%, $E$9)</f>
        <v>12.5809</v>
      </c>
      <c r="P267" s="14">
        <f>CHOOSE(CONTROL!$C$42, 12.5493, 12.5493) * CHOOSE(CONTROL!$C$21, $C$9, 100%, $E$9)</f>
        <v>12.549300000000001</v>
      </c>
      <c r="Q267" s="14">
        <f>CHOOSE(CONTROL!$C$42, 13.1756, 13.1756) * CHOOSE(CONTROL!$C$21, $C$9, 100%, $E$9)</f>
        <v>13.175599999999999</v>
      </c>
      <c r="R267" s="14">
        <f>CHOOSE(CONTROL!$C$42, 13.7956, 13.7956) * CHOOSE(CONTROL!$C$21, $C$9, 100%, $E$9)</f>
        <v>13.7956</v>
      </c>
      <c r="S267" s="14">
        <f>CHOOSE(CONTROL!$C$42, 12.2247, 12.2247) * CHOOSE(CONTROL!$C$21, $C$9, 100%, $E$9)</f>
        <v>12.2247</v>
      </c>
      <c r="T26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67" s="57">
        <f>(1000*CHOOSE(CONTROL!$C$42, 695, 695)*CHOOSE(CONTROL!$C$42, 0.5599, 0.5599)*CHOOSE(CONTROL!$C$42, 31, 31))/1000000</f>
        <v>12.063045499999998</v>
      </c>
      <c r="V267" s="57">
        <f>(1000*CHOOSE(CONTROL!$C$42, 500, 500)*CHOOSE(CONTROL!$C$42, 0.275, 0.275)*CHOOSE(CONTROL!$C$42, 31, 31))/1000000</f>
        <v>4.2625000000000002</v>
      </c>
      <c r="W267" s="57">
        <f>(1000*CHOOSE(CONTROL!$C$42, 0.1146, 0.1146)*CHOOSE(CONTROL!$C$42, 121.5, 121.5)*CHOOSE(CONTROL!$C$42, 31, 31))/1000000</f>
        <v>0.43164089999999994</v>
      </c>
      <c r="X267" s="57">
        <f>(31*0.1790888*100000/1000000)+(31*0.2374*100000/1000000)</f>
        <v>1.2911152800000001</v>
      </c>
      <c r="Y267" s="57"/>
      <c r="Z267" s="14"/>
      <c r="AA267" s="56"/>
      <c r="AB267" s="50">
        <f>(B267*122.58+C267*297.941+D267*89.177+E267*40.302+F267*40+G267*160+H267*0+I267*100+J267*300)/(122.58+297.941+89.177+40.302+0+40+160+100+300)</f>
        <v>12.759991415130434</v>
      </c>
      <c r="AC267" s="45">
        <f>(M267*'RAP TEMPLATE-GAS AVAILABILITY'!O266+N267*'RAP TEMPLATE-GAS AVAILABILITY'!P266+O267*'RAP TEMPLATE-GAS AVAILABILITY'!Q266+P267*'RAP TEMPLATE-GAS AVAILABILITY'!R266)/('RAP TEMPLATE-GAS AVAILABILITY'!O266+'RAP TEMPLATE-GAS AVAILABILITY'!P266+'RAP TEMPLATE-GAS AVAILABILITY'!Q266+'RAP TEMPLATE-GAS AVAILABILITY'!R266)</f>
        <v>12.542338848920862</v>
      </c>
    </row>
    <row r="268" spans="1:29" ht="15.75" x14ac:dyDescent="0.25">
      <c r="A268" s="13">
        <v>49035</v>
      </c>
      <c r="B268" s="14">
        <f>CHOOSE(CONTROL!$C$42, 12.694, 12.694) * CHOOSE(CONTROL!$C$21, $C$9, 100%, $E$9)</f>
        <v>12.694000000000001</v>
      </c>
      <c r="C268" s="14">
        <f>CHOOSE(CONTROL!$C$42, 12.6985, 12.6985) * CHOOSE(CONTROL!$C$21, $C$9, 100%, $E$9)</f>
        <v>12.698499999999999</v>
      </c>
      <c r="D268" s="14">
        <f>CHOOSE(CONTROL!$C$42, 12.9222, 12.9222) * CHOOSE(CONTROL!$C$21, $C$9, 100%, $E$9)</f>
        <v>12.9222</v>
      </c>
      <c r="E268" s="14">
        <f>CHOOSE(CONTROL!$C$42, 12.9543, 12.9543) * CHOOSE(CONTROL!$C$21, $C$9, 100%, $E$9)</f>
        <v>12.9543</v>
      </c>
      <c r="F268" s="14">
        <f>CHOOSE(CONTROL!$C$42, 12.7217, 12.7217)*CHOOSE(CONTROL!$C$21, $C$9, 100%, $E$9)</f>
        <v>12.7217</v>
      </c>
      <c r="G268" s="14">
        <f>CHOOSE(CONTROL!$C$42, 12.7386, 12.7386)*CHOOSE(CONTROL!$C$21, $C$9, 100%, $E$9)</f>
        <v>12.7386</v>
      </c>
      <c r="H268" s="14">
        <f>CHOOSE(CONTROL!$C$42, 12.9441, 12.9441) * CHOOSE(CONTROL!$C$21, $C$9, 100%, $E$9)</f>
        <v>12.944100000000001</v>
      </c>
      <c r="I268" s="14">
        <f>CHOOSE(CONTROL!$C$42, 12.763, 12.763)* CHOOSE(CONTROL!$C$21, $C$9, 100%, $E$9)</f>
        <v>12.763</v>
      </c>
      <c r="J268" s="14">
        <f>CHOOSE(CONTROL!$C$42, 12.7147, 12.7147)* CHOOSE(CONTROL!$C$21, $C$9, 100%, $E$9)</f>
        <v>12.714700000000001</v>
      </c>
      <c r="K268" s="53">
        <f>CHOOSE(CONTROL!$C$42, 12.7591, 12.7591) * CHOOSE(CONTROL!$C$21, $C$9, 100%, $E$9)</f>
        <v>12.7591</v>
      </c>
      <c r="L268" s="14">
        <f>CHOOSE(CONTROL!$C$42, 13.5311, 13.5311) * CHOOSE(CONTROL!$C$21, $C$9, 100%, $E$9)</f>
        <v>13.5311</v>
      </c>
      <c r="M268" s="14">
        <f>CHOOSE(CONTROL!$C$42, 12.4618, 12.4618) * CHOOSE(CONTROL!$C$21, $C$9, 100%, $E$9)</f>
        <v>12.4618</v>
      </c>
      <c r="N268" s="14">
        <f>CHOOSE(CONTROL!$C$42, 12.4784, 12.4784) * CHOOSE(CONTROL!$C$21, $C$9, 100%, $E$9)</f>
        <v>12.478400000000001</v>
      </c>
      <c r="O268" s="14">
        <f>CHOOSE(CONTROL!$C$42, 12.6865, 12.6865) * CHOOSE(CONTROL!$C$21, $C$9, 100%, $E$9)</f>
        <v>12.686500000000001</v>
      </c>
      <c r="P268" s="14">
        <f>CHOOSE(CONTROL!$C$42, 12.5085, 12.5085) * CHOOSE(CONTROL!$C$21, $C$9, 100%, $E$9)</f>
        <v>12.5085</v>
      </c>
      <c r="Q268" s="14">
        <f>CHOOSE(CONTROL!$C$42, 13.2812, 13.2812) * CHOOSE(CONTROL!$C$21, $C$9, 100%, $E$9)</f>
        <v>13.2812</v>
      </c>
      <c r="R268" s="14">
        <f>CHOOSE(CONTROL!$C$42, 13.9015, 13.9015) * CHOOSE(CONTROL!$C$21, $C$9, 100%, $E$9)</f>
        <v>13.9015</v>
      </c>
      <c r="S268" s="14">
        <f>CHOOSE(CONTROL!$C$42, 12.1883, 12.1883) * CHOOSE(CONTROL!$C$21, $C$9, 100%, $E$9)</f>
        <v>12.1883</v>
      </c>
      <c r="T26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68" s="57">
        <f>(1000*CHOOSE(CONTROL!$C$42, 695, 695)*CHOOSE(CONTROL!$C$42, 0.5599, 0.5599)*CHOOSE(CONTROL!$C$42, 30, 30))/1000000</f>
        <v>11.673914999999997</v>
      </c>
      <c r="V268" s="57">
        <f>(1000*CHOOSE(CONTROL!$C$42, 500, 500)*CHOOSE(CONTROL!$C$42, 0.275, 0.275)*CHOOSE(CONTROL!$C$42, 30, 30))/1000000</f>
        <v>4.125</v>
      </c>
      <c r="W268" s="57">
        <f>(1000*CHOOSE(CONTROL!$C$42, 0.1146, 0.1146)*CHOOSE(CONTROL!$C$42, 121.5, 121.5)*CHOOSE(CONTROL!$C$42, 30, 30))/1000000</f>
        <v>0.417717</v>
      </c>
      <c r="X268" s="57">
        <f>(30*0.1790888*245000/1000000)+(30*0.2374*100000/1000000)</f>
        <v>2.0285026799999999</v>
      </c>
      <c r="Y268" s="57"/>
      <c r="Z268" s="14"/>
      <c r="AA268" s="56"/>
      <c r="AB268" s="50">
        <f>(B268*141.293+C268*267.993+D268*115.016+E268*89.698+F268*40+G268*185+H268*0+I268*100+J268*300)/(141.293+267.993+115.016+89.698+0+40+185+100+300)</f>
        <v>12.753136407667471</v>
      </c>
      <c r="AC268" s="45">
        <f>(M268*'RAP TEMPLATE-GAS AVAILABILITY'!O267+N268*'RAP TEMPLATE-GAS AVAILABILITY'!P267+O268*'RAP TEMPLATE-GAS AVAILABILITY'!Q267+P268*'RAP TEMPLATE-GAS AVAILABILITY'!R267)/('RAP TEMPLATE-GAS AVAILABILITY'!O267+'RAP TEMPLATE-GAS AVAILABILITY'!P267+'RAP TEMPLATE-GAS AVAILABILITY'!Q267+'RAP TEMPLATE-GAS AVAILABILITY'!R267)</f>
        <v>12.535386330935253</v>
      </c>
    </row>
    <row r="269" spans="1:29" ht="15.75" x14ac:dyDescent="0.25">
      <c r="A269" s="13">
        <v>49065</v>
      </c>
      <c r="B269" s="14">
        <f>CHOOSE(CONTROL!$C$42, 12.8073, 12.8073) * CHOOSE(CONTROL!$C$21, $C$9, 100%, $E$9)</f>
        <v>12.8073</v>
      </c>
      <c r="C269" s="14">
        <f>CHOOSE(CONTROL!$C$42, 12.8153, 12.8153) * CHOOSE(CONTROL!$C$21, $C$9, 100%, $E$9)</f>
        <v>12.815300000000001</v>
      </c>
      <c r="D269" s="14">
        <f>CHOOSE(CONTROL!$C$42, 13.0359, 13.0359) * CHOOSE(CONTROL!$C$21, $C$9, 100%, $E$9)</f>
        <v>13.0359</v>
      </c>
      <c r="E269" s="14">
        <f>CHOOSE(CONTROL!$C$42, 13.0674, 13.0674) * CHOOSE(CONTROL!$C$21, $C$9, 100%, $E$9)</f>
        <v>13.067399999999999</v>
      </c>
      <c r="F269" s="14">
        <f>CHOOSE(CONTROL!$C$42, 12.8336, 12.8336)*CHOOSE(CONTROL!$C$21, $C$9, 100%, $E$9)</f>
        <v>12.833600000000001</v>
      </c>
      <c r="G269" s="14">
        <f>CHOOSE(CONTROL!$C$42, 12.8507, 12.8507)*CHOOSE(CONTROL!$C$21, $C$9, 100%, $E$9)</f>
        <v>12.8507</v>
      </c>
      <c r="H269" s="14">
        <f>CHOOSE(CONTROL!$C$42, 13.056, 13.056) * CHOOSE(CONTROL!$C$21, $C$9, 100%, $E$9)</f>
        <v>13.055999999999999</v>
      </c>
      <c r="I269" s="14">
        <f>CHOOSE(CONTROL!$C$42, 12.8753, 12.8753)* CHOOSE(CONTROL!$C$21, $C$9, 100%, $E$9)</f>
        <v>12.875299999999999</v>
      </c>
      <c r="J269" s="14">
        <f>CHOOSE(CONTROL!$C$42, 12.8266, 12.8266)* CHOOSE(CONTROL!$C$21, $C$9, 100%, $E$9)</f>
        <v>12.826599999999999</v>
      </c>
      <c r="K269" s="53">
        <f>CHOOSE(CONTROL!$C$42, 12.8714, 12.8714) * CHOOSE(CONTROL!$C$21, $C$9, 100%, $E$9)</f>
        <v>12.8714</v>
      </c>
      <c r="L269" s="14">
        <f>CHOOSE(CONTROL!$C$42, 13.643, 13.643) * CHOOSE(CONTROL!$C$21, $C$9, 100%, $E$9)</f>
        <v>13.643000000000001</v>
      </c>
      <c r="M269" s="14">
        <f>CHOOSE(CONTROL!$C$42, 12.5715, 12.5715) * CHOOSE(CONTROL!$C$21, $C$9, 100%, $E$9)</f>
        <v>12.5715</v>
      </c>
      <c r="N269" s="14">
        <f>CHOOSE(CONTROL!$C$42, 12.5882, 12.5882) * CHOOSE(CONTROL!$C$21, $C$9, 100%, $E$9)</f>
        <v>12.588200000000001</v>
      </c>
      <c r="O269" s="14">
        <f>CHOOSE(CONTROL!$C$42, 12.7962, 12.7962) * CHOOSE(CONTROL!$C$21, $C$9, 100%, $E$9)</f>
        <v>12.796200000000001</v>
      </c>
      <c r="P269" s="14">
        <f>CHOOSE(CONTROL!$C$42, 12.6185, 12.6185) * CHOOSE(CONTROL!$C$21, $C$9, 100%, $E$9)</f>
        <v>12.618499999999999</v>
      </c>
      <c r="Q269" s="14">
        <f>CHOOSE(CONTROL!$C$42, 13.3909, 13.3909) * CHOOSE(CONTROL!$C$21, $C$9, 100%, $E$9)</f>
        <v>13.3909</v>
      </c>
      <c r="R269" s="14">
        <f>CHOOSE(CONTROL!$C$42, 14.0114, 14.0114) * CHOOSE(CONTROL!$C$21, $C$9, 100%, $E$9)</f>
        <v>14.0114</v>
      </c>
      <c r="S269" s="14">
        <f>CHOOSE(CONTROL!$C$42, 12.2959, 12.2959) * CHOOSE(CONTROL!$C$21, $C$9, 100%, $E$9)</f>
        <v>12.2959</v>
      </c>
      <c r="T26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69" s="57">
        <f>(1000*CHOOSE(CONTROL!$C$42, 695, 695)*CHOOSE(CONTROL!$C$42, 0.5599, 0.5599)*CHOOSE(CONTROL!$C$42, 31, 31))/1000000</f>
        <v>12.063045499999998</v>
      </c>
      <c r="V269" s="57">
        <f>(1000*CHOOSE(CONTROL!$C$42, 500, 500)*CHOOSE(CONTROL!$C$42, 0.275, 0.275)*CHOOSE(CONTROL!$C$42, 31, 31))/1000000</f>
        <v>4.2625000000000002</v>
      </c>
      <c r="W269" s="57">
        <f>(1000*CHOOSE(CONTROL!$C$42, 0.1146, 0.1146)*CHOOSE(CONTROL!$C$42, 121.5, 121.5)*CHOOSE(CONTROL!$C$42, 31, 31))/1000000</f>
        <v>0.43164089999999994</v>
      </c>
      <c r="X269" s="57">
        <f>(31*0.1790888*245000/1000000)+(31*0.2374*100000/1000000)</f>
        <v>2.0961194359999999</v>
      </c>
      <c r="Y269" s="57"/>
      <c r="Z269" s="14"/>
      <c r="AA269" s="56"/>
      <c r="AB269" s="50">
        <f>(B269*194.205+C269*267.466+D269*133.845+E269*53.484+F269*40+G269*185+H269*0+I269*100+J269*300)/(194.205+267.466+133.845+53.484+0+40+185+100+300)</f>
        <v>12.860925497174252</v>
      </c>
      <c r="AC269" s="45">
        <f>(M269*'RAP TEMPLATE-GAS AVAILABILITY'!O268+N269*'RAP TEMPLATE-GAS AVAILABILITY'!P268+O269*'RAP TEMPLATE-GAS AVAILABILITY'!Q268+P269*'RAP TEMPLATE-GAS AVAILABILITY'!R268)/('RAP TEMPLATE-GAS AVAILABILITY'!O268+'RAP TEMPLATE-GAS AVAILABILITY'!P268+'RAP TEMPLATE-GAS AVAILABILITY'!Q268+'RAP TEMPLATE-GAS AVAILABILITY'!R268)</f>
        <v>12.645152517985611</v>
      </c>
    </row>
    <row r="270" spans="1:29" ht="15.75" x14ac:dyDescent="0.25">
      <c r="A270" s="13">
        <v>49096</v>
      </c>
      <c r="B270" s="14">
        <f>CHOOSE(CONTROL!$C$42, 13.1703, 13.1703) * CHOOSE(CONTROL!$C$21, $C$9, 100%, $E$9)</f>
        <v>13.170299999999999</v>
      </c>
      <c r="C270" s="14">
        <f>CHOOSE(CONTROL!$C$42, 13.1783, 13.1783) * CHOOSE(CONTROL!$C$21, $C$9, 100%, $E$9)</f>
        <v>13.1783</v>
      </c>
      <c r="D270" s="14">
        <f>CHOOSE(CONTROL!$C$42, 13.3989, 13.3989) * CHOOSE(CONTROL!$C$21, $C$9, 100%, $E$9)</f>
        <v>13.398899999999999</v>
      </c>
      <c r="E270" s="14">
        <f>CHOOSE(CONTROL!$C$42, 13.4303, 13.4303) * CHOOSE(CONTROL!$C$21, $C$9, 100%, $E$9)</f>
        <v>13.430300000000001</v>
      </c>
      <c r="F270" s="14">
        <f>CHOOSE(CONTROL!$C$42, 13.1969, 13.1969)*CHOOSE(CONTROL!$C$21, $C$9, 100%, $E$9)</f>
        <v>13.196899999999999</v>
      </c>
      <c r="G270" s="14">
        <f>CHOOSE(CONTROL!$C$42, 13.2141, 13.2141)*CHOOSE(CONTROL!$C$21, $C$9, 100%, $E$9)</f>
        <v>13.2141</v>
      </c>
      <c r="H270" s="14">
        <f>CHOOSE(CONTROL!$C$42, 13.419, 13.419) * CHOOSE(CONTROL!$C$21, $C$9, 100%, $E$9)</f>
        <v>13.419</v>
      </c>
      <c r="I270" s="14">
        <f>CHOOSE(CONTROL!$C$42, 13.2394, 13.2394)* CHOOSE(CONTROL!$C$21, $C$9, 100%, $E$9)</f>
        <v>13.2394</v>
      </c>
      <c r="J270" s="14">
        <f>CHOOSE(CONTROL!$C$42, 13.1899, 13.1899)* CHOOSE(CONTROL!$C$21, $C$9, 100%, $E$9)</f>
        <v>13.1899</v>
      </c>
      <c r="K270" s="53">
        <f>CHOOSE(CONTROL!$C$42, 13.2355, 13.2355) * CHOOSE(CONTROL!$C$21, $C$9, 100%, $E$9)</f>
        <v>13.2355</v>
      </c>
      <c r="L270" s="14">
        <f>CHOOSE(CONTROL!$C$42, 14.006, 14.006) * CHOOSE(CONTROL!$C$21, $C$9, 100%, $E$9)</f>
        <v>14.006</v>
      </c>
      <c r="M270" s="14">
        <f>CHOOSE(CONTROL!$C$42, 12.9273, 12.9273) * CHOOSE(CONTROL!$C$21, $C$9, 100%, $E$9)</f>
        <v>12.927300000000001</v>
      </c>
      <c r="N270" s="14">
        <f>CHOOSE(CONTROL!$C$42, 12.9442, 12.9442) * CHOOSE(CONTROL!$C$21, $C$9, 100%, $E$9)</f>
        <v>12.9442</v>
      </c>
      <c r="O270" s="14">
        <f>CHOOSE(CONTROL!$C$42, 13.1517, 13.1517) * CHOOSE(CONTROL!$C$21, $C$9, 100%, $E$9)</f>
        <v>13.1517</v>
      </c>
      <c r="P270" s="14">
        <f>CHOOSE(CONTROL!$C$42, 12.9751, 12.9751) * CHOOSE(CONTROL!$C$21, $C$9, 100%, $E$9)</f>
        <v>12.975099999999999</v>
      </c>
      <c r="Q270" s="14">
        <f>CHOOSE(CONTROL!$C$42, 13.7464, 13.7464) * CHOOSE(CONTROL!$C$21, $C$9, 100%, $E$9)</f>
        <v>13.7464</v>
      </c>
      <c r="R270" s="14">
        <f>CHOOSE(CONTROL!$C$42, 14.3678, 14.3678) * CHOOSE(CONTROL!$C$21, $C$9, 100%, $E$9)</f>
        <v>14.367800000000001</v>
      </c>
      <c r="S270" s="14">
        <f>CHOOSE(CONTROL!$C$42, 12.6447, 12.6447) * CHOOSE(CONTROL!$C$21, $C$9, 100%, $E$9)</f>
        <v>12.6447</v>
      </c>
      <c r="T27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70" s="57">
        <f>(1000*CHOOSE(CONTROL!$C$42, 695, 695)*CHOOSE(CONTROL!$C$42, 0.5599, 0.5599)*CHOOSE(CONTROL!$C$42, 30, 30))/1000000</f>
        <v>11.673914999999997</v>
      </c>
      <c r="V270" s="57">
        <f>(1000*CHOOSE(CONTROL!$C$42, 500, 500)*CHOOSE(CONTROL!$C$42, 0.275, 0.275)*CHOOSE(CONTROL!$C$42, 30, 30))/1000000</f>
        <v>4.125</v>
      </c>
      <c r="W270" s="57">
        <f>(1000*CHOOSE(CONTROL!$C$42, 0.1146, 0.1146)*CHOOSE(CONTROL!$C$42, 121.5, 121.5)*CHOOSE(CONTROL!$C$42, 30, 30))/1000000</f>
        <v>0.417717</v>
      </c>
      <c r="X270" s="57">
        <f>(30*0.1790888*245000/1000000)+(30*0.2374*100000/1000000)</f>
        <v>2.0285026799999999</v>
      </c>
      <c r="Y270" s="57"/>
      <c r="Z270" s="14"/>
      <c r="AA270" s="56"/>
      <c r="AB270" s="50">
        <f>(B270*194.205+C270*267.466+D270*133.845+E270*53.484+F270*40+G270*185+H270*0+I270*100+J270*300)/(194.205+267.466+133.845+53.484+0+40+185+100+300)</f>
        <v>13.224145788854006</v>
      </c>
      <c r="AC270" s="45">
        <f>(M270*'RAP TEMPLATE-GAS AVAILABILITY'!O269+N270*'RAP TEMPLATE-GAS AVAILABILITY'!P269+O270*'RAP TEMPLATE-GAS AVAILABILITY'!Q269+P270*'RAP TEMPLATE-GAS AVAILABILITY'!R269)/('RAP TEMPLATE-GAS AVAILABILITY'!O269+'RAP TEMPLATE-GAS AVAILABILITY'!P269+'RAP TEMPLATE-GAS AVAILABILITY'!Q269+'RAP TEMPLATE-GAS AVAILABILITY'!R269)</f>
        <v>13.001029496402879</v>
      </c>
    </row>
    <row r="271" spans="1:29" ht="15.75" x14ac:dyDescent="0.25">
      <c r="A271" s="13">
        <v>49126</v>
      </c>
      <c r="B271" s="14">
        <f>CHOOSE(CONTROL!$C$42, 12.9178, 12.9178) * CHOOSE(CONTROL!$C$21, $C$9, 100%, $E$9)</f>
        <v>12.9178</v>
      </c>
      <c r="C271" s="14">
        <f>CHOOSE(CONTROL!$C$42, 12.9259, 12.9259) * CHOOSE(CONTROL!$C$21, $C$9, 100%, $E$9)</f>
        <v>12.9259</v>
      </c>
      <c r="D271" s="14">
        <f>CHOOSE(CONTROL!$C$42, 13.1464, 13.1464) * CHOOSE(CONTROL!$C$21, $C$9, 100%, $E$9)</f>
        <v>13.1464</v>
      </c>
      <c r="E271" s="14">
        <f>CHOOSE(CONTROL!$C$42, 13.1779, 13.1779) * CHOOSE(CONTROL!$C$21, $C$9, 100%, $E$9)</f>
        <v>13.177899999999999</v>
      </c>
      <c r="F271" s="14">
        <f>CHOOSE(CONTROL!$C$42, 12.9449, 12.9449)*CHOOSE(CONTROL!$C$21, $C$9, 100%, $E$9)</f>
        <v>12.944900000000001</v>
      </c>
      <c r="G271" s="14">
        <f>CHOOSE(CONTROL!$C$42, 12.9622, 12.9622)*CHOOSE(CONTROL!$C$21, $C$9, 100%, $E$9)</f>
        <v>12.962199999999999</v>
      </c>
      <c r="H271" s="14">
        <f>CHOOSE(CONTROL!$C$42, 13.1665, 13.1665) * CHOOSE(CONTROL!$C$21, $C$9, 100%, $E$9)</f>
        <v>13.166499999999999</v>
      </c>
      <c r="I271" s="14">
        <f>CHOOSE(CONTROL!$C$42, 12.9862, 12.9862)* CHOOSE(CONTROL!$C$21, $C$9, 100%, $E$9)</f>
        <v>12.9862</v>
      </c>
      <c r="J271" s="14">
        <f>CHOOSE(CONTROL!$C$42, 12.9379, 12.9379)* CHOOSE(CONTROL!$C$21, $C$9, 100%, $E$9)</f>
        <v>12.937900000000001</v>
      </c>
      <c r="K271" s="53">
        <f>CHOOSE(CONTROL!$C$42, 12.9823, 12.9823) * CHOOSE(CONTROL!$C$21, $C$9, 100%, $E$9)</f>
        <v>12.9823</v>
      </c>
      <c r="L271" s="14">
        <f>CHOOSE(CONTROL!$C$42, 13.7535, 13.7535) * CHOOSE(CONTROL!$C$21, $C$9, 100%, $E$9)</f>
        <v>13.753500000000001</v>
      </c>
      <c r="M271" s="14">
        <f>CHOOSE(CONTROL!$C$42, 12.6805, 12.6805) * CHOOSE(CONTROL!$C$21, $C$9, 100%, $E$9)</f>
        <v>12.6805</v>
      </c>
      <c r="N271" s="14">
        <f>CHOOSE(CONTROL!$C$42, 12.6975, 12.6975) * CHOOSE(CONTROL!$C$21, $C$9, 100%, $E$9)</f>
        <v>12.6975</v>
      </c>
      <c r="O271" s="14">
        <f>CHOOSE(CONTROL!$C$42, 12.9045, 12.9045) * CHOOSE(CONTROL!$C$21, $C$9, 100%, $E$9)</f>
        <v>12.904500000000001</v>
      </c>
      <c r="P271" s="14">
        <f>CHOOSE(CONTROL!$C$42, 12.727, 12.727) * CHOOSE(CONTROL!$C$21, $C$9, 100%, $E$9)</f>
        <v>12.727</v>
      </c>
      <c r="Q271" s="14">
        <f>CHOOSE(CONTROL!$C$42, 13.4992, 13.4992) * CHOOSE(CONTROL!$C$21, $C$9, 100%, $E$9)</f>
        <v>13.4992</v>
      </c>
      <c r="R271" s="14">
        <f>CHOOSE(CONTROL!$C$42, 14.1199, 14.1199) * CHOOSE(CONTROL!$C$21, $C$9, 100%, $E$9)</f>
        <v>14.119899999999999</v>
      </c>
      <c r="S271" s="14">
        <f>CHOOSE(CONTROL!$C$42, 12.4021, 12.4021) * CHOOSE(CONTROL!$C$21, $C$9, 100%, $E$9)</f>
        <v>12.402100000000001</v>
      </c>
      <c r="T27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71" s="57">
        <f>(1000*CHOOSE(CONTROL!$C$42, 695, 695)*CHOOSE(CONTROL!$C$42, 0.5599, 0.5599)*CHOOSE(CONTROL!$C$42, 31, 31))/1000000</f>
        <v>12.063045499999998</v>
      </c>
      <c r="V271" s="57">
        <f>(1000*CHOOSE(CONTROL!$C$42, 500, 500)*CHOOSE(CONTROL!$C$42, 0.275, 0.275)*CHOOSE(CONTROL!$C$42, 31, 31))/1000000</f>
        <v>4.2625000000000002</v>
      </c>
      <c r="W271" s="57">
        <f>(1000*CHOOSE(CONTROL!$C$42, 0.1146, 0.1146)*CHOOSE(CONTROL!$C$42, 121.5, 121.5)*CHOOSE(CONTROL!$C$42, 31, 31))/1000000</f>
        <v>0.43164089999999994</v>
      </c>
      <c r="X271" s="57">
        <f>(31*0.1790888*245000/1000000)+(31*0.2374*100000/1000000)</f>
        <v>2.0961194359999999</v>
      </c>
      <c r="Y271" s="57"/>
      <c r="Z271" s="14"/>
      <c r="AA271" s="56"/>
      <c r="AB271" s="50">
        <f>(B271*194.205+C271*267.466+D271*133.845+E271*53.484+F271*40+G271*185+H271*0+I271*100+J271*300)/(194.205+267.466+133.845+53.484+0+40+185+100+300)</f>
        <v>12.971836601255887</v>
      </c>
      <c r="AC271" s="45">
        <f>(M271*'RAP TEMPLATE-GAS AVAILABILITY'!O270+N271*'RAP TEMPLATE-GAS AVAILABILITY'!P270+O271*'RAP TEMPLATE-GAS AVAILABILITY'!Q270+P271*'RAP TEMPLATE-GAS AVAILABILITY'!R270)/('RAP TEMPLATE-GAS AVAILABILITY'!O270+'RAP TEMPLATE-GAS AVAILABILITY'!P270+'RAP TEMPLATE-GAS AVAILABILITY'!Q270+'RAP TEMPLATE-GAS AVAILABILITY'!R270)</f>
        <v>12.753953237410073</v>
      </c>
    </row>
    <row r="272" spans="1:29" ht="15.75" x14ac:dyDescent="0.25">
      <c r="A272" s="13">
        <v>49157</v>
      </c>
      <c r="B272" s="14">
        <f>CHOOSE(CONTROL!$C$42, 12.2803, 12.2803) * CHOOSE(CONTROL!$C$21, $C$9, 100%, $E$9)</f>
        <v>12.2803</v>
      </c>
      <c r="C272" s="14">
        <f>CHOOSE(CONTROL!$C$42, 12.2884, 12.2884) * CHOOSE(CONTROL!$C$21, $C$9, 100%, $E$9)</f>
        <v>12.288399999999999</v>
      </c>
      <c r="D272" s="14">
        <f>CHOOSE(CONTROL!$C$42, 12.509, 12.509) * CHOOSE(CONTROL!$C$21, $C$9, 100%, $E$9)</f>
        <v>12.509</v>
      </c>
      <c r="E272" s="14">
        <f>CHOOSE(CONTROL!$C$42, 12.5404, 12.5404) * CHOOSE(CONTROL!$C$21, $C$9, 100%, $E$9)</f>
        <v>12.5404</v>
      </c>
      <c r="F272" s="14">
        <f>CHOOSE(CONTROL!$C$42, 12.3077, 12.3077)*CHOOSE(CONTROL!$C$21, $C$9, 100%, $E$9)</f>
        <v>12.307700000000001</v>
      </c>
      <c r="G272" s="14">
        <f>CHOOSE(CONTROL!$C$42, 12.3251, 12.3251)*CHOOSE(CONTROL!$C$21, $C$9, 100%, $E$9)</f>
        <v>12.325100000000001</v>
      </c>
      <c r="H272" s="14">
        <f>CHOOSE(CONTROL!$C$42, 12.529, 12.529) * CHOOSE(CONTROL!$C$21, $C$9, 100%, $E$9)</f>
        <v>12.529</v>
      </c>
      <c r="I272" s="14">
        <f>CHOOSE(CONTROL!$C$42, 12.3467, 12.3467)* CHOOSE(CONTROL!$C$21, $C$9, 100%, $E$9)</f>
        <v>12.3467</v>
      </c>
      <c r="J272" s="14">
        <f>CHOOSE(CONTROL!$C$42, 12.3007, 12.3007)* CHOOSE(CONTROL!$C$21, $C$9, 100%, $E$9)</f>
        <v>12.300700000000001</v>
      </c>
      <c r="K272" s="53">
        <f>CHOOSE(CONTROL!$C$42, 12.3428, 12.3428) * CHOOSE(CONTROL!$C$21, $C$9, 100%, $E$9)</f>
        <v>12.3428</v>
      </c>
      <c r="L272" s="14">
        <f>CHOOSE(CONTROL!$C$42, 13.116, 13.116) * CHOOSE(CONTROL!$C$21, $C$9, 100%, $E$9)</f>
        <v>13.116</v>
      </c>
      <c r="M272" s="14">
        <f>CHOOSE(CONTROL!$C$42, 12.0564, 12.0564) * CHOOSE(CONTROL!$C$21, $C$9, 100%, $E$9)</f>
        <v>12.0564</v>
      </c>
      <c r="N272" s="14">
        <f>CHOOSE(CONTROL!$C$42, 12.0734, 12.0734) * CHOOSE(CONTROL!$C$21, $C$9, 100%, $E$9)</f>
        <v>12.073399999999999</v>
      </c>
      <c r="O272" s="14">
        <f>CHOOSE(CONTROL!$C$42, 12.28, 12.28) * CHOOSE(CONTROL!$C$21, $C$9, 100%, $E$9)</f>
        <v>12.28</v>
      </c>
      <c r="P272" s="14">
        <f>CHOOSE(CONTROL!$C$42, 12.1007, 12.1007) * CHOOSE(CONTROL!$C$21, $C$9, 100%, $E$9)</f>
        <v>12.1007</v>
      </c>
      <c r="Q272" s="14">
        <f>CHOOSE(CONTROL!$C$42, 12.8747, 12.8747) * CHOOSE(CONTROL!$C$21, $C$9, 100%, $E$9)</f>
        <v>12.874700000000001</v>
      </c>
      <c r="R272" s="14">
        <f>CHOOSE(CONTROL!$C$42, 13.4939, 13.4939) * CHOOSE(CONTROL!$C$21, $C$9, 100%, $E$9)</f>
        <v>13.4939</v>
      </c>
      <c r="S272" s="14">
        <f>CHOOSE(CONTROL!$C$42, 11.7895, 11.7895) * CHOOSE(CONTROL!$C$21, $C$9, 100%, $E$9)</f>
        <v>11.7895</v>
      </c>
      <c r="T27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72" s="57">
        <f>(1000*CHOOSE(CONTROL!$C$42, 695, 695)*CHOOSE(CONTROL!$C$42, 0.5599, 0.5599)*CHOOSE(CONTROL!$C$42, 31, 31))/1000000</f>
        <v>12.063045499999998</v>
      </c>
      <c r="V272" s="57">
        <f>(1000*CHOOSE(CONTROL!$C$42, 500, 500)*CHOOSE(CONTROL!$C$42, 0.275, 0.275)*CHOOSE(CONTROL!$C$42, 31, 31))/1000000</f>
        <v>4.2625000000000002</v>
      </c>
      <c r="W272" s="57">
        <f>(1000*CHOOSE(CONTROL!$C$42, 0.1146, 0.1146)*CHOOSE(CONTROL!$C$42, 121.5, 121.5)*CHOOSE(CONTROL!$C$42, 31, 31))/1000000</f>
        <v>0.43164089999999994</v>
      </c>
      <c r="X272" s="57">
        <f>(31*0.1790888*245000/1000000)+(31*0.2374*100000/1000000)</f>
        <v>2.0961194359999999</v>
      </c>
      <c r="Y272" s="57"/>
      <c r="Z272" s="14"/>
      <c r="AA272" s="56"/>
      <c r="AB272" s="50">
        <f>(B272*194.205+C272*267.466+D272*133.845+E272*53.484+F272*40+G272*185+H272*0+I272*100+J272*300)/(194.205+267.466+133.845+53.484+0+40+185+100+300)</f>
        <v>12.334328268838306</v>
      </c>
      <c r="AC272" s="45">
        <f>(M272*'RAP TEMPLATE-GAS AVAILABILITY'!O271+N272*'RAP TEMPLATE-GAS AVAILABILITY'!P271+O272*'RAP TEMPLATE-GAS AVAILABILITY'!Q271+P272*'RAP TEMPLATE-GAS AVAILABILITY'!R271)/('RAP TEMPLATE-GAS AVAILABILITY'!O271+'RAP TEMPLATE-GAS AVAILABILITY'!P271+'RAP TEMPLATE-GAS AVAILABILITY'!Q271+'RAP TEMPLATE-GAS AVAILABILITY'!R271)</f>
        <v>12.129424460431654</v>
      </c>
    </row>
    <row r="273" spans="1:29" ht="15.75" x14ac:dyDescent="0.25">
      <c r="A273" s="13">
        <v>49188</v>
      </c>
      <c r="B273" s="14">
        <f>CHOOSE(CONTROL!$C$42, 11.5012, 11.5012) * CHOOSE(CONTROL!$C$21, $C$9, 100%, $E$9)</f>
        <v>11.501200000000001</v>
      </c>
      <c r="C273" s="14">
        <f>CHOOSE(CONTROL!$C$42, 11.5092, 11.5092) * CHOOSE(CONTROL!$C$21, $C$9, 100%, $E$9)</f>
        <v>11.5092</v>
      </c>
      <c r="D273" s="14">
        <f>CHOOSE(CONTROL!$C$42, 11.7298, 11.7298) * CHOOSE(CONTROL!$C$21, $C$9, 100%, $E$9)</f>
        <v>11.729799999999999</v>
      </c>
      <c r="E273" s="14">
        <f>CHOOSE(CONTROL!$C$42, 11.7613, 11.7613) * CHOOSE(CONTROL!$C$21, $C$9, 100%, $E$9)</f>
        <v>11.7613</v>
      </c>
      <c r="F273" s="14">
        <f>CHOOSE(CONTROL!$C$42, 11.5286, 11.5286)*CHOOSE(CONTROL!$C$21, $C$9, 100%, $E$9)</f>
        <v>11.528600000000001</v>
      </c>
      <c r="G273" s="14">
        <f>CHOOSE(CONTROL!$C$42, 11.546, 11.546)*CHOOSE(CONTROL!$C$21, $C$9, 100%, $E$9)</f>
        <v>11.545999999999999</v>
      </c>
      <c r="H273" s="14">
        <f>CHOOSE(CONTROL!$C$42, 11.7499, 11.7499) * CHOOSE(CONTROL!$C$21, $C$9, 100%, $E$9)</f>
        <v>11.7499</v>
      </c>
      <c r="I273" s="14">
        <f>CHOOSE(CONTROL!$C$42, 11.5651, 11.5651)* CHOOSE(CONTROL!$C$21, $C$9, 100%, $E$9)</f>
        <v>11.565099999999999</v>
      </c>
      <c r="J273" s="14">
        <f>CHOOSE(CONTROL!$C$42, 11.5216, 11.5216)* CHOOSE(CONTROL!$C$21, $C$9, 100%, $E$9)</f>
        <v>11.521599999999999</v>
      </c>
      <c r="K273" s="53">
        <f>CHOOSE(CONTROL!$C$42, 11.5612, 11.5612) * CHOOSE(CONTROL!$C$21, $C$9, 100%, $E$9)</f>
        <v>11.561199999999999</v>
      </c>
      <c r="L273" s="14">
        <f>CHOOSE(CONTROL!$C$42, 12.3369, 12.3369) * CHOOSE(CONTROL!$C$21, $C$9, 100%, $E$9)</f>
        <v>12.3369</v>
      </c>
      <c r="M273" s="14">
        <f>CHOOSE(CONTROL!$C$42, 11.2932, 11.2932) * CHOOSE(CONTROL!$C$21, $C$9, 100%, $E$9)</f>
        <v>11.293200000000001</v>
      </c>
      <c r="N273" s="14">
        <f>CHOOSE(CONTROL!$C$42, 11.3102, 11.3102) * CHOOSE(CONTROL!$C$21, $C$9, 100%, $E$9)</f>
        <v>11.3102</v>
      </c>
      <c r="O273" s="14">
        <f>CHOOSE(CONTROL!$C$42, 11.5169, 11.5169) * CHOOSE(CONTROL!$C$21, $C$9, 100%, $E$9)</f>
        <v>11.5169</v>
      </c>
      <c r="P273" s="14">
        <f>CHOOSE(CONTROL!$C$42, 11.3352, 11.3352) * CHOOSE(CONTROL!$C$21, $C$9, 100%, $E$9)</f>
        <v>11.3352</v>
      </c>
      <c r="Q273" s="14">
        <f>CHOOSE(CONTROL!$C$42, 12.1116, 12.1116) * CHOOSE(CONTROL!$C$21, $C$9, 100%, $E$9)</f>
        <v>12.111599999999999</v>
      </c>
      <c r="R273" s="14">
        <f>CHOOSE(CONTROL!$C$42, 12.7289, 12.7289) * CHOOSE(CONTROL!$C$21, $C$9, 100%, $E$9)</f>
        <v>12.728899999999999</v>
      </c>
      <c r="S273" s="14">
        <f>CHOOSE(CONTROL!$C$42, 11.0409, 11.0409) * CHOOSE(CONTROL!$C$21, $C$9, 100%, $E$9)</f>
        <v>11.040900000000001</v>
      </c>
      <c r="T27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73" s="57">
        <f>(1000*CHOOSE(CONTROL!$C$42, 695, 695)*CHOOSE(CONTROL!$C$42, 0.5599, 0.5599)*CHOOSE(CONTROL!$C$42, 30, 30))/1000000</f>
        <v>11.673914999999997</v>
      </c>
      <c r="V273" s="57">
        <f>(1000*CHOOSE(CONTROL!$C$42, 500, 500)*CHOOSE(CONTROL!$C$42, 0.275, 0.275)*CHOOSE(CONTROL!$C$42, 30, 30))/1000000</f>
        <v>4.125</v>
      </c>
      <c r="W273" s="57">
        <f>(1000*CHOOSE(CONTROL!$C$42, 0.1146, 0.1146)*CHOOSE(CONTROL!$C$42, 121.5, 121.5)*CHOOSE(CONTROL!$C$42, 30, 30))/1000000</f>
        <v>0.417717</v>
      </c>
      <c r="X273" s="57">
        <f>(30*0.1790888*245000/1000000)+(30*0.2374*100000/1000000)</f>
        <v>2.0285026799999999</v>
      </c>
      <c r="Y273" s="57"/>
      <c r="Z273" s="14"/>
      <c r="AA273" s="56"/>
      <c r="AB273" s="50">
        <f>(B273*194.205+C273*267.466+D273*133.845+E273*53.484+F273*40+G273*185+H273*0+I273*100+J273*300)/(194.205+267.466+133.845+53.484+0+40+185+100+300)</f>
        <v>11.555000536420721</v>
      </c>
      <c r="AC273" s="45">
        <f>(M273*'RAP TEMPLATE-GAS AVAILABILITY'!O272+N273*'RAP TEMPLATE-GAS AVAILABILITY'!P272+O273*'RAP TEMPLATE-GAS AVAILABILITY'!Q272+P273*'RAP TEMPLATE-GAS AVAILABILITY'!R272)/('RAP TEMPLATE-GAS AVAILABILITY'!O272+'RAP TEMPLATE-GAS AVAILABILITY'!P272+'RAP TEMPLATE-GAS AVAILABILITY'!Q272+'RAP TEMPLATE-GAS AVAILABILITY'!R272)</f>
        <v>11.365921582733813</v>
      </c>
    </row>
    <row r="274" spans="1:29" ht="15.75" x14ac:dyDescent="0.25">
      <c r="A274" s="13">
        <v>49218</v>
      </c>
      <c r="B274" s="14">
        <f>CHOOSE(CONTROL!$C$42, 11.2662, 11.2662) * CHOOSE(CONTROL!$C$21, $C$9, 100%, $E$9)</f>
        <v>11.2662</v>
      </c>
      <c r="C274" s="14">
        <f>CHOOSE(CONTROL!$C$42, 11.2715, 11.2715) * CHOOSE(CONTROL!$C$21, $C$9, 100%, $E$9)</f>
        <v>11.2715</v>
      </c>
      <c r="D274" s="14">
        <f>CHOOSE(CONTROL!$C$42, 11.4971, 11.4971) * CHOOSE(CONTROL!$C$21, $C$9, 100%, $E$9)</f>
        <v>11.4971</v>
      </c>
      <c r="E274" s="14">
        <f>CHOOSE(CONTROL!$C$42, 11.5262, 11.5262) * CHOOSE(CONTROL!$C$21, $C$9, 100%, $E$9)</f>
        <v>11.526199999999999</v>
      </c>
      <c r="F274" s="14">
        <f>CHOOSE(CONTROL!$C$42, 11.2955, 11.2955)*CHOOSE(CONTROL!$C$21, $C$9, 100%, $E$9)</f>
        <v>11.295500000000001</v>
      </c>
      <c r="G274" s="14">
        <f>CHOOSE(CONTROL!$C$42, 11.3128, 11.3128)*CHOOSE(CONTROL!$C$21, $C$9, 100%, $E$9)</f>
        <v>11.312799999999999</v>
      </c>
      <c r="H274" s="14">
        <f>CHOOSE(CONTROL!$C$42, 11.5166, 11.5166) * CHOOSE(CONTROL!$C$21, $C$9, 100%, $E$9)</f>
        <v>11.5166</v>
      </c>
      <c r="I274" s="14">
        <f>CHOOSE(CONTROL!$C$42, 11.3311, 11.3311)* CHOOSE(CONTROL!$C$21, $C$9, 100%, $E$9)</f>
        <v>11.331099999999999</v>
      </c>
      <c r="J274" s="14">
        <f>CHOOSE(CONTROL!$C$42, 11.2885, 11.2885)* CHOOSE(CONTROL!$C$21, $C$9, 100%, $E$9)</f>
        <v>11.288500000000001</v>
      </c>
      <c r="K274" s="53">
        <f>CHOOSE(CONTROL!$C$42, 11.3272, 11.3272) * CHOOSE(CONTROL!$C$21, $C$9, 100%, $E$9)</f>
        <v>11.327199999999999</v>
      </c>
      <c r="L274" s="14">
        <f>CHOOSE(CONTROL!$C$42, 12.1036, 12.1036) * CHOOSE(CONTROL!$C$21, $C$9, 100%, $E$9)</f>
        <v>12.1036</v>
      </c>
      <c r="M274" s="14">
        <f>CHOOSE(CONTROL!$C$42, 11.0649, 11.0649) * CHOOSE(CONTROL!$C$21, $C$9, 100%, $E$9)</f>
        <v>11.0649</v>
      </c>
      <c r="N274" s="14">
        <f>CHOOSE(CONTROL!$C$42, 11.0818, 11.0818) * CHOOSE(CONTROL!$C$21, $C$9, 100%, $E$9)</f>
        <v>11.081799999999999</v>
      </c>
      <c r="O274" s="14">
        <f>CHOOSE(CONTROL!$C$42, 11.2884, 11.2884) * CHOOSE(CONTROL!$C$21, $C$9, 100%, $E$9)</f>
        <v>11.288399999999999</v>
      </c>
      <c r="P274" s="14">
        <f>CHOOSE(CONTROL!$C$42, 11.106, 11.106) * CHOOSE(CONTROL!$C$21, $C$9, 100%, $E$9)</f>
        <v>11.106</v>
      </c>
      <c r="Q274" s="14">
        <f>CHOOSE(CONTROL!$C$42, 11.8831, 11.8831) * CHOOSE(CONTROL!$C$21, $C$9, 100%, $E$9)</f>
        <v>11.883100000000001</v>
      </c>
      <c r="R274" s="14">
        <f>CHOOSE(CONTROL!$C$42, 12.4998, 12.4998) * CHOOSE(CONTROL!$C$21, $C$9, 100%, $E$9)</f>
        <v>12.4998</v>
      </c>
      <c r="S274" s="14">
        <f>CHOOSE(CONTROL!$C$42, 10.8167, 10.8167) * CHOOSE(CONTROL!$C$21, $C$9, 100%, $E$9)</f>
        <v>10.816700000000001</v>
      </c>
      <c r="T27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74" s="57">
        <f>(1000*CHOOSE(CONTROL!$C$42, 695, 695)*CHOOSE(CONTROL!$C$42, 0.5599, 0.5599)*CHOOSE(CONTROL!$C$42, 31, 31))/1000000</f>
        <v>12.063045499999998</v>
      </c>
      <c r="V274" s="57">
        <f>(1000*CHOOSE(CONTROL!$C$42, 500, 500)*CHOOSE(CONTROL!$C$42, 0.275, 0.275)*CHOOSE(CONTROL!$C$42, 31, 31))/1000000</f>
        <v>4.2625000000000002</v>
      </c>
      <c r="W274" s="57">
        <f>(1000*CHOOSE(CONTROL!$C$42, 0.1146, 0.1146)*CHOOSE(CONTROL!$C$42, 121.5, 121.5)*CHOOSE(CONTROL!$C$42, 31, 31))/1000000</f>
        <v>0.43164089999999994</v>
      </c>
      <c r="X274" s="57">
        <f>(31*0.1790888*245000/1000000)+(31*0.2374*100000/1000000)</f>
        <v>2.0961194359999999</v>
      </c>
      <c r="Y274" s="57"/>
      <c r="Z274" s="14"/>
      <c r="AA274" s="56"/>
      <c r="AB274" s="50">
        <f>(B274*131.881+C274*277.167+D274*79.08+E274*125.872+F274*40+G274*185+H274*0+I274*100+J274*300)/(131.881+277.167+79.08+125.872+0+40+185+100+300)</f>
        <v>11.3270783511703</v>
      </c>
      <c r="AC274" s="45">
        <f>(M274*'RAP TEMPLATE-GAS AVAILABILITY'!O273+N274*'RAP TEMPLATE-GAS AVAILABILITY'!P273+O274*'RAP TEMPLATE-GAS AVAILABILITY'!Q273+P274*'RAP TEMPLATE-GAS AVAILABILITY'!R273)/('RAP TEMPLATE-GAS AVAILABILITY'!O273+'RAP TEMPLATE-GAS AVAILABILITY'!P273+'RAP TEMPLATE-GAS AVAILABILITY'!Q273+'RAP TEMPLATE-GAS AVAILABILITY'!R273)</f>
        <v>11.137412949640288</v>
      </c>
    </row>
    <row r="275" spans="1:29" ht="15.75" x14ac:dyDescent="0.25">
      <c r="A275" s="13">
        <v>49249</v>
      </c>
      <c r="B275" s="14">
        <f>CHOOSE(CONTROL!$C$42, 11.5623, 11.5623) * CHOOSE(CONTROL!$C$21, $C$9, 100%, $E$9)</f>
        <v>11.5623</v>
      </c>
      <c r="C275" s="14">
        <f>CHOOSE(CONTROL!$C$42, 11.5674, 11.5674) * CHOOSE(CONTROL!$C$21, $C$9, 100%, $E$9)</f>
        <v>11.567399999999999</v>
      </c>
      <c r="D275" s="14">
        <f>CHOOSE(CONTROL!$C$42, 11.6416, 11.6416) * CHOOSE(CONTROL!$C$21, $C$9, 100%, $E$9)</f>
        <v>11.6416</v>
      </c>
      <c r="E275" s="14">
        <f>CHOOSE(CONTROL!$C$42, 11.6757, 11.6757) * CHOOSE(CONTROL!$C$21, $C$9, 100%, $E$9)</f>
        <v>11.675700000000001</v>
      </c>
      <c r="F275" s="14">
        <f>CHOOSE(CONTROL!$C$42, 11.5984, 11.5984)*CHOOSE(CONTROL!$C$21, $C$9, 100%, $E$9)</f>
        <v>11.5984</v>
      </c>
      <c r="G275" s="14">
        <f>CHOOSE(CONTROL!$C$42, 11.6159, 11.6159)*CHOOSE(CONTROL!$C$21, $C$9, 100%, $E$9)</f>
        <v>11.6159</v>
      </c>
      <c r="H275" s="14">
        <f>CHOOSE(CONTROL!$C$42, 11.6649, 11.6649) * CHOOSE(CONTROL!$C$21, $C$9, 100%, $E$9)</f>
        <v>11.664899999999999</v>
      </c>
      <c r="I275" s="14">
        <f>CHOOSE(CONTROL!$C$42, 11.626, 11.626)* CHOOSE(CONTROL!$C$21, $C$9, 100%, $E$9)</f>
        <v>11.625999999999999</v>
      </c>
      <c r="J275" s="14">
        <f>CHOOSE(CONTROL!$C$42, 11.5914, 11.5914)* CHOOSE(CONTROL!$C$21, $C$9, 100%, $E$9)</f>
        <v>11.5914</v>
      </c>
      <c r="K275" s="53">
        <f>CHOOSE(CONTROL!$C$42, 11.6221, 11.6221) * CHOOSE(CONTROL!$C$21, $C$9, 100%, $E$9)</f>
        <v>11.6221</v>
      </c>
      <c r="L275" s="14">
        <f>CHOOSE(CONTROL!$C$42, 12.2519, 12.2519) * CHOOSE(CONTROL!$C$21, $C$9, 100%, $E$9)</f>
        <v>12.251899999999999</v>
      </c>
      <c r="M275" s="14">
        <f>CHOOSE(CONTROL!$C$42, 11.3615, 11.3615) * CHOOSE(CONTROL!$C$21, $C$9, 100%, $E$9)</f>
        <v>11.361499999999999</v>
      </c>
      <c r="N275" s="14">
        <f>CHOOSE(CONTROL!$C$42, 11.3787, 11.3787) * CHOOSE(CONTROL!$C$21, $C$9, 100%, $E$9)</f>
        <v>11.3787</v>
      </c>
      <c r="O275" s="14">
        <f>CHOOSE(CONTROL!$C$42, 11.4336, 11.4336) * CHOOSE(CONTROL!$C$21, $C$9, 100%, $E$9)</f>
        <v>11.4336</v>
      </c>
      <c r="P275" s="14">
        <f>CHOOSE(CONTROL!$C$42, 11.3948, 11.3948) * CHOOSE(CONTROL!$C$21, $C$9, 100%, $E$9)</f>
        <v>11.3948</v>
      </c>
      <c r="Q275" s="14">
        <f>CHOOSE(CONTROL!$C$42, 12.0283, 12.0283) * CHOOSE(CONTROL!$C$21, $C$9, 100%, $E$9)</f>
        <v>12.0283</v>
      </c>
      <c r="R275" s="14">
        <f>CHOOSE(CONTROL!$C$42, 12.6453, 12.6453) * CHOOSE(CONTROL!$C$21, $C$9, 100%, $E$9)</f>
        <v>12.645300000000001</v>
      </c>
      <c r="S275" s="14">
        <f>CHOOSE(CONTROL!$C$42, 11.1017, 11.1017) * CHOOSE(CONTROL!$C$21, $C$9, 100%, $E$9)</f>
        <v>11.101699999999999</v>
      </c>
      <c r="T27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75" s="57">
        <f>(1000*CHOOSE(CONTROL!$C$42, 695, 695)*CHOOSE(CONTROL!$C$42, 0.5599, 0.5599)*CHOOSE(CONTROL!$C$42, 30, 30))/1000000</f>
        <v>11.673914999999997</v>
      </c>
      <c r="V275" s="57">
        <f>(1000*CHOOSE(CONTROL!$C$42, 500, 500)*CHOOSE(CONTROL!$C$42, 0.275, 0.275)*CHOOSE(CONTROL!$C$42, 30, 30))/1000000</f>
        <v>4.125</v>
      </c>
      <c r="W275" s="57">
        <f>(1000*CHOOSE(CONTROL!$C$42, 0.1146, 0.1146)*CHOOSE(CONTROL!$C$42, 121.5, 121.5)*CHOOSE(CONTROL!$C$42, 30, 30))/1000000</f>
        <v>0.417717</v>
      </c>
      <c r="X275" s="57">
        <f>(30*0.1790888*100000/1000000)+(30*0.2374*100000/1000000)</f>
        <v>1.2494664</v>
      </c>
      <c r="Y275" s="57"/>
      <c r="Z275" s="14"/>
      <c r="AA275" s="56"/>
      <c r="AB275" s="50">
        <f>(B275*122.58+C275*297.941+D275*89.177+E275*40.302+F275*40+G275*160+H275*0+I275*100+J275*300)/(122.58+297.941+89.177+40.302+0+40+160+100+300)</f>
        <v>11.595588245217391</v>
      </c>
      <c r="AC275" s="45">
        <f>(M275*'RAP TEMPLATE-GAS AVAILABILITY'!O274+N275*'RAP TEMPLATE-GAS AVAILABILITY'!P274+O275*'RAP TEMPLATE-GAS AVAILABILITY'!Q274+P275*'RAP TEMPLATE-GAS AVAILABILITY'!R274)/('RAP TEMPLATE-GAS AVAILABILITY'!O274+'RAP TEMPLATE-GAS AVAILABILITY'!P274+'RAP TEMPLATE-GAS AVAILABILITY'!Q274+'RAP TEMPLATE-GAS AVAILABILITY'!R274)</f>
        <v>11.399959712230215</v>
      </c>
    </row>
    <row r="276" spans="1:29" ht="15.75" x14ac:dyDescent="0.25">
      <c r="A276" s="13">
        <v>49279</v>
      </c>
      <c r="B276" s="14">
        <f>CHOOSE(CONTROL!$C$42, 12.35, 12.35) * CHOOSE(CONTROL!$C$21, $C$9, 100%, $E$9)</f>
        <v>12.35</v>
      </c>
      <c r="C276" s="14">
        <f>CHOOSE(CONTROL!$C$42, 12.355, 12.355) * CHOOSE(CONTROL!$C$21, $C$9, 100%, $E$9)</f>
        <v>12.355</v>
      </c>
      <c r="D276" s="14">
        <f>CHOOSE(CONTROL!$C$42, 12.4292, 12.4292) * CHOOSE(CONTROL!$C$21, $C$9, 100%, $E$9)</f>
        <v>12.4292</v>
      </c>
      <c r="E276" s="14">
        <f>CHOOSE(CONTROL!$C$42, 12.4633, 12.4633) * CHOOSE(CONTROL!$C$21, $C$9, 100%, $E$9)</f>
        <v>12.4633</v>
      </c>
      <c r="F276" s="14">
        <f>CHOOSE(CONTROL!$C$42, 12.3884, 12.3884)*CHOOSE(CONTROL!$C$21, $C$9, 100%, $E$9)</f>
        <v>12.388400000000001</v>
      </c>
      <c r="G276" s="14">
        <f>CHOOSE(CONTROL!$C$42, 12.4065, 12.4065)*CHOOSE(CONTROL!$C$21, $C$9, 100%, $E$9)</f>
        <v>12.406499999999999</v>
      </c>
      <c r="H276" s="14">
        <f>CHOOSE(CONTROL!$C$42, 12.4525, 12.4525) * CHOOSE(CONTROL!$C$21, $C$9, 100%, $E$9)</f>
        <v>12.452500000000001</v>
      </c>
      <c r="I276" s="14">
        <f>CHOOSE(CONTROL!$C$42, 12.4161, 12.4161)* CHOOSE(CONTROL!$C$21, $C$9, 100%, $E$9)</f>
        <v>12.4161</v>
      </c>
      <c r="J276" s="14">
        <f>CHOOSE(CONTROL!$C$42, 12.3814, 12.3814)* CHOOSE(CONTROL!$C$21, $C$9, 100%, $E$9)</f>
        <v>12.381399999999999</v>
      </c>
      <c r="K276" s="53">
        <f>CHOOSE(CONTROL!$C$42, 12.4122, 12.4122) * CHOOSE(CONTROL!$C$21, $C$9, 100%, $E$9)</f>
        <v>12.4122</v>
      </c>
      <c r="L276" s="14">
        <f>CHOOSE(CONTROL!$C$42, 13.0395, 13.0395) * CHOOSE(CONTROL!$C$21, $C$9, 100%, $E$9)</f>
        <v>13.0395</v>
      </c>
      <c r="M276" s="14">
        <f>CHOOSE(CONTROL!$C$42, 12.1354, 12.1354) * CHOOSE(CONTROL!$C$21, $C$9, 100%, $E$9)</f>
        <v>12.135400000000001</v>
      </c>
      <c r="N276" s="14">
        <f>CHOOSE(CONTROL!$C$42, 12.1532, 12.1532) * CHOOSE(CONTROL!$C$21, $C$9, 100%, $E$9)</f>
        <v>12.1532</v>
      </c>
      <c r="O276" s="14">
        <f>CHOOSE(CONTROL!$C$42, 12.2051, 12.2051) * CHOOSE(CONTROL!$C$21, $C$9, 100%, $E$9)</f>
        <v>12.2051</v>
      </c>
      <c r="P276" s="14">
        <f>CHOOSE(CONTROL!$C$42, 12.1687, 12.1687) * CHOOSE(CONTROL!$C$21, $C$9, 100%, $E$9)</f>
        <v>12.168699999999999</v>
      </c>
      <c r="Q276" s="14">
        <f>CHOOSE(CONTROL!$C$42, 12.7998, 12.7998) * CHOOSE(CONTROL!$C$21, $C$9, 100%, $E$9)</f>
        <v>12.799799999999999</v>
      </c>
      <c r="R276" s="14">
        <f>CHOOSE(CONTROL!$C$42, 13.4188, 13.4188) * CHOOSE(CONTROL!$C$21, $C$9, 100%, $E$9)</f>
        <v>13.418799999999999</v>
      </c>
      <c r="S276" s="14">
        <f>CHOOSE(CONTROL!$C$42, 11.8585, 11.8585) * CHOOSE(CONTROL!$C$21, $C$9, 100%, $E$9)</f>
        <v>11.858499999999999</v>
      </c>
      <c r="T27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76" s="57">
        <f>(1000*CHOOSE(CONTROL!$C$42, 695, 695)*CHOOSE(CONTROL!$C$42, 0.5599, 0.5599)*CHOOSE(CONTROL!$C$42, 31, 31))/1000000</f>
        <v>12.063045499999998</v>
      </c>
      <c r="V276" s="57">
        <f>(1000*CHOOSE(CONTROL!$C$42, 500, 500)*CHOOSE(CONTROL!$C$42, 0.275, 0.275)*CHOOSE(CONTROL!$C$42, 31, 31))/1000000</f>
        <v>4.2625000000000002</v>
      </c>
      <c r="W276" s="57">
        <f>(1000*CHOOSE(CONTROL!$C$42, 0.1146, 0.1146)*CHOOSE(CONTROL!$C$42, 121.5, 121.5)*CHOOSE(CONTROL!$C$42, 31, 31))/1000000</f>
        <v>0.43164089999999994</v>
      </c>
      <c r="X276" s="57">
        <f>(31*0.1790888*100000/1000000)+(31*0.2374*100000/1000000)</f>
        <v>1.2911152800000001</v>
      </c>
      <c r="Y276" s="57"/>
      <c r="Z276" s="14"/>
      <c r="AA276" s="56"/>
      <c r="AB276" s="50">
        <f>(B276*122.58+C276*297.941+D276*89.177+E276*40.302+F276*40+G276*160+H276*0+I276*100+J276*300)/(122.58+297.941+89.177+40.302+0+40+160+100+300)</f>
        <v>12.384543252173913</v>
      </c>
      <c r="AC276" s="45">
        <f>(M276*'RAP TEMPLATE-GAS AVAILABILITY'!O275+N276*'RAP TEMPLATE-GAS AVAILABILITY'!P275+O276*'RAP TEMPLATE-GAS AVAILABILITY'!Q275+P276*'RAP TEMPLATE-GAS AVAILABILITY'!R275)/('RAP TEMPLATE-GAS AVAILABILITY'!O275+'RAP TEMPLATE-GAS AVAILABILITY'!P275+'RAP TEMPLATE-GAS AVAILABILITY'!Q275+'RAP TEMPLATE-GAS AVAILABILITY'!R275)</f>
        <v>12.172806474820145</v>
      </c>
    </row>
    <row r="277" spans="1:29" ht="15.75" x14ac:dyDescent="0.25">
      <c r="A277" s="13">
        <v>49310</v>
      </c>
      <c r="B277" s="14">
        <f>CHOOSE(CONTROL!$C$42, 13.373, 13.373) * CHOOSE(CONTROL!$C$21, $C$9, 100%, $E$9)</f>
        <v>13.372999999999999</v>
      </c>
      <c r="C277" s="14">
        <f>CHOOSE(CONTROL!$C$42, 13.378, 13.378) * CHOOSE(CONTROL!$C$21, $C$9, 100%, $E$9)</f>
        <v>13.378</v>
      </c>
      <c r="D277" s="14">
        <f>CHOOSE(CONTROL!$C$42, 13.4549, 13.4549) * CHOOSE(CONTROL!$C$21, $C$9, 100%, $E$9)</f>
        <v>13.4549</v>
      </c>
      <c r="E277" s="14">
        <f>CHOOSE(CONTROL!$C$42, 13.489, 13.489) * CHOOSE(CONTROL!$C$21, $C$9, 100%, $E$9)</f>
        <v>13.489000000000001</v>
      </c>
      <c r="F277" s="14">
        <f>CHOOSE(CONTROL!$C$42, 13.3977, 13.3977)*CHOOSE(CONTROL!$C$21, $C$9, 100%, $E$9)</f>
        <v>13.3977</v>
      </c>
      <c r="G277" s="14">
        <f>CHOOSE(CONTROL!$C$42, 13.4157, 13.4157)*CHOOSE(CONTROL!$C$21, $C$9, 100%, $E$9)</f>
        <v>13.415699999999999</v>
      </c>
      <c r="H277" s="14">
        <f>CHOOSE(CONTROL!$C$42, 13.4782, 13.4782) * CHOOSE(CONTROL!$C$21, $C$9, 100%, $E$9)</f>
        <v>13.478199999999999</v>
      </c>
      <c r="I277" s="14">
        <f>CHOOSE(CONTROL!$C$42, 13.4486, 13.4486)* CHOOSE(CONTROL!$C$21, $C$9, 100%, $E$9)</f>
        <v>13.448600000000001</v>
      </c>
      <c r="J277" s="14">
        <f>CHOOSE(CONTROL!$C$42, 13.3907, 13.3907)* CHOOSE(CONTROL!$C$21, $C$9, 100%, $E$9)</f>
        <v>13.390700000000001</v>
      </c>
      <c r="K277" s="53">
        <f>CHOOSE(CONTROL!$C$42, 13.4447, 13.4447) * CHOOSE(CONTROL!$C$21, $C$9, 100%, $E$9)</f>
        <v>13.444699999999999</v>
      </c>
      <c r="L277" s="14">
        <f>CHOOSE(CONTROL!$C$42, 14.0652, 14.0652) * CHOOSE(CONTROL!$C$21, $C$9, 100%, $E$9)</f>
        <v>14.065200000000001</v>
      </c>
      <c r="M277" s="14">
        <f>CHOOSE(CONTROL!$C$42, 13.124, 13.124) * CHOOSE(CONTROL!$C$21, $C$9, 100%, $E$9)</f>
        <v>13.124000000000001</v>
      </c>
      <c r="N277" s="14">
        <f>CHOOSE(CONTROL!$C$42, 13.1417, 13.1417) * CHOOSE(CONTROL!$C$21, $C$9, 100%, $E$9)</f>
        <v>13.1417</v>
      </c>
      <c r="O277" s="14">
        <f>CHOOSE(CONTROL!$C$42, 13.2097, 13.2097) * CHOOSE(CONTROL!$C$21, $C$9, 100%, $E$9)</f>
        <v>13.2097</v>
      </c>
      <c r="P277" s="14">
        <f>CHOOSE(CONTROL!$C$42, 13.18, 13.18) * CHOOSE(CONTROL!$C$21, $C$9, 100%, $E$9)</f>
        <v>13.18</v>
      </c>
      <c r="Q277" s="14">
        <f>CHOOSE(CONTROL!$C$42, 13.8044, 13.8044) * CHOOSE(CONTROL!$C$21, $C$9, 100%, $E$9)</f>
        <v>13.804399999999999</v>
      </c>
      <c r="R277" s="14">
        <f>CHOOSE(CONTROL!$C$42, 14.4259, 14.4259) * CHOOSE(CONTROL!$C$21, $C$9, 100%, $E$9)</f>
        <v>14.4259</v>
      </c>
      <c r="S277" s="14">
        <f>CHOOSE(CONTROL!$C$42, 12.8416, 12.8416) * CHOOSE(CONTROL!$C$21, $C$9, 100%, $E$9)</f>
        <v>12.8416</v>
      </c>
      <c r="T27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77" s="57">
        <f>(1000*CHOOSE(CONTROL!$C$42, 695, 695)*CHOOSE(CONTROL!$C$42, 0.5599, 0.5599)*CHOOSE(CONTROL!$C$42, 31, 31))/1000000</f>
        <v>12.063045499999998</v>
      </c>
      <c r="V277" s="57">
        <f>(1000*CHOOSE(CONTROL!$C$42, 500, 500)*CHOOSE(CONTROL!$C$42, 0.275, 0.275)*CHOOSE(CONTROL!$C$42, 31, 31))/1000000</f>
        <v>4.2625000000000002</v>
      </c>
      <c r="W277" s="57">
        <f>(1000*CHOOSE(CONTROL!$C$42, 0.1146, 0.1146)*CHOOSE(CONTROL!$C$42, 121.5, 121.5)*CHOOSE(CONTROL!$C$42, 31, 31))/1000000</f>
        <v>0.43164089999999994</v>
      </c>
      <c r="X277" s="57">
        <f>(31*0.1790888*100000/1000000)+(31*0.2374*100000/1000000)</f>
        <v>1.2911152800000001</v>
      </c>
      <c r="Y277" s="57"/>
      <c r="Z277" s="14"/>
      <c r="AA277" s="56"/>
      <c r="AB277" s="50">
        <f>(B277*122.58+C277*297.941+D277*89.177+E277*40.302+F277*40+G277*160+H277*0+I277*100+J277*300)/(122.58+297.941+89.177+40.302+0+40+160+100+300)</f>
        <v>13.402702898521738</v>
      </c>
      <c r="AC277" s="45">
        <f>(M277*'RAP TEMPLATE-GAS AVAILABILITY'!O276+N277*'RAP TEMPLATE-GAS AVAILABILITY'!P276+O277*'RAP TEMPLATE-GAS AVAILABILITY'!Q276+P277*'RAP TEMPLATE-GAS AVAILABILITY'!R276)/('RAP TEMPLATE-GAS AVAILABILITY'!O276+'RAP TEMPLATE-GAS AVAILABILITY'!P276+'RAP TEMPLATE-GAS AVAILABILITY'!Q276+'RAP TEMPLATE-GAS AVAILABILITY'!R276)</f>
        <v>13.171918705035973</v>
      </c>
    </row>
    <row r="278" spans="1:29" ht="15.75" x14ac:dyDescent="0.25">
      <c r="A278" s="13">
        <v>49341</v>
      </c>
      <c r="B278" s="14">
        <f>CHOOSE(CONTROL!$C$42, 13.6109, 13.6109) * CHOOSE(CONTROL!$C$21, $C$9, 100%, $E$9)</f>
        <v>13.610900000000001</v>
      </c>
      <c r="C278" s="14">
        <f>CHOOSE(CONTROL!$C$42, 13.6159, 13.6159) * CHOOSE(CONTROL!$C$21, $C$9, 100%, $E$9)</f>
        <v>13.6159</v>
      </c>
      <c r="D278" s="14">
        <f>CHOOSE(CONTROL!$C$42, 13.6928, 13.6928) * CHOOSE(CONTROL!$C$21, $C$9, 100%, $E$9)</f>
        <v>13.6928</v>
      </c>
      <c r="E278" s="14">
        <f>CHOOSE(CONTROL!$C$42, 13.7269, 13.7269) * CHOOSE(CONTROL!$C$21, $C$9, 100%, $E$9)</f>
        <v>13.726900000000001</v>
      </c>
      <c r="F278" s="14">
        <f>CHOOSE(CONTROL!$C$42, 13.6352, 13.6352)*CHOOSE(CONTROL!$C$21, $C$9, 100%, $E$9)</f>
        <v>13.635199999999999</v>
      </c>
      <c r="G278" s="14">
        <f>CHOOSE(CONTROL!$C$42, 13.6531, 13.6531)*CHOOSE(CONTROL!$C$21, $C$9, 100%, $E$9)</f>
        <v>13.6531</v>
      </c>
      <c r="H278" s="14">
        <f>CHOOSE(CONTROL!$C$42, 13.7161, 13.7161) * CHOOSE(CONTROL!$C$21, $C$9, 100%, $E$9)</f>
        <v>13.716100000000001</v>
      </c>
      <c r="I278" s="14">
        <f>CHOOSE(CONTROL!$C$42, 13.6872, 13.6872)* CHOOSE(CONTROL!$C$21, $C$9, 100%, $E$9)</f>
        <v>13.687200000000001</v>
      </c>
      <c r="J278" s="14">
        <f>CHOOSE(CONTROL!$C$42, 13.6282, 13.6282)* CHOOSE(CONTROL!$C$21, $C$9, 100%, $E$9)</f>
        <v>13.6282</v>
      </c>
      <c r="K278" s="53">
        <f>CHOOSE(CONTROL!$C$42, 13.6833, 13.6833) * CHOOSE(CONTROL!$C$21, $C$9, 100%, $E$9)</f>
        <v>13.683299999999999</v>
      </c>
      <c r="L278" s="14">
        <f>CHOOSE(CONTROL!$C$42, 14.3031, 14.3031) * CHOOSE(CONTROL!$C$21, $C$9, 100%, $E$9)</f>
        <v>14.303100000000001</v>
      </c>
      <c r="M278" s="14">
        <f>CHOOSE(CONTROL!$C$42, 13.3567, 13.3567) * CHOOSE(CONTROL!$C$21, $C$9, 100%, $E$9)</f>
        <v>13.3567</v>
      </c>
      <c r="N278" s="14">
        <f>CHOOSE(CONTROL!$C$42, 13.3742, 13.3742) * CHOOSE(CONTROL!$C$21, $C$9, 100%, $E$9)</f>
        <v>13.3742</v>
      </c>
      <c r="O278" s="14">
        <f>CHOOSE(CONTROL!$C$42, 13.4427, 13.4427) * CHOOSE(CONTROL!$C$21, $C$9, 100%, $E$9)</f>
        <v>13.4427</v>
      </c>
      <c r="P278" s="14">
        <f>CHOOSE(CONTROL!$C$42, 13.4137, 13.4137) * CHOOSE(CONTROL!$C$21, $C$9, 100%, $E$9)</f>
        <v>13.4137</v>
      </c>
      <c r="Q278" s="14">
        <f>CHOOSE(CONTROL!$C$42, 14.0374, 14.0374) * CHOOSE(CONTROL!$C$21, $C$9, 100%, $E$9)</f>
        <v>14.0374</v>
      </c>
      <c r="R278" s="14">
        <f>CHOOSE(CONTROL!$C$42, 14.6595, 14.6595) * CHOOSE(CONTROL!$C$21, $C$9, 100%, $E$9)</f>
        <v>14.6595</v>
      </c>
      <c r="S278" s="14">
        <f>CHOOSE(CONTROL!$C$42, 13.0701, 13.0701) * CHOOSE(CONTROL!$C$21, $C$9, 100%, $E$9)</f>
        <v>13.0701</v>
      </c>
      <c r="T27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78" s="57">
        <f>(1000*CHOOSE(CONTROL!$C$42, 695, 695)*CHOOSE(CONTROL!$C$42, 0.5599, 0.5599)*CHOOSE(CONTROL!$C$42, 28, 28))/1000000</f>
        <v>10.895653999999999</v>
      </c>
      <c r="V278" s="57">
        <f>(1000*CHOOSE(CONTROL!$C$42, 500, 500)*CHOOSE(CONTROL!$C$42, 0.275, 0.275)*CHOOSE(CONTROL!$C$42, 28, 28))/1000000</f>
        <v>3.85</v>
      </c>
      <c r="W278" s="57">
        <f>(1000*CHOOSE(CONTROL!$C$42, 0.1146, 0.1146)*CHOOSE(CONTROL!$C$42, 121.5, 121.5)*CHOOSE(CONTROL!$C$42, 28, 28))/1000000</f>
        <v>0.38986920000000003</v>
      </c>
      <c r="X278" s="57">
        <f>(28*0.1790888*100000/1000000)+(28*0.2374*100000/1000000)</f>
        <v>1.16616864</v>
      </c>
      <c r="Y278" s="57"/>
      <c r="Z278" s="14"/>
      <c r="AA278" s="56"/>
      <c r="AB278" s="50">
        <f>(B278*122.58+C278*297.941+D278*89.177+E278*40.302+F278*40+G278*160+H278*0+I278*100+J278*300)/(122.58+297.941+89.177+40.302+0+40+160+100+300)</f>
        <v>13.640475942</v>
      </c>
      <c r="AC278" s="45">
        <f>(M278*'RAP TEMPLATE-GAS AVAILABILITY'!O277+N278*'RAP TEMPLATE-GAS AVAILABILITY'!P277+O278*'RAP TEMPLATE-GAS AVAILABILITY'!Q277+P278*'RAP TEMPLATE-GAS AVAILABILITY'!R277)/('RAP TEMPLATE-GAS AVAILABILITY'!O277+'RAP TEMPLATE-GAS AVAILABILITY'!P277+'RAP TEMPLATE-GAS AVAILABILITY'!Q277+'RAP TEMPLATE-GAS AVAILABILITY'!R277)</f>
        <v>13.404887050359713</v>
      </c>
    </row>
    <row r="279" spans="1:29" ht="15.75" x14ac:dyDescent="0.25">
      <c r="A279" s="13">
        <v>49369</v>
      </c>
      <c r="B279" s="14">
        <f>CHOOSE(CONTROL!$C$42, 13.2247, 13.2247) * CHOOSE(CONTROL!$C$21, $C$9, 100%, $E$9)</f>
        <v>13.2247</v>
      </c>
      <c r="C279" s="14">
        <f>CHOOSE(CONTROL!$C$42, 13.2298, 13.2298) * CHOOSE(CONTROL!$C$21, $C$9, 100%, $E$9)</f>
        <v>13.229799999999999</v>
      </c>
      <c r="D279" s="14">
        <f>CHOOSE(CONTROL!$C$42, 13.3066, 13.3066) * CHOOSE(CONTROL!$C$21, $C$9, 100%, $E$9)</f>
        <v>13.3066</v>
      </c>
      <c r="E279" s="14">
        <f>CHOOSE(CONTROL!$C$42, 13.3407, 13.3407) * CHOOSE(CONTROL!$C$21, $C$9, 100%, $E$9)</f>
        <v>13.3407</v>
      </c>
      <c r="F279" s="14">
        <f>CHOOSE(CONTROL!$C$42, 13.2482, 13.2482)*CHOOSE(CONTROL!$C$21, $C$9, 100%, $E$9)</f>
        <v>13.248200000000001</v>
      </c>
      <c r="G279" s="14">
        <f>CHOOSE(CONTROL!$C$42, 13.2658, 13.2658)*CHOOSE(CONTROL!$C$21, $C$9, 100%, $E$9)</f>
        <v>13.2658</v>
      </c>
      <c r="H279" s="14">
        <f>CHOOSE(CONTROL!$C$42, 13.3299, 13.3299) * CHOOSE(CONTROL!$C$21, $C$9, 100%, $E$9)</f>
        <v>13.3299</v>
      </c>
      <c r="I279" s="14">
        <f>CHOOSE(CONTROL!$C$42, 13.2999, 13.2999)* CHOOSE(CONTROL!$C$21, $C$9, 100%, $E$9)</f>
        <v>13.299899999999999</v>
      </c>
      <c r="J279" s="14">
        <f>CHOOSE(CONTROL!$C$42, 13.2412, 13.2412)* CHOOSE(CONTROL!$C$21, $C$9, 100%, $E$9)</f>
        <v>13.241199999999999</v>
      </c>
      <c r="K279" s="53">
        <f>CHOOSE(CONTROL!$C$42, 13.296, 13.296) * CHOOSE(CONTROL!$C$21, $C$9, 100%, $E$9)</f>
        <v>13.295999999999999</v>
      </c>
      <c r="L279" s="14">
        <f>CHOOSE(CONTROL!$C$42, 13.9169, 13.9169) * CHOOSE(CONTROL!$C$21, $C$9, 100%, $E$9)</f>
        <v>13.9169</v>
      </c>
      <c r="M279" s="14">
        <f>CHOOSE(CONTROL!$C$42, 12.9776, 12.9776) * CHOOSE(CONTROL!$C$21, $C$9, 100%, $E$9)</f>
        <v>12.977600000000001</v>
      </c>
      <c r="N279" s="14">
        <f>CHOOSE(CONTROL!$C$42, 12.9949, 12.9949) * CHOOSE(CONTROL!$C$21, $C$9, 100%, $E$9)</f>
        <v>12.994899999999999</v>
      </c>
      <c r="O279" s="14">
        <f>CHOOSE(CONTROL!$C$42, 13.0645, 13.0645) * CHOOSE(CONTROL!$C$21, $C$9, 100%, $E$9)</f>
        <v>13.064500000000001</v>
      </c>
      <c r="P279" s="14">
        <f>CHOOSE(CONTROL!$C$42, 13.0343, 13.0343) * CHOOSE(CONTROL!$C$21, $C$9, 100%, $E$9)</f>
        <v>13.0343</v>
      </c>
      <c r="Q279" s="14">
        <f>CHOOSE(CONTROL!$C$42, 13.6592, 13.6592) * CHOOSE(CONTROL!$C$21, $C$9, 100%, $E$9)</f>
        <v>13.6592</v>
      </c>
      <c r="R279" s="14">
        <f>CHOOSE(CONTROL!$C$42, 14.2803, 14.2803) * CHOOSE(CONTROL!$C$21, $C$9, 100%, $E$9)</f>
        <v>14.2803</v>
      </c>
      <c r="S279" s="14">
        <f>CHOOSE(CONTROL!$C$42, 12.6991, 12.6991) * CHOOSE(CONTROL!$C$21, $C$9, 100%, $E$9)</f>
        <v>12.6991</v>
      </c>
      <c r="T27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9" s="57">
        <f>(1000*CHOOSE(CONTROL!$C$42, 695, 695)*CHOOSE(CONTROL!$C$42, 0.5599, 0.5599)*CHOOSE(CONTROL!$C$42, 31, 31))/1000000</f>
        <v>12.063045499999998</v>
      </c>
      <c r="V279" s="57">
        <f>(1000*CHOOSE(CONTROL!$C$42, 500, 500)*CHOOSE(CONTROL!$C$42, 0.275, 0.275)*CHOOSE(CONTROL!$C$42, 31, 31))/1000000</f>
        <v>4.2625000000000002</v>
      </c>
      <c r="W279" s="57">
        <f>(1000*CHOOSE(CONTROL!$C$42, 0.1146, 0.1146)*CHOOSE(CONTROL!$C$42, 121.5, 121.5)*CHOOSE(CONTROL!$C$42, 31, 31))/1000000</f>
        <v>0.43164089999999994</v>
      </c>
      <c r="X279" s="57">
        <f>(31*0.1790888*100000/1000000)+(31*0.2374*100000/1000000)</f>
        <v>1.2911152800000001</v>
      </c>
      <c r="Y279" s="57"/>
      <c r="Z279" s="14"/>
      <c r="AA279" s="56"/>
      <c r="AB279" s="50">
        <f>(B279*122.58+C279*297.941+D279*89.177+E279*40.302+F279*40+G279*160+H279*0+I279*100+J279*300)/(122.58+297.941+89.177+40.302+0+40+160+100+300)</f>
        <v>13.253816632521737</v>
      </c>
      <c r="AC279" s="45">
        <f>(M279*'RAP TEMPLATE-GAS AVAILABILITY'!O278+N279*'RAP TEMPLATE-GAS AVAILABILITY'!P278+O279*'RAP TEMPLATE-GAS AVAILABILITY'!Q278+P279*'RAP TEMPLATE-GAS AVAILABILITY'!R278)/('RAP TEMPLATE-GAS AVAILABILITY'!O278+'RAP TEMPLATE-GAS AVAILABILITY'!P278+'RAP TEMPLATE-GAS AVAILABILITY'!Q278+'RAP TEMPLATE-GAS AVAILABILITY'!R278)</f>
        <v>13.026140287769783</v>
      </c>
    </row>
    <row r="280" spans="1:29" ht="15.75" x14ac:dyDescent="0.25">
      <c r="A280" s="13">
        <v>49400</v>
      </c>
      <c r="B280" s="14">
        <f>CHOOSE(CONTROL!$C$42, 13.1862, 13.1862) * CHOOSE(CONTROL!$C$21, $C$9, 100%, $E$9)</f>
        <v>13.186199999999999</v>
      </c>
      <c r="C280" s="14">
        <f>CHOOSE(CONTROL!$C$42, 13.1906, 13.1906) * CHOOSE(CONTROL!$C$21, $C$9, 100%, $E$9)</f>
        <v>13.1906</v>
      </c>
      <c r="D280" s="14">
        <f>CHOOSE(CONTROL!$C$42, 13.4144, 13.4144) * CHOOSE(CONTROL!$C$21, $C$9, 100%, $E$9)</f>
        <v>13.414400000000001</v>
      </c>
      <c r="E280" s="14">
        <f>CHOOSE(CONTROL!$C$42, 13.4465, 13.4465) * CHOOSE(CONTROL!$C$21, $C$9, 100%, $E$9)</f>
        <v>13.4465</v>
      </c>
      <c r="F280" s="14">
        <f>CHOOSE(CONTROL!$C$42, 13.2138, 13.2138)*CHOOSE(CONTROL!$C$21, $C$9, 100%, $E$9)</f>
        <v>13.213800000000001</v>
      </c>
      <c r="G280" s="14">
        <f>CHOOSE(CONTROL!$C$42, 13.2307, 13.2307)*CHOOSE(CONTROL!$C$21, $C$9, 100%, $E$9)</f>
        <v>13.230700000000001</v>
      </c>
      <c r="H280" s="14">
        <f>CHOOSE(CONTROL!$C$42, 13.4363, 13.4363) * CHOOSE(CONTROL!$C$21, $C$9, 100%, $E$9)</f>
        <v>13.436299999999999</v>
      </c>
      <c r="I280" s="14">
        <f>CHOOSE(CONTROL!$C$42, 13.2567, 13.2567)* CHOOSE(CONTROL!$C$21, $C$9, 100%, $E$9)</f>
        <v>13.2567</v>
      </c>
      <c r="J280" s="14">
        <f>CHOOSE(CONTROL!$C$42, 13.2068, 13.2068)* CHOOSE(CONTROL!$C$21, $C$9, 100%, $E$9)</f>
        <v>13.206799999999999</v>
      </c>
      <c r="K280" s="53">
        <f>CHOOSE(CONTROL!$C$42, 13.2529, 13.2529) * CHOOSE(CONTROL!$C$21, $C$9, 100%, $E$9)</f>
        <v>13.2529</v>
      </c>
      <c r="L280" s="14">
        <f>CHOOSE(CONTROL!$C$42, 14.0233, 14.0233) * CHOOSE(CONTROL!$C$21, $C$9, 100%, $E$9)</f>
        <v>14.023300000000001</v>
      </c>
      <c r="M280" s="14">
        <f>CHOOSE(CONTROL!$C$42, 12.9439, 12.9439) * CHOOSE(CONTROL!$C$21, $C$9, 100%, $E$9)</f>
        <v>12.943899999999999</v>
      </c>
      <c r="N280" s="14">
        <f>CHOOSE(CONTROL!$C$42, 12.9605, 12.9605) * CHOOSE(CONTROL!$C$21, $C$9, 100%, $E$9)</f>
        <v>12.9605</v>
      </c>
      <c r="O280" s="14">
        <f>CHOOSE(CONTROL!$C$42, 13.1687, 13.1687) * CHOOSE(CONTROL!$C$21, $C$9, 100%, $E$9)</f>
        <v>13.168699999999999</v>
      </c>
      <c r="P280" s="14">
        <f>CHOOSE(CONTROL!$C$42, 12.9921, 12.9921) * CHOOSE(CONTROL!$C$21, $C$9, 100%, $E$9)</f>
        <v>12.992100000000001</v>
      </c>
      <c r="Q280" s="14">
        <f>CHOOSE(CONTROL!$C$42, 13.7634, 13.7634) * CHOOSE(CONTROL!$C$21, $C$9, 100%, $E$9)</f>
        <v>13.763400000000001</v>
      </c>
      <c r="R280" s="14">
        <f>CHOOSE(CONTROL!$C$42, 14.3848, 14.3848) * CHOOSE(CONTROL!$C$21, $C$9, 100%, $E$9)</f>
        <v>14.3848</v>
      </c>
      <c r="S280" s="14">
        <f>CHOOSE(CONTROL!$C$42, 12.6613, 12.6613) * CHOOSE(CONTROL!$C$21, $C$9, 100%, $E$9)</f>
        <v>12.661300000000001</v>
      </c>
      <c r="T28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0" s="57">
        <f>(1000*CHOOSE(CONTROL!$C$42, 695, 695)*CHOOSE(CONTROL!$C$42, 0.5599, 0.5599)*CHOOSE(CONTROL!$C$42, 30, 30))/1000000</f>
        <v>11.673914999999997</v>
      </c>
      <c r="V280" s="57">
        <f>(1000*CHOOSE(CONTROL!$C$42, 500, 500)*CHOOSE(CONTROL!$C$42, 0.275, 0.275)*CHOOSE(CONTROL!$C$42, 30, 30))/1000000</f>
        <v>4.125</v>
      </c>
      <c r="W280" s="57">
        <f>(1000*CHOOSE(CONTROL!$C$42, 0.1146, 0.1146)*CHOOSE(CONTROL!$C$42, 121.5, 121.5)*CHOOSE(CONTROL!$C$42, 30, 30))/1000000</f>
        <v>0.417717</v>
      </c>
      <c r="X280" s="57">
        <f>(30*0.1790888*245000/1000000)+(30*0.2374*100000/1000000)</f>
        <v>2.0285026799999999</v>
      </c>
      <c r="Y280" s="57"/>
      <c r="Z280" s="14"/>
      <c r="AA280" s="56"/>
      <c r="AB280" s="50">
        <f>(B280*141.293+C280*267.993+D280*115.016+E280*89.698+F280*40+G280*185+H280*0+I280*100+J280*300)/(141.293+267.993+115.016+89.698+0+40+185+100+300)</f>
        <v>13.245393470379339</v>
      </c>
      <c r="AC280" s="45">
        <f>(M280*'RAP TEMPLATE-GAS AVAILABILITY'!O279+N280*'RAP TEMPLATE-GAS AVAILABILITY'!P279+O280*'RAP TEMPLATE-GAS AVAILABILITY'!Q279+P280*'RAP TEMPLATE-GAS AVAILABILITY'!R279)/('RAP TEMPLATE-GAS AVAILABILITY'!O279+'RAP TEMPLATE-GAS AVAILABILITY'!P279+'RAP TEMPLATE-GAS AVAILABILITY'!Q279+'RAP TEMPLATE-GAS AVAILABILITY'!R279)</f>
        <v>13.017730215827338</v>
      </c>
    </row>
    <row r="281" spans="1:29" ht="15.75" x14ac:dyDescent="0.25">
      <c r="A281" s="13">
        <v>49430</v>
      </c>
      <c r="B281" s="14">
        <f>CHOOSE(CONTROL!$C$42, 13.3038, 13.3038) * CHOOSE(CONTROL!$C$21, $C$9, 100%, $E$9)</f>
        <v>13.303800000000001</v>
      </c>
      <c r="C281" s="14">
        <f>CHOOSE(CONTROL!$C$42, 13.3119, 13.3119) * CHOOSE(CONTROL!$C$21, $C$9, 100%, $E$9)</f>
        <v>13.3119</v>
      </c>
      <c r="D281" s="14">
        <f>CHOOSE(CONTROL!$C$42, 13.5325, 13.5325) * CHOOSE(CONTROL!$C$21, $C$9, 100%, $E$9)</f>
        <v>13.532500000000001</v>
      </c>
      <c r="E281" s="14">
        <f>CHOOSE(CONTROL!$C$42, 13.5639, 13.5639) * CHOOSE(CONTROL!$C$21, $C$9, 100%, $E$9)</f>
        <v>13.5639</v>
      </c>
      <c r="F281" s="14">
        <f>CHOOSE(CONTROL!$C$42, 13.3301, 13.3301)*CHOOSE(CONTROL!$C$21, $C$9, 100%, $E$9)</f>
        <v>13.3301</v>
      </c>
      <c r="G281" s="14">
        <f>CHOOSE(CONTROL!$C$42, 13.3472, 13.3472)*CHOOSE(CONTROL!$C$21, $C$9, 100%, $E$9)</f>
        <v>13.347200000000001</v>
      </c>
      <c r="H281" s="14">
        <f>CHOOSE(CONTROL!$C$42, 13.5526, 13.5526) * CHOOSE(CONTROL!$C$21, $C$9, 100%, $E$9)</f>
        <v>13.5526</v>
      </c>
      <c r="I281" s="14">
        <f>CHOOSE(CONTROL!$C$42, 13.3734, 13.3734)* CHOOSE(CONTROL!$C$21, $C$9, 100%, $E$9)</f>
        <v>13.3734</v>
      </c>
      <c r="J281" s="14">
        <f>CHOOSE(CONTROL!$C$42, 13.3231, 13.3231)* CHOOSE(CONTROL!$C$21, $C$9, 100%, $E$9)</f>
        <v>13.3231</v>
      </c>
      <c r="K281" s="53">
        <f>CHOOSE(CONTROL!$C$42, 13.3695, 13.3695) * CHOOSE(CONTROL!$C$21, $C$9, 100%, $E$9)</f>
        <v>13.3695</v>
      </c>
      <c r="L281" s="14">
        <f>CHOOSE(CONTROL!$C$42, 14.1396, 14.1396) * CHOOSE(CONTROL!$C$21, $C$9, 100%, $E$9)</f>
        <v>14.1396</v>
      </c>
      <c r="M281" s="14">
        <f>CHOOSE(CONTROL!$C$42, 13.0578, 13.0578) * CHOOSE(CONTROL!$C$21, $C$9, 100%, $E$9)</f>
        <v>13.0578</v>
      </c>
      <c r="N281" s="14">
        <f>CHOOSE(CONTROL!$C$42, 13.0746, 13.0746) * CHOOSE(CONTROL!$C$21, $C$9, 100%, $E$9)</f>
        <v>13.0746</v>
      </c>
      <c r="O281" s="14">
        <f>CHOOSE(CONTROL!$C$42, 13.2826, 13.2826) * CHOOSE(CONTROL!$C$21, $C$9, 100%, $E$9)</f>
        <v>13.2826</v>
      </c>
      <c r="P281" s="14">
        <f>CHOOSE(CONTROL!$C$42, 13.1063, 13.1063) * CHOOSE(CONTROL!$C$21, $C$9, 100%, $E$9)</f>
        <v>13.106299999999999</v>
      </c>
      <c r="Q281" s="14">
        <f>CHOOSE(CONTROL!$C$42, 13.8773, 13.8773) * CHOOSE(CONTROL!$C$21, $C$9, 100%, $E$9)</f>
        <v>13.8773</v>
      </c>
      <c r="R281" s="14">
        <f>CHOOSE(CONTROL!$C$42, 14.499, 14.499) * CHOOSE(CONTROL!$C$21, $C$9, 100%, $E$9)</f>
        <v>14.499000000000001</v>
      </c>
      <c r="S281" s="14">
        <f>CHOOSE(CONTROL!$C$42, 12.773, 12.773) * CHOOSE(CONTROL!$C$21, $C$9, 100%, $E$9)</f>
        <v>12.773</v>
      </c>
      <c r="T28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81" s="57">
        <f>(1000*CHOOSE(CONTROL!$C$42, 695, 695)*CHOOSE(CONTROL!$C$42, 0.5599, 0.5599)*CHOOSE(CONTROL!$C$42, 31, 31))/1000000</f>
        <v>12.063045499999998</v>
      </c>
      <c r="V281" s="57">
        <f>(1000*CHOOSE(CONTROL!$C$42, 500, 500)*CHOOSE(CONTROL!$C$42, 0.275, 0.275)*CHOOSE(CONTROL!$C$42, 31, 31))/1000000</f>
        <v>4.2625000000000002</v>
      </c>
      <c r="W281" s="57">
        <f>(1000*CHOOSE(CONTROL!$C$42, 0.1146, 0.1146)*CHOOSE(CONTROL!$C$42, 121.5, 121.5)*CHOOSE(CONTROL!$C$42, 31, 31))/1000000</f>
        <v>0.43164089999999994</v>
      </c>
      <c r="X281" s="57">
        <f>(31*0.1790888*245000/1000000)+(31*0.2374*100000/1000000)</f>
        <v>2.0961194359999999</v>
      </c>
      <c r="Y281" s="57"/>
      <c r="Z281" s="14"/>
      <c r="AA281" s="56"/>
      <c r="AB281" s="50">
        <f>(B281*194.205+C281*267.466+D281*133.845+E281*53.484+F281*40+G281*185+H281*0+I281*100+J281*300)/(194.205+267.466+133.845+53.484+0+40+185+100+300)</f>
        <v>13.357582585949762</v>
      </c>
      <c r="AC281" s="45">
        <f>(M281*'RAP TEMPLATE-GAS AVAILABILITY'!O280+N281*'RAP TEMPLATE-GAS AVAILABILITY'!P280+O281*'RAP TEMPLATE-GAS AVAILABILITY'!Q280+P281*'RAP TEMPLATE-GAS AVAILABILITY'!R280)/('RAP TEMPLATE-GAS AVAILABILITY'!O280+'RAP TEMPLATE-GAS AVAILABILITY'!P280+'RAP TEMPLATE-GAS AVAILABILITY'!Q280+'RAP TEMPLATE-GAS AVAILABILITY'!R280)</f>
        <v>13.131719424460432</v>
      </c>
    </row>
    <row r="282" spans="1:29" ht="15.75" x14ac:dyDescent="0.25">
      <c r="A282" s="34">
        <v>49461</v>
      </c>
      <c r="B282" s="14">
        <f>CHOOSE(CONTROL!$C$42, 13.6809, 13.6809) * CHOOSE(CONTROL!$C$21, $C$9, 100%, $E$9)</f>
        <v>13.680899999999999</v>
      </c>
      <c r="C282" s="14">
        <f>CHOOSE(CONTROL!$C$42, 13.6889, 13.6889) * CHOOSE(CONTROL!$C$21, $C$9, 100%, $E$9)</f>
        <v>13.6889</v>
      </c>
      <c r="D282" s="14">
        <f>CHOOSE(CONTROL!$C$42, 13.9095, 13.9095) * CHOOSE(CONTROL!$C$21, $C$9, 100%, $E$9)</f>
        <v>13.9095</v>
      </c>
      <c r="E282" s="14">
        <f>CHOOSE(CONTROL!$C$42, 13.941, 13.941) * CHOOSE(CONTROL!$C$21, $C$9, 100%, $E$9)</f>
        <v>13.941000000000001</v>
      </c>
      <c r="F282" s="14">
        <f>CHOOSE(CONTROL!$C$42, 13.7075, 13.7075)*CHOOSE(CONTROL!$C$21, $C$9, 100%, $E$9)</f>
        <v>13.7075</v>
      </c>
      <c r="G282" s="14">
        <f>CHOOSE(CONTROL!$C$42, 13.7247, 13.7247)*CHOOSE(CONTROL!$C$21, $C$9, 100%, $E$9)</f>
        <v>13.7247</v>
      </c>
      <c r="H282" s="14">
        <f>CHOOSE(CONTROL!$C$42, 13.9296, 13.9296) * CHOOSE(CONTROL!$C$21, $C$9, 100%, $E$9)</f>
        <v>13.929600000000001</v>
      </c>
      <c r="I282" s="14">
        <f>CHOOSE(CONTROL!$C$42, 13.7516, 13.7516)* CHOOSE(CONTROL!$C$21, $C$9, 100%, $E$9)</f>
        <v>13.7516</v>
      </c>
      <c r="J282" s="14">
        <f>CHOOSE(CONTROL!$C$42, 13.7005, 13.7005)* CHOOSE(CONTROL!$C$21, $C$9, 100%, $E$9)</f>
        <v>13.7005</v>
      </c>
      <c r="K282" s="53">
        <f>CHOOSE(CONTROL!$C$42, 13.7477, 13.7477) * CHOOSE(CONTROL!$C$21, $C$9, 100%, $E$9)</f>
        <v>13.7477</v>
      </c>
      <c r="L282" s="14">
        <f>CHOOSE(CONTROL!$C$42, 14.5166, 14.5166) * CHOOSE(CONTROL!$C$21, $C$9, 100%, $E$9)</f>
        <v>14.5166</v>
      </c>
      <c r="M282" s="14">
        <f>CHOOSE(CONTROL!$C$42, 13.4275, 13.4275) * CHOOSE(CONTROL!$C$21, $C$9, 100%, $E$9)</f>
        <v>13.4275</v>
      </c>
      <c r="N282" s="14">
        <f>CHOOSE(CONTROL!$C$42, 13.4443, 13.4443) * CHOOSE(CONTROL!$C$21, $C$9, 100%, $E$9)</f>
        <v>13.4443</v>
      </c>
      <c r="O282" s="14">
        <f>CHOOSE(CONTROL!$C$42, 13.6519, 13.6519) * CHOOSE(CONTROL!$C$21, $C$9, 100%, $E$9)</f>
        <v>13.651899999999999</v>
      </c>
      <c r="P282" s="14">
        <f>CHOOSE(CONTROL!$C$42, 13.4768, 13.4768) * CHOOSE(CONTROL!$C$21, $C$9, 100%, $E$9)</f>
        <v>13.476800000000001</v>
      </c>
      <c r="Q282" s="14">
        <f>CHOOSE(CONTROL!$C$42, 14.2466, 14.2466) * CHOOSE(CONTROL!$C$21, $C$9, 100%, $E$9)</f>
        <v>14.246600000000001</v>
      </c>
      <c r="R282" s="14">
        <f>CHOOSE(CONTROL!$C$42, 14.8692, 14.8692) * CHOOSE(CONTROL!$C$21, $C$9, 100%, $E$9)</f>
        <v>14.869199999999999</v>
      </c>
      <c r="S282" s="14">
        <f>CHOOSE(CONTROL!$C$42, 13.1353, 13.1353) * CHOOSE(CONTROL!$C$21, $C$9, 100%, $E$9)</f>
        <v>13.135300000000001</v>
      </c>
      <c r="T28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82" s="57">
        <f>(1000*CHOOSE(CONTROL!$C$42, 695, 695)*CHOOSE(CONTROL!$C$42, 0.5599, 0.5599)*CHOOSE(CONTROL!$C$42, 30, 30))/1000000</f>
        <v>11.673914999999997</v>
      </c>
      <c r="V282" s="57">
        <f>(1000*CHOOSE(CONTROL!$C$42, 500, 500)*CHOOSE(CONTROL!$C$42, 0.275, 0.275)*CHOOSE(CONTROL!$C$42, 30, 30))/1000000</f>
        <v>4.125</v>
      </c>
      <c r="W282" s="57">
        <f>(1000*CHOOSE(CONTROL!$C$42, 0.1146, 0.1146)*CHOOSE(CONTROL!$C$42, 121.5, 121.5)*CHOOSE(CONTROL!$C$42, 30, 30))/1000000</f>
        <v>0.417717</v>
      </c>
      <c r="X282" s="57">
        <f>(30*0.1790888*245000/1000000)+(30*0.2374*100000/1000000)</f>
        <v>2.0285026799999999</v>
      </c>
      <c r="Y282" s="57"/>
      <c r="Z282" s="14"/>
      <c r="AA282" s="56"/>
      <c r="AB282" s="50">
        <f>(B282*194.205+C282*267.466+D282*133.845+E282*53.484+F282*40+G282*185+H282*0+I282*100+J282*300)/(194.205+267.466+133.845+53.484+0+40+185+100+300)</f>
        <v>13.734875575667189</v>
      </c>
      <c r="AC282" s="45">
        <f>(M282*'RAP TEMPLATE-GAS AVAILABILITY'!O281+N282*'RAP TEMPLATE-GAS AVAILABILITY'!P281+O282*'RAP TEMPLATE-GAS AVAILABILITY'!Q281+P282*'RAP TEMPLATE-GAS AVAILABILITY'!R281)/('RAP TEMPLATE-GAS AVAILABILITY'!O281+'RAP TEMPLATE-GAS AVAILABILITY'!P281+'RAP TEMPLATE-GAS AVAILABILITY'!Q281+'RAP TEMPLATE-GAS AVAILABILITY'!R281)</f>
        <v>13.501422302158273</v>
      </c>
    </row>
    <row r="283" spans="1:29" ht="15.75" x14ac:dyDescent="0.25">
      <c r="A283" s="34">
        <v>49491</v>
      </c>
      <c r="B283" s="14">
        <f>CHOOSE(CONTROL!$C$42, 13.4187, 13.4187) * CHOOSE(CONTROL!$C$21, $C$9, 100%, $E$9)</f>
        <v>13.418699999999999</v>
      </c>
      <c r="C283" s="14">
        <f>CHOOSE(CONTROL!$C$42, 13.4267, 13.4267) * CHOOSE(CONTROL!$C$21, $C$9, 100%, $E$9)</f>
        <v>13.4267</v>
      </c>
      <c r="D283" s="14">
        <f>CHOOSE(CONTROL!$C$42, 13.6473, 13.6473) * CHOOSE(CONTROL!$C$21, $C$9, 100%, $E$9)</f>
        <v>13.6473</v>
      </c>
      <c r="E283" s="14">
        <f>CHOOSE(CONTROL!$C$42, 13.6787, 13.6787) * CHOOSE(CONTROL!$C$21, $C$9, 100%, $E$9)</f>
        <v>13.678699999999999</v>
      </c>
      <c r="F283" s="14">
        <f>CHOOSE(CONTROL!$C$42, 13.4457, 13.4457)*CHOOSE(CONTROL!$C$21, $C$9, 100%, $E$9)</f>
        <v>13.4457</v>
      </c>
      <c r="G283" s="14">
        <f>CHOOSE(CONTROL!$C$42, 13.4631, 13.4631)*CHOOSE(CONTROL!$C$21, $C$9, 100%, $E$9)</f>
        <v>13.463100000000001</v>
      </c>
      <c r="H283" s="14">
        <f>CHOOSE(CONTROL!$C$42, 13.6674, 13.6674) * CHOOSE(CONTROL!$C$21, $C$9, 100%, $E$9)</f>
        <v>13.667400000000001</v>
      </c>
      <c r="I283" s="14">
        <f>CHOOSE(CONTROL!$C$42, 13.4886, 13.4886)* CHOOSE(CONTROL!$C$21, $C$9, 100%, $E$9)</f>
        <v>13.4886</v>
      </c>
      <c r="J283" s="14">
        <f>CHOOSE(CONTROL!$C$42, 13.4387, 13.4387)* CHOOSE(CONTROL!$C$21, $C$9, 100%, $E$9)</f>
        <v>13.438700000000001</v>
      </c>
      <c r="K283" s="53">
        <f>CHOOSE(CONTROL!$C$42, 13.4847, 13.4847) * CHOOSE(CONTROL!$C$21, $C$9, 100%, $E$9)</f>
        <v>13.4847</v>
      </c>
      <c r="L283" s="14">
        <f>CHOOSE(CONTROL!$C$42, 14.2544, 14.2544) * CHOOSE(CONTROL!$C$21, $C$9, 100%, $E$9)</f>
        <v>14.2544</v>
      </c>
      <c r="M283" s="14">
        <f>CHOOSE(CONTROL!$C$42, 13.1711, 13.1711) * CHOOSE(CONTROL!$C$21, $C$9, 100%, $E$9)</f>
        <v>13.171099999999999</v>
      </c>
      <c r="N283" s="14">
        <f>CHOOSE(CONTROL!$C$42, 13.188, 13.188) * CHOOSE(CONTROL!$C$21, $C$9, 100%, $E$9)</f>
        <v>13.188000000000001</v>
      </c>
      <c r="O283" s="14">
        <f>CHOOSE(CONTROL!$C$42, 13.395, 13.395) * CHOOSE(CONTROL!$C$21, $C$9, 100%, $E$9)</f>
        <v>13.395</v>
      </c>
      <c r="P283" s="14">
        <f>CHOOSE(CONTROL!$C$42, 13.2191, 13.2191) * CHOOSE(CONTROL!$C$21, $C$9, 100%, $E$9)</f>
        <v>13.219099999999999</v>
      </c>
      <c r="Q283" s="14">
        <f>CHOOSE(CONTROL!$C$42, 13.9897, 13.9897) * CHOOSE(CONTROL!$C$21, $C$9, 100%, $E$9)</f>
        <v>13.989699999999999</v>
      </c>
      <c r="R283" s="14">
        <f>CHOOSE(CONTROL!$C$42, 14.6117, 14.6117) * CHOOSE(CONTROL!$C$21, $C$9, 100%, $E$9)</f>
        <v>14.611700000000001</v>
      </c>
      <c r="S283" s="14">
        <f>CHOOSE(CONTROL!$C$42, 12.8834, 12.8834) * CHOOSE(CONTROL!$C$21, $C$9, 100%, $E$9)</f>
        <v>12.8834</v>
      </c>
      <c r="T28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83" s="57">
        <f>(1000*CHOOSE(CONTROL!$C$42, 695, 695)*CHOOSE(CONTROL!$C$42, 0.5599, 0.5599)*CHOOSE(CONTROL!$C$42, 31, 31))/1000000</f>
        <v>12.063045499999998</v>
      </c>
      <c r="V283" s="57">
        <f>(1000*CHOOSE(CONTROL!$C$42, 500, 500)*CHOOSE(CONTROL!$C$42, 0.275, 0.275)*CHOOSE(CONTROL!$C$42, 31, 31))/1000000</f>
        <v>4.2625000000000002</v>
      </c>
      <c r="W283" s="57">
        <f>(1000*CHOOSE(CONTROL!$C$42, 0.1146, 0.1146)*CHOOSE(CONTROL!$C$42, 121.5, 121.5)*CHOOSE(CONTROL!$C$42, 31, 31))/1000000</f>
        <v>0.43164089999999994</v>
      </c>
      <c r="X283" s="57">
        <f>(31*0.1790888*245000/1000000)+(31*0.2374*100000/1000000)</f>
        <v>2.0961194359999999</v>
      </c>
      <c r="Y283" s="57"/>
      <c r="Z283" s="14"/>
      <c r="AA283" s="56"/>
      <c r="AB283" s="50">
        <f>(B283*194.205+C283*267.466+D283*133.845+E283*53.484+F283*40+G283*185+H283*0+I283*100+J283*300)/(194.205+267.466+133.845+53.484+0+40+185+100+300)</f>
        <v>13.472802460753531</v>
      </c>
      <c r="AC283" s="45">
        <f>(M283*'RAP TEMPLATE-GAS AVAILABILITY'!O282+N283*'RAP TEMPLATE-GAS AVAILABILITY'!P282+O283*'RAP TEMPLATE-GAS AVAILABILITY'!Q282+P283*'RAP TEMPLATE-GAS AVAILABILITY'!R282)/('RAP TEMPLATE-GAS AVAILABILITY'!O282+'RAP TEMPLATE-GAS AVAILABILITY'!P282+'RAP TEMPLATE-GAS AVAILABILITY'!Q282+'RAP TEMPLATE-GAS AVAILABILITY'!R282)</f>
        <v>13.24471798561151</v>
      </c>
    </row>
    <row r="284" spans="1:29" ht="15.75" x14ac:dyDescent="0.25">
      <c r="A284" s="34">
        <v>49522</v>
      </c>
      <c r="B284" s="14">
        <f>CHOOSE(CONTROL!$C$42, 12.7564, 12.7564) * CHOOSE(CONTROL!$C$21, $C$9, 100%, $E$9)</f>
        <v>12.756399999999999</v>
      </c>
      <c r="C284" s="14">
        <f>CHOOSE(CONTROL!$C$42, 12.7645, 12.7645) * CHOOSE(CONTROL!$C$21, $C$9, 100%, $E$9)</f>
        <v>12.7645</v>
      </c>
      <c r="D284" s="14">
        <f>CHOOSE(CONTROL!$C$42, 12.985, 12.985) * CHOOSE(CONTROL!$C$21, $C$9, 100%, $E$9)</f>
        <v>12.984999999999999</v>
      </c>
      <c r="E284" s="14">
        <f>CHOOSE(CONTROL!$C$42, 13.0165, 13.0165) * CHOOSE(CONTROL!$C$21, $C$9, 100%, $E$9)</f>
        <v>13.016500000000001</v>
      </c>
      <c r="F284" s="14">
        <f>CHOOSE(CONTROL!$C$42, 12.7838, 12.7838)*CHOOSE(CONTROL!$C$21, $C$9, 100%, $E$9)</f>
        <v>12.783799999999999</v>
      </c>
      <c r="G284" s="14">
        <f>CHOOSE(CONTROL!$C$42, 12.8012, 12.8012)*CHOOSE(CONTROL!$C$21, $C$9, 100%, $E$9)</f>
        <v>12.8012</v>
      </c>
      <c r="H284" s="14">
        <f>CHOOSE(CONTROL!$C$42, 13.0051, 13.0051) * CHOOSE(CONTROL!$C$21, $C$9, 100%, $E$9)</f>
        <v>13.005100000000001</v>
      </c>
      <c r="I284" s="14">
        <f>CHOOSE(CONTROL!$C$42, 12.8243, 12.8243)* CHOOSE(CONTROL!$C$21, $C$9, 100%, $E$9)</f>
        <v>12.824299999999999</v>
      </c>
      <c r="J284" s="14">
        <f>CHOOSE(CONTROL!$C$42, 12.7768, 12.7768)* CHOOSE(CONTROL!$C$21, $C$9, 100%, $E$9)</f>
        <v>12.7768</v>
      </c>
      <c r="K284" s="53">
        <f>CHOOSE(CONTROL!$C$42, 12.8204, 12.8204) * CHOOSE(CONTROL!$C$21, $C$9, 100%, $E$9)</f>
        <v>12.820399999999999</v>
      </c>
      <c r="L284" s="14">
        <f>CHOOSE(CONTROL!$C$42, 13.5921, 13.5921) * CHOOSE(CONTROL!$C$21, $C$9, 100%, $E$9)</f>
        <v>13.5921</v>
      </c>
      <c r="M284" s="14">
        <f>CHOOSE(CONTROL!$C$42, 12.5227, 12.5227) * CHOOSE(CONTROL!$C$21, $C$9, 100%, $E$9)</f>
        <v>12.5227</v>
      </c>
      <c r="N284" s="14">
        <f>CHOOSE(CONTROL!$C$42, 12.5397, 12.5397) * CHOOSE(CONTROL!$C$21, $C$9, 100%, $E$9)</f>
        <v>12.5397</v>
      </c>
      <c r="O284" s="14">
        <f>CHOOSE(CONTROL!$C$42, 12.7464, 12.7464) * CHOOSE(CONTROL!$C$21, $C$9, 100%, $E$9)</f>
        <v>12.7464</v>
      </c>
      <c r="P284" s="14">
        <f>CHOOSE(CONTROL!$C$42, 12.5685, 12.5685) * CHOOSE(CONTROL!$C$21, $C$9, 100%, $E$9)</f>
        <v>12.5685</v>
      </c>
      <c r="Q284" s="14">
        <f>CHOOSE(CONTROL!$C$42, 13.3411, 13.3411) * CHOOSE(CONTROL!$C$21, $C$9, 100%, $E$9)</f>
        <v>13.341100000000001</v>
      </c>
      <c r="R284" s="14">
        <f>CHOOSE(CONTROL!$C$42, 13.9614, 13.9614) * CHOOSE(CONTROL!$C$21, $C$9, 100%, $E$9)</f>
        <v>13.961399999999999</v>
      </c>
      <c r="S284" s="14">
        <f>CHOOSE(CONTROL!$C$42, 12.247, 12.247) * CHOOSE(CONTROL!$C$21, $C$9, 100%, $E$9)</f>
        <v>12.247</v>
      </c>
      <c r="T28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84" s="57">
        <f>(1000*CHOOSE(CONTROL!$C$42, 695, 695)*CHOOSE(CONTROL!$C$42, 0.5599, 0.5599)*CHOOSE(CONTROL!$C$42, 31, 31))/1000000</f>
        <v>12.063045499999998</v>
      </c>
      <c r="V284" s="57">
        <f>(1000*CHOOSE(CONTROL!$C$42, 500, 500)*CHOOSE(CONTROL!$C$42, 0.275, 0.275)*CHOOSE(CONTROL!$C$42, 31, 31))/1000000</f>
        <v>4.2625000000000002</v>
      </c>
      <c r="W284" s="57">
        <f>(1000*CHOOSE(CONTROL!$C$42, 0.1146, 0.1146)*CHOOSE(CONTROL!$C$42, 121.5, 121.5)*CHOOSE(CONTROL!$C$42, 31, 31))/1000000</f>
        <v>0.43164089999999994</v>
      </c>
      <c r="X284" s="57">
        <f>(31*0.1790888*245000/1000000)+(31*0.2374*100000/1000000)</f>
        <v>2.0961194359999999</v>
      </c>
      <c r="Y284" s="57"/>
      <c r="Z284" s="14"/>
      <c r="AA284" s="56"/>
      <c r="AB284" s="50">
        <f>(B284*194.205+C284*267.466+D284*133.845+E284*53.484+F284*40+G284*185+H284*0+I284*100+J284*300)/(194.205+267.466+133.845+53.484+0+40+185+100+300)</f>
        <v>12.810535502354789</v>
      </c>
      <c r="AC284" s="45">
        <f>(M284*'RAP TEMPLATE-GAS AVAILABILITY'!O283+N284*'RAP TEMPLATE-GAS AVAILABILITY'!P283+O284*'RAP TEMPLATE-GAS AVAILABILITY'!Q283+P284*'RAP TEMPLATE-GAS AVAILABILITY'!R283)/('RAP TEMPLATE-GAS AVAILABILITY'!O283+'RAP TEMPLATE-GAS AVAILABILITY'!P283+'RAP TEMPLATE-GAS AVAILABILITY'!Q283+'RAP TEMPLATE-GAS AVAILABILITY'!R283)</f>
        <v>12.595968345323742</v>
      </c>
    </row>
    <row r="285" spans="1:29" ht="15.75" x14ac:dyDescent="0.25">
      <c r="A285" s="34">
        <v>49553</v>
      </c>
      <c r="B285" s="14">
        <f>CHOOSE(CONTROL!$C$42, 11.9471, 11.9471) * CHOOSE(CONTROL!$C$21, $C$9, 100%, $E$9)</f>
        <v>11.947100000000001</v>
      </c>
      <c r="C285" s="14">
        <f>CHOOSE(CONTROL!$C$42, 11.9551, 11.9551) * CHOOSE(CONTROL!$C$21, $C$9, 100%, $E$9)</f>
        <v>11.9551</v>
      </c>
      <c r="D285" s="14">
        <f>CHOOSE(CONTROL!$C$42, 12.1757, 12.1757) * CHOOSE(CONTROL!$C$21, $C$9, 100%, $E$9)</f>
        <v>12.175700000000001</v>
      </c>
      <c r="E285" s="14">
        <f>CHOOSE(CONTROL!$C$42, 12.2072, 12.2072) * CHOOSE(CONTROL!$C$21, $C$9, 100%, $E$9)</f>
        <v>12.2072</v>
      </c>
      <c r="F285" s="14">
        <f>CHOOSE(CONTROL!$C$42, 11.9744, 11.9744)*CHOOSE(CONTROL!$C$21, $C$9, 100%, $E$9)</f>
        <v>11.974399999999999</v>
      </c>
      <c r="G285" s="14">
        <f>CHOOSE(CONTROL!$C$42, 11.9918, 11.9918)*CHOOSE(CONTROL!$C$21, $C$9, 100%, $E$9)</f>
        <v>11.9918</v>
      </c>
      <c r="H285" s="14">
        <f>CHOOSE(CONTROL!$C$42, 12.1958, 12.1958) * CHOOSE(CONTROL!$C$21, $C$9, 100%, $E$9)</f>
        <v>12.1958</v>
      </c>
      <c r="I285" s="14">
        <f>CHOOSE(CONTROL!$C$42, 12.0124, 12.0124)* CHOOSE(CONTROL!$C$21, $C$9, 100%, $E$9)</f>
        <v>12.0124</v>
      </c>
      <c r="J285" s="14">
        <f>CHOOSE(CONTROL!$C$42, 11.9674, 11.9674)* CHOOSE(CONTROL!$C$21, $C$9, 100%, $E$9)</f>
        <v>11.9674</v>
      </c>
      <c r="K285" s="53">
        <f>CHOOSE(CONTROL!$C$42, 12.0085, 12.0085) * CHOOSE(CONTROL!$C$21, $C$9, 100%, $E$9)</f>
        <v>12.0085</v>
      </c>
      <c r="L285" s="14">
        <f>CHOOSE(CONTROL!$C$42, 12.7828, 12.7828) * CHOOSE(CONTROL!$C$21, $C$9, 100%, $E$9)</f>
        <v>12.7828</v>
      </c>
      <c r="M285" s="14">
        <f>CHOOSE(CONTROL!$C$42, 11.7299, 11.7299) * CHOOSE(CONTROL!$C$21, $C$9, 100%, $E$9)</f>
        <v>11.729900000000001</v>
      </c>
      <c r="N285" s="14">
        <f>CHOOSE(CONTROL!$C$42, 11.747, 11.747) * CHOOSE(CONTROL!$C$21, $C$9, 100%, $E$9)</f>
        <v>11.747</v>
      </c>
      <c r="O285" s="14">
        <f>CHOOSE(CONTROL!$C$42, 11.9536, 11.9536) * CHOOSE(CONTROL!$C$21, $C$9, 100%, $E$9)</f>
        <v>11.9536</v>
      </c>
      <c r="P285" s="14">
        <f>CHOOSE(CONTROL!$C$42, 11.7733, 11.7733) * CHOOSE(CONTROL!$C$21, $C$9, 100%, $E$9)</f>
        <v>11.773300000000001</v>
      </c>
      <c r="Q285" s="14">
        <f>CHOOSE(CONTROL!$C$42, 12.5483, 12.5483) * CHOOSE(CONTROL!$C$21, $C$9, 100%, $E$9)</f>
        <v>12.548299999999999</v>
      </c>
      <c r="R285" s="14">
        <f>CHOOSE(CONTROL!$C$42, 13.1667, 13.1667) * CHOOSE(CONTROL!$C$21, $C$9, 100%, $E$9)</f>
        <v>13.166700000000001</v>
      </c>
      <c r="S285" s="14">
        <f>CHOOSE(CONTROL!$C$42, 11.4693, 11.4693) * CHOOSE(CONTROL!$C$21, $C$9, 100%, $E$9)</f>
        <v>11.4693</v>
      </c>
      <c r="T28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85" s="57">
        <f>(1000*CHOOSE(CONTROL!$C$42, 695, 695)*CHOOSE(CONTROL!$C$42, 0.5599, 0.5599)*CHOOSE(CONTROL!$C$42, 30, 30))/1000000</f>
        <v>11.673914999999997</v>
      </c>
      <c r="V285" s="57">
        <f>(1000*CHOOSE(CONTROL!$C$42, 500, 500)*CHOOSE(CONTROL!$C$42, 0.275, 0.275)*CHOOSE(CONTROL!$C$42, 30, 30))/1000000</f>
        <v>4.125</v>
      </c>
      <c r="W285" s="57">
        <f>(1000*CHOOSE(CONTROL!$C$42, 0.1146, 0.1146)*CHOOSE(CONTROL!$C$42, 121.5, 121.5)*CHOOSE(CONTROL!$C$42, 30, 30))/1000000</f>
        <v>0.417717</v>
      </c>
      <c r="X285" s="57">
        <f>(30*0.1790888*245000/1000000)+(30*0.2374*100000/1000000)</f>
        <v>2.0285026799999999</v>
      </c>
      <c r="Y285" s="57"/>
      <c r="Z285" s="14"/>
      <c r="AA285" s="56"/>
      <c r="AB285" s="50">
        <f>(B285*194.205+C285*267.466+D285*133.845+E285*53.484+F285*40+G285*185+H285*0+I285*100+J285*300)/(194.205+267.466+133.845+53.484+0+40+185+100+300)</f>
        <v>12.000969217739403</v>
      </c>
      <c r="AC285" s="45">
        <f>(M285*'RAP TEMPLATE-GAS AVAILABILITY'!O284+N285*'RAP TEMPLATE-GAS AVAILABILITY'!P284+O285*'RAP TEMPLATE-GAS AVAILABILITY'!Q284+P285*'RAP TEMPLATE-GAS AVAILABILITY'!R284)/('RAP TEMPLATE-GAS AVAILABILITY'!O284+'RAP TEMPLATE-GAS AVAILABILITY'!P284+'RAP TEMPLATE-GAS AVAILABILITY'!Q284+'RAP TEMPLATE-GAS AVAILABILITY'!R284)</f>
        <v>11.802846043165466</v>
      </c>
    </row>
    <row r="286" spans="1:29" ht="15.75" x14ac:dyDescent="0.25">
      <c r="A286" s="34">
        <v>49583</v>
      </c>
      <c r="B286" s="14">
        <f>CHOOSE(CONTROL!$C$42, 11.703, 11.703) * CHOOSE(CONTROL!$C$21, $C$9, 100%, $E$9)</f>
        <v>11.702999999999999</v>
      </c>
      <c r="C286" s="14">
        <f>CHOOSE(CONTROL!$C$42, 11.7083, 11.7083) * CHOOSE(CONTROL!$C$21, $C$9, 100%, $E$9)</f>
        <v>11.708299999999999</v>
      </c>
      <c r="D286" s="14">
        <f>CHOOSE(CONTROL!$C$42, 11.9339, 11.9339) * CHOOSE(CONTROL!$C$21, $C$9, 100%, $E$9)</f>
        <v>11.9339</v>
      </c>
      <c r="E286" s="14">
        <f>CHOOSE(CONTROL!$C$42, 11.963, 11.963) * CHOOSE(CONTROL!$C$21, $C$9, 100%, $E$9)</f>
        <v>11.962999999999999</v>
      </c>
      <c r="F286" s="14">
        <f>CHOOSE(CONTROL!$C$42, 11.7324, 11.7324)*CHOOSE(CONTROL!$C$21, $C$9, 100%, $E$9)</f>
        <v>11.7324</v>
      </c>
      <c r="G286" s="14">
        <f>CHOOSE(CONTROL!$C$42, 11.7496, 11.7496)*CHOOSE(CONTROL!$C$21, $C$9, 100%, $E$9)</f>
        <v>11.749599999999999</v>
      </c>
      <c r="H286" s="14">
        <f>CHOOSE(CONTROL!$C$42, 11.9535, 11.9535) * CHOOSE(CONTROL!$C$21, $C$9, 100%, $E$9)</f>
        <v>11.9535</v>
      </c>
      <c r="I286" s="14">
        <f>CHOOSE(CONTROL!$C$42, 11.7693, 11.7693)* CHOOSE(CONTROL!$C$21, $C$9, 100%, $E$9)</f>
        <v>11.769299999999999</v>
      </c>
      <c r="J286" s="14">
        <f>CHOOSE(CONTROL!$C$42, 11.7254, 11.7254)* CHOOSE(CONTROL!$C$21, $C$9, 100%, $E$9)</f>
        <v>11.7254</v>
      </c>
      <c r="K286" s="53">
        <f>CHOOSE(CONTROL!$C$42, 11.7654, 11.7654) * CHOOSE(CONTROL!$C$21, $C$9, 100%, $E$9)</f>
        <v>11.7654</v>
      </c>
      <c r="L286" s="14">
        <f>CHOOSE(CONTROL!$C$42, 12.5405, 12.5405) * CHOOSE(CONTROL!$C$21, $C$9, 100%, $E$9)</f>
        <v>12.5405</v>
      </c>
      <c r="M286" s="14">
        <f>CHOOSE(CONTROL!$C$42, 11.4928, 11.4928) * CHOOSE(CONTROL!$C$21, $C$9, 100%, $E$9)</f>
        <v>11.492800000000001</v>
      </c>
      <c r="N286" s="14">
        <f>CHOOSE(CONTROL!$C$42, 11.5097, 11.5097) * CHOOSE(CONTROL!$C$21, $C$9, 100%, $E$9)</f>
        <v>11.5097</v>
      </c>
      <c r="O286" s="14">
        <f>CHOOSE(CONTROL!$C$42, 11.7162, 11.7162) * CHOOSE(CONTROL!$C$21, $C$9, 100%, $E$9)</f>
        <v>11.716200000000001</v>
      </c>
      <c r="P286" s="14">
        <f>CHOOSE(CONTROL!$C$42, 11.5352, 11.5352) * CHOOSE(CONTROL!$C$21, $C$9, 100%, $E$9)</f>
        <v>11.5352</v>
      </c>
      <c r="Q286" s="14">
        <f>CHOOSE(CONTROL!$C$42, 12.3109, 12.3109) * CHOOSE(CONTROL!$C$21, $C$9, 100%, $E$9)</f>
        <v>12.3109</v>
      </c>
      <c r="R286" s="14">
        <f>CHOOSE(CONTROL!$C$42, 12.9287, 12.9287) * CHOOSE(CONTROL!$C$21, $C$9, 100%, $E$9)</f>
        <v>12.928699999999999</v>
      </c>
      <c r="S286" s="14">
        <f>CHOOSE(CONTROL!$C$42, 11.2365, 11.2365) * CHOOSE(CONTROL!$C$21, $C$9, 100%, $E$9)</f>
        <v>11.236499999999999</v>
      </c>
      <c r="T28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86" s="57">
        <f>(1000*CHOOSE(CONTROL!$C$42, 695, 695)*CHOOSE(CONTROL!$C$42, 0.5599, 0.5599)*CHOOSE(CONTROL!$C$42, 31, 31))/1000000</f>
        <v>12.063045499999998</v>
      </c>
      <c r="V286" s="57">
        <f>(1000*CHOOSE(CONTROL!$C$42, 500, 500)*CHOOSE(CONTROL!$C$42, 0.275, 0.275)*CHOOSE(CONTROL!$C$42, 31, 31))/1000000</f>
        <v>4.2625000000000002</v>
      </c>
      <c r="W286" s="57">
        <f>(1000*CHOOSE(CONTROL!$C$42, 0.1146, 0.1146)*CHOOSE(CONTROL!$C$42, 121.5, 121.5)*CHOOSE(CONTROL!$C$42, 31, 31))/1000000</f>
        <v>0.43164089999999994</v>
      </c>
      <c r="X286" s="57">
        <f>(31*0.1790888*245000/1000000)+(31*0.2374*100000/1000000)</f>
        <v>2.0961194359999999</v>
      </c>
      <c r="Y286" s="57"/>
      <c r="Z286" s="14"/>
      <c r="AA286" s="56"/>
      <c r="AB286" s="50">
        <f>(B286*131.881+C286*277.167+D286*79.08+E286*125.872+F286*40+G286*185+H286*0+I286*100+J286*300)/(131.881+277.167+79.08+125.872+0+40+185+100+300)</f>
        <v>11.76401878700565</v>
      </c>
      <c r="AC286" s="45">
        <f>(M286*'RAP TEMPLATE-GAS AVAILABILITY'!O285+N286*'RAP TEMPLATE-GAS AVAILABILITY'!P285+O286*'RAP TEMPLATE-GAS AVAILABILITY'!Q285+P286*'RAP TEMPLATE-GAS AVAILABILITY'!R285)/('RAP TEMPLATE-GAS AVAILABILITY'!O285+'RAP TEMPLATE-GAS AVAILABILITY'!P285+'RAP TEMPLATE-GAS AVAILABILITY'!Q285+'RAP TEMPLATE-GAS AVAILABILITY'!R285)</f>
        <v>11.565471942446043</v>
      </c>
    </row>
    <row r="287" spans="1:29" ht="15.75" x14ac:dyDescent="0.25">
      <c r="A287" s="34">
        <v>49614</v>
      </c>
      <c r="B287" s="14">
        <f>CHOOSE(CONTROL!$C$42, 12.0106, 12.0106) * CHOOSE(CONTROL!$C$21, $C$9, 100%, $E$9)</f>
        <v>12.0106</v>
      </c>
      <c r="C287" s="14">
        <f>CHOOSE(CONTROL!$C$42, 12.0157, 12.0157) * CHOOSE(CONTROL!$C$21, $C$9, 100%, $E$9)</f>
        <v>12.015700000000001</v>
      </c>
      <c r="D287" s="14">
        <f>CHOOSE(CONTROL!$C$42, 12.0899, 12.0899) * CHOOSE(CONTROL!$C$21, $C$9, 100%, $E$9)</f>
        <v>12.0899</v>
      </c>
      <c r="E287" s="14">
        <f>CHOOSE(CONTROL!$C$42, 12.124, 12.124) * CHOOSE(CONTROL!$C$21, $C$9, 100%, $E$9)</f>
        <v>12.124000000000001</v>
      </c>
      <c r="F287" s="14">
        <f>CHOOSE(CONTROL!$C$42, 12.0467, 12.0467)*CHOOSE(CONTROL!$C$21, $C$9, 100%, $E$9)</f>
        <v>12.0467</v>
      </c>
      <c r="G287" s="14">
        <f>CHOOSE(CONTROL!$C$42, 12.0642, 12.0642)*CHOOSE(CONTROL!$C$21, $C$9, 100%, $E$9)</f>
        <v>12.0642</v>
      </c>
      <c r="H287" s="14">
        <f>CHOOSE(CONTROL!$C$42, 12.1132, 12.1132) * CHOOSE(CONTROL!$C$21, $C$9, 100%, $E$9)</f>
        <v>12.113200000000001</v>
      </c>
      <c r="I287" s="14">
        <f>CHOOSE(CONTROL!$C$42, 12.0757, 12.0757)* CHOOSE(CONTROL!$C$21, $C$9, 100%, $E$9)</f>
        <v>12.075699999999999</v>
      </c>
      <c r="J287" s="14">
        <f>CHOOSE(CONTROL!$C$42, 12.0397, 12.0397)* CHOOSE(CONTROL!$C$21, $C$9, 100%, $E$9)</f>
        <v>12.0397</v>
      </c>
      <c r="K287" s="53">
        <f>CHOOSE(CONTROL!$C$42, 12.0718, 12.0718) * CHOOSE(CONTROL!$C$21, $C$9, 100%, $E$9)</f>
        <v>12.0718</v>
      </c>
      <c r="L287" s="14">
        <f>CHOOSE(CONTROL!$C$42, 12.7002, 12.7002) * CHOOSE(CONTROL!$C$21, $C$9, 100%, $E$9)</f>
        <v>12.700200000000001</v>
      </c>
      <c r="M287" s="14">
        <f>CHOOSE(CONTROL!$C$42, 11.8007, 11.8007) * CHOOSE(CONTROL!$C$21, $C$9, 100%, $E$9)</f>
        <v>11.800700000000001</v>
      </c>
      <c r="N287" s="14">
        <f>CHOOSE(CONTROL!$C$42, 11.8178, 11.8178) * CHOOSE(CONTROL!$C$21, $C$9, 100%, $E$9)</f>
        <v>11.8178</v>
      </c>
      <c r="O287" s="14">
        <f>CHOOSE(CONTROL!$C$42, 11.8727, 11.8727) * CHOOSE(CONTROL!$C$21, $C$9, 100%, $E$9)</f>
        <v>11.8727</v>
      </c>
      <c r="P287" s="14">
        <f>CHOOSE(CONTROL!$C$42, 11.8353, 11.8353) * CHOOSE(CONTROL!$C$21, $C$9, 100%, $E$9)</f>
        <v>11.8353</v>
      </c>
      <c r="Q287" s="14">
        <f>CHOOSE(CONTROL!$C$42, 12.4674, 12.4674) * CHOOSE(CONTROL!$C$21, $C$9, 100%, $E$9)</f>
        <v>12.4674</v>
      </c>
      <c r="R287" s="14">
        <f>CHOOSE(CONTROL!$C$42, 13.0856, 13.0856) * CHOOSE(CONTROL!$C$21, $C$9, 100%, $E$9)</f>
        <v>13.085599999999999</v>
      </c>
      <c r="S287" s="14">
        <f>CHOOSE(CONTROL!$C$42, 11.5325, 11.5325) * CHOOSE(CONTROL!$C$21, $C$9, 100%, $E$9)</f>
        <v>11.532500000000001</v>
      </c>
      <c r="T28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87" s="57">
        <f>(1000*CHOOSE(CONTROL!$C$42, 695, 695)*CHOOSE(CONTROL!$C$42, 0.5599, 0.5599)*CHOOSE(CONTROL!$C$42, 30, 30))/1000000</f>
        <v>11.673914999999997</v>
      </c>
      <c r="V287" s="57">
        <f>(1000*CHOOSE(CONTROL!$C$42, 500, 500)*CHOOSE(CONTROL!$C$42, 0.275, 0.275)*CHOOSE(CONTROL!$C$42, 30, 30))/1000000</f>
        <v>4.125</v>
      </c>
      <c r="W287" s="57">
        <f>(1000*CHOOSE(CONTROL!$C$42, 0.1146, 0.1146)*CHOOSE(CONTROL!$C$42, 121.5, 121.5)*CHOOSE(CONTROL!$C$42, 30, 30))/1000000</f>
        <v>0.417717</v>
      </c>
      <c r="X287" s="57">
        <f>(30*0.1790888*100000/1000000)+(30*0.2374*100000/1000000)</f>
        <v>1.2494664</v>
      </c>
      <c r="Y287" s="57"/>
      <c r="Z287" s="14"/>
      <c r="AA287" s="56"/>
      <c r="AB287" s="50">
        <f>(B287*122.58+C287*297.941+D287*89.177+E287*40.302+F287*40+G287*160+H287*0+I287*100+J287*300)/(122.58+297.941+89.177+40.302+0+40+160+100+300)</f>
        <v>12.044009984347825</v>
      </c>
      <c r="AC287" s="45">
        <f>(M287*'RAP TEMPLATE-GAS AVAILABILITY'!O286+N287*'RAP TEMPLATE-GAS AVAILABILITY'!P286+O287*'RAP TEMPLATE-GAS AVAILABILITY'!Q286+P287*'RAP TEMPLATE-GAS AVAILABILITY'!R286)/('RAP TEMPLATE-GAS AVAILABILITY'!O286+'RAP TEMPLATE-GAS AVAILABILITY'!P286+'RAP TEMPLATE-GAS AVAILABILITY'!Q286+'RAP TEMPLATE-GAS AVAILABILITY'!R286)</f>
        <v>11.839295683453239</v>
      </c>
    </row>
    <row r="288" spans="1:29" ht="15.75" x14ac:dyDescent="0.25">
      <c r="A288" s="34">
        <v>49644</v>
      </c>
      <c r="B288" s="14">
        <f>CHOOSE(CONTROL!$C$42, 12.8288, 12.8288) * CHOOSE(CONTROL!$C$21, $C$9, 100%, $E$9)</f>
        <v>12.828799999999999</v>
      </c>
      <c r="C288" s="14">
        <f>CHOOSE(CONTROL!$C$42, 12.8339, 12.8339) * CHOOSE(CONTROL!$C$21, $C$9, 100%, $E$9)</f>
        <v>12.8339</v>
      </c>
      <c r="D288" s="14">
        <f>CHOOSE(CONTROL!$C$42, 12.9081, 12.9081) * CHOOSE(CONTROL!$C$21, $C$9, 100%, $E$9)</f>
        <v>12.908099999999999</v>
      </c>
      <c r="E288" s="14">
        <f>CHOOSE(CONTROL!$C$42, 12.9422, 12.9422) * CHOOSE(CONTROL!$C$21, $C$9, 100%, $E$9)</f>
        <v>12.9422</v>
      </c>
      <c r="F288" s="14">
        <f>CHOOSE(CONTROL!$C$42, 12.8673, 12.8673)*CHOOSE(CONTROL!$C$21, $C$9, 100%, $E$9)</f>
        <v>12.8673</v>
      </c>
      <c r="G288" s="14">
        <f>CHOOSE(CONTROL!$C$42, 12.8854, 12.8854)*CHOOSE(CONTROL!$C$21, $C$9, 100%, $E$9)</f>
        <v>12.885400000000001</v>
      </c>
      <c r="H288" s="14">
        <f>CHOOSE(CONTROL!$C$42, 12.9314, 12.9314) * CHOOSE(CONTROL!$C$21, $C$9, 100%, $E$9)</f>
        <v>12.9314</v>
      </c>
      <c r="I288" s="14">
        <f>CHOOSE(CONTROL!$C$42, 12.8965, 12.8965)* CHOOSE(CONTROL!$C$21, $C$9, 100%, $E$9)</f>
        <v>12.8965</v>
      </c>
      <c r="J288" s="14">
        <f>CHOOSE(CONTROL!$C$42, 12.8603, 12.8603)* CHOOSE(CONTROL!$C$21, $C$9, 100%, $E$9)</f>
        <v>12.860300000000001</v>
      </c>
      <c r="K288" s="53">
        <f>CHOOSE(CONTROL!$C$42, 12.8926, 12.8926) * CHOOSE(CONTROL!$C$21, $C$9, 100%, $E$9)</f>
        <v>12.8926</v>
      </c>
      <c r="L288" s="14">
        <f>CHOOSE(CONTROL!$C$42, 13.5184, 13.5184) * CHOOSE(CONTROL!$C$21, $C$9, 100%, $E$9)</f>
        <v>13.5184</v>
      </c>
      <c r="M288" s="14">
        <f>CHOOSE(CONTROL!$C$42, 12.6044, 12.6044) * CHOOSE(CONTROL!$C$21, $C$9, 100%, $E$9)</f>
        <v>12.6044</v>
      </c>
      <c r="N288" s="14">
        <f>CHOOSE(CONTROL!$C$42, 12.6222, 12.6222) * CHOOSE(CONTROL!$C$21, $C$9, 100%, $E$9)</f>
        <v>12.622199999999999</v>
      </c>
      <c r="O288" s="14">
        <f>CHOOSE(CONTROL!$C$42, 12.6742, 12.6742) * CHOOSE(CONTROL!$C$21, $C$9, 100%, $E$9)</f>
        <v>12.674200000000001</v>
      </c>
      <c r="P288" s="14">
        <f>CHOOSE(CONTROL!$C$42, 12.6392, 12.6392) * CHOOSE(CONTROL!$C$21, $C$9, 100%, $E$9)</f>
        <v>12.639200000000001</v>
      </c>
      <c r="Q288" s="14">
        <f>CHOOSE(CONTROL!$C$42, 13.2689, 13.2689) * CHOOSE(CONTROL!$C$21, $C$9, 100%, $E$9)</f>
        <v>13.2689</v>
      </c>
      <c r="R288" s="14">
        <f>CHOOSE(CONTROL!$C$42, 13.889, 13.889) * CHOOSE(CONTROL!$C$21, $C$9, 100%, $E$9)</f>
        <v>13.888999999999999</v>
      </c>
      <c r="S288" s="14">
        <f>CHOOSE(CONTROL!$C$42, 12.3187, 12.3187) * CHOOSE(CONTROL!$C$21, $C$9, 100%, $E$9)</f>
        <v>12.3187</v>
      </c>
      <c r="T28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88" s="57">
        <f>(1000*CHOOSE(CONTROL!$C$42, 695, 695)*CHOOSE(CONTROL!$C$42, 0.5599, 0.5599)*CHOOSE(CONTROL!$C$42, 31, 31))/1000000</f>
        <v>12.063045499999998</v>
      </c>
      <c r="V288" s="57">
        <f>(1000*CHOOSE(CONTROL!$C$42, 500, 500)*CHOOSE(CONTROL!$C$42, 0.275, 0.275)*CHOOSE(CONTROL!$C$42, 31, 31))/1000000</f>
        <v>4.2625000000000002</v>
      </c>
      <c r="W288" s="57">
        <f>(1000*CHOOSE(CONTROL!$C$42, 0.1146, 0.1146)*CHOOSE(CONTROL!$C$42, 121.5, 121.5)*CHOOSE(CONTROL!$C$42, 31, 31))/1000000</f>
        <v>0.43164089999999994</v>
      </c>
      <c r="X288" s="57">
        <f>(31*0.1790888*100000/1000000)+(31*0.2374*100000/1000000)</f>
        <v>1.2911152800000001</v>
      </c>
      <c r="Y288" s="57"/>
      <c r="Z288" s="14"/>
      <c r="AA288" s="56"/>
      <c r="AB288" s="50">
        <f>(B288*122.58+C288*297.941+D288*89.177+E288*40.302+F288*40+G288*160+H288*0+I288*100+J288*300)/(122.58+297.941+89.177+40.302+0+40+160+100+300)</f>
        <v>12.863563027826086</v>
      </c>
      <c r="AC288" s="45">
        <f>(M288*'RAP TEMPLATE-GAS AVAILABILITY'!O287+N288*'RAP TEMPLATE-GAS AVAILABILITY'!P287+O288*'RAP TEMPLATE-GAS AVAILABILITY'!Q287+P288*'RAP TEMPLATE-GAS AVAILABILITY'!R287)/('RAP TEMPLATE-GAS AVAILABILITY'!O287+'RAP TEMPLATE-GAS AVAILABILITY'!P287+'RAP TEMPLATE-GAS AVAILABILITY'!Q287+'RAP TEMPLATE-GAS AVAILABILITY'!R287)</f>
        <v>12.642067625899282</v>
      </c>
    </row>
    <row r="289" spans="1:29" ht="15.75" x14ac:dyDescent="0.25">
      <c r="A289" s="34">
        <v>49675</v>
      </c>
      <c r="B289" s="14">
        <f>CHOOSE(CONTROL!$C$42, 13.8916, 13.8916) * CHOOSE(CONTROL!$C$21, $C$9, 100%, $E$9)</f>
        <v>13.8916</v>
      </c>
      <c r="C289" s="14">
        <f>CHOOSE(CONTROL!$C$42, 13.8966, 13.8966) * CHOOSE(CONTROL!$C$21, $C$9, 100%, $E$9)</f>
        <v>13.896599999999999</v>
      </c>
      <c r="D289" s="14">
        <f>CHOOSE(CONTROL!$C$42, 13.9735, 13.9735) * CHOOSE(CONTROL!$C$21, $C$9, 100%, $E$9)</f>
        <v>13.9735</v>
      </c>
      <c r="E289" s="14">
        <f>CHOOSE(CONTROL!$C$42, 14.0076, 14.0076) * CHOOSE(CONTROL!$C$21, $C$9, 100%, $E$9)</f>
        <v>14.0076</v>
      </c>
      <c r="F289" s="14">
        <f>CHOOSE(CONTROL!$C$42, 13.9163, 13.9163)*CHOOSE(CONTROL!$C$21, $C$9, 100%, $E$9)</f>
        <v>13.9163</v>
      </c>
      <c r="G289" s="14">
        <f>CHOOSE(CONTROL!$C$42, 13.9343, 13.9343)*CHOOSE(CONTROL!$C$21, $C$9, 100%, $E$9)</f>
        <v>13.9343</v>
      </c>
      <c r="H289" s="14">
        <f>CHOOSE(CONTROL!$C$42, 13.9968, 13.9968) * CHOOSE(CONTROL!$C$21, $C$9, 100%, $E$9)</f>
        <v>13.9968</v>
      </c>
      <c r="I289" s="14">
        <f>CHOOSE(CONTROL!$C$42, 13.9688, 13.9688)* CHOOSE(CONTROL!$C$21, $C$9, 100%, $E$9)</f>
        <v>13.9688</v>
      </c>
      <c r="J289" s="14">
        <f>CHOOSE(CONTROL!$C$42, 13.9093, 13.9093)* CHOOSE(CONTROL!$C$21, $C$9, 100%, $E$9)</f>
        <v>13.9093</v>
      </c>
      <c r="K289" s="53">
        <f>CHOOSE(CONTROL!$C$42, 13.9649, 13.9649) * CHOOSE(CONTROL!$C$21, $C$9, 100%, $E$9)</f>
        <v>13.9649</v>
      </c>
      <c r="L289" s="14">
        <f>CHOOSE(CONTROL!$C$42, 14.5838, 14.5838) * CHOOSE(CONTROL!$C$21, $C$9, 100%, $E$9)</f>
        <v>14.5838</v>
      </c>
      <c r="M289" s="14">
        <f>CHOOSE(CONTROL!$C$42, 13.632, 13.632) * CHOOSE(CONTROL!$C$21, $C$9, 100%, $E$9)</f>
        <v>13.632</v>
      </c>
      <c r="N289" s="14">
        <f>CHOOSE(CONTROL!$C$42, 13.6496, 13.6496) * CHOOSE(CONTROL!$C$21, $C$9, 100%, $E$9)</f>
        <v>13.6496</v>
      </c>
      <c r="O289" s="14">
        <f>CHOOSE(CONTROL!$C$42, 13.7177, 13.7177) * CHOOSE(CONTROL!$C$21, $C$9, 100%, $E$9)</f>
        <v>13.717700000000001</v>
      </c>
      <c r="P289" s="14">
        <f>CHOOSE(CONTROL!$C$42, 13.6895, 13.6895) * CHOOSE(CONTROL!$C$21, $C$9, 100%, $E$9)</f>
        <v>13.689500000000001</v>
      </c>
      <c r="Q289" s="14">
        <f>CHOOSE(CONTROL!$C$42, 14.3124, 14.3124) * CHOOSE(CONTROL!$C$21, $C$9, 100%, $E$9)</f>
        <v>14.3124</v>
      </c>
      <c r="R289" s="14">
        <f>CHOOSE(CONTROL!$C$42, 14.9351, 14.9351) * CHOOSE(CONTROL!$C$21, $C$9, 100%, $E$9)</f>
        <v>14.9351</v>
      </c>
      <c r="S289" s="14">
        <f>CHOOSE(CONTROL!$C$42, 13.3399, 13.3399) * CHOOSE(CONTROL!$C$21, $C$9, 100%, $E$9)</f>
        <v>13.3399</v>
      </c>
      <c r="T28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89" s="57">
        <f>(1000*CHOOSE(CONTROL!$C$42, 695, 695)*CHOOSE(CONTROL!$C$42, 0.5599, 0.5599)*CHOOSE(CONTROL!$C$42, 31, 31))/1000000</f>
        <v>12.063045499999998</v>
      </c>
      <c r="V289" s="57">
        <f>(1000*CHOOSE(CONTROL!$C$42, 500, 500)*CHOOSE(CONTROL!$C$42, 0.275, 0.275)*CHOOSE(CONTROL!$C$42, 31, 31))/1000000</f>
        <v>4.2625000000000002</v>
      </c>
      <c r="W289" s="57">
        <f>(1000*CHOOSE(CONTROL!$C$42, 0.1146, 0.1146)*CHOOSE(CONTROL!$C$42, 121.5, 121.5)*CHOOSE(CONTROL!$C$42, 31, 31))/1000000</f>
        <v>0.43164089999999994</v>
      </c>
      <c r="X289" s="57">
        <f>(31*0.1790888*100000/1000000)+(31*0.2374*100000/1000000)</f>
        <v>1.2911152800000001</v>
      </c>
      <c r="Y289" s="57"/>
      <c r="Z289" s="14"/>
      <c r="AA289" s="56"/>
      <c r="AB289" s="50">
        <f>(B289*122.58+C289*297.941+D289*89.177+E289*40.302+F289*40+G289*160+H289*0+I289*100+J289*300)/(122.58+297.941+89.177+40.302+0+40+160+100+300)</f>
        <v>13.92144202895652</v>
      </c>
      <c r="AC289" s="45">
        <f>(M289*'RAP TEMPLATE-GAS AVAILABILITY'!O288+N289*'RAP TEMPLATE-GAS AVAILABILITY'!P288+O289*'RAP TEMPLATE-GAS AVAILABILITY'!Q288+P289*'RAP TEMPLATE-GAS AVAILABILITY'!R288)/('RAP TEMPLATE-GAS AVAILABILITY'!O288+'RAP TEMPLATE-GAS AVAILABILITY'!P288+'RAP TEMPLATE-GAS AVAILABILITY'!Q288+'RAP TEMPLATE-GAS AVAILABILITY'!R288)</f>
        <v>13.680128776978417</v>
      </c>
    </row>
    <row r="290" spans="1:29" ht="15.75" x14ac:dyDescent="0.25">
      <c r="A290" s="34">
        <v>49706</v>
      </c>
      <c r="B290" s="14">
        <f>CHOOSE(CONTROL!$C$42, 14.1387, 14.1387) * CHOOSE(CONTROL!$C$21, $C$9, 100%, $E$9)</f>
        <v>14.1387</v>
      </c>
      <c r="C290" s="14">
        <f>CHOOSE(CONTROL!$C$42, 14.1438, 14.1438) * CHOOSE(CONTROL!$C$21, $C$9, 100%, $E$9)</f>
        <v>14.143800000000001</v>
      </c>
      <c r="D290" s="14">
        <f>CHOOSE(CONTROL!$C$42, 14.2206, 14.2206) * CHOOSE(CONTROL!$C$21, $C$9, 100%, $E$9)</f>
        <v>14.220599999999999</v>
      </c>
      <c r="E290" s="14">
        <f>CHOOSE(CONTROL!$C$42, 14.2547, 14.2547) * CHOOSE(CONTROL!$C$21, $C$9, 100%, $E$9)</f>
        <v>14.2547</v>
      </c>
      <c r="F290" s="14">
        <f>CHOOSE(CONTROL!$C$42, 14.163, 14.163)*CHOOSE(CONTROL!$C$21, $C$9, 100%, $E$9)</f>
        <v>14.163</v>
      </c>
      <c r="G290" s="14">
        <f>CHOOSE(CONTROL!$C$42, 14.1809, 14.1809)*CHOOSE(CONTROL!$C$21, $C$9, 100%, $E$9)</f>
        <v>14.180899999999999</v>
      </c>
      <c r="H290" s="14">
        <f>CHOOSE(CONTROL!$C$42, 14.2439, 14.2439) * CHOOSE(CONTROL!$C$21, $C$9, 100%, $E$9)</f>
        <v>14.2439</v>
      </c>
      <c r="I290" s="14">
        <f>CHOOSE(CONTROL!$C$42, 14.2167, 14.2167)* CHOOSE(CONTROL!$C$21, $C$9, 100%, $E$9)</f>
        <v>14.216699999999999</v>
      </c>
      <c r="J290" s="14">
        <f>CHOOSE(CONTROL!$C$42, 14.156, 14.156)* CHOOSE(CONTROL!$C$21, $C$9, 100%, $E$9)</f>
        <v>14.156000000000001</v>
      </c>
      <c r="K290" s="53">
        <f>CHOOSE(CONTROL!$C$42, 14.2128, 14.2128) * CHOOSE(CONTROL!$C$21, $C$9, 100%, $E$9)</f>
        <v>14.2128</v>
      </c>
      <c r="L290" s="14">
        <f>CHOOSE(CONTROL!$C$42, 14.8309, 14.8309) * CHOOSE(CONTROL!$C$21, $C$9, 100%, $E$9)</f>
        <v>14.8309</v>
      </c>
      <c r="M290" s="14">
        <f>CHOOSE(CONTROL!$C$42, 13.8737, 13.8737) * CHOOSE(CONTROL!$C$21, $C$9, 100%, $E$9)</f>
        <v>13.873699999999999</v>
      </c>
      <c r="N290" s="14">
        <f>CHOOSE(CONTROL!$C$42, 13.8912, 13.8912) * CHOOSE(CONTROL!$C$21, $C$9, 100%, $E$9)</f>
        <v>13.8912</v>
      </c>
      <c r="O290" s="14">
        <f>CHOOSE(CONTROL!$C$42, 13.9597, 13.9597) * CHOOSE(CONTROL!$C$21, $C$9, 100%, $E$9)</f>
        <v>13.9597</v>
      </c>
      <c r="P290" s="14">
        <f>CHOOSE(CONTROL!$C$42, 13.9323, 13.9323) * CHOOSE(CONTROL!$C$21, $C$9, 100%, $E$9)</f>
        <v>13.9323</v>
      </c>
      <c r="Q290" s="14">
        <f>CHOOSE(CONTROL!$C$42, 14.5544, 14.5544) * CHOOSE(CONTROL!$C$21, $C$9, 100%, $E$9)</f>
        <v>14.554399999999999</v>
      </c>
      <c r="R290" s="14">
        <f>CHOOSE(CONTROL!$C$42, 15.1778, 15.1778) * CHOOSE(CONTROL!$C$21, $C$9, 100%, $E$9)</f>
        <v>15.1778</v>
      </c>
      <c r="S290" s="14">
        <f>CHOOSE(CONTROL!$C$42, 13.5773, 13.5773) * CHOOSE(CONTROL!$C$21, $C$9, 100%, $E$9)</f>
        <v>13.577299999999999</v>
      </c>
      <c r="T29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90" s="57">
        <f>(1000*CHOOSE(CONTROL!$C$42, 695, 695)*CHOOSE(CONTROL!$C$42, 0.5599, 0.5599)*CHOOSE(CONTROL!$C$42, 29, 29))/1000000</f>
        <v>11.284784499999999</v>
      </c>
      <c r="V290" s="57">
        <f>(1000*CHOOSE(CONTROL!$C$42, 500, 500)*CHOOSE(CONTROL!$C$42, 0.275, 0.275)*CHOOSE(CONTROL!$C$42, 29, 29))/1000000</f>
        <v>3.9874999999999998</v>
      </c>
      <c r="W290" s="57">
        <f>(1000*CHOOSE(CONTROL!$C$42, 0.1146, 0.1146)*CHOOSE(CONTROL!$C$42, 121.5, 121.5)*CHOOSE(CONTROL!$C$42, 29, 29))/1000000</f>
        <v>0.40379309999999996</v>
      </c>
      <c r="X290" s="57">
        <f>(29*0.1790888*100000/1000000)+(29*0.2374*100000/1000000)</f>
        <v>1.2078175199999999</v>
      </c>
      <c r="Y290" s="57"/>
      <c r="Z290" s="14"/>
      <c r="AA290" s="56"/>
      <c r="AB290" s="50">
        <f>(B290*122.58+C290*297.941+D290*89.177+E290*40.302+F290*40+G290*160+H290*0+I290*100+J290*300)/(122.58+297.941+89.177+40.302+0+40+160+100+300)</f>
        <v>14.168449676</v>
      </c>
      <c r="AC290" s="45">
        <f>(M290*'RAP TEMPLATE-GAS AVAILABILITY'!O289+N290*'RAP TEMPLATE-GAS AVAILABILITY'!P289+O290*'RAP TEMPLATE-GAS AVAILABILITY'!Q289+P290*'RAP TEMPLATE-GAS AVAILABILITY'!R289)/('RAP TEMPLATE-GAS AVAILABILITY'!O289+'RAP TEMPLATE-GAS AVAILABILITY'!P289+'RAP TEMPLATE-GAS AVAILABILITY'!Q289+'RAP TEMPLATE-GAS AVAILABILITY'!R289)</f>
        <v>13.922117266187049</v>
      </c>
    </row>
    <row r="291" spans="1:29" ht="15.75" x14ac:dyDescent="0.25">
      <c r="A291" s="34">
        <v>49735</v>
      </c>
      <c r="B291" s="14">
        <f>CHOOSE(CONTROL!$C$42, 13.7376, 13.7376) * CHOOSE(CONTROL!$C$21, $C$9, 100%, $E$9)</f>
        <v>13.7376</v>
      </c>
      <c r="C291" s="14">
        <f>CHOOSE(CONTROL!$C$42, 13.7426, 13.7426) * CHOOSE(CONTROL!$C$21, $C$9, 100%, $E$9)</f>
        <v>13.742599999999999</v>
      </c>
      <c r="D291" s="14">
        <f>CHOOSE(CONTROL!$C$42, 13.8194, 13.8194) * CHOOSE(CONTROL!$C$21, $C$9, 100%, $E$9)</f>
        <v>13.8194</v>
      </c>
      <c r="E291" s="14">
        <f>CHOOSE(CONTROL!$C$42, 13.8535, 13.8535) * CHOOSE(CONTROL!$C$21, $C$9, 100%, $E$9)</f>
        <v>13.8535</v>
      </c>
      <c r="F291" s="14">
        <f>CHOOSE(CONTROL!$C$42, 13.761, 13.761)*CHOOSE(CONTROL!$C$21, $C$9, 100%, $E$9)</f>
        <v>13.760999999999999</v>
      </c>
      <c r="G291" s="14">
        <f>CHOOSE(CONTROL!$C$42, 13.7787, 13.7787)*CHOOSE(CONTROL!$C$21, $C$9, 100%, $E$9)</f>
        <v>13.778700000000001</v>
      </c>
      <c r="H291" s="14">
        <f>CHOOSE(CONTROL!$C$42, 13.8427, 13.8427) * CHOOSE(CONTROL!$C$21, $C$9, 100%, $E$9)</f>
        <v>13.842700000000001</v>
      </c>
      <c r="I291" s="14">
        <f>CHOOSE(CONTROL!$C$42, 13.8143, 13.8143)* CHOOSE(CONTROL!$C$21, $C$9, 100%, $E$9)</f>
        <v>13.814299999999999</v>
      </c>
      <c r="J291" s="14">
        <f>CHOOSE(CONTROL!$C$42, 13.754, 13.754)* CHOOSE(CONTROL!$C$21, $C$9, 100%, $E$9)</f>
        <v>13.754</v>
      </c>
      <c r="K291" s="53">
        <f>CHOOSE(CONTROL!$C$42, 13.8104, 13.8104) * CHOOSE(CONTROL!$C$21, $C$9, 100%, $E$9)</f>
        <v>13.8104</v>
      </c>
      <c r="L291" s="14">
        <f>CHOOSE(CONTROL!$C$42, 14.4297, 14.4297) * CHOOSE(CONTROL!$C$21, $C$9, 100%, $E$9)</f>
        <v>14.4297</v>
      </c>
      <c r="M291" s="14">
        <f>CHOOSE(CONTROL!$C$42, 13.4799, 13.4799) * CHOOSE(CONTROL!$C$21, $C$9, 100%, $E$9)</f>
        <v>13.479900000000001</v>
      </c>
      <c r="N291" s="14">
        <f>CHOOSE(CONTROL!$C$42, 13.4972, 13.4972) * CHOOSE(CONTROL!$C$21, $C$9, 100%, $E$9)</f>
        <v>13.497199999999999</v>
      </c>
      <c r="O291" s="14">
        <f>CHOOSE(CONTROL!$C$42, 13.5668, 13.5668) * CHOOSE(CONTROL!$C$21, $C$9, 100%, $E$9)</f>
        <v>13.566800000000001</v>
      </c>
      <c r="P291" s="14">
        <f>CHOOSE(CONTROL!$C$42, 13.5382, 13.5382) * CHOOSE(CONTROL!$C$21, $C$9, 100%, $E$9)</f>
        <v>13.5382</v>
      </c>
      <c r="Q291" s="14">
        <f>CHOOSE(CONTROL!$C$42, 14.1615, 14.1615) * CHOOSE(CONTROL!$C$21, $C$9, 100%, $E$9)</f>
        <v>14.1615</v>
      </c>
      <c r="R291" s="14">
        <f>CHOOSE(CONTROL!$C$42, 14.7839, 14.7839) * CHOOSE(CONTROL!$C$21, $C$9, 100%, $E$9)</f>
        <v>14.783899999999999</v>
      </c>
      <c r="S291" s="14">
        <f>CHOOSE(CONTROL!$C$42, 13.1919, 13.1919) * CHOOSE(CONTROL!$C$21, $C$9, 100%, $E$9)</f>
        <v>13.1919</v>
      </c>
      <c r="T29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91" s="57">
        <f>(1000*CHOOSE(CONTROL!$C$42, 695, 695)*CHOOSE(CONTROL!$C$42, 0.5599, 0.5599)*CHOOSE(CONTROL!$C$42, 31, 31))/1000000</f>
        <v>12.063045499999998</v>
      </c>
      <c r="V291" s="57">
        <f>(1000*CHOOSE(CONTROL!$C$42, 500, 500)*CHOOSE(CONTROL!$C$42, 0.275, 0.275)*CHOOSE(CONTROL!$C$42, 31, 31))/1000000</f>
        <v>4.2625000000000002</v>
      </c>
      <c r="W291" s="57">
        <f>(1000*CHOOSE(CONTROL!$C$42, 0.1146, 0.1146)*CHOOSE(CONTROL!$C$42, 121.5, 121.5)*CHOOSE(CONTROL!$C$42, 31, 31))/1000000</f>
        <v>0.43164089999999994</v>
      </c>
      <c r="X291" s="57">
        <f>(31*0.1790888*100000/1000000)+(31*0.2374*100000/1000000)</f>
        <v>1.2911152800000001</v>
      </c>
      <c r="Y291" s="57"/>
      <c r="Z291" s="14"/>
      <c r="AA291" s="56"/>
      <c r="AB291" s="50">
        <f>(B291*122.58+C291*297.941+D291*89.177+E291*40.302+F291*40+G291*160+H291*0+I291*100+J291*300)/(122.58+297.941+89.177+40.302+0+40+160+100+300)</f>
        <v>13.766780335130433</v>
      </c>
      <c r="AC291" s="45">
        <f>(M291*'RAP TEMPLATE-GAS AVAILABILITY'!O290+N291*'RAP TEMPLATE-GAS AVAILABILITY'!P290+O291*'RAP TEMPLATE-GAS AVAILABILITY'!Q290+P291*'RAP TEMPLATE-GAS AVAILABILITY'!R290)/('RAP TEMPLATE-GAS AVAILABILITY'!O290+'RAP TEMPLATE-GAS AVAILABILITY'!P290+'RAP TEMPLATE-GAS AVAILABILITY'!Q290+'RAP TEMPLATE-GAS AVAILABILITY'!R290)</f>
        <v>13.528670503597125</v>
      </c>
    </row>
    <row r="292" spans="1:29" ht="15.75" x14ac:dyDescent="0.25">
      <c r="A292" s="34">
        <v>49766</v>
      </c>
      <c r="B292" s="14">
        <f>CHOOSE(CONTROL!$C$42, 13.6975, 13.6975) * CHOOSE(CONTROL!$C$21, $C$9, 100%, $E$9)</f>
        <v>13.6975</v>
      </c>
      <c r="C292" s="14">
        <f>CHOOSE(CONTROL!$C$42, 13.7019, 13.7019) * CHOOSE(CONTROL!$C$21, $C$9, 100%, $E$9)</f>
        <v>13.7019</v>
      </c>
      <c r="D292" s="14">
        <f>CHOOSE(CONTROL!$C$42, 13.9257, 13.9257) * CHOOSE(CONTROL!$C$21, $C$9, 100%, $E$9)</f>
        <v>13.925700000000001</v>
      </c>
      <c r="E292" s="14">
        <f>CHOOSE(CONTROL!$C$42, 13.9578, 13.9578) * CHOOSE(CONTROL!$C$21, $C$9, 100%, $E$9)</f>
        <v>13.957800000000001</v>
      </c>
      <c r="F292" s="14">
        <f>CHOOSE(CONTROL!$C$42, 13.7251, 13.7251)*CHOOSE(CONTROL!$C$21, $C$9, 100%, $E$9)</f>
        <v>13.725099999999999</v>
      </c>
      <c r="G292" s="14">
        <f>CHOOSE(CONTROL!$C$42, 13.742, 13.742)*CHOOSE(CONTROL!$C$21, $C$9, 100%, $E$9)</f>
        <v>13.742000000000001</v>
      </c>
      <c r="H292" s="14">
        <f>CHOOSE(CONTROL!$C$42, 13.9476, 13.9476) * CHOOSE(CONTROL!$C$21, $C$9, 100%, $E$9)</f>
        <v>13.9476</v>
      </c>
      <c r="I292" s="14">
        <f>CHOOSE(CONTROL!$C$42, 13.7696, 13.7696)* CHOOSE(CONTROL!$C$21, $C$9, 100%, $E$9)</f>
        <v>13.769600000000001</v>
      </c>
      <c r="J292" s="14">
        <f>CHOOSE(CONTROL!$C$42, 13.7181, 13.7181)* CHOOSE(CONTROL!$C$21, $C$9, 100%, $E$9)</f>
        <v>13.7181</v>
      </c>
      <c r="K292" s="53">
        <f>CHOOSE(CONTROL!$C$42, 13.7658, 13.7658) * CHOOSE(CONTROL!$C$21, $C$9, 100%, $E$9)</f>
        <v>13.7658</v>
      </c>
      <c r="L292" s="14">
        <f>CHOOSE(CONTROL!$C$42, 14.5346, 14.5346) * CHOOSE(CONTROL!$C$21, $C$9, 100%, $E$9)</f>
        <v>14.534599999999999</v>
      </c>
      <c r="M292" s="14">
        <f>CHOOSE(CONTROL!$C$42, 13.4448, 13.4448) * CHOOSE(CONTROL!$C$21, $C$9, 100%, $E$9)</f>
        <v>13.444800000000001</v>
      </c>
      <c r="N292" s="14">
        <f>CHOOSE(CONTROL!$C$42, 13.4613, 13.4613) * CHOOSE(CONTROL!$C$21, $C$9, 100%, $E$9)</f>
        <v>13.4613</v>
      </c>
      <c r="O292" s="14">
        <f>CHOOSE(CONTROL!$C$42, 13.6695, 13.6695) * CHOOSE(CONTROL!$C$21, $C$9, 100%, $E$9)</f>
        <v>13.669499999999999</v>
      </c>
      <c r="P292" s="14">
        <f>CHOOSE(CONTROL!$C$42, 13.4944, 13.4944) * CHOOSE(CONTROL!$C$21, $C$9, 100%, $E$9)</f>
        <v>13.494400000000001</v>
      </c>
      <c r="Q292" s="14">
        <f>CHOOSE(CONTROL!$C$42, 14.2642, 14.2642) * CHOOSE(CONTROL!$C$21, $C$9, 100%, $E$9)</f>
        <v>14.264200000000001</v>
      </c>
      <c r="R292" s="14">
        <f>CHOOSE(CONTROL!$C$42, 14.8868, 14.8868) * CHOOSE(CONTROL!$C$21, $C$9, 100%, $E$9)</f>
        <v>14.886799999999999</v>
      </c>
      <c r="S292" s="14">
        <f>CHOOSE(CONTROL!$C$42, 13.1526, 13.1526) * CHOOSE(CONTROL!$C$21, $C$9, 100%, $E$9)</f>
        <v>13.1526</v>
      </c>
      <c r="T29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92" s="57">
        <f>(1000*CHOOSE(CONTROL!$C$42, 695, 695)*CHOOSE(CONTROL!$C$42, 0.5599, 0.5599)*CHOOSE(CONTROL!$C$42, 30, 30))/1000000</f>
        <v>11.673914999999997</v>
      </c>
      <c r="V292" s="57">
        <f>(1000*CHOOSE(CONTROL!$C$42, 500, 500)*CHOOSE(CONTROL!$C$42, 0.275, 0.275)*CHOOSE(CONTROL!$C$42, 30, 30))/1000000</f>
        <v>4.125</v>
      </c>
      <c r="W292" s="57">
        <f>(1000*CHOOSE(CONTROL!$C$42, 0.1146, 0.1146)*CHOOSE(CONTROL!$C$42, 121.5, 121.5)*CHOOSE(CONTROL!$C$42, 30, 30))/1000000</f>
        <v>0.417717</v>
      </c>
      <c r="X292" s="57">
        <f>(30*0.1790888*245000/1000000)+(30*0.2374*100000/1000000)</f>
        <v>2.0285026799999999</v>
      </c>
      <c r="Y292" s="57"/>
      <c r="Z292" s="14"/>
      <c r="AA292" s="56"/>
      <c r="AB292" s="50">
        <f>(B292*141.293+C292*267.993+D292*115.016+E292*89.698+F292*40+G292*185+H292*0+I292*100+J292*300)/(141.293+267.993+115.016+89.698+0+40+185+100+300)</f>
        <v>13.756822606779663</v>
      </c>
      <c r="AC292" s="45">
        <f>(M292*'RAP TEMPLATE-GAS AVAILABILITY'!O291+N292*'RAP TEMPLATE-GAS AVAILABILITY'!P291+O292*'RAP TEMPLATE-GAS AVAILABILITY'!Q291+P292*'RAP TEMPLATE-GAS AVAILABILITY'!R291)/('RAP TEMPLATE-GAS AVAILABILITY'!O291+'RAP TEMPLATE-GAS AVAILABILITY'!P291+'RAP TEMPLATE-GAS AVAILABILITY'!Q291+'RAP TEMPLATE-GAS AVAILABILITY'!R291)</f>
        <v>13.518780575539568</v>
      </c>
    </row>
    <row r="293" spans="1:29" ht="15.75" x14ac:dyDescent="0.25">
      <c r="A293" s="34">
        <v>49796</v>
      </c>
      <c r="B293" s="14">
        <f>CHOOSE(CONTROL!$C$42, 13.8197, 13.8197) * CHOOSE(CONTROL!$C$21, $C$9, 100%, $E$9)</f>
        <v>13.819699999999999</v>
      </c>
      <c r="C293" s="14">
        <f>CHOOSE(CONTROL!$C$42, 13.8277, 13.8277) * CHOOSE(CONTROL!$C$21, $C$9, 100%, $E$9)</f>
        <v>13.8277</v>
      </c>
      <c r="D293" s="14">
        <f>CHOOSE(CONTROL!$C$42, 14.0483, 14.0483) * CHOOSE(CONTROL!$C$21, $C$9, 100%, $E$9)</f>
        <v>14.048299999999999</v>
      </c>
      <c r="E293" s="14">
        <f>CHOOSE(CONTROL!$C$42, 14.0797, 14.0797) * CHOOSE(CONTROL!$C$21, $C$9, 100%, $E$9)</f>
        <v>14.079700000000001</v>
      </c>
      <c r="F293" s="14">
        <f>CHOOSE(CONTROL!$C$42, 13.8459, 13.8459)*CHOOSE(CONTROL!$C$21, $C$9, 100%, $E$9)</f>
        <v>13.8459</v>
      </c>
      <c r="G293" s="14">
        <f>CHOOSE(CONTROL!$C$42, 13.863, 13.863)*CHOOSE(CONTROL!$C$21, $C$9, 100%, $E$9)</f>
        <v>13.863</v>
      </c>
      <c r="H293" s="14">
        <f>CHOOSE(CONTROL!$C$42, 14.0684, 14.0684) * CHOOSE(CONTROL!$C$21, $C$9, 100%, $E$9)</f>
        <v>14.0684</v>
      </c>
      <c r="I293" s="14">
        <f>CHOOSE(CONTROL!$C$42, 13.8908, 13.8908)* CHOOSE(CONTROL!$C$21, $C$9, 100%, $E$9)</f>
        <v>13.8908</v>
      </c>
      <c r="J293" s="14">
        <f>CHOOSE(CONTROL!$C$42, 13.8389, 13.8389)* CHOOSE(CONTROL!$C$21, $C$9, 100%, $E$9)</f>
        <v>13.838900000000001</v>
      </c>
      <c r="K293" s="53">
        <f>CHOOSE(CONTROL!$C$42, 13.8869, 13.8869) * CHOOSE(CONTROL!$C$21, $C$9, 100%, $E$9)</f>
        <v>13.886900000000001</v>
      </c>
      <c r="L293" s="14">
        <f>CHOOSE(CONTROL!$C$42, 14.6554, 14.6554) * CHOOSE(CONTROL!$C$21, $C$9, 100%, $E$9)</f>
        <v>14.6554</v>
      </c>
      <c r="M293" s="14">
        <f>CHOOSE(CONTROL!$C$42, 13.5631, 13.5631) * CHOOSE(CONTROL!$C$21, $C$9, 100%, $E$9)</f>
        <v>13.5631</v>
      </c>
      <c r="N293" s="14">
        <f>CHOOSE(CONTROL!$C$42, 13.5798, 13.5798) * CHOOSE(CONTROL!$C$21, $C$9, 100%, $E$9)</f>
        <v>13.579800000000001</v>
      </c>
      <c r="O293" s="14">
        <f>CHOOSE(CONTROL!$C$42, 13.7878, 13.7878) * CHOOSE(CONTROL!$C$21, $C$9, 100%, $E$9)</f>
        <v>13.787800000000001</v>
      </c>
      <c r="P293" s="14">
        <f>CHOOSE(CONTROL!$C$42, 13.6131, 13.6131) * CHOOSE(CONTROL!$C$21, $C$9, 100%, $E$9)</f>
        <v>13.613099999999999</v>
      </c>
      <c r="Q293" s="14">
        <f>CHOOSE(CONTROL!$C$42, 14.3825, 14.3825) * CHOOSE(CONTROL!$C$21, $C$9, 100%, $E$9)</f>
        <v>14.3825</v>
      </c>
      <c r="R293" s="14">
        <f>CHOOSE(CONTROL!$C$42, 15.0055, 15.0055) * CHOOSE(CONTROL!$C$21, $C$9, 100%, $E$9)</f>
        <v>15.0055</v>
      </c>
      <c r="S293" s="14">
        <f>CHOOSE(CONTROL!$C$42, 13.2687, 13.2687) * CHOOSE(CONTROL!$C$21, $C$9, 100%, $E$9)</f>
        <v>13.268700000000001</v>
      </c>
      <c r="T29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93" s="57">
        <f>(1000*CHOOSE(CONTROL!$C$42, 695, 695)*CHOOSE(CONTROL!$C$42, 0.5599, 0.5599)*CHOOSE(CONTROL!$C$42, 31, 31))/1000000</f>
        <v>12.063045499999998</v>
      </c>
      <c r="V293" s="57">
        <f>(1000*CHOOSE(CONTROL!$C$42, 500, 500)*CHOOSE(CONTROL!$C$42, 0.275, 0.275)*CHOOSE(CONTROL!$C$42, 31, 31))/1000000</f>
        <v>4.2625000000000002</v>
      </c>
      <c r="W293" s="57">
        <f>(1000*CHOOSE(CONTROL!$C$42, 0.1146, 0.1146)*CHOOSE(CONTROL!$C$42, 121.5, 121.5)*CHOOSE(CONTROL!$C$42, 31, 31))/1000000</f>
        <v>0.43164089999999994</v>
      </c>
      <c r="X293" s="57">
        <f>(31*0.1790888*245000/1000000)+(31*0.2374*100000/1000000)</f>
        <v>2.0961194359999999</v>
      </c>
      <c r="Y293" s="57"/>
      <c r="Z293" s="14"/>
      <c r="AA293" s="56"/>
      <c r="AB293" s="50">
        <f>(B293*194.205+C293*267.466+D293*133.845+E293*53.484+F293*40+G293*185+H293*0+I293*100+J293*300)/(194.205+267.466+133.845+53.484+0+40+185+100+300)</f>
        <v>13.873523418367345</v>
      </c>
      <c r="AC293" s="45">
        <f>(M293*'RAP TEMPLATE-GAS AVAILABILITY'!O292+N293*'RAP TEMPLATE-GAS AVAILABILITY'!P292+O293*'RAP TEMPLATE-GAS AVAILABILITY'!Q292+P293*'RAP TEMPLATE-GAS AVAILABILITY'!R292)/('RAP TEMPLATE-GAS AVAILABILITY'!O292+'RAP TEMPLATE-GAS AVAILABILITY'!P292+'RAP TEMPLATE-GAS AVAILABILITY'!Q292+'RAP TEMPLATE-GAS AVAILABILITY'!R292)</f>
        <v>13.637184172661872</v>
      </c>
    </row>
    <row r="294" spans="1:29" ht="15.75" x14ac:dyDescent="0.25">
      <c r="A294" s="34">
        <v>49827</v>
      </c>
      <c r="B294" s="14">
        <f>CHOOSE(CONTROL!$C$42, 14.2113, 14.2113) * CHOOSE(CONTROL!$C$21, $C$9, 100%, $E$9)</f>
        <v>14.2113</v>
      </c>
      <c r="C294" s="14">
        <f>CHOOSE(CONTROL!$C$42, 14.2194, 14.2194) * CHOOSE(CONTROL!$C$21, $C$9, 100%, $E$9)</f>
        <v>14.2194</v>
      </c>
      <c r="D294" s="14">
        <f>CHOOSE(CONTROL!$C$42, 14.4399, 14.4399) * CHOOSE(CONTROL!$C$21, $C$9, 100%, $E$9)</f>
        <v>14.4399</v>
      </c>
      <c r="E294" s="14">
        <f>CHOOSE(CONTROL!$C$42, 14.4714, 14.4714) * CHOOSE(CONTROL!$C$21, $C$9, 100%, $E$9)</f>
        <v>14.471399999999999</v>
      </c>
      <c r="F294" s="14">
        <f>CHOOSE(CONTROL!$C$42, 14.2379, 14.2379)*CHOOSE(CONTROL!$C$21, $C$9, 100%, $E$9)</f>
        <v>14.2379</v>
      </c>
      <c r="G294" s="14">
        <f>CHOOSE(CONTROL!$C$42, 14.2552, 14.2552)*CHOOSE(CONTROL!$C$21, $C$9, 100%, $E$9)</f>
        <v>14.2552</v>
      </c>
      <c r="H294" s="14">
        <f>CHOOSE(CONTROL!$C$42, 14.46, 14.46) * CHOOSE(CONTROL!$C$21, $C$9, 100%, $E$9)</f>
        <v>14.46</v>
      </c>
      <c r="I294" s="14">
        <f>CHOOSE(CONTROL!$C$42, 14.2837, 14.2837)* CHOOSE(CONTROL!$C$21, $C$9, 100%, $E$9)</f>
        <v>14.2837</v>
      </c>
      <c r="J294" s="14">
        <f>CHOOSE(CONTROL!$C$42, 14.2309, 14.2309)* CHOOSE(CONTROL!$C$21, $C$9, 100%, $E$9)</f>
        <v>14.2309</v>
      </c>
      <c r="K294" s="53">
        <f>CHOOSE(CONTROL!$C$42, 14.2798, 14.2798) * CHOOSE(CONTROL!$C$21, $C$9, 100%, $E$9)</f>
        <v>14.2798</v>
      </c>
      <c r="L294" s="14">
        <f>CHOOSE(CONTROL!$C$42, 15.047, 15.047) * CHOOSE(CONTROL!$C$21, $C$9, 100%, $E$9)</f>
        <v>15.047000000000001</v>
      </c>
      <c r="M294" s="14">
        <f>CHOOSE(CONTROL!$C$42, 13.9471, 13.9471) * CHOOSE(CONTROL!$C$21, $C$9, 100%, $E$9)</f>
        <v>13.947100000000001</v>
      </c>
      <c r="N294" s="14">
        <f>CHOOSE(CONTROL!$C$42, 13.9639, 13.9639) * CHOOSE(CONTROL!$C$21, $C$9, 100%, $E$9)</f>
        <v>13.963900000000001</v>
      </c>
      <c r="O294" s="14">
        <f>CHOOSE(CONTROL!$C$42, 14.1715, 14.1715) * CHOOSE(CONTROL!$C$21, $C$9, 100%, $E$9)</f>
        <v>14.1715</v>
      </c>
      <c r="P294" s="14">
        <f>CHOOSE(CONTROL!$C$42, 13.9979, 13.9979) * CHOOSE(CONTROL!$C$21, $C$9, 100%, $E$9)</f>
        <v>13.9979</v>
      </c>
      <c r="Q294" s="14">
        <f>CHOOSE(CONTROL!$C$42, 14.7662, 14.7662) * CHOOSE(CONTROL!$C$21, $C$9, 100%, $E$9)</f>
        <v>14.7662</v>
      </c>
      <c r="R294" s="14">
        <f>CHOOSE(CONTROL!$C$42, 15.3901, 15.3901) * CHOOSE(CONTROL!$C$21, $C$9, 100%, $E$9)</f>
        <v>15.3901</v>
      </c>
      <c r="S294" s="14">
        <f>CHOOSE(CONTROL!$C$42, 13.645, 13.645) * CHOOSE(CONTROL!$C$21, $C$9, 100%, $E$9)</f>
        <v>13.645</v>
      </c>
      <c r="T29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94" s="57">
        <f>(1000*CHOOSE(CONTROL!$C$42, 695, 695)*CHOOSE(CONTROL!$C$42, 0.5599, 0.5599)*CHOOSE(CONTROL!$C$42, 30, 30))/1000000</f>
        <v>11.673914999999997</v>
      </c>
      <c r="V294" s="57">
        <f>(1000*CHOOSE(CONTROL!$C$42, 500, 500)*CHOOSE(CONTROL!$C$42, 0.275, 0.275)*CHOOSE(CONTROL!$C$42, 30, 30))/1000000</f>
        <v>4.125</v>
      </c>
      <c r="W294" s="57">
        <f>(1000*CHOOSE(CONTROL!$C$42, 0.1146, 0.1146)*CHOOSE(CONTROL!$C$42, 121.5, 121.5)*CHOOSE(CONTROL!$C$42, 30, 30))/1000000</f>
        <v>0.417717</v>
      </c>
      <c r="X294" s="57">
        <f>(30*0.1790888*245000/1000000)+(30*0.2374*100000/1000000)</f>
        <v>2.0285026799999999</v>
      </c>
      <c r="Y294" s="57"/>
      <c r="Z294" s="14"/>
      <c r="AA294" s="56"/>
      <c r="AB294" s="50">
        <f>(B294*194.205+C294*267.466+D294*133.845+E294*53.484+F294*40+G294*185+H294*0+I294*100+J294*300)/(194.205+267.466+133.845+53.484+0+40+185+100+300)</f>
        <v>14.265444529042385</v>
      </c>
      <c r="AC294" s="45">
        <f>(M294*'RAP TEMPLATE-GAS AVAILABILITY'!O293+N294*'RAP TEMPLATE-GAS AVAILABILITY'!P293+O294*'RAP TEMPLATE-GAS AVAILABILITY'!Q293+P294*'RAP TEMPLATE-GAS AVAILABILITY'!R293)/('RAP TEMPLATE-GAS AVAILABILITY'!O293+'RAP TEMPLATE-GAS AVAILABILITY'!P293+'RAP TEMPLATE-GAS AVAILABILITY'!Q293+'RAP TEMPLATE-GAS AVAILABILITY'!R293)</f>
        <v>14.021238129496403</v>
      </c>
    </row>
    <row r="295" spans="1:29" ht="15.75" x14ac:dyDescent="0.25">
      <c r="A295" s="34">
        <v>49857</v>
      </c>
      <c r="B295" s="14">
        <f>CHOOSE(CONTROL!$C$42, 13.9389, 13.9389) * CHOOSE(CONTROL!$C$21, $C$9, 100%, $E$9)</f>
        <v>13.9389</v>
      </c>
      <c r="C295" s="14">
        <f>CHOOSE(CONTROL!$C$42, 13.9469, 13.9469) * CHOOSE(CONTROL!$C$21, $C$9, 100%, $E$9)</f>
        <v>13.946899999999999</v>
      </c>
      <c r="D295" s="14">
        <f>CHOOSE(CONTROL!$C$42, 14.1675, 14.1675) * CHOOSE(CONTROL!$C$21, $C$9, 100%, $E$9)</f>
        <v>14.1675</v>
      </c>
      <c r="E295" s="14">
        <f>CHOOSE(CONTROL!$C$42, 14.199, 14.199) * CHOOSE(CONTROL!$C$21, $C$9, 100%, $E$9)</f>
        <v>14.199</v>
      </c>
      <c r="F295" s="14">
        <f>CHOOSE(CONTROL!$C$42, 13.966, 13.966)*CHOOSE(CONTROL!$C$21, $C$9, 100%, $E$9)</f>
        <v>13.965999999999999</v>
      </c>
      <c r="G295" s="14">
        <f>CHOOSE(CONTROL!$C$42, 13.9833, 13.9833)*CHOOSE(CONTROL!$C$21, $C$9, 100%, $E$9)</f>
        <v>13.9833</v>
      </c>
      <c r="H295" s="14">
        <f>CHOOSE(CONTROL!$C$42, 14.1876, 14.1876) * CHOOSE(CONTROL!$C$21, $C$9, 100%, $E$9)</f>
        <v>14.1876</v>
      </c>
      <c r="I295" s="14">
        <f>CHOOSE(CONTROL!$C$42, 14.0105, 14.0105)* CHOOSE(CONTROL!$C$21, $C$9, 100%, $E$9)</f>
        <v>14.0105</v>
      </c>
      <c r="J295" s="14">
        <f>CHOOSE(CONTROL!$C$42, 13.959, 13.959)* CHOOSE(CONTROL!$C$21, $C$9, 100%, $E$9)</f>
        <v>13.959</v>
      </c>
      <c r="K295" s="53">
        <f>CHOOSE(CONTROL!$C$42, 14.0066, 14.0066) * CHOOSE(CONTROL!$C$21, $C$9, 100%, $E$9)</f>
        <v>14.006600000000001</v>
      </c>
      <c r="L295" s="14">
        <f>CHOOSE(CONTROL!$C$42, 14.7746, 14.7746) * CHOOSE(CONTROL!$C$21, $C$9, 100%, $E$9)</f>
        <v>14.7746</v>
      </c>
      <c r="M295" s="14">
        <f>CHOOSE(CONTROL!$C$42, 13.6807, 13.6807) * CHOOSE(CONTROL!$C$21, $C$9, 100%, $E$9)</f>
        <v>13.6807</v>
      </c>
      <c r="N295" s="14">
        <f>CHOOSE(CONTROL!$C$42, 13.6976, 13.6976) * CHOOSE(CONTROL!$C$21, $C$9, 100%, $E$9)</f>
        <v>13.6976</v>
      </c>
      <c r="O295" s="14">
        <f>CHOOSE(CONTROL!$C$42, 13.9046, 13.9046) * CHOOSE(CONTROL!$C$21, $C$9, 100%, $E$9)</f>
        <v>13.9046</v>
      </c>
      <c r="P295" s="14">
        <f>CHOOSE(CONTROL!$C$42, 13.7303, 13.7303) * CHOOSE(CONTROL!$C$21, $C$9, 100%, $E$9)</f>
        <v>13.7303</v>
      </c>
      <c r="Q295" s="14">
        <f>CHOOSE(CONTROL!$C$42, 14.4993, 14.4993) * CHOOSE(CONTROL!$C$21, $C$9, 100%, $E$9)</f>
        <v>14.4993</v>
      </c>
      <c r="R295" s="14">
        <f>CHOOSE(CONTROL!$C$42, 15.1226, 15.1226) * CHOOSE(CONTROL!$C$21, $C$9, 100%, $E$9)</f>
        <v>15.1226</v>
      </c>
      <c r="S295" s="14">
        <f>CHOOSE(CONTROL!$C$42, 13.3833, 13.3833) * CHOOSE(CONTROL!$C$21, $C$9, 100%, $E$9)</f>
        <v>13.3833</v>
      </c>
      <c r="T29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95" s="57">
        <f>(1000*CHOOSE(CONTROL!$C$42, 695, 695)*CHOOSE(CONTROL!$C$42, 0.5599, 0.5599)*CHOOSE(CONTROL!$C$42, 31, 31))/1000000</f>
        <v>12.063045499999998</v>
      </c>
      <c r="V295" s="57">
        <f>(1000*CHOOSE(CONTROL!$C$42, 500, 500)*CHOOSE(CONTROL!$C$42, 0.275, 0.275)*CHOOSE(CONTROL!$C$42, 31, 31))/1000000</f>
        <v>4.2625000000000002</v>
      </c>
      <c r="W295" s="57">
        <f>(1000*CHOOSE(CONTROL!$C$42, 0.1146, 0.1146)*CHOOSE(CONTROL!$C$42, 121.5, 121.5)*CHOOSE(CONTROL!$C$42, 31, 31))/1000000</f>
        <v>0.43164089999999994</v>
      </c>
      <c r="X295" s="57">
        <f>(31*0.1790888*245000/1000000)+(31*0.2374*100000/1000000)</f>
        <v>2.0961194359999999</v>
      </c>
      <c r="Y295" s="57"/>
      <c r="Z295" s="14"/>
      <c r="AA295" s="56"/>
      <c r="AB295" s="50">
        <f>(B295*194.205+C295*267.466+D295*133.845+E295*53.484+F295*40+G295*185+H295*0+I295*100+J295*300)/(194.205+267.466+133.845+53.484+0+40+185+100+300)</f>
        <v>13.993166784458397</v>
      </c>
      <c r="AC295" s="45">
        <f>(M295*'RAP TEMPLATE-GAS AVAILABILITY'!O294+N295*'RAP TEMPLATE-GAS AVAILABILITY'!P294+O295*'RAP TEMPLATE-GAS AVAILABILITY'!Q294+P295*'RAP TEMPLATE-GAS AVAILABILITY'!R294)/('RAP TEMPLATE-GAS AVAILABILITY'!O294+'RAP TEMPLATE-GAS AVAILABILITY'!P294+'RAP TEMPLATE-GAS AVAILABILITY'!Q294+'RAP TEMPLATE-GAS AVAILABILITY'!R294)</f>
        <v>13.754548201438849</v>
      </c>
    </row>
    <row r="296" spans="1:29" ht="15.75" x14ac:dyDescent="0.25">
      <c r="A296" s="34">
        <v>49888</v>
      </c>
      <c r="B296" s="14">
        <f>CHOOSE(CONTROL!$C$42, 13.251, 13.251) * CHOOSE(CONTROL!$C$21, $C$9, 100%, $E$9)</f>
        <v>13.250999999999999</v>
      </c>
      <c r="C296" s="14">
        <f>CHOOSE(CONTROL!$C$42, 13.259, 13.259) * CHOOSE(CONTROL!$C$21, $C$9, 100%, $E$9)</f>
        <v>13.259</v>
      </c>
      <c r="D296" s="14">
        <f>CHOOSE(CONTROL!$C$42, 13.4796, 13.4796) * CHOOSE(CONTROL!$C$21, $C$9, 100%, $E$9)</f>
        <v>13.4796</v>
      </c>
      <c r="E296" s="14">
        <f>CHOOSE(CONTROL!$C$42, 13.5111, 13.5111) * CHOOSE(CONTROL!$C$21, $C$9, 100%, $E$9)</f>
        <v>13.511100000000001</v>
      </c>
      <c r="F296" s="14">
        <f>CHOOSE(CONTROL!$C$42, 13.2784, 13.2784)*CHOOSE(CONTROL!$C$21, $C$9, 100%, $E$9)</f>
        <v>13.2784</v>
      </c>
      <c r="G296" s="14">
        <f>CHOOSE(CONTROL!$C$42, 13.2958, 13.2958)*CHOOSE(CONTROL!$C$21, $C$9, 100%, $E$9)</f>
        <v>13.2958</v>
      </c>
      <c r="H296" s="14">
        <f>CHOOSE(CONTROL!$C$42, 13.4997, 13.4997) * CHOOSE(CONTROL!$C$21, $C$9, 100%, $E$9)</f>
        <v>13.499700000000001</v>
      </c>
      <c r="I296" s="14">
        <f>CHOOSE(CONTROL!$C$42, 13.3204, 13.3204)* CHOOSE(CONTROL!$C$21, $C$9, 100%, $E$9)</f>
        <v>13.320399999999999</v>
      </c>
      <c r="J296" s="14">
        <f>CHOOSE(CONTROL!$C$42, 13.2714, 13.2714)* CHOOSE(CONTROL!$C$21, $C$9, 100%, $E$9)</f>
        <v>13.2714</v>
      </c>
      <c r="K296" s="53">
        <f>CHOOSE(CONTROL!$C$42, 13.3165, 13.3165) * CHOOSE(CONTROL!$C$21, $C$9, 100%, $E$9)</f>
        <v>13.3165</v>
      </c>
      <c r="L296" s="14">
        <f>CHOOSE(CONTROL!$C$42, 14.0867, 14.0867) * CHOOSE(CONTROL!$C$21, $C$9, 100%, $E$9)</f>
        <v>14.0867</v>
      </c>
      <c r="M296" s="14">
        <f>CHOOSE(CONTROL!$C$42, 13.0071, 13.0071) * CHOOSE(CONTROL!$C$21, $C$9, 100%, $E$9)</f>
        <v>13.007099999999999</v>
      </c>
      <c r="N296" s="14">
        <f>CHOOSE(CONTROL!$C$42, 13.0242, 13.0242) * CHOOSE(CONTROL!$C$21, $C$9, 100%, $E$9)</f>
        <v>13.0242</v>
      </c>
      <c r="O296" s="14">
        <f>CHOOSE(CONTROL!$C$42, 13.2308, 13.2308) * CHOOSE(CONTROL!$C$21, $C$9, 100%, $E$9)</f>
        <v>13.2308</v>
      </c>
      <c r="P296" s="14">
        <f>CHOOSE(CONTROL!$C$42, 13.0544, 13.0544) * CHOOSE(CONTROL!$C$21, $C$9, 100%, $E$9)</f>
        <v>13.054399999999999</v>
      </c>
      <c r="Q296" s="14">
        <f>CHOOSE(CONTROL!$C$42, 13.8255, 13.8255) * CHOOSE(CONTROL!$C$21, $C$9, 100%, $E$9)</f>
        <v>13.8255</v>
      </c>
      <c r="R296" s="14">
        <f>CHOOSE(CONTROL!$C$42, 14.4471, 14.4471) * CHOOSE(CONTROL!$C$21, $C$9, 100%, $E$9)</f>
        <v>14.447100000000001</v>
      </c>
      <c r="S296" s="14">
        <f>CHOOSE(CONTROL!$C$42, 12.7222, 12.7222) * CHOOSE(CONTROL!$C$21, $C$9, 100%, $E$9)</f>
        <v>12.722200000000001</v>
      </c>
      <c r="T29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96" s="57">
        <f>(1000*CHOOSE(CONTROL!$C$42, 695, 695)*CHOOSE(CONTROL!$C$42, 0.5599, 0.5599)*CHOOSE(CONTROL!$C$42, 31, 31))/1000000</f>
        <v>12.063045499999998</v>
      </c>
      <c r="V296" s="57">
        <f>(1000*CHOOSE(CONTROL!$C$42, 500, 500)*CHOOSE(CONTROL!$C$42, 0.275, 0.275)*CHOOSE(CONTROL!$C$42, 31, 31))/1000000</f>
        <v>4.2625000000000002</v>
      </c>
      <c r="W296" s="57">
        <f>(1000*CHOOSE(CONTROL!$C$42, 0.1146, 0.1146)*CHOOSE(CONTROL!$C$42, 121.5, 121.5)*CHOOSE(CONTROL!$C$42, 31, 31))/1000000</f>
        <v>0.43164089999999994</v>
      </c>
      <c r="X296" s="57">
        <f>(31*0.1790888*245000/1000000)+(31*0.2374*100000/1000000)</f>
        <v>2.0961194359999999</v>
      </c>
      <c r="Y296" s="57"/>
      <c r="Z296" s="14"/>
      <c r="AA296" s="56"/>
      <c r="AB296" s="50">
        <f>(B296*194.205+C296*267.466+D296*133.845+E296*53.484+F296*40+G296*185+H296*0+I296*100+J296*300)/(194.205+267.466+133.845+53.484+0+40+185+100+300)</f>
        <v>13.305232247566721</v>
      </c>
      <c r="AC296" s="45">
        <f>(M296*'RAP TEMPLATE-GAS AVAILABILITY'!O295+N296*'RAP TEMPLATE-GAS AVAILABILITY'!P295+O296*'RAP TEMPLATE-GAS AVAILABILITY'!Q295+P296*'RAP TEMPLATE-GAS AVAILABILITY'!R295)/('RAP TEMPLATE-GAS AVAILABILITY'!O295+'RAP TEMPLATE-GAS AVAILABILITY'!P295+'RAP TEMPLATE-GAS AVAILABILITY'!Q295+'RAP TEMPLATE-GAS AVAILABILITY'!R295)</f>
        <v>13.080607194244605</v>
      </c>
    </row>
    <row r="297" spans="1:29" ht="15.75" x14ac:dyDescent="0.25">
      <c r="A297" s="34">
        <v>49919</v>
      </c>
      <c r="B297" s="14">
        <f>CHOOSE(CONTROL!$C$42, 12.4103, 12.4103) * CHOOSE(CONTROL!$C$21, $C$9, 100%, $E$9)</f>
        <v>12.410299999999999</v>
      </c>
      <c r="C297" s="14">
        <f>CHOOSE(CONTROL!$C$42, 12.4183, 12.4183) * CHOOSE(CONTROL!$C$21, $C$9, 100%, $E$9)</f>
        <v>12.4183</v>
      </c>
      <c r="D297" s="14">
        <f>CHOOSE(CONTROL!$C$42, 12.6389, 12.6389) * CHOOSE(CONTROL!$C$21, $C$9, 100%, $E$9)</f>
        <v>12.6389</v>
      </c>
      <c r="E297" s="14">
        <f>CHOOSE(CONTROL!$C$42, 12.6703, 12.6703) * CHOOSE(CONTROL!$C$21, $C$9, 100%, $E$9)</f>
        <v>12.670299999999999</v>
      </c>
      <c r="F297" s="14">
        <f>CHOOSE(CONTROL!$C$42, 12.4376, 12.4376)*CHOOSE(CONTROL!$C$21, $C$9, 100%, $E$9)</f>
        <v>12.4376</v>
      </c>
      <c r="G297" s="14">
        <f>CHOOSE(CONTROL!$C$42, 12.455, 12.455)*CHOOSE(CONTROL!$C$21, $C$9, 100%, $E$9)</f>
        <v>12.455</v>
      </c>
      <c r="H297" s="14">
        <f>CHOOSE(CONTROL!$C$42, 12.659, 12.659) * CHOOSE(CONTROL!$C$21, $C$9, 100%, $E$9)</f>
        <v>12.659000000000001</v>
      </c>
      <c r="I297" s="14">
        <f>CHOOSE(CONTROL!$C$42, 12.477, 12.477)* CHOOSE(CONTROL!$C$21, $C$9, 100%, $E$9)</f>
        <v>12.477</v>
      </c>
      <c r="J297" s="14">
        <f>CHOOSE(CONTROL!$C$42, 12.4306, 12.4306)* CHOOSE(CONTROL!$C$21, $C$9, 100%, $E$9)</f>
        <v>12.4306</v>
      </c>
      <c r="K297" s="53">
        <f>CHOOSE(CONTROL!$C$42, 12.4731, 12.4731) * CHOOSE(CONTROL!$C$21, $C$9, 100%, $E$9)</f>
        <v>12.473100000000001</v>
      </c>
      <c r="L297" s="14">
        <f>CHOOSE(CONTROL!$C$42, 13.246, 13.246) * CHOOSE(CONTROL!$C$21, $C$9, 100%, $E$9)</f>
        <v>13.246</v>
      </c>
      <c r="M297" s="14">
        <f>CHOOSE(CONTROL!$C$42, 12.1836, 12.1836) * CHOOSE(CONTROL!$C$21, $C$9, 100%, $E$9)</f>
        <v>12.1836</v>
      </c>
      <c r="N297" s="14">
        <f>CHOOSE(CONTROL!$C$42, 12.2006, 12.2006) * CHOOSE(CONTROL!$C$21, $C$9, 100%, $E$9)</f>
        <v>12.2006</v>
      </c>
      <c r="O297" s="14">
        <f>CHOOSE(CONTROL!$C$42, 12.4073, 12.4073) * CHOOSE(CONTROL!$C$21, $C$9, 100%, $E$9)</f>
        <v>12.407299999999999</v>
      </c>
      <c r="P297" s="14">
        <f>CHOOSE(CONTROL!$C$42, 12.2283, 12.2283) * CHOOSE(CONTROL!$C$21, $C$9, 100%, $E$9)</f>
        <v>12.228300000000001</v>
      </c>
      <c r="Q297" s="14">
        <f>CHOOSE(CONTROL!$C$42, 13.002, 13.002) * CHOOSE(CONTROL!$C$21, $C$9, 100%, $E$9)</f>
        <v>13.002000000000001</v>
      </c>
      <c r="R297" s="14">
        <f>CHOOSE(CONTROL!$C$42, 13.6215, 13.6215) * CHOOSE(CONTROL!$C$21, $C$9, 100%, $E$9)</f>
        <v>13.621499999999999</v>
      </c>
      <c r="S297" s="14">
        <f>CHOOSE(CONTROL!$C$42, 11.9144, 11.9144) * CHOOSE(CONTROL!$C$21, $C$9, 100%, $E$9)</f>
        <v>11.914400000000001</v>
      </c>
      <c r="T29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97" s="57">
        <f>(1000*CHOOSE(CONTROL!$C$42, 695, 695)*CHOOSE(CONTROL!$C$42, 0.5599, 0.5599)*CHOOSE(CONTROL!$C$42, 30, 30))/1000000</f>
        <v>11.673914999999997</v>
      </c>
      <c r="V297" s="57">
        <f>(1000*CHOOSE(CONTROL!$C$42, 500, 500)*CHOOSE(CONTROL!$C$42, 0.275, 0.275)*CHOOSE(CONTROL!$C$42, 30, 30))/1000000</f>
        <v>4.125</v>
      </c>
      <c r="W297" s="57">
        <f>(1000*CHOOSE(CONTROL!$C$42, 0.1146, 0.1146)*CHOOSE(CONTROL!$C$42, 121.5, 121.5)*CHOOSE(CONTROL!$C$42, 30, 30))/1000000</f>
        <v>0.417717</v>
      </c>
      <c r="X297" s="57">
        <f>(30*0.1790888*245000/1000000)+(30*0.2374*100000/1000000)</f>
        <v>2.0285026799999999</v>
      </c>
      <c r="Y297" s="57"/>
      <c r="Z297" s="14"/>
      <c r="AA297" s="56"/>
      <c r="AB297" s="50">
        <f>(B297*194.205+C297*267.466+D297*133.845+E297*53.484+F297*40+G297*185+H297*0+I297*100+J297*300)/(194.205+267.466+133.845+53.484+0+40+185+100+300)</f>
        <v>12.464274909733124</v>
      </c>
      <c r="AC297" s="45">
        <f>(M297*'RAP TEMPLATE-GAS AVAILABILITY'!O296+N297*'RAP TEMPLATE-GAS AVAILABILITY'!P296+O297*'RAP TEMPLATE-GAS AVAILABILITY'!Q296+P297*'RAP TEMPLATE-GAS AVAILABILITY'!R296)/('RAP TEMPLATE-GAS AVAILABILITY'!O296+'RAP TEMPLATE-GAS AVAILABILITY'!P296+'RAP TEMPLATE-GAS AVAILABILITY'!Q296+'RAP TEMPLATE-GAS AVAILABILITY'!R296)</f>
        <v>12.256710071942447</v>
      </c>
    </row>
    <row r="298" spans="1:29" ht="15.75" x14ac:dyDescent="0.25">
      <c r="A298" s="34">
        <v>49949</v>
      </c>
      <c r="B298" s="14">
        <f>CHOOSE(CONTROL!$C$42, 12.1568, 12.1568) * CHOOSE(CONTROL!$C$21, $C$9, 100%, $E$9)</f>
        <v>12.1568</v>
      </c>
      <c r="C298" s="14">
        <f>CHOOSE(CONTROL!$C$42, 12.1621, 12.1621) * CHOOSE(CONTROL!$C$21, $C$9, 100%, $E$9)</f>
        <v>12.162100000000001</v>
      </c>
      <c r="D298" s="14">
        <f>CHOOSE(CONTROL!$C$42, 12.3876, 12.3876) * CHOOSE(CONTROL!$C$21, $C$9, 100%, $E$9)</f>
        <v>12.387600000000001</v>
      </c>
      <c r="E298" s="14">
        <f>CHOOSE(CONTROL!$C$42, 12.4168, 12.4168) * CHOOSE(CONTROL!$C$21, $C$9, 100%, $E$9)</f>
        <v>12.4168</v>
      </c>
      <c r="F298" s="14">
        <f>CHOOSE(CONTROL!$C$42, 12.1861, 12.1861)*CHOOSE(CONTROL!$C$21, $C$9, 100%, $E$9)</f>
        <v>12.1861</v>
      </c>
      <c r="G298" s="14">
        <f>CHOOSE(CONTROL!$C$42, 12.2034, 12.2034)*CHOOSE(CONTROL!$C$21, $C$9, 100%, $E$9)</f>
        <v>12.2034</v>
      </c>
      <c r="H298" s="14">
        <f>CHOOSE(CONTROL!$C$42, 12.4072, 12.4072) * CHOOSE(CONTROL!$C$21, $C$9, 100%, $E$9)</f>
        <v>12.4072</v>
      </c>
      <c r="I298" s="14">
        <f>CHOOSE(CONTROL!$C$42, 12.2245, 12.2245)* CHOOSE(CONTROL!$C$21, $C$9, 100%, $E$9)</f>
        <v>12.224500000000001</v>
      </c>
      <c r="J298" s="14">
        <f>CHOOSE(CONTROL!$C$42, 12.1791, 12.1791)* CHOOSE(CONTROL!$C$21, $C$9, 100%, $E$9)</f>
        <v>12.1791</v>
      </c>
      <c r="K298" s="53">
        <f>CHOOSE(CONTROL!$C$42, 12.2206, 12.2206) * CHOOSE(CONTROL!$C$21, $C$9, 100%, $E$9)</f>
        <v>12.220599999999999</v>
      </c>
      <c r="L298" s="14">
        <f>CHOOSE(CONTROL!$C$42, 12.9942, 12.9942) * CHOOSE(CONTROL!$C$21, $C$9, 100%, $E$9)</f>
        <v>12.994199999999999</v>
      </c>
      <c r="M298" s="14">
        <f>CHOOSE(CONTROL!$C$42, 11.9373, 11.9373) * CHOOSE(CONTROL!$C$21, $C$9, 100%, $E$9)</f>
        <v>11.9373</v>
      </c>
      <c r="N298" s="14">
        <f>CHOOSE(CONTROL!$C$42, 11.9542, 11.9542) * CHOOSE(CONTROL!$C$21, $C$9, 100%, $E$9)</f>
        <v>11.9542</v>
      </c>
      <c r="O298" s="14">
        <f>CHOOSE(CONTROL!$C$42, 12.1607, 12.1607) * CHOOSE(CONTROL!$C$21, $C$9, 100%, $E$9)</f>
        <v>12.1607</v>
      </c>
      <c r="P298" s="14">
        <f>CHOOSE(CONTROL!$C$42, 11.981, 11.981) * CHOOSE(CONTROL!$C$21, $C$9, 100%, $E$9)</f>
        <v>11.981</v>
      </c>
      <c r="Q298" s="14">
        <f>CHOOSE(CONTROL!$C$42, 12.7554, 12.7554) * CHOOSE(CONTROL!$C$21, $C$9, 100%, $E$9)</f>
        <v>12.7554</v>
      </c>
      <c r="R298" s="14">
        <f>CHOOSE(CONTROL!$C$42, 13.3743, 13.3743) * CHOOSE(CONTROL!$C$21, $C$9, 100%, $E$9)</f>
        <v>13.3743</v>
      </c>
      <c r="S298" s="14">
        <f>CHOOSE(CONTROL!$C$42, 11.6725, 11.6725) * CHOOSE(CONTROL!$C$21, $C$9, 100%, $E$9)</f>
        <v>11.672499999999999</v>
      </c>
      <c r="T29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98" s="57">
        <f>(1000*CHOOSE(CONTROL!$C$42, 695, 695)*CHOOSE(CONTROL!$C$42, 0.5599, 0.5599)*CHOOSE(CONTROL!$C$42, 31, 31))/1000000</f>
        <v>12.063045499999998</v>
      </c>
      <c r="V298" s="57">
        <f>(1000*CHOOSE(CONTROL!$C$42, 500, 500)*CHOOSE(CONTROL!$C$42, 0.275, 0.275)*CHOOSE(CONTROL!$C$42, 31, 31))/1000000</f>
        <v>4.2625000000000002</v>
      </c>
      <c r="W298" s="57">
        <f>(1000*CHOOSE(CONTROL!$C$42, 0.1146, 0.1146)*CHOOSE(CONTROL!$C$42, 121.5, 121.5)*CHOOSE(CONTROL!$C$42, 31, 31))/1000000</f>
        <v>0.43164089999999994</v>
      </c>
      <c r="X298" s="57">
        <f>(31*0.1790888*245000/1000000)+(31*0.2374*100000/1000000)</f>
        <v>2.0961194359999999</v>
      </c>
      <c r="Y298" s="57"/>
      <c r="Z298" s="14"/>
      <c r="AA298" s="56"/>
      <c r="AB298" s="50">
        <f>(B298*131.881+C298*277.167+D298*79.08+E298*125.872+F298*40+G298*185+H298*0+I298*100+J298*300)/(131.881+277.167+79.08+125.872+0+40+185+100+300)</f>
        <v>12.217897957304277</v>
      </c>
      <c r="AC298" s="45">
        <f>(M298*'RAP TEMPLATE-GAS AVAILABILITY'!O297+N298*'RAP TEMPLATE-GAS AVAILABILITY'!P297+O298*'RAP TEMPLATE-GAS AVAILABILITY'!Q297+P298*'RAP TEMPLATE-GAS AVAILABILITY'!R297)/('RAP TEMPLATE-GAS AVAILABILITY'!O297+'RAP TEMPLATE-GAS AVAILABILITY'!P297+'RAP TEMPLATE-GAS AVAILABILITY'!Q297+'RAP TEMPLATE-GAS AVAILABILITY'!R297)</f>
        <v>12.010158992805755</v>
      </c>
    </row>
    <row r="299" spans="1:29" ht="15.75" x14ac:dyDescent="0.25">
      <c r="A299" s="34">
        <v>49980</v>
      </c>
      <c r="B299" s="14">
        <f>CHOOSE(CONTROL!$C$42, 12.4763, 12.4763) * CHOOSE(CONTROL!$C$21, $C$9, 100%, $E$9)</f>
        <v>12.4763</v>
      </c>
      <c r="C299" s="14">
        <f>CHOOSE(CONTROL!$C$42, 12.4814, 12.4814) * CHOOSE(CONTROL!$C$21, $C$9, 100%, $E$9)</f>
        <v>12.481400000000001</v>
      </c>
      <c r="D299" s="14">
        <f>CHOOSE(CONTROL!$C$42, 12.5556, 12.5556) * CHOOSE(CONTROL!$C$21, $C$9, 100%, $E$9)</f>
        <v>12.5556</v>
      </c>
      <c r="E299" s="14">
        <f>CHOOSE(CONTROL!$C$42, 12.5897, 12.5897) * CHOOSE(CONTROL!$C$21, $C$9, 100%, $E$9)</f>
        <v>12.589700000000001</v>
      </c>
      <c r="F299" s="14">
        <f>CHOOSE(CONTROL!$C$42, 12.5124, 12.5124)*CHOOSE(CONTROL!$C$21, $C$9, 100%, $E$9)</f>
        <v>12.5124</v>
      </c>
      <c r="G299" s="14">
        <f>CHOOSE(CONTROL!$C$42, 12.5299, 12.5299)*CHOOSE(CONTROL!$C$21, $C$9, 100%, $E$9)</f>
        <v>12.5299</v>
      </c>
      <c r="H299" s="14">
        <f>CHOOSE(CONTROL!$C$42, 12.5789, 12.5789) * CHOOSE(CONTROL!$C$21, $C$9, 100%, $E$9)</f>
        <v>12.578900000000001</v>
      </c>
      <c r="I299" s="14">
        <f>CHOOSE(CONTROL!$C$42, 12.5429, 12.5429)* CHOOSE(CONTROL!$C$21, $C$9, 100%, $E$9)</f>
        <v>12.542899999999999</v>
      </c>
      <c r="J299" s="14">
        <f>CHOOSE(CONTROL!$C$42, 12.5054, 12.5054)* CHOOSE(CONTROL!$C$21, $C$9, 100%, $E$9)</f>
        <v>12.5054</v>
      </c>
      <c r="K299" s="53">
        <f>CHOOSE(CONTROL!$C$42, 12.539, 12.539) * CHOOSE(CONTROL!$C$21, $C$9, 100%, $E$9)</f>
        <v>12.539</v>
      </c>
      <c r="L299" s="14">
        <f>CHOOSE(CONTROL!$C$42, 13.1659, 13.1659) * CHOOSE(CONTROL!$C$21, $C$9, 100%, $E$9)</f>
        <v>13.165900000000001</v>
      </c>
      <c r="M299" s="14">
        <f>CHOOSE(CONTROL!$C$42, 12.2569, 12.2569) * CHOOSE(CONTROL!$C$21, $C$9, 100%, $E$9)</f>
        <v>12.2569</v>
      </c>
      <c r="N299" s="14">
        <f>CHOOSE(CONTROL!$C$42, 12.274, 12.274) * CHOOSE(CONTROL!$C$21, $C$9, 100%, $E$9)</f>
        <v>12.273999999999999</v>
      </c>
      <c r="O299" s="14">
        <f>CHOOSE(CONTROL!$C$42, 12.3289, 12.3289) * CHOOSE(CONTROL!$C$21, $C$9, 100%, $E$9)</f>
        <v>12.328900000000001</v>
      </c>
      <c r="P299" s="14">
        <f>CHOOSE(CONTROL!$C$42, 12.2929, 12.2929) * CHOOSE(CONTROL!$C$21, $C$9, 100%, $E$9)</f>
        <v>12.292899999999999</v>
      </c>
      <c r="Q299" s="14">
        <f>CHOOSE(CONTROL!$C$42, 12.9236, 12.9236) * CHOOSE(CONTROL!$C$21, $C$9, 100%, $E$9)</f>
        <v>12.9236</v>
      </c>
      <c r="R299" s="14">
        <f>CHOOSE(CONTROL!$C$42, 13.5429, 13.5429) * CHOOSE(CONTROL!$C$21, $C$9, 100%, $E$9)</f>
        <v>13.542899999999999</v>
      </c>
      <c r="S299" s="14">
        <f>CHOOSE(CONTROL!$C$42, 11.98, 11.98) * CHOOSE(CONTROL!$C$21, $C$9, 100%, $E$9)</f>
        <v>11.98</v>
      </c>
      <c r="T29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99" s="57">
        <f>(1000*CHOOSE(CONTROL!$C$42, 695, 695)*CHOOSE(CONTROL!$C$42, 0.5599, 0.5599)*CHOOSE(CONTROL!$C$42, 30, 30))/1000000</f>
        <v>11.673914999999997</v>
      </c>
      <c r="V299" s="57">
        <f>(1000*CHOOSE(CONTROL!$C$42, 500, 500)*CHOOSE(CONTROL!$C$42, 0.275, 0.275)*CHOOSE(CONTROL!$C$42, 30, 30))/1000000</f>
        <v>4.125</v>
      </c>
      <c r="W299" s="57">
        <f>(1000*CHOOSE(CONTROL!$C$42, 0.1146, 0.1146)*CHOOSE(CONTROL!$C$42, 121.5, 121.5)*CHOOSE(CONTROL!$C$42, 30, 30))/1000000</f>
        <v>0.417717</v>
      </c>
      <c r="X299" s="57">
        <f>(30*0.1790888*100000/1000000)+(30*0.2374*100000/1000000)</f>
        <v>1.2494664</v>
      </c>
      <c r="Y299" s="57"/>
      <c r="Z299" s="14"/>
      <c r="AA299" s="56"/>
      <c r="AB299" s="50">
        <f>(B299*122.58+C299*297.941+D299*89.177+E299*40.302+F299*40+G299*160+H299*0+I299*100+J299*300)/(122.58+297.941+89.177+40.302+0+40+160+100+300)</f>
        <v>12.509840419130434</v>
      </c>
      <c r="AC299" s="45">
        <f>(M299*'RAP TEMPLATE-GAS AVAILABILITY'!O298+N299*'RAP TEMPLATE-GAS AVAILABILITY'!P298+O299*'RAP TEMPLATE-GAS AVAILABILITY'!Q298+P299*'RAP TEMPLATE-GAS AVAILABILITY'!R298)/('RAP TEMPLATE-GAS AVAILABILITY'!O298+'RAP TEMPLATE-GAS AVAILABILITY'!P298+'RAP TEMPLATE-GAS AVAILABILITY'!Q298+'RAP TEMPLATE-GAS AVAILABILITY'!R298)</f>
        <v>12.295697122302158</v>
      </c>
    </row>
    <row r="300" spans="1:29" ht="15.75" x14ac:dyDescent="0.25">
      <c r="A300" s="34">
        <v>50010</v>
      </c>
      <c r="B300" s="14">
        <f>CHOOSE(CONTROL!$C$42, 13.3263, 13.3263) * CHOOSE(CONTROL!$C$21, $C$9, 100%, $E$9)</f>
        <v>13.3263</v>
      </c>
      <c r="C300" s="14">
        <f>CHOOSE(CONTROL!$C$42, 13.3314, 13.3314) * CHOOSE(CONTROL!$C$21, $C$9, 100%, $E$9)</f>
        <v>13.3314</v>
      </c>
      <c r="D300" s="14">
        <f>CHOOSE(CONTROL!$C$42, 13.4056, 13.4056) * CHOOSE(CONTROL!$C$21, $C$9, 100%, $E$9)</f>
        <v>13.4056</v>
      </c>
      <c r="E300" s="14">
        <f>CHOOSE(CONTROL!$C$42, 13.4397, 13.4397) * CHOOSE(CONTROL!$C$21, $C$9, 100%, $E$9)</f>
        <v>13.4397</v>
      </c>
      <c r="F300" s="14">
        <f>CHOOSE(CONTROL!$C$42, 13.3647, 13.3647)*CHOOSE(CONTROL!$C$21, $C$9, 100%, $E$9)</f>
        <v>13.364699999999999</v>
      </c>
      <c r="G300" s="14">
        <f>CHOOSE(CONTROL!$C$42, 13.3829, 13.3829)*CHOOSE(CONTROL!$C$21, $C$9, 100%, $E$9)</f>
        <v>13.382899999999999</v>
      </c>
      <c r="H300" s="14">
        <f>CHOOSE(CONTROL!$C$42, 13.4289, 13.4289) * CHOOSE(CONTROL!$C$21, $C$9, 100%, $E$9)</f>
        <v>13.428900000000001</v>
      </c>
      <c r="I300" s="14">
        <f>CHOOSE(CONTROL!$C$42, 13.3955, 13.3955)* CHOOSE(CONTROL!$C$21, $C$9, 100%, $E$9)</f>
        <v>13.3955</v>
      </c>
      <c r="J300" s="14">
        <f>CHOOSE(CONTROL!$C$42, 13.3577, 13.3577)* CHOOSE(CONTROL!$C$21, $C$9, 100%, $E$9)</f>
        <v>13.357699999999999</v>
      </c>
      <c r="K300" s="53">
        <f>CHOOSE(CONTROL!$C$42, 13.3916, 13.3916) * CHOOSE(CONTROL!$C$21, $C$9, 100%, $E$9)</f>
        <v>13.3916</v>
      </c>
      <c r="L300" s="14">
        <f>CHOOSE(CONTROL!$C$42, 14.0159, 14.0159) * CHOOSE(CONTROL!$C$21, $C$9, 100%, $E$9)</f>
        <v>14.0159</v>
      </c>
      <c r="M300" s="14">
        <f>CHOOSE(CONTROL!$C$42, 13.0917, 13.0917) * CHOOSE(CONTROL!$C$21, $C$9, 100%, $E$9)</f>
        <v>13.091699999999999</v>
      </c>
      <c r="N300" s="14">
        <f>CHOOSE(CONTROL!$C$42, 13.1095, 13.1095) * CHOOSE(CONTROL!$C$21, $C$9, 100%, $E$9)</f>
        <v>13.109500000000001</v>
      </c>
      <c r="O300" s="14">
        <f>CHOOSE(CONTROL!$C$42, 13.1614, 13.1614) * CHOOSE(CONTROL!$C$21, $C$9, 100%, $E$9)</f>
        <v>13.1614</v>
      </c>
      <c r="P300" s="14">
        <f>CHOOSE(CONTROL!$C$42, 13.128, 13.128) * CHOOSE(CONTROL!$C$21, $C$9, 100%, $E$9)</f>
        <v>13.128</v>
      </c>
      <c r="Q300" s="14">
        <f>CHOOSE(CONTROL!$C$42, 13.7561, 13.7561) * CHOOSE(CONTROL!$C$21, $C$9, 100%, $E$9)</f>
        <v>13.7561</v>
      </c>
      <c r="R300" s="14">
        <f>CHOOSE(CONTROL!$C$42, 14.3775, 14.3775) * CHOOSE(CONTROL!$C$21, $C$9, 100%, $E$9)</f>
        <v>14.3775</v>
      </c>
      <c r="S300" s="14">
        <f>CHOOSE(CONTROL!$C$42, 12.7967, 12.7967) * CHOOSE(CONTROL!$C$21, $C$9, 100%, $E$9)</f>
        <v>12.7967</v>
      </c>
      <c r="T30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00" s="57">
        <f>(1000*CHOOSE(CONTROL!$C$42, 695, 695)*CHOOSE(CONTROL!$C$42, 0.5599, 0.5599)*CHOOSE(CONTROL!$C$42, 31, 31))/1000000</f>
        <v>12.063045499999998</v>
      </c>
      <c r="V300" s="57">
        <f>(1000*CHOOSE(CONTROL!$C$42, 500, 500)*CHOOSE(CONTROL!$C$42, 0.275, 0.275)*CHOOSE(CONTROL!$C$42, 31, 31))/1000000</f>
        <v>4.2625000000000002</v>
      </c>
      <c r="W300" s="57">
        <f>(1000*CHOOSE(CONTROL!$C$42, 0.1146, 0.1146)*CHOOSE(CONTROL!$C$42, 121.5, 121.5)*CHOOSE(CONTROL!$C$42, 31, 31))/1000000</f>
        <v>0.43164089999999994</v>
      </c>
      <c r="X300" s="57">
        <f>(31*0.1790888*100000/1000000)+(31*0.2374*100000/1000000)</f>
        <v>1.2911152800000001</v>
      </c>
      <c r="Y300" s="57"/>
      <c r="Z300" s="14"/>
      <c r="AA300" s="56"/>
      <c r="AB300" s="50">
        <f>(B300*122.58+C300*297.941+D300*89.177+E300*40.302+F300*40+G300*160+H300*0+I300*100+J300*300)/(122.58+297.941+89.177+40.302+0+40+160+100+300)</f>
        <v>13.361163897391302</v>
      </c>
      <c r="AC300" s="45">
        <f>(M300*'RAP TEMPLATE-GAS AVAILABILITY'!O299+N300*'RAP TEMPLATE-GAS AVAILABILITY'!P299+O300*'RAP TEMPLATE-GAS AVAILABILITY'!Q299+P300*'RAP TEMPLATE-GAS AVAILABILITY'!R299)/('RAP TEMPLATE-GAS AVAILABILITY'!O299+'RAP TEMPLATE-GAS AVAILABILITY'!P299+'RAP TEMPLATE-GAS AVAILABILITY'!Q299+'RAP TEMPLATE-GAS AVAILABILITY'!R299)</f>
        <v>13.129538129496403</v>
      </c>
    </row>
    <row r="301" spans="1:29" ht="15.75" x14ac:dyDescent="0.25">
      <c r="A301" s="34">
        <v>50041</v>
      </c>
      <c r="B301" s="14">
        <f>CHOOSE(CONTROL!$C$42, 14.4303, 14.4303) * CHOOSE(CONTROL!$C$21, $C$9, 100%, $E$9)</f>
        <v>14.430300000000001</v>
      </c>
      <c r="C301" s="14">
        <f>CHOOSE(CONTROL!$C$42, 14.4353, 14.4353) * CHOOSE(CONTROL!$C$21, $C$9, 100%, $E$9)</f>
        <v>14.4353</v>
      </c>
      <c r="D301" s="14">
        <f>CHOOSE(CONTROL!$C$42, 14.5122, 14.5122) * CHOOSE(CONTROL!$C$21, $C$9, 100%, $E$9)</f>
        <v>14.5122</v>
      </c>
      <c r="E301" s="14">
        <f>CHOOSE(CONTROL!$C$42, 14.5463, 14.5463) * CHOOSE(CONTROL!$C$21, $C$9, 100%, $E$9)</f>
        <v>14.5463</v>
      </c>
      <c r="F301" s="14">
        <f>CHOOSE(CONTROL!$C$42, 14.455, 14.455)*CHOOSE(CONTROL!$C$21, $C$9, 100%, $E$9)</f>
        <v>14.455</v>
      </c>
      <c r="G301" s="14">
        <f>CHOOSE(CONTROL!$C$42, 14.473, 14.473)*CHOOSE(CONTROL!$C$21, $C$9, 100%, $E$9)</f>
        <v>14.473000000000001</v>
      </c>
      <c r="H301" s="14">
        <f>CHOOSE(CONTROL!$C$42, 14.5355, 14.5355) * CHOOSE(CONTROL!$C$21, $C$9, 100%, $E$9)</f>
        <v>14.535500000000001</v>
      </c>
      <c r="I301" s="14">
        <f>CHOOSE(CONTROL!$C$42, 14.5092, 14.5092)* CHOOSE(CONTROL!$C$21, $C$9, 100%, $E$9)</f>
        <v>14.5092</v>
      </c>
      <c r="J301" s="14">
        <f>CHOOSE(CONTROL!$C$42, 14.448, 14.448)* CHOOSE(CONTROL!$C$21, $C$9, 100%, $E$9)</f>
        <v>14.448</v>
      </c>
      <c r="K301" s="53">
        <f>CHOOSE(CONTROL!$C$42, 14.5053, 14.5053) * CHOOSE(CONTROL!$C$21, $C$9, 100%, $E$9)</f>
        <v>14.5053</v>
      </c>
      <c r="L301" s="14">
        <f>CHOOSE(CONTROL!$C$42, 15.1225, 15.1225) * CHOOSE(CONTROL!$C$21, $C$9, 100%, $E$9)</f>
        <v>15.1225</v>
      </c>
      <c r="M301" s="14">
        <f>CHOOSE(CONTROL!$C$42, 14.1597, 14.1597) * CHOOSE(CONTROL!$C$21, $C$9, 100%, $E$9)</f>
        <v>14.159700000000001</v>
      </c>
      <c r="N301" s="14">
        <f>CHOOSE(CONTROL!$C$42, 14.1773, 14.1773) * CHOOSE(CONTROL!$C$21, $C$9, 100%, $E$9)</f>
        <v>14.177300000000001</v>
      </c>
      <c r="O301" s="14">
        <f>CHOOSE(CONTROL!$C$42, 14.2453, 14.2453) * CHOOSE(CONTROL!$C$21, $C$9, 100%, $E$9)</f>
        <v>14.2453</v>
      </c>
      <c r="P301" s="14">
        <f>CHOOSE(CONTROL!$C$42, 14.2188, 14.2188) * CHOOSE(CONTROL!$C$21, $C$9, 100%, $E$9)</f>
        <v>14.2188</v>
      </c>
      <c r="Q301" s="14">
        <f>CHOOSE(CONTROL!$C$42, 14.84, 14.84) * CHOOSE(CONTROL!$C$21, $C$9, 100%, $E$9)</f>
        <v>14.84</v>
      </c>
      <c r="R301" s="14">
        <f>CHOOSE(CONTROL!$C$42, 15.4641, 15.4641) * CHOOSE(CONTROL!$C$21, $C$9, 100%, $E$9)</f>
        <v>15.4641</v>
      </c>
      <c r="S301" s="14">
        <f>CHOOSE(CONTROL!$C$42, 13.8575, 13.8575) * CHOOSE(CONTROL!$C$21, $C$9, 100%, $E$9)</f>
        <v>13.8575</v>
      </c>
      <c r="T30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01" s="57">
        <f>(1000*CHOOSE(CONTROL!$C$42, 695, 695)*CHOOSE(CONTROL!$C$42, 0.5599, 0.5599)*CHOOSE(CONTROL!$C$42, 31, 31))/1000000</f>
        <v>12.063045499999998</v>
      </c>
      <c r="V301" s="57">
        <f>(1000*CHOOSE(CONTROL!$C$42, 500, 500)*CHOOSE(CONTROL!$C$42, 0.275, 0.275)*CHOOSE(CONTROL!$C$42, 31, 31))/1000000</f>
        <v>4.2625000000000002</v>
      </c>
      <c r="W301" s="57">
        <f>(1000*CHOOSE(CONTROL!$C$42, 0.1146, 0.1146)*CHOOSE(CONTROL!$C$42, 121.5, 121.5)*CHOOSE(CONTROL!$C$42, 31, 31))/1000000</f>
        <v>0.43164089999999994</v>
      </c>
      <c r="X301" s="57">
        <f>(31*0.1790888*100000/1000000)+(31*0.2374*100000/1000000)</f>
        <v>1.2911152800000001</v>
      </c>
      <c r="Y301" s="57"/>
      <c r="Z301" s="14"/>
      <c r="AA301" s="56"/>
      <c r="AB301" s="50">
        <f>(B301*122.58+C301*297.941+D301*89.177+E301*40.302+F301*40+G301*160+H301*0+I301*100+J301*300)/(122.58+297.941+89.177+40.302+0+40+160+100+300)</f>
        <v>14.460289855043479</v>
      </c>
      <c r="AC301" s="45">
        <f>(M301*'RAP TEMPLATE-GAS AVAILABILITY'!O300+N301*'RAP TEMPLATE-GAS AVAILABILITY'!P300+O301*'RAP TEMPLATE-GAS AVAILABILITY'!Q300+P301*'RAP TEMPLATE-GAS AVAILABILITY'!R300)/('RAP TEMPLATE-GAS AVAILABILITY'!O300+'RAP TEMPLATE-GAS AVAILABILITY'!P300+'RAP TEMPLATE-GAS AVAILABILITY'!Q300+'RAP TEMPLATE-GAS AVAILABILITY'!R300)</f>
        <v>14.208013669064748</v>
      </c>
    </row>
    <row r="302" spans="1:29" ht="15.75" x14ac:dyDescent="0.25">
      <c r="A302" s="34">
        <v>50072</v>
      </c>
      <c r="B302" s="14">
        <f>CHOOSE(CONTROL!$C$42, 14.687, 14.687) * CHOOSE(CONTROL!$C$21, $C$9, 100%, $E$9)</f>
        <v>14.686999999999999</v>
      </c>
      <c r="C302" s="14">
        <f>CHOOSE(CONTROL!$C$42, 14.6921, 14.6921) * CHOOSE(CONTROL!$C$21, $C$9, 100%, $E$9)</f>
        <v>14.6921</v>
      </c>
      <c r="D302" s="14">
        <f>CHOOSE(CONTROL!$C$42, 14.7689, 14.7689) * CHOOSE(CONTROL!$C$21, $C$9, 100%, $E$9)</f>
        <v>14.7689</v>
      </c>
      <c r="E302" s="14">
        <f>CHOOSE(CONTROL!$C$42, 14.803, 14.803) * CHOOSE(CONTROL!$C$21, $C$9, 100%, $E$9)</f>
        <v>14.803000000000001</v>
      </c>
      <c r="F302" s="14">
        <f>CHOOSE(CONTROL!$C$42, 14.7113, 14.7113)*CHOOSE(CONTROL!$C$21, $C$9, 100%, $E$9)</f>
        <v>14.7113</v>
      </c>
      <c r="G302" s="14">
        <f>CHOOSE(CONTROL!$C$42, 14.7292, 14.7292)*CHOOSE(CONTROL!$C$21, $C$9, 100%, $E$9)</f>
        <v>14.729200000000001</v>
      </c>
      <c r="H302" s="14">
        <f>CHOOSE(CONTROL!$C$42, 14.7922, 14.7922) * CHOOSE(CONTROL!$C$21, $C$9, 100%, $E$9)</f>
        <v>14.792199999999999</v>
      </c>
      <c r="I302" s="14">
        <f>CHOOSE(CONTROL!$C$42, 14.7667, 14.7667)* CHOOSE(CONTROL!$C$21, $C$9, 100%, $E$9)</f>
        <v>14.7667</v>
      </c>
      <c r="J302" s="14">
        <f>CHOOSE(CONTROL!$C$42, 14.7043, 14.7043)* CHOOSE(CONTROL!$C$21, $C$9, 100%, $E$9)</f>
        <v>14.7043</v>
      </c>
      <c r="K302" s="53">
        <f>CHOOSE(CONTROL!$C$42, 14.7628, 14.7628) * CHOOSE(CONTROL!$C$21, $C$9, 100%, $E$9)</f>
        <v>14.7628</v>
      </c>
      <c r="L302" s="14">
        <f>CHOOSE(CONTROL!$C$42, 15.3792, 15.3792) * CHOOSE(CONTROL!$C$21, $C$9, 100%, $E$9)</f>
        <v>15.379200000000001</v>
      </c>
      <c r="M302" s="14">
        <f>CHOOSE(CONTROL!$C$42, 14.4107, 14.4107) * CHOOSE(CONTROL!$C$21, $C$9, 100%, $E$9)</f>
        <v>14.4107</v>
      </c>
      <c r="N302" s="14">
        <f>CHOOSE(CONTROL!$C$42, 14.4282, 14.4282) * CHOOSE(CONTROL!$C$21, $C$9, 100%, $E$9)</f>
        <v>14.4282</v>
      </c>
      <c r="O302" s="14">
        <f>CHOOSE(CONTROL!$C$42, 14.4968, 14.4968) * CHOOSE(CONTROL!$C$21, $C$9, 100%, $E$9)</f>
        <v>14.4968</v>
      </c>
      <c r="P302" s="14">
        <f>CHOOSE(CONTROL!$C$42, 14.471, 14.471) * CHOOSE(CONTROL!$C$21, $C$9, 100%, $E$9)</f>
        <v>14.471</v>
      </c>
      <c r="Q302" s="14">
        <f>CHOOSE(CONTROL!$C$42, 15.0915, 15.0915) * CHOOSE(CONTROL!$C$21, $C$9, 100%, $E$9)</f>
        <v>15.0915</v>
      </c>
      <c r="R302" s="14">
        <f>CHOOSE(CONTROL!$C$42, 15.7162, 15.7162) * CHOOSE(CONTROL!$C$21, $C$9, 100%, $E$9)</f>
        <v>15.716200000000001</v>
      </c>
      <c r="S302" s="14">
        <f>CHOOSE(CONTROL!$C$42, 14.1042, 14.1042) * CHOOSE(CONTROL!$C$21, $C$9, 100%, $E$9)</f>
        <v>14.104200000000001</v>
      </c>
      <c r="T30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02" s="57">
        <f>(1000*CHOOSE(CONTROL!$C$42, 695, 695)*CHOOSE(CONTROL!$C$42, 0.5599, 0.5599)*CHOOSE(CONTROL!$C$42, 28, 28))/1000000</f>
        <v>10.895653999999999</v>
      </c>
      <c r="V302" s="57">
        <f>(1000*CHOOSE(CONTROL!$C$42, 500, 500)*CHOOSE(CONTROL!$C$42, 0.275, 0.275)*CHOOSE(CONTROL!$C$42, 28, 28))/1000000</f>
        <v>3.85</v>
      </c>
      <c r="W302" s="57">
        <f>(1000*CHOOSE(CONTROL!$C$42, 0.1146, 0.1146)*CHOOSE(CONTROL!$C$42, 121.5, 121.5)*CHOOSE(CONTROL!$C$42, 28, 28))/1000000</f>
        <v>0.38986920000000003</v>
      </c>
      <c r="X302" s="57">
        <f>(28*0.1790888*100000/1000000)+(28*0.2374*100000/1000000)</f>
        <v>1.16616864</v>
      </c>
      <c r="Y302" s="57"/>
      <c r="Z302" s="14"/>
      <c r="AA302" s="56"/>
      <c r="AB302" s="50">
        <f>(B302*122.58+C302*297.941+D302*89.177+E302*40.302+F302*40+G302*160+H302*0+I302*100+J302*300)/(122.58+297.941+89.177+40.302+0+40+160+100+300)</f>
        <v>14.716897502086956</v>
      </c>
      <c r="AC302" s="45">
        <f>(M302*'RAP TEMPLATE-GAS AVAILABILITY'!O301+N302*'RAP TEMPLATE-GAS AVAILABILITY'!P301+O302*'RAP TEMPLATE-GAS AVAILABILITY'!Q301+P302*'RAP TEMPLATE-GAS AVAILABILITY'!R301)/('RAP TEMPLATE-GAS AVAILABILITY'!O301+'RAP TEMPLATE-GAS AVAILABILITY'!P301+'RAP TEMPLATE-GAS AVAILABILITY'!Q301+'RAP TEMPLATE-GAS AVAILABILITY'!R301)</f>
        <v>14.459407194244605</v>
      </c>
    </row>
    <row r="303" spans="1:29" ht="15.75" x14ac:dyDescent="0.25">
      <c r="A303" s="34">
        <v>50100</v>
      </c>
      <c r="B303" s="14">
        <f>CHOOSE(CONTROL!$C$42, 14.2703, 14.2703) * CHOOSE(CONTROL!$C$21, $C$9, 100%, $E$9)</f>
        <v>14.270300000000001</v>
      </c>
      <c r="C303" s="14">
        <f>CHOOSE(CONTROL!$C$42, 14.2754, 14.2754) * CHOOSE(CONTROL!$C$21, $C$9, 100%, $E$9)</f>
        <v>14.275399999999999</v>
      </c>
      <c r="D303" s="14">
        <f>CHOOSE(CONTROL!$C$42, 14.3522, 14.3522) * CHOOSE(CONTROL!$C$21, $C$9, 100%, $E$9)</f>
        <v>14.3522</v>
      </c>
      <c r="E303" s="14">
        <f>CHOOSE(CONTROL!$C$42, 14.3863, 14.3863) * CHOOSE(CONTROL!$C$21, $C$9, 100%, $E$9)</f>
        <v>14.3863</v>
      </c>
      <c r="F303" s="14">
        <f>CHOOSE(CONTROL!$C$42, 14.2938, 14.2938)*CHOOSE(CONTROL!$C$21, $C$9, 100%, $E$9)</f>
        <v>14.293799999999999</v>
      </c>
      <c r="G303" s="14">
        <f>CHOOSE(CONTROL!$C$42, 14.3114, 14.3114)*CHOOSE(CONTROL!$C$21, $C$9, 100%, $E$9)</f>
        <v>14.311400000000001</v>
      </c>
      <c r="H303" s="14">
        <f>CHOOSE(CONTROL!$C$42, 14.3755, 14.3755) * CHOOSE(CONTROL!$C$21, $C$9, 100%, $E$9)</f>
        <v>14.375500000000001</v>
      </c>
      <c r="I303" s="14">
        <f>CHOOSE(CONTROL!$C$42, 14.3487, 14.3487)* CHOOSE(CONTROL!$C$21, $C$9, 100%, $E$9)</f>
        <v>14.348699999999999</v>
      </c>
      <c r="J303" s="14">
        <f>CHOOSE(CONTROL!$C$42, 14.2868, 14.2868)* CHOOSE(CONTROL!$C$21, $C$9, 100%, $E$9)</f>
        <v>14.286799999999999</v>
      </c>
      <c r="K303" s="53">
        <f>CHOOSE(CONTROL!$C$42, 14.3448, 14.3448) * CHOOSE(CONTROL!$C$21, $C$9, 100%, $E$9)</f>
        <v>14.344799999999999</v>
      </c>
      <c r="L303" s="14">
        <f>CHOOSE(CONTROL!$C$42, 14.9625, 14.9625) * CHOOSE(CONTROL!$C$21, $C$9, 100%, $E$9)</f>
        <v>14.9625</v>
      </c>
      <c r="M303" s="14">
        <f>CHOOSE(CONTROL!$C$42, 14.0017, 14.0017) * CHOOSE(CONTROL!$C$21, $C$9, 100%, $E$9)</f>
        <v>14.0017</v>
      </c>
      <c r="N303" s="14">
        <f>CHOOSE(CONTROL!$C$42, 14.019, 14.019) * CHOOSE(CONTROL!$C$21, $C$9, 100%, $E$9)</f>
        <v>14.019</v>
      </c>
      <c r="O303" s="14">
        <f>CHOOSE(CONTROL!$C$42, 14.0886, 14.0886) * CHOOSE(CONTROL!$C$21, $C$9, 100%, $E$9)</f>
        <v>14.0886</v>
      </c>
      <c r="P303" s="14">
        <f>CHOOSE(CONTROL!$C$42, 14.0616, 14.0616) * CHOOSE(CONTROL!$C$21, $C$9, 100%, $E$9)</f>
        <v>14.0616</v>
      </c>
      <c r="Q303" s="14">
        <f>CHOOSE(CONTROL!$C$42, 14.6833, 14.6833) * CHOOSE(CONTROL!$C$21, $C$9, 100%, $E$9)</f>
        <v>14.683299999999999</v>
      </c>
      <c r="R303" s="14">
        <f>CHOOSE(CONTROL!$C$42, 15.307, 15.307) * CHOOSE(CONTROL!$C$21, $C$9, 100%, $E$9)</f>
        <v>15.307</v>
      </c>
      <c r="S303" s="14">
        <f>CHOOSE(CONTROL!$C$42, 13.7038, 13.7038) * CHOOSE(CONTROL!$C$21, $C$9, 100%, $E$9)</f>
        <v>13.703799999999999</v>
      </c>
      <c r="T30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03" s="57">
        <f>(1000*CHOOSE(CONTROL!$C$42, 695, 695)*CHOOSE(CONTROL!$C$42, 0.5599, 0.5599)*CHOOSE(CONTROL!$C$42, 31, 31))/1000000</f>
        <v>12.063045499999998</v>
      </c>
      <c r="V303" s="57">
        <f>(1000*CHOOSE(CONTROL!$C$42, 500, 500)*CHOOSE(CONTROL!$C$42, 0.275, 0.275)*CHOOSE(CONTROL!$C$42, 31, 31))/1000000</f>
        <v>4.2625000000000002</v>
      </c>
      <c r="W303" s="57">
        <f>(1000*CHOOSE(CONTROL!$C$42, 0.1146, 0.1146)*CHOOSE(CONTROL!$C$42, 121.5, 121.5)*CHOOSE(CONTROL!$C$42, 31, 31))/1000000</f>
        <v>0.43164089999999994</v>
      </c>
      <c r="X303" s="57">
        <f>(31*0.1790888*100000/1000000)+(31*0.2374*100000/1000000)</f>
        <v>1.2911152800000001</v>
      </c>
      <c r="Y303" s="57"/>
      <c r="Z303" s="14"/>
      <c r="AA303" s="56"/>
      <c r="AB303" s="50">
        <f>(B303*122.58+C303*297.941+D303*89.177+E303*40.302+F303*40+G303*160+H303*0+I303*100+J303*300)/(122.58+297.941+89.177+40.302+0+40+160+100+300)</f>
        <v>14.299694893391305</v>
      </c>
      <c r="AC303" s="45">
        <f>(M303*'RAP TEMPLATE-GAS AVAILABILITY'!O302+N303*'RAP TEMPLATE-GAS AVAILABILITY'!P302+O303*'RAP TEMPLATE-GAS AVAILABILITY'!Q302+P303*'RAP TEMPLATE-GAS AVAILABILITY'!R302)/('RAP TEMPLATE-GAS AVAILABILITY'!O302+'RAP TEMPLATE-GAS AVAILABILITY'!P302+'RAP TEMPLATE-GAS AVAILABILITY'!Q302+'RAP TEMPLATE-GAS AVAILABILITY'!R302)</f>
        <v>14.050700719424459</v>
      </c>
    </row>
    <row r="304" spans="1:29" ht="15.75" x14ac:dyDescent="0.25">
      <c r="A304" s="34">
        <v>50131</v>
      </c>
      <c r="B304" s="14">
        <f>CHOOSE(CONTROL!$C$42, 14.2286, 14.2286) * CHOOSE(CONTROL!$C$21, $C$9, 100%, $E$9)</f>
        <v>14.2286</v>
      </c>
      <c r="C304" s="14">
        <f>CHOOSE(CONTROL!$C$42, 14.2331, 14.2331) * CHOOSE(CONTROL!$C$21, $C$9, 100%, $E$9)</f>
        <v>14.2331</v>
      </c>
      <c r="D304" s="14">
        <f>CHOOSE(CONTROL!$C$42, 14.4568, 14.4568) * CHOOSE(CONTROL!$C$21, $C$9, 100%, $E$9)</f>
        <v>14.456799999999999</v>
      </c>
      <c r="E304" s="14">
        <f>CHOOSE(CONTROL!$C$42, 14.4889, 14.4889) * CHOOSE(CONTROL!$C$21, $C$9, 100%, $E$9)</f>
        <v>14.488899999999999</v>
      </c>
      <c r="F304" s="14">
        <f>CHOOSE(CONTROL!$C$42, 14.2563, 14.2563)*CHOOSE(CONTROL!$C$21, $C$9, 100%, $E$9)</f>
        <v>14.2563</v>
      </c>
      <c r="G304" s="14">
        <f>CHOOSE(CONTROL!$C$42, 14.2732, 14.2732)*CHOOSE(CONTROL!$C$21, $C$9, 100%, $E$9)</f>
        <v>14.273199999999999</v>
      </c>
      <c r="H304" s="14">
        <f>CHOOSE(CONTROL!$C$42, 14.4787, 14.4787) * CHOOSE(CONTROL!$C$21, $C$9, 100%, $E$9)</f>
        <v>14.4787</v>
      </c>
      <c r="I304" s="14">
        <f>CHOOSE(CONTROL!$C$42, 14.3024, 14.3024)* CHOOSE(CONTROL!$C$21, $C$9, 100%, $E$9)</f>
        <v>14.3024</v>
      </c>
      <c r="J304" s="14">
        <f>CHOOSE(CONTROL!$C$42, 14.2493, 14.2493)* CHOOSE(CONTROL!$C$21, $C$9, 100%, $E$9)</f>
        <v>14.2493</v>
      </c>
      <c r="K304" s="53">
        <f>CHOOSE(CONTROL!$C$42, 14.2986, 14.2986) * CHOOSE(CONTROL!$C$21, $C$9, 100%, $E$9)</f>
        <v>14.2986</v>
      </c>
      <c r="L304" s="14">
        <f>CHOOSE(CONTROL!$C$42, 15.0657, 15.0657) * CHOOSE(CONTROL!$C$21, $C$9, 100%, $E$9)</f>
        <v>15.0657</v>
      </c>
      <c r="M304" s="14">
        <f>CHOOSE(CONTROL!$C$42, 13.965, 13.965) * CHOOSE(CONTROL!$C$21, $C$9, 100%, $E$9)</f>
        <v>13.965</v>
      </c>
      <c r="N304" s="14">
        <f>CHOOSE(CONTROL!$C$42, 13.9816, 13.9816) * CHOOSE(CONTROL!$C$21, $C$9, 100%, $E$9)</f>
        <v>13.9816</v>
      </c>
      <c r="O304" s="14">
        <f>CHOOSE(CONTROL!$C$42, 14.1897, 14.1897) * CHOOSE(CONTROL!$C$21, $C$9, 100%, $E$9)</f>
        <v>14.1897</v>
      </c>
      <c r="P304" s="14">
        <f>CHOOSE(CONTROL!$C$42, 14.0163, 14.0163) * CHOOSE(CONTROL!$C$21, $C$9, 100%, $E$9)</f>
        <v>14.016299999999999</v>
      </c>
      <c r="Q304" s="14">
        <f>CHOOSE(CONTROL!$C$42, 14.7844, 14.7844) * CHOOSE(CONTROL!$C$21, $C$9, 100%, $E$9)</f>
        <v>14.7844</v>
      </c>
      <c r="R304" s="14">
        <f>CHOOSE(CONTROL!$C$42, 15.4084, 15.4084) * CHOOSE(CONTROL!$C$21, $C$9, 100%, $E$9)</f>
        <v>15.4084</v>
      </c>
      <c r="S304" s="14">
        <f>CHOOSE(CONTROL!$C$42, 13.663, 13.663) * CHOOSE(CONTROL!$C$21, $C$9, 100%, $E$9)</f>
        <v>13.663</v>
      </c>
      <c r="T30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04" s="57">
        <f>(1000*CHOOSE(CONTROL!$C$42, 695, 695)*CHOOSE(CONTROL!$C$42, 0.5599, 0.5599)*CHOOSE(CONTROL!$C$42, 30, 30))/1000000</f>
        <v>11.673914999999997</v>
      </c>
      <c r="V304" s="57">
        <f>(1000*CHOOSE(CONTROL!$C$42, 500, 500)*CHOOSE(CONTROL!$C$42, 0.275, 0.275)*CHOOSE(CONTROL!$C$42, 30, 30))/1000000</f>
        <v>4.125</v>
      </c>
      <c r="W304" s="57">
        <f>(1000*CHOOSE(CONTROL!$C$42, 0.1146, 0.1146)*CHOOSE(CONTROL!$C$42, 121.5, 121.5)*CHOOSE(CONTROL!$C$42, 30, 30))/1000000</f>
        <v>0.417717</v>
      </c>
      <c r="X304" s="57">
        <f>(30*0.1790888*245000/1000000)+(30*0.2374*100000/1000000)</f>
        <v>2.0285026799999999</v>
      </c>
      <c r="Y304" s="57"/>
      <c r="Z304" s="14"/>
      <c r="AA304" s="56"/>
      <c r="AB304" s="50">
        <f>(B304*141.293+C304*267.993+D304*115.016+E304*89.698+F304*40+G304*185+H304*0+I304*100+J304*300)/(141.293+267.993+115.016+89.698+0+40+185+100+300)</f>
        <v>14.288123816868444</v>
      </c>
      <c r="AC304" s="45">
        <f>(M304*'RAP TEMPLATE-GAS AVAILABILITY'!O303+N304*'RAP TEMPLATE-GAS AVAILABILITY'!P303+O304*'RAP TEMPLATE-GAS AVAILABILITY'!Q303+P304*'RAP TEMPLATE-GAS AVAILABILITY'!R303)/('RAP TEMPLATE-GAS AVAILABILITY'!O303+'RAP TEMPLATE-GAS AVAILABILITY'!P303+'RAP TEMPLATE-GAS AVAILABILITY'!Q303+'RAP TEMPLATE-GAS AVAILABILITY'!R303)</f>
        <v>14.039248201438847</v>
      </c>
    </row>
    <row r="305" spans="1:29" ht="15.75" x14ac:dyDescent="0.25">
      <c r="A305" s="34">
        <v>50161</v>
      </c>
      <c r="B305" s="14">
        <f>CHOOSE(CONTROL!$C$42, 14.3555, 14.3555) * CHOOSE(CONTROL!$C$21, $C$9, 100%, $E$9)</f>
        <v>14.355499999999999</v>
      </c>
      <c r="C305" s="14">
        <f>CHOOSE(CONTROL!$C$42, 14.3635, 14.3635) * CHOOSE(CONTROL!$C$21, $C$9, 100%, $E$9)</f>
        <v>14.3635</v>
      </c>
      <c r="D305" s="14">
        <f>CHOOSE(CONTROL!$C$42, 14.5841, 14.5841) * CHOOSE(CONTROL!$C$21, $C$9, 100%, $E$9)</f>
        <v>14.584099999999999</v>
      </c>
      <c r="E305" s="14">
        <f>CHOOSE(CONTROL!$C$42, 14.6156, 14.6156) * CHOOSE(CONTROL!$C$21, $C$9, 100%, $E$9)</f>
        <v>14.615600000000001</v>
      </c>
      <c r="F305" s="14">
        <f>CHOOSE(CONTROL!$C$42, 14.3817, 14.3817)*CHOOSE(CONTROL!$C$21, $C$9, 100%, $E$9)</f>
        <v>14.3817</v>
      </c>
      <c r="G305" s="14">
        <f>CHOOSE(CONTROL!$C$42, 14.3989, 14.3989)*CHOOSE(CONTROL!$C$21, $C$9, 100%, $E$9)</f>
        <v>14.398899999999999</v>
      </c>
      <c r="H305" s="14">
        <f>CHOOSE(CONTROL!$C$42, 14.6042, 14.6042) * CHOOSE(CONTROL!$C$21, $C$9, 100%, $E$9)</f>
        <v>14.604200000000001</v>
      </c>
      <c r="I305" s="14">
        <f>CHOOSE(CONTROL!$C$42, 14.4283, 14.4283)* CHOOSE(CONTROL!$C$21, $C$9, 100%, $E$9)</f>
        <v>14.4283</v>
      </c>
      <c r="J305" s="14">
        <f>CHOOSE(CONTROL!$C$42, 14.3747, 14.3747)* CHOOSE(CONTROL!$C$21, $C$9, 100%, $E$9)</f>
        <v>14.374700000000001</v>
      </c>
      <c r="K305" s="53">
        <f>CHOOSE(CONTROL!$C$42, 14.4244, 14.4244) * CHOOSE(CONTROL!$C$21, $C$9, 100%, $E$9)</f>
        <v>14.4244</v>
      </c>
      <c r="L305" s="14">
        <f>CHOOSE(CONTROL!$C$42, 15.1912, 15.1912) * CHOOSE(CONTROL!$C$21, $C$9, 100%, $E$9)</f>
        <v>15.1912</v>
      </c>
      <c r="M305" s="14">
        <f>CHOOSE(CONTROL!$C$42, 14.0879, 14.0879) * CHOOSE(CONTROL!$C$21, $C$9, 100%, $E$9)</f>
        <v>14.087899999999999</v>
      </c>
      <c r="N305" s="14">
        <f>CHOOSE(CONTROL!$C$42, 14.1047, 14.1047) * CHOOSE(CONTROL!$C$21, $C$9, 100%, $E$9)</f>
        <v>14.104699999999999</v>
      </c>
      <c r="O305" s="14">
        <f>CHOOSE(CONTROL!$C$42, 14.3127, 14.3127) * CHOOSE(CONTROL!$C$21, $C$9, 100%, $E$9)</f>
        <v>14.3127</v>
      </c>
      <c r="P305" s="14">
        <f>CHOOSE(CONTROL!$C$42, 14.1396, 14.1396) * CHOOSE(CONTROL!$C$21, $C$9, 100%, $E$9)</f>
        <v>14.1396</v>
      </c>
      <c r="Q305" s="14">
        <f>CHOOSE(CONTROL!$C$42, 14.9074, 14.9074) * CHOOSE(CONTROL!$C$21, $C$9, 100%, $E$9)</f>
        <v>14.907400000000001</v>
      </c>
      <c r="R305" s="14">
        <f>CHOOSE(CONTROL!$C$42, 15.5316, 15.5316) * CHOOSE(CONTROL!$C$21, $C$9, 100%, $E$9)</f>
        <v>15.531599999999999</v>
      </c>
      <c r="S305" s="14">
        <f>CHOOSE(CONTROL!$C$42, 13.7836, 13.7836) * CHOOSE(CONTROL!$C$21, $C$9, 100%, $E$9)</f>
        <v>13.7836</v>
      </c>
      <c r="T30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05" s="57">
        <f>(1000*CHOOSE(CONTROL!$C$42, 695, 695)*CHOOSE(CONTROL!$C$42, 0.5599, 0.5599)*CHOOSE(CONTROL!$C$42, 31, 31))/1000000</f>
        <v>12.063045499999998</v>
      </c>
      <c r="V305" s="57">
        <f>(1000*CHOOSE(CONTROL!$C$42, 500, 500)*CHOOSE(CONTROL!$C$42, 0.275, 0.275)*CHOOSE(CONTROL!$C$42, 31, 31))/1000000</f>
        <v>4.2625000000000002</v>
      </c>
      <c r="W305" s="57">
        <f>(1000*CHOOSE(CONTROL!$C$42, 0.1146, 0.1146)*CHOOSE(CONTROL!$C$42, 121.5, 121.5)*CHOOSE(CONTROL!$C$42, 31, 31))/1000000</f>
        <v>0.43164089999999994</v>
      </c>
      <c r="X305" s="57">
        <f>(31*0.1790888*245000/1000000)+(31*0.2374*100000/1000000)</f>
        <v>2.0961194359999999</v>
      </c>
      <c r="Y305" s="57"/>
      <c r="Z305" s="14"/>
      <c r="AA305" s="56"/>
      <c r="AB305" s="50">
        <f>(B305*194.205+C305*267.466+D305*133.845+E305*53.484+F305*40+G305*185+H305*0+I305*100+J305*300)/(194.205+267.466+133.845+53.484+0+40+185+100+300)</f>
        <v>14.409475575667189</v>
      </c>
      <c r="AC305" s="45">
        <f>(M305*'RAP TEMPLATE-GAS AVAILABILITY'!O304+N305*'RAP TEMPLATE-GAS AVAILABILITY'!P304+O305*'RAP TEMPLATE-GAS AVAILABILITY'!Q304+P305*'RAP TEMPLATE-GAS AVAILABILITY'!R304)/('RAP TEMPLATE-GAS AVAILABILITY'!O304+'RAP TEMPLATE-GAS AVAILABILITY'!P304+'RAP TEMPLATE-GAS AVAILABILITY'!Q304+'RAP TEMPLATE-GAS AVAILABILITY'!R304)</f>
        <v>14.162279856115106</v>
      </c>
    </row>
    <row r="306" spans="1:29" ht="15.75" x14ac:dyDescent="0.25">
      <c r="A306" s="34">
        <v>50192</v>
      </c>
      <c r="B306" s="14">
        <f>CHOOSE(CONTROL!$C$42, 14.7624, 14.7624) * CHOOSE(CONTROL!$C$21, $C$9, 100%, $E$9)</f>
        <v>14.7624</v>
      </c>
      <c r="C306" s="14">
        <f>CHOOSE(CONTROL!$C$42, 14.7704, 14.7704) * CHOOSE(CONTROL!$C$21, $C$9, 100%, $E$9)</f>
        <v>14.7704</v>
      </c>
      <c r="D306" s="14">
        <f>CHOOSE(CONTROL!$C$42, 14.991, 14.991) * CHOOSE(CONTROL!$C$21, $C$9, 100%, $E$9)</f>
        <v>14.991</v>
      </c>
      <c r="E306" s="14">
        <f>CHOOSE(CONTROL!$C$42, 15.0224, 15.0224) * CHOOSE(CONTROL!$C$21, $C$9, 100%, $E$9)</f>
        <v>15.022399999999999</v>
      </c>
      <c r="F306" s="14">
        <f>CHOOSE(CONTROL!$C$42, 14.789, 14.789)*CHOOSE(CONTROL!$C$21, $C$9, 100%, $E$9)</f>
        <v>14.789</v>
      </c>
      <c r="G306" s="14">
        <f>CHOOSE(CONTROL!$C$42, 14.8062, 14.8062)*CHOOSE(CONTROL!$C$21, $C$9, 100%, $E$9)</f>
        <v>14.8062</v>
      </c>
      <c r="H306" s="14">
        <f>CHOOSE(CONTROL!$C$42, 15.0111, 15.0111) * CHOOSE(CONTROL!$C$21, $C$9, 100%, $E$9)</f>
        <v>15.011100000000001</v>
      </c>
      <c r="I306" s="14">
        <f>CHOOSE(CONTROL!$C$42, 14.8365, 14.8365)* CHOOSE(CONTROL!$C$21, $C$9, 100%, $E$9)</f>
        <v>14.836499999999999</v>
      </c>
      <c r="J306" s="14">
        <f>CHOOSE(CONTROL!$C$42, 14.782, 14.782)* CHOOSE(CONTROL!$C$21, $C$9, 100%, $E$9)</f>
        <v>14.782</v>
      </c>
      <c r="K306" s="53">
        <f>CHOOSE(CONTROL!$C$42, 14.8326, 14.8326) * CHOOSE(CONTROL!$C$21, $C$9, 100%, $E$9)</f>
        <v>14.832599999999999</v>
      </c>
      <c r="L306" s="14">
        <f>CHOOSE(CONTROL!$C$42, 15.5981, 15.5981) * CHOOSE(CONTROL!$C$21, $C$9, 100%, $E$9)</f>
        <v>15.598100000000001</v>
      </c>
      <c r="M306" s="14">
        <f>CHOOSE(CONTROL!$C$42, 14.4868, 14.4868) * CHOOSE(CONTROL!$C$21, $C$9, 100%, $E$9)</f>
        <v>14.486800000000001</v>
      </c>
      <c r="N306" s="14">
        <f>CHOOSE(CONTROL!$C$42, 14.5036, 14.5036) * CHOOSE(CONTROL!$C$21, $C$9, 100%, $E$9)</f>
        <v>14.5036</v>
      </c>
      <c r="O306" s="14">
        <f>CHOOSE(CONTROL!$C$42, 14.7112, 14.7112) * CHOOSE(CONTROL!$C$21, $C$9, 100%, $E$9)</f>
        <v>14.7112</v>
      </c>
      <c r="P306" s="14">
        <f>CHOOSE(CONTROL!$C$42, 14.5393, 14.5393) * CHOOSE(CONTROL!$C$21, $C$9, 100%, $E$9)</f>
        <v>14.539300000000001</v>
      </c>
      <c r="Q306" s="14">
        <f>CHOOSE(CONTROL!$C$42, 15.3059, 15.3059) * CHOOSE(CONTROL!$C$21, $C$9, 100%, $E$9)</f>
        <v>15.305899999999999</v>
      </c>
      <c r="R306" s="14">
        <f>CHOOSE(CONTROL!$C$42, 15.9312, 15.9312) * CHOOSE(CONTROL!$C$21, $C$9, 100%, $E$9)</f>
        <v>15.9312</v>
      </c>
      <c r="S306" s="14">
        <f>CHOOSE(CONTROL!$C$42, 14.1745, 14.1745) * CHOOSE(CONTROL!$C$21, $C$9, 100%, $E$9)</f>
        <v>14.1745</v>
      </c>
      <c r="T30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06" s="57">
        <f>(1000*CHOOSE(CONTROL!$C$42, 695, 695)*CHOOSE(CONTROL!$C$42, 0.5599, 0.5599)*CHOOSE(CONTROL!$C$42, 30, 30))/1000000</f>
        <v>11.673914999999997</v>
      </c>
      <c r="V306" s="57">
        <f>(1000*CHOOSE(CONTROL!$C$42, 500, 500)*CHOOSE(CONTROL!$C$42, 0.275, 0.275)*CHOOSE(CONTROL!$C$42, 30, 30))/1000000</f>
        <v>4.125</v>
      </c>
      <c r="W306" s="57">
        <f>(1000*CHOOSE(CONTROL!$C$42, 0.1146, 0.1146)*CHOOSE(CONTROL!$C$42, 121.5, 121.5)*CHOOSE(CONTROL!$C$42, 30, 30))/1000000</f>
        <v>0.417717</v>
      </c>
      <c r="X306" s="57">
        <f>(30*0.1790888*245000/1000000)+(30*0.2374*100000/1000000)</f>
        <v>2.0285026799999999</v>
      </c>
      <c r="Y306" s="57"/>
      <c r="Z306" s="14"/>
      <c r="AA306" s="56"/>
      <c r="AB306" s="50">
        <f>(B306*194.205+C306*267.466+D306*133.845+E306*53.484+F306*40+G306*185+H306*0+I306*100+J306*300)/(194.205+267.466+133.845+53.484+0+40+185+100+300)</f>
        <v>14.816638253532181</v>
      </c>
      <c r="AC306" s="45">
        <f>(M306*'RAP TEMPLATE-GAS AVAILABILITY'!O305+N306*'RAP TEMPLATE-GAS AVAILABILITY'!P305+O306*'RAP TEMPLATE-GAS AVAILABILITY'!Q305+P306*'RAP TEMPLATE-GAS AVAILABILITY'!R305)/('RAP TEMPLATE-GAS AVAILABILITY'!O305+'RAP TEMPLATE-GAS AVAILABILITY'!P305+'RAP TEMPLATE-GAS AVAILABILITY'!Q305+'RAP TEMPLATE-GAS AVAILABILITY'!R305)</f>
        <v>14.56118273381295</v>
      </c>
    </row>
    <row r="307" spans="1:29" ht="15.75" x14ac:dyDescent="0.25">
      <c r="A307" s="34">
        <v>50222</v>
      </c>
      <c r="B307" s="14">
        <f>CHOOSE(CONTROL!$C$42, 14.4794, 14.4794) * CHOOSE(CONTROL!$C$21, $C$9, 100%, $E$9)</f>
        <v>14.4794</v>
      </c>
      <c r="C307" s="14">
        <f>CHOOSE(CONTROL!$C$42, 14.4874, 14.4874) * CHOOSE(CONTROL!$C$21, $C$9, 100%, $E$9)</f>
        <v>14.487399999999999</v>
      </c>
      <c r="D307" s="14">
        <f>CHOOSE(CONTROL!$C$42, 14.708, 14.708) * CHOOSE(CONTROL!$C$21, $C$9, 100%, $E$9)</f>
        <v>14.708</v>
      </c>
      <c r="E307" s="14">
        <f>CHOOSE(CONTROL!$C$42, 14.7394, 14.7394) * CHOOSE(CONTROL!$C$21, $C$9, 100%, $E$9)</f>
        <v>14.7394</v>
      </c>
      <c r="F307" s="14">
        <f>CHOOSE(CONTROL!$C$42, 14.5064, 14.5064)*CHOOSE(CONTROL!$C$21, $C$9, 100%, $E$9)</f>
        <v>14.506399999999999</v>
      </c>
      <c r="G307" s="14">
        <f>CHOOSE(CONTROL!$C$42, 14.5238, 14.5238)*CHOOSE(CONTROL!$C$21, $C$9, 100%, $E$9)</f>
        <v>14.5238</v>
      </c>
      <c r="H307" s="14">
        <f>CHOOSE(CONTROL!$C$42, 14.7281, 14.7281) * CHOOSE(CONTROL!$C$21, $C$9, 100%, $E$9)</f>
        <v>14.7281</v>
      </c>
      <c r="I307" s="14">
        <f>CHOOSE(CONTROL!$C$42, 14.5526, 14.5526)* CHOOSE(CONTROL!$C$21, $C$9, 100%, $E$9)</f>
        <v>14.5526</v>
      </c>
      <c r="J307" s="14">
        <f>CHOOSE(CONTROL!$C$42, 14.4994, 14.4994)* CHOOSE(CONTROL!$C$21, $C$9, 100%, $E$9)</f>
        <v>14.4994</v>
      </c>
      <c r="K307" s="53">
        <f>CHOOSE(CONTROL!$C$42, 14.5487, 14.5487) * CHOOSE(CONTROL!$C$21, $C$9, 100%, $E$9)</f>
        <v>14.5487</v>
      </c>
      <c r="L307" s="14">
        <f>CHOOSE(CONTROL!$C$42, 15.3151, 15.3151) * CHOOSE(CONTROL!$C$21, $C$9, 100%, $E$9)</f>
        <v>15.315099999999999</v>
      </c>
      <c r="M307" s="14">
        <f>CHOOSE(CONTROL!$C$42, 14.21, 14.21) * CHOOSE(CONTROL!$C$21, $C$9, 100%, $E$9)</f>
        <v>14.21</v>
      </c>
      <c r="N307" s="14">
        <f>CHOOSE(CONTROL!$C$42, 14.227, 14.227) * CHOOSE(CONTROL!$C$21, $C$9, 100%, $E$9)</f>
        <v>14.227</v>
      </c>
      <c r="O307" s="14">
        <f>CHOOSE(CONTROL!$C$42, 14.434, 14.434) * CHOOSE(CONTROL!$C$21, $C$9, 100%, $E$9)</f>
        <v>14.433999999999999</v>
      </c>
      <c r="P307" s="14">
        <f>CHOOSE(CONTROL!$C$42, 14.2613, 14.2613) * CHOOSE(CONTROL!$C$21, $C$9, 100%, $E$9)</f>
        <v>14.2613</v>
      </c>
      <c r="Q307" s="14">
        <f>CHOOSE(CONTROL!$C$42, 15.0287, 15.0287) * CHOOSE(CONTROL!$C$21, $C$9, 100%, $E$9)</f>
        <v>15.028700000000001</v>
      </c>
      <c r="R307" s="14">
        <f>CHOOSE(CONTROL!$C$42, 15.6533, 15.6533) * CHOOSE(CONTROL!$C$21, $C$9, 100%, $E$9)</f>
        <v>15.6533</v>
      </c>
      <c r="S307" s="14">
        <f>CHOOSE(CONTROL!$C$42, 13.9026, 13.9026) * CHOOSE(CONTROL!$C$21, $C$9, 100%, $E$9)</f>
        <v>13.9026</v>
      </c>
      <c r="T30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07" s="57">
        <f>(1000*CHOOSE(CONTROL!$C$42, 695, 695)*CHOOSE(CONTROL!$C$42, 0.5599, 0.5599)*CHOOSE(CONTROL!$C$42, 31, 31))/1000000</f>
        <v>12.063045499999998</v>
      </c>
      <c r="V307" s="57">
        <f>(1000*CHOOSE(CONTROL!$C$42, 500, 500)*CHOOSE(CONTROL!$C$42, 0.275, 0.275)*CHOOSE(CONTROL!$C$42, 31, 31))/1000000</f>
        <v>4.2625000000000002</v>
      </c>
      <c r="W307" s="57">
        <f>(1000*CHOOSE(CONTROL!$C$42, 0.1146, 0.1146)*CHOOSE(CONTROL!$C$42, 121.5, 121.5)*CHOOSE(CONTROL!$C$42, 31, 31))/1000000</f>
        <v>0.43164089999999994</v>
      </c>
      <c r="X307" s="57">
        <f>(31*0.1790888*245000/1000000)+(31*0.2374*100000/1000000)</f>
        <v>2.0961194359999999</v>
      </c>
      <c r="Y307" s="57"/>
      <c r="Z307" s="14"/>
      <c r="AA307" s="56"/>
      <c r="AB307" s="50">
        <f>(B307*194.205+C307*267.466+D307*133.845+E307*53.484+F307*40+G307*185+H307*0+I307*100+J307*300)/(194.205+267.466+133.845+53.484+0+40+185+100+300)</f>
        <v>14.533761487441131</v>
      </c>
      <c r="AC307" s="45">
        <f>(M307*'RAP TEMPLATE-GAS AVAILABILITY'!O306+N307*'RAP TEMPLATE-GAS AVAILABILITY'!P306+O307*'RAP TEMPLATE-GAS AVAILABILITY'!Q306+P307*'RAP TEMPLATE-GAS AVAILABILITY'!R306)/('RAP TEMPLATE-GAS AVAILABILITY'!O306+'RAP TEMPLATE-GAS AVAILABILITY'!P306+'RAP TEMPLATE-GAS AVAILABILITY'!Q306+'RAP TEMPLATE-GAS AVAILABILITY'!R306)</f>
        <v>14.284143884892085</v>
      </c>
    </row>
    <row r="308" spans="1:29" ht="15.75" x14ac:dyDescent="0.25">
      <c r="A308" s="34">
        <v>50253</v>
      </c>
      <c r="B308" s="14">
        <f>CHOOSE(CONTROL!$C$42, 13.7648, 13.7648) * CHOOSE(CONTROL!$C$21, $C$9, 100%, $E$9)</f>
        <v>13.764799999999999</v>
      </c>
      <c r="C308" s="14">
        <f>CHOOSE(CONTROL!$C$42, 13.7728, 13.7728) * CHOOSE(CONTROL!$C$21, $C$9, 100%, $E$9)</f>
        <v>13.7728</v>
      </c>
      <c r="D308" s="14">
        <f>CHOOSE(CONTROL!$C$42, 13.9934, 13.9934) * CHOOSE(CONTROL!$C$21, $C$9, 100%, $E$9)</f>
        <v>13.993399999999999</v>
      </c>
      <c r="E308" s="14">
        <f>CHOOSE(CONTROL!$C$42, 14.0248, 14.0248) * CHOOSE(CONTROL!$C$21, $C$9, 100%, $E$9)</f>
        <v>14.024800000000001</v>
      </c>
      <c r="F308" s="14">
        <f>CHOOSE(CONTROL!$C$42, 13.7921, 13.7921)*CHOOSE(CONTROL!$C$21, $C$9, 100%, $E$9)</f>
        <v>13.7921</v>
      </c>
      <c r="G308" s="14">
        <f>CHOOSE(CONTROL!$C$42, 13.8095, 13.8095)*CHOOSE(CONTROL!$C$21, $C$9, 100%, $E$9)</f>
        <v>13.8095</v>
      </c>
      <c r="H308" s="14">
        <f>CHOOSE(CONTROL!$C$42, 14.0135, 14.0135) * CHOOSE(CONTROL!$C$21, $C$9, 100%, $E$9)</f>
        <v>14.013500000000001</v>
      </c>
      <c r="I308" s="14">
        <f>CHOOSE(CONTROL!$C$42, 13.8357, 13.8357)* CHOOSE(CONTROL!$C$21, $C$9, 100%, $E$9)</f>
        <v>13.835699999999999</v>
      </c>
      <c r="J308" s="14">
        <f>CHOOSE(CONTROL!$C$42, 13.7851, 13.7851)* CHOOSE(CONTROL!$C$21, $C$9, 100%, $E$9)</f>
        <v>13.7851</v>
      </c>
      <c r="K308" s="53">
        <f>CHOOSE(CONTROL!$C$42, 13.8319, 13.8319) * CHOOSE(CONTROL!$C$21, $C$9, 100%, $E$9)</f>
        <v>13.831899999999999</v>
      </c>
      <c r="L308" s="14">
        <f>CHOOSE(CONTROL!$C$42, 14.6005, 14.6005) * CHOOSE(CONTROL!$C$21, $C$9, 100%, $E$9)</f>
        <v>14.6005</v>
      </c>
      <c r="M308" s="14">
        <f>CHOOSE(CONTROL!$C$42, 13.5104, 13.5104) * CHOOSE(CONTROL!$C$21, $C$9, 100%, $E$9)</f>
        <v>13.510400000000001</v>
      </c>
      <c r="N308" s="14">
        <f>CHOOSE(CONTROL!$C$42, 13.5274, 13.5274) * CHOOSE(CONTROL!$C$21, $C$9, 100%, $E$9)</f>
        <v>13.5274</v>
      </c>
      <c r="O308" s="14">
        <f>CHOOSE(CONTROL!$C$42, 13.734, 13.734) * CHOOSE(CONTROL!$C$21, $C$9, 100%, $E$9)</f>
        <v>13.734</v>
      </c>
      <c r="P308" s="14">
        <f>CHOOSE(CONTROL!$C$42, 13.5592, 13.5592) * CHOOSE(CONTROL!$C$21, $C$9, 100%, $E$9)</f>
        <v>13.559200000000001</v>
      </c>
      <c r="Q308" s="14">
        <f>CHOOSE(CONTROL!$C$42, 14.3287, 14.3287) * CHOOSE(CONTROL!$C$21, $C$9, 100%, $E$9)</f>
        <v>14.3287</v>
      </c>
      <c r="R308" s="14">
        <f>CHOOSE(CONTROL!$C$42, 14.9515, 14.9515) * CHOOSE(CONTROL!$C$21, $C$9, 100%, $E$9)</f>
        <v>14.951499999999999</v>
      </c>
      <c r="S308" s="14">
        <f>CHOOSE(CONTROL!$C$42, 13.2159, 13.2159) * CHOOSE(CONTROL!$C$21, $C$9, 100%, $E$9)</f>
        <v>13.2159</v>
      </c>
      <c r="T30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08" s="57">
        <f>(1000*CHOOSE(CONTROL!$C$42, 695, 695)*CHOOSE(CONTROL!$C$42, 0.5599, 0.5599)*CHOOSE(CONTROL!$C$42, 31, 31))/1000000</f>
        <v>12.063045499999998</v>
      </c>
      <c r="V308" s="57">
        <f>(1000*CHOOSE(CONTROL!$C$42, 500, 500)*CHOOSE(CONTROL!$C$42, 0.275, 0.275)*CHOOSE(CONTROL!$C$42, 31, 31))/1000000</f>
        <v>4.2625000000000002</v>
      </c>
      <c r="W308" s="57">
        <f>(1000*CHOOSE(CONTROL!$C$42, 0.1146, 0.1146)*CHOOSE(CONTROL!$C$42, 121.5, 121.5)*CHOOSE(CONTROL!$C$42, 31, 31))/1000000</f>
        <v>0.43164089999999994</v>
      </c>
      <c r="X308" s="57">
        <f>(31*0.1790888*245000/1000000)+(31*0.2374*100000/1000000)</f>
        <v>2.0961194359999999</v>
      </c>
      <c r="Y308" s="57"/>
      <c r="Z308" s="14"/>
      <c r="AA308" s="56"/>
      <c r="AB308" s="50">
        <f>(B308*194.205+C308*267.466+D308*133.845+E308*53.484+F308*40+G308*185+H308*0+I308*100+J308*300)/(194.205+267.466+133.845+53.484+0+40+185+100+300)</f>
        <v>13.819104580062794</v>
      </c>
      <c r="AC308" s="45">
        <f>(M308*'RAP TEMPLATE-GAS AVAILABILITY'!O307+N308*'RAP TEMPLATE-GAS AVAILABILITY'!P307+O308*'RAP TEMPLATE-GAS AVAILABILITY'!Q307+P308*'RAP TEMPLATE-GAS AVAILABILITY'!R307)/('RAP TEMPLATE-GAS AVAILABILITY'!O307+'RAP TEMPLATE-GAS AVAILABILITY'!P307+'RAP TEMPLATE-GAS AVAILABILITY'!Q307+'RAP TEMPLATE-GAS AVAILABILITY'!R307)</f>
        <v>13.584071942446043</v>
      </c>
    </row>
    <row r="309" spans="1:29" ht="15.75" x14ac:dyDescent="0.25">
      <c r="A309" s="34">
        <v>50284</v>
      </c>
      <c r="B309" s="14">
        <f>CHOOSE(CONTROL!$C$42, 12.8914, 12.8914) * CHOOSE(CONTROL!$C$21, $C$9, 100%, $E$9)</f>
        <v>12.891400000000001</v>
      </c>
      <c r="C309" s="14">
        <f>CHOOSE(CONTROL!$C$42, 12.8994, 12.8994) * CHOOSE(CONTROL!$C$21, $C$9, 100%, $E$9)</f>
        <v>12.8994</v>
      </c>
      <c r="D309" s="14">
        <f>CHOOSE(CONTROL!$C$42, 13.12, 13.12) * CHOOSE(CONTROL!$C$21, $C$9, 100%, $E$9)</f>
        <v>13.12</v>
      </c>
      <c r="E309" s="14">
        <f>CHOOSE(CONTROL!$C$42, 13.1515, 13.1515) * CHOOSE(CONTROL!$C$21, $C$9, 100%, $E$9)</f>
        <v>13.1515</v>
      </c>
      <c r="F309" s="14">
        <f>CHOOSE(CONTROL!$C$42, 12.9187, 12.9187)*CHOOSE(CONTROL!$C$21, $C$9, 100%, $E$9)</f>
        <v>12.918699999999999</v>
      </c>
      <c r="G309" s="14">
        <f>CHOOSE(CONTROL!$C$42, 12.9361, 12.9361)*CHOOSE(CONTROL!$C$21, $C$9, 100%, $E$9)</f>
        <v>12.9361</v>
      </c>
      <c r="H309" s="14">
        <f>CHOOSE(CONTROL!$C$42, 13.1401, 13.1401) * CHOOSE(CONTROL!$C$21, $C$9, 100%, $E$9)</f>
        <v>13.1401</v>
      </c>
      <c r="I309" s="14">
        <f>CHOOSE(CONTROL!$C$42, 12.9596, 12.9596)* CHOOSE(CONTROL!$C$21, $C$9, 100%, $E$9)</f>
        <v>12.9596</v>
      </c>
      <c r="J309" s="14">
        <f>CHOOSE(CONTROL!$C$42, 12.9117, 12.9117)* CHOOSE(CONTROL!$C$21, $C$9, 100%, $E$9)</f>
        <v>12.9117</v>
      </c>
      <c r="K309" s="53">
        <f>CHOOSE(CONTROL!$C$42, 12.9558, 12.9558) * CHOOSE(CONTROL!$C$21, $C$9, 100%, $E$9)</f>
        <v>12.9558</v>
      </c>
      <c r="L309" s="14">
        <f>CHOOSE(CONTROL!$C$42, 13.7271, 13.7271) * CHOOSE(CONTROL!$C$21, $C$9, 100%, $E$9)</f>
        <v>13.7271</v>
      </c>
      <c r="M309" s="14">
        <f>CHOOSE(CONTROL!$C$42, 12.6549, 12.6549) * CHOOSE(CONTROL!$C$21, $C$9, 100%, $E$9)</f>
        <v>12.6549</v>
      </c>
      <c r="N309" s="14">
        <f>CHOOSE(CONTROL!$C$42, 12.6719, 12.6719) * CHOOSE(CONTROL!$C$21, $C$9, 100%, $E$9)</f>
        <v>12.671900000000001</v>
      </c>
      <c r="O309" s="14">
        <f>CHOOSE(CONTROL!$C$42, 12.8786, 12.8786) * CHOOSE(CONTROL!$C$21, $C$9, 100%, $E$9)</f>
        <v>12.8786</v>
      </c>
      <c r="P309" s="14">
        <f>CHOOSE(CONTROL!$C$42, 12.7011, 12.7011) * CHOOSE(CONTROL!$C$21, $C$9, 100%, $E$9)</f>
        <v>12.7011</v>
      </c>
      <c r="Q309" s="14">
        <f>CHOOSE(CONTROL!$C$42, 13.4733, 13.4733) * CHOOSE(CONTROL!$C$21, $C$9, 100%, $E$9)</f>
        <v>13.4733</v>
      </c>
      <c r="R309" s="14">
        <f>CHOOSE(CONTROL!$C$42, 14.0939, 14.0939) * CHOOSE(CONTROL!$C$21, $C$9, 100%, $E$9)</f>
        <v>14.0939</v>
      </c>
      <c r="S309" s="14">
        <f>CHOOSE(CONTROL!$C$42, 12.3767, 12.3767) * CHOOSE(CONTROL!$C$21, $C$9, 100%, $E$9)</f>
        <v>12.3767</v>
      </c>
      <c r="T30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09" s="57">
        <f>(1000*CHOOSE(CONTROL!$C$42, 695, 695)*CHOOSE(CONTROL!$C$42, 0.5599, 0.5599)*CHOOSE(CONTROL!$C$42, 30, 30))/1000000</f>
        <v>11.673914999999997</v>
      </c>
      <c r="V309" s="57">
        <f>(1000*CHOOSE(CONTROL!$C$42, 500, 500)*CHOOSE(CONTROL!$C$42, 0.275, 0.275)*CHOOSE(CONTROL!$C$42, 30, 30))/1000000</f>
        <v>4.125</v>
      </c>
      <c r="W309" s="57">
        <f>(1000*CHOOSE(CONTROL!$C$42, 0.1146, 0.1146)*CHOOSE(CONTROL!$C$42, 121.5, 121.5)*CHOOSE(CONTROL!$C$42, 30, 30))/1000000</f>
        <v>0.417717</v>
      </c>
      <c r="X309" s="57">
        <f>(30*0.1790888*245000/1000000)+(30*0.2374*100000/1000000)</f>
        <v>2.0285026799999999</v>
      </c>
      <c r="Y309" s="57"/>
      <c r="Z309" s="14"/>
      <c r="AA309" s="56"/>
      <c r="AB309" s="50">
        <f>(B309*194.205+C309*267.466+D309*133.845+E309*53.484+F309*40+G309*185+H309*0+I309*100+J309*300)/(194.205+267.466+133.845+53.484+0+40+185+100+300)</f>
        <v>12.945496847252747</v>
      </c>
      <c r="AC309" s="45">
        <f>(M309*'RAP TEMPLATE-GAS AVAILABILITY'!O308+N309*'RAP TEMPLATE-GAS AVAILABILITY'!P308+O309*'RAP TEMPLATE-GAS AVAILABILITY'!Q308+P309*'RAP TEMPLATE-GAS AVAILABILITY'!R308)/('RAP TEMPLATE-GAS AVAILABILITY'!O308+'RAP TEMPLATE-GAS AVAILABILITY'!P308+'RAP TEMPLATE-GAS AVAILABILITY'!Q308+'RAP TEMPLATE-GAS AVAILABILITY'!R308)</f>
        <v>12.728225899280575</v>
      </c>
    </row>
    <row r="310" spans="1:29" ht="15.75" x14ac:dyDescent="0.25">
      <c r="A310" s="34">
        <v>50314</v>
      </c>
      <c r="B310" s="14">
        <f>CHOOSE(CONTROL!$C$42, 12.6281, 12.6281) * CHOOSE(CONTROL!$C$21, $C$9, 100%, $E$9)</f>
        <v>12.6281</v>
      </c>
      <c r="C310" s="14">
        <f>CHOOSE(CONTROL!$C$42, 12.6334, 12.6334) * CHOOSE(CONTROL!$C$21, $C$9, 100%, $E$9)</f>
        <v>12.6334</v>
      </c>
      <c r="D310" s="14">
        <f>CHOOSE(CONTROL!$C$42, 12.859, 12.859) * CHOOSE(CONTROL!$C$21, $C$9, 100%, $E$9)</f>
        <v>12.859</v>
      </c>
      <c r="E310" s="14">
        <f>CHOOSE(CONTROL!$C$42, 12.8881, 12.8881) * CHOOSE(CONTROL!$C$21, $C$9, 100%, $E$9)</f>
        <v>12.8881</v>
      </c>
      <c r="F310" s="14">
        <f>CHOOSE(CONTROL!$C$42, 12.6575, 12.6575)*CHOOSE(CONTROL!$C$21, $C$9, 100%, $E$9)</f>
        <v>12.657500000000001</v>
      </c>
      <c r="G310" s="14">
        <f>CHOOSE(CONTROL!$C$42, 12.6747, 12.6747)*CHOOSE(CONTROL!$C$21, $C$9, 100%, $E$9)</f>
        <v>12.6747</v>
      </c>
      <c r="H310" s="14">
        <f>CHOOSE(CONTROL!$C$42, 12.8786, 12.8786) * CHOOSE(CONTROL!$C$21, $C$9, 100%, $E$9)</f>
        <v>12.8786</v>
      </c>
      <c r="I310" s="14">
        <f>CHOOSE(CONTROL!$C$42, 12.6973, 12.6973)* CHOOSE(CONTROL!$C$21, $C$9, 100%, $E$9)</f>
        <v>12.6973</v>
      </c>
      <c r="J310" s="14">
        <f>CHOOSE(CONTROL!$C$42, 12.6505, 12.6505)* CHOOSE(CONTROL!$C$21, $C$9, 100%, $E$9)</f>
        <v>12.650499999999999</v>
      </c>
      <c r="K310" s="53">
        <f>CHOOSE(CONTROL!$C$42, 12.6934, 12.6934) * CHOOSE(CONTROL!$C$21, $C$9, 100%, $E$9)</f>
        <v>12.6934</v>
      </c>
      <c r="L310" s="14">
        <f>CHOOSE(CONTROL!$C$42, 13.4656, 13.4656) * CHOOSE(CONTROL!$C$21, $C$9, 100%, $E$9)</f>
        <v>13.4656</v>
      </c>
      <c r="M310" s="14">
        <f>CHOOSE(CONTROL!$C$42, 12.399, 12.399) * CHOOSE(CONTROL!$C$21, $C$9, 100%, $E$9)</f>
        <v>12.398999999999999</v>
      </c>
      <c r="N310" s="14">
        <f>CHOOSE(CONTROL!$C$42, 12.4159, 12.4159) * CHOOSE(CONTROL!$C$21, $C$9, 100%, $E$9)</f>
        <v>12.415900000000001</v>
      </c>
      <c r="O310" s="14">
        <f>CHOOSE(CONTROL!$C$42, 12.6224, 12.6224) * CHOOSE(CONTROL!$C$21, $C$9, 100%, $E$9)</f>
        <v>12.622400000000001</v>
      </c>
      <c r="P310" s="14">
        <f>CHOOSE(CONTROL!$C$42, 12.4441, 12.4441) * CHOOSE(CONTROL!$C$21, $C$9, 100%, $E$9)</f>
        <v>12.444100000000001</v>
      </c>
      <c r="Q310" s="14">
        <f>CHOOSE(CONTROL!$C$42, 13.2171, 13.2171) * CHOOSE(CONTROL!$C$21, $C$9, 100%, $E$9)</f>
        <v>13.2171</v>
      </c>
      <c r="R310" s="14">
        <f>CHOOSE(CONTROL!$C$42, 13.8372, 13.8372) * CHOOSE(CONTROL!$C$21, $C$9, 100%, $E$9)</f>
        <v>13.837199999999999</v>
      </c>
      <c r="S310" s="14">
        <f>CHOOSE(CONTROL!$C$42, 12.1254, 12.1254) * CHOOSE(CONTROL!$C$21, $C$9, 100%, $E$9)</f>
        <v>12.125400000000001</v>
      </c>
      <c r="T31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10" s="57">
        <f>(1000*CHOOSE(CONTROL!$C$42, 695, 695)*CHOOSE(CONTROL!$C$42, 0.5599, 0.5599)*CHOOSE(CONTROL!$C$42, 31, 31))/1000000</f>
        <v>12.063045499999998</v>
      </c>
      <c r="V310" s="57">
        <f>(1000*CHOOSE(CONTROL!$C$42, 500, 500)*CHOOSE(CONTROL!$C$42, 0.275, 0.275)*CHOOSE(CONTROL!$C$42, 31, 31))/1000000</f>
        <v>4.2625000000000002</v>
      </c>
      <c r="W310" s="57">
        <f>(1000*CHOOSE(CONTROL!$C$42, 0.1146, 0.1146)*CHOOSE(CONTROL!$C$42, 121.5, 121.5)*CHOOSE(CONTROL!$C$42, 31, 31))/1000000</f>
        <v>0.43164089999999994</v>
      </c>
      <c r="X310" s="57">
        <f>(31*0.1790888*245000/1000000)+(31*0.2374*100000/1000000)</f>
        <v>2.0961194359999999</v>
      </c>
      <c r="Y310" s="57"/>
      <c r="Z310" s="14"/>
      <c r="AA310" s="56"/>
      <c r="AB310" s="50">
        <f>(B310*131.881+C310*277.167+D310*79.08+E310*125.872+F310*40+G310*185+H310*0+I310*100+J310*300)/(131.881+277.167+79.08+125.872+0+40+185+100+300)</f>
        <v>12.689352846731234</v>
      </c>
      <c r="AC310" s="45">
        <f>(M310*'RAP TEMPLATE-GAS AVAILABILITY'!O309+N310*'RAP TEMPLATE-GAS AVAILABILITY'!P309+O310*'RAP TEMPLATE-GAS AVAILABILITY'!Q309+P310*'RAP TEMPLATE-GAS AVAILABILITY'!R309)/('RAP TEMPLATE-GAS AVAILABILITY'!O309+'RAP TEMPLATE-GAS AVAILABILITY'!P309+'RAP TEMPLATE-GAS AVAILABILITY'!Q309+'RAP TEMPLATE-GAS AVAILABILITY'!R309)</f>
        <v>12.472060431654677</v>
      </c>
    </row>
    <row r="311" spans="1:29" ht="15.75" x14ac:dyDescent="0.25">
      <c r="A311" s="34">
        <v>50345</v>
      </c>
      <c r="B311" s="14">
        <f>CHOOSE(CONTROL!$C$42, 12.9601, 12.9601) * CHOOSE(CONTROL!$C$21, $C$9, 100%, $E$9)</f>
        <v>12.960100000000001</v>
      </c>
      <c r="C311" s="14">
        <f>CHOOSE(CONTROL!$C$42, 12.9652, 12.9652) * CHOOSE(CONTROL!$C$21, $C$9, 100%, $E$9)</f>
        <v>12.965199999999999</v>
      </c>
      <c r="D311" s="14">
        <f>CHOOSE(CONTROL!$C$42, 13.0394, 13.0394) * CHOOSE(CONTROL!$C$21, $C$9, 100%, $E$9)</f>
        <v>13.039400000000001</v>
      </c>
      <c r="E311" s="14">
        <f>CHOOSE(CONTROL!$C$42, 13.0735, 13.0735) * CHOOSE(CONTROL!$C$21, $C$9, 100%, $E$9)</f>
        <v>13.073499999999999</v>
      </c>
      <c r="F311" s="14">
        <f>CHOOSE(CONTROL!$C$42, 12.9962, 12.9962)*CHOOSE(CONTROL!$C$21, $C$9, 100%, $E$9)</f>
        <v>12.9962</v>
      </c>
      <c r="G311" s="14">
        <f>CHOOSE(CONTROL!$C$42, 13.0137, 13.0137)*CHOOSE(CONTROL!$C$21, $C$9, 100%, $E$9)</f>
        <v>13.0137</v>
      </c>
      <c r="H311" s="14">
        <f>CHOOSE(CONTROL!$C$42, 13.0627, 13.0627) * CHOOSE(CONTROL!$C$21, $C$9, 100%, $E$9)</f>
        <v>13.0627</v>
      </c>
      <c r="I311" s="14">
        <f>CHOOSE(CONTROL!$C$42, 13.0282, 13.0282)* CHOOSE(CONTROL!$C$21, $C$9, 100%, $E$9)</f>
        <v>13.0282</v>
      </c>
      <c r="J311" s="14">
        <f>CHOOSE(CONTROL!$C$42, 12.9892, 12.9892)* CHOOSE(CONTROL!$C$21, $C$9, 100%, $E$9)</f>
        <v>12.9892</v>
      </c>
      <c r="K311" s="53">
        <f>CHOOSE(CONTROL!$C$42, 13.0243, 13.0243) * CHOOSE(CONTROL!$C$21, $C$9, 100%, $E$9)</f>
        <v>13.0243</v>
      </c>
      <c r="L311" s="14">
        <f>CHOOSE(CONTROL!$C$42, 13.6497, 13.6497) * CHOOSE(CONTROL!$C$21, $C$9, 100%, $E$9)</f>
        <v>13.649699999999999</v>
      </c>
      <c r="M311" s="14">
        <f>CHOOSE(CONTROL!$C$42, 12.7307, 12.7307) * CHOOSE(CONTROL!$C$21, $C$9, 100%, $E$9)</f>
        <v>12.730700000000001</v>
      </c>
      <c r="N311" s="14">
        <f>CHOOSE(CONTROL!$C$42, 12.7479, 12.7479) * CHOOSE(CONTROL!$C$21, $C$9, 100%, $E$9)</f>
        <v>12.7479</v>
      </c>
      <c r="O311" s="14">
        <f>CHOOSE(CONTROL!$C$42, 12.8028, 12.8028) * CHOOSE(CONTROL!$C$21, $C$9, 100%, $E$9)</f>
        <v>12.8028</v>
      </c>
      <c r="P311" s="14">
        <f>CHOOSE(CONTROL!$C$42, 12.7682, 12.7682) * CHOOSE(CONTROL!$C$21, $C$9, 100%, $E$9)</f>
        <v>12.7682</v>
      </c>
      <c r="Q311" s="14">
        <f>CHOOSE(CONTROL!$C$42, 13.3975, 13.3975) * CHOOSE(CONTROL!$C$21, $C$9, 100%, $E$9)</f>
        <v>13.397500000000001</v>
      </c>
      <c r="R311" s="14">
        <f>CHOOSE(CONTROL!$C$42, 14.018, 14.018) * CHOOSE(CONTROL!$C$21, $C$9, 100%, $E$9)</f>
        <v>14.018000000000001</v>
      </c>
      <c r="S311" s="14">
        <f>CHOOSE(CONTROL!$C$42, 12.4448, 12.4448) * CHOOSE(CONTROL!$C$21, $C$9, 100%, $E$9)</f>
        <v>12.444800000000001</v>
      </c>
      <c r="T31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11" s="57">
        <f>(1000*CHOOSE(CONTROL!$C$42, 695, 695)*CHOOSE(CONTROL!$C$42, 0.5599, 0.5599)*CHOOSE(CONTROL!$C$42, 30, 30))/1000000</f>
        <v>11.673914999999997</v>
      </c>
      <c r="V311" s="57">
        <f>(1000*CHOOSE(CONTROL!$C$42, 500, 500)*CHOOSE(CONTROL!$C$42, 0.275, 0.275)*CHOOSE(CONTROL!$C$42, 30, 30))/1000000</f>
        <v>4.125</v>
      </c>
      <c r="W311" s="57">
        <f>(1000*CHOOSE(CONTROL!$C$42, 0.1146, 0.1146)*CHOOSE(CONTROL!$C$42, 121.5, 121.5)*CHOOSE(CONTROL!$C$42, 30, 30))/1000000</f>
        <v>0.417717</v>
      </c>
      <c r="X311" s="57">
        <f>(30*0.1790888*100000/1000000)+(30*0.2374*100000/1000000)</f>
        <v>1.2494664</v>
      </c>
      <c r="Y311" s="57"/>
      <c r="Z311" s="14"/>
      <c r="AA311" s="56"/>
      <c r="AB311" s="50">
        <f>(B311*122.58+C311*297.941+D311*89.177+E311*40.302+F311*40+G311*160+H311*0+I311*100+J311*300)/(122.58+297.941+89.177+40.302+0+40+160+100+300)</f>
        <v>12.993770853913045</v>
      </c>
      <c r="AC311" s="45">
        <f>(M311*'RAP TEMPLATE-GAS AVAILABILITY'!O310+N311*'RAP TEMPLATE-GAS AVAILABILITY'!P310+O311*'RAP TEMPLATE-GAS AVAILABILITY'!Q310+P311*'RAP TEMPLATE-GAS AVAILABILITY'!R310)/('RAP TEMPLATE-GAS AVAILABILITY'!O310+'RAP TEMPLATE-GAS AVAILABILITY'!P310+'RAP TEMPLATE-GAS AVAILABILITY'!Q310+'RAP TEMPLATE-GAS AVAILABILITY'!R310)</f>
        <v>12.769764028776979</v>
      </c>
    </row>
    <row r="312" spans="1:29" ht="15.75" x14ac:dyDescent="0.25">
      <c r="A312" s="34">
        <v>50375</v>
      </c>
      <c r="B312" s="14">
        <f>CHOOSE(CONTROL!$C$42, 13.8431, 13.8431) * CHOOSE(CONTROL!$C$21, $C$9, 100%, $E$9)</f>
        <v>13.8431</v>
      </c>
      <c r="C312" s="14">
        <f>CHOOSE(CONTROL!$C$42, 13.8482, 13.8482) * CHOOSE(CONTROL!$C$21, $C$9, 100%, $E$9)</f>
        <v>13.8482</v>
      </c>
      <c r="D312" s="14">
        <f>CHOOSE(CONTROL!$C$42, 13.9224, 13.9224) * CHOOSE(CONTROL!$C$21, $C$9, 100%, $E$9)</f>
        <v>13.9224</v>
      </c>
      <c r="E312" s="14">
        <f>CHOOSE(CONTROL!$C$42, 13.9565, 13.9565) * CHOOSE(CONTROL!$C$21, $C$9, 100%, $E$9)</f>
        <v>13.9565</v>
      </c>
      <c r="F312" s="14">
        <f>CHOOSE(CONTROL!$C$42, 13.8815, 13.8815)*CHOOSE(CONTROL!$C$21, $C$9, 100%, $E$9)</f>
        <v>13.881500000000001</v>
      </c>
      <c r="G312" s="14">
        <f>CHOOSE(CONTROL!$C$42, 13.8996, 13.8996)*CHOOSE(CONTROL!$C$21, $C$9, 100%, $E$9)</f>
        <v>13.8996</v>
      </c>
      <c r="H312" s="14">
        <f>CHOOSE(CONTROL!$C$42, 13.9457, 13.9457) * CHOOSE(CONTROL!$C$21, $C$9, 100%, $E$9)</f>
        <v>13.9457</v>
      </c>
      <c r="I312" s="14">
        <f>CHOOSE(CONTROL!$C$42, 13.9139, 13.9139)* CHOOSE(CONTROL!$C$21, $C$9, 100%, $E$9)</f>
        <v>13.9139</v>
      </c>
      <c r="J312" s="14">
        <f>CHOOSE(CONTROL!$C$42, 13.8745, 13.8745)* CHOOSE(CONTROL!$C$21, $C$9, 100%, $E$9)</f>
        <v>13.874499999999999</v>
      </c>
      <c r="K312" s="53">
        <f>CHOOSE(CONTROL!$C$42, 13.91, 13.91) * CHOOSE(CONTROL!$C$21, $C$9, 100%, $E$9)</f>
        <v>13.91</v>
      </c>
      <c r="L312" s="14">
        <f>CHOOSE(CONTROL!$C$42, 14.5327, 14.5327) * CHOOSE(CONTROL!$C$21, $C$9, 100%, $E$9)</f>
        <v>14.5327</v>
      </c>
      <c r="M312" s="14">
        <f>CHOOSE(CONTROL!$C$42, 13.5979, 13.5979) * CHOOSE(CONTROL!$C$21, $C$9, 100%, $E$9)</f>
        <v>13.597899999999999</v>
      </c>
      <c r="N312" s="14">
        <f>CHOOSE(CONTROL!$C$42, 13.6157, 13.6157) * CHOOSE(CONTROL!$C$21, $C$9, 100%, $E$9)</f>
        <v>13.6157</v>
      </c>
      <c r="O312" s="14">
        <f>CHOOSE(CONTROL!$C$42, 13.6676, 13.6676) * CHOOSE(CONTROL!$C$21, $C$9, 100%, $E$9)</f>
        <v>13.6676</v>
      </c>
      <c r="P312" s="14">
        <f>CHOOSE(CONTROL!$C$42, 13.6357, 13.6357) * CHOOSE(CONTROL!$C$21, $C$9, 100%, $E$9)</f>
        <v>13.6357</v>
      </c>
      <c r="Q312" s="14">
        <f>CHOOSE(CONTROL!$C$42, 14.2623, 14.2623) * CHOOSE(CONTROL!$C$21, $C$9, 100%, $E$9)</f>
        <v>14.2623</v>
      </c>
      <c r="R312" s="14">
        <f>CHOOSE(CONTROL!$C$42, 14.885, 14.885) * CHOOSE(CONTROL!$C$21, $C$9, 100%, $E$9)</f>
        <v>14.885</v>
      </c>
      <c r="S312" s="14">
        <f>CHOOSE(CONTROL!$C$42, 13.2933, 13.2933) * CHOOSE(CONTROL!$C$21, $C$9, 100%, $E$9)</f>
        <v>13.2933</v>
      </c>
      <c r="T31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12" s="57">
        <f>(1000*CHOOSE(CONTROL!$C$42, 695, 695)*CHOOSE(CONTROL!$C$42, 0.5599, 0.5599)*CHOOSE(CONTROL!$C$42, 31, 31))/1000000</f>
        <v>12.063045499999998</v>
      </c>
      <c r="V312" s="57">
        <f>(1000*CHOOSE(CONTROL!$C$42, 500, 500)*CHOOSE(CONTROL!$C$42, 0.275, 0.275)*CHOOSE(CONTROL!$C$42, 31, 31))/1000000</f>
        <v>4.2625000000000002</v>
      </c>
      <c r="W312" s="57">
        <f>(1000*CHOOSE(CONTROL!$C$42, 0.1146, 0.1146)*CHOOSE(CONTROL!$C$42, 121.5, 121.5)*CHOOSE(CONTROL!$C$42, 31, 31))/1000000</f>
        <v>0.43164089999999994</v>
      </c>
      <c r="X312" s="57">
        <f>(31*0.1790888*100000/1000000)+(31*0.2374*100000/1000000)</f>
        <v>1.2911152800000001</v>
      </c>
      <c r="Y312" s="57"/>
      <c r="Z312" s="14"/>
      <c r="AA312" s="56"/>
      <c r="AB312" s="50">
        <f>(B312*122.58+C312*297.941+D312*89.177+E312*40.302+F312*40+G312*160+H312*0+I312*100+J312*300)/(122.58+297.941+89.177+40.302+0+40+160+100+300)</f>
        <v>13.878089114782608</v>
      </c>
      <c r="AC312" s="45">
        <f>(M312*'RAP TEMPLATE-GAS AVAILABILITY'!O311+N312*'RAP TEMPLATE-GAS AVAILABILITY'!P311+O312*'RAP TEMPLATE-GAS AVAILABILITY'!Q311+P312*'RAP TEMPLATE-GAS AVAILABILITY'!R311)/('RAP TEMPLATE-GAS AVAILABILITY'!O311+'RAP TEMPLATE-GAS AVAILABILITY'!P311+'RAP TEMPLATE-GAS AVAILABILITY'!Q311+'RAP TEMPLATE-GAS AVAILABILITY'!R311)</f>
        <v>13.635953956834532</v>
      </c>
    </row>
    <row r="313" spans="1:29" ht="15.75" x14ac:dyDescent="0.25">
      <c r="A313" s="33">
        <v>50436</v>
      </c>
      <c r="B313" s="14">
        <f>CHOOSE(CONTROL!$C$42, 14.9899, 14.9899) * CHOOSE(CONTROL!$C$21, $C$9, 100%, $E$9)</f>
        <v>14.9899</v>
      </c>
      <c r="C313" s="14">
        <f>CHOOSE(CONTROL!$C$42, 14.995, 14.995) * CHOOSE(CONTROL!$C$21, $C$9, 100%, $E$9)</f>
        <v>14.994999999999999</v>
      </c>
      <c r="D313" s="14">
        <f>CHOOSE(CONTROL!$C$42, 15.0718, 15.0718) * CHOOSE(CONTROL!$C$21, $C$9, 100%, $E$9)</f>
        <v>15.0718</v>
      </c>
      <c r="E313" s="14">
        <f>CHOOSE(CONTROL!$C$42, 15.1059, 15.1059) * CHOOSE(CONTROL!$C$21, $C$9, 100%, $E$9)</f>
        <v>15.1059</v>
      </c>
      <c r="F313" s="14">
        <f>CHOOSE(CONTROL!$C$42, 15.0146, 15.0146)*CHOOSE(CONTROL!$C$21, $C$9, 100%, $E$9)</f>
        <v>15.0146</v>
      </c>
      <c r="G313" s="14">
        <f>CHOOSE(CONTROL!$C$42, 15.0326, 15.0326)*CHOOSE(CONTROL!$C$21, $C$9, 100%, $E$9)</f>
        <v>15.0326</v>
      </c>
      <c r="H313" s="14">
        <f>CHOOSE(CONTROL!$C$42, 15.0951, 15.0951) * CHOOSE(CONTROL!$C$21, $C$9, 100%, $E$9)</f>
        <v>15.0951</v>
      </c>
      <c r="I313" s="14">
        <f>CHOOSE(CONTROL!$C$42, 15.0706, 15.0706)* CHOOSE(CONTROL!$C$21, $C$9, 100%, $E$9)</f>
        <v>15.070600000000001</v>
      </c>
      <c r="J313" s="14">
        <f>CHOOSE(CONTROL!$C$42, 15.0076, 15.0076)* CHOOSE(CONTROL!$C$21, $C$9, 100%, $E$9)</f>
        <v>15.0076</v>
      </c>
      <c r="K313" s="53">
        <f>CHOOSE(CONTROL!$C$42, 15.0667, 15.0667) * CHOOSE(CONTROL!$C$21, $C$9, 100%, $E$9)</f>
        <v>15.066700000000001</v>
      </c>
      <c r="L313" s="14">
        <f>CHOOSE(CONTROL!$C$42, 15.6821, 15.6821) * CHOOSE(CONTROL!$C$21, $C$9, 100%, $E$9)</f>
        <v>15.6821</v>
      </c>
      <c r="M313" s="14">
        <f>CHOOSE(CONTROL!$C$42, 14.7078, 14.7078) * CHOOSE(CONTROL!$C$21, $C$9, 100%, $E$9)</f>
        <v>14.707800000000001</v>
      </c>
      <c r="N313" s="14">
        <f>CHOOSE(CONTROL!$C$42, 14.7254, 14.7254) * CHOOSE(CONTROL!$C$21, $C$9, 100%, $E$9)</f>
        <v>14.7254</v>
      </c>
      <c r="O313" s="14">
        <f>CHOOSE(CONTROL!$C$42, 14.7935, 14.7935) * CHOOSE(CONTROL!$C$21, $C$9, 100%, $E$9)</f>
        <v>14.7935</v>
      </c>
      <c r="P313" s="14">
        <f>CHOOSE(CONTROL!$C$42, 14.7686, 14.7686) * CHOOSE(CONTROL!$C$21, $C$9, 100%, $E$9)</f>
        <v>14.768599999999999</v>
      </c>
      <c r="Q313" s="14">
        <f>CHOOSE(CONTROL!$C$42, 15.3882, 15.3882) * CHOOSE(CONTROL!$C$21, $C$9, 100%, $E$9)</f>
        <v>15.388199999999999</v>
      </c>
      <c r="R313" s="14">
        <f>CHOOSE(CONTROL!$C$42, 16.0137, 16.0137) * CHOOSE(CONTROL!$C$21, $C$9, 100%, $E$9)</f>
        <v>16.0137</v>
      </c>
      <c r="S313" s="14">
        <f>CHOOSE(CONTROL!$C$42, 14.3952, 14.3952) * CHOOSE(CONTROL!$C$21, $C$9, 100%, $E$9)</f>
        <v>14.395200000000001</v>
      </c>
      <c r="T31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13" s="57">
        <f>(1000*CHOOSE(CONTROL!$C$42, 695, 695)*CHOOSE(CONTROL!$C$42, 0.5599, 0.5599)*CHOOSE(CONTROL!$C$42, 31, 31))/1000000</f>
        <v>12.063045499999998</v>
      </c>
      <c r="V313" s="57">
        <f>(1000*CHOOSE(CONTROL!$C$42, 500, 500)*CHOOSE(CONTROL!$C$42, 0.275, 0.275)*CHOOSE(CONTROL!$C$42, 31, 31))/1000000</f>
        <v>4.2625000000000002</v>
      </c>
      <c r="W313" s="57">
        <f>(1000*CHOOSE(CONTROL!$C$42, 0.1146, 0.1146)*CHOOSE(CONTROL!$C$42, 121.5, 121.5)*CHOOSE(CONTROL!$C$42, 31, 31))/1000000</f>
        <v>0.43164089999999994</v>
      </c>
      <c r="X313" s="57">
        <f>(31*0.1790888*100000/1000000)+(31*0.2374*100000/1000000)</f>
        <v>1.2911152800000001</v>
      </c>
      <c r="Y313" s="57"/>
      <c r="Z313" s="14"/>
      <c r="AA313" s="56"/>
      <c r="AB313" s="50">
        <f>(B313*122.58+C313*297.941+D313*89.177+E313*40.302+F313*40+G313*160+H313*0+I313*100+J313*300)/(122.58+297.941+89.177+40.302+0+40+160+100+300)</f>
        <v>15.020072284695653</v>
      </c>
      <c r="AC313" s="45">
        <f>(M313*'RAP TEMPLATE-GAS AVAILABILITY'!O312+N313*'RAP TEMPLATE-GAS AVAILABILITY'!P312+O313*'RAP TEMPLATE-GAS AVAILABILITY'!Q312+P313*'RAP TEMPLATE-GAS AVAILABILITY'!R312)/('RAP TEMPLATE-GAS AVAILABILITY'!O312+'RAP TEMPLATE-GAS AVAILABILITY'!P312+'RAP TEMPLATE-GAS AVAILABILITY'!Q312+'RAP TEMPLATE-GAS AVAILABILITY'!R312)</f>
        <v>14.756403597122306</v>
      </c>
    </row>
    <row r="314" spans="1:29" ht="15.75" x14ac:dyDescent="0.25">
      <c r="A314" s="33">
        <v>50464</v>
      </c>
      <c r="B314" s="14">
        <f>CHOOSE(CONTROL!$C$42, 15.2566, 15.2566) * CHOOSE(CONTROL!$C$21, $C$9, 100%, $E$9)</f>
        <v>15.256600000000001</v>
      </c>
      <c r="C314" s="14">
        <f>CHOOSE(CONTROL!$C$42, 15.2616, 15.2616) * CHOOSE(CONTROL!$C$21, $C$9, 100%, $E$9)</f>
        <v>15.2616</v>
      </c>
      <c r="D314" s="14">
        <f>CHOOSE(CONTROL!$C$42, 15.3385, 15.3385) * CHOOSE(CONTROL!$C$21, $C$9, 100%, $E$9)</f>
        <v>15.3385</v>
      </c>
      <c r="E314" s="14">
        <f>CHOOSE(CONTROL!$C$42, 15.3726, 15.3726) * CHOOSE(CONTROL!$C$21, $C$9, 100%, $E$9)</f>
        <v>15.3726</v>
      </c>
      <c r="F314" s="14">
        <f>CHOOSE(CONTROL!$C$42, 15.2809, 15.2809)*CHOOSE(CONTROL!$C$21, $C$9, 100%, $E$9)</f>
        <v>15.280900000000001</v>
      </c>
      <c r="G314" s="14">
        <f>CHOOSE(CONTROL!$C$42, 15.2988, 15.2988)*CHOOSE(CONTROL!$C$21, $C$9, 100%, $E$9)</f>
        <v>15.2988</v>
      </c>
      <c r="H314" s="14">
        <f>CHOOSE(CONTROL!$C$42, 15.3618, 15.3618) * CHOOSE(CONTROL!$C$21, $C$9, 100%, $E$9)</f>
        <v>15.361800000000001</v>
      </c>
      <c r="I314" s="14">
        <f>CHOOSE(CONTROL!$C$42, 15.3381, 15.3381)* CHOOSE(CONTROL!$C$21, $C$9, 100%, $E$9)</f>
        <v>15.338100000000001</v>
      </c>
      <c r="J314" s="14">
        <f>CHOOSE(CONTROL!$C$42, 15.2739, 15.2739)* CHOOSE(CONTROL!$C$21, $C$9, 100%, $E$9)</f>
        <v>15.273899999999999</v>
      </c>
      <c r="K314" s="53">
        <f>CHOOSE(CONTROL!$C$42, 15.3342, 15.3342) * CHOOSE(CONTROL!$C$21, $C$9, 100%, $E$9)</f>
        <v>15.334199999999999</v>
      </c>
      <c r="L314" s="14">
        <f>CHOOSE(CONTROL!$C$42, 15.9488, 15.9488) * CHOOSE(CONTROL!$C$21, $C$9, 100%, $E$9)</f>
        <v>15.9488</v>
      </c>
      <c r="M314" s="14">
        <f>CHOOSE(CONTROL!$C$42, 14.9686, 14.9686) * CHOOSE(CONTROL!$C$21, $C$9, 100%, $E$9)</f>
        <v>14.9686</v>
      </c>
      <c r="N314" s="14">
        <f>CHOOSE(CONTROL!$C$42, 14.9861, 14.9861) * CHOOSE(CONTROL!$C$21, $C$9, 100%, $E$9)</f>
        <v>14.9861</v>
      </c>
      <c r="O314" s="14">
        <f>CHOOSE(CONTROL!$C$42, 15.0547, 15.0547) * CHOOSE(CONTROL!$C$21, $C$9, 100%, $E$9)</f>
        <v>15.0547</v>
      </c>
      <c r="P314" s="14">
        <f>CHOOSE(CONTROL!$C$42, 15.0306, 15.0306) * CHOOSE(CONTROL!$C$21, $C$9, 100%, $E$9)</f>
        <v>15.0306</v>
      </c>
      <c r="Q314" s="14">
        <f>CHOOSE(CONTROL!$C$42, 15.6494, 15.6494) * CHOOSE(CONTROL!$C$21, $C$9, 100%, $E$9)</f>
        <v>15.6494</v>
      </c>
      <c r="R314" s="14">
        <f>CHOOSE(CONTROL!$C$42, 16.2755, 16.2755) * CHOOSE(CONTROL!$C$21, $C$9, 100%, $E$9)</f>
        <v>16.275500000000001</v>
      </c>
      <c r="S314" s="14">
        <f>CHOOSE(CONTROL!$C$42, 14.6515, 14.6515) * CHOOSE(CONTROL!$C$21, $C$9, 100%, $E$9)</f>
        <v>14.6515</v>
      </c>
      <c r="T31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14" s="57">
        <f>(1000*CHOOSE(CONTROL!$C$42, 695, 695)*CHOOSE(CONTROL!$C$42, 0.5599, 0.5599)*CHOOSE(CONTROL!$C$42, 28, 28))/1000000</f>
        <v>10.895653999999999</v>
      </c>
      <c r="V314" s="57">
        <f>(1000*CHOOSE(CONTROL!$C$42, 500, 500)*CHOOSE(CONTROL!$C$42, 0.275, 0.275)*CHOOSE(CONTROL!$C$42, 28, 28))/1000000</f>
        <v>3.85</v>
      </c>
      <c r="W314" s="57">
        <f>(1000*CHOOSE(CONTROL!$C$42, 0.1146, 0.1146)*CHOOSE(CONTROL!$C$42, 121.5, 121.5)*CHOOSE(CONTROL!$C$42, 28, 28))/1000000</f>
        <v>0.38986920000000003</v>
      </c>
      <c r="X314" s="57">
        <f>(28*0.1790888*100000/1000000)+(28*0.2374*100000/1000000)</f>
        <v>1.16616864</v>
      </c>
      <c r="Y314" s="57"/>
      <c r="Z314" s="14"/>
      <c r="AA314" s="56"/>
      <c r="AB314" s="50">
        <f>(B314*122.58+C314*297.941+D314*89.177+E314*40.302+F314*40+G314*160+H314*0+I314*100+J314*300)/(122.58+297.941+89.177+40.302+0+40+160+100+300)</f>
        <v>15.286628115913041</v>
      </c>
      <c r="AC314" s="45">
        <f>(M314*'RAP TEMPLATE-GAS AVAILABILITY'!O313+N314*'RAP TEMPLATE-GAS AVAILABILITY'!P313+O314*'RAP TEMPLATE-GAS AVAILABILITY'!Q313+P314*'RAP TEMPLATE-GAS AVAILABILITY'!R313)/('RAP TEMPLATE-GAS AVAILABILITY'!O313+'RAP TEMPLATE-GAS AVAILABILITY'!P313+'RAP TEMPLATE-GAS AVAILABILITY'!Q313+'RAP TEMPLATE-GAS AVAILABILITY'!R313)</f>
        <v>15.017551798561152</v>
      </c>
    </row>
    <row r="315" spans="1:29" ht="15.75" x14ac:dyDescent="0.25">
      <c r="A315" s="33">
        <v>50495</v>
      </c>
      <c r="B315" s="14">
        <f>CHOOSE(CONTROL!$C$42, 14.8237, 14.8237) * CHOOSE(CONTROL!$C$21, $C$9, 100%, $E$9)</f>
        <v>14.823700000000001</v>
      </c>
      <c r="C315" s="14">
        <f>CHOOSE(CONTROL!$C$42, 14.8288, 14.8288) * CHOOSE(CONTROL!$C$21, $C$9, 100%, $E$9)</f>
        <v>14.828799999999999</v>
      </c>
      <c r="D315" s="14">
        <f>CHOOSE(CONTROL!$C$42, 14.9056, 14.9056) * CHOOSE(CONTROL!$C$21, $C$9, 100%, $E$9)</f>
        <v>14.9056</v>
      </c>
      <c r="E315" s="14">
        <f>CHOOSE(CONTROL!$C$42, 14.9397, 14.9397) * CHOOSE(CONTROL!$C$21, $C$9, 100%, $E$9)</f>
        <v>14.9397</v>
      </c>
      <c r="F315" s="14">
        <f>CHOOSE(CONTROL!$C$42, 14.8472, 14.8472)*CHOOSE(CONTROL!$C$21, $C$9, 100%, $E$9)</f>
        <v>14.847200000000001</v>
      </c>
      <c r="G315" s="14">
        <f>CHOOSE(CONTROL!$C$42, 14.8648, 14.8648)*CHOOSE(CONTROL!$C$21, $C$9, 100%, $E$9)</f>
        <v>14.864800000000001</v>
      </c>
      <c r="H315" s="14">
        <f>CHOOSE(CONTROL!$C$42, 14.9289, 14.9289) * CHOOSE(CONTROL!$C$21, $C$9, 100%, $E$9)</f>
        <v>14.928900000000001</v>
      </c>
      <c r="I315" s="14">
        <f>CHOOSE(CONTROL!$C$42, 14.9038, 14.9038)* CHOOSE(CONTROL!$C$21, $C$9, 100%, $E$9)</f>
        <v>14.9038</v>
      </c>
      <c r="J315" s="14">
        <f>CHOOSE(CONTROL!$C$42, 14.8402, 14.8402)* CHOOSE(CONTROL!$C$21, $C$9, 100%, $E$9)</f>
        <v>14.840199999999999</v>
      </c>
      <c r="K315" s="53">
        <f>CHOOSE(CONTROL!$C$42, 14.8999, 14.8999) * CHOOSE(CONTROL!$C$21, $C$9, 100%, $E$9)</f>
        <v>14.899900000000001</v>
      </c>
      <c r="L315" s="14">
        <f>CHOOSE(CONTROL!$C$42, 15.5159, 15.5159) * CHOOSE(CONTROL!$C$21, $C$9, 100%, $E$9)</f>
        <v>15.5159</v>
      </c>
      <c r="M315" s="14">
        <f>CHOOSE(CONTROL!$C$42, 14.5438, 14.5438) * CHOOSE(CONTROL!$C$21, $C$9, 100%, $E$9)</f>
        <v>14.543799999999999</v>
      </c>
      <c r="N315" s="14">
        <f>CHOOSE(CONTROL!$C$42, 14.5611, 14.5611) * CHOOSE(CONTROL!$C$21, $C$9, 100%, $E$9)</f>
        <v>14.5611</v>
      </c>
      <c r="O315" s="14">
        <f>CHOOSE(CONTROL!$C$42, 14.6307, 14.6307) * CHOOSE(CONTROL!$C$21, $C$9, 100%, $E$9)</f>
        <v>14.630699999999999</v>
      </c>
      <c r="P315" s="14">
        <f>CHOOSE(CONTROL!$C$42, 14.6053, 14.6053) * CHOOSE(CONTROL!$C$21, $C$9, 100%, $E$9)</f>
        <v>14.6053</v>
      </c>
      <c r="Q315" s="14">
        <f>CHOOSE(CONTROL!$C$42, 15.2254, 15.2254) * CHOOSE(CONTROL!$C$21, $C$9, 100%, $E$9)</f>
        <v>15.2254</v>
      </c>
      <c r="R315" s="14">
        <f>CHOOSE(CONTROL!$C$42, 15.8505, 15.8505) * CHOOSE(CONTROL!$C$21, $C$9, 100%, $E$9)</f>
        <v>15.8505</v>
      </c>
      <c r="S315" s="14">
        <f>CHOOSE(CONTROL!$C$42, 14.2355, 14.2355) * CHOOSE(CONTROL!$C$21, $C$9, 100%, $E$9)</f>
        <v>14.2355</v>
      </c>
      <c r="T31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15" s="57">
        <f>(1000*CHOOSE(CONTROL!$C$42, 695, 695)*CHOOSE(CONTROL!$C$42, 0.5599, 0.5599)*CHOOSE(CONTROL!$C$42, 31, 31))/1000000</f>
        <v>12.063045499999998</v>
      </c>
      <c r="V315" s="57">
        <f>(1000*CHOOSE(CONTROL!$C$42, 500, 500)*CHOOSE(CONTROL!$C$42, 0.275, 0.275)*CHOOSE(CONTROL!$C$42, 31, 31))/1000000</f>
        <v>4.2625000000000002</v>
      </c>
      <c r="W315" s="57">
        <f>(1000*CHOOSE(CONTROL!$C$42, 0.1146, 0.1146)*CHOOSE(CONTROL!$C$42, 121.5, 121.5)*CHOOSE(CONTROL!$C$42, 31, 31))/1000000</f>
        <v>0.43164089999999994</v>
      </c>
      <c r="X315" s="57">
        <f>(31*0.1790888*100000/1000000)+(31*0.2374*100000/1000000)</f>
        <v>1.2911152800000001</v>
      </c>
      <c r="Y315" s="57"/>
      <c r="Z315" s="14"/>
      <c r="AA315" s="56"/>
      <c r="AB315" s="50">
        <f>(B315*122.58+C315*297.941+D315*89.177+E315*40.302+F315*40+G315*160+H315*0+I315*100+J315*300)/(122.58+297.941+89.177+40.302+0+40+160+100+300)</f>
        <v>14.853242719478262</v>
      </c>
      <c r="AC315" s="45">
        <f>(M315*'RAP TEMPLATE-GAS AVAILABILITY'!O314+N315*'RAP TEMPLATE-GAS AVAILABILITY'!P314+O315*'RAP TEMPLATE-GAS AVAILABILITY'!Q314+P315*'RAP TEMPLATE-GAS AVAILABILITY'!R314)/('RAP TEMPLATE-GAS AVAILABILITY'!O314+'RAP TEMPLATE-GAS AVAILABILITY'!P314+'RAP TEMPLATE-GAS AVAILABILITY'!Q314+'RAP TEMPLATE-GAS AVAILABILITY'!R314)</f>
        <v>14.5930309352518</v>
      </c>
    </row>
    <row r="316" spans="1:29" ht="15.75" x14ac:dyDescent="0.25">
      <c r="A316" s="33">
        <v>50525</v>
      </c>
      <c r="B316" s="14">
        <f>CHOOSE(CONTROL!$C$42, 14.7803, 14.7803) * CHOOSE(CONTROL!$C$21, $C$9, 100%, $E$9)</f>
        <v>14.7803</v>
      </c>
      <c r="C316" s="14">
        <f>CHOOSE(CONTROL!$C$42, 14.7848, 14.7848) * CHOOSE(CONTROL!$C$21, $C$9, 100%, $E$9)</f>
        <v>14.784800000000001</v>
      </c>
      <c r="D316" s="14">
        <f>CHOOSE(CONTROL!$C$42, 15.0086, 15.0086) * CHOOSE(CONTROL!$C$21, $C$9, 100%, $E$9)</f>
        <v>15.008599999999999</v>
      </c>
      <c r="E316" s="14">
        <f>CHOOSE(CONTROL!$C$42, 15.0407, 15.0407) * CHOOSE(CONTROL!$C$21, $C$9, 100%, $E$9)</f>
        <v>15.040699999999999</v>
      </c>
      <c r="F316" s="14">
        <f>CHOOSE(CONTROL!$C$42, 14.808, 14.808)*CHOOSE(CONTROL!$C$21, $C$9, 100%, $E$9)</f>
        <v>14.808</v>
      </c>
      <c r="G316" s="14">
        <f>CHOOSE(CONTROL!$C$42, 14.8249, 14.8249)*CHOOSE(CONTROL!$C$21, $C$9, 100%, $E$9)</f>
        <v>14.8249</v>
      </c>
      <c r="H316" s="14">
        <f>CHOOSE(CONTROL!$C$42, 15.0304, 15.0304) * CHOOSE(CONTROL!$C$21, $C$9, 100%, $E$9)</f>
        <v>15.0304</v>
      </c>
      <c r="I316" s="14">
        <f>CHOOSE(CONTROL!$C$42, 14.8559, 14.8559)* CHOOSE(CONTROL!$C$21, $C$9, 100%, $E$9)</f>
        <v>14.8559</v>
      </c>
      <c r="J316" s="14">
        <f>CHOOSE(CONTROL!$C$42, 14.801, 14.801)* CHOOSE(CONTROL!$C$21, $C$9, 100%, $E$9)</f>
        <v>14.801</v>
      </c>
      <c r="K316" s="53">
        <f>CHOOSE(CONTROL!$C$42, 14.852, 14.852) * CHOOSE(CONTROL!$C$21, $C$9, 100%, $E$9)</f>
        <v>14.852</v>
      </c>
      <c r="L316" s="14">
        <f>CHOOSE(CONTROL!$C$42, 15.6174, 15.6174) * CHOOSE(CONTROL!$C$21, $C$9, 100%, $E$9)</f>
        <v>15.6174</v>
      </c>
      <c r="M316" s="14">
        <f>CHOOSE(CONTROL!$C$42, 14.5055, 14.5055) * CHOOSE(CONTROL!$C$21, $C$9, 100%, $E$9)</f>
        <v>14.5055</v>
      </c>
      <c r="N316" s="14">
        <f>CHOOSE(CONTROL!$C$42, 14.522, 14.522) * CHOOSE(CONTROL!$C$21, $C$9, 100%, $E$9)</f>
        <v>14.522</v>
      </c>
      <c r="O316" s="14">
        <f>CHOOSE(CONTROL!$C$42, 14.7302, 14.7302) * CHOOSE(CONTROL!$C$21, $C$9, 100%, $E$9)</f>
        <v>14.7302</v>
      </c>
      <c r="P316" s="14">
        <f>CHOOSE(CONTROL!$C$42, 14.5584, 14.5584) * CHOOSE(CONTROL!$C$21, $C$9, 100%, $E$9)</f>
        <v>14.558400000000001</v>
      </c>
      <c r="Q316" s="14">
        <f>CHOOSE(CONTROL!$C$42, 15.3249, 15.3249) * CHOOSE(CONTROL!$C$21, $C$9, 100%, $E$9)</f>
        <v>15.3249</v>
      </c>
      <c r="R316" s="14">
        <f>CHOOSE(CONTROL!$C$42, 15.9502, 15.9502) * CHOOSE(CONTROL!$C$21, $C$9, 100%, $E$9)</f>
        <v>15.950200000000001</v>
      </c>
      <c r="S316" s="14">
        <f>CHOOSE(CONTROL!$C$42, 14.1931, 14.1931) * CHOOSE(CONTROL!$C$21, $C$9, 100%, $E$9)</f>
        <v>14.193099999999999</v>
      </c>
      <c r="T31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16" s="57">
        <f>(1000*CHOOSE(CONTROL!$C$42, 695, 695)*CHOOSE(CONTROL!$C$42, 0.5599, 0.5599)*CHOOSE(CONTROL!$C$42, 30, 30))/1000000</f>
        <v>11.673914999999997</v>
      </c>
      <c r="V316" s="57">
        <f>(1000*CHOOSE(CONTROL!$C$42, 500, 500)*CHOOSE(CONTROL!$C$42, 0.275, 0.275)*CHOOSE(CONTROL!$C$42, 30, 30))/1000000</f>
        <v>4.125</v>
      </c>
      <c r="W316" s="57">
        <f>(1000*CHOOSE(CONTROL!$C$42, 0.1146, 0.1146)*CHOOSE(CONTROL!$C$42, 121.5, 121.5)*CHOOSE(CONTROL!$C$42, 30, 30))/1000000</f>
        <v>0.417717</v>
      </c>
      <c r="X316" s="57">
        <f>(30*0.1790888*245000/1000000)+(30*0.2374*100000/1000000)</f>
        <v>2.0285026799999999</v>
      </c>
      <c r="Y316" s="57"/>
      <c r="Z316" s="14"/>
      <c r="AA316" s="56"/>
      <c r="AB316" s="50">
        <f>(B316*141.293+C316*267.993+D316*115.016+E316*89.698+F316*40+G316*185+H316*0+I316*100+J316*300)/(141.293+267.993+115.016+89.698+0+40+185+100+300)</f>
        <v>14.839985617836966</v>
      </c>
      <c r="AC316" s="45">
        <f>(M316*'RAP TEMPLATE-GAS AVAILABILITY'!O315+N316*'RAP TEMPLATE-GAS AVAILABILITY'!P315+O316*'RAP TEMPLATE-GAS AVAILABILITY'!Q315+P316*'RAP TEMPLATE-GAS AVAILABILITY'!R315)/('RAP TEMPLATE-GAS AVAILABILITY'!O315+'RAP TEMPLATE-GAS AVAILABILITY'!P315+'RAP TEMPLATE-GAS AVAILABILITY'!Q315+'RAP TEMPLATE-GAS AVAILABILITY'!R315)</f>
        <v>14.579955395683452</v>
      </c>
    </row>
    <row r="317" spans="1:29" ht="15.75" x14ac:dyDescent="0.25">
      <c r="A317" s="33">
        <v>50556</v>
      </c>
      <c r="B317" s="14">
        <f>CHOOSE(CONTROL!$C$42, 14.9121, 14.9121) * CHOOSE(CONTROL!$C$21, $C$9, 100%, $E$9)</f>
        <v>14.912100000000001</v>
      </c>
      <c r="C317" s="14">
        <f>CHOOSE(CONTROL!$C$42, 14.9201, 14.9201) * CHOOSE(CONTROL!$C$21, $C$9, 100%, $E$9)</f>
        <v>14.9201</v>
      </c>
      <c r="D317" s="14">
        <f>CHOOSE(CONTROL!$C$42, 15.1407, 15.1407) * CHOOSE(CONTROL!$C$21, $C$9, 100%, $E$9)</f>
        <v>15.140700000000001</v>
      </c>
      <c r="E317" s="14">
        <f>CHOOSE(CONTROL!$C$42, 15.1722, 15.1722) * CHOOSE(CONTROL!$C$21, $C$9, 100%, $E$9)</f>
        <v>15.1722</v>
      </c>
      <c r="F317" s="14">
        <f>CHOOSE(CONTROL!$C$42, 14.9384, 14.9384)*CHOOSE(CONTROL!$C$21, $C$9, 100%, $E$9)</f>
        <v>14.9384</v>
      </c>
      <c r="G317" s="14">
        <f>CHOOSE(CONTROL!$C$42, 14.9555, 14.9555)*CHOOSE(CONTROL!$C$21, $C$9, 100%, $E$9)</f>
        <v>14.955500000000001</v>
      </c>
      <c r="H317" s="14">
        <f>CHOOSE(CONTROL!$C$42, 15.1608, 15.1608) * CHOOSE(CONTROL!$C$21, $C$9, 100%, $E$9)</f>
        <v>15.1608</v>
      </c>
      <c r="I317" s="14">
        <f>CHOOSE(CONTROL!$C$42, 14.9867, 14.9867)* CHOOSE(CONTROL!$C$21, $C$9, 100%, $E$9)</f>
        <v>14.986700000000001</v>
      </c>
      <c r="J317" s="14">
        <f>CHOOSE(CONTROL!$C$42, 14.9314, 14.9314)* CHOOSE(CONTROL!$C$21, $C$9, 100%, $E$9)</f>
        <v>14.9314</v>
      </c>
      <c r="K317" s="53">
        <f>CHOOSE(CONTROL!$C$42, 14.9828, 14.9828) * CHOOSE(CONTROL!$C$21, $C$9, 100%, $E$9)</f>
        <v>14.982799999999999</v>
      </c>
      <c r="L317" s="14">
        <f>CHOOSE(CONTROL!$C$42, 15.7478, 15.7478) * CHOOSE(CONTROL!$C$21, $C$9, 100%, $E$9)</f>
        <v>15.7478</v>
      </c>
      <c r="M317" s="14">
        <f>CHOOSE(CONTROL!$C$42, 14.6331, 14.6331) * CHOOSE(CONTROL!$C$21, $C$9, 100%, $E$9)</f>
        <v>14.633100000000001</v>
      </c>
      <c r="N317" s="14">
        <f>CHOOSE(CONTROL!$C$42, 14.6499, 14.6499) * CHOOSE(CONTROL!$C$21, $C$9, 100%, $E$9)</f>
        <v>14.649900000000001</v>
      </c>
      <c r="O317" s="14">
        <f>CHOOSE(CONTROL!$C$42, 14.8579, 14.8579) * CHOOSE(CONTROL!$C$21, $C$9, 100%, $E$9)</f>
        <v>14.857900000000001</v>
      </c>
      <c r="P317" s="14">
        <f>CHOOSE(CONTROL!$C$42, 14.6865, 14.6865) * CHOOSE(CONTROL!$C$21, $C$9, 100%, $E$9)</f>
        <v>14.686500000000001</v>
      </c>
      <c r="Q317" s="14">
        <f>CHOOSE(CONTROL!$C$42, 15.4526, 15.4526) * CHOOSE(CONTROL!$C$21, $C$9, 100%, $E$9)</f>
        <v>15.4526</v>
      </c>
      <c r="R317" s="14">
        <f>CHOOSE(CONTROL!$C$42, 16.0782, 16.0782) * CHOOSE(CONTROL!$C$21, $C$9, 100%, $E$9)</f>
        <v>16.078199999999999</v>
      </c>
      <c r="S317" s="14">
        <f>CHOOSE(CONTROL!$C$42, 14.3184, 14.3184) * CHOOSE(CONTROL!$C$21, $C$9, 100%, $E$9)</f>
        <v>14.3184</v>
      </c>
      <c r="T31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17" s="57">
        <f>(1000*CHOOSE(CONTROL!$C$42, 695, 695)*CHOOSE(CONTROL!$C$42, 0.5599, 0.5599)*CHOOSE(CONTROL!$C$42, 31, 31))/1000000</f>
        <v>12.063045499999998</v>
      </c>
      <c r="V317" s="57">
        <f>(1000*CHOOSE(CONTROL!$C$42, 500, 500)*CHOOSE(CONTROL!$C$42, 0.275, 0.275)*CHOOSE(CONTROL!$C$42, 31, 31))/1000000</f>
        <v>4.2625000000000002</v>
      </c>
      <c r="W317" s="57">
        <f>(1000*CHOOSE(CONTROL!$C$42, 0.1146, 0.1146)*CHOOSE(CONTROL!$C$42, 121.5, 121.5)*CHOOSE(CONTROL!$C$42, 31, 31))/1000000</f>
        <v>0.43164089999999994</v>
      </c>
      <c r="X317" s="57">
        <f>(31*0.1790888*245000/1000000)+(31*0.2374*100000/1000000)</f>
        <v>2.0961194359999999</v>
      </c>
      <c r="Y317" s="57"/>
      <c r="Z317" s="14"/>
      <c r="AA317" s="56"/>
      <c r="AB317" s="50">
        <f>(B317*194.205+C317*267.466+D317*133.845+E317*53.484+F317*40+G317*185+H317*0+I317*100+J317*300)/(194.205+267.466+133.845+53.484+0+40+185+100+300)</f>
        <v>14.96624355054945</v>
      </c>
      <c r="AC317" s="45">
        <f>(M317*'RAP TEMPLATE-GAS AVAILABILITY'!O316+N317*'RAP TEMPLATE-GAS AVAILABILITY'!P316+O317*'RAP TEMPLATE-GAS AVAILABILITY'!Q316+P317*'RAP TEMPLATE-GAS AVAILABILITY'!R316)/('RAP TEMPLATE-GAS AVAILABILITY'!O316+'RAP TEMPLATE-GAS AVAILABILITY'!P316+'RAP TEMPLATE-GAS AVAILABILITY'!Q316+'RAP TEMPLATE-GAS AVAILABILITY'!R316)</f>
        <v>14.707724460431653</v>
      </c>
    </row>
    <row r="318" spans="1:29" ht="15.75" x14ac:dyDescent="0.25">
      <c r="A318" s="33">
        <v>50586</v>
      </c>
      <c r="B318" s="14">
        <f>CHOOSE(CONTROL!$C$42, 15.3348, 15.3348) * CHOOSE(CONTROL!$C$21, $C$9, 100%, $E$9)</f>
        <v>15.3348</v>
      </c>
      <c r="C318" s="14">
        <f>CHOOSE(CONTROL!$C$42, 15.3428, 15.3428) * CHOOSE(CONTROL!$C$21, $C$9, 100%, $E$9)</f>
        <v>15.3428</v>
      </c>
      <c r="D318" s="14">
        <f>CHOOSE(CONTROL!$C$42, 15.5634, 15.5634) * CHOOSE(CONTROL!$C$21, $C$9, 100%, $E$9)</f>
        <v>15.5634</v>
      </c>
      <c r="E318" s="14">
        <f>CHOOSE(CONTROL!$C$42, 15.5948, 15.5948) * CHOOSE(CONTROL!$C$21, $C$9, 100%, $E$9)</f>
        <v>15.594799999999999</v>
      </c>
      <c r="F318" s="14">
        <f>CHOOSE(CONTROL!$C$42, 15.3614, 15.3614)*CHOOSE(CONTROL!$C$21, $C$9, 100%, $E$9)</f>
        <v>15.3614</v>
      </c>
      <c r="G318" s="14">
        <f>CHOOSE(CONTROL!$C$42, 15.3786, 15.3786)*CHOOSE(CONTROL!$C$21, $C$9, 100%, $E$9)</f>
        <v>15.3786</v>
      </c>
      <c r="H318" s="14">
        <f>CHOOSE(CONTROL!$C$42, 15.5835, 15.5835) * CHOOSE(CONTROL!$C$21, $C$9, 100%, $E$9)</f>
        <v>15.583500000000001</v>
      </c>
      <c r="I318" s="14">
        <f>CHOOSE(CONTROL!$C$42, 15.4107, 15.4107)* CHOOSE(CONTROL!$C$21, $C$9, 100%, $E$9)</f>
        <v>15.4107</v>
      </c>
      <c r="J318" s="14">
        <f>CHOOSE(CONTROL!$C$42, 15.3544, 15.3544)* CHOOSE(CONTROL!$C$21, $C$9, 100%, $E$9)</f>
        <v>15.3544</v>
      </c>
      <c r="K318" s="53">
        <f>CHOOSE(CONTROL!$C$42, 15.4068, 15.4068) * CHOOSE(CONTROL!$C$21, $C$9, 100%, $E$9)</f>
        <v>15.4068</v>
      </c>
      <c r="L318" s="14">
        <f>CHOOSE(CONTROL!$C$42, 16.1705, 16.1705) * CHOOSE(CONTROL!$C$21, $C$9, 100%, $E$9)</f>
        <v>16.170500000000001</v>
      </c>
      <c r="M318" s="14">
        <f>CHOOSE(CONTROL!$C$42, 15.0475, 15.0475) * CHOOSE(CONTROL!$C$21, $C$9, 100%, $E$9)</f>
        <v>15.047499999999999</v>
      </c>
      <c r="N318" s="14">
        <f>CHOOSE(CONTROL!$C$42, 15.0643, 15.0643) * CHOOSE(CONTROL!$C$21, $C$9, 100%, $E$9)</f>
        <v>15.064299999999999</v>
      </c>
      <c r="O318" s="14">
        <f>CHOOSE(CONTROL!$C$42, 15.2719, 15.2719) * CHOOSE(CONTROL!$C$21, $C$9, 100%, $E$9)</f>
        <v>15.2719</v>
      </c>
      <c r="P318" s="14">
        <f>CHOOSE(CONTROL!$C$42, 15.1017, 15.1017) * CHOOSE(CONTROL!$C$21, $C$9, 100%, $E$9)</f>
        <v>15.101699999999999</v>
      </c>
      <c r="Q318" s="14">
        <f>CHOOSE(CONTROL!$C$42, 15.8666, 15.8666) * CHOOSE(CONTROL!$C$21, $C$9, 100%, $E$9)</f>
        <v>15.8666</v>
      </c>
      <c r="R318" s="14">
        <f>CHOOSE(CONTROL!$C$42, 16.4932, 16.4932) * CHOOSE(CONTROL!$C$21, $C$9, 100%, $E$9)</f>
        <v>16.493200000000002</v>
      </c>
      <c r="S318" s="14">
        <f>CHOOSE(CONTROL!$C$42, 14.7245, 14.7245) * CHOOSE(CONTROL!$C$21, $C$9, 100%, $E$9)</f>
        <v>14.724500000000001</v>
      </c>
      <c r="T31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18" s="57">
        <f>(1000*CHOOSE(CONTROL!$C$42, 695, 695)*CHOOSE(CONTROL!$C$42, 0.5599, 0.5599)*CHOOSE(CONTROL!$C$42, 30, 30))/1000000</f>
        <v>11.673914999999997</v>
      </c>
      <c r="V318" s="57">
        <f>(1000*CHOOSE(CONTROL!$C$42, 500, 500)*CHOOSE(CONTROL!$C$42, 0.275, 0.275)*CHOOSE(CONTROL!$C$42, 30, 30))/1000000</f>
        <v>4.125</v>
      </c>
      <c r="W318" s="57">
        <f>(1000*CHOOSE(CONTROL!$C$42, 0.1146, 0.1146)*CHOOSE(CONTROL!$C$42, 121.5, 121.5)*CHOOSE(CONTROL!$C$42, 30, 30))/1000000</f>
        <v>0.417717</v>
      </c>
      <c r="X318" s="57">
        <f>(30*0.1790888*245000/1000000)+(30*0.2374*100000/1000000)</f>
        <v>2.0285026799999999</v>
      </c>
      <c r="Y318" s="57"/>
      <c r="Z318" s="14"/>
      <c r="AA318" s="56"/>
      <c r="AB318" s="50">
        <f>(B318*194.205+C318*267.466+D318*133.845+E318*53.484+F318*40+G318*185+H318*0+I318*100+J318*300)/(194.205+267.466+133.845+53.484+0+40+185+100+300)</f>
        <v>15.389179540816327</v>
      </c>
      <c r="AC318" s="45">
        <f>(M318*'RAP TEMPLATE-GAS AVAILABILITY'!O317+N318*'RAP TEMPLATE-GAS AVAILABILITY'!P317+O318*'RAP TEMPLATE-GAS AVAILABILITY'!Q317+P318*'RAP TEMPLATE-GAS AVAILABILITY'!R317)/('RAP TEMPLATE-GAS AVAILABILITY'!O317+'RAP TEMPLATE-GAS AVAILABILITY'!P317+'RAP TEMPLATE-GAS AVAILABILITY'!Q317+'RAP TEMPLATE-GAS AVAILABILITY'!R317)</f>
        <v>15.122127338129497</v>
      </c>
    </row>
    <row r="319" spans="1:29" ht="15.75" x14ac:dyDescent="0.25">
      <c r="A319" s="33">
        <v>50617</v>
      </c>
      <c r="B319" s="14">
        <f>CHOOSE(CONTROL!$C$42, 15.0408, 15.0408) * CHOOSE(CONTROL!$C$21, $C$9, 100%, $E$9)</f>
        <v>15.040800000000001</v>
      </c>
      <c r="C319" s="14">
        <f>CHOOSE(CONTROL!$C$42, 15.0488, 15.0488) * CHOOSE(CONTROL!$C$21, $C$9, 100%, $E$9)</f>
        <v>15.0488</v>
      </c>
      <c r="D319" s="14">
        <f>CHOOSE(CONTROL!$C$42, 15.2694, 15.2694) * CHOOSE(CONTROL!$C$21, $C$9, 100%, $E$9)</f>
        <v>15.269399999999999</v>
      </c>
      <c r="E319" s="14">
        <f>CHOOSE(CONTROL!$C$42, 15.3009, 15.3009) * CHOOSE(CONTROL!$C$21, $C$9, 100%, $E$9)</f>
        <v>15.3009</v>
      </c>
      <c r="F319" s="14">
        <f>CHOOSE(CONTROL!$C$42, 15.0679, 15.0679)*CHOOSE(CONTROL!$C$21, $C$9, 100%, $E$9)</f>
        <v>15.0679</v>
      </c>
      <c r="G319" s="14">
        <f>CHOOSE(CONTROL!$C$42, 15.0852, 15.0852)*CHOOSE(CONTROL!$C$21, $C$9, 100%, $E$9)</f>
        <v>15.0852</v>
      </c>
      <c r="H319" s="14">
        <f>CHOOSE(CONTROL!$C$42, 15.2895, 15.2895) * CHOOSE(CONTROL!$C$21, $C$9, 100%, $E$9)</f>
        <v>15.2895</v>
      </c>
      <c r="I319" s="14">
        <f>CHOOSE(CONTROL!$C$42, 15.1158, 15.1158)* CHOOSE(CONTROL!$C$21, $C$9, 100%, $E$9)</f>
        <v>15.1158</v>
      </c>
      <c r="J319" s="14">
        <f>CHOOSE(CONTROL!$C$42, 15.0609, 15.0609)* CHOOSE(CONTROL!$C$21, $C$9, 100%, $E$9)</f>
        <v>15.0609</v>
      </c>
      <c r="K319" s="53">
        <f>CHOOSE(CONTROL!$C$42, 15.1119, 15.1119) * CHOOSE(CONTROL!$C$21, $C$9, 100%, $E$9)</f>
        <v>15.1119</v>
      </c>
      <c r="L319" s="14">
        <f>CHOOSE(CONTROL!$C$42, 15.8765, 15.8765) * CHOOSE(CONTROL!$C$21, $C$9, 100%, $E$9)</f>
        <v>15.8765</v>
      </c>
      <c r="M319" s="14">
        <f>CHOOSE(CONTROL!$C$42, 14.76, 14.76) * CHOOSE(CONTROL!$C$21, $C$9, 100%, $E$9)</f>
        <v>14.76</v>
      </c>
      <c r="N319" s="14">
        <f>CHOOSE(CONTROL!$C$42, 14.7769, 14.7769) * CHOOSE(CONTROL!$C$21, $C$9, 100%, $E$9)</f>
        <v>14.776899999999999</v>
      </c>
      <c r="O319" s="14">
        <f>CHOOSE(CONTROL!$C$42, 14.9839, 14.9839) * CHOOSE(CONTROL!$C$21, $C$9, 100%, $E$9)</f>
        <v>14.9839</v>
      </c>
      <c r="P319" s="14">
        <f>CHOOSE(CONTROL!$C$42, 14.8129, 14.8129) * CHOOSE(CONTROL!$C$21, $C$9, 100%, $E$9)</f>
        <v>14.812900000000001</v>
      </c>
      <c r="Q319" s="14">
        <f>CHOOSE(CONTROL!$C$42, 15.5786, 15.5786) * CHOOSE(CONTROL!$C$21, $C$9, 100%, $E$9)</f>
        <v>15.5786</v>
      </c>
      <c r="R319" s="14">
        <f>CHOOSE(CONTROL!$C$42, 16.2046, 16.2046) * CHOOSE(CONTROL!$C$21, $C$9, 100%, $E$9)</f>
        <v>16.204599999999999</v>
      </c>
      <c r="S319" s="14">
        <f>CHOOSE(CONTROL!$C$42, 14.4421, 14.4421) * CHOOSE(CONTROL!$C$21, $C$9, 100%, $E$9)</f>
        <v>14.4421</v>
      </c>
      <c r="T31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19" s="57">
        <f>(1000*CHOOSE(CONTROL!$C$42, 695, 695)*CHOOSE(CONTROL!$C$42, 0.5599, 0.5599)*CHOOSE(CONTROL!$C$42, 31, 31))/1000000</f>
        <v>12.063045499999998</v>
      </c>
      <c r="V319" s="57">
        <f>(1000*CHOOSE(CONTROL!$C$42, 500, 500)*CHOOSE(CONTROL!$C$42, 0.275, 0.275)*CHOOSE(CONTROL!$C$42, 31, 31))/1000000</f>
        <v>4.2625000000000002</v>
      </c>
      <c r="W319" s="57">
        <f>(1000*CHOOSE(CONTROL!$C$42, 0.1146, 0.1146)*CHOOSE(CONTROL!$C$42, 121.5, 121.5)*CHOOSE(CONTROL!$C$42, 31, 31))/1000000</f>
        <v>0.43164089999999994</v>
      </c>
      <c r="X319" s="57">
        <f>(31*0.1790888*245000/1000000)+(31*0.2374*100000/1000000)</f>
        <v>2.0961194359999999</v>
      </c>
      <c r="Y319" s="57"/>
      <c r="Z319" s="14"/>
      <c r="AA319" s="56"/>
      <c r="AB319" s="50">
        <f>(B319*194.205+C319*267.466+D319*133.845+E319*53.484+F319*40+G319*185+H319*0+I319*100+J319*300)/(194.205+267.466+133.845+53.484+0+40+185+100+300)</f>
        <v>15.095333660439563</v>
      </c>
      <c r="AC319" s="45">
        <f>(M319*'RAP TEMPLATE-GAS AVAILABILITY'!O318+N319*'RAP TEMPLATE-GAS AVAILABILITY'!P318+O319*'RAP TEMPLATE-GAS AVAILABILITY'!Q318+P319*'RAP TEMPLATE-GAS AVAILABILITY'!R318)/('RAP TEMPLATE-GAS AVAILABILITY'!O318+'RAP TEMPLATE-GAS AVAILABILITY'!P318+'RAP TEMPLATE-GAS AVAILABILITY'!Q318+'RAP TEMPLATE-GAS AVAILABILITY'!R318)</f>
        <v>14.834323021582735</v>
      </c>
    </row>
    <row r="320" spans="1:29" ht="15.75" x14ac:dyDescent="0.25">
      <c r="A320" s="33">
        <v>50648</v>
      </c>
      <c r="B320" s="14">
        <f>CHOOSE(CONTROL!$C$42, 14.2984, 14.2984) * CHOOSE(CONTROL!$C$21, $C$9, 100%, $E$9)</f>
        <v>14.298400000000001</v>
      </c>
      <c r="C320" s="14">
        <f>CHOOSE(CONTROL!$C$42, 14.3065, 14.3065) * CHOOSE(CONTROL!$C$21, $C$9, 100%, $E$9)</f>
        <v>14.3065</v>
      </c>
      <c r="D320" s="14">
        <f>CHOOSE(CONTROL!$C$42, 14.5271, 14.5271) * CHOOSE(CONTROL!$C$21, $C$9, 100%, $E$9)</f>
        <v>14.527100000000001</v>
      </c>
      <c r="E320" s="14">
        <f>CHOOSE(CONTROL!$C$42, 14.5585, 14.5585) * CHOOSE(CONTROL!$C$21, $C$9, 100%, $E$9)</f>
        <v>14.5585</v>
      </c>
      <c r="F320" s="14">
        <f>CHOOSE(CONTROL!$C$42, 14.3258, 14.3258)*CHOOSE(CONTROL!$C$21, $C$9, 100%, $E$9)</f>
        <v>14.325799999999999</v>
      </c>
      <c r="G320" s="14">
        <f>CHOOSE(CONTROL!$C$42, 14.3432, 14.3432)*CHOOSE(CONTROL!$C$21, $C$9, 100%, $E$9)</f>
        <v>14.3432</v>
      </c>
      <c r="H320" s="14">
        <f>CHOOSE(CONTROL!$C$42, 14.5472, 14.5472) * CHOOSE(CONTROL!$C$21, $C$9, 100%, $E$9)</f>
        <v>14.5472</v>
      </c>
      <c r="I320" s="14">
        <f>CHOOSE(CONTROL!$C$42, 14.3711, 14.3711)* CHOOSE(CONTROL!$C$21, $C$9, 100%, $E$9)</f>
        <v>14.3711</v>
      </c>
      <c r="J320" s="14">
        <f>CHOOSE(CONTROL!$C$42, 14.3188, 14.3188)* CHOOSE(CONTROL!$C$21, $C$9, 100%, $E$9)</f>
        <v>14.3188</v>
      </c>
      <c r="K320" s="53">
        <f>CHOOSE(CONTROL!$C$42, 14.3672, 14.3672) * CHOOSE(CONTROL!$C$21, $C$9, 100%, $E$9)</f>
        <v>14.3672</v>
      </c>
      <c r="L320" s="14">
        <f>CHOOSE(CONTROL!$C$42, 15.1342, 15.1342) * CHOOSE(CONTROL!$C$21, $C$9, 100%, $E$9)</f>
        <v>15.1342</v>
      </c>
      <c r="M320" s="14">
        <f>CHOOSE(CONTROL!$C$42, 14.0331, 14.0331) * CHOOSE(CONTROL!$C$21, $C$9, 100%, $E$9)</f>
        <v>14.033099999999999</v>
      </c>
      <c r="N320" s="14">
        <f>CHOOSE(CONTROL!$C$42, 14.0502, 14.0502) * CHOOSE(CONTROL!$C$21, $C$9, 100%, $E$9)</f>
        <v>14.0502</v>
      </c>
      <c r="O320" s="14">
        <f>CHOOSE(CONTROL!$C$42, 14.2568, 14.2568) * CHOOSE(CONTROL!$C$21, $C$9, 100%, $E$9)</f>
        <v>14.2568</v>
      </c>
      <c r="P320" s="14">
        <f>CHOOSE(CONTROL!$C$42, 14.0835, 14.0835) * CHOOSE(CONTROL!$C$21, $C$9, 100%, $E$9)</f>
        <v>14.083500000000001</v>
      </c>
      <c r="Q320" s="14">
        <f>CHOOSE(CONTROL!$C$42, 14.8515, 14.8515) * CHOOSE(CONTROL!$C$21, $C$9, 100%, $E$9)</f>
        <v>14.8515</v>
      </c>
      <c r="R320" s="14">
        <f>CHOOSE(CONTROL!$C$42, 15.4756, 15.4756) * CHOOSE(CONTROL!$C$21, $C$9, 100%, $E$9)</f>
        <v>15.4756</v>
      </c>
      <c r="S320" s="14">
        <f>CHOOSE(CONTROL!$C$42, 13.7287, 13.7287) * CHOOSE(CONTROL!$C$21, $C$9, 100%, $E$9)</f>
        <v>13.7287</v>
      </c>
      <c r="T32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20" s="57">
        <f>(1000*CHOOSE(CONTROL!$C$42, 695, 695)*CHOOSE(CONTROL!$C$42, 0.5599, 0.5599)*CHOOSE(CONTROL!$C$42, 31, 31))/1000000</f>
        <v>12.063045499999998</v>
      </c>
      <c r="V320" s="57">
        <f>(1000*CHOOSE(CONTROL!$C$42, 500, 500)*CHOOSE(CONTROL!$C$42, 0.275, 0.275)*CHOOSE(CONTROL!$C$42, 31, 31))/1000000</f>
        <v>4.2625000000000002</v>
      </c>
      <c r="W320" s="57">
        <f>(1000*CHOOSE(CONTROL!$C$42, 0.1146, 0.1146)*CHOOSE(CONTROL!$C$42, 121.5, 121.5)*CHOOSE(CONTROL!$C$42, 31, 31))/1000000</f>
        <v>0.43164089999999994</v>
      </c>
      <c r="X320" s="57">
        <f>(31*0.1790888*245000/1000000)+(31*0.2374*100000/1000000)</f>
        <v>2.0961194359999999</v>
      </c>
      <c r="Y320" s="57"/>
      <c r="Z320" s="14"/>
      <c r="AA320" s="56"/>
      <c r="AB320" s="50">
        <f>(B320*194.205+C320*267.466+D320*133.845+E320*53.484+F320*40+G320*185+H320*0+I320*100+J320*300)/(194.205+267.466+133.845+53.484+0+40+185+100+300)</f>
        <v>14.352922774332811</v>
      </c>
      <c r="AC320" s="45">
        <f>(M320*'RAP TEMPLATE-GAS AVAILABILITY'!O319+N320*'RAP TEMPLATE-GAS AVAILABILITY'!P319+O320*'RAP TEMPLATE-GAS AVAILABILITY'!Q319+P320*'RAP TEMPLATE-GAS AVAILABILITY'!R319)/('RAP TEMPLATE-GAS AVAILABILITY'!O319+'RAP TEMPLATE-GAS AVAILABILITY'!P319+'RAP TEMPLATE-GAS AVAILABILITY'!Q319+'RAP TEMPLATE-GAS AVAILABILITY'!R319)</f>
        <v>14.107053237410073</v>
      </c>
    </row>
    <row r="321" spans="1:29" ht="15.75" x14ac:dyDescent="0.25">
      <c r="A321" s="33">
        <v>50678</v>
      </c>
      <c r="B321" s="14">
        <f>CHOOSE(CONTROL!$C$42, 13.3912, 13.3912) * CHOOSE(CONTROL!$C$21, $C$9, 100%, $E$9)</f>
        <v>13.3912</v>
      </c>
      <c r="C321" s="14">
        <f>CHOOSE(CONTROL!$C$42, 13.3992, 13.3992) * CHOOSE(CONTROL!$C$21, $C$9, 100%, $E$9)</f>
        <v>13.3992</v>
      </c>
      <c r="D321" s="14">
        <f>CHOOSE(CONTROL!$C$42, 13.6198, 13.6198) * CHOOSE(CONTROL!$C$21, $C$9, 100%, $E$9)</f>
        <v>13.6198</v>
      </c>
      <c r="E321" s="14">
        <f>CHOOSE(CONTROL!$C$42, 13.6513, 13.6513) * CHOOSE(CONTROL!$C$21, $C$9, 100%, $E$9)</f>
        <v>13.651300000000001</v>
      </c>
      <c r="F321" s="14">
        <f>CHOOSE(CONTROL!$C$42, 13.4186, 13.4186)*CHOOSE(CONTROL!$C$21, $C$9, 100%, $E$9)</f>
        <v>13.4186</v>
      </c>
      <c r="G321" s="14">
        <f>CHOOSE(CONTROL!$C$42, 13.436, 13.436)*CHOOSE(CONTROL!$C$21, $C$9, 100%, $E$9)</f>
        <v>13.436</v>
      </c>
      <c r="H321" s="14">
        <f>CHOOSE(CONTROL!$C$42, 13.6399, 13.6399) * CHOOSE(CONTROL!$C$21, $C$9, 100%, $E$9)</f>
        <v>13.639900000000001</v>
      </c>
      <c r="I321" s="14">
        <f>CHOOSE(CONTROL!$C$42, 13.461, 13.461)* CHOOSE(CONTROL!$C$21, $C$9, 100%, $E$9)</f>
        <v>13.461</v>
      </c>
      <c r="J321" s="14">
        <f>CHOOSE(CONTROL!$C$42, 13.4116, 13.4116)* CHOOSE(CONTROL!$C$21, $C$9, 100%, $E$9)</f>
        <v>13.4116</v>
      </c>
      <c r="K321" s="53">
        <f>CHOOSE(CONTROL!$C$42, 13.4571, 13.4571) * CHOOSE(CONTROL!$C$21, $C$9, 100%, $E$9)</f>
        <v>13.457100000000001</v>
      </c>
      <c r="L321" s="14">
        <f>CHOOSE(CONTROL!$C$42, 14.2269, 14.2269) * CHOOSE(CONTROL!$C$21, $C$9, 100%, $E$9)</f>
        <v>14.226900000000001</v>
      </c>
      <c r="M321" s="14">
        <f>CHOOSE(CONTROL!$C$42, 13.1444, 13.1444) * CHOOSE(CONTROL!$C$21, $C$9, 100%, $E$9)</f>
        <v>13.144399999999999</v>
      </c>
      <c r="N321" s="14">
        <f>CHOOSE(CONTROL!$C$42, 13.1615, 13.1615) * CHOOSE(CONTROL!$C$21, $C$9, 100%, $E$9)</f>
        <v>13.1615</v>
      </c>
      <c r="O321" s="14">
        <f>CHOOSE(CONTROL!$C$42, 13.3681, 13.3681) * CHOOSE(CONTROL!$C$21, $C$9, 100%, $E$9)</f>
        <v>13.3681</v>
      </c>
      <c r="P321" s="14">
        <f>CHOOSE(CONTROL!$C$42, 13.1921, 13.1921) * CHOOSE(CONTROL!$C$21, $C$9, 100%, $E$9)</f>
        <v>13.1921</v>
      </c>
      <c r="Q321" s="14">
        <f>CHOOSE(CONTROL!$C$42, 13.9628, 13.9628) * CHOOSE(CONTROL!$C$21, $C$9, 100%, $E$9)</f>
        <v>13.9628</v>
      </c>
      <c r="R321" s="14">
        <f>CHOOSE(CONTROL!$C$42, 14.5847, 14.5847) * CHOOSE(CONTROL!$C$21, $C$9, 100%, $E$9)</f>
        <v>14.5847</v>
      </c>
      <c r="S321" s="14">
        <f>CHOOSE(CONTROL!$C$42, 12.857, 12.857) * CHOOSE(CONTROL!$C$21, $C$9, 100%, $E$9)</f>
        <v>12.856999999999999</v>
      </c>
      <c r="T32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21" s="57">
        <f>(1000*CHOOSE(CONTROL!$C$42, 695, 695)*CHOOSE(CONTROL!$C$42, 0.5599, 0.5599)*CHOOSE(CONTROL!$C$42, 30, 30))/1000000</f>
        <v>11.673914999999997</v>
      </c>
      <c r="V321" s="57">
        <f>(1000*CHOOSE(CONTROL!$C$42, 500, 500)*CHOOSE(CONTROL!$C$42, 0.275, 0.275)*CHOOSE(CONTROL!$C$42, 30, 30))/1000000</f>
        <v>4.125</v>
      </c>
      <c r="W321" s="57">
        <f>(1000*CHOOSE(CONTROL!$C$42, 0.1146, 0.1146)*CHOOSE(CONTROL!$C$42, 121.5, 121.5)*CHOOSE(CONTROL!$C$42, 30, 30))/1000000</f>
        <v>0.417717</v>
      </c>
      <c r="X321" s="57">
        <f>(30*0.1790888*245000/1000000)+(30*0.2374*100000/1000000)</f>
        <v>2.0285026799999999</v>
      </c>
      <c r="Y321" s="57"/>
      <c r="Z321" s="14"/>
      <c r="AA321" s="56"/>
      <c r="AB321" s="50">
        <f>(B321*194.205+C321*267.466+D321*133.845+E321*53.484+F321*40+G321*185+H321*0+I321*100+J321*300)/(194.205+267.466+133.845+53.484+0+40+185+100+300)</f>
        <v>13.445463644740975</v>
      </c>
      <c r="AC321" s="45">
        <f>(M321*'RAP TEMPLATE-GAS AVAILABILITY'!O320+N321*'RAP TEMPLATE-GAS AVAILABILITY'!P320+O321*'RAP TEMPLATE-GAS AVAILABILITY'!Q320+P321*'RAP TEMPLATE-GAS AVAILABILITY'!R320)/('RAP TEMPLATE-GAS AVAILABILITY'!O320+'RAP TEMPLATE-GAS AVAILABILITY'!P320+'RAP TEMPLATE-GAS AVAILABILITY'!Q320+'RAP TEMPLATE-GAS AVAILABILITY'!R320)</f>
        <v>13.217964748201437</v>
      </c>
    </row>
    <row r="322" spans="1:29" ht="15.75" x14ac:dyDescent="0.25">
      <c r="A322" s="33">
        <v>50709</v>
      </c>
      <c r="B322" s="14">
        <f>CHOOSE(CONTROL!$C$42, 13.1178, 13.1178) * CHOOSE(CONTROL!$C$21, $C$9, 100%, $E$9)</f>
        <v>13.117800000000001</v>
      </c>
      <c r="C322" s="14">
        <f>CHOOSE(CONTROL!$C$42, 13.1231, 13.1231) * CHOOSE(CONTROL!$C$21, $C$9, 100%, $E$9)</f>
        <v>13.123100000000001</v>
      </c>
      <c r="D322" s="14">
        <f>CHOOSE(CONTROL!$C$42, 13.3487, 13.3487) * CHOOSE(CONTROL!$C$21, $C$9, 100%, $E$9)</f>
        <v>13.348699999999999</v>
      </c>
      <c r="E322" s="14">
        <f>CHOOSE(CONTROL!$C$42, 13.3778, 13.3778) * CHOOSE(CONTROL!$C$21, $C$9, 100%, $E$9)</f>
        <v>13.377800000000001</v>
      </c>
      <c r="F322" s="14">
        <f>CHOOSE(CONTROL!$C$42, 13.1471, 13.1471)*CHOOSE(CONTROL!$C$21, $C$9, 100%, $E$9)</f>
        <v>13.1471</v>
      </c>
      <c r="G322" s="14">
        <f>CHOOSE(CONTROL!$C$42, 13.1644, 13.1644)*CHOOSE(CONTROL!$C$21, $C$9, 100%, $E$9)</f>
        <v>13.164400000000001</v>
      </c>
      <c r="H322" s="14">
        <f>CHOOSE(CONTROL!$C$42, 13.3683, 13.3683) * CHOOSE(CONTROL!$C$21, $C$9, 100%, $E$9)</f>
        <v>13.3683</v>
      </c>
      <c r="I322" s="14">
        <f>CHOOSE(CONTROL!$C$42, 13.1885, 13.1885)* CHOOSE(CONTROL!$C$21, $C$9, 100%, $E$9)</f>
        <v>13.188499999999999</v>
      </c>
      <c r="J322" s="14">
        <f>CHOOSE(CONTROL!$C$42, 13.1401, 13.1401)* CHOOSE(CONTROL!$C$21, $C$9, 100%, $E$9)</f>
        <v>13.1401</v>
      </c>
      <c r="K322" s="53">
        <f>CHOOSE(CONTROL!$C$42, 13.1846, 13.1846) * CHOOSE(CONTROL!$C$21, $C$9, 100%, $E$9)</f>
        <v>13.1846</v>
      </c>
      <c r="L322" s="14">
        <f>CHOOSE(CONTROL!$C$42, 13.9553, 13.9553) * CHOOSE(CONTROL!$C$21, $C$9, 100%, $E$9)</f>
        <v>13.955299999999999</v>
      </c>
      <c r="M322" s="14">
        <f>CHOOSE(CONTROL!$C$42, 12.8786, 12.8786) * CHOOSE(CONTROL!$C$21, $C$9, 100%, $E$9)</f>
        <v>12.8786</v>
      </c>
      <c r="N322" s="14">
        <f>CHOOSE(CONTROL!$C$42, 12.8955, 12.8955) * CHOOSE(CONTROL!$C$21, $C$9, 100%, $E$9)</f>
        <v>12.8955</v>
      </c>
      <c r="O322" s="14">
        <f>CHOOSE(CONTROL!$C$42, 13.102, 13.102) * CHOOSE(CONTROL!$C$21, $C$9, 100%, $E$9)</f>
        <v>13.102</v>
      </c>
      <c r="P322" s="14">
        <f>CHOOSE(CONTROL!$C$42, 12.9252, 12.9252) * CHOOSE(CONTROL!$C$21, $C$9, 100%, $E$9)</f>
        <v>12.9252</v>
      </c>
      <c r="Q322" s="14">
        <f>CHOOSE(CONTROL!$C$42, 13.6967, 13.6967) * CHOOSE(CONTROL!$C$21, $C$9, 100%, $E$9)</f>
        <v>13.6967</v>
      </c>
      <c r="R322" s="14">
        <f>CHOOSE(CONTROL!$C$42, 14.318, 14.318) * CHOOSE(CONTROL!$C$21, $C$9, 100%, $E$9)</f>
        <v>14.318</v>
      </c>
      <c r="S322" s="14">
        <f>CHOOSE(CONTROL!$C$42, 12.5959, 12.5959) * CHOOSE(CONTROL!$C$21, $C$9, 100%, $E$9)</f>
        <v>12.5959</v>
      </c>
      <c r="T32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22" s="57">
        <f>(1000*CHOOSE(CONTROL!$C$42, 695, 695)*CHOOSE(CONTROL!$C$42, 0.5599, 0.5599)*CHOOSE(CONTROL!$C$42, 31, 31))/1000000</f>
        <v>12.063045499999998</v>
      </c>
      <c r="V322" s="57">
        <f>(1000*CHOOSE(CONTROL!$C$42, 500, 500)*CHOOSE(CONTROL!$C$42, 0.275, 0.275)*CHOOSE(CONTROL!$C$42, 31, 31))/1000000</f>
        <v>4.2625000000000002</v>
      </c>
      <c r="W322" s="57">
        <f>(1000*CHOOSE(CONTROL!$C$42, 0.1146, 0.1146)*CHOOSE(CONTROL!$C$42, 121.5, 121.5)*CHOOSE(CONTROL!$C$42, 31, 31))/1000000</f>
        <v>0.43164089999999994</v>
      </c>
      <c r="X322" s="57">
        <f>(31*0.1790888*245000/1000000)+(31*0.2374*100000/1000000)</f>
        <v>2.0961194359999999</v>
      </c>
      <c r="Y322" s="57"/>
      <c r="Z322" s="14"/>
      <c r="AA322" s="56"/>
      <c r="AB322" s="50">
        <f>(B322*131.881+C322*277.167+D322*79.08+E322*125.872+F322*40+G322*185+H322*0+I322*100+J322*300)/(131.881+277.167+79.08+125.872+0+40+185+100+300)</f>
        <v>13.17914647062147</v>
      </c>
      <c r="AC322" s="45">
        <f>(M322*'RAP TEMPLATE-GAS AVAILABILITY'!O321+N322*'RAP TEMPLATE-GAS AVAILABILITY'!P321+O322*'RAP TEMPLATE-GAS AVAILABILITY'!Q321+P322*'RAP TEMPLATE-GAS AVAILABILITY'!R321)/('RAP TEMPLATE-GAS AVAILABILITY'!O321+'RAP TEMPLATE-GAS AVAILABILITY'!P321+'RAP TEMPLATE-GAS AVAILABILITY'!Q321+'RAP TEMPLATE-GAS AVAILABILITY'!R321)</f>
        <v>12.951876258992806</v>
      </c>
    </row>
    <row r="323" spans="1:29" ht="15.75" x14ac:dyDescent="0.25">
      <c r="A323" s="33">
        <v>50739</v>
      </c>
      <c r="B323" s="14">
        <f>CHOOSE(CONTROL!$C$42, 13.4627, 13.4627) * CHOOSE(CONTROL!$C$21, $C$9, 100%, $E$9)</f>
        <v>13.4627</v>
      </c>
      <c r="C323" s="14">
        <f>CHOOSE(CONTROL!$C$42, 13.4678, 13.4678) * CHOOSE(CONTROL!$C$21, $C$9, 100%, $E$9)</f>
        <v>13.4678</v>
      </c>
      <c r="D323" s="14">
        <f>CHOOSE(CONTROL!$C$42, 13.542, 13.542) * CHOOSE(CONTROL!$C$21, $C$9, 100%, $E$9)</f>
        <v>13.542</v>
      </c>
      <c r="E323" s="14">
        <f>CHOOSE(CONTROL!$C$42, 13.5761, 13.5761) * CHOOSE(CONTROL!$C$21, $C$9, 100%, $E$9)</f>
        <v>13.5761</v>
      </c>
      <c r="F323" s="14">
        <f>CHOOSE(CONTROL!$C$42, 13.4987, 13.4987)*CHOOSE(CONTROL!$C$21, $C$9, 100%, $E$9)</f>
        <v>13.498699999999999</v>
      </c>
      <c r="G323" s="14">
        <f>CHOOSE(CONTROL!$C$42, 13.5163, 13.5163)*CHOOSE(CONTROL!$C$21, $C$9, 100%, $E$9)</f>
        <v>13.516299999999999</v>
      </c>
      <c r="H323" s="14">
        <f>CHOOSE(CONTROL!$C$42, 13.5653, 13.5653) * CHOOSE(CONTROL!$C$21, $C$9, 100%, $E$9)</f>
        <v>13.565300000000001</v>
      </c>
      <c r="I323" s="14">
        <f>CHOOSE(CONTROL!$C$42, 13.5323, 13.5323)* CHOOSE(CONTROL!$C$21, $C$9, 100%, $E$9)</f>
        <v>13.532299999999999</v>
      </c>
      <c r="J323" s="14">
        <f>CHOOSE(CONTROL!$C$42, 13.4917, 13.4917)* CHOOSE(CONTROL!$C$21, $C$9, 100%, $E$9)</f>
        <v>13.4917</v>
      </c>
      <c r="K323" s="53">
        <f>CHOOSE(CONTROL!$C$42, 13.5284, 13.5284) * CHOOSE(CONTROL!$C$21, $C$9, 100%, $E$9)</f>
        <v>13.5284</v>
      </c>
      <c r="L323" s="14">
        <f>CHOOSE(CONTROL!$C$42, 14.1523, 14.1523) * CHOOSE(CONTROL!$C$21, $C$9, 100%, $E$9)</f>
        <v>14.1523</v>
      </c>
      <c r="M323" s="14">
        <f>CHOOSE(CONTROL!$C$42, 13.223, 13.223) * CHOOSE(CONTROL!$C$21, $C$9, 100%, $E$9)</f>
        <v>13.223000000000001</v>
      </c>
      <c r="N323" s="14">
        <f>CHOOSE(CONTROL!$C$42, 13.2402, 13.2402) * CHOOSE(CONTROL!$C$21, $C$9, 100%, $E$9)</f>
        <v>13.2402</v>
      </c>
      <c r="O323" s="14">
        <f>CHOOSE(CONTROL!$C$42, 13.295, 13.295) * CHOOSE(CONTROL!$C$21, $C$9, 100%, $E$9)</f>
        <v>13.295</v>
      </c>
      <c r="P323" s="14">
        <f>CHOOSE(CONTROL!$C$42, 13.262, 13.262) * CHOOSE(CONTROL!$C$21, $C$9, 100%, $E$9)</f>
        <v>13.262</v>
      </c>
      <c r="Q323" s="14">
        <f>CHOOSE(CONTROL!$C$42, 13.8897, 13.8897) * CHOOSE(CONTROL!$C$21, $C$9, 100%, $E$9)</f>
        <v>13.889699999999999</v>
      </c>
      <c r="R323" s="14">
        <f>CHOOSE(CONTROL!$C$42, 14.5115, 14.5115) * CHOOSE(CONTROL!$C$21, $C$9, 100%, $E$9)</f>
        <v>14.5115</v>
      </c>
      <c r="S323" s="14">
        <f>CHOOSE(CONTROL!$C$42, 12.9278, 12.9278) * CHOOSE(CONTROL!$C$21, $C$9, 100%, $E$9)</f>
        <v>12.9278</v>
      </c>
      <c r="T32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23" s="57">
        <f>(1000*CHOOSE(CONTROL!$C$42, 695, 695)*CHOOSE(CONTROL!$C$42, 0.5599, 0.5599)*CHOOSE(CONTROL!$C$42, 30, 30))/1000000</f>
        <v>11.673914999999997</v>
      </c>
      <c r="V323" s="57">
        <f>(1000*CHOOSE(CONTROL!$C$42, 500, 500)*CHOOSE(CONTROL!$C$42, 0.275, 0.275)*CHOOSE(CONTROL!$C$42, 30, 30))/1000000</f>
        <v>4.125</v>
      </c>
      <c r="W323" s="57">
        <f>(1000*CHOOSE(CONTROL!$C$42, 0.1146, 0.1146)*CHOOSE(CONTROL!$C$42, 121.5, 121.5)*CHOOSE(CONTROL!$C$42, 30, 30))/1000000</f>
        <v>0.417717</v>
      </c>
      <c r="X323" s="57">
        <f>(30*0.1790888*100000/1000000)+(30*0.2374*100000/1000000)</f>
        <v>1.2494664</v>
      </c>
      <c r="Y323" s="57"/>
      <c r="Z323" s="14"/>
      <c r="AA323" s="56"/>
      <c r="AB323" s="50">
        <f>(B323*122.58+C323*297.941+D323*89.177+E323*40.302+F323*40+G323*160+H323*0+I323*100+J323*300)/(122.58+297.941+89.177+40.302+0+40+160+100+300)</f>
        <v>13.49647172347826</v>
      </c>
      <c r="AC323" s="45">
        <f>(M323*'RAP TEMPLATE-GAS AVAILABILITY'!O322+N323*'RAP TEMPLATE-GAS AVAILABILITY'!P322+O323*'RAP TEMPLATE-GAS AVAILABILITY'!Q322+P323*'RAP TEMPLATE-GAS AVAILABILITY'!R322)/('RAP TEMPLATE-GAS AVAILABILITY'!O322+'RAP TEMPLATE-GAS AVAILABILITY'!P322+'RAP TEMPLATE-GAS AVAILABILITY'!Q322+'RAP TEMPLATE-GAS AVAILABILITY'!R322)</f>
        <v>13.262234532374102</v>
      </c>
    </row>
    <row r="324" spans="1:29" ht="15.75" x14ac:dyDescent="0.25">
      <c r="A324" s="33">
        <v>50770</v>
      </c>
      <c r="B324" s="14">
        <f>CHOOSE(CONTROL!$C$42, 14.3799, 14.3799) * CHOOSE(CONTROL!$C$21, $C$9, 100%, $E$9)</f>
        <v>14.379899999999999</v>
      </c>
      <c r="C324" s="14">
        <f>CHOOSE(CONTROL!$C$42, 14.385, 14.385) * CHOOSE(CONTROL!$C$21, $C$9, 100%, $E$9)</f>
        <v>14.385</v>
      </c>
      <c r="D324" s="14">
        <f>CHOOSE(CONTROL!$C$42, 14.4592, 14.4592) * CHOOSE(CONTROL!$C$21, $C$9, 100%, $E$9)</f>
        <v>14.459199999999999</v>
      </c>
      <c r="E324" s="14">
        <f>CHOOSE(CONTROL!$C$42, 14.4933, 14.4933) * CHOOSE(CONTROL!$C$21, $C$9, 100%, $E$9)</f>
        <v>14.4933</v>
      </c>
      <c r="F324" s="14">
        <f>CHOOSE(CONTROL!$C$42, 14.4183, 14.4183)*CHOOSE(CONTROL!$C$21, $C$9, 100%, $E$9)</f>
        <v>14.4183</v>
      </c>
      <c r="G324" s="14">
        <f>CHOOSE(CONTROL!$C$42, 14.4365, 14.4365)*CHOOSE(CONTROL!$C$21, $C$9, 100%, $E$9)</f>
        <v>14.436500000000001</v>
      </c>
      <c r="H324" s="14">
        <f>CHOOSE(CONTROL!$C$42, 14.4825, 14.4825) * CHOOSE(CONTROL!$C$21, $C$9, 100%, $E$9)</f>
        <v>14.4825</v>
      </c>
      <c r="I324" s="14">
        <f>CHOOSE(CONTROL!$C$42, 14.4524, 14.4524)* CHOOSE(CONTROL!$C$21, $C$9, 100%, $E$9)</f>
        <v>14.452400000000001</v>
      </c>
      <c r="J324" s="14">
        <f>CHOOSE(CONTROL!$C$42, 14.4113, 14.4113)* CHOOSE(CONTROL!$C$21, $C$9, 100%, $E$9)</f>
        <v>14.411300000000001</v>
      </c>
      <c r="K324" s="53">
        <f>CHOOSE(CONTROL!$C$42, 14.4485, 14.4485) * CHOOSE(CONTROL!$C$21, $C$9, 100%, $E$9)</f>
        <v>14.448499999999999</v>
      </c>
      <c r="L324" s="14">
        <f>CHOOSE(CONTROL!$C$42, 15.0695, 15.0695) * CHOOSE(CONTROL!$C$21, $C$9, 100%, $E$9)</f>
        <v>15.0695</v>
      </c>
      <c r="M324" s="14">
        <f>CHOOSE(CONTROL!$C$42, 14.1237, 14.1237) * CHOOSE(CONTROL!$C$21, $C$9, 100%, $E$9)</f>
        <v>14.123699999999999</v>
      </c>
      <c r="N324" s="14">
        <f>CHOOSE(CONTROL!$C$42, 14.1415, 14.1415) * CHOOSE(CONTROL!$C$21, $C$9, 100%, $E$9)</f>
        <v>14.141500000000001</v>
      </c>
      <c r="O324" s="14">
        <f>CHOOSE(CONTROL!$C$42, 14.1935, 14.1935) * CHOOSE(CONTROL!$C$21, $C$9, 100%, $E$9)</f>
        <v>14.1935</v>
      </c>
      <c r="P324" s="14">
        <f>CHOOSE(CONTROL!$C$42, 14.1632, 14.1632) * CHOOSE(CONTROL!$C$21, $C$9, 100%, $E$9)</f>
        <v>14.1632</v>
      </c>
      <c r="Q324" s="14">
        <f>CHOOSE(CONTROL!$C$42, 14.7882, 14.7882) * CHOOSE(CONTROL!$C$21, $C$9, 100%, $E$9)</f>
        <v>14.7882</v>
      </c>
      <c r="R324" s="14">
        <f>CHOOSE(CONTROL!$C$42, 15.4121, 15.4121) * CHOOSE(CONTROL!$C$21, $C$9, 100%, $E$9)</f>
        <v>15.412100000000001</v>
      </c>
      <c r="S324" s="14">
        <f>CHOOSE(CONTROL!$C$42, 13.8091, 13.8091) * CHOOSE(CONTROL!$C$21, $C$9, 100%, $E$9)</f>
        <v>13.809100000000001</v>
      </c>
      <c r="T32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24" s="57">
        <f>(1000*CHOOSE(CONTROL!$C$42, 695, 695)*CHOOSE(CONTROL!$C$42, 0.5599, 0.5599)*CHOOSE(CONTROL!$C$42, 31, 31))/1000000</f>
        <v>12.063045499999998</v>
      </c>
      <c r="V324" s="57">
        <f>(1000*CHOOSE(CONTROL!$C$42, 500, 500)*CHOOSE(CONTROL!$C$42, 0.275, 0.275)*CHOOSE(CONTROL!$C$42, 31, 31))/1000000</f>
        <v>4.2625000000000002</v>
      </c>
      <c r="W324" s="57">
        <f>(1000*CHOOSE(CONTROL!$C$42, 0.1146, 0.1146)*CHOOSE(CONTROL!$C$42, 121.5, 121.5)*CHOOSE(CONTROL!$C$42, 31, 31))/1000000</f>
        <v>0.43164089999999994</v>
      </c>
      <c r="X324" s="57">
        <f>(31*0.1790888*100000/1000000)+(31*0.2374*100000/1000000)</f>
        <v>1.2911152800000001</v>
      </c>
      <c r="Y324" s="57"/>
      <c r="Z324" s="14"/>
      <c r="AA324" s="56"/>
      <c r="AB324" s="50">
        <f>(B324*122.58+C324*297.941+D324*89.177+E324*40.302+F324*40+G324*160+H324*0+I324*100+J324*300)/(122.58+297.941+89.177+40.302+0+40+160+100+300)</f>
        <v>14.415050853913044</v>
      </c>
      <c r="AC324" s="45">
        <f>(M324*'RAP TEMPLATE-GAS AVAILABILITY'!O323+N324*'RAP TEMPLATE-GAS AVAILABILITY'!P323+O324*'RAP TEMPLATE-GAS AVAILABILITY'!Q323+P324*'RAP TEMPLATE-GAS AVAILABILITY'!R323)/('RAP TEMPLATE-GAS AVAILABILITY'!O323+'RAP TEMPLATE-GAS AVAILABILITY'!P323+'RAP TEMPLATE-GAS AVAILABILITY'!Q323+'RAP TEMPLATE-GAS AVAILABILITY'!R323)</f>
        <v>14.162043884892087</v>
      </c>
    </row>
    <row r="325" spans="1:29" ht="15.75" x14ac:dyDescent="0.25">
      <c r="A325" s="33">
        <v>50801</v>
      </c>
      <c r="B325" s="14">
        <f>CHOOSE(CONTROL!$C$42, 15.5712, 15.5712) * CHOOSE(CONTROL!$C$21, $C$9, 100%, $E$9)</f>
        <v>15.571199999999999</v>
      </c>
      <c r="C325" s="14">
        <f>CHOOSE(CONTROL!$C$42, 15.5763, 15.5763) * CHOOSE(CONTROL!$C$21, $C$9, 100%, $E$9)</f>
        <v>15.5763</v>
      </c>
      <c r="D325" s="14">
        <f>CHOOSE(CONTROL!$C$42, 15.6531, 15.6531) * CHOOSE(CONTROL!$C$21, $C$9, 100%, $E$9)</f>
        <v>15.6531</v>
      </c>
      <c r="E325" s="14">
        <f>CHOOSE(CONTROL!$C$42, 15.6872, 15.6872) * CHOOSE(CONTROL!$C$21, $C$9, 100%, $E$9)</f>
        <v>15.687200000000001</v>
      </c>
      <c r="F325" s="14">
        <f>CHOOSE(CONTROL!$C$42, 15.596, 15.596)*CHOOSE(CONTROL!$C$21, $C$9, 100%, $E$9)</f>
        <v>15.596</v>
      </c>
      <c r="G325" s="14">
        <f>CHOOSE(CONTROL!$C$42, 15.6139, 15.6139)*CHOOSE(CONTROL!$C$21, $C$9, 100%, $E$9)</f>
        <v>15.613899999999999</v>
      </c>
      <c r="H325" s="14">
        <f>CHOOSE(CONTROL!$C$42, 15.6764, 15.6764) * CHOOSE(CONTROL!$C$21, $C$9, 100%, $E$9)</f>
        <v>15.676399999999999</v>
      </c>
      <c r="I325" s="14">
        <f>CHOOSE(CONTROL!$C$42, 15.6537, 15.6537)* CHOOSE(CONTROL!$C$21, $C$9, 100%, $E$9)</f>
        <v>15.653700000000001</v>
      </c>
      <c r="J325" s="14">
        <f>CHOOSE(CONTROL!$C$42, 15.589, 15.589)* CHOOSE(CONTROL!$C$21, $C$9, 100%, $E$9)</f>
        <v>15.589</v>
      </c>
      <c r="K325" s="53">
        <f>CHOOSE(CONTROL!$C$42, 15.6498, 15.6498) * CHOOSE(CONTROL!$C$21, $C$9, 100%, $E$9)</f>
        <v>15.649800000000001</v>
      </c>
      <c r="L325" s="14">
        <f>CHOOSE(CONTROL!$C$42, 16.2634, 16.2634) * CHOOSE(CONTROL!$C$21, $C$9, 100%, $E$9)</f>
        <v>16.263400000000001</v>
      </c>
      <c r="M325" s="14">
        <f>CHOOSE(CONTROL!$C$42, 15.2772, 15.2772) * CHOOSE(CONTROL!$C$21, $C$9, 100%, $E$9)</f>
        <v>15.277200000000001</v>
      </c>
      <c r="N325" s="14">
        <f>CHOOSE(CONTROL!$C$42, 15.2949, 15.2949) * CHOOSE(CONTROL!$C$21, $C$9, 100%, $E$9)</f>
        <v>15.2949</v>
      </c>
      <c r="O325" s="14">
        <f>CHOOSE(CONTROL!$C$42, 15.3629, 15.3629) * CHOOSE(CONTROL!$C$21, $C$9, 100%, $E$9)</f>
        <v>15.3629</v>
      </c>
      <c r="P325" s="14">
        <f>CHOOSE(CONTROL!$C$42, 15.3398, 15.3398) * CHOOSE(CONTROL!$C$21, $C$9, 100%, $E$9)</f>
        <v>15.3398</v>
      </c>
      <c r="Q325" s="14">
        <f>CHOOSE(CONTROL!$C$42, 15.9576, 15.9576) * CHOOSE(CONTROL!$C$21, $C$9, 100%, $E$9)</f>
        <v>15.957599999999999</v>
      </c>
      <c r="R325" s="14">
        <f>CHOOSE(CONTROL!$C$42, 16.5845, 16.5845) * CHOOSE(CONTROL!$C$21, $C$9, 100%, $E$9)</f>
        <v>16.584499999999998</v>
      </c>
      <c r="S325" s="14">
        <f>CHOOSE(CONTROL!$C$42, 14.9538, 14.9538) * CHOOSE(CONTROL!$C$21, $C$9, 100%, $E$9)</f>
        <v>14.953799999999999</v>
      </c>
      <c r="T3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25" s="57">
        <f>(1000*CHOOSE(CONTROL!$C$42, 695, 695)*CHOOSE(CONTROL!$C$42, 0.5599, 0.5599)*CHOOSE(CONTROL!$C$42, 31, 31))/1000000</f>
        <v>12.063045499999998</v>
      </c>
      <c r="V325" s="57">
        <f>(1000*CHOOSE(CONTROL!$C$42, 500, 500)*CHOOSE(CONTROL!$C$42, 0.275, 0.275)*CHOOSE(CONTROL!$C$42, 31, 31))/1000000</f>
        <v>4.2625000000000002</v>
      </c>
      <c r="W325" s="57">
        <f>(1000*CHOOSE(CONTROL!$C$42, 0.1146, 0.1146)*CHOOSE(CONTROL!$C$42, 121.5, 121.5)*CHOOSE(CONTROL!$C$42, 31, 31))/1000000</f>
        <v>0.43164089999999994</v>
      </c>
      <c r="X325" s="57">
        <f>(31*0.1790888*100000/1000000)+(31*0.2374*100000/1000000)</f>
        <v>1.2911152800000001</v>
      </c>
      <c r="Y325" s="57"/>
      <c r="Z325" s="14"/>
      <c r="AA325" s="56"/>
      <c r="AB325" s="50">
        <f>(B325*122.58+C325*297.941+D325*89.177+E325*40.302+F325*40+G325*160+H325*0+I325*100+J325*300)/(122.58+297.941+89.177+40.302+0+40+160+100+300)</f>
        <v>15.601558371652175</v>
      </c>
      <c r="AC325" s="45">
        <f>(M325*'RAP TEMPLATE-GAS AVAILABILITY'!O324+N325*'RAP TEMPLATE-GAS AVAILABILITY'!P324+O325*'RAP TEMPLATE-GAS AVAILABILITY'!Q324+P325*'RAP TEMPLATE-GAS AVAILABILITY'!R324)/('RAP TEMPLATE-GAS AVAILABILITY'!O324+'RAP TEMPLATE-GAS AVAILABILITY'!P324+'RAP TEMPLATE-GAS AVAILABILITY'!Q324+'RAP TEMPLATE-GAS AVAILABILITY'!R324)</f>
        <v>15.326068345323742</v>
      </c>
    </row>
    <row r="326" spans="1:29" ht="15.75" x14ac:dyDescent="0.25">
      <c r="A326" s="33">
        <v>50829</v>
      </c>
      <c r="B326" s="14">
        <f>CHOOSE(CONTROL!$C$42, 15.8482, 15.8482) * CHOOSE(CONTROL!$C$21, $C$9, 100%, $E$9)</f>
        <v>15.8482</v>
      </c>
      <c r="C326" s="14">
        <f>CHOOSE(CONTROL!$C$42, 15.8533, 15.8533) * CHOOSE(CONTROL!$C$21, $C$9, 100%, $E$9)</f>
        <v>15.853300000000001</v>
      </c>
      <c r="D326" s="14">
        <f>CHOOSE(CONTROL!$C$42, 15.9301, 15.9301) * CHOOSE(CONTROL!$C$21, $C$9, 100%, $E$9)</f>
        <v>15.930099999999999</v>
      </c>
      <c r="E326" s="14">
        <f>CHOOSE(CONTROL!$C$42, 15.9642, 15.9642) * CHOOSE(CONTROL!$C$21, $C$9, 100%, $E$9)</f>
        <v>15.9642</v>
      </c>
      <c r="F326" s="14">
        <f>CHOOSE(CONTROL!$C$42, 15.8726, 15.8726)*CHOOSE(CONTROL!$C$21, $C$9, 100%, $E$9)</f>
        <v>15.8726</v>
      </c>
      <c r="G326" s="14">
        <f>CHOOSE(CONTROL!$C$42, 15.8904, 15.8904)*CHOOSE(CONTROL!$C$21, $C$9, 100%, $E$9)</f>
        <v>15.8904</v>
      </c>
      <c r="H326" s="14">
        <f>CHOOSE(CONTROL!$C$42, 15.9534, 15.9534) * CHOOSE(CONTROL!$C$21, $C$9, 100%, $E$9)</f>
        <v>15.9534</v>
      </c>
      <c r="I326" s="14">
        <f>CHOOSE(CONTROL!$C$42, 15.9316, 15.9316)* CHOOSE(CONTROL!$C$21, $C$9, 100%, $E$9)</f>
        <v>15.9316</v>
      </c>
      <c r="J326" s="14">
        <f>CHOOSE(CONTROL!$C$42, 15.8656, 15.8656)* CHOOSE(CONTROL!$C$21, $C$9, 100%, $E$9)</f>
        <v>15.865600000000001</v>
      </c>
      <c r="K326" s="53">
        <f>CHOOSE(CONTROL!$C$42, 15.9277, 15.9277) * CHOOSE(CONTROL!$C$21, $C$9, 100%, $E$9)</f>
        <v>15.9277</v>
      </c>
      <c r="L326" s="14">
        <f>CHOOSE(CONTROL!$C$42, 16.5404, 16.5404) * CHOOSE(CONTROL!$C$21, $C$9, 100%, $E$9)</f>
        <v>16.540400000000002</v>
      </c>
      <c r="M326" s="14">
        <f>CHOOSE(CONTROL!$C$42, 15.5482, 15.5482) * CHOOSE(CONTROL!$C$21, $C$9, 100%, $E$9)</f>
        <v>15.5482</v>
      </c>
      <c r="N326" s="14">
        <f>CHOOSE(CONTROL!$C$42, 15.5657, 15.5657) * CHOOSE(CONTROL!$C$21, $C$9, 100%, $E$9)</f>
        <v>15.5657</v>
      </c>
      <c r="O326" s="14">
        <f>CHOOSE(CONTROL!$C$42, 15.6342, 15.6342) * CHOOSE(CONTROL!$C$21, $C$9, 100%, $E$9)</f>
        <v>15.6342</v>
      </c>
      <c r="P326" s="14">
        <f>CHOOSE(CONTROL!$C$42, 15.6119, 15.6119) * CHOOSE(CONTROL!$C$21, $C$9, 100%, $E$9)</f>
        <v>15.6119</v>
      </c>
      <c r="Q326" s="14">
        <f>CHOOSE(CONTROL!$C$42, 16.2289, 16.2289) * CHOOSE(CONTROL!$C$21, $C$9, 100%, $E$9)</f>
        <v>16.228899999999999</v>
      </c>
      <c r="R326" s="14">
        <f>CHOOSE(CONTROL!$C$42, 16.8565, 16.8565) * CHOOSE(CONTROL!$C$21, $C$9, 100%, $E$9)</f>
        <v>16.8565</v>
      </c>
      <c r="S326" s="14">
        <f>CHOOSE(CONTROL!$C$42, 15.22, 15.22) * CHOOSE(CONTROL!$C$21, $C$9, 100%, $E$9)</f>
        <v>15.22</v>
      </c>
      <c r="T32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26" s="57">
        <f>(1000*CHOOSE(CONTROL!$C$42, 695, 695)*CHOOSE(CONTROL!$C$42, 0.5599, 0.5599)*CHOOSE(CONTROL!$C$42, 28, 28))/1000000</f>
        <v>10.895653999999999</v>
      </c>
      <c r="V326" s="57">
        <f>(1000*CHOOSE(CONTROL!$C$42, 500, 500)*CHOOSE(CONTROL!$C$42, 0.275, 0.275)*CHOOSE(CONTROL!$C$42, 28, 28))/1000000</f>
        <v>3.85</v>
      </c>
      <c r="W326" s="57">
        <f>(1000*CHOOSE(CONTROL!$C$42, 0.1146, 0.1146)*CHOOSE(CONTROL!$C$42, 121.5, 121.5)*CHOOSE(CONTROL!$C$42, 28, 28))/1000000</f>
        <v>0.38986920000000003</v>
      </c>
      <c r="X326" s="57">
        <f>(28*0.1790888*100000/1000000)+(28*0.2374*100000/1000000)</f>
        <v>1.16616864</v>
      </c>
      <c r="Y326" s="57"/>
      <c r="Z326" s="14"/>
      <c r="AA326" s="56"/>
      <c r="AB326" s="50">
        <f>(B326*122.58+C326*297.941+D326*89.177+E326*40.302+F326*40+G326*160+H326*0+I326*100+J326*300)/(122.58+297.941+89.177+40.302+0+40+160+100+300)</f>
        <v>15.878448806434784</v>
      </c>
      <c r="AC326" s="45">
        <f>(M326*'RAP TEMPLATE-GAS AVAILABILITY'!O325+N326*'RAP TEMPLATE-GAS AVAILABILITY'!P325+O326*'RAP TEMPLATE-GAS AVAILABILITY'!Q325+P326*'RAP TEMPLATE-GAS AVAILABILITY'!R325)/('RAP TEMPLATE-GAS AVAILABILITY'!O325+'RAP TEMPLATE-GAS AVAILABILITY'!P325+'RAP TEMPLATE-GAS AVAILABILITY'!Q325+'RAP TEMPLATE-GAS AVAILABILITY'!R325)</f>
        <v>15.597351079136693</v>
      </c>
    </row>
    <row r="327" spans="1:29" ht="15.75" x14ac:dyDescent="0.25">
      <c r="A327" s="33">
        <v>50860</v>
      </c>
      <c r="B327" s="14">
        <f>CHOOSE(CONTROL!$C$42, 15.3986, 15.3986) * CHOOSE(CONTROL!$C$21, $C$9, 100%, $E$9)</f>
        <v>15.3986</v>
      </c>
      <c r="C327" s="14">
        <f>CHOOSE(CONTROL!$C$42, 15.4036, 15.4036) * CHOOSE(CONTROL!$C$21, $C$9, 100%, $E$9)</f>
        <v>15.403600000000001</v>
      </c>
      <c r="D327" s="14">
        <f>CHOOSE(CONTROL!$C$42, 15.4805, 15.4805) * CHOOSE(CONTROL!$C$21, $C$9, 100%, $E$9)</f>
        <v>15.480499999999999</v>
      </c>
      <c r="E327" s="14">
        <f>CHOOSE(CONTROL!$C$42, 15.5146, 15.5146) * CHOOSE(CONTROL!$C$21, $C$9, 100%, $E$9)</f>
        <v>15.5146</v>
      </c>
      <c r="F327" s="14">
        <f>CHOOSE(CONTROL!$C$42, 15.422, 15.422)*CHOOSE(CONTROL!$C$21, $C$9, 100%, $E$9)</f>
        <v>15.422000000000001</v>
      </c>
      <c r="G327" s="14">
        <f>CHOOSE(CONTROL!$C$42, 15.4397, 15.4397)*CHOOSE(CONTROL!$C$21, $C$9, 100%, $E$9)</f>
        <v>15.4397</v>
      </c>
      <c r="H327" s="14">
        <f>CHOOSE(CONTROL!$C$42, 15.5038, 15.5038) * CHOOSE(CONTROL!$C$21, $C$9, 100%, $E$9)</f>
        <v>15.5038</v>
      </c>
      <c r="I327" s="14">
        <f>CHOOSE(CONTROL!$C$42, 15.4805, 15.4805)* CHOOSE(CONTROL!$C$21, $C$9, 100%, $E$9)</f>
        <v>15.480499999999999</v>
      </c>
      <c r="J327" s="14">
        <f>CHOOSE(CONTROL!$C$42, 15.415, 15.415)* CHOOSE(CONTROL!$C$21, $C$9, 100%, $E$9)</f>
        <v>15.414999999999999</v>
      </c>
      <c r="K327" s="53">
        <f>CHOOSE(CONTROL!$C$42, 15.4766, 15.4766) * CHOOSE(CONTROL!$C$21, $C$9, 100%, $E$9)</f>
        <v>15.476599999999999</v>
      </c>
      <c r="L327" s="14">
        <f>CHOOSE(CONTROL!$C$42, 16.0908, 16.0908) * CHOOSE(CONTROL!$C$21, $C$9, 100%, $E$9)</f>
        <v>16.090800000000002</v>
      </c>
      <c r="M327" s="14">
        <f>CHOOSE(CONTROL!$C$42, 15.1069, 15.1069) * CHOOSE(CONTROL!$C$21, $C$9, 100%, $E$9)</f>
        <v>15.1069</v>
      </c>
      <c r="N327" s="14">
        <f>CHOOSE(CONTROL!$C$42, 15.1242, 15.1242) * CHOOSE(CONTROL!$C$21, $C$9, 100%, $E$9)</f>
        <v>15.1242</v>
      </c>
      <c r="O327" s="14">
        <f>CHOOSE(CONTROL!$C$42, 15.1938, 15.1938) * CHOOSE(CONTROL!$C$21, $C$9, 100%, $E$9)</f>
        <v>15.1938</v>
      </c>
      <c r="P327" s="14">
        <f>CHOOSE(CONTROL!$C$42, 15.1701, 15.1701) * CHOOSE(CONTROL!$C$21, $C$9, 100%, $E$9)</f>
        <v>15.1701</v>
      </c>
      <c r="Q327" s="14">
        <f>CHOOSE(CONTROL!$C$42, 15.7885, 15.7885) * CHOOSE(CONTROL!$C$21, $C$9, 100%, $E$9)</f>
        <v>15.788500000000001</v>
      </c>
      <c r="R327" s="14">
        <f>CHOOSE(CONTROL!$C$42, 16.415, 16.415) * CHOOSE(CONTROL!$C$21, $C$9, 100%, $E$9)</f>
        <v>16.414999999999999</v>
      </c>
      <c r="S327" s="14">
        <f>CHOOSE(CONTROL!$C$42, 14.7879, 14.7879) * CHOOSE(CONTROL!$C$21, $C$9, 100%, $E$9)</f>
        <v>14.7879</v>
      </c>
      <c r="T3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27" s="57">
        <f>(1000*CHOOSE(CONTROL!$C$42, 695, 695)*CHOOSE(CONTROL!$C$42, 0.5599, 0.5599)*CHOOSE(CONTROL!$C$42, 31, 31))/1000000</f>
        <v>12.063045499999998</v>
      </c>
      <c r="V327" s="57">
        <f>(1000*CHOOSE(CONTROL!$C$42, 500, 500)*CHOOSE(CONTROL!$C$42, 0.275, 0.275)*CHOOSE(CONTROL!$C$42, 31, 31))/1000000</f>
        <v>4.2625000000000002</v>
      </c>
      <c r="W327" s="57">
        <f>(1000*CHOOSE(CONTROL!$C$42, 0.1146, 0.1146)*CHOOSE(CONTROL!$C$42, 121.5, 121.5)*CHOOSE(CONTROL!$C$42, 31, 31))/1000000</f>
        <v>0.43164089999999994</v>
      </c>
      <c r="X327" s="57">
        <f>(31*0.1790888*100000/1000000)+(31*0.2374*100000/1000000)</f>
        <v>1.2911152800000001</v>
      </c>
      <c r="Y327" s="57"/>
      <c r="Z327" s="14"/>
      <c r="AA327" s="56"/>
      <c r="AB327" s="50">
        <f>(B327*122.58+C327*297.941+D327*89.177+E327*40.302+F327*40+G327*160+H327*0+I327*100+J327*300)/(122.58+297.941+89.177+40.302+0+40+160+100+300)</f>
        <v>15.428243768086954</v>
      </c>
      <c r="AC327" s="45">
        <f>(M327*'RAP TEMPLATE-GAS AVAILABILITY'!O326+N327*'RAP TEMPLATE-GAS AVAILABILITY'!P326+O327*'RAP TEMPLATE-GAS AVAILABILITY'!Q326+P327*'RAP TEMPLATE-GAS AVAILABILITY'!R326)/('RAP TEMPLATE-GAS AVAILABILITY'!O326+'RAP TEMPLATE-GAS AVAILABILITY'!P326+'RAP TEMPLATE-GAS AVAILABILITY'!Q326+'RAP TEMPLATE-GAS AVAILABILITY'!R326)</f>
        <v>15.156375539568343</v>
      </c>
    </row>
    <row r="328" spans="1:29" ht="15.75" x14ac:dyDescent="0.25">
      <c r="A328" s="33">
        <v>50890</v>
      </c>
      <c r="B328" s="14">
        <f>CHOOSE(CONTROL!$C$42, 15.3535, 15.3535) * CHOOSE(CONTROL!$C$21, $C$9, 100%, $E$9)</f>
        <v>15.3535</v>
      </c>
      <c r="C328" s="14">
        <f>CHOOSE(CONTROL!$C$42, 15.358, 15.358) * CHOOSE(CONTROL!$C$21, $C$9, 100%, $E$9)</f>
        <v>15.358000000000001</v>
      </c>
      <c r="D328" s="14">
        <f>CHOOSE(CONTROL!$C$42, 15.5817, 15.5817) * CHOOSE(CONTROL!$C$21, $C$9, 100%, $E$9)</f>
        <v>15.5817</v>
      </c>
      <c r="E328" s="14">
        <f>CHOOSE(CONTROL!$C$42, 15.6138, 15.6138) * CHOOSE(CONTROL!$C$21, $C$9, 100%, $E$9)</f>
        <v>15.613799999999999</v>
      </c>
      <c r="F328" s="14">
        <f>CHOOSE(CONTROL!$C$42, 15.3812, 15.3812)*CHOOSE(CONTROL!$C$21, $C$9, 100%, $E$9)</f>
        <v>15.3812</v>
      </c>
      <c r="G328" s="14">
        <f>CHOOSE(CONTROL!$C$42, 15.3981, 15.3981)*CHOOSE(CONTROL!$C$21, $C$9, 100%, $E$9)</f>
        <v>15.398099999999999</v>
      </c>
      <c r="H328" s="14">
        <f>CHOOSE(CONTROL!$C$42, 15.6036, 15.6036) * CHOOSE(CONTROL!$C$21, $C$9, 100%, $E$9)</f>
        <v>15.6036</v>
      </c>
      <c r="I328" s="14">
        <f>CHOOSE(CONTROL!$C$42, 15.4309, 15.4309)* CHOOSE(CONTROL!$C$21, $C$9, 100%, $E$9)</f>
        <v>15.430899999999999</v>
      </c>
      <c r="J328" s="14">
        <f>CHOOSE(CONTROL!$C$42, 15.3742, 15.3742)* CHOOSE(CONTROL!$C$21, $C$9, 100%, $E$9)</f>
        <v>15.3742</v>
      </c>
      <c r="K328" s="53">
        <f>CHOOSE(CONTROL!$C$42, 15.427, 15.427) * CHOOSE(CONTROL!$C$21, $C$9, 100%, $E$9)</f>
        <v>15.427</v>
      </c>
      <c r="L328" s="14">
        <f>CHOOSE(CONTROL!$C$42, 16.1906, 16.1906) * CHOOSE(CONTROL!$C$21, $C$9, 100%, $E$9)</f>
        <v>16.1906</v>
      </c>
      <c r="M328" s="14">
        <f>CHOOSE(CONTROL!$C$42, 15.0669, 15.0669) * CHOOSE(CONTROL!$C$21, $C$9, 100%, $E$9)</f>
        <v>15.0669</v>
      </c>
      <c r="N328" s="14">
        <f>CHOOSE(CONTROL!$C$42, 15.0834, 15.0834) * CHOOSE(CONTROL!$C$21, $C$9, 100%, $E$9)</f>
        <v>15.083399999999999</v>
      </c>
      <c r="O328" s="14">
        <f>CHOOSE(CONTROL!$C$42, 15.2916, 15.2916) * CHOOSE(CONTROL!$C$21, $C$9, 100%, $E$9)</f>
        <v>15.291600000000001</v>
      </c>
      <c r="P328" s="14">
        <f>CHOOSE(CONTROL!$C$42, 15.1215, 15.1215) * CHOOSE(CONTROL!$C$21, $C$9, 100%, $E$9)</f>
        <v>15.121499999999999</v>
      </c>
      <c r="Q328" s="14">
        <f>CHOOSE(CONTROL!$C$42, 15.8863, 15.8863) * CHOOSE(CONTROL!$C$21, $C$9, 100%, $E$9)</f>
        <v>15.8863</v>
      </c>
      <c r="R328" s="14">
        <f>CHOOSE(CONTROL!$C$42, 16.513, 16.513) * CHOOSE(CONTROL!$C$21, $C$9, 100%, $E$9)</f>
        <v>16.513000000000002</v>
      </c>
      <c r="S328" s="14">
        <f>CHOOSE(CONTROL!$C$42, 14.7439, 14.7439) * CHOOSE(CONTROL!$C$21, $C$9, 100%, $E$9)</f>
        <v>14.7439</v>
      </c>
      <c r="T3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28" s="57">
        <f>(1000*CHOOSE(CONTROL!$C$42, 695, 695)*CHOOSE(CONTROL!$C$42, 0.5599, 0.5599)*CHOOSE(CONTROL!$C$42, 30, 30))/1000000</f>
        <v>11.673914999999997</v>
      </c>
      <c r="V328" s="57">
        <f>(1000*CHOOSE(CONTROL!$C$42, 500, 500)*CHOOSE(CONTROL!$C$42, 0.275, 0.275)*CHOOSE(CONTROL!$C$42, 30, 30))/1000000</f>
        <v>4.125</v>
      </c>
      <c r="W328" s="57">
        <f>(1000*CHOOSE(CONTROL!$C$42, 0.1146, 0.1146)*CHOOSE(CONTROL!$C$42, 121.5, 121.5)*CHOOSE(CONTROL!$C$42, 30, 30))/1000000</f>
        <v>0.417717</v>
      </c>
      <c r="X328" s="57">
        <f>(30*0.1790888*245000/1000000)+(30*0.2374*100000/1000000)</f>
        <v>2.0285026799999999</v>
      </c>
      <c r="Y328" s="57"/>
      <c r="Z328" s="14"/>
      <c r="AA328" s="56"/>
      <c r="AB328" s="50">
        <f>(B328*141.293+C328*267.993+D328*115.016+E328*89.698+F328*40+G328*185+H328*0+I328*100+J328*300)/(141.293+267.993+115.016+89.698+0+40+185+100+300)</f>
        <v>15.413314373769168</v>
      </c>
      <c r="AC328" s="45">
        <f>(M328*'RAP TEMPLATE-GAS AVAILABILITY'!O327+N328*'RAP TEMPLATE-GAS AVAILABILITY'!P327+O328*'RAP TEMPLATE-GAS AVAILABILITY'!Q327+P328*'RAP TEMPLATE-GAS AVAILABILITY'!R327)/('RAP TEMPLATE-GAS AVAILABILITY'!O327+'RAP TEMPLATE-GAS AVAILABILITY'!P327+'RAP TEMPLATE-GAS AVAILABILITY'!Q327+'RAP TEMPLATE-GAS AVAILABILITY'!R327)</f>
        <v>15.141599999999999</v>
      </c>
    </row>
    <row r="329" spans="1:29" ht="15.75" x14ac:dyDescent="0.25">
      <c r="A329" s="33">
        <v>50921</v>
      </c>
      <c r="B329" s="14">
        <f>CHOOSE(CONTROL!$C$42, 15.4903, 15.4903) * CHOOSE(CONTROL!$C$21, $C$9, 100%, $E$9)</f>
        <v>15.4903</v>
      </c>
      <c r="C329" s="14">
        <f>CHOOSE(CONTROL!$C$42, 15.4983, 15.4983) * CHOOSE(CONTROL!$C$21, $C$9, 100%, $E$9)</f>
        <v>15.4983</v>
      </c>
      <c r="D329" s="14">
        <f>CHOOSE(CONTROL!$C$42, 15.7189, 15.7189) * CHOOSE(CONTROL!$C$21, $C$9, 100%, $E$9)</f>
        <v>15.7189</v>
      </c>
      <c r="E329" s="14">
        <f>CHOOSE(CONTROL!$C$42, 15.7504, 15.7504) * CHOOSE(CONTROL!$C$21, $C$9, 100%, $E$9)</f>
        <v>15.750400000000001</v>
      </c>
      <c r="F329" s="14">
        <f>CHOOSE(CONTROL!$C$42, 15.5166, 15.5166)*CHOOSE(CONTROL!$C$21, $C$9, 100%, $E$9)</f>
        <v>15.5166</v>
      </c>
      <c r="G329" s="14">
        <f>CHOOSE(CONTROL!$C$42, 15.5337, 15.5337)*CHOOSE(CONTROL!$C$21, $C$9, 100%, $E$9)</f>
        <v>15.5337</v>
      </c>
      <c r="H329" s="14">
        <f>CHOOSE(CONTROL!$C$42, 15.739, 15.739) * CHOOSE(CONTROL!$C$21, $C$9, 100%, $E$9)</f>
        <v>15.739000000000001</v>
      </c>
      <c r="I329" s="14">
        <f>CHOOSE(CONTROL!$C$42, 15.5667, 15.5667)* CHOOSE(CONTROL!$C$21, $C$9, 100%, $E$9)</f>
        <v>15.566700000000001</v>
      </c>
      <c r="J329" s="14">
        <f>CHOOSE(CONTROL!$C$42, 15.5096, 15.5096)* CHOOSE(CONTROL!$C$21, $C$9, 100%, $E$9)</f>
        <v>15.509600000000001</v>
      </c>
      <c r="K329" s="53">
        <f>CHOOSE(CONTROL!$C$42, 15.5628, 15.5628) * CHOOSE(CONTROL!$C$21, $C$9, 100%, $E$9)</f>
        <v>15.562799999999999</v>
      </c>
      <c r="L329" s="14">
        <f>CHOOSE(CONTROL!$C$42, 16.326, 16.326) * CHOOSE(CONTROL!$C$21, $C$9, 100%, $E$9)</f>
        <v>16.326000000000001</v>
      </c>
      <c r="M329" s="14">
        <f>CHOOSE(CONTROL!$C$42, 15.1995, 15.1995) * CHOOSE(CONTROL!$C$21, $C$9, 100%, $E$9)</f>
        <v>15.1995</v>
      </c>
      <c r="N329" s="14">
        <f>CHOOSE(CONTROL!$C$42, 15.2163, 15.2163) * CHOOSE(CONTROL!$C$21, $C$9, 100%, $E$9)</f>
        <v>15.2163</v>
      </c>
      <c r="O329" s="14">
        <f>CHOOSE(CONTROL!$C$42, 15.4242, 15.4242) * CHOOSE(CONTROL!$C$21, $C$9, 100%, $E$9)</f>
        <v>15.424200000000001</v>
      </c>
      <c r="P329" s="14">
        <f>CHOOSE(CONTROL!$C$42, 15.2546, 15.2546) * CHOOSE(CONTROL!$C$21, $C$9, 100%, $E$9)</f>
        <v>15.2546</v>
      </c>
      <c r="Q329" s="14">
        <f>CHOOSE(CONTROL!$C$42, 16.0189, 16.0189) * CHOOSE(CONTROL!$C$21, $C$9, 100%, $E$9)</f>
        <v>16.018899999999999</v>
      </c>
      <c r="R329" s="14">
        <f>CHOOSE(CONTROL!$C$42, 16.646, 16.646) * CHOOSE(CONTROL!$C$21, $C$9, 100%, $E$9)</f>
        <v>16.646000000000001</v>
      </c>
      <c r="S329" s="14">
        <f>CHOOSE(CONTROL!$C$42, 14.874, 14.874) * CHOOSE(CONTROL!$C$21, $C$9, 100%, $E$9)</f>
        <v>14.874000000000001</v>
      </c>
      <c r="T32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29" s="57">
        <f>(1000*CHOOSE(CONTROL!$C$42, 695, 695)*CHOOSE(CONTROL!$C$42, 0.5599, 0.5599)*CHOOSE(CONTROL!$C$42, 31, 31))/1000000</f>
        <v>12.063045499999998</v>
      </c>
      <c r="V329" s="57">
        <f>(1000*CHOOSE(CONTROL!$C$42, 500, 500)*CHOOSE(CONTROL!$C$42, 0.275, 0.275)*CHOOSE(CONTROL!$C$42, 31, 31))/1000000</f>
        <v>4.2625000000000002</v>
      </c>
      <c r="W329" s="57">
        <f>(1000*CHOOSE(CONTROL!$C$42, 0.1146, 0.1146)*CHOOSE(CONTROL!$C$42, 121.5, 121.5)*CHOOSE(CONTROL!$C$42, 31, 31))/1000000</f>
        <v>0.43164089999999994</v>
      </c>
      <c r="X329" s="57">
        <f>(31*0.1790888*245000/1000000)+(31*0.2374*100000/1000000)</f>
        <v>2.0961194359999999</v>
      </c>
      <c r="Y329" s="57"/>
      <c r="Z329" s="14"/>
      <c r="AA329" s="56"/>
      <c r="AB329" s="50">
        <f>(B329*194.205+C329*267.466+D329*133.845+E329*53.484+F329*40+G329*185+H329*0+I329*100+J329*300)/(194.205+267.466+133.845+53.484+0+40+185+100+300)</f>
        <v>15.544584837833597</v>
      </c>
      <c r="AC329" s="45">
        <f>(M329*'RAP TEMPLATE-GAS AVAILABILITY'!O328+N329*'RAP TEMPLATE-GAS AVAILABILITY'!P328+O329*'RAP TEMPLATE-GAS AVAILABILITY'!Q328+P329*'RAP TEMPLATE-GAS AVAILABILITY'!R328)/('RAP TEMPLATE-GAS AVAILABILITY'!O328+'RAP TEMPLATE-GAS AVAILABILITY'!P328+'RAP TEMPLATE-GAS AVAILABILITY'!Q328+'RAP TEMPLATE-GAS AVAILABILITY'!R328)</f>
        <v>15.274341007194247</v>
      </c>
    </row>
    <row r="330" spans="1:29" ht="15.75" x14ac:dyDescent="0.25">
      <c r="A330" s="33">
        <v>50951</v>
      </c>
      <c r="B330" s="14">
        <f>CHOOSE(CONTROL!$C$42, 15.9294, 15.9294) * CHOOSE(CONTROL!$C$21, $C$9, 100%, $E$9)</f>
        <v>15.929399999999999</v>
      </c>
      <c r="C330" s="14">
        <f>CHOOSE(CONTROL!$C$42, 15.9374, 15.9374) * CHOOSE(CONTROL!$C$21, $C$9, 100%, $E$9)</f>
        <v>15.9374</v>
      </c>
      <c r="D330" s="14">
        <f>CHOOSE(CONTROL!$C$42, 16.158, 16.158) * CHOOSE(CONTROL!$C$21, $C$9, 100%, $E$9)</f>
        <v>16.158000000000001</v>
      </c>
      <c r="E330" s="14">
        <f>CHOOSE(CONTROL!$C$42, 16.1895, 16.1895) * CHOOSE(CONTROL!$C$21, $C$9, 100%, $E$9)</f>
        <v>16.189499999999999</v>
      </c>
      <c r="F330" s="14">
        <f>CHOOSE(CONTROL!$C$42, 15.956, 15.956)*CHOOSE(CONTROL!$C$21, $C$9, 100%, $E$9)</f>
        <v>15.956</v>
      </c>
      <c r="G330" s="14">
        <f>CHOOSE(CONTROL!$C$42, 15.9732, 15.9732)*CHOOSE(CONTROL!$C$21, $C$9, 100%, $E$9)</f>
        <v>15.9732</v>
      </c>
      <c r="H330" s="14">
        <f>CHOOSE(CONTROL!$C$42, 16.1781, 16.1781) * CHOOSE(CONTROL!$C$21, $C$9, 100%, $E$9)</f>
        <v>16.178100000000001</v>
      </c>
      <c r="I330" s="14">
        <f>CHOOSE(CONTROL!$C$42, 16.0072, 16.0072)* CHOOSE(CONTROL!$C$21, $C$9, 100%, $E$9)</f>
        <v>16.007200000000001</v>
      </c>
      <c r="J330" s="14">
        <f>CHOOSE(CONTROL!$C$42, 15.949, 15.949)* CHOOSE(CONTROL!$C$21, $C$9, 100%, $E$9)</f>
        <v>15.949</v>
      </c>
      <c r="K330" s="53">
        <f>CHOOSE(CONTROL!$C$42, 16.0033, 16.0033) * CHOOSE(CONTROL!$C$21, $C$9, 100%, $E$9)</f>
        <v>16.003299999999999</v>
      </c>
      <c r="L330" s="14">
        <f>CHOOSE(CONTROL!$C$42, 16.7651, 16.7651) * CHOOSE(CONTROL!$C$21, $C$9, 100%, $E$9)</f>
        <v>16.7651</v>
      </c>
      <c r="M330" s="14">
        <f>CHOOSE(CONTROL!$C$42, 15.6299, 15.6299) * CHOOSE(CONTROL!$C$21, $C$9, 100%, $E$9)</f>
        <v>15.629899999999999</v>
      </c>
      <c r="N330" s="14">
        <f>CHOOSE(CONTROL!$C$42, 15.6468, 15.6468) * CHOOSE(CONTROL!$C$21, $C$9, 100%, $E$9)</f>
        <v>15.646800000000001</v>
      </c>
      <c r="O330" s="14">
        <f>CHOOSE(CONTROL!$C$42, 15.8543, 15.8543) * CHOOSE(CONTROL!$C$21, $C$9, 100%, $E$9)</f>
        <v>15.8543</v>
      </c>
      <c r="P330" s="14">
        <f>CHOOSE(CONTROL!$C$42, 15.6859, 15.6859) * CHOOSE(CONTROL!$C$21, $C$9, 100%, $E$9)</f>
        <v>15.6859</v>
      </c>
      <c r="Q330" s="14">
        <f>CHOOSE(CONTROL!$C$42, 16.449, 16.449) * CHOOSE(CONTROL!$C$21, $C$9, 100%, $E$9)</f>
        <v>16.449000000000002</v>
      </c>
      <c r="R330" s="14">
        <f>CHOOSE(CONTROL!$C$42, 17.0771, 17.0771) * CHOOSE(CONTROL!$C$21, $C$9, 100%, $E$9)</f>
        <v>17.077100000000002</v>
      </c>
      <c r="S330" s="14">
        <f>CHOOSE(CONTROL!$C$42, 15.2959, 15.2959) * CHOOSE(CONTROL!$C$21, $C$9, 100%, $E$9)</f>
        <v>15.2959</v>
      </c>
      <c r="T33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30" s="57">
        <f>(1000*CHOOSE(CONTROL!$C$42, 695, 695)*CHOOSE(CONTROL!$C$42, 0.5599, 0.5599)*CHOOSE(CONTROL!$C$42, 30, 30))/1000000</f>
        <v>11.673914999999997</v>
      </c>
      <c r="V330" s="57">
        <f>(1000*CHOOSE(CONTROL!$C$42, 500, 500)*CHOOSE(CONTROL!$C$42, 0.275, 0.275)*CHOOSE(CONTROL!$C$42, 30, 30))/1000000</f>
        <v>4.125</v>
      </c>
      <c r="W330" s="57">
        <f>(1000*CHOOSE(CONTROL!$C$42, 0.1146, 0.1146)*CHOOSE(CONTROL!$C$42, 121.5, 121.5)*CHOOSE(CONTROL!$C$42, 30, 30))/1000000</f>
        <v>0.417717</v>
      </c>
      <c r="X330" s="57">
        <f>(30*0.1790888*245000/1000000)+(30*0.2374*100000/1000000)</f>
        <v>2.0285026799999999</v>
      </c>
      <c r="Y330" s="57"/>
      <c r="Z330" s="14"/>
      <c r="AA330" s="56"/>
      <c r="AB330" s="50">
        <f>(B330*194.205+C330*267.466+D330*133.845+E330*53.484+F330*40+G330*185+H330*0+I330*100+J330*300)/(194.205+267.466+133.845+53.484+0+40+185+100+300)</f>
        <v>15.983932875510206</v>
      </c>
      <c r="AC330" s="45">
        <f>(M330*'RAP TEMPLATE-GAS AVAILABILITY'!O329+N330*'RAP TEMPLATE-GAS AVAILABILITY'!P329+O330*'RAP TEMPLATE-GAS AVAILABILITY'!Q329+P330*'RAP TEMPLATE-GAS AVAILABILITY'!R329)/('RAP TEMPLATE-GAS AVAILABILITY'!O329+'RAP TEMPLATE-GAS AVAILABILITY'!P329+'RAP TEMPLATE-GAS AVAILABILITY'!Q329+'RAP TEMPLATE-GAS AVAILABILITY'!R329)</f>
        <v>15.704809352517987</v>
      </c>
    </row>
    <row r="331" spans="1:29" ht="15.75" x14ac:dyDescent="0.25">
      <c r="A331" s="33">
        <v>50982</v>
      </c>
      <c r="B331" s="14">
        <f>CHOOSE(CONTROL!$C$42, 15.624, 15.624) * CHOOSE(CONTROL!$C$21, $C$9, 100%, $E$9)</f>
        <v>15.624000000000001</v>
      </c>
      <c r="C331" s="14">
        <f>CHOOSE(CONTROL!$C$42, 15.632, 15.632) * CHOOSE(CONTROL!$C$21, $C$9, 100%, $E$9)</f>
        <v>15.632</v>
      </c>
      <c r="D331" s="14">
        <f>CHOOSE(CONTROL!$C$42, 15.8526, 15.8526) * CHOOSE(CONTROL!$C$21, $C$9, 100%, $E$9)</f>
        <v>15.852600000000001</v>
      </c>
      <c r="E331" s="14">
        <f>CHOOSE(CONTROL!$C$42, 15.8841, 15.8841) * CHOOSE(CONTROL!$C$21, $C$9, 100%, $E$9)</f>
        <v>15.8841</v>
      </c>
      <c r="F331" s="14">
        <f>CHOOSE(CONTROL!$C$42, 15.6511, 15.6511)*CHOOSE(CONTROL!$C$21, $C$9, 100%, $E$9)</f>
        <v>15.6511</v>
      </c>
      <c r="G331" s="14">
        <f>CHOOSE(CONTROL!$C$42, 15.6684, 15.6684)*CHOOSE(CONTROL!$C$21, $C$9, 100%, $E$9)</f>
        <v>15.6684</v>
      </c>
      <c r="H331" s="14">
        <f>CHOOSE(CONTROL!$C$42, 15.8727, 15.8727) * CHOOSE(CONTROL!$C$21, $C$9, 100%, $E$9)</f>
        <v>15.8727</v>
      </c>
      <c r="I331" s="14">
        <f>CHOOSE(CONTROL!$C$42, 15.7008, 15.7008)* CHOOSE(CONTROL!$C$21, $C$9, 100%, $E$9)</f>
        <v>15.700799999999999</v>
      </c>
      <c r="J331" s="14">
        <f>CHOOSE(CONTROL!$C$42, 15.6441, 15.6441)* CHOOSE(CONTROL!$C$21, $C$9, 100%, $E$9)</f>
        <v>15.6441</v>
      </c>
      <c r="K331" s="53">
        <f>CHOOSE(CONTROL!$C$42, 15.6969, 15.6969) * CHOOSE(CONTROL!$C$21, $C$9, 100%, $E$9)</f>
        <v>15.696899999999999</v>
      </c>
      <c r="L331" s="14">
        <f>CHOOSE(CONTROL!$C$42, 16.4597, 16.4597) * CHOOSE(CONTROL!$C$21, $C$9, 100%, $E$9)</f>
        <v>16.459700000000002</v>
      </c>
      <c r="M331" s="14">
        <f>CHOOSE(CONTROL!$C$42, 15.3312, 15.3312) * CHOOSE(CONTROL!$C$21, $C$9, 100%, $E$9)</f>
        <v>15.331200000000001</v>
      </c>
      <c r="N331" s="14">
        <f>CHOOSE(CONTROL!$C$42, 15.3482, 15.3482) * CHOOSE(CONTROL!$C$21, $C$9, 100%, $E$9)</f>
        <v>15.3482</v>
      </c>
      <c r="O331" s="14">
        <f>CHOOSE(CONTROL!$C$42, 15.5552, 15.5552) * CHOOSE(CONTROL!$C$21, $C$9, 100%, $E$9)</f>
        <v>15.555199999999999</v>
      </c>
      <c r="P331" s="14">
        <f>CHOOSE(CONTROL!$C$42, 15.3859, 15.3859) * CHOOSE(CONTROL!$C$21, $C$9, 100%, $E$9)</f>
        <v>15.385899999999999</v>
      </c>
      <c r="Q331" s="14">
        <f>CHOOSE(CONTROL!$C$42, 16.1499, 16.1499) * CHOOSE(CONTROL!$C$21, $C$9, 100%, $E$9)</f>
        <v>16.149899999999999</v>
      </c>
      <c r="R331" s="14">
        <f>CHOOSE(CONTROL!$C$42, 16.7773, 16.7773) * CHOOSE(CONTROL!$C$21, $C$9, 100%, $E$9)</f>
        <v>16.7773</v>
      </c>
      <c r="S331" s="14">
        <f>CHOOSE(CONTROL!$C$42, 15.0025, 15.0025) * CHOOSE(CONTROL!$C$21, $C$9, 100%, $E$9)</f>
        <v>15.0025</v>
      </c>
      <c r="T33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31" s="57">
        <f>(1000*CHOOSE(CONTROL!$C$42, 695, 695)*CHOOSE(CONTROL!$C$42, 0.5599, 0.5599)*CHOOSE(CONTROL!$C$42, 31, 31))/1000000</f>
        <v>12.063045499999998</v>
      </c>
      <c r="V331" s="57">
        <f>(1000*CHOOSE(CONTROL!$C$42, 500, 500)*CHOOSE(CONTROL!$C$42, 0.275, 0.275)*CHOOSE(CONTROL!$C$42, 31, 31))/1000000</f>
        <v>4.2625000000000002</v>
      </c>
      <c r="W331" s="57">
        <f>(1000*CHOOSE(CONTROL!$C$42, 0.1146, 0.1146)*CHOOSE(CONTROL!$C$42, 121.5, 121.5)*CHOOSE(CONTROL!$C$42, 31, 31))/1000000</f>
        <v>0.43164089999999994</v>
      </c>
      <c r="X331" s="57">
        <f>(31*0.1790888*245000/1000000)+(31*0.2374*100000/1000000)</f>
        <v>2.0961194359999999</v>
      </c>
      <c r="Y331" s="57"/>
      <c r="Z331" s="14"/>
      <c r="AA331" s="56"/>
      <c r="AB331" s="50">
        <f>(B331*194.205+C331*267.466+D331*133.845+E331*53.484+F331*40+G331*185+H331*0+I331*100+J331*300)/(194.205+267.466+133.845+53.484+0+40+185+100+300)</f>
        <v>15.678674947723703</v>
      </c>
      <c r="AC331" s="45">
        <f>(M331*'RAP TEMPLATE-GAS AVAILABILITY'!O330+N331*'RAP TEMPLATE-GAS AVAILABILITY'!P330+O331*'RAP TEMPLATE-GAS AVAILABILITY'!Q330+P331*'RAP TEMPLATE-GAS AVAILABILITY'!R330)/('RAP TEMPLATE-GAS AVAILABILITY'!O330+'RAP TEMPLATE-GAS AVAILABILITY'!P330+'RAP TEMPLATE-GAS AVAILABILITY'!Q330+'RAP TEMPLATE-GAS AVAILABILITY'!R330)</f>
        <v>15.40583309352518</v>
      </c>
    </row>
    <row r="332" spans="1:29" ht="15.75" x14ac:dyDescent="0.25">
      <c r="A332" s="33">
        <v>51013</v>
      </c>
      <c r="B332" s="14">
        <f>CHOOSE(CONTROL!$C$42, 14.8529, 14.8529) * CHOOSE(CONTROL!$C$21, $C$9, 100%, $E$9)</f>
        <v>14.8529</v>
      </c>
      <c r="C332" s="14">
        <f>CHOOSE(CONTROL!$C$42, 14.8609, 14.8609) * CHOOSE(CONTROL!$C$21, $C$9, 100%, $E$9)</f>
        <v>14.860900000000001</v>
      </c>
      <c r="D332" s="14">
        <f>CHOOSE(CONTROL!$C$42, 15.0815, 15.0815) * CHOOSE(CONTROL!$C$21, $C$9, 100%, $E$9)</f>
        <v>15.0815</v>
      </c>
      <c r="E332" s="14">
        <f>CHOOSE(CONTROL!$C$42, 15.1129, 15.1129) * CHOOSE(CONTROL!$C$21, $C$9, 100%, $E$9)</f>
        <v>15.1129</v>
      </c>
      <c r="F332" s="14">
        <f>CHOOSE(CONTROL!$C$42, 14.8802, 14.8802)*CHOOSE(CONTROL!$C$21, $C$9, 100%, $E$9)</f>
        <v>14.8802</v>
      </c>
      <c r="G332" s="14">
        <f>CHOOSE(CONTROL!$C$42, 14.8976, 14.8976)*CHOOSE(CONTROL!$C$21, $C$9, 100%, $E$9)</f>
        <v>14.897600000000001</v>
      </c>
      <c r="H332" s="14">
        <f>CHOOSE(CONTROL!$C$42, 15.1016, 15.1016) * CHOOSE(CONTROL!$C$21, $C$9, 100%, $E$9)</f>
        <v>15.101599999999999</v>
      </c>
      <c r="I332" s="14">
        <f>CHOOSE(CONTROL!$C$42, 14.9273, 14.9273)* CHOOSE(CONTROL!$C$21, $C$9, 100%, $E$9)</f>
        <v>14.927300000000001</v>
      </c>
      <c r="J332" s="14">
        <f>CHOOSE(CONTROL!$C$42, 14.8732, 14.8732)* CHOOSE(CONTROL!$C$21, $C$9, 100%, $E$9)</f>
        <v>14.873200000000001</v>
      </c>
      <c r="K332" s="53">
        <f>CHOOSE(CONTROL!$C$42, 14.9234, 14.9234) * CHOOSE(CONTROL!$C$21, $C$9, 100%, $E$9)</f>
        <v>14.923400000000001</v>
      </c>
      <c r="L332" s="14">
        <f>CHOOSE(CONTROL!$C$42, 15.6886, 15.6886) * CHOOSE(CONTROL!$C$21, $C$9, 100%, $E$9)</f>
        <v>15.688599999999999</v>
      </c>
      <c r="M332" s="14">
        <f>CHOOSE(CONTROL!$C$42, 14.5762, 14.5762) * CHOOSE(CONTROL!$C$21, $C$9, 100%, $E$9)</f>
        <v>14.5762</v>
      </c>
      <c r="N332" s="14">
        <f>CHOOSE(CONTROL!$C$42, 14.5932, 14.5932) * CHOOSE(CONTROL!$C$21, $C$9, 100%, $E$9)</f>
        <v>14.5932</v>
      </c>
      <c r="O332" s="14">
        <f>CHOOSE(CONTROL!$C$42, 14.7998, 14.7998) * CHOOSE(CONTROL!$C$21, $C$9, 100%, $E$9)</f>
        <v>14.799799999999999</v>
      </c>
      <c r="P332" s="14">
        <f>CHOOSE(CONTROL!$C$42, 14.6282, 14.6282) * CHOOSE(CONTROL!$C$21, $C$9, 100%, $E$9)</f>
        <v>14.6282</v>
      </c>
      <c r="Q332" s="14">
        <f>CHOOSE(CONTROL!$C$42, 15.3945, 15.3945) * CHOOSE(CONTROL!$C$21, $C$9, 100%, $E$9)</f>
        <v>15.394500000000001</v>
      </c>
      <c r="R332" s="14">
        <f>CHOOSE(CONTROL!$C$42, 16.02, 16.02) * CHOOSE(CONTROL!$C$21, $C$9, 100%, $E$9)</f>
        <v>16.02</v>
      </c>
      <c r="S332" s="14">
        <f>CHOOSE(CONTROL!$C$42, 14.2615, 14.2615) * CHOOSE(CONTROL!$C$21, $C$9, 100%, $E$9)</f>
        <v>14.2615</v>
      </c>
      <c r="T33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32" s="57">
        <f>(1000*CHOOSE(CONTROL!$C$42, 695, 695)*CHOOSE(CONTROL!$C$42, 0.5599, 0.5599)*CHOOSE(CONTROL!$C$42, 31, 31))/1000000</f>
        <v>12.063045499999998</v>
      </c>
      <c r="V332" s="57">
        <f>(1000*CHOOSE(CONTROL!$C$42, 500, 500)*CHOOSE(CONTROL!$C$42, 0.275, 0.275)*CHOOSE(CONTROL!$C$42, 31, 31))/1000000</f>
        <v>4.2625000000000002</v>
      </c>
      <c r="W332" s="57">
        <f>(1000*CHOOSE(CONTROL!$C$42, 0.1146, 0.1146)*CHOOSE(CONTROL!$C$42, 121.5, 121.5)*CHOOSE(CONTROL!$C$42, 31, 31))/1000000</f>
        <v>0.43164089999999994</v>
      </c>
      <c r="X332" s="57">
        <f>(31*0.1790888*245000/1000000)+(31*0.2374*100000/1000000)</f>
        <v>2.0961194359999999</v>
      </c>
      <c r="Y332" s="57"/>
      <c r="Z332" s="14"/>
      <c r="AA332" s="56"/>
      <c r="AB332" s="50">
        <f>(B332*194.205+C332*267.466+D332*133.845+E332*53.484+F332*40+G332*185+H332*0+I332*100+J332*300)/(194.205+267.466+133.845+53.484+0+40+185+100+300)</f>
        <v>14.907479305337521</v>
      </c>
      <c r="AC332" s="45">
        <f>(M332*'RAP TEMPLATE-GAS AVAILABILITY'!O331+N332*'RAP TEMPLATE-GAS AVAILABILITY'!P331+O332*'RAP TEMPLATE-GAS AVAILABILITY'!Q331+P332*'RAP TEMPLATE-GAS AVAILABILITY'!R331)/('RAP TEMPLATE-GAS AVAILABILITY'!O331+'RAP TEMPLATE-GAS AVAILABILITY'!P331+'RAP TEMPLATE-GAS AVAILABILITY'!Q331+'RAP TEMPLATE-GAS AVAILABILITY'!R331)</f>
        <v>14.650332374100719</v>
      </c>
    </row>
    <row r="333" spans="1:29" ht="15.75" x14ac:dyDescent="0.25">
      <c r="A333" s="33">
        <v>51043</v>
      </c>
      <c r="B333" s="14">
        <f>CHOOSE(CONTROL!$C$42, 13.9104, 13.9104) * CHOOSE(CONTROL!$C$21, $C$9, 100%, $E$9)</f>
        <v>13.910399999999999</v>
      </c>
      <c r="C333" s="14">
        <f>CHOOSE(CONTROL!$C$42, 13.9184, 13.9184) * CHOOSE(CONTROL!$C$21, $C$9, 100%, $E$9)</f>
        <v>13.9184</v>
      </c>
      <c r="D333" s="14">
        <f>CHOOSE(CONTROL!$C$42, 14.139, 14.139) * CHOOSE(CONTROL!$C$21, $C$9, 100%, $E$9)</f>
        <v>14.138999999999999</v>
      </c>
      <c r="E333" s="14">
        <f>CHOOSE(CONTROL!$C$42, 14.1705, 14.1705) * CHOOSE(CONTROL!$C$21, $C$9, 100%, $E$9)</f>
        <v>14.170500000000001</v>
      </c>
      <c r="F333" s="14">
        <f>CHOOSE(CONTROL!$C$42, 13.9378, 13.9378)*CHOOSE(CONTROL!$C$21, $C$9, 100%, $E$9)</f>
        <v>13.937799999999999</v>
      </c>
      <c r="G333" s="14">
        <f>CHOOSE(CONTROL!$C$42, 13.9552, 13.9552)*CHOOSE(CONTROL!$C$21, $C$9, 100%, $E$9)</f>
        <v>13.9552</v>
      </c>
      <c r="H333" s="14">
        <f>CHOOSE(CONTROL!$C$42, 14.1591, 14.1591) * CHOOSE(CONTROL!$C$21, $C$9, 100%, $E$9)</f>
        <v>14.1591</v>
      </c>
      <c r="I333" s="14">
        <f>CHOOSE(CONTROL!$C$42, 13.9819, 13.9819)* CHOOSE(CONTROL!$C$21, $C$9, 100%, $E$9)</f>
        <v>13.9819</v>
      </c>
      <c r="J333" s="14">
        <f>CHOOSE(CONTROL!$C$42, 13.9308, 13.9308)* CHOOSE(CONTROL!$C$21, $C$9, 100%, $E$9)</f>
        <v>13.9308</v>
      </c>
      <c r="K333" s="53">
        <f>CHOOSE(CONTROL!$C$42, 13.978, 13.978) * CHOOSE(CONTROL!$C$21, $C$9, 100%, $E$9)</f>
        <v>13.978</v>
      </c>
      <c r="L333" s="14">
        <f>CHOOSE(CONTROL!$C$42, 14.7461, 14.7461) * CHOOSE(CONTROL!$C$21, $C$9, 100%, $E$9)</f>
        <v>14.7461</v>
      </c>
      <c r="M333" s="14">
        <f>CHOOSE(CONTROL!$C$42, 13.653, 13.653) * CHOOSE(CONTROL!$C$21, $C$9, 100%, $E$9)</f>
        <v>13.653</v>
      </c>
      <c r="N333" s="14">
        <f>CHOOSE(CONTROL!$C$42, 13.6701, 13.6701) * CHOOSE(CONTROL!$C$21, $C$9, 100%, $E$9)</f>
        <v>13.6701</v>
      </c>
      <c r="O333" s="14">
        <f>CHOOSE(CONTROL!$C$42, 13.8767, 13.8767) * CHOOSE(CONTROL!$C$21, $C$9, 100%, $E$9)</f>
        <v>13.8767</v>
      </c>
      <c r="P333" s="14">
        <f>CHOOSE(CONTROL!$C$42, 13.7023, 13.7023) * CHOOSE(CONTROL!$C$21, $C$9, 100%, $E$9)</f>
        <v>13.702299999999999</v>
      </c>
      <c r="Q333" s="14">
        <f>CHOOSE(CONTROL!$C$42, 14.4714, 14.4714) * CHOOSE(CONTROL!$C$21, $C$9, 100%, $E$9)</f>
        <v>14.471399999999999</v>
      </c>
      <c r="R333" s="14">
        <f>CHOOSE(CONTROL!$C$42, 15.0946, 15.0946) * CHOOSE(CONTROL!$C$21, $C$9, 100%, $E$9)</f>
        <v>15.0946</v>
      </c>
      <c r="S333" s="14">
        <f>CHOOSE(CONTROL!$C$42, 13.3559, 13.3559) * CHOOSE(CONTROL!$C$21, $C$9, 100%, $E$9)</f>
        <v>13.3559</v>
      </c>
      <c r="T33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33" s="57">
        <f>(1000*CHOOSE(CONTROL!$C$42, 695, 695)*CHOOSE(CONTROL!$C$42, 0.5599, 0.5599)*CHOOSE(CONTROL!$C$42, 30, 30))/1000000</f>
        <v>11.673914999999997</v>
      </c>
      <c r="V333" s="57">
        <f>(1000*CHOOSE(CONTROL!$C$42, 500, 500)*CHOOSE(CONTROL!$C$42, 0.275, 0.275)*CHOOSE(CONTROL!$C$42, 30, 30))/1000000</f>
        <v>4.125</v>
      </c>
      <c r="W333" s="57">
        <f>(1000*CHOOSE(CONTROL!$C$42, 0.1146, 0.1146)*CHOOSE(CONTROL!$C$42, 121.5, 121.5)*CHOOSE(CONTROL!$C$42, 30, 30))/1000000</f>
        <v>0.417717</v>
      </c>
      <c r="X333" s="57">
        <f>(30*0.1790888*245000/1000000)+(30*0.2374*100000/1000000)</f>
        <v>2.0285026799999999</v>
      </c>
      <c r="Y333" s="57"/>
      <c r="Z333" s="14"/>
      <c r="AA333" s="56"/>
      <c r="AB333" s="50">
        <f>(B333*194.205+C333*267.466+D333*133.845+E333*53.484+F333*40+G333*185+H333*0+I333*100+J333*300)/(194.205+267.466+133.845+53.484+0+40+185+100+300)</f>
        <v>13.964797082731554</v>
      </c>
      <c r="AC333" s="45">
        <f>(M333*'RAP TEMPLATE-GAS AVAILABILITY'!O332+N333*'RAP TEMPLATE-GAS AVAILABILITY'!P332+O333*'RAP TEMPLATE-GAS AVAILABILITY'!Q332+P333*'RAP TEMPLATE-GAS AVAILABILITY'!R332)/('RAP TEMPLATE-GAS AVAILABILITY'!O332+'RAP TEMPLATE-GAS AVAILABILITY'!P332+'RAP TEMPLATE-GAS AVAILABILITY'!Q332+'RAP TEMPLATE-GAS AVAILABILITY'!R332)</f>
        <v>13.726794964028777</v>
      </c>
    </row>
    <row r="334" spans="1:29" ht="15.75" x14ac:dyDescent="0.25">
      <c r="A334" s="33">
        <v>51074</v>
      </c>
      <c r="B334" s="14">
        <f>CHOOSE(CONTROL!$C$42, 13.6265, 13.6265) * CHOOSE(CONTROL!$C$21, $C$9, 100%, $E$9)</f>
        <v>13.6265</v>
      </c>
      <c r="C334" s="14">
        <f>CHOOSE(CONTROL!$C$42, 13.6318, 13.6318) * CHOOSE(CONTROL!$C$21, $C$9, 100%, $E$9)</f>
        <v>13.6318</v>
      </c>
      <c r="D334" s="14">
        <f>CHOOSE(CONTROL!$C$42, 13.8573, 13.8573) * CHOOSE(CONTROL!$C$21, $C$9, 100%, $E$9)</f>
        <v>13.8573</v>
      </c>
      <c r="E334" s="14">
        <f>CHOOSE(CONTROL!$C$42, 13.8865, 13.8865) * CHOOSE(CONTROL!$C$21, $C$9, 100%, $E$9)</f>
        <v>13.8865</v>
      </c>
      <c r="F334" s="14">
        <f>CHOOSE(CONTROL!$C$42, 13.6558, 13.6558)*CHOOSE(CONTROL!$C$21, $C$9, 100%, $E$9)</f>
        <v>13.655799999999999</v>
      </c>
      <c r="G334" s="14">
        <f>CHOOSE(CONTROL!$C$42, 13.6731, 13.6731)*CHOOSE(CONTROL!$C$21, $C$9, 100%, $E$9)</f>
        <v>13.6731</v>
      </c>
      <c r="H334" s="14">
        <f>CHOOSE(CONTROL!$C$42, 13.8769, 13.8769) * CHOOSE(CONTROL!$C$21, $C$9, 100%, $E$9)</f>
        <v>13.876899999999999</v>
      </c>
      <c r="I334" s="14">
        <f>CHOOSE(CONTROL!$C$42, 13.6988, 13.6988)* CHOOSE(CONTROL!$C$21, $C$9, 100%, $E$9)</f>
        <v>13.6988</v>
      </c>
      <c r="J334" s="14">
        <f>CHOOSE(CONTROL!$C$42, 13.6488, 13.6488)* CHOOSE(CONTROL!$C$21, $C$9, 100%, $E$9)</f>
        <v>13.6488</v>
      </c>
      <c r="K334" s="53">
        <f>CHOOSE(CONTROL!$C$42, 13.6949, 13.6949) * CHOOSE(CONTROL!$C$21, $C$9, 100%, $E$9)</f>
        <v>13.694900000000001</v>
      </c>
      <c r="L334" s="14">
        <f>CHOOSE(CONTROL!$C$42, 14.4639, 14.4639) * CHOOSE(CONTROL!$C$21, $C$9, 100%, $E$9)</f>
        <v>14.463900000000001</v>
      </c>
      <c r="M334" s="14">
        <f>CHOOSE(CONTROL!$C$42, 13.3769, 13.3769) * CHOOSE(CONTROL!$C$21, $C$9, 100%, $E$9)</f>
        <v>13.376899999999999</v>
      </c>
      <c r="N334" s="14">
        <f>CHOOSE(CONTROL!$C$42, 13.3937, 13.3937) * CHOOSE(CONTROL!$C$21, $C$9, 100%, $E$9)</f>
        <v>13.393700000000001</v>
      </c>
      <c r="O334" s="14">
        <f>CHOOSE(CONTROL!$C$42, 13.6003, 13.6003) * CHOOSE(CONTROL!$C$21, $C$9, 100%, $E$9)</f>
        <v>13.600300000000001</v>
      </c>
      <c r="P334" s="14">
        <f>CHOOSE(CONTROL!$C$42, 13.425, 13.425) * CHOOSE(CONTROL!$C$21, $C$9, 100%, $E$9)</f>
        <v>13.425000000000001</v>
      </c>
      <c r="Q334" s="14">
        <f>CHOOSE(CONTROL!$C$42, 14.195, 14.195) * CHOOSE(CONTROL!$C$21, $C$9, 100%, $E$9)</f>
        <v>14.195</v>
      </c>
      <c r="R334" s="14">
        <f>CHOOSE(CONTROL!$C$42, 14.8175, 14.8175) * CHOOSE(CONTROL!$C$21, $C$9, 100%, $E$9)</f>
        <v>14.817500000000001</v>
      </c>
      <c r="S334" s="14">
        <f>CHOOSE(CONTROL!$C$42, 13.0847, 13.0847) * CHOOSE(CONTROL!$C$21, $C$9, 100%, $E$9)</f>
        <v>13.0847</v>
      </c>
      <c r="T3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34" s="57">
        <f>(1000*CHOOSE(CONTROL!$C$42, 695, 695)*CHOOSE(CONTROL!$C$42, 0.5599, 0.5599)*CHOOSE(CONTROL!$C$42, 31, 31))/1000000</f>
        <v>12.063045499999998</v>
      </c>
      <c r="V334" s="57">
        <f>(1000*CHOOSE(CONTROL!$C$42, 500, 500)*CHOOSE(CONTROL!$C$42, 0.275, 0.275)*CHOOSE(CONTROL!$C$42, 31, 31))/1000000</f>
        <v>4.2625000000000002</v>
      </c>
      <c r="W334" s="57">
        <f>(1000*CHOOSE(CONTROL!$C$42, 0.1146, 0.1146)*CHOOSE(CONTROL!$C$42, 121.5, 121.5)*CHOOSE(CONTROL!$C$42, 31, 31))/1000000</f>
        <v>0.43164089999999994</v>
      </c>
      <c r="X334" s="57">
        <f>(31*0.1790888*245000/1000000)+(31*0.2374*100000/1000000)</f>
        <v>2.0961194359999999</v>
      </c>
      <c r="Y334" s="57"/>
      <c r="Z334" s="14"/>
      <c r="AA334" s="56"/>
      <c r="AB334" s="50">
        <f>(B334*131.881+C334*277.167+D334*79.08+E334*125.872+F334*40+G334*185+H334*0+I334*100+J334*300)/(131.881+277.167+79.08+125.872+0+40+185+100+300)</f>
        <v>13.687969224455205</v>
      </c>
      <c r="AC334" s="45">
        <f>(M334*'RAP TEMPLATE-GAS AVAILABILITY'!O333+N334*'RAP TEMPLATE-GAS AVAILABILITY'!P333+O334*'RAP TEMPLATE-GAS AVAILABILITY'!Q333+P334*'RAP TEMPLATE-GAS AVAILABILITY'!R333)/('RAP TEMPLATE-GAS AVAILABILITY'!O333+'RAP TEMPLATE-GAS AVAILABILITY'!P333+'RAP TEMPLATE-GAS AVAILABILITY'!Q333+'RAP TEMPLATE-GAS AVAILABILITY'!R333)</f>
        <v>13.4503690647482</v>
      </c>
    </row>
    <row r="335" spans="1:29" ht="15.75" x14ac:dyDescent="0.25">
      <c r="A335" s="33">
        <v>51104</v>
      </c>
      <c r="B335" s="14">
        <f>CHOOSE(CONTROL!$C$42, 13.9848, 13.9848) * CHOOSE(CONTROL!$C$21, $C$9, 100%, $E$9)</f>
        <v>13.9848</v>
      </c>
      <c r="C335" s="14">
        <f>CHOOSE(CONTROL!$C$42, 13.9898, 13.9898) * CHOOSE(CONTROL!$C$21, $C$9, 100%, $E$9)</f>
        <v>13.989800000000001</v>
      </c>
      <c r="D335" s="14">
        <f>CHOOSE(CONTROL!$C$42, 14.064, 14.064) * CHOOSE(CONTROL!$C$21, $C$9, 100%, $E$9)</f>
        <v>14.064</v>
      </c>
      <c r="E335" s="14">
        <f>CHOOSE(CONTROL!$C$42, 14.0981, 14.0981) * CHOOSE(CONTROL!$C$21, $C$9, 100%, $E$9)</f>
        <v>14.098100000000001</v>
      </c>
      <c r="F335" s="14">
        <f>CHOOSE(CONTROL!$C$42, 14.0208, 14.0208)*CHOOSE(CONTROL!$C$21, $C$9, 100%, $E$9)</f>
        <v>14.020799999999999</v>
      </c>
      <c r="G335" s="14">
        <f>CHOOSE(CONTROL!$C$42, 14.0383, 14.0383)*CHOOSE(CONTROL!$C$21, $C$9, 100%, $E$9)</f>
        <v>14.0383</v>
      </c>
      <c r="H335" s="14">
        <f>CHOOSE(CONTROL!$C$42, 14.0873, 14.0873) * CHOOSE(CONTROL!$C$21, $C$9, 100%, $E$9)</f>
        <v>14.087300000000001</v>
      </c>
      <c r="I335" s="14">
        <f>CHOOSE(CONTROL!$C$42, 14.056, 14.056)* CHOOSE(CONTROL!$C$21, $C$9, 100%, $E$9)</f>
        <v>14.055999999999999</v>
      </c>
      <c r="J335" s="14">
        <f>CHOOSE(CONTROL!$C$42, 14.0138, 14.0138)* CHOOSE(CONTROL!$C$21, $C$9, 100%, $E$9)</f>
        <v>14.0138</v>
      </c>
      <c r="K335" s="53">
        <f>CHOOSE(CONTROL!$C$42, 14.0521, 14.0521) * CHOOSE(CONTROL!$C$21, $C$9, 100%, $E$9)</f>
        <v>14.052099999999999</v>
      </c>
      <c r="L335" s="14">
        <f>CHOOSE(CONTROL!$C$42, 14.6743, 14.6743) * CHOOSE(CONTROL!$C$21, $C$9, 100%, $E$9)</f>
        <v>14.674300000000001</v>
      </c>
      <c r="M335" s="14">
        <f>CHOOSE(CONTROL!$C$42, 13.7344, 13.7344) * CHOOSE(CONTROL!$C$21, $C$9, 100%, $E$9)</f>
        <v>13.734400000000001</v>
      </c>
      <c r="N335" s="14">
        <f>CHOOSE(CONTROL!$C$42, 13.7515, 13.7515) * CHOOSE(CONTROL!$C$21, $C$9, 100%, $E$9)</f>
        <v>13.7515</v>
      </c>
      <c r="O335" s="14">
        <f>CHOOSE(CONTROL!$C$42, 13.8064, 13.8064) * CHOOSE(CONTROL!$C$21, $C$9, 100%, $E$9)</f>
        <v>13.8064</v>
      </c>
      <c r="P335" s="14">
        <f>CHOOSE(CONTROL!$C$42, 13.7749, 13.7749) * CHOOSE(CONTROL!$C$21, $C$9, 100%, $E$9)</f>
        <v>13.774900000000001</v>
      </c>
      <c r="Q335" s="14">
        <f>CHOOSE(CONTROL!$C$42, 14.4011, 14.4011) * CHOOSE(CONTROL!$C$21, $C$9, 100%, $E$9)</f>
        <v>14.4011</v>
      </c>
      <c r="R335" s="14">
        <f>CHOOSE(CONTROL!$C$42, 15.0241, 15.0241) * CHOOSE(CONTROL!$C$21, $C$9, 100%, $E$9)</f>
        <v>15.024100000000001</v>
      </c>
      <c r="S335" s="14">
        <f>CHOOSE(CONTROL!$C$42, 13.4294, 13.4294) * CHOOSE(CONTROL!$C$21, $C$9, 100%, $E$9)</f>
        <v>13.429399999999999</v>
      </c>
      <c r="T3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35" s="57">
        <f>(1000*CHOOSE(CONTROL!$C$42, 695, 695)*CHOOSE(CONTROL!$C$42, 0.5599, 0.5599)*CHOOSE(CONTROL!$C$42, 30, 30))/1000000</f>
        <v>11.673914999999997</v>
      </c>
      <c r="V335" s="57">
        <f>(1000*CHOOSE(CONTROL!$C$42, 500, 500)*CHOOSE(CONTROL!$C$42, 0.275, 0.275)*CHOOSE(CONTROL!$C$42, 30, 30))/1000000</f>
        <v>4.125</v>
      </c>
      <c r="W335" s="57">
        <f>(1000*CHOOSE(CONTROL!$C$42, 0.1146, 0.1146)*CHOOSE(CONTROL!$C$42, 121.5, 121.5)*CHOOSE(CONTROL!$C$42, 30, 30))/1000000</f>
        <v>0.417717</v>
      </c>
      <c r="X335" s="57">
        <f>(30*0.1790888*100000/1000000)+(30*0.2374*100000/1000000)</f>
        <v>1.2494664</v>
      </c>
      <c r="Y335" s="57"/>
      <c r="Z335" s="14"/>
      <c r="AA335" s="56"/>
      <c r="AB335" s="50">
        <f>(B335*122.58+C335*297.941+D335*89.177+E335*40.302+F335*40+G335*160+H335*0+I335*100+J335*300)/(122.58+297.941+89.177+40.302+0+40+160+100+300)</f>
        <v>14.018659773913045</v>
      </c>
      <c r="AC335" s="45">
        <f>(M335*'RAP TEMPLATE-GAS AVAILABILITY'!O334+N335*'RAP TEMPLATE-GAS AVAILABILITY'!P334+O335*'RAP TEMPLATE-GAS AVAILABILITY'!Q334+P335*'RAP TEMPLATE-GAS AVAILABILITY'!R334)/('RAP TEMPLATE-GAS AVAILABILITY'!O334+'RAP TEMPLATE-GAS AVAILABILITY'!P334+'RAP TEMPLATE-GAS AVAILABILITY'!Q334+'RAP TEMPLATE-GAS AVAILABILITY'!R334)</f>
        <v>13.773844604316547</v>
      </c>
    </row>
    <row r="336" spans="1:29" ht="15.75" x14ac:dyDescent="0.25">
      <c r="A336" s="33">
        <v>51135</v>
      </c>
      <c r="B336" s="14">
        <f>CHOOSE(CONTROL!$C$42, 14.9376, 14.9376) * CHOOSE(CONTROL!$C$21, $C$9, 100%, $E$9)</f>
        <v>14.9376</v>
      </c>
      <c r="C336" s="14">
        <f>CHOOSE(CONTROL!$C$42, 14.9426, 14.9426) * CHOOSE(CONTROL!$C$21, $C$9, 100%, $E$9)</f>
        <v>14.942600000000001</v>
      </c>
      <c r="D336" s="14">
        <f>CHOOSE(CONTROL!$C$42, 15.0169, 15.0169) * CHOOSE(CONTROL!$C$21, $C$9, 100%, $E$9)</f>
        <v>15.0169</v>
      </c>
      <c r="E336" s="14">
        <f>CHOOSE(CONTROL!$C$42, 15.051, 15.051) * CHOOSE(CONTROL!$C$21, $C$9, 100%, $E$9)</f>
        <v>15.051</v>
      </c>
      <c r="F336" s="14">
        <f>CHOOSE(CONTROL!$C$42, 14.976, 14.976)*CHOOSE(CONTROL!$C$21, $C$9, 100%, $E$9)</f>
        <v>14.976000000000001</v>
      </c>
      <c r="G336" s="14">
        <f>CHOOSE(CONTROL!$C$42, 14.9941, 14.9941)*CHOOSE(CONTROL!$C$21, $C$9, 100%, $E$9)</f>
        <v>14.9941</v>
      </c>
      <c r="H336" s="14">
        <f>CHOOSE(CONTROL!$C$42, 15.0402, 15.0402) * CHOOSE(CONTROL!$C$21, $C$9, 100%, $E$9)</f>
        <v>15.0402</v>
      </c>
      <c r="I336" s="14">
        <f>CHOOSE(CONTROL!$C$42, 15.0118, 15.0118)* CHOOSE(CONTROL!$C$21, $C$9, 100%, $E$9)</f>
        <v>15.011799999999999</v>
      </c>
      <c r="J336" s="14">
        <f>CHOOSE(CONTROL!$C$42, 14.969, 14.969)* CHOOSE(CONTROL!$C$21, $C$9, 100%, $E$9)</f>
        <v>14.968999999999999</v>
      </c>
      <c r="K336" s="53">
        <f>CHOOSE(CONTROL!$C$42, 15.0079, 15.0079) * CHOOSE(CONTROL!$C$21, $C$9, 100%, $E$9)</f>
        <v>15.007899999999999</v>
      </c>
      <c r="L336" s="14">
        <f>CHOOSE(CONTROL!$C$42, 15.6272, 15.6272) * CHOOSE(CONTROL!$C$21, $C$9, 100%, $E$9)</f>
        <v>15.6272</v>
      </c>
      <c r="M336" s="14">
        <f>CHOOSE(CONTROL!$C$42, 14.67, 14.67) * CHOOSE(CONTROL!$C$21, $C$9, 100%, $E$9)</f>
        <v>14.67</v>
      </c>
      <c r="N336" s="14">
        <f>CHOOSE(CONTROL!$C$42, 14.6878, 14.6878) * CHOOSE(CONTROL!$C$21, $C$9, 100%, $E$9)</f>
        <v>14.687799999999999</v>
      </c>
      <c r="O336" s="14">
        <f>CHOOSE(CONTROL!$C$42, 14.7397, 14.7397) * CHOOSE(CONTROL!$C$21, $C$9, 100%, $E$9)</f>
        <v>14.739699999999999</v>
      </c>
      <c r="P336" s="14">
        <f>CHOOSE(CONTROL!$C$42, 14.7111, 14.7111) * CHOOSE(CONTROL!$C$21, $C$9, 100%, $E$9)</f>
        <v>14.7111</v>
      </c>
      <c r="Q336" s="14">
        <f>CHOOSE(CONTROL!$C$42, 15.3344, 15.3344) * CHOOSE(CONTROL!$C$21, $C$9, 100%, $E$9)</f>
        <v>15.3344</v>
      </c>
      <c r="R336" s="14">
        <f>CHOOSE(CONTROL!$C$42, 15.9597, 15.9597) * CHOOSE(CONTROL!$C$21, $C$9, 100%, $E$9)</f>
        <v>15.9597</v>
      </c>
      <c r="S336" s="14">
        <f>CHOOSE(CONTROL!$C$42, 14.345, 14.345) * CHOOSE(CONTROL!$C$21, $C$9, 100%, $E$9)</f>
        <v>14.345000000000001</v>
      </c>
      <c r="T3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36" s="57">
        <f>(1000*CHOOSE(CONTROL!$C$42, 695, 695)*CHOOSE(CONTROL!$C$42, 0.5599, 0.5599)*CHOOSE(CONTROL!$C$42, 31, 31))/1000000</f>
        <v>12.063045499999998</v>
      </c>
      <c r="V336" s="57">
        <f>(1000*CHOOSE(CONTROL!$C$42, 500, 500)*CHOOSE(CONTROL!$C$42, 0.275, 0.275)*CHOOSE(CONTROL!$C$42, 31, 31))/1000000</f>
        <v>4.2625000000000002</v>
      </c>
      <c r="W336" s="57">
        <f>(1000*CHOOSE(CONTROL!$C$42, 0.1146, 0.1146)*CHOOSE(CONTROL!$C$42, 121.5, 121.5)*CHOOSE(CONTROL!$C$42, 31, 31))/1000000</f>
        <v>0.43164089999999994</v>
      </c>
      <c r="X336" s="57">
        <f>(31*0.1790888*100000/1000000)+(31*0.2374*100000/1000000)</f>
        <v>1.2911152800000001</v>
      </c>
      <c r="Y336" s="57"/>
      <c r="Z336" s="14"/>
      <c r="AA336" s="56"/>
      <c r="AB336" s="50">
        <f>(B336*122.58+C336*297.941+D336*89.177+E336*40.302+F336*40+G336*160+H336*0+I336*100+J336*300)/(122.58+297.941+89.177+40.302+0+40+160+100+300)</f>
        <v>14.97285885904348</v>
      </c>
      <c r="AC336" s="45">
        <f>(M336*'RAP TEMPLATE-GAS AVAILABILITY'!O335+N336*'RAP TEMPLATE-GAS AVAILABILITY'!P335+O336*'RAP TEMPLATE-GAS AVAILABILITY'!Q335+P336*'RAP TEMPLATE-GAS AVAILABILITY'!R335)/('RAP TEMPLATE-GAS AVAILABILITY'!O335+'RAP TEMPLATE-GAS AVAILABILITY'!P335+'RAP TEMPLATE-GAS AVAILABILITY'!Q335+'RAP TEMPLATE-GAS AVAILABILITY'!R335)</f>
        <v>14.708528776978417</v>
      </c>
    </row>
    <row r="337" spans="1:29" ht="15.75" x14ac:dyDescent="0.25">
      <c r="A337" s="33">
        <v>51166</v>
      </c>
      <c r="B337" s="14">
        <f>CHOOSE(CONTROL!$C$42, 16.1751, 16.1751) * CHOOSE(CONTROL!$C$21, $C$9, 100%, $E$9)</f>
        <v>16.1751</v>
      </c>
      <c r="C337" s="14">
        <f>CHOOSE(CONTROL!$C$42, 16.1802, 16.1802) * CHOOSE(CONTROL!$C$21, $C$9, 100%, $E$9)</f>
        <v>16.180199999999999</v>
      </c>
      <c r="D337" s="14">
        <f>CHOOSE(CONTROL!$C$42, 16.257, 16.257) * CHOOSE(CONTROL!$C$21, $C$9, 100%, $E$9)</f>
        <v>16.257000000000001</v>
      </c>
      <c r="E337" s="14">
        <f>CHOOSE(CONTROL!$C$42, 16.2911, 16.2911) * CHOOSE(CONTROL!$C$21, $C$9, 100%, $E$9)</f>
        <v>16.2911</v>
      </c>
      <c r="F337" s="14">
        <f>CHOOSE(CONTROL!$C$42, 16.1999, 16.1999)*CHOOSE(CONTROL!$C$21, $C$9, 100%, $E$9)</f>
        <v>16.1999</v>
      </c>
      <c r="G337" s="14">
        <f>CHOOSE(CONTROL!$C$42, 16.2178, 16.2178)*CHOOSE(CONTROL!$C$21, $C$9, 100%, $E$9)</f>
        <v>16.2178</v>
      </c>
      <c r="H337" s="14">
        <f>CHOOSE(CONTROL!$C$42, 16.2803, 16.2803) * CHOOSE(CONTROL!$C$21, $C$9, 100%, $E$9)</f>
        <v>16.2803</v>
      </c>
      <c r="I337" s="14">
        <f>CHOOSE(CONTROL!$C$42, 16.2595, 16.2595)* CHOOSE(CONTROL!$C$21, $C$9, 100%, $E$9)</f>
        <v>16.259499999999999</v>
      </c>
      <c r="J337" s="14">
        <f>CHOOSE(CONTROL!$C$42, 16.1929, 16.1929)* CHOOSE(CONTROL!$C$21, $C$9, 100%, $E$9)</f>
        <v>16.192900000000002</v>
      </c>
      <c r="K337" s="53">
        <f>CHOOSE(CONTROL!$C$42, 16.2556, 16.2556) * CHOOSE(CONTROL!$C$21, $C$9, 100%, $E$9)</f>
        <v>16.255600000000001</v>
      </c>
      <c r="L337" s="14">
        <f>CHOOSE(CONTROL!$C$42, 16.8673, 16.8673) * CHOOSE(CONTROL!$C$21, $C$9, 100%, $E$9)</f>
        <v>16.8673</v>
      </c>
      <c r="M337" s="14">
        <f>CHOOSE(CONTROL!$C$42, 15.8688, 15.8688) * CHOOSE(CONTROL!$C$21, $C$9, 100%, $E$9)</f>
        <v>15.8688</v>
      </c>
      <c r="N337" s="14">
        <f>CHOOSE(CONTROL!$C$42, 15.8864, 15.8864) * CHOOSE(CONTROL!$C$21, $C$9, 100%, $E$9)</f>
        <v>15.8864</v>
      </c>
      <c r="O337" s="14">
        <f>CHOOSE(CONTROL!$C$42, 15.9544, 15.9544) * CHOOSE(CONTROL!$C$21, $C$9, 100%, $E$9)</f>
        <v>15.9544</v>
      </c>
      <c r="P337" s="14">
        <f>CHOOSE(CONTROL!$C$42, 15.9331, 15.9331) * CHOOSE(CONTROL!$C$21, $C$9, 100%, $E$9)</f>
        <v>15.9331</v>
      </c>
      <c r="Q337" s="14">
        <f>CHOOSE(CONTROL!$C$42, 16.5491, 16.5491) * CHOOSE(CONTROL!$C$21, $C$9, 100%, $E$9)</f>
        <v>16.549099999999999</v>
      </c>
      <c r="R337" s="14">
        <f>CHOOSE(CONTROL!$C$42, 17.1775, 17.1775) * CHOOSE(CONTROL!$C$21, $C$9, 100%, $E$9)</f>
        <v>17.177499999999998</v>
      </c>
      <c r="S337" s="14">
        <f>CHOOSE(CONTROL!$C$42, 15.5341, 15.5341) * CHOOSE(CONTROL!$C$21, $C$9, 100%, $E$9)</f>
        <v>15.5341</v>
      </c>
      <c r="T3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37" s="57">
        <f>(1000*CHOOSE(CONTROL!$C$42, 695, 695)*CHOOSE(CONTROL!$C$42, 0.5599, 0.5599)*CHOOSE(CONTROL!$C$42, 31, 31))/1000000</f>
        <v>12.063045499999998</v>
      </c>
      <c r="V337" s="57">
        <f>(1000*CHOOSE(CONTROL!$C$42, 500, 500)*CHOOSE(CONTROL!$C$42, 0.275, 0.275)*CHOOSE(CONTROL!$C$42, 31, 31))/1000000</f>
        <v>4.2625000000000002</v>
      </c>
      <c r="W337" s="57">
        <f>(1000*CHOOSE(CONTROL!$C$42, 0.1146, 0.1146)*CHOOSE(CONTROL!$C$42, 121.5, 121.5)*CHOOSE(CONTROL!$C$42, 31, 31))/1000000</f>
        <v>0.43164089999999994</v>
      </c>
      <c r="X337" s="57">
        <f>(31*0.1790888*100000/1000000)+(31*0.2374*100000/1000000)</f>
        <v>1.2911152800000001</v>
      </c>
      <c r="Y337" s="57"/>
      <c r="Z337" s="14"/>
      <c r="AA337" s="56"/>
      <c r="AB337" s="50">
        <f>(B337*122.58+C337*297.941+D337*89.177+E337*40.302+F337*40+G337*160+H337*0+I337*100+J337*300)/(122.58+297.941+89.177+40.302+0+40+160+100+300)</f>
        <v>16.205623589043476</v>
      </c>
      <c r="AC337" s="45">
        <f>(M337*'RAP TEMPLATE-GAS AVAILABILITY'!O336+N337*'RAP TEMPLATE-GAS AVAILABILITY'!P336+O337*'RAP TEMPLATE-GAS AVAILABILITY'!Q336+P337*'RAP TEMPLATE-GAS AVAILABILITY'!R336)/('RAP TEMPLATE-GAS AVAILABILITY'!O336+'RAP TEMPLATE-GAS AVAILABILITY'!P336+'RAP TEMPLATE-GAS AVAILABILITY'!Q336+'RAP TEMPLATE-GAS AVAILABILITY'!R336)</f>
        <v>15.917861870503595</v>
      </c>
    </row>
    <row r="338" spans="1:29" ht="15.75" x14ac:dyDescent="0.25">
      <c r="A338" s="33">
        <v>51194</v>
      </c>
      <c r="B338" s="14">
        <f>CHOOSE(CONTROL!$C$42, 16.4629, 16.4629) * CHOOSE(CONTROL!$C$21, $C$9, 100%, $E$9)</f>
        <v>16.462900000000001</v>
      </c>
      <c r="C338" s="14">
        <f>CHOOSE(CONTROL!$C$42, 16.468, 16.468) * CHOOSE(CONTROL!$C$21, $C$9, 100%, $E$9)</f>
        <v>16.468</v>
      </c>
      <c r="D338" s="14">
        <f>CHOOSE(CONTROL!$C$42, 16.5448, 16.5448) * CHOOSE(CONTROL!$C$21, $C$9, 100%, $E$9)</f>
        <v>16.544799999999999</v>
      </c>
      <c r="E338" s="14">
        <f>CHOOSE(CONTROL!$C$42, 16.5789, 16.5789) * CHOOSE(CONTROL!$C$21, $C$9, 100%, $E$9)</f>
        <v>16.578900000000001</v>
      </c>
      <c r="F338" s="14">
        <f>CHOOSE(CONTROL!$C$42, 16.4872, 16.4872)*CHOOSE(CONTROL!$C$21, $C$9, 100%, $E$9)</f>
        <v>16.487200000000001</v>
      </c>
      <c r="G338" s="14">
        <f>CHOOSE(CONTROL!$C$42, 16.5051, 16.5051)*CHOOSE(CONTROL!$C$21, $C$9, 100%, $E$9)</f>
        <v>16.505099999999999</v>
      </c>
      <c r="H338" s="14">
        <f>CHOOSE(CONTROL!$C$42, 16.5681, 16.5681) * CHOOSE(CONTROL!$C$21, $C$9, 100%, $E$9)</f>
        <v>16.568100000000001</v>
      </c>
      <c r="I338" s="14">
        <f>CHOOSE(CONTROL!$C$42, 16.5482, 16.5482)* CHOOSE(CONTROL!$C$21, $C$9, 100%, $E$9)</f>
        <v>16.548200000000001</v>
      </c>
      <c r="J338" s="14">
        <f>CHOOSE(CONTROL!$C$42, 16.4802, 16.4802)* CHOOSE(CONTROL!$C$21, $C$9, 100%, $E$9)</f>
        <v>16.4802</v>
      </c>
      <c r="K338" s="53">
        <f>CHOOSE(CONTROL!$C$42, 16.5443, 16.5443) * CHOOSE(CONTROL!$C$21, $C$9, 100%, $E$9)</f>
        <v>16.5443</v>
      </c>
      <c r="L338" s="14">
        <f>CHOOSE(CONTROL!$C$42, 17.1551, 17.1551) * CHOOSE(CONTROL!$C$21, $C$9, 100%, $E$9)</f>
        <v>17.155100000000001</v>
      </c>
      <c r="M338" s="14">
        <f>CHOOSE(CONTROL!$C$42, 16.1502, 16.1502) * CHOOSE(CONTROL!$C$21, $C$9, 100%, $E$9)</f>
        <v>16.150200000000002</v>
      </c>
      <c r="N338" s="14">
        <f>CHOOSE(CONTROL!$C$42, 16.1677, 16.1677) * CHOOSE(CONTROL!$C$21, $C$9, 100%, $E$9)</f>
        <v>16.1677</v>
      </c>
      <c r="O338" s="14">
        <f>CHOOSE(CONTROL!$C$42, 16.2363, 16.2363) * CHOOSE(CONTROL!$C$21, $C$9, 100%, $E$9)</f>
        <v>16.2363</v>
      </c>
      <c r="P338" s="14">
        <f>CHOOSE(CONTROL!$C$42, 16.2158, 16.2158) * CHOOSE(CONTROL!$C$21, $C$9, 100%, $E$9)</f>
        <v>16.215800000000002</v>
      </c>
      <c r="Q338" s="14">
        <f>CHOOSE(CONTROL!$C$42, 16.831, 16.831) * CHOOSE(CONTROL!$C$21, $C$9, 100%, $E$9)</f>
        <v>16.831</v>
      </c>
      <c r="R338" s="14">
        <f>CHOOSE(CONTROL!$C$42, 17.4601, 17.4601) * CHOOSE(CONTROL!$C$21, $C$9, 100%, $E$9)</f>
        <v>17.460100000000001</v>
      </c>
      <c r="S338" s="14">
        <f>CHOOSE(CONTROL!$C$42, 15.8106, 15.8106) * CHOOSE(CONTROL!$C$21, $C$9, 100%, $E$9)</f>
        <v>15.810600000000001</v>
      </c>
      <c r="T33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38" s="57">
        <f>(1000*CHOOSE(CONTROL!$C$42, 695, 695)*CHOOSE(CONTROL!$C$42, 0.5599, 0.5599)*CHOOSE(CONTROL!$C$42, 29, 29))/1000000</f>
        <v>11.284784499999999</v>
      </c>
      <c r="V338" s="57">
        <f>(1000*CHOOSE(CONTROL!$C$42, 500, 500)*CHOOSE(CONTROL!$C$42, 0.275, 0.275)*CHOOSE(CONTROL!$C$42, 29, 29))/1000000</f>
        <v>3.9874999999999998</v>
      </c>
      <c r="W338" s="57">
        <f>(1000*CHOOSE(CONTROL!$C$42, 0.1146, 0.1146)*CHOOSE(CONTROL!$C$42, 121.5, 121.5)*CHOOSE(CONTROL!$C$42, 29, 29))/1000000</f>
        <v>0.40379309999999996</v>
      </c>
      <c r="X338" s="57">
        <f>(29*0.1790888*100000/1000000)+(29*0.2374*100000/1000000)</f>
        <v>1.2078175199999999</v>
      </c>
      <c r="Y338" s="57"/>
      <c r="Z338" s="14"/>
      <c r="AA338" s="56"/>
      <c r="AB338" s="50">
        <f>(B338*122.58+C338*297.941+D338*89.177+E338*40.302+F338*40+G338*160+H338*0+I338*100+J338*300)/(122.58+297.941+89.177+40.302+0+40+160+100+300)</f>
        <v>16.493284458608695</v>
      </c>
      <c r="AC338" s="45">
        <f>(M338*'RAP TEMPLATE-GAS AVAILABILITY'!O337+N338*'RAP TEMPLATE-GAS AVAILABILITY'!P337+O338*'RAP TEMPLATE-GAS AVAILABILITY'!Q337+P338*'RAP TEMPLATE-GAS AVAILABILITY'!R337)/('RAP TEMPLATE-GAS AVAILABILITY'!O337+'RAP TEMPLATE-GAS AVAILABILITY'!P337+'RAP TEMPLATE-GAS AVAILABILITY'!Q337+'RAP TEMPLATE-GAS AVAILABILITY'!R337)</f>
        <v>16.199669784172663</v>
      </c>
    </row>
    <row r="339" spans="1:29" ht="15.75" x14ac:dyDescent="0.25">
      <c r="A339" s="33">
        <v>51226</v>
      </c>
      <c r="B339" s="14">
        <f>CHOOSE(CONTROL!$C$42, 15.9958, 15.9958) * CHOOSE(CONTROL!$C$21, $C$9, 100%, $E$9)</f>
        <v>15.995799999999999</v>
      </c>
      <c r="C339" s="14">
        <f>CHOOSE(CONTROL!$C$42, 16.0008, 16.0008) * CHOOSE(CONTROL!$C$21, $C$9, 100%, $E$9)</f>
        <v>16.000800000000002</v>
      </c>
      <c r="D339" s="14">
        <f>CHOOSE(CONTROL!$C$42, 16.0777, 16.0777) * CHOOSE(CONTROL!$C$21, $C$9, 100%, $E$9)</f>
        <v>16.0777</v>
      </c>
      <c r="E339" s="14">
        <f>CHOOSE(CONTROL!$C$42, 16.1118, 16.1118) * CHOOSE(CONTROL!$C$21, $C$9, 100%, $E$9)</f>
        <v>16.111799999999999</v>
      </c>
      <c r="F339" s="14">
        <f>CHOOSE(CONTROL!$C$42, 16.0192, 16.0192)*CHOOSE(CONTROL!$C$21, $C$9, 100%, $E$9)</f>
        <v>16.019200000000001</v>
      </c>
      <c r="G339" s="14">
        <f>CHOOSE(CONTROL!$C$42, 16.0369, 16.0369)*CHOOSE(CONTROL!$C$21, $C$9, 100%, $E$9)</f>
        <v>16.036899999999999</v>
      </c>
      <c r="H339" s="14">
        <f>CHOOSE(CONTROL!$C$42, 16.101, 16.101) * CHOOSE(CONTROL!$C$21, $C$9, 100%, $E$9)</f>
        <v>16.100999999999999</v>
      </c>
      <c r="I339" s="14">
        <f>CHOOSE(CONTROL!$C$42, 16.0796, 16.0796)* CHOOSE(CONTROL!$C$21, $C$9, 100%, $E$9)</f>
        <v>16.079599999999999</v>
      </c>
      <c r="J339" s="14">
        <f>CHOOSE(CONTROL!$C$42, 16.0122, 16.0122)* CHOOSE(CONTROL!$C$21, $C$9, 100%, $E$9)</f>
        <v>16.0122</v>
      </c>
      <c r="K339" s="53">
        <f>CHOOSE(CONTROL!$C$42, 16.0757, 16.0757) * CHOOSE(CONTROL!$C$21, $C$9, 100%, $E$9)</f>
        <v>16.075700000000001</v>
      </c>
      <c r="L339" s="14">
        <f>CHOOSE(CONTROL!$C$42, 16.688, 16.688) * CHOOSE(CONTROL!$C$21, $C$9, 100%, $E$9)</f>
        <v>16.687999999999999</v>
      </c>
      <c r="M339" s="14">
        <f>CHOOSE(CONTROL!$C$42, 15.6918, 15.6918) * CHOOSE(CONTROL!$C$21, $C$9, 100%, $E$9)</f>
        <v>15.691800000000001</v>
      </c>
      <c r="N339" s="14">
        <f>CHOOSE(CONTROL!$C$42, 15.7091, 15.7091) * CHOOSE(CONTROL!$C$21, $C$9, 100%, $E$9)</f>
        <v>15.709099999999999</v>
      </c>
      <c r="O339" s="14">
        <f>CHOOSE(CONTROL!$C$42, 15.7787, 15.7787) * CHOOSE(CONTROL!$C$21, $C$9, 100%, $E$9)</f>
        <v>15.778700000000001</v>
      </c>
      <c r="P339" s="14">
        <f>CHOOSE(CONTROL!$C$42, 15.7569, 15.7569) * CHOOSE(CONTROL!$C$21, $C$9, 100%, $E$9)</f>
        <v>15.7569</v>
      </c>
      <c r="Q339" s="14">
        <f>CHOOSE(CONTROL!$C$42, 16.3734, 16.3734) * CHOOSE(CONTROL!$C$21, $C$9, 100%, $E$9)</f>
        <v>16.3734</v>
      </c>
      <c r="R339" s="14">
        <f>CHOOSE(CONTROL!$C$42, 17.0014, 17.0014) * CHOOSE(CONTROL!$C$21, $C$9, 100%, $E$9)</f>
        <v>17.0014</v>
      </c>
      <c r="S339" s="14">
        <f>CHOOSE(CONTROL!$C$42, 15.3618, 15.3618) * CHOOSE(CONTROL!$C$21, $C$9, 100%, $E$9)</f>
        <v>15.361800000000001</v>
      </c>
      <c r="T3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39" s="57">
        <f>(1000*CHOOSE(CONTROL!$C$42, 695, 695)*CHOOSE(CONTROL!$C$42, 0.5599, 0.5599)*CHOOSE(CONTROL!$C$42, 31, 31))/1000000</f>
        <v>12.063045499999998</v>
      </c>
      <c r="V339" s="57">
        <f>(1000*CHOOSE(CONTROL!$C$42, 500, 500)*CHOOSE(CONTROL!$C$42, 0.275, 0.275)*CHOOSE(CONTROL!$C$42, 31, 31))/1000000</f>
        <v>4.2625000000000002</v>
      </c>
      <c r="W339" s="57">
        <f>(1000*CHOOSE(CONTROL!$C$42, 0.1146, 0.1146)*CHOOSE(CONTROL!$C$42, 121.5, 121.5)*CHOOSE(CONTROL!$C$42, 31, 31))/1000000</f>
        <v>0.43164089999999994</v>
      </c>
      <c r="X339" s="57">
        <f>(31*0.1790888*100000/1000000)+(31*0.2374*100000/1000000)</f>
        <v>1.2911152800000001</v>
      </c>
      <c r="Y339" s="57"/>
      <c r="Z339" s="14"/>
      <c r="AA339" s="56"/>
      <c r="AB339" s="50">
        <f>(B339*122.58+C339*297.941+D339*89.177+E339*40.302+F339*40+G339*160+H339*0+I339*100+J339*300)/(122.58+297.941+89.177+40.302+0+40+160+100+300)</f>
        <v>16.025608985478261</v>
      </c>
      <c r="AC339" s="45">
        <f>(M339*'RAP TEMPLATE-GAS AVAILABILITY'!O338+N339*'RAP TEMPLATE-GAS AVAILABILITY'!P338+O339*'RAP TEMPLATE-GAS AVAILABILITY'!Q338+P339*'RAP TEMPLATE-GAS AVAILABILITY'!R338)/('RAP TEMPLATE-GAS AVAILABILITY'!O338+'RAP TEMPLATE-GAS AVAILABILITY'!P338+'RAP TEMPLATE-GAS AVAILABILITY'!Q338+'RAP TEMPLATE-GAS AVAILABILITY'!R338)</f>
        <v>15.741548920863309</v>
      </c>
    </row>
    <row r="340" spans="1:29" ht="15.75" x14ac:dyDescent="0.25">
      <c r="A340" s="33">
        <v>51256</v>
      </c>
      <c r="B340" s="14">
        <f>CHOOSE(CONTROL!$C$42, 15.9489, 15.9489) * CHOOSE(CONTROL!$C$21, $C$9, 100%, $E$9)</f>
        <v>15.9489</v>
      </c>
      <c r="C340" s="14">
        <f>CHOOSE(CONTROL!$C$42, 15.9534, 15.9534) * CHOOSE(CONTROL!$C$21, $C$9, 100%, $E$9)</f>
        <v>15.9534</v>
      </c>
      <c r="D340" s="14">
        <f>CHOOSE(CONTROL!$C$42, 16.1771, 16.1771) * CHOOSE(CONTROL!$C$21, $C$9, 100%, $E$9)</f>
        <v>16.177099999999999</v>
      </c>
      <c r="E340" s="14">
        <f>CHOOSE(CONTROL!$C$42, 16.2092, 16.2092) * CHOOSE(CONTROL!$C$21, $C$9, 100%, $E$9)</f>
        <v>16.209199999999999</v>
      </c>
      <c r="F340" s="14">
        <f>CHOOSE(CONTROL!$C$42, 15.9766, 15.9766)*CHOOSE(CONTROL!$C$21, $C$9, 100%, $E$9)</f>
        <v>15.976599999999999</v>
      </c>
      <c r="G340" s="14">
        <f>CHOOSE(CONTROL!$C$42, 15.9935, 15.9935)*CHOOSE(CONTROL!$C$21, $C$9, 100%, $E$9)</f>
        <v>15.993499999999999</v>
      </c>
      <c r="H340" s="14">
        <f>CHOOSE(CONTROL!$C$42, 16.199, 16.199) * CHOOSE(CONTROL!$C$21, $C$9, 100%, $E$9)</f>
        <v>16.199000000000002</v>
      </c>
      <c r="I340" s="14">
        <f>CHOOSE(CONTROL!$C$42, 16.0281, 16.0281)* CHOOSE(CONTROL!$C$21, $C$9, 100%, $E$9)</f>
        <v>16.028099999999998</v>
      </c>
      <c r="J340" s="14">
        <f>CHOOSE(CONTROL!$C$42, 15.9696, 15.9696)* CHOOSE(CONTROL!$C$21, $C$9, 100%, $E$9)</f>
        <v>15.9696</v>
      </c>
      <c r="K340" s="53">
        <f>CHOOSE(CONTROL!$C$42, 16.0243, 16.0243) * CHOOSE(CONTROL!$C$21, $C$9, 100%, $E$9)</f>
        <v>16.0243</v>
      </c>
      <c r="L340" s="14">
        <f>CHOOSE(CONTROL!$C$42, 16.786, 16.786) * CHOOSE(CONTROL!$C$21, $C$9, 100%, $E$9)</f>
        <v>16.786000000000001</v>
      </c>
      <c r="M340" s="14">
        <f>CHOOSE(CONTROL!$C$42, 15.6501, 15.6501) * CHOOSE(CONTROL!$C$21, $C$9, 100%, $E$9)</f>
        <v>15.6501</v>
      </c>
      <c r="N340" s="14">
        <f>CHOOSE(CONTROL!$C$42, 15.6666, 15.6666) * CHOOSE(CONTROL!$C$21, $C$9, 100%, $E$9)</f>
        <v>15.666600000000001</v>
      </c>
      <c r="O340" s="14">
        <f>CHOOSE(CONTROL!$C$42, 15.8748, 15.8748) * CHOOSE(CONTROL!$C$21, $C$9, 100%, $E$9)</f>
        <v>15.8748</v>
      </c>
      <c r="P340" s="14">
        <f>CHOOSE(CONTROL!$C$42, 15.7065, 15.7065) * CHOOSE(CONTROL!$C$21, $C$9, 100%, $E$9)</f>
        <v>15.7065</v>
      </c>
      <c r="Q340" s="14">
        <f>CHOOSE(CONTROL!$C$42, 16.4695, 16.4695) * CHOOSE(CONTROL!$C$21, $C$9, 100%, $E$9)</f>
        <v>16.4695</v>
      </c>
      <c r="R340" s="14">
        <f>CHOOSE(CONTROL!$C$42, 17.0977, 17.0977) * CHOOSE(CONTROL!$C$21, $C$9, 100%, $E$9)</f>
        <v>17.0977</v>
      </c>
      <c r="S340" s="14">
        <f>CHOOSE(CONTROL!$C$42, 15.316, 15.316) * CHOOSE(CONTROL!$C$21, $C$9, 100%, $E$9)</f>
        <v>15.316000000000001</v>
      </c>
      <c r="T3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40" s="57">
        <f>(1000*CHOOSE(CONTROL!$C$42, 695, 695)*CHOOSE(CONTROL!$C$42, 0.5599, 0.5599)*CHOOSE(CONTROL!$C$42, 30, 30))/1000000</f>
        <v>11.673914999999997</v>
      </c>
      <c r="V340" s="57">
        <f>(1000*CHOOSE(CONTROL!$C$42, 500, 500)*CHOOSE(CONTROL!$C$42, 0.275, 0.275)*CHOOSE(CONTROL!$C$42, 30, 30))/1000000</f>
        <v>4.125</v>
      </c>
      <c r="W340" s="57">
        <f>(1000*CHOOSE(CONTROL!$C$42, 0.1146, 0.1146)*CHOOSE(CONTROL!$C$42, 121.5, 121.5)*CHOOSE(CONTROL!$C$42, 30, 30))/1000000</f>
        <v>0.417717</v>
      </c>
      <c r="X340" s="57">
        <f>(30*0.1790888*245000/1000000)+(30*0.2374*100000/1000000)</f>
        <v>2.0285026799999999</v>
      </c>
      <c r="Y340" s="57"/>
      <c r="Z340" s="14"/>
      <c r="AA340" s="56"/>
      <c r="AB340" s="50">
        <f>(B340*141.293+C340*267.993+D340*115.016+E340*89.698+F340*40+G340*185+H340*0+I340*100+J340*300)/(141.293+267.993+115.016+89.698+0+40+185+100+300)</f>
        <v>16.008859652219527</v>
      </c>
      <c r="AC340" s="45">
        <f>(M340*'RAP TEMPLATE-GAS AVAILABILITY'!O339+N340*'RAP TEMPLATE-GAS AVAILABILITY'!P339+O340*'RAP TEMPLATE-GAS AVAILABILITY'!Q339+P340*'RAP TEMPLATE-GAS AVAILABILITY'!R339)/('RAP TEMPLATE-GAS AVAILABILITY'!O339+'RAP TEMPLATE-GAS AVAILABILITY'!P339+'RAP TEMPLATE-GAS AVAILABILITY'!Q339+'RAP TEMPLATE-GAS AVAILABILITY'!R339)</f>
        <v>15.725058992805755</v>
      </c>
    </row>
    <row r="341" spans="1:29" ht="15.75" x14ac:dyDescent="0.25">
      <c r="A341" s="33">
        <v>51287</v>
      </c>
      <c r="B341" s="14">
        <f>CHOOSE(CONTROL!$C$42, 16.091, 16.091) * CHOOSE(CONTROL!$C$21, $C$9, 100%, $E$9)</f>
        <v>16.091000000000001</v>
      </c>
      <c r="C341" s="14">
        <f>CHOOSE(CONTROL!$C$42, 16.099, 16.099) * CHOOSE(CONTROL!$C$21, $C$9, 100%, $E$9)</f>
        <v>16.099</v>
      </c>
      <c r="D341" s="14">
        <f>CHOOSE(CONTROL!$C$42, 16.3196, 16.3196) * CHOOSE(CONTROL!$C$21, $C$9, 100%, $E$9)</f>
        <v>16.319600000000001</v>
      </c>
      <c r="E341" s="14">
        <f>CHOOSE(CONTROL!$C$42, 16.3511, 16.3511) * CHOOSE(CONTROL!$C$21, $C$9, 100%, $E$9)</f>
        <v>16.351099999999999</v>
      </c>
      <c r="F341" s="14">
        <f>CHOOSE(CONTROL!$C$42, 16.1172, 16.1172)*CHOOSE(CONTROL!$C$21, $C$9, 100%, $E$9)</f>
        <v>16.1172</v>
      </c>
      <c r="G341" s="14">
        <f>CHOOSE(CONTROL!$C$42, 16.1344, 16.1344)*CHOOSE(CONTROL!$C$21, $C$9, 100%, $E$9)</f>
        <v>16.134399999999999</v>
      </c>
      <c r="H341" s="14">
        <f>CHOOSE(CONTROL!$C$42, 16.3397, 16.3397) * CHOOSE(CONTROL!$C$21, $C$9, 100%, $E$9)</f>
        <v>16.339700000000001</v>
      </c>
      <c r="I341" s="14">
        <f>CHOOSE(CONTROL!$C$42, 16.1693, 16.1693)* CHOOSE(CONTROL!$C$21, $C$9, 100%, $E$9)</f>
        <v>16.1693</v>
      </c>
      <c r="J341" s="14">
        <f>CHOOSE(CONTROL!$C$42, 16.1102, 16.1102)* CHOOSE(CONTROL!$C$21, $C$9, 100%, $E$9)</f>
        <v>16.110199999999999</v>
      </c>
      <c r="K341" s="53">
        <f>CHOOSE(CONTROL!$C$42, 16.1654, 16.1654) * CHOOSE(CONTROL!$C$21, $C$9, 100%, $E$9)</f>
        <v>16.165400000000002</v>
      </c>
      <c r="L341" s="14">
        <f>CHOOSE(CONTROL!$C$42, 16.9267, 16.9267) * CHOOSE(CONTROL!$C$21, $C$9, 100%, $E$9)</f>
        <v>16.9267</v>
      </c>
      <c r="M341" s="14">
        <f>CHOOSE(CONTROL!$C$42, 15.7878, 15.7878) * CHOOSE(CONTROL!$C$21, $C$9, 100%, $E$9)</f>
        <v>15.787800000000001</v>
      </c>
      <c r="N341" s="14">
        <f>CHOOSE(CONTROL!$C$42, 15.8046, 15.8046) * CHOOSE(CONTROL!$C$21, $C$9, 100%, $E$9)</f>
        <v>15.804600000000001</v>
      </c>
      <c r="O341" s="14">
        <f>CHOOSE(CONTROL!$C$42, 16.0126, 16.0126) * CHOOSE(CONTROL!$C$21, $C$9, 100%, $E$9)</f>
        <v>16.012599999999999</v>
      </c>
      <c r="P341" s="14">
        <f>CHOOSE(CONTROL!$C$42, 15.8447, 15.8447) * CHOOSE(CONTROL!$C$21, $C$9, 100%, $E$9)</f>
        <v>15.8447</v>
      </c>
      <c r="Q341" s="14">
        <f>CHOOSE(CONTROL!$C$42, 16.6073, 16.6073) * CHOOSE(CONTROL!$C$21, $C$9, 100%, $E$9)</f>
        <v>16.607299999999999</v>
      </c>
      <c r="R341" s="14">
        <f>CHOOSE(CONTROL!$C$42, 17.2358, 17.2358) * CHOOSE(CONTROL!$C$21, $C$9, 100%, $E$9)</f>
        <v>17.235800000000001</v>
      </c>
      <c r="S341" s="14">
        <f>CHOOSE(CONTROL!$C$42, 15.4512, 15.4512) * CHOOSE(CONTROL!$C$21, $C$9, 100%, $E$9)</f>
        <v>15.4512</v>
      </c>
      <c r="T34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41" s="57">
        <f>(1000*CHOOSE(CONTROL!$C$42, 695, 695)*CHOOSE(CONTROL!$C$42, 0.5599, 0.5599)*CHOOSE(CONTROL!$C$42, 31, 31))/1000000</f>
        <v>12.063045499999998</v>
      </c>
      <c r="V341" s="57">
        <f>(1000*CHOOSE(CONTROL!$C$42, 500, 500)*CHOOSE(CONTROL!$C$42, 0.275, 0.275)*CHOOSE(CONTROL!$C$42, 31, 31))/1000000</f>
        <v>4.2625000000000002</v>
      </c>
      <c r="W341" s="57">
        <f>(1000*CHOOSE(CONTROL!$C$42, 0.1146, 0.1146)*CHOOSE(CONTROL!$C$42, 121.5, 121.5)*CHOOSE(CONTROL!$C$42, 31, 31))/1000000</f>
        <v>0.43164089999999994</v>
      </c>
      <c r="X341" s="57">
        <f>(31*0.1790888*245000/1000000)+(31*0.2374*100000/1000000)</f>
        <v>2.0961194359999999</v>
      </c>
      <c r="Y341" s="57"/>
      <c r="Z341" s="14"/>
      <c r="AA341" s="56"/>
      <c r="AB341" s="50">
        <f>(B341*194.205+C341*267.466+D341*133.845+E341*53.484+F341*40+G341*185+H341*0+I341*100+J341*300)/(194.205+267.466+133.845+53.484+0+40+185+100+300)</f>
        <v>16.145407286813185</v>
      </c>
      <c r="AC341" s="45">
        <f>(M341*'RAP TEMPLATE-GAS AVAILABILITY'!O340+N341*'RAP TEMPLATE-GAS AVAILABILITY'!P340+O341*'RAP TEMPLATE-GAS AVAILABILITY'!Q340+P341*'RAP TEMPLATE-GAS AVAILABILITY'!R340)/('RAP TEMPLATE-GAS AVAILABILITY'!O340+'RAP TEMPLATE-GAS AVAILABILITY'!P340+'RAP TEMPLATE-GAS AVAILABILITY'!Q340+'RAP TEMPLATE-GAS AVAILABILITY'!R340)</f>
        <v>15.862928057553955</v>
      </c>
    </row>
    <row r="342" spans="1:29" ht="15.75" x14ac:dyDescent="0.25">
      <c r="A342" s="33">
        <v>51317</v>
      </c>
      <c r="B342" s="14">
        <f>CHOOSE(CONTROL!$C$42, 16.5471, 16.5471) * CHOOSE(CONTROL!$C$21, $C$9, 100%, $E$9)</f>
        <v>16.5471</v>
      </c>
      <c r="C342" s="14">
        <f>CHOOSE(CONTROL!$C$42, 16.5551, 16.5551) * CHOOSE(CONTROL!$C$21, $C$9, 100%, $E$9)</f>
        <v>16.555099999999999</v>
      </c>
      <c r="D342" s="14">
        <f>CHOOSE(CONTROL!$C$42, 16.7757, 16.7757) * CHOOSE(CONTROL!$C$21, $C$9, 100%, $E$9)</f>
        <v>16.775700000000001</v>
      </c>
      <c r="E342" s="14">
        <f>CHOOSE(CONTROL!$C$42, 16.8072, 16.8072) * CHOOSE(CONTROL!$C$21, $C$9, 100%, $E$9)</f>
        <v>16.807200000000002</v>
      </c>
      <c r="F342" s="14">
        <f>CHOOSE(CONTROL!$C$42, 16.5737, 16.5737)*CHOOSE(CONTROL!$C$21, $C$9, 100%, $E$9)</f>
        <v>16.573699999999999</v>
      </c>
      <c r="G342" s="14">
        <f>CHOOSE(CONTROL!$C$42, 16.5909, 16.5909)*CHOOSE(CONTROL!$C$21, $C$9, 100%, $E$9)</f>
        <v>16.590900000000001</v>
      </c>
      <c r="H342" s="14">
        <f>CHOOSE(CONTROL!$C$42, 16.7958, 16.7958) * CHOOSE(CONTROL!$C$21, $C$9, 100%, $E$9)</f>
        <v>16.7958</v>
      </c>
      <c r="I342" s="14">
        <f>CHOOSE(CONTROL!$C$42, 16.6268, 16.6268)* CHOOSE(CONTROL!$C$21, $C$9, 100%, $E$9)</f>
        <v>16.626799999999999</v>
      </c>
      <c r="J342" s="14">
        <f>CHOOSE(CONTROL!$C$42, 16.5667, 16.5667)* CHOOSE(CONTROL!$C$21, $C$9, 100%, $E$9)</f>
        <v>16.566700000000001</v>
      </c>
      <c r="K342" s="53">
        <f>CHOOSE(CONTROL!$C$42, 16.6229, 16.6229) * CHOOSE(CONTROL!$C$21, $C$9, 100%, $E$9)</f>
        <v>16.622900000000001</v>
      </c>
      <c r="L342" s="14">
        <f>CHOOSE(CONTROL!$C$42, 17.3828, 17.3828) * CHOOSE(CONTROL!$C$21, $C$9, 100%, $E$9)</f>
        <v>17.3828</v>
      </c>
      <c r="M342" s="14">
        <f>CHOOSE(CONTROL!$C$42, 16.2349, 16.2349) * CHOOSE(CONTROL!$C$21, $C$9, 100%, $E$9)</f>
        <v>16.2349</v>
      </c>
      <c r="N342" s="14">
        <f>CHOOSE(CONTROL!$C$42, 16.2518, 16.2518) * CHOOSE(CONTROL!$C$21, $C$9, 100%, $E$9)</f>
        <v>16.251799999999999</v>
      </c>
      <c r="O342" s="14">
        <f>CHOOSE(CONTROL!$C$42, 16.4593, 16.4593) * CHOOSE(CONTROL!$C$21, $C$9, 100%, $E$9)</f>
        <v>16.459299999999999</v>
      </c>
      <c r="P342" s="14">
        <f>CHOOSE(CONTROL!$C$42, 16.2928, 16.2928) * CHOOSE(CONTROL!$C$21, $C$9, 100%, $E$9)</f>
        <v>16.2928</v>
      </c>
      <c r="Q342" s="14">
        <f>CHOOSE(CONTROL!$C$42, 17.054, 17.054) * CHOOSE(CONTROL!$C$21, $C$9, 100%, $E$9)</f>
        <v>17.053999999999998</v>
      </c>
      <c r="R342" s="14">
        <f>CHOOSE(CONTROL!$C$42, 17.6837, 17.6837) * CHOOSE(CONTROL!$C$21, $C$9, 100%, $E$9)</f>
        <v>17.683700000000002</v>
      </c>
      <c r="S342" s="14">
        <f>CHOOSE(CONTROL!$C$42, 15.8895, 15.8895) * CHOOSE(CONTROL!$C$21, $C$9, 100%, $E$9)</f>
        <v>15.8895</v>
      </c>
      <c r="T34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42" s="57">
        <f>(1000*CHOOSE(CONTROL!$C$42, 695, 695)*CHOOSE(CONTROL!$C$42, 0.5599, 0.5599)*CHOOSE(CONTROL!$C$42, 30, 30))/1000000</f>
        <v>11.673914999999997</v>
      </c>
      <c r="V342" s="57">
        <f>(1000*CHOOSE(CONTROL!$C$42, 500, 500)*CHOOSE(CONTROL!$C$42, 0.275, 0.275)*CHOOSE(CONTROL!$C$42, 30, 30))/1000000</f>
        <v>4.125</v>
      </c>
      <c r="W342" s="57">
        <f>(1000*CHOOSE(CONTROL!$C$42, 0.1146, 0.1146)*CHOOSE(CONTROL!$C$42, 121.5, 121.5)*CHOOSE(CONTROL!$C$42, 30, 30))/1000000</f>
        <v>0.417717</v>
      </c>
      <c r="X342" s="57">
        <f>(30*0.1790888*245000/1000000)+(30*0.2374*100000/1000000)</f>
        <v>2.0285026799999999</v>
      </c>
      <c r="Y342" s="57"/>
      <c r="Z342" s="14"/>
      <c r="AA342" s="56"/>
      <c r="AB342" s="50">
        <f>(B342*194.205+C342*267.466+D342*133.845+E342*53.484+F342*40+G342*185+H342*0+I342*100+J342*300)/(194.205+267.466+133.845+53.484+0+40+185+100+300)</f>
        <v>16.601782012087913</v>
      </c>
      <c r="AC342" s="45">
        <f>(M342*'RAP TEMPLATE-GAS AVAILABILITY'!O341+N342*'RAP TEMPLATE-GAS AVAILABILITY'!P341+O342*'RAP TEMPLATE-GAS AVAILABILITY'!Q341+P342*'RAP TEMPLATE-GAS AVAILABILITY'!R341)/('RAP TEMPLATE-GAS AVAILABILITY'!O341+'RAP TEMPLATE-GAS AVAILABILITY'!P341+'RAP TEMPLATE-GAS AVAILABILITY'!Q341+'RAP TEMPLATE-GAS AVAILABILITY'!R341)</f>
        <v>16.310082733812948</v>
      </c>
    </row>
    <row r="343" spans="1:29" ht="15.75" x14ac:dyDescent="0.25">
      <c r="A343" s="33">
        <v>51348</v>
      </c>
      <c r="B343" s="14">
        <f>CHOOSE(CONTROL!$C$42, 16.2299, 16.2299) * CHOOSE(CONTROL!$C$21, $C$9, 100%, $E$9)</f>
        <v>16.229900000000001</v>
      </c>
      <c r="C343" s="14">
        <f>CHOOSE(CONTROL!$C$42, 16.2379, 16.2379) * CHOOSE(CONTROL!$C$21, $C$9, 100%, $E$9)</f>
        <v>16.2379</v>
      </c>
      <c r="D343" s="14">
        <f>CHOOSE(CONTROL!$C$42, 16.4585, 16.4585) * CHOOSE(CONTROL!$C$21, $C$9, 100%, $E$9)</f>
        <v>16.458500000000001</v>
      </c>
      <c r="E343" s="14">
        <f>CHOOSE(CONTROL!$C$42, 16.4899, 16.4899) * CHOOSE(CONTROL!$C$21, $C$9, 100%, $E$9)</f>
        <v>16.489899999999999</v>
      </c>
      <c r="F343" s="14">
        <f>CHOOSE(CONTROL!$C$42, 16.2569, 16.2569)*CHOOSE(CONTROL!$C$21, $C$9, 100%, $E$9)</f>
        <v>16.256900000000002</v>
      </c>
      <c r="G343" s="14">
        <f>CHOOSE(CONTROL!$C$42, 16.2743, 16.2743)*CHOOSE(CONTROL!$C$21, $C$9, 100%, $E$9)</f>
        <v>16.2743</v>
      </c>
      <c r="H343" s="14">
        <f>CHOOSE(CONTROL!$C$42, 16.4786, 16.4786) * CHOOSE(CONTROL!$C$21, $C$9, 100%, $E$9)</f>
        <v>16.4786</v>
      </c>
      <c r="I343" s="14">
        <f>CHOOSE(CONTROL!$C$42, 16.3086, 16.3086)* CHOOSE(CONTROL!$C$21, $C$9, 100%, $E$9)</f>
        <v>16.308599999999998</v>
      </c>
      <c r="J343" s="14">
        <f>CHOOSE(CONTROL!$C$42, 16.2499, 16.2499)* CHOOSE(CONTROL!$C$21, $C$9, 100%, $E$9)</f>
        <v>16.2499</v>
      </c>
      <c r="K343" s="53">
        <f>CHOOSE(CONTROL!$C$42, 16.3047, 16.3047) * CHOOSE(CONTROL!$C$21, $C$9, 100%, $E$9)</f>
        <v>16.3047</v>
      </c>
      <c r="L343" s="14">
        <f>CHOOSE(CONTROL!$C$42, 17.0656, 17.0656) * CHOOSE(CONTROL!$C$21, $C$9, 100%, $E$9)</f>
        <v>17.0656</v>
      </c>
      <c r="M343" s="14">
        <f>CHOOSE(CONTROL!$C$42, 15.9247, 15.9247) * CHOOSE(CONTROL!$C$21, $C$9, 100%, $E$9)</f>
        <v>15.9247</v>
      </c>
      <c r="N343" s="14">
        <f>CHOOSE(CONTROL!$C$42, 15.9416, 15.9416) * CHOOSE(CONTROL!$C$21, $C$9, 100%, $E$9)</f>
        <v>15.941599999999999</v>
      </c>
      <c r="O343" s="14">
        <f>CHOOSE(CONTROL!$C$42, 16.1486, 16.1486) * CHOOSE(CONTROL!$C$21, $C$9, 100%, $E$9)</f>
        <v>16.148599999999998</v>
      </c>
      <c r="P343" s="14">
        <f>CHOOSE(CONTROL!$C$42, 15.9812, 15.9812) * CHOOSE(CONTROL!$C$21, $C$9, 100%, $E$9)</f>
        <v>15.981199999999999</v>
      </c>
      <c r="Q343" s="14">
        <f>CHOOSE(CONTROL!$C$42, 16.7433, 16.7433) * CHOOSE(CONTROL!$C$21, $C$9, 100%, $E$9)</f>
        <v>16.743300000000001</v>
      </c>
      <c r="R343" s="14">
        <f>CHOOSE(CONTROL!$C$42, 17.3722, 17.3722) * CHOOSE(CONTROL!$C$21, $C$9, 100%, $E$9)</f>
        <v>17.372199999999999</v>
      </c>
      <c r="S343" s="14">
        <f>CHOOSE(CONTROL!$C$42, 15.5846, 15.5846) * CHOOSE(CONTROL!$C$21, $C$9, 100%, $E$9)</f>
        <v>15.5846</v>
      </c>
      <c r="T34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43" s="57">
        <f>(1000*CHOOSE(CONTROL!$C$42, 695, 695)*CHOOSE(CONTROL!$C$42, 0.5599, 0.5599)*CHOOSE(CONTROL!$C$42, 31, 31))/1000000</f>
        <v>12.063045499999998</v>
      </c>
      <c r="V343" s="57">
        <f>(1000*CHOOSE(CONTROL!$C$42, 500, 500)*CHOOSE(CONTROL!$C$42, 0.275, 0.275)*CHOOSE(CONTROL!$C$42, 31, 31))/1000000</f>
        <v>4.2625000000000002</v>
      </c>
      <c r="W343" s="57">
        <f>(1000*CHOOSE(CONTROL!$C$42, 0.1146, 0.1146)*CHOOSE(CONTROL!$C$42, 121.5, 121.5)*CHOOSE(CONTROL!$C$42, 31, 31))/1000000</f>
        <v>0.43164089999999994</v>
      </c>
      <c r="X343" s="57">
        <f>(31*0.1790888*245000/1000000)+(31*0.2374*100000/1000000)</f>
        <v>2.0961194359999999</v>
      </c>
      <c r="Y343" s="57"/>
      <c r="Z343" s="14"/>
      <c r="AA343" s="56"/>
      <c r="AB343" s="50">
        <f>(B343*194.205+C343*267.466+D343*133.845+E343*53.484+F343*40+G343*185+H343*0+I343*100+J343*300)/(194.205+267.466+133.845+53.484+0+40+185+100+300)</f>
        <v>16.284693198587128</v>
      </c>
      <c r="AC343" s="45">
        <f>(M343*'RAP TEMPLATE-GAS AVAILABILITY'!O342+N343*'RAP TEMPLATE-GAS AVAILABILITY'!P342+O343*'RAP TEMPLATE-GAS AVAILABILITY'!Q342+P343*'RAP TEMPLATE-GAS AVAILABILITY'!R342)/('RAP TEMPLATE-GAS AVAILABILITY'!O342+'RAP TEMPLATE-GAS AVAILABILITY'!P342+'RAP TEMPLATE-GAS AVAILABILITY'!Q342+'RAP TEMPLATE-GAS AVAILABILITY'!R342)</f>
        <v>15.999541007194246</v>
      </c>
    </row>
    <row r="344" spans="1:29" ht="15.75" x14ac:dyDescent="0.25">
      <c r="A344" s="33">
        <v>51379</v>
      </c>
      <c r="B344" s="14">
        <f>CHOOSE(CONTROL!$C$42, 15.4288, 15.4288) * CHOOSE(CONTROL!$C$21, $C$9, 100%, $E$9)</f>
        <v>15.428800000000001</v>
      </c>
      <c r="C344" s="14">
        <f>CHOOSE(CONTROL!$C$42, 15.4368, 15.4368) * CHOOSE(CONTROL!$C$21, $C$9, 100%, $E$9)</f>
        <v>15.4368</v>
      </c>
      <c r="D344" s="14">
        <f>CHOOSE(CONTROL!$C$42, 15.6574, 15.6574) * CHOOSE(CONTROL!$C$21, $C$9, 100%, $E$9)</f>
        <v>15.657400000000001</v>
      </c>
      <c r="E344" s="14">
        <f>CHOOSE(CONTROL!$C$42, 15.6888, 15.6888) * CHOOSE(CONTROL!$C$21, $C$9, 100%, $E$9)</f>
        <v>15.688800000000001</v>
      </c>
      <c r="F344" s="14">
        <f>CHOOSE(CONTROL!$C$42, 15.4561, 15.4561)*CHOOSE(CONTROL!$C$21, $C$9, 100%, $E$9)</f>
        <v>15.456099999999999</v>
      </c>
      <c r="G344" s="14">
        <f>CHOOSE(CONTROL!$C$42, 15.4735, 15.4735)*CHOOSE(CONTROL!$C$21, $C$9, 100%, $E$9)</f>
        <v>15.4735</v>
      </c>
      <c r="H344" s="14">
        <f>CHOOSE(CONTROL!$C$42, 15.6775, 15.6775) * CHOOSE(CONTROL!$C$21, $C$9, 100%, $E$9)</f>
        <v>15.6775</v>
      </c>
      <c r="I344" s="14">
        <f>CHOOSE(CONTROL!$C$42, 15.505, 15.505)* CHOOSE(CONTROL!$C$21, $C$9, 100%, $E$9)</f>
        <v>15.505000000000001</v>
      </c>
      <c r="J344" s="14">
        <f>CHOOSE(CONTROL!$C$42, 15.4491, 15.4491)* CHOOSE(CONTROL!$C$21, $C$9, 100%, $E$9)</f>
        <v>15.4491</v>
      </c>
      <c r="K344" s="53">
        <f>CHOOSE(CONTROL!$C$42, 15.5011, 15.5011) * CHOOSE(CONTROL!$C$21, $C$9, 100%, $E$9)</f>
        <v>15.501099999999999</v>
      </c>
      <c r="L344" s="14">
        <f>CHOOSE(CONTROL!$C$42, 16.2645, 16.2645) * CHOOSE(CONTROL!$C$21, $C$9, 100%, $E$9)</f>
        <v>16.264500000000002</v>
      </c>
      <c r="M344" s="14">
        <f>CHOOSE(CONTROL!$C$42, 15.1403, 15.1403) * CHOOSE(CONTROL!$C$21, $C$9, 100%, $E$9)</f>
        <v>15.1403</v>
      </c>
      <c r="N344" s="14">
        <f>CHOOSE(CONTROL!$C$42, 15.1573, 15.1573) * CHOOSE(CONTROL!$C$21, $C$9, 100%, $E$9)</f>
        <v>15.157299999999999</v>
      </c>
      <c r="O344" s="14">
        <f>CHOOSE(CONTROL!$C$42, 15.364, 15.364) * CHOOSE(CONTROL!$C$21, $C$9, 100%, $E$9)</f>
        <v>15.364000000000001</v>
      </c>
      <c r="P344" s="14">
        <f>CHOOSE(CONTROL!$C$42, 15.1941, 15.1941) * CHOOSE(CONTROL!$C$21, $C$9, 100%, $E$9)</f>
        <v>15.194100000000001</v>
      </c>
      <c r="Q344" s="14">
        <f>CHOOSE(CONTROL!$C$42, 15.9587, 15.9587) * CHOOSE(CONTROL!$C$21, $C$9, 100%, $E$9)</f>
        <v>15.9587</v>
      </c>
      <c r="R344" s="14">
        <f>CHOOSE(CONTROL!$C$42, 16.5856, 16.5856) * CHOOSE(CONTROL!$C$21, $C$9, 100%, $E$9)</f>
        <v>16.585599999999999</v>
      </c>
      <c r="S344" s="14">
        <f>CHOOSE(CONTROL!$C$42, 14.8149, 14.8149) * CHOOSE(CONTROL!$C$21, $C$9, 100%, $E$9)</f>
        <v>14.8149</v>
      </c>
      <c r="T34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44" s="57">
        <f>(1000*CHOOSE(CONTROL!$C$42, 695, 695)*CHOOSE(CONTROL!$C$42, 0.5599, 0.5599)*CHOOSE(CONTROL!$C$42, 31, 31))/1000000</f>
        <v>12.063045499999998</v>
      </c>
      <c r="V344" s="57">
        <f>(1000*CHOOSE(CONTROL!$C$42, 500, 500)*CHOOSE(CONTROL!$C$42, 0.275, 0.275)*CHOOSE(CONTROL!$C$42, 31, 31))/1000000</f>
        <v>4.2625000000000002</v>
      </c>
      <c r="W344" s="57">
        <f>(1000*CHOOSE(CONTROL!$C$42, 0.1146, 0.1146)*CHOOSE(CONTROL!$C$42, 121.5, 121.5)*CHOOSE(CONTROL!$C$42, 31, 31))/1000000</f>
        <v>0.43164089999999994</v>
      </c>
      <c r="X344" s="57">
        <f>(31*0.1790888*245000/1000000)+(31*0.2374*100000/1000000)</f>
        <v>2.0961194359999999</v>
      </c>
      <c r="Y344" s="57"/>
      <c r="Z344" s="14"/>
      <c r="AA344" s="56"/>
      <c r="AB344" s="50">
        <f>(B344*194.205+C344*267.466+D344*133.845+E344*53.484+F344*40+G344*185+H344*0+I344*100+J344*300)/(194.205+267.466+133.845+53.484+0+40+185+100+300)</f>
        <v>15.483520592621664</v>
      </c>
      <c r="AC344" s="45">
        <f>(M344*'RAP TEMPLATE-GAS AVAILABILITY'!O343+N344*'RAP TEMPLATE-GAS AVAILABILITY'!P343+O344*'RAP TEMPLATE-GAS AVAILABILITY'!Q343+P344*'RAP TEMPLATE-GAS AVAILABILITY'!R343)/('RAP TEMPLATE-GAS AVAILABILITY'!O343+'RAP TEMPLATE-GAS AVAILABILITY'!P343+'RAP TEMPLATE-GAS AVAILABILITY'!Q343+'RAP TEMPLATE-GAS AVAILABILITY'!R343)</f>
        <v>15.214719424460432</v>
      </c>
    </row>
    <row r="345" spans="1:29" ht="15.75" x14ac:dyDescent="0.25">
      <c r="A345" s="33">
        <v>51409</v>
      </c>
      <c r="B345" s="14">
        <f>CHOOSE(CONTROL!$C$42, 14.4498, 14.4498) * CHOOSE(CONTROL!$C$21, $C$9, 100%, $E$9)</f>
        <v>14.4498</v>
      </c>
      <c r="C345" s="14">
        <f>CHOOSE(CONTROL!$C$42, 14.4578, 14.4578) * CHOOSE(CONTROL!$C$21, $C$9, 100%, $E$9)</f>
        <v>14.457800000000001</v>
      </c>
      <c r="D345" s="14">
        <f>CHOOSE(CONTROL!$C$42, 14.6784, 14.6784) * CHOOSE(CONTROL!$C$21, $C$9, 100%, $E$9)</f>
        <v>14.6784</v>
      </c>
      <c r="E345" s="14">
        <f>CHOOSE(CONTROL!$C$42, 14.7098, 14.7098) * CHOOSE(CONTROL!$C$21, $C$9, 100%, $E$9)</f>
        <v>14.7098</v>
      </c>
      <c r="F345" s="14">
        <f>CHOOSE(CONTROL!$C$42, 14.4771, 14.4771)*CHOOSE(CONTROL!$C$21, $C$9, 100%, $E$9)</f>
        <v>14.4771</v>
      </c>
      <c r="G345" s="14">
        <f>CHOOSE(CONTROL!$C$42, 14.4945, 14.4945)*CHOOSE(CONTROL!$C$21, $C$9, 100%, $E$9)</f>
        <v>14.4945</v>
      </c>
      <c r="H345" s="14">
        <f>CHOOSE(CONTROL!$C$42, 14.6985, 14.6985) * CHOOSE(CONTROL!$C$21, $C$9, 100%, $E$9)</f>
        <v>14.698499999999999</v>
      </c>
      <c r="I345" s="14">
        <f>CHOOSE(CONTROL!$C$42, 14.5229, 14.5229)* CHOOSE(CONTROL!$C$21, $C$9, 100%, $E$9)</f>
        <v>14.5229</v>
      </c>
      <c r="J345" s="14">
        <f>CHOOSE(CONTROL!$C$42, 14.4701, 14.4701)* CHOOSE(CONTROL!$C$21, $C$9, 100%, $E$9)</f>
        <v>14.4701</v>
      </c>
      <c r="K345" s="53">
        <f>CHOOSE(CONTROL!$C$42, 14.519, 14.519) * CHOOSE(CONTROL!$C$21, $C$9, 100%, $E$9)</f>
        <v>14.519</v>
      </c>
      <c r="L345" s="14">
        <f>CHOOSE(CONTROL!$C$42, 15.2855, 15.2855) * CHOOSE(CONTROL!$C$21, $C$9, 100%, $E$9)</f>
        <v>15.285500000000001</v>
      </c>
      <c r="M345" s="14">
        <f>CHOOSE(CONTROL!$C$42, 14.1813, 14.1813) * CHOOSE(CONTROL!$C$21, $C$9, 100%, $E$9)</f>
        <v>14.1813</v>
      </c>
      <c r="N345" s="14">
        <f>CHOOSE(CONTROL!$C$42, 14.1984, 14.1984) * CHOOSE(CONTROL!$C$21, $C$9, 100%, $E$9)</f>
        <v>14.198399999999999</v>
      </c>
      <c r="O345" s="14">
        <f>CHOOSE(CONTROL!$C$42, 14.405, 14.405) * CHOOSE(CONTROL!$C$21, $C$9, 100%, $E$9)</f>
        <v>14.404999999999999</v>
      </c>
      <c r="P345" s="14">
        <f>CHOOSE(CONTROL!$C$42, 14.2322, 14.2322) * CHOOSE(CONTROL!$C$21, $C$9, 100%, $E$9)</f>
        <v>14.232200000000001</v>
      </c>
      <c r="Q345" s="14">
        <f>CHOOSE(CONTROL!$C$42, 14.9997, 14.9997) * CHOOSE(CONTROL!$C$21, $C$9, 100%, $E$9)</f>
        <v>14.999700000000001</v>
      </c>
      <c r="R345" s="14">
        <f>CHOOSE(CONTROL!$C$42, 15.6242, 15.6242) * CHOOSE(CONTROL!$C$21, $C$9, 100%, $E$9)</f>
        <v>15.6242</v>
      </c>
      <c r="S345" s="14">
        <f>CHOOSE(CONTROL!$C$42, 13.8741, 13.8741) * CHOOSE(CONTROL!$C$21, $C$9, 100%, $E$9)</f>
        <v>13.8741</v>
      </c>
      <c r="T34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45" s="57">
        <f>(1000*CHOOSE(CONTROL!$C$42, 695, 695)*CHOOSE(CONTROL!$C$42, 0.5599, 0.5599)*CHOOSE(CONTROL!$C$42, 30, 30))/1000000</f>
        <v>11.673914999999997</v>
      </c>
      <c r="V345" s="57">
        <f>(1000*CHOOSE(CONTROL!$C$42, 500, 500)*CHOOSE(CONTROL!$C$42, 0.275, 0.275)*CHOOSE(CONTROL!$C$42, 30, 30))/1000000</f>
        <v>4.125</v>
      </c>
      <c r="W345" s="57">
        <f>(1000*CHOOSE(CONTROL!$C$42, 0.1146, 0.1146)*CHOOSE(CONTROL!$C$42, 121.5, 121.5)*CHOOSE(CONTROL!$C$42, 30, 30))/1000000</f>
        <v>0.417717</v>
      </c>
      <c r="X345" s="57">
        <f>(30*0.1790888*245000/1000000)+(30*0.2374*100000/1000000)</f>
        <v>2.0285026799999999</v>
      </c>
      <c r="Y345" s="57"/>
      <c r="Z345" s="14"/>
      <c r="AA345" s="56"/>
      <c r="AB345" s="50">
        <f>(B345*194.205+C345*267.466+D345*133.845+E345*53.484+F345*40+G345*185+H345*0+I345*100+J345*300)/(194.205+267.466+133.845+53.484+0+40+185+100+300)</f>
        <v>14.504277264521193</v>
      </c>
      <c r="AC345" s="45">
        <f>(M345*'RAP TEMPLATE-GAS AVAILABILITY'!O344+N345*'RAP TEMPLATE-GAS AVAILABILITY'!P344+O345*'RAP TEMPLATE-GAS AVAILABILITY'!Q344+P345*'RAP TEMPLATE-GAS AVAILABILITY'!R344)/('RAP TEMPLATE-GAS AVAILABILITY'!O344+'RAP TEMPLATE-GAS AVAILABILITY'!P344+'RAP TEMPLATE-GAS AVAILABILITY'!Q344+'RAP TEMPLATE-GAS AVAILABILITY'!R344)</f>
        <v>14.255325179856113</v>
      </c>
    </row>
    <row r="346" spans="1:29" ht="15.75" x14ac:dyDescent="0.25">
      <c r="A346" s="33">
        <v>51440</v>
      </c>
      <c r="B346" s="14">
        <f>CHOOSE(CONTROL!$C$42, 14.1549, 14.1549) * CHOOSE(CONTROL!$C$21, $C$9, 100%, $E$9)</f>
        <v>14.1549</v>
      </c>
      <c r="C346" s="14">
        <f>CHOOSE(CONTROL!$C$42, 14.1602, 14.1602) * CHOOSE(CONTROL!$C$21, $C$9, 100%, $E$9)</f>
        <v>14.1602</v>
      </c>
      <c r="D346" s="14">
        <f>CHOOSE(CONTROL!$C$42, 14.3857, 14.3857) * CHOOSE(CONTROL!$C$21, $C$9, 100%, $E$9)</f>
        <v>14.3857</v>
      </c>
      <c r="E346" s="14">
        <f>CHOOSE(CONTROL!$C$42, 14.4149, 14.4149) * CHOOSE(CONTROL!$C$21, $C$9, 100%, $E$9)</f>
        <v>14.414899999999999</v>
      </c>
      <c r="F346" s="14">
        <f>CHOOSE(CONTROL!$C$42, 14.1842, 14.1842)*CHOOSE(CONTROL!$C$21, $C$9, 100%, $E$9)</f>
        <v>14.184200000000001</v>
      </c>
      <c r="G346" s="14">
        <f>CHOOSE(CONTROL!$C$42, 14.2015, 14.2015)*CHOOSE(CONTROL!$C$21, $C$9, 100%, $E$9)</f>
        <v>14.201499999999999</v>
      </c>
      <c r="H346" s="14">
        <f>CHOOSE(CONTROL!$C$42, 14.4053, 14.4053) * CHOOSE(CONTROL!$C$21, $C$9, 100%, $E$9)</f>
        <v>14.4053</v>
      </c>
      <c r="I346" s="14">
        <f>CHOOSE(CONTROL!$C$42, 14.2288, 14.2288)* CHOOSE(CONTROL!$C$21, $C$9, 100%, $E$9)</f>
        <v>14.2288</v>
      </c>
      <c r="J346" s="14">
        <f>CHOOSE(CONTROL!$C$42, 14.1772, 14.1772)* CHOOSE(CONTROL!$C$21, $C$9, 100%, $E$9)</f>
        <v>14.177199999999999</v>
      </c>
      <c r="K346" s="53">
        <f>CHOOSE(CONTROL!$C$42, 14.2249, 14.2249) * CHOOSE(CONTROL!$C$21, $C$9, 100%, $E$9)</f>
        <v>14.2249</v>
      </c>
      <c r="L346" s="14">
        <f>CHOOSE(CONTROL!$C$42, 14.9923, 14.9923) * CHOOSE(CONTROL!$C$21, $C$9, 100%, $E$9)</f>
        <v>14.9923</v>
      </c>
      <c r="M346" s="14">
        <f>CHOOSE(CONTROL!$C$42, 13.8944, 13.8944) * CHOOSE(CONTROL!$C$21, $C$9, 100%, $E$9)</f>
        <v>13.894399999999999</v>
      </c>
      <c r="N346" s="14">
        <f>CHOOSE(CONTROL!$C$42, 13.9113, 13.9113) * CHOOSE(CONTROL!$C$21, $C$9, 100%, $E$9)</f>
        <v>13.911300000000001</v>
      </c>
      <c r="O346" s="14">
        <f>CHOOSE(CONTROL!$C$42, 14.1179, 14.1179) * CHOOSE(CONTROL!$C$21, $C$9, 100%, $E$9)</f>
        <v>14.117900000000001</v>
      </c>
      <c r="P346" s="14">
        <f>CHOOSE(CONTROL!$C$42, 13.9442, 13.9442) * CHOOSE(CONTROL!$C$21, $C$9, 100%, $E$9)</f>
        <v>13.9442</v>
      </c>
      <c r="Q346" s="14">
        <f>CHOOSE(CONTROL!$C$42, 14.7126, 14.7126) * CHOOSE(CONTROL!$C$21, $C$9, 100%, $E$9)</f>
        <v>14.7126</v>
      </c>
      <c r="R346" s="14">
        <f>CHOOSE(CONTROL!$C$42, 15.3363, 15.3363) * CHOOSE(CONTROL!$C$21, $C$9, 100%, $E$9)</f>
        <v>15.3363</v>
      </c>
      <c r="S346" s="14">
        <f>CHOOSE(CONTROL!$C$42, 13.5925, 13.5925) * CHOOSE(CONTROL!$C$21, $C$9, 100%, $E$9)</f>
        <v>13.592499999999999</v>
      </c>
      <c r="T3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6" s="57">
        <f>(1000*CHOOSE(CONTROL!$C$42, 695, 695)*CHOOSE(CONTROL!$C$42, 0.5599, 0.5599)*CHOOSE(CONTROL!$C$42, 31, 31))/1000000</f>
        <v>12.063045499999998</v>
      </c>
      <c r="V346" s="57">
        <f>(1000*CHOOSE(CONTROL!$C$42, 500, 500)*CHOOSE(CONTROL!$C$42, 0.275, 0.275)*CHOOSE(CONTROL!$C$42, 31, 31))/1000000</f>
        <v>4.2625000000000002</v>
      </c>
      <c r="W346" s="57">
        <f>(1000*CHOOSE(CONTROL!$C$42, 0.1146, 0.1146)*CHOOSE(CONTROL!$C$42, 121.5, 121.5)*CHOOSE(CONTROL!$C$42, 31, 31))/1000000</f>
        <v>0.43164089999999994</v>
      </c>
      <c r="X346" s="57">
        <f>(31*0.1790888*245000/1000000)+(31*0.2374*100000/1000000)</f>
        <v>2.0961194359999999</v>
      </c>
      <c r="Y346" s="57"/>
      <c r="Z346" s="14"/>
      <c r="AA346" s="56"/>
      <c r="AB346" s="50">
        <f>(B346*131.881+C346*277.167+D346*79.08+E346*125.872+F346*40+G346*185+H346*0+I346*100+J346*300)/(131.881+277.167+79.08+125.872+0+40+185+100+300)</f>
        <v>14.21649836085553</v>
      </c>
      <c r="AC346" s="45">
        <f>(M346*'RAP TEMPLATE-GAS AVAILABILITY'!O345+N346*'RAP TEMPLATE-GAS AVAILABILITY'!P345+O346*'RAP TEMPLATE-GAS AVAILABILITY'!Q345+P346*'RAP TEMPLATE-GAS AVAILABILITY'!R345)/('RAP TEMPLATE-GAS AVAILABILITY'!O345+'RAP TEMPLATE-GAS AVAILABILITY'!P345+'RAP TEMPLATE-GAS AVAILABILITY'!Q345+'RAP TEMPLATE-GAS AVAILABILITY'!R345)</f>
        <v>13.968164748201438</v>
      </c>
    </row>
    <row r="347" spans="1:29" ht="15.75" x14ac:dyDescent="0.25">
      <c r="A347" s="33">
        <v>51470</v>
      </c>
      <c r="B347" s="14">
        <f>CHOOSE(CONTROL!$C$42, 14.5271, 14.5271) * CHOOSE(CONTROL!$C$21, $C$9, 100%, $E$9)</f>
        <v>14.527100000000001</v>
      </c>
      <c r="C347" s="14">
        <f>CHOOSE(CONTROL!$C$42, 14.5321, 14.5321) * CHOOSE(CONTROL!$C$21, $C$9, 100%, $E$9)</f>
        <v>14.5321</v>
      </c>
      <c r="D347" s="14">
        <f>CHOOSE(CONTROL!$C$42, 14.6064, 14.6064) * CHOOSE(CONTROL!$C$21, $C$9, 100%, $E$9)</f>
        <v>14.606400000000001</v>
      </c>
      <c r="E347" s="14">
        <f>CHOOSE(CONTROL!$C$42, 14.6405, 14.6405) * CHOOSE(CONTROL!$C$21, $C$9, 100%, $E$9)</f>
        <v>14.640499999999999</v>
      </c>
      <c r="F347" s="14">
        <f>CHOOSE(CONTROL!$C$42, 14.5631, 14.5631)*CHOOSE(CONTROL!$C$21, $C$9, 100%, $E$9)</f>
        <v>14.5631</v>
      </c>
      <c r="G347" s="14">
        <f>CHOOSE(CONTROL!$C$42, 14.5807, 14.5807)*CHOOSE(CONTROL!$C$21, $C$9, 100%, $E$9)</f>
        <v>14.5807</v>
      </c>
      <c r="H347" s="14">
        <f>CHOOSE(CONTROL!$C$42, 14.6297, 14.6297) * CHOOSE(CONTROL!$C$21, $C$9, 100%, $E$9)</f>
        <v>14.6297</v>
      </c>
      <c r="I347" s="14">
        <f>CHOOSE(CONTROL!$C$42, 14.6, 14.6)* CHOOSE(CONTROL!$C$21, $C$9, 100%, $E$9)</f>
        <v>14.6</v>
      </c>
      <c r="J347" s="14">
        <f>CHOOSE(CONTROL!$C$42, 14.5561, 14.5561)* CHOOSE(CONTROL!$C$21, $C$9, 100%, $E$9)</f>
        <v>14.556100000000001</v>
      </c>
      <c r="K347" s="53">
        <f>CHOOSE(CONTROL!$C$42, 14.5961, 14.5961) * CHOOSE(CONTROL!$C$21, $C$9, 100%, $E$9)</f>
        <v>14.5961</v>
      </c>
      <c r="L347" s="14">
        <f>CHOOSE(CONTROL!$C$42, 15.2167, 15.2167) * CHOOSE(CONTROL!$C$21, $C$9, 100%, $E$9)</f>
        <v>15.216699999999999</v>
      </c>
      <c r="M347" s="14">
        <f>CHOOSE(CONTROL!$C$42, 14.2656, 14.2656) * CHOOSE(CONTROL!$C$21, $C$9, 100%, $E$9)</f>
        <v>14.265599999999999</v>
      </c>
      <c r="N347" s="14">
        <f>CHOOSE(CONTROL!$C$42, 14.2828, 14.2828) * CHOOSE(CONTROL!$C$21, $C$9, 100%, $E$9)</f>
        <v>14.2828</v>
      </c>
      <c r="O347" s="14">
        <f>CHOOSE(CONTROL!$C$42, 14.3376, 14.3376) * CHOOSE(CONTROL!$C$21, $C$9, 100%, $E$9)</f>
        <v>14.3376</v>
      </c>
      <c r="P347" s="14">
        <f>CHOOSE(CONTROL!$C$42, 14.3077, 14.3077) * CHOOSE(CONTROL!$C$21, $C$9, 100%, $E$9)</f>
        <v>14.307700000000001</v>
      </c>
      <c r="Q347" s="14">
        <f>CHOOSE(CONTROL!$C$42, 14.9323, 14.9323) * CHOOSE(CONTROL!$C$21, $C$9, 100%, $E$9)</f>
        <v>14.9323</v>
      </c>
      <c r="R347" s="14">
        <f>CHOOSE(CONTROL!$C$42, 15.5566, 15.5566) * CHOOSE(CONTROL!$C$21, $C$9, 100%, $E$9)</f>
        <v>15.5566</v>
      </c>
      <c r="S347" s="14">
        <f>CHOOSE(CONTROL!$C$42, 13.9505, 13.9505) * CHOOSE(CONTROL!$C$21, $C$9, 100%, $E$9)</f>
        <v>13.9505</v>
      </c>
      <c r="T3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47" s="57">
        <f>(1000*CHOOSE(CONTROL!$C$42, 695, 695)*CHOOSE(CONTROL!$C$42, 0.5599, 0.5599)*CHOOSE(CONTROL!$C$42, 30, 30))/1000000</f>
        <v>11.673914999999997</v>
      </c>
      <c r="V347" s="57">
        <f>(1000*CHOOSE(CONTROL!$C$42, 500, 500)*CHOOSE(CONTROL!$C$42, 0.275, 0.275)*CHOOSE(CONTROL!$C$42, 30, 30))/1000000</f>
        <v>4.125</v>
      </c>
      <c r="W347" s="57">
        <f>(1000*CHOOSE(CONTROL!$C$42, 0.1146, 0.1146)*CHOOSE(CONTROL!$C$42, 121.5, 121.5)*CHOOSE(CONTROL!$C$42, 30, 30))/1000000</f>
        <v>0.417717</v>
      </c>
      <c r="X347" s="57">
        <f>(30*0.1790888*100000/1000000)+(30*0.2374*100000/1000000)</f>
        <v>1.2494664</v>
      </c>
      <c r="Y347" s="57"/>
      <c r="Z347" s="14"/>
      <c r="AA347" s="56"/>
      <c r="AB347" s="50">
        <f>(B347*122.58+C347*297.941+D347*89.177+E347*40.302+F347*40+G347*160+H347*0+I347*100+J347*300)/(122.58+297.941+89.177+40.302+0+40+160+100+300)</f>
        <v>14.561132772086955</v>
      </c>
      <c r="AC347" s="45">
        <f>(M347*'RAP TEMPLATE-GAS AVAILABILITY'!O346+N347*'RAP TEMPLATE-GAS AVAILABILITY'!P346+O347*'RAP TEMPLATE-GAS AVAILABILITY'!Q346+P347*'RAP TEMPLATE-GAS AVAILABILITY'!R346)/('RAP TEMPLATE-GAS AVAILABILITY'!O346+'RAP TEMPLATE-GAS AVAILABILITY'!P346+'RAP TEMPLATE-GAS AVAILABILITY'!Q346+'RAP TEMPLATE-GAS AVAILABILITY'!R346)</f>
        <v>14.305280575539568</v>
      </c>
    </row>
    <row r="348" spans="1:29" ht="15.75" x14ac:dyDescent="0.25">
      <c r="A348" s="33">
        <v>51501</v>
      </c>
      <c r="B348" s="14">
        <f>CHOOSE(CONTROL!$C$42, 15.5169, 15.5169) * CHOOSE(CONTROL!$C$21, $C$9, 100%, $E$9)</f>
        <v>15.5169</v>
      </c>
      <c r="C348" s="14">
        <f>CHOOSE(CONTROL!$C$42, 15.5219, 15.5219) * CHOOSE(CONTROL!$C$21, $C$9, 100%, $E$9)</f>
        <v>15.5219</v>
      </c>
      <c r="D348" s="14">
        <f>CHOOSE(CONTROL!$C$42, 15.5962, 15.5962) * CHOOSE(CONTROL!$C$21, $C$9, 100%, $E$9)</f>
        <v>15.5962</v>
      </c>
      <c r="E348" s="14">
        <f>CHOOSE(CONTROL!$C$42, 15.6303, 15.6303) * CHOOSE(CONTROL!$C$21, $C$9, 100%, $E$9)</f>
        <v>15.6303</v>
      </c>
      <c r="F348" s="14">
        <f>CHOOSE(CONTROL!$C$42, 15.5553, 15.5553)*CHOOSE(CONTROL!$C$21, $C$9, 100%, $E$9)</f>
        <v>15.555300000000001</v>
      </c>
      <c r="G348" s="14">
        <f>CHOOSE(CONTROL!$C$42, 15.5734, 15.5734)*CHOOSE(CONTROL!$C$21, $C$9, 100%, $E$9)</f>
        <v>15.573399999999999</v>
      </c>
      <c r="H348" s="14">
        <f>CHOOSE(CONTROL!$C$42, 15.6195, 15.6195) * CHOOSE(CONTROL!$C$21, $C$9, 100%, $E$9)</f>
        <v>15.6195</v>
      </c>
      <c r="I348" s="14">
        <f>CHOOSE(CONTROL!$C$42, 15.5929, 15.5929)* CHOOSE(CONTROL!$C$21, $C$9, 100%, $E$9)</f>
        <v>15.5929</v>
      </c>
      <c r="J348" s="14">
        <f>CHOOSE(CONTROL!$C$42, 15.5483, 15.5483)* CHOOSE(CONTROL!$C$21, $C$9, 100%, $E$9)</f>
        <v>15.548299999999999</v>
      </c>
      <c r="K348" s="53">
        <f>CHOOSE(CONTROL!$C$42, 15.589, 15.589) * CHOOSE(CONTROL!$C$21, $C$9, 100%, $E$9)</f>
        <v>15.589</v>
      </c>
      <c r="L348" s="14">
        <f>CHOOSE(CONTROL!$C$42, 16.2065, 16.2065) * CHOOSE(CONTROL!$C$21, $C$9, 100%, $E$9)</f>
        <v>16.206499999999998</v>
      </c>
      <c r="M348" s="14">
        <f>CHOOSE(CONTROL!$C$42, 15.2374, 15.2374) * CHOOSE(CONTROL!$C$21, $C$9, 100%, $E$9)</f>
        <v>15.237399999999999</v>
      </c>
      <c r="N348" s="14">
        <f>CHOOSE(CONTROL!$C$42, 15.2552, 15.2552) * CHOOSE(CONTROL!$C$21, $C$9, 100%, $E$9)</f>
        <v>15.2552</v>
      </c>
      <c r="O348" s="14">
        <f>CHOOSE(CONTROL!$C$42, 15.3071, 15.3071) * CHOOSE(CONTROL!$C$21, $C$9, 100%, $E$9)</f>
        <v>15.3071</v>
      </c>
      <c r="P348" s="14">
        <f>CHOOSE(CONTROL!$C$42, 15.2802, 15.2802) * CHOOSE(CONTROL!$C$21, $C$9, 100%, $E$9)</f>
        <v>15.280200000000001</v>
      </c>
      <c r="Q348" s="14">
        <f>CHOOSE(CONTROL!$C$42, 15.9018, 15.9018) * CHOOSE(CONTROL!$C$21, $C$9, 100%, $E$9)</f>
        <v>15.9018</v>
      </c>
      <c r="R348" s="14">
        <f>CHOOSE(CONTROL!$C$42, 16.5286, 16.5286) * CHOOSE(CONTROL!$C$21, $C$9, 100%, $E$9)</f>
        <v>16.528600000000001</v>
      </c>
      <c r="S348" s="14">
        <f>CHOOSE(CONTROL!$C$42, 14.9016, 14.9016) * CHOOSE(CONTROL!$C$21, $C$9, 100%, $E$9)</f>
        <v>14.9016</v>
      </c>
      <c r="T3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48" s="57">
        <f>(1000*CHOOSE(CONTROL!$C$42, 695, 695)*CHOOSE(CONTROL!$C$42, 0.5599, 0.5599)*CHOOSE(CONTROL!$C$42, 31, 31))/1000000</f>
        <v>12.063045499999998</v>
      </c>
      <c r="V348" s="57">
        <f>(1000*CHOOSE(CONTROL!$C$42, 500, 500)*CHOOSE(CONTROL!$C$42, 0.275, 0.275)*CHOOSE(CONTROL!$C$42, 31, 31))/1000000</f>
        <v>4.2625000000000002</v>
      </c>
      <c r="W348" s="57">
        <f>(1000*CHOOSE(CONTROL!$C$42, 0.1146, 0.1146)*CHOOSE(CONTROL!$C$42, 121.5, 121.5)*CHOOSE(CONTROL!$C$42, 31, 31))/1000000</f>
        <v>0.43164089999999994</v>
      </c>
      <c r="X348" s="57">
        <f>(31*0.1790888*100000/1000000)+(31*0.2374*100000/1000000)</f>
        <v>1.2911152800000001</v>
      </c>
      <c r="Y348" s="57"/>
      <c r="Z348" s="14"/>
      <c r="AA348" s="56"/>
      <c r="AB348" s="50">
        <f>(B348*122.58+C348*297.941+D348*89.177+E348*40.302+F348*40+G348*160+H348*0+I348*100+J348*300)/(122.58+297.941+89.177+40.302+0+40+160+100+300)</f>
        <v>15.552315380782606</v>
      </c>
      <c r="AC348" s="45">
        <f>(M348*'RAP TEMPLATE-GAS AVAILABILITY'!O347+N348*'RAP TEMPLATE-GAS AVAILABILITY'!P347+O348*'RAP TEMPLATE-GAS AVAILABILITY'!Q347+P348*'RAP TEMPLATE-GAS AVAILABILITY'!R347)/('RAP TEMPLATE-GAS AVAILABILITY'!O347+'RAP TEMPLATE-GAS AVAILABILITY'!P347+'RAP TEMPLATE-GAS AVAILABILITY'!Q347+'RAP TEMPLATE-GAS AVAILABILITY'!R347)</f>
        <v>15.276173381294965</v>
      </c>
    </row>
    <row r="349" spans="1:29" ht="15.75" x14ac:dyDescent="0.25">
      <c r="A349" s="33">
        <v>51532</v>
      </c>
      <c r="B349" s="14">
        <f>CHOOSE(CONTROL!$C$42, 16.8024, 16.8024) * CHOOSE(CONTROL!$C$21, $C$9, 100%, $E$9)</f>
        <v>16.802399999999999</v>
      </c>
      <c r="C349" s="14">
        <f>CHOOSE(CONTROL!$C$42, 16.8075, 16.8075) * CHOOSE(CONTROL!$C$21, $C$9, 100%, $E$9)</f>
        <v>16.807500000000001</v>
      </c>
      <c r="D349" s="14">
        <f>CHOOSE(CONTROL!$C$42, 16.8843, 16.8843) * CHOOSE(CONTROL!$C$21, $C$9, 100%, $E$9)</f>
        <v>16.8843</v>
      </c>
      <c r="E349" s="14">
        <f>CHOOSE(CONTROL!$C$42, 16.9184, 16.9184) * CHOOSE(CONTROL!$C$21, $C$9, 100%, $E$9)</f>
        <v>16.918399999999998</v>
      </c>
      <c r="F349" s="14">
        <f>CHOOSE(CONTROL!$C$42, 16.8272, 16.8272)*CHOOSE(CONTROL!$C$21, $C$9, 100%, $E$9)</f>
        <v>16.827200000000001</v>
      </c>
      <c r="G349" s="14">
        <f>CHOOSE(CONTROL!$C$42, 16.8452, 16.8452)*CHOOSE(CONTROL!$C$21, $C$9, 100%, $E$9)</f>
        <v>16.845199999999998</v>
      </c>
      <c r="H349" s="14">
        <f>CHOOSE(CONTROL!$C$42, 16.9076, 16.9076) * CHOOSE(CONTROL!$C$21, $C$9, 100%, $E$9)</f>
        <v>16.907599999999999</v>
      </c>
      <c r="I349" s="14">
        <f>CHOOSE(CONTROL!$C$42, 16.8888, 16.8888)* CHOOSE(CONTROL!$C$21, $C$9, 100%, $E$9)</f>
        <v>16.8888</v>
      </c>
      <c r="J349" s="14">
        <f>CHOOSE(CONTROL!$C$42, 16.8202, 16.8202)* CHOOSE(CONTROL!$C$21, $C$9, 100%, $E$9)</f>
        <v>16.8202</v>
      </c>
      <c r="K349" s="53">
        <f>CHOOSE(CONTROL!$C$42, 16.8849, 16.8849) * CHOOSE(CONTROL!$C$21, $C$9, 100%, $E$9)</f>
        <v>16.884899999999998</v>
      </c>
      <c r="L349" s="14">
        <f>CHOOSE(CONTROL!$C$42, 17.4946, 17.4946) * CHOOSE(CONTROL!$C$21, $C$9, 100%, $E$9)</f>
        <v>17.494599999999998</v>
      </c>
      <c r="M349" s="14">
        <f>CHOOSE(CONTROL!$C$42, 16.4832, 16.4832) * CHOOSE(CONTROL!$C$21, $C$9, 100%, $E$9)</f>
        <v>16.4832</v>
      </c>
      <c r="N349" s="14">
        <f>CHOOSE(CONTROL!$C$42, 16.5008, 16.5008) * CHOOSE(CONTROL!$C$21, $C$9, 100%, $E$9)</f>
        <v>16.500800000000002</v>
      </c>
      <c r="O349" s="14">
        <f>CHOOSE(CONTROL!$C$42, 16.5689, 16.5689) * CHOOSE(CONTROL!$C$21, $C$9, 100%, $E$9)</f>
        <v>16.568899999999999</v>
      </c>
      <c r="P349" s="14">
        <f>CHOOSE(CONTROL!$C$42, 16.5495, 16.5495) * CHOOSE(CONTROL!$C$21, $C$9, 100%, $E$9)</f>
        <v>16.549499999999998</v>
      </c>
      <c r="Q349" s="14">
        <f>CHOOSE(CONTROL!$C$42, 17.1636, 17.1636) * CHOOSE(CONTROL!$C$21, $C$9, 100%, $E$9)</f>
        <v>17.163599999999999</v>
      </c>
      <c r="R349" s="14">
        <f>CHOOSE(CONTROL!$C$42, 17.7935, 17.7935) * CHOOSE(CONTROL!$C$21, $C$9, 100%, $E$9)</f>
        <v>17.793500000000002</v>
      </c>
      <c r="S349" s="14">
        <f>CHOOSE(CONTROL!$C$42, 16.1369, 16.1369) * CHOOSE(CONTROL!$C$21, $C$9, 100%, $E$9)</f>
        <v>16.136900000000001</v>
      </c>
      <c r="T3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49" s="57">
        <f>(1000*CHOOSE(CONTROL!$C$42, 695, 695)*CHOOSE(CONTROL!$C$42, 0.5599, 0.5599)*CHOOSE(CONTROL!$C$42, 31, 31))/1000000</f>
        <v>12.063045499999998</v>
      </c>
      <c r="V349" s="57">
        <f>(1000*CHOOSE(CONTROL!$C$42, 500, 500)*CHOOSE(CONTROL!$C$42, 0.275, 0.275)*CHOOSE(CONTROL!$C$42, 31, 31))/1000000</f>
        <v>4.2625000000000002</v>
      </c>
      <c r="W349" s="57">
        <f>(1000*CHOOSE(CONTROL!$C$42, 0.1146, 0.1146)*CHOOSE(CONTROL!$C$42, 121.5, 121.5)*CHOOSE(CONTROL!$C$42, 31, 31))/1000000</f>
        <v>0.43164089999999994</v>
      </c>
      <c r="X349" s="57">
        <f>(31*0.1790888*100000/1000000)+(31*0.2374*100000/1000000)</f>
        <v>1.2911152800000001</v>
      </c>
      <c r="Y349" s="57"/>
      <c r="Z349" s="14"/>
      <c r="AA349" s="56"/>
      <c r="AB349" s="50">
        <f>(B349*122.58+C349*297.941+D349*89.177+E349*40.302+F349*40+G349*160+H349*0+I349*100+J349*300)/(122.58+297.941+89.177+40.302+0+40+160+100+300)</f>
        <v>16.833111415130432</v>
      </c>
      <c r="AC349" s="45">
        <f>(M349*'RAP TEMPLATE-GAS AVAILABILITY'!O348+N349*'RAP TEMPLATE-GAS AVAILABILITY'!P348+O349*'RAP TEMPLATE-GAS AVAILABILITY'!Q348+P349*'RAP TEMPLATE-GAS AVAILABILITY'!R348)/('RAP TEMPLATE-GAS AVAILABILITY'!O348+'RAP TEMPLATE-GAS AVAILABILITY'!P348+'RAP TEMPLATE-GAS AVAILABILITY'!Q348+'RAP TEMPLATE-GAS AVAILABILITY'!R348)</f>
        <v>16.532594964028778</v>
      </c>
    </row>
    <row r="350" spans="1:29" ht="15.75" x14ac:dyDescent="0.25">
      <c r="A350" s="33">
        <v>51560</v>
      </c>
      <c r="B350" s="14">
        <f>CHOOSE(CONTROL!$C$42, 17.1014, 17.1014) * CHOOSE(CONTROL!$C$21, $C$9, 100%, $E$9)</f>
        <v>17.101400000000002</v>
      </c>
      <c r="C350" s="14">
        <f>CHOOSE(CONTROL!$C$42, 17.1064, 17.1064) * CHOOSE(CONTROL!$C$21, $C$9, 100%, $E$9)</f>
        <v>17.106400000000001</v>
      </c>
      <c r="D350" s="14">
        <f>CHOOSE(CONTROL!$C$42, 17.1833, 17.1833) * CHOOSE(CONTROL!$C$21, $C$9, 100%, $E$9)</f>
        <v>17.183299999999999</v>
      </c>
      <c r="E350" s="14">
        <f>CHOOSE(CONTROL!$C$42, 17.2174, 17.2174) * CHOOSE(CONTROL!$C$21, $C$9, 100%, $E$9)</f>
        <v>17.217400000000001</v>
      </c>
      <c r="F350" s="14">
        <f>CHOOSE(CONTROL!$C$42, 17.1257, 17.1257)*CHOOSE(CONTROL!$C$21, $C$9, 100%, $E$9)</f>
        <v>17.125699999999998</v>
      </c>
      <c r="G350" s="14">
        <f>CHOOSE(CONTROL!$C$42, 17.1436, 17.1436)*CHOOSE(CONTROL!$C$21, $C$9, 100%, $E$9)</f>
        <v>17.143599999999999</v>
      </c>
      <c r="H350" s="14">
        <f>CHOOSE(CONTROL!$C$42, 17.2066, 17.2066) * CHOOSE(CONTROL!$C$21, $C$9, 100%, $E$9)</f>
        <v>17.206600000000002</v>
      </c>
      <c r="I350" s="14">
        <f>CHOOSE(CONTROL!$C$42, 17.1887, 17.1887)* CHOOSE(CONTROL!$C$21, $C$9, 100%, $E$9)</f>
        <v>17.188700000000001</v>
      </c>
      <c r="J350" s="14">
        <f>CHOOSE(CONTROL!$C$42, 17.1187, 17.1187)* CHOOSE(CONTROL!$C$21, $C$9, 100%, $E$9)</f>
        <v>17.1187</v>
      </c>
      <c r="K350" s="53">
        <f>CHOOSE(CONTROL!$C$42, 17.1848, 17.1848) * CHOOSE(CONTROL!$C$21, $C$9, 100%, $E$9)</f>
        <v>17.184799999999999</v>
      </c>
      <c r="L350" s="14">
        <f>CHOOSE(CONTROL!$C$42, 17.7936, 17.7936) * CHOOSE(CONTROL!$C$21, $C$9, 100%, $E$9)</f>
        <v>17.793600000000001</v>
      </c>
      <c r="M350" s="14">
        <f>CHOOSE(CONTROL!$C$42, 16.7757, 16.7757) * CHOOSE(CONTROL!$C$21, $C$9, 100%, $E$9)</f>
        <v>16.775700000000001</v>
      </c>
      <c r="N350" s="14">
        <f>CHOOSE(CONTROL!$C$42, 16.7932, 16.7932) * CHOOSE(CONTROL!$C$21, $C$9, 100%, $E$9)</f>
        <v>16.793199999999999</v>
      </c>
      <c r="O350" s="14">
        <f>CHOOSE(CONTROL!$C$42, 16.8617, 16.8617) * CHOOSE(CONTROL!$C$21, $C$9, 100%, $E$9)</f>
        <v>16.861699999999999</v>
      </c>
      <c r="P350" s="14">
        <f>CHOOSE(CONTROL!$C$42, 16.8432, 16.8432) * CHOOSE(CONTROL!$C$21, $C$9, 100%, $E$9)</f>
        <v>16.8432</v>
      </c>
      <c r="Q350" s="14">
        <f>CHOOSE(CONTROL!$C$42, 17.4564, 17.4564) * CHOOSE(CONTROL!$C$21, $C$9, 100%, $E$9)</f>
        <v>17.456399999999999</v>
      </c>
      <c r="R350" s="14">
        <f>CHOOSE(CONTROL!$C$42, 18.087, 18.087) * CHOOSE(CONTROL!$C$21, $C$9, 100%, $E$9)</f>
        <v>18.087</v>
      </c>
      <c r="S350" s="14">
        <f>CHOOSE(CONTROL!$C$42, 16.4242, 16.4242) * CHOOSE(CONTROL!$C$21, $C$9, 100%, $E$9)</f>
        <v>16.424199999999999</v>
      </c>
      <c r="T35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50" s="57">
        <f>(1000*CHOOSE(CONTROL!$C$42, 695, 695)*CHOOSE(CONTROL!$C$42, 0.5599, 0.5599)*CHOOSE(CONTROL!$C$42, 28, 28))/1000000</f>
        <v>10.895653999999999</v>
      </c>
      <c r="V350" s="57">
        <f>(1000*CHOOSE(CONTROL!$C$42, 500, 500)*CHOOSE(CONTROL!$C$42, 0.275, 0.275)*CHOOSE(CONTROL!$C$42, 28, 28))/1000000</f>
        <v>3.85</v>
      </c>
      <c r="W350" s="57">
        <f>(1000*CHOOSE(CONTROL!$C$42, 0.1146, 0.1146)*CHOOSE(CONTROL!$C$42, 121.5, 121.5)*CHOOSE(CONTROL!$C$42, 28, 28))/1000000</f>
        <v>0.38986920000000003</v>
      </c>
      <c r="X350" s="57">
        <f>(28*0.1790888*100000/1000000)+(28*0.2374*100000/1000000)</f>
        <v>1.16616864</v>
      </c>
      <c r="Y350" s="57"/>
      <c r="Z350" s="14"/>
      <c r="AA350" s="56"/>
      <c r="AB350" s="50">
        <f>(B350*122.58+C350*297.941+D350*89.177+E350*40.302+F350*40+G350*160+H350*0+I350*100+J350*300)/(122.58+297.941+89.177+40.302+0+40+160+100+300)</f>
        <v>17.13193246373913</v>
      </c>
      <c r="AC350" s="45">
        <f>(M350*'RAP TEMPLATE-GAS AVAILABILITY'!O349+N350*'RAP TEMPLATE-GAS AVAILABILITY'!P349+O350*'RAP TEMPLATE-GAS AVAILABILITY'!Q349+P350*'RAP TEMPLATE-GAS AVAILABILITY'!R349)/('RAP TEMPLATE-GAS AVAILABILITY'!O349+'RAP TEMPLATE-GAS AVAILABILITY'!P349+'RAP TEMPLATE-GAS AVAILABILITY'!Q349+'RAP TEMPLATE-GAS AVAILABILITY'!R349)</f>
        <v>16.82539784172662</v>
      </c>
    </row>
    <row r="351" spans="1:29" ht="15.75" x14ac:dyDescent="0.25">
      <c r="A351" s="33">
        <v>51591</v>
      </c>
      <c r="B351" s="14">
        <f>CHOOSE(CONTROL!$C$42, 16.6161, 16.6161) * CHOOSE(CONTROL!$C$21, $C$9, 100%, $E$9)</f>
        <v>16.616099999999999</v>
      </c>
      <c r="C351" s="14">
        <f>CHOOSE(CONTROL!$C$42, 16.6212, 16.6212) * CHOOSE(CONTROL!$C$21, $C$9, 100%, $E$9)</f>
        <v>16.621200000000002</v>
      </c>
      <c r="D351" s="14">
        <f>CHOOSE(CONTROL!$C$42, 16.698, 16.698) * CHOOSE(CONTROL!$C$21, $C$9, 100%, $E$9)</f>
        <v>16.698</v>
      </c>
      <c r="E351" s="14">
        <f>CHOOSE(CONTROL!$C$42, 16.7321, 16.7321) * CHOOSE(CONTROL!$C$21, $C$9, 100%, $E$9)</f>
        <v>16.732099999999999</v>
      </c>
      <c r="F351" s="14">
        <f>CHOOSE(CONTROL!$C$42, 16.6396, 16.6396)*CHOOSE(CONTROL!$C$21, $C$9, 100%, $E$9)</f>
        <v>16.639600000000002</v>
      </c>
      <c r="G351" s="14">
        <f>CHOOSE(CONTROL!$C$42, 16.6572, 16.6572)*CHOOSE(CONTROL!$C$21, $C$9, 100%, $E$9)</f>
        <v>16.6572</v>
      </c>
      <c r="H351" s="14">
        <f>CHOOSE(CONTROL!$C$42, 16.7213, 16.7213) * CHOOSE(CONTROL!$C$21, $C$9, 100%, $E$9)</f>
        <v>16.721299999999999</v>
      </c>
      <c r="I351" s="14">
        <f>CHOOSE(CONTROL!$C$42, 16.7019, 16.7019)* CHOOSE(CONTROL!$C$21, $C$9, 100%, $E$9)</f>
        <v>16.701899999999998</v>
      </c>
      <c r="J351" s="14">
        <f>CHOOSE(CONTROL!$C$42, 16.6326, 16.6326)* CHOOSE(CONTROL!$C$21, $C$9, 100%, $E$9)</f>
        <v>16.6326</v>
      </c>
      <c r="K351" s="53">
        <f>CHOOSE(CONTROL!$C$42, 16.698, 16.698) * CHOOSE(CONTROL!$C$21, $C$9, 100%, $E$9)</f>
        <v>16.698</v>
      </c>
      <c r="L351" s="14">
        <f>CHOOSE(CONTROL!$C$42, 17.3083, 17.3083) * CHOOSE(CONTROL!$C$21, $C$9, 100%, $E$9)</f>
        <v>17.308299999999999</v>
      </c>
      <c r="M351" s="14">
        <f>CHOOSE(CONTROL!$C$42, 16.2995, 16.2995) * CHOOSE(CONTROL!$C$21, $C$9, 100%, $E$9)</f>
        <v>16.299499999999998</v>
      </c>
      <c r="N351" s="14">
        <f>CHOOSE(CONTROL!$C$42, 16.3168, 16.3168) * CHOOSE(CONTROL!$C$21, $C$9, 100%, $E$9)</f>
        <v>16.316800000000001</v>
      </c>
      <c r="O351" s="14">
        <f>CHOOSE(CONTROL!$C$42, 16.3864, 16.3864) * CHOOSE(CONTROL!$C$21, $C$9, 100%, $E$9)</f>
        <v>16.386399999999998</v>
      </c>
      <c r="P351" s="14">
        <f>CHOOSE(CONTROL!$C$42, 16.3664, 16.3664) * CHOOSE(CONTROL!$C$21, $C$9, 100%, $E$9)</f>
        <v>16.366399999999999</v>
      </c>
      <c r="Q351" s="14">
        <f>CHOOSE(CONTROL!$C$42, 16.9811, 16.9811) * CHOOSE(CONTROL!$C$21, $C$9, 100%, $E$9)</f>
        <v>16.981100000000001</v>
      </c>
      <c r="R351" s="14">
        <f>CHOOSE(CONTROL!$C$42, 17.6106, 17.6106) * CHOOSE(CONTROL!$C$21, $C$9, 100%, $E$9)</f>
        <v>17.610600000000002</v>
      </c>
      <c r="S351" s="14">
        <f>CHOOSE(CONTROL!$C$42, 15.9579, 15.9579) * CHOOSE(CONTROL!$C$21, $C$9, 100%, $E$9)</f>
        <v>15.9579</v>
      </c>
      <c r="T3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51" s="57">
        <f>(1000*CHOOSE(CONTROL!$C$42, 695, 695)*CHOOSE(CONTROL!$C$42, 0.5599, 0.5599)*CHOOSE(CONTROL!$C$42, 31, 31))/1000000</f>
        <v>12.063045499999998</v>
      </c>
      <c r="V351" s="57">
        <f>(1000*CHOOSE(CONTROL!$C$42, 500, 500)*CHOOSE(CONTROL!$C$42, 0.275, 0.275)*CHOOSE(CONTROL!$C$42, 31, 31))/1000000</f>
        <v>4.2625000000000002</v>
      </c>
      <c r="W351" s="57">
        <f>(1000*CHOOSE(CONTROL!$C$42, 0.1146, 0.1146)*CHOOSE(CONTROL!$C$42, 121.5, 121.5)*CHOOSE(CONTROL!$C$42, 31, 31))/1000000</f>
        <v>0.43164089999999994</v>
      </c>
      <c r="X351" s="57">
        <f>(31*0.1790888*100000/1000000)+(31*0.2374*100000/1000000)</f>
        <v>1.2911152800000001</v>
      </c>
      <c r="Y351" s="57"/>
      <c r="Z351" s="14"/>
      <c r="AA351" s="56"/>
      <c r="AB351" s="50">
        <f>(B351*122.58+C351*297.941+D351*89.177+E351*40.302+F351*40+G351*160+H351*0+I351*100+J351*300)/(122.58+297.941+89.177+40.302+0+40+160+100+300)</f>
        <v>16.646138371652174</v>
      </c>
      <c r="AC351" s="45">
        <f>(M351*'RAP TEMPLATE-GAS AVAILABILITY'!O350+N351*'RAP TEMPLATE-GAS AVAILABILITY'!P350+O351*'RAP TEMPLATE-GAS AVAILABILITY'!Q350+P351*'RAP TEMPLATE-GAS AVAILABILITY'!R350)/('RAP TEMPLATE-GAS AVAILABILITY'!O350+'RAP TEMPLATE-GAS AVAILABILITY'!P350+'RAP TEMPLATE-GAS AVAILABILITY'!Q350+'RAP TEMPLATE-GAS AVAILABILITY'!R350)</f>
        <v>16.349507913669065</v>
      </c>
    </row>
    <row r="352" spans="1:29" ht="15.75" x14ac:dyDescent="0.25">
      <c r="A352" s="33">
        <v>51621</v>
      </c>
      <c r="B352" s="14">
        <f>CHOOSE(CONTROL!$C$42, 16.5674, 16.5674) * CHOOSE(CONTROL!$C$21, $C$9, 100%, $E$9)</f>
        <v>16.567399999999999</v>
      </c>
      <c r="C352" s="14">
        <f>CHOOSE(CONTROL!$C$42, 16.5719, 16.5719) * CHOOSE(CONTROL!$C$21, $C$9, 100%, $E$9)</f>
        <v>16.571899999999999</v>
      </c>
      <c r="D352" s="14">
        <f>CHOOSE(CONTROL!$C$42, 16.7956, 16.7956) * CHOOSE(CONTROL!$C$21, $C$9, 100%, $E$9)</f>
        <v>16.7956</v>
      </c>
      <c r="E352" s="14">
        <f>CHOOSE(CONTROL!$C$42, 16.8277, 16.8277) * CHOOSE(CONTROL!$C$21, $C$9, 100%, $E$9)</f>
        <v>16.8277</v>
      </c>
      <c r="F352" s="14">
        <f>CHOOSE(CONTROL!$C$42, 16.5951, 16.5951)*CHOOSE(CONTROL!$C$21, $C$9, 100%, $E$9)</f>
        <v>16.595099999999999</v>
      </c>
      <c r="G352" s="14">
        <f>CHOOSE(CONTROL!$C$42, 16.612, 16.612)*CHOOSE(CONTROL!$C$21, $C$9, 100%, $E$9)</f>
        <v>16.611999999999998</v>
      </c>
      <c r="H352" s="14">
        <f>CHOOSE(CONTROL!$C$42, 16.8175, 16.8175) * CHOOSE(CONTROL!$C$21, $C$9, 100%, $E$9)</f>
        <v>16.817499999999999</v>
      </c>
      <c r="I352" s="14">
        <f>CHOOSE(CONTROL!$C$42, 16.6486, 16.6486)* CHOOSE(CONTROL!$C$21, $C$9, 100%, $E$9)</f>
        <v>16.648599999999998</v>
      </c>
      <c r="J352" s="14">
        <f>CHOOSE(CONTROL!$C$42, 16.5881, 16.5881)* CHOOSE(CONTROL!$C$21, $C$9, 100%, $E$9)</f>
        <v>16.588100000000001</v>
      </c>
      <c r="K352" s="53">
        <f>CHOOSE(CONTROL!$C$42, 16.6447, 16.6447) * CHOOSE(CONTROL!$C$21, $C$9, 100%, $E$9)</f>
        <v>16.6447</v>
      </c>
      <c r="L352" s="14">
        <f>CHOOSE(CONTROL!$C$42, 17.4045, 17.4045) * CHOOSE(CONTROL!$C$21, $C$9, 100%, $E$9)</f>
        <v>17.404499999999999</v>
      </c>
      <c r="M352" s="14">
        <f>CHOOSE(CONTROL!$C$42, 16.2559, 16.2559) * CHOOSE(CONTROL!$C$21, $C$9, 100%, $E$9)</f>
        <v>16.2559</v>
      </c>
      <c r="N352" s="14">
        <f>CHOOSE(CONTROL!$C$42, 16.2725, 16.2725) * CHOOSE(CONTROL!$C$21, $C$9, 100%, $E$9)</f>
        <v>16.272500000000001</v>
      </c>
      <c r="O352" s="14">
        <f>CHOOSE(CONTROL!$C$42, 16.4806, 16.4806) * CHOOSE(CONTROL!$C$21, $C$9, 100%, $E$9)</f>
        <v>16.480599999999999</v>
      </c>
      <c r="P352" s="14">
        <f>CHOOSE(CONTROL!$C$42, 16.3142, 16.3142) * CHOOSE(CONTROL!$C$21, $C$9, 100%, $E$9)</f>
        <v>16.3142</v>
      </c>
      <c r="Q352" s="14">
        <f>CHOOSE(CONTROL!$C$42, 17.0753, 17.0753) * CHOOSE(CONTROL!$C$21, $C$9, 100%, $E$9)</f>
        <v>17.075299999999999</v>
      </c>
      <c r="R352" s="14">
        <f>CHOOSE(CONTROL!$C$42, 17.705, 17.705) * CHOOSE(CONTROL!$C$21, $C$9, 100%, $E$9)</f>
        <v>17.704999999999998</v>
      </c>
      <c r="S352" s="14">
        <f>CHOOSE(CONTROL!$C$42, 15.9103, 15.9103) * CHOOSE(CONTROL!$C$21, $C$9, 100%, $E$9)</f>
        <v>15.910299999999999</v>
      </c>
      <c r="T3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52" s="57">
        <f>(1000*CHOOSE(CONTROL!$C$42, 695, 695)*CHOOSE(CONTROL!$C$42, 0.5599, 0.5599)*CHOOSE(CONTROL!$C$42, 30, 30))/1000000</f>
        <v>11.673914999999997</v>
      </c>
      <c r="V352" s="57">
        <f>(1000*CHOOSE(CONTROL!$C$42, 500, 500)*CHOOSE(CONTROL!$C$42, 0.275, 0.275)*CHOOSE(CONTROL!$C$42, 30, 30))/1000000</f>
        <v>4.125</v>
      </c>
      <c r="W352" s="57">
        <f>(1000*CHOOSE(CONTROL!$C$42, 0.1146, 0.1146)*CHOOSE(CONTROL!$C$42, 121.5, 121.5)*CHOOSE(CONTROL!$C$42, 30, 30))/1000000</f>
        <v>0.417717</v>
      </c>
      <c r="X352" s="57">
        <f>(30*0.1790888*245000/1000000)+(30*0.2374*100000/1000000)</f>
        <v>2.0285026799999999</v>
      </c>
      <c r="Y352" s="57"/>
      <c r="Z352" s="14"/>
      <c r="AA352" s="56"/>
      <c r="AB352" s="50">
        <f>(B352*141.293+C352*267.993+D352*115.016+E352*89.698+F352*40+G352*185+H352*0+I352*100+J352*300)/(141.293+267.993+115.016+89.698+0+40+185+100+300)</f>
        <v>16.627521072719937</v>
      </c>
      <c r="AC352" s="45">
        <f>(M352*'RAP TEMPLATE-GAS AVAILABILITY'!O351+N352*'RAP TEMPLATE-GAS AVAILABILITY'!P351+O352*'RAP TEMPLATE-GAS AVAILABILITY'!Q351+P352*'RAP TEMPLATE-GAS AVAILABILITY'!R351)/('RAP TEMPLATE-GAS AVAILABILITY'!O351+'RAP TEMPLATE-GAS AVAILABILITY'!P351+'RAP TEMPLATE-GAS AVAILABILITY'!Q351+'RAP TEMPLATE-GAS AVAILABILITY'!R351)</f>
        <v>16.331155395683453</v>
      </c>
    </row>
    <row r="353" spans="1:29" ht="15.75" x14ac:dyDescent="0.25">
      <c r="A353" s="33">
        <v>51652</v>
      </c>
      <c r="B353" s="14">
        <f>CHOOSE(CONTROL!$C$42, 16.7149, 16.7149) * CHOOSE(CONTROL!$C$21, $C$9, 100%, $E$9)</f>
        <v>16.7149</v>
      </c>
      <c r="C353" s="14">
        <f>CHOOSE(CONTROL!$C$42, 16.723, 16.723) * CHOOSE(CONTROL!$C$21, $C$9, 100%, $E$9)</f>
        <v>16.722999999999999</v>
      </c>
      <c r="D353" s="14">
        <f>CHOOSE(CONTROL!$C$42, 16.9436, 16.9436) * CHOOSE(CONTROL!$C$21, $C$9, 100%, $E$9)</f>
        <v>16.9436</v>
      </c>
      <c r="E353" s="14">
        <f>CHOOSE(CONTROL!$C$42, 16.975, 16.975) * CHOOSE(CONTROL!$C$21, $C$9, 100%, $E$9)</f>
        <v>16.975000000000001</v>
      </c>
      <c r="F353" s="14">
        <f>CHOOSE(CONTROL!$C$42, 16.7412, 16.7412)*CHOOSE(CONTROL!$C$21, $C$9, 100%, $E$9)</f>
        <v>16.741199999999999</v>
      </c>
      <c r="G353" s="14">
        <f>CHOOSE(CONTROL!$C$42, 16.7583, 16.7583)*CHOOSE(CONTROL!$C$21, $C$9, 100%, $E$9)</f>
        <v>16.758299999999998</v>
      </c>
      <c r="H353" s="14">
        <f>CHOOSE(CONTROL!$C$42, 16.9637, 16.9637) * CHOOSE(CONTROL!$C$21, $C$9, 100%, $E$9)</f>
        <v>16.963699999999999</v>
      </c>
      <c r="I353" s="14">
        <f>CHOOSE(CONTROL!$C$42, 16.7952, 16.7952)* CHOOSE(CONTROL!$C$21, $C$9, 100%, $E$9)</f>
        <v>16.795200000000001</v>
      </c>
      <c r="J353" s="14">
        <f>CHOOSE(CONTROL!$C$42, 16.7342, 16.7342)* CHOOSE(CONTROL!$C$21, $C$9, 100%, $E$9)</f>
        <v>16.734200000000001</v>
      </c>
      <c r="K353" s="53">
        <f>CHOOSE(CONTROL!$C$42, 16.7913, 16.7913) * CHOOSE(CONTROL!$C$21, $C$9, 100%, $E$9)</f>
        <v>16.7913</v>
      </c>
      <c r="L353" s="14">
        <f>CHOOSE(CONTROL!$C$42, 17.5507, 17.5507) * CHOOSE(CONTROL!$C$21, $C$9, 100%, $E$9)</f>
        <v>17.550699999999999</v>
      </c>
      <c r="M353" s="14">
        <f>CHOOSE(CONTROL!$C$42, 16.399, 16.399) * CHOOSE(CONTROL!$C$21, $C$9, 100%, $E$9)</f>
        <v>16.399000000000001</v>
      </c>
      <c r="N353" s="14">
        <f>CHOOSE(CONTROL!$C$42, 16.4158, 16.4158) * CHOOSE(CONTROL!$C$21, $C$9, 100%, $E$9)</f>
        <v>16.415800000000001</v>
      </c>
      <c r="O353" s="14">
        <f>CHOOSE(CONTROL!$C$42, 16.6238, 16.6238) * CHOOSE(CONTROL!$C$21, $C$9, 100%, $E$9)</f>
        <v>16.623799999999999</v>
      </c>
      <c r="P353" s="14">
        <f>CHOOSE(CONTROL!$C$42, 16.4578, 16.4578) * CHOOSE(CONTROL!$C$21, $C$9, 100%, $E$9)</f>
        <v>16.457799999999999</v>
      </c>
      <c r="Q353" s="14">
        <f>CHOOSE(CONTROL!$C$42, 17.2185, 17.2185) * CHOOSE(CONTROL!$C$21, $C$9, 100%, $E$9)</f>
        <v>17.218499999999999</v>
      </c>
      <c r="R353" s="14">
        <f>CHOOSE(CONTROL!$C$42, 17.8485, 17.8485) * CHOOSE(CONTROL!$C$21, $C$9, 100%, $E$9)</f>
        <v>17.848500000000001</v>
      </c>
      <c r="S353" s="14">
        <f>CHOOSE(CONTROL!$C$42, 16.0508, 16.0508) * CHOOSE(CONTROL!$C$21, $C$9, 100%, $E$9)</f>
        <v>16.050799999999999</v>
      </c>
      <c r="T3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53" s="57">
        <f>(1000*CHOOSE(CONTROL!$C$42, 695, 695)*CHOOSE(CONTROL!$C$42, 0.5599, 0.5599)*CHOOSE(CONTROL!$C$42, 31, 31))/1000000</f>
        <v>12.063045499999998</v>
      </c>
      <c r="V353" s="57">
        <f>(1000*CHOOSE(CONTROL!$C$42, 500, 500)*CHOOSE(CONTROL!$C$42, 0.275, 0.275)*CHOOSE(CONTROL!$C$42, 31, 31))/1000000</f>
        <v>4.2625000000000002</v>
      </c>
      <c r="W353" s="57">
        <f>(1000*CHOOSE(CONTROL!$C$42, 0.1146, 0.1146)*CHOOSE(CONTROL!$C$42, 121.5, 121.5)*CHOOSE(CONTROL!$C$42, 31, 31))/1000000</f>
        <v>0.43164089999999994</v>
      </c>
      <c r="X353" s="57">
        <f>(31*0.1790888*245000/1000000)+(31*0.2374*100000/1000000)</f>
        <v>2.0961194359999999</v>
      </c>
      <c r="Y353" s="57"/>
      <c r="Z353" s="14"/>
      <c r="AA353" s="56"/>
      <c r="AB353" s="50">
        <f>(B353*194.205+C353*267.466+D353*133.845+E353*53.484+F353*40+G353*185+H353*0+I353*100+J353*300)/(194.205+267.466+133.845+53.484+0+40+185+100+300)</f>
        <v>16.769522460361067</v>
      </c>
      <c r="AC353" s="45">
        <f>(M353*'RAP TEMPLATE-GAS AVAILABILITY'!O352+N353*'RAP TEMPLATE-GAS AVAILABILITY'!P352+O353*'RAP TEMPLATE-GAS AVAILABILITY'!Q352+P353*'RAP TEMPLATE-GAS AVAILABILITY'!R352)/('RAP TEMPLATE-GAS AVAILABILITY'!O352+'RAP TEMPLATE-GAS AVAILABILITY'!P352+'RAP TEMPLATE-GAS AVAILABILITY'!Q352+'RAP TEMPLATE-GAS AVAILABILITY'!R352)</f>
        <v>16.474401438848922</v>
      </c>
    </row>
    <row r="354" spans="1:29" ht="15.75" x14ac:dyDescent="0.25">
      <c r="A354" s="33">
        <v>51682</v>
      </c>
      <c r="B354" s="14">
        <f>CHOOSE(CONTROL!$C$42, 17.1888, 17.1888) * CHOOSE(CONTROL!$C$21, $C$9, 100%, $E$9)</f>
        <v>17.188800000000001</v>
      </c>
      <c r="C354" s="14">
        <f>CHOOSE(CONTROL!$C$42, 17.1968, 17.1968) * CHOOSE(CONTROL!$C$21, $C$9, 100%, $E$9)</f>
        <v>17.1968</v>
      </c>
      <c r="D354" s="14">
        <f>CHOOSE(CONTROL!$C$42, 17.4174, 17.4174) * CHOOSE(CONTROL!$C$21, $C$9, 100%, $E$9)</f>
        <v>17.417400000000001</v>
      </c>
      <c r="E354" s="14">
        <f>CHOOSE(CONTROL!$C$42, 17.4488, 17.4488) * CHOOSE(CONTROL!$C$21, $C$9, 100%, $E$9)</f>
        <v>17.448799999999999</v>
      </c>
      <c r="F354" s="14">
        <f>CHOOSE(CONTROL!$C$42, 17.2154, 17.2154)*CHOOSE(CONTROL!$C$21, $C$9, 100%, $E$9)</f>
        <v>17.215399999999999</v>
      </c>
      <c r="G354" s="14">
        <f>CHOOSE(CONTROL!$C$42, 17.2326, 17.2326)*CHOOSE(CONTROL!$C$21, $C$9, 100%, $E$9)</f>
        <v>17.232600000000001</v>
      </c>
      <c r="H354" s="14">
        <f>CHOOSE(CONTROL!$C$42, 17.4375, 17.4375) * CHOOSE(CONTROL!$C$21, $C$9, 100%, $E$9)</f>
        <v>17.4375</v>
      </c>
      <c r="I354" s="14">
        <f>CHOOSE(CONTROL!$C$42, 17.2705, 17.2705)* CHOOSE(CONTROL!$C$21, $C$9, 100%, $E$9)</f>
        <v>17.270499999999998</v>
      </c>
      <c r="J354" s="14">
        <f>CHOOSE(CONTROL!$C$42, 17.2084, 17.2084)* CHOOSE(CONTROL!$C$21, $C$9, 100%, $E$9)</f>
        <v>17.208400000000001</v>
      </c>
      <c r="K354" s="53">
        <f>CHOOSE(CONTROL!$C$42, 17.2666, 17.2666) * CHOOSE(CONTROL!$C$21, $C$9, 100%, $E$9)</f>
        <v>17.2666</v>
      </c>
      <c r="L354" s="14">
        <f>CHOOSE(CONTROL!$C$42, 18.0245, 18.0245) * CHOOSE(CONTROL!$C$21, $C$9, 100%, $E$9)</f>
        <v>18.0245</v>
      </c>
      <c r="M354" s="14">
        <f>CHOOSE(CONTROL!$C$42, 16.8635, 16.8635) * CHOOSE(CONTROL!$C$21, $C$9, 100%, $E$9)</f>
        <v>16.863499999999998</v>
      </c>
      <c r="N354" s="14">
        <f>CHOOSE(CONTROL!$C$42, 16.8803, 16.8803) * CHOOSE(CONTROL!$C$21, $C$9, 100%, $E$9)</f>
        <v>16.880299999999998</v>
      </c>
      <c r="O354" s="14">
        <f>CHOOSE(CONTROL!$C$42, 17.0879, 17.0879) * CHOOSE(CONTROL!$C$21, $C$9, 100%, $E$9)</f>
        <v>17.087900000000001</v>
      </c>
      <c r="P354" s="14">
        <f>CHOOSE(CONTROL!$C$42, 16.9233, 16.9233) * CHOOSE(CONTROL!$C$21, $C$9, 100%, $E$9)</f>
        <v>16.923300000000001</v>
      </c>
      <c r="Q354" s="14">
        <f>CHOOSE(CONTROL!$C$42, 17.6826, 17.6826) * CHOOSE(CONTROL!$C$21, $C$9, 100%, $E$9)</f>
        <v>17.682600000000001</v>
      </c>
      <c r="R354" s="14">
        <f>CHOOSE(CONTROL!$C$42, 18.3138, 18.3138) * CHOOSE(CONTROL!$C$21, $C$9, 100%, $E$9)</f>
        <v>18.313800000000001</v>
      </c>
      <c r="S354" s="14">
        <f>CHOOSE(CONTROL!$C$42, 16.506, 16.506) * CHOOSE(CONTROL!$C$21, $C$9, 100%, $E$9)</f>
        <v>16.506</v>
      </c>
      <c r="T3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54" s="57">
        <f>(1000*CHOOSE(CONTROL!$C$42, 695, 695)*CHOOSE(CONTROL!$C$42, 0.5599, 0.5599)*CHOOSE(CONTROL!$C$42, 30, 30))/1000000</f>
        <v>11.673914999999997</v>
      </c>
      <c r="V354" s="57">
        <f>(1000*CHOOSE(CONTROL!$C$42, 500, 500)*CHOOSE(CONTROL!$C$42, 0.275, 0.275)*CHOOSE(CONTROL!$C$42, 30, 30))/1000000</f>
        <v>4.125</v>
      </c>
      <c r="W354" s="57">
        <f>(1000*CHOOSE(CONTROL!$C$42, 0.1146, 0.1146)*CHOOSE(CONTROL!$C$42, 121.5, 121.5)*CHOOSE(CONTROL!$C$42, 30, 30))/1000000</f>
        <v>0.417717</v>
      </c>
      <c r="X354" s="57">
        <f>(30*0.1790888*245000/1000000)+(30*0.2374*100000/1000000)</f>
        <v>2.0285026799999999</v>
      </c>
      <c r="Y354" s="57"/>
      <c r="Z354" s="14"/>
      <c r="AA354" s="56"/>
      <c r="AB354" s="50">
        <f>(B354*194.205+C354*267.466+D354*133.845+E354*53.484+F354*40+G354*185+H354*0+I354*100+J354*300)/(194.205+267.466+133.845+53.484+0+40+185+100+300)</f>
        <v>17.243634799843015</v>
      </c>
      <c r="AC354" s="45">
        <f>(M354*'RAP TEMPLATE-GAS AVAILABILITY'!O353+N354*'RAP TEMPLATE-GAS AVAILABILITY'!P353+O354*'RAP TEMPLATE-GAS AVAILABILITY'!Q353+P354*'RAP TEMPLATE-GAS AVAILABILITY'!R353)/('RAP TEMPLATE-GAS AVAILABILITY'!O353+'RAP TEMPLATE-GAS AVAILABILITY'!P353+'RAP TEMPLATE-GAS AVAILABILITY'!Q353+'RAP TEMPLATE-GAS AVAILABILITY'!R353)</f>
        <v>16.938933093525183</v>
      </c>
    </row>
    <row r="355" spans="1:29" ht="15.75" x14ac:dyDescent="0.25">
      <c r="A355" s="33">
        <v>51713</v>
      </c>
      <c r="B355" s="14">
        <f>CHOOSE(CONTROL!$C$42, 16.8592, 16.8592) * CHOOSE(CONTROL!$C$21, $C$9, 100%, $E$9)</f>
        <v>16.859200000000001</v>
      </c>
      <c r="C355" s="14">
        <f>CHOOSE(CONTROL!$C$42, 16.8672, 16.8672) * CHOOSE(CONTROL!$C$21, $C$9, 100%, $E$9)</f>
        <v>16.8672</v>
      </c>
      <c r="D355" s="14">
        <f>CHOOSE(CONTROL!$C$42, 17.0878, 17.0878) * CHOOSE(CONTROL!$C$21, $C$9, 100%, $E$9)</f>
        <v>17.087800000000001</v>
      </c>
      <c r="E355" s="14">
        <f>CHOOSE(CONTROL!$C$42, 17.1193, 17.1193) * CHOOSE(CONTROL!$C$21, $C$9, 100%, $E$9)</f>
        <v>17.119299999999999</v>
      </c>
      <c r="F355" s="14">
        <f>CHOOSE(CONTROL!$C$42, 16.8863, 16.8863)*CHOOSE(CONTROL!$C$21, $C$9, 100%, $E$9)</f>
        <v>16.886299999999999</v>
      </c>
      <c r="G355" s="14">
        <f>CHOOSE(CONTROL!$C$42, 16.9036, 16.9036)*CHOOSE(CONTROL!$C$21, $C$9, 100%, $E$9)</f>
        <v>16.903600000000001</v>
      </c>
      <c r="H355" s="14">
        <f>CHOOSE(CONTROL!$C$42, 17.1079, 17.1079) * CHOOSE(CONTROL!$C$21, $C$9, 100%, $E$9)</f>
        <v>17.107900000000001</v>
      </c>
      <c r="I355" s="14">
        <f>CHOOSE(CONTROL!$C$42, 16.9399, 16.9399)* CHOOSE(CONTROL!$C$21, $C$9, 100%, $E$9)</f>
        <v>16.939900000000002</v>
      </c>
      <c r="J355" s="14">
        <f>CHOOSE(CONTROL!$C$42, 16.8793, 16.8793)* CHOOSE(CONTROL!$C$21, $C$9, 100%, $E$9)</f>
        <v>16.879300000000001</v>
      </c>
      <c r="K355" s="53">
        <f>CHOOSE(CONTROL!$C$42, 16.936, 16.936) * CHOOSE(CONTROL!$C$21, $C$9, 100%, $E$9)</f>
        <v>16.936</v>
      </c>
      <c r="L355" s="14">
        <f>CHOOSE(CONTROL!$C$42, 17.6949, 17.6949) * CHOOSE(CONTROL!$C$21, $C$9, 100%, $E$9)</f>
        <v>17.694900000000001</v>
      </c>
      <c r="M355" s="14">
        <f>CHOOSE(CONTROL!$C$42, 16.5411, 16.5411) * CHOOSE(CONTROL!$C$21, $C$9, 100%, $E$9)</f>
        <v>16.5411</v>
      </c>
      <c r="N355" s="14">
        <f>CHOOSE(CONTROL!$C$42, 16.5581, 16.5581) * CHOOSE(CONTROL!$C$21, $C$9, 100%, $E$9)</f>
        <v>16.5581</v>
      </c>
      <c r="O355" s="14">
        <f>CHOOSE(CONTROL!$C$42, 16.7651, 16.7651) * CHOOSE(CONTROL!$C$21, $C$9, 100%, $E$9)</f>
        <v>16.7651</v>
      </c>
      <c r="P355" s="14">
        <f>CHOOSE(CONTROL!$C$42, 16.5995, 16.5995) * CHOOSE(CONTROL!$C$21, $C$9, 100%, $E$9)</f>
        <v>16.599499999999999</v>
      </c>
      <c r="Q355" s="14">
        <f>CHOOSE(CONTROL!$C$42, 17.3598, 17.3598) * CHOOSE(CONTROL!$C$21, $C$9, 100%, $E$9)</f>
        <v>17.3598</v>
      </c>
      <c r="R355" s="14">
        <f>CHOOSE(CONTROL!$C$42, 17.9902, 17.9902) * CHOOSE(CONTROL!$C$21, $C$9, 100%, $E$9)</f>
        <v>17.990200000000002</v>
      </c>
      <c r="S355" s="14">
        <f>CHOOSE(CONTROL!$C$42, 16.1894, 16.1894) * CHOOSE(CONTROL!$C$21, $C$9, 100%, $E$9)</f>
        <v>16.189399999999999</v>
      </c>
      <c r="T3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55" s="57">
        <f>(1000*CHOOSE(CONTROL!$C$42, 695, 695)*CHOOSE(CONTROL!$C$42, 0.5599, 0.5599)*CHOOSE(CONTROL!$C$42, 31, 31))/1000000</f>
        <v>12.063045499999998</v>
      </c>
      <c r="V355" s="57">
        <f>(1000*CHOOSE(CONTROL!$C$42, 500, 500)*CHOOSE(CONTROL!$C$42, 0.275, 0.275)*CHOOSE(CONTROL!$C$42, 31, 31))/1000000</f>
        <v>4.2625000000000002</v>
      </c>
      <c r="W355" s="57">
        <f>(1000*CHOOSE(CONTROL!$C$42, 0.1146, 0.1146)*CHOOSE(CONTROL!$C$42, 121.5, 121.5)*CHOOSE(CONTROL!$C$42, 31, 31))/1000000</f>
        <v>0.43164089999999994</v>
      </c>
      <c r="X355" s="57">
        <f>(31*0.1790888*245000/1000000)+(31*0.2374*100000/1000000)</f>
        <v>2.0961194359999999</v>
      </c>
      <c r="Y355" s="57"/>
      <c r="Z355" s="14"/>
      <c r="AA355" s="56"/>
      <c r="AB355" s="50">
        <f>(B355*194.205+C355*267.466+D355*133.845+E355*53.484+F355*40+G355*185+H355*0+I355*100+J355*300)/(194.205+267.466+133.845+53.484+0+40+185+100+300)</f>
        <v>16.914181070172685</v>
      </c>
      <c r="AC355" s="45">
        <f>(M355*'RAP TEMPLATE-GAS AVAILABILITY'!O354+N355*'RAP TEMPLATE-GAS AVAILABILITY'!P354+O355*'RAP TEMPLATE-GAS AVAILABILITY'!Q354+P355*'RAP TEMPLATE-GAS AVAILABILITY'!R354)/('RAP TEMPLATE-GAS AVAILABILITY'!O354+'RAP TEMPLATE-GAS AVAILABILITY'!P354+'RAP TEMPLATE-GAS AVAILABILITY'!Q354+'RAP TEMPLATE-GAS AVAILABILITY'!R354)</f>
        <v>16.616265467625897</v>
      </c>
    </row>
    <row r="356" spans="1:29" ht="15.75" x14ac:dyDescent="0.25">
      <c r="A356" s="33">
        <v>51744</v>
      </c>
      <c r="B356" s="14">
        <f>CHOOSE(CONTROL!$C$42, 16.027, 16.027) * CHOOSE(CONTROL!$C$21, $C$9, 100%, $E$9)</f>
        <v>16.027000000000001</v>
      </c>
      <c r="C356" s="14">
        <f>CHOOSE(CONTROL!$C$42, 16.0351, 16.0351) * CHOOSE(CONTROL!$C$21, $C$9, 100%, $E$9)</f>
        <v>16.0351</v>
      </c>
      <c r="D356" s="14">
        <f>CHOOSE(CONTROL!$C$42, 16.2557, 16.2557) * CHOOSE(CONTROL!$C$21, $C$9, 100%, $E$9)</f>
        <v>16.255700000000001</v>
      </c>
      <c r="E356" s="14">
        <f>CHOOSE(CONTROL!$C$42, 16.2871, 16.2871) * CHOOSE(CONTROL!$C$21, $C$9, 100%, $E$9)</f>
        <v>16.287099999999999</v>
      </c>
      <c r="F356" s="14">
        <f>CHOOSE(CONTROL!$C$42, 16.0544, 16.0544)*CHOOSE(CONTROL!$C$21, $C$9, 100%, $E$9)</f>
        <v>16.054400000000001</v>
      </c>
      <c r="G356" s="14">
        <f>CHOOSE(CONTROL!$C$42, 16.0718, 16.0718)*CHOOSE(CONTROL!$C$21, $C$9, 100%, $E$9)</f>
        <v>16.0718</v>
      </c>
      <c r="H356" s="14">
        <f>CHOOSE(CONTROL!$C$42, 16.2758, 16.2758) * CHOOSE(CONTROL!$C$21, $C$9, 100%, $E$9)</f>
        <v>16.2758</v>
      </c>
      <c r="I356" s="14">
        <f>CHOOSE(CONTROL!$C$42, 16.1051, 16.1051)* CHOOSE(CONTROL!$C$21, $C$9, 100%, $E$9)</f>
        <v>16.1051</v>
      </c>
      <c r="J356" s="14">
        <f>CHOOSE(CONTROL!$C$42, 16.0474, 16.0474)* CHOOSE(CONTROL!$C$21, $C$9, 100%, $E$9)</f>
        <v>16.0474</v>
      </c>
      <c r="K356" s="53">
        <f>CHOOSE(CONTROL!$C$42, 16.1012, 16.1012) * CHOOSE(CONTROL!$C$21, $C$9, 100%, $E$9)</f>
        <v>16.101199999999999</v>
      </c>
      <c r="L356" s="14">
        <f>CHOOSE(CONTROL!$C$42, 16.8628, 16.8628) * CHOOSE(CONTROL!$C$21, $C$9, 100%, $E$9)</f>
        <v>16.8628</v>
      </c>
      <c r="M356" s="14">
        <f>CHOOSE(CONTROL!$C$42, 15.7263, 15.7263) * CHOOSE(CONTROL!$C$21, $C$9, 100%, $E$9)</f>
        <v>15.7263</v>
      </c>
      <c r="N356" s="14">
        <f>CHOOSE(CONTROL!$C$42, 15.7434, 15.7434) * CHOOSE(CONTROL!$C$21, $C$9, 100%, $E$9)</f>
        <v>15.743399999999999</v>
      </c>
      <c r="O356" s="14">
        <f>CHOOSE(CONTROL!$C$42, 15.95, 15.95) * CHOOSE(CONTROL!$C$21, $C$9, 100%, $E$9)</f>
        <v>15.95</v>
      </c>
      <c r="P356" s="14">
        <f>CHOOSE(CONTROL!$C$42, 15.7819, 15.7819) * CHOOSE(CONTROL!$C$21, $C$9, 100%, $E$9)</f>
        <v>15.7819</v>
      </c>
      <c r="Q356" s="14">
        <f>CHOOSE(CONTROL!$C$42, 16.5447, 16.5447) * CHOOSE(CONTROL!$C$21, $C$9, 100%, $E$9)</f>
        <v>16.544699999999999</v>
      </c>
      <c r="R356" s="14">
        <f>CHOOSE(CONTROL!$C$42, 17.173, 17.173) * CHOOSE(CONTROL!$C$21, $C$9, 100%, $E$9)</f>
        <v>17.172999999999998</v>
      </c>
      <c r="S356" s="14">
        <f>CHOOSE(CONTROL!$C$42, 15.3898, 15.3898) * CHOOSE(CONTROL!$C$21, $C$9, 100%, $E$9)</f>
        <v>15.389799999999999</v>
      </c>
      <c r="T3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56" s="57">
        <f>(1000*CHOOSE(CONTROL!$C$42, 695, 695)*CHOOSE(CONTROL!$C$42, 0.5599, 0.5599)*CHOOSE(CONTROL!$C$42, 31, 31))/1000000</f>
        <v>12.063045499999998</v>
      </c>
      <c r="V356" s="57">
        <f>(1000*CHOOSE(CONTROL!$C$42, 500, 500)*CHOOSE(CONTROL!$C$42, 0.275, 0.275)*CHOOSE(CONTROL!$C$42, 31, 31))/1000000</f>
        <v>4.2625000000000002</v>
      </c>
      <c r="W356" s="57">
        <f>(1000*CHOOSE(CONTROL!$C$42, 0.1146, 0.1146)*CHOOSE(CONTROL!$C$42, 121.5, 121.5)*CHOOSE(CONTROL!$C$42, 31, 31))/1000000</f>
        <v>0.43164089999999994</v>
      </c>
      <c r="X356" s="57">
        <f>(31*0.1790888*245000/1000000)+(31*0.2374*100000/1000000)</f>
        <v>2.0961194359999999</v>
      </c>
      <c r="Y356" s="57"/>
      <c r="Z356" s="14"/>
      <c r="AA356" s="56"/>
      <c r="AB356" s="50">
        <f>(B356*194.205+C356*267.466+D356*133.845+E356*53.484+F356*40+G356*185+H356*0+I356*100+J356*300)/(194.205+267.466+133.845+53.484+0+40+185+100+300)</f>
        <v>16.081946636185243</v>
      </c>
      <c r="AC356" s="45">
        <f>(M356*'RAP TEMPLATE-GAS AVAILABILITY'!O355+N356*'RAP TEMPLATE-GAS AVAILABILITY'!P355+O356*'RAP TEMPLATE-GAS AVAILABILITY'!Q355+P356*'RAP TEMPLATE-GAS AVAILABILITY'!R355)/('RAP TEMPLATE-GAS AVAILABILITY'!O355+'RAP TEMPLATE-GAS AVAILABILITY'!P355+'RAP TEMPLATE-GAS AVAILABILITY'!Q355+'RAP TEMPLATE-GAS AVAILABILITY'!R355)</f>
        <v>15.801001438848921</v>
      </c>
    </row>
    <row r="357" spans="1:29" ht="15.75" x14ac:dyDescent="0.25">
      <c r="A357" s="33">
        <v>51774</v>
      </c>
      <c r="B357" s="14">
        <f>CHOOSE(CONTROL!$C$42, 15.0101, 15.0101) * CHOOSE(CONTROL!$C$21, $C$9, 100%, $E$9)</f>
        <v>15.0101</v>
      </c>
      <c r="C357" s="14">
        <f>CHOOSE(CONTROL!$C$42, 15.0181, 15.0181) * CHOOSE(CONTROL!$C$21, $C$9, 100%, $E$9)</f>
        <v>15.0181</v>
      </c>
      <c r="D357" s="14">
        <f>CHOOSE(CONTROL!$C$42, 15.2387, 15.2387) * CHOOSE(CONTROL!$C$21, $C$9, 100%, $E$9)</f>
        <v>15.2387</v>
      </c>
      <c r="E357" s="14">
        <f>CHOOSE(CONTROL!$C$42, 15.2701, 15.2701) * CHOOSE(CONTROL!$C$21, $C$9, 100%, $E$9)</f>
        <v>15.270099999999999</v>
      </c>
      <c r="F357" s="14">
        <f>CHOOSE(CONTROL!$C$42, 15.0374, 15.0374)*CHOOSE(CONTROL!$C$21, $C$9, 100%, $E$9)</f>
        <v>15.0374</v>
      </c>
      <c r="G357" s="14">
        <f>CHOOSE(CONTROL!$C$42, 15.0548, 15.0548)*CHOOSE(CONTROL!$C$21, $C$9, 100%, $E$9)</f>
        <v>15.0548</v>
      </c>
      <c r="H357" s="14">
        <f>CHOOSE(CONTROL!$C$42, 15.2588, 15.2588) * CHOOSE(CONTROL!$C$21, $C$9, 100%, $E$9)</f>
        <v>15.258800000000001</v>
      </c>
      <c r="I357" s="14">
        <f>CHOOSE(CONTROL!$C$42, 15.0849, 15.0849)* CHOOSE(CONTROL!$C$21, $C$9, 100%, $E$9)</f>
        <v>15.084899999999999</v>
      </c>
      <c r="J357" s="14">
        <f>CHOOSE(CONTROL!$C$42, 15.0304, 15.0304)* CHOOSE(CONTROL!$C$21, $C$9, 100%, $E$9)</f>
        <v>15.0304</v>
      </c>
      <c r="K357" s="53">
        <f>CHOOSE(CONTROL!$C$42, 15.0811, 15.0811) * CHOOSE(CONTROL!$C$21, $C$9, 100%, $E$9)</f>
        <v>15.081099999999999</v>
      </c>
      <c r="L357" s="14">
        <f>CHOOSE(CONTROL!$C$42, 15.8458, 15.8458) * CHOOSE(CONTROL!$C$21, $C$9, 100%, $E$9)</f>
        <v>15.845800000000001</v>
      </c>
      <c r="M357" s="14">
        <f>CHOOSE(CONTROL!$C$42, 14.7301, 14.7301) * CHOOSE(CONTROL!$C$21, $C$9, 100%, $E$9)</f>
        <v>14.7301</v>
      </c>
      <c r="N357" s="14">
        <f>CHOOSE(CONTROL!$C$42, 14.7472, 14.7472) * CHOOSE(CONTROL!$C$21, $C$9, 100%, $E$9)</f>
        <v>14.747199999999999</v>
      </c>
      <c r="O357" s="14">
        <f>CHOOSE(CONTROL!$C$42, 14.9538, 14.9538) * CHOOSE(CONTROL!$C$21, $C$9, 100%, $E$9)</f>
        <v>14.953799999999999</v>
      </c>
      <c r="P357" s="14">
        <f>CHOOSE(CONTROL!$C$42, 14.7827, 14.7827) * CHOOSE(CONTROL!$C$21, $C$9, 100%, $E$9)</f>
        <v>14.7827</v>
      </c>
      <c r="Q357" s="14">
        <f>CHOOSE(CONTROL!$C$42, 15.5485, 15.5485) * CHOOSE(CONTROL!$C$21, $C$9, 100%, $E$9)</f>
        <v>15.548500000000001</v>
      </c>
      <c r="R357" s="14">
        <f>CHOOSE(CONTROL!$C$42, 16.1744, 16.1744) * CHOOSE(CONTROL!$C$21, $C$9, 100%, $E$9)</f>
        <v>16.174399999999999</v>
      </c>
      <c r="S357" s="14">
        <f>CHOOSE(CONTROL!$C$42, 14.4125, 14.4125) * CHOOSE(CONTROL!$C$21, $C$9, 100%, $E$9)</f>
        <v>14.4125</v>
      </c>
      <c r="T3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57" s="57">
        <f>(1000*CHOOSE(CONTROL!$C$42, 695, 695)*CHOOSE(CONTROL!$C$42, 0.5599, 0.5599)*CHOOSE(CONTROL!$C$42, 30, 30))/1000000</f>
        <v>11.673914999999997</v>
      </c>
      <c r="V357" s="57">
        <f>(1000*CHOOSE(CONTROL!$C$42, 500, 500)*CHOOSE(CONTROL!$C$42, 0.275, 0.275)*CHOOSE(CONTROL!$C$42, 30, 30))/1000000</f>
        <v>4.125</v>
      </c>
      <c r="W357" s="57">
        <f>(1000*CHOOSE(CONTROL!$C$42, 0.1146, 0.1146)*CHOOSE(CONTROL!$C$42, 121.5, 121.5)*CHOOSE(CONTROL!$C$42, 30, 30))/1000000</f>
        <v>0.417717</v>
      </c>
      <c r="X357" s="57">
        <f>(30*0.1790888*245000/1000000)+(30*0.2374*100000/1000000)</f>
        <v>2.0285026799999999</v>
      </c>
      <c r="Y357" s="57"/>
      <c r="Z357" s="14"/>
      <c r="AA357" s="56"/>
      <c r="AB357" s="50">
        <f>(B357*194.205+C357*267.466+D357*133.845+E357*53.484+F357*40+G357*185+H357*0+I357*100+J357*300)/(194.205+267.466+133.845+53.484+0+40+185+100+300)</f>
        <v>15.064710702511775</v>
      </c>
      <c r="AC357" s="45">
        <f>(M357*'RAP TEMPLATE-GAS AVAILABILITY'!O356+N357*'RAP TEMPLATE-GAS AVAILABILITY'!P356+O357*'RAP TEMPLATE-GAS AVAILABILITY'!Q356+P357*'RAP TEMPLATE-GAS AVAILABILITY'!R356)/('RAP TEMPLATE-GAS AVAILABILITY'!O356+'RAP TEMPLATE-GAS AVAILABILITY'!P356+'RAP TEMPLATE-GAS AVAILABILITY'!Q356+'RAP TEMPLATE-GAS AVAILABILITY'!R356)</f>
        <v>14.804369784172662</v>
      </c>
    </row>
    <row r="358" spans="1:29" ht="15.75" x14ac:dyDescent="0.25">
      <c r="A358" s="33">
        <v>51805</v>
      </c>
      <c r="B358" s="14">
        <f>CHOOSE(CONTROL!$C$42, 14.7038, 14.7038) * CHOOSE(CONTROL!$C$21, $C$9, 100%, $E$9)</f>
        <v>14.703799999999999</v>
      </c>
      <c r="C358" s="14">
        <f>CHOOSE(CONTROL!$C$42, 14.7091, 14.7091) * CHOOSE(CONTROL!$C$21, $C$9, 100%, $E$9)</f>
        <v>14.709099999999999</v>
      </c>
      <c r="D358" s="14">
        <f>CHOOSE(CONTROL!$C$42, 14.9346, 14.9346) * CHOOSE(CONTROL!$C$21, $C$9, 100%, $E$9)</f>
        <v>14.9346</v>
      </c>
      <c r="E358" s="14">
        <f>CHOOSE(CONTROL!$C$42, 14.9638, 14.9638) * CHOOSE(CONTROL!$C$21, $C$9, 100%, $E$9)</f>
        <v>14.963800000000001</v>
      </c>
      <c r="F358" s="14">
        <f>CHOOSE(CONTROL!$C$42, 14.7331, 14.7331)*CHOOSE(CONTROL!$C$21, $C$9, 100%, $E$9)</f>
        <v>14.7331</v>
      </c>
      <c r="G358" s="14">
        <f>CHOOSE(CONTROL!$C$42, 14.7504, 14.7504)*CHOOSE(CONTROL!$C$21, $C$9, 100%, $E$9)</f>
        <v>14.750400000000001</v>
      </c>
      <c r="H358" s="14">
        <f>CHOOSE(CONTROL!$C$42, 14.9542, 14.9542) * CHOOSE(CONTROL!$C$21, $C$9, 100%, $E$9)</f>
        <v>14.9542</v>
      </c>
      <c r="I358" s="14">
        <f>CHOOSE(CONTROL!$C$42, 14.7795, 14.7795)* CHOOSE(CONTROL!$C$21, $C$9, 100%, $E$9)</f>
        <v>14.779500000000001</v>
      </c>
      <c r="J358" s="14">
        <f>CHOOSE(CONTROL!$C$42, 14.7261, 14.7261)* CHOOSE(CONTROL!$C$21, $C$9, 100%, $E$9)</f>
        <v>14.726100000000001</v>
      </c>
      <c r="K358" s="53">
        <f>CHOOSE(CONTROL!$C$42, 14.7756, 14.7756) * CHOOSE(CONTROL!$C$21, $C$9, 100%, $E$9)</f>
        <v>14.775600000000001</v>
      </c>
      <c r="L358" s="14">
        <f>CHOOSE(CONTROL!$C$42, 15.5412, 15.5412) * CHOOSE(CONTROL!$C$21, $C$9, 100%, $E$9)</f>
        <v>15.5412</v>
      </c>
      <c r="M358" s="14">
        <f>CHOOSE(CONTROL!$C$42, 14.4321, 14.4321) * CHOOSE(CONTROL!$C$21, $C$9, 100%, $E$9)</f>
        <v>14.4321</v>
      </c>
      <c r="N358" s="14">
        <f>CHOOSE(CONTROL!$C$42, 14.449, 14.449) * CHOOSE(CONTROL!$C$21, $C$9, 100%, $E$9)</f>
        <v>14.449</v>
      </c>
      <c r="O358" s="14">
        <f>CHOOSE(CONTROL!$C$42, 14.6555, 14.6555) * CHOOSE(CONTROL!$C$21, $C$9, 100%, $E$9)</f>
        <v>14.6555</v>
      </c>
      <c r="P358" s="14">
        <f>CHOOSE(CONTROL!$C$42, 14.4835, 14.4835) * CHOOSE(CONTROL!$C$21, $C$9, 100%, $E$9)</f>
        <v>14.483499999999999</v>
      </c>
      <c r="Q358" s="14">
        <f>CHOOSE(CONTROL!$C$42, 15.2502, 15.2502) * CHOOSE(CONTROL!$C$21, $C$9, 100%, $E$9)</f>
        <v>15.2502</v>
      </c>
      <c r="R358" s="14">
        <f>CHOOSE(CONTROL!$C$42, 15.8754, 15.8754) * CHOOSE(CONTROL!$C$21, $C$9, 100%, $E$9)</f>
        <v>15.875400000000001</v>
      </c>
      <c r="S358" s="14">
        <f>CHOOSE(CONTROL!$C$42, 14.1199, 14.1199) * CHOOSE(CONTROL!$C$21, $C$9, 100%, $E$9)</f>
        <v>14.119899999999999</v>
      </c>
      <c r="T3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58" s="57">
        <f>(1000*CHOOSE(CONTROL!$C$42, 695, 695)*CHOOSE(CONTROL!$C$42, 0.5599, 0.5599)*CHOOSE(CONTROL!$C$42, 31, 31))/1000000</f>
        <v>12.063045499999998</v>
      </c>
      <c r="V358" s="57">
        <f>(1000*CHOOSE(CONTROL!$C$42, 500, 500)*CHOOSE(CONTROL!$C$42, 0.275, 0.275)*CHOOSE(CONTROL!$C$42, 31, 31))/1000000</f>
        <v>4.2625000000000002</v>
      </c>
      <c r="W358" s="57">
        <f>(1000*CHOOSE(CONTROL!$C$42, 0.1146, 0.1146)*CHOOSE(CONTROL!$C$42, 121.5, 121.5)*CHOOSE(CONTROL!$C$42, 31, 31))/1000000</f>
        <v>0.43164089999999994</v>
      </c>
      <c r="X358" s="57">
        <f>(31*0.1790888*245000/1000000)+(31*0.2374*100000/1000000)</f>
        <v>2.0961194359999999</v>
      </c>
      <c r="Y358" s="57"/>
      <c r="Z358" s="14"/>
      <c r="AA358" s="56"/>
      <c r="AB358" s="50">
        <f>(B358*131.881+C358*277.167+D358*79.08+E358*125.872+F358*40+G358*185+H358*0+I358*100+J358*300)/(131.881+277.167+79.08+125.872+0+40+185+100+300)</f>
        <v>14.765543639305891</v>
      </c>
      <c r="AC358" s="45">
        <f>(M358*'RAP TEMPLATE-GAS AVAILABILITY'!O357+N358*'RAP TEMPLATE-GAS AVAILABILITY'!P357+O358*'RAP TEMPLATE-GAS AVAILABILITY'!Q357+P358*'RAP TEMPLATE-GAS AVAILABILITY'!R357)/('RAP TEMPLATE-GAS AVAILABILITY'!O357+'RAP TEMPLATE-GAS AVAILABILITY'!P357+'RAP TEMPLATE-GAS AVAILABILITY'!Q357+'RAP TEMPLATE-GAS AVAILABILITY'!R357)</f>
        <v>14.506066906474821</v>
      </c>
    </row>
    <row r="359" spans="1:29" ht="15.75" x14ac:dyDescent="0.25">
      <c r="A359" s="33">
        <v>51835</v>
      </c>
      <c r="B359" s="14">
        <f>CHOOSE(CONTROL!$C$42, 15.0905, 15.0905) * CHOOSE(CONTROL!$C$21, $C$9, 100%, $E$9)</f>
        <v>15.0905</v>
      </c>
      <c r="C359" s="14">
        <f>CHOOSE(CONTROL!$C$42, 15.0955, 15.0955) * CHOOSE(CONTROL!$C$21, $C$9, 100%, $E$9)</f>
        <v>15.095499999999999</v>
      </c>
      <c r="D359" s="14">
        <f>CHOOSE(CONTROL!$C$42, 15.1697, 15.1697) * CHOOSE(CONTROL!$C$21, $C$9, 100%, $E$9)</f>
        <v>15.169700000000001</v>
      </c>
      <c r="E359" s="14">
        <f>CHOOSE(CONTROL!$C$42, 15.2038, 15.2038) * CHOOSE(CONTROL!$C$21, $C$9, 100%, $E$9)</f>
        <v>15.203799999999999</v>
      </c>
      <c r="F359" s="14">
        <f>CHOOSE(CONTROL!$C$42, 15.1265, 15.1265)*CHOOSE(CONTROL!$C$21, $C$9, 100%, $E$9)</f>
        <v>15.1265</v>
      </c>
      <c r="G359" s="14">
        <f>CHOOSE(CONTROL!$C$42, 15.144, 15.144)*CHOOSE(CONTROL!$C$21, $C$9, 100%, $E$9)</f>
        <v>15.144</v>
      </c>
      <c r="H359" s="14">
        <f>CHOOSE(CONTROL!$C$42, 15.193, 15.193) * CHOOSE(CONTROL!$C$21, $C$9, 100%, $E$9)</f>
        <v>15.193</v>
      </c>
      <c r="I359" s="14">
        <f>CHOOSE(CONTROL!$C$42, 15.1652, 15.1652)* CHOOSE(CONTROL!$C$21, $C$9, 100%, $E$9)</f>
        <v>15.1652</v>
      </c>
      <c r="J359" s="14">
        <f>CHOOSE(CONTROL!$C$42, 15.1195, 15.1195)* CHOOSE(CONTROL!$C$21, $C$9, 100%, $E$9)</f>
        <v>15.1195</v>
      </c>
      <c r="K359" s="53">
        <f>CHOOSE(CONTROL!$C$42, 15.1613, 15.1613) * CHOOSE(CONTROL!$C$21, $C$9, 100%, $E$9)</f>
        <v>15.161300000000001</v>
      </c>
      <c r="L359" s="14">
        <f>CHOOSE(CONTROL!$C$42, 15.78, 15.78) * CHOOSE(CONTROL!$C$21, $C$9, 100%, $E$9)</f>
        <v>15.78</v>
      </c>
      <c r="M359" s="14">
        <f>CHOOSE(CONTROL!$C$42, 14.8174, 14.8174) * CHOOSE(CONTROL!$C$21, $C$9, 100%, $E$9)</f>
        <v>14.817399999999999</v>
      </c>
      <c r="N359" s="14">
        <f>CHOOSE(CONTROL!$C$42, 14.8346, 14.8346) * CHOOSE(CONTROL!$C$21, $C$9, 100%, $E$9)</f>
        <v>14.8346</v>
      </c>
      <c r="O359" s="14">
        <f>CHOOSE(CONTROL!$C$42, 14.8894, 14.8894) * CHOOSE(CONTROL!$C$21, $C$9, 100%, $E$9)</f>
        <v>14.8894</v>
      </c>
      <c r="P359" s="14">
        <f>CHOOSE(CONTROL!$C$42, 14.8613, 14.8613) * CHOOSE(CONTROL!$C$21, $C$9, 100%, $E$9)</f>
        <v>14.8613</v>
      </c>
      <c r="Q359" s="14">
        <f>CHOOSE(CONTROL!$C$42, 15.4841, 15.4841) * CHOOSE(CONTROL!$C$21, $C$9, 100%, $E$9)</f>
        <v>15.4841</v>
      </c>
      <c r="R359" s="14">
        <f>CHOOSE(CONTROL!$C$42, 16.1098, 16.1098) * CHOOSE(CONTROL!$C$21, $C$9, 100%, $E$9)</f>
        <v>16.1098</v>
      </c>
      <c r="S359" s="14">
        <f>CHOOSE(CONTROL!$C$42, 14.4919, 14.4919) * CHOOSE(CONTROL!$C$21, $C$9, 100%, $E$9)</f>
        <v>14.491899999999999</v>
      </c>
      <c r="T3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9" s="57">
        <f>(1000*CHOOSE(CONTROL!$C$42, 695, 695)*CHOOSE(CONTROL!$C$42, 0.5599, 0.5599)*CHOOSE(CONTROL!$C$42, 30, 30))/1000000</f>
        <v>11.673914999999997</v>
      </c>
      <c r="V359" s="57">
        <f>(1000*CHOOSE(CONTROL!$C$42, 500, 500)*CHOOSE(CONTROL!$C$42, 0.275, 0.275)*CHOOSE(CONTROL!$C$42, 30, 30))/1000000</f>
        <v>4.125</v>
      </c>
      <c r="W359" s="57">
        <f>(1000*CHOOSE(CONTROL!$C$42, 0.1146, 0.1146)*CHOOSE(CONTROL!$C$42, 121.5, 121.5)*CHOOSE(CONTROL!$C$42, 30, 30))/1000000</f>
        <v>0.417717</v>
      </c>
      <c r="X359" s="57">
        <f>(30*0.1790888*100000/1000000)+(30*0.2374*100000/1000000)</f>
        <v>1.2494664</v>
      </c>
      <c r="Y359" s="57"/>
      <c r="Z359" s="14"/>
      <c r="AA359" s="56"/>
      <c r="AB359" s="50">
        <f>(B359*122.58+C359*297.941+D359*89.177+E359*40.302+F359*40+G359*160+H359*0+I359*100+J359*300)/(122.58+297.941+89.177+40.302+0+40+160+100+300)</f>
        <v>15.124664121739132</v>
      </c>
      <c r="AC359" s="45">
        <f>(M359*'RAP TEMPLATE-GAS AVAILABILITY'!O358+N359*'RAP TEMPLATE-GAS AVAILABILITY'!P358+O359*'RAP TEMPLATE-GAS AVAILABILITY'!Q358+P359*'RAP TEMPLATE-GAS AVAILABILITY'!R358)/('RAP TEMPLATE-GAS AVAILABILITY'!O358+'RAP TEMPLATE-GAS AVAILABILITY'!P358+'RAP TEMPLATE-GAS AVAILABILITY'!Q358+'RAP TEMPLATE-GAS AVAILABILITY'!R358)</f>
        <v>14.857339568345322</v>
      </c>
    </row>
    <row r="360" spans="1:29" ht="15.75" x14ac:dyDescent="0.25">
      <c r="A360" s="33">
        <v>51866</v>
      </c>
      <c r="B360" s="14">
        <f>CHOOSE(CONTROL!$C$42, 16.1187, 16.1187) * CHOOSE(CONTROL!$C$21, $C$9, 100%, $E$9)</f>
        <v>16.1187</v>
      </c>
      <c r="C360" s="14">
        <f>CHOOSE(CONTROL!$C$42, 16.1237, 16.1237) * CHOOSE(CONTROL!$C$21, $C$9, 100%, $E$9)</f>
        <v>16.123699999999999</v>
      </c>
      <c r="D360" s="14">
        <f>CHOOSE(CONTROL!$C$42, 16.1979, 16.1979) * CHOOSE(CONTROL!$C$21, $C$9, 100%, $E$9)</f>
        <v>16.197900000000001</v>
      </c>
      <c r="E360" s="14">
        <f>CHOOSE(CONTROL!$C$42, 16.2321, 16.2321) * CHOOSE(CONTROL!$C$21, $C$9, 100%, $E$9)</f>
        <v>16.232099999999999</v>
      </c>
      <c r="F360" s="14">
        <f>CHOOSE(CONTROL!$C$42, 16.1571, 16.1571)*CHOOSE(CONTROL!$C$21, $C$9, 100%, $E$9)</f>
        <v>16.1571</v>
      </c>
      <c r="G360" s="14">
        <f>CHOOSE(CONTROL!$C$42, 16.1752, 16.1752)*CHOOSE(CONTROL!$C$21, $C$9, 100%, $E$9)</f>
        <v>16.1752</v>
      </c>
      <c r="H360" s="14">
        <f>CHOOSE(CONTROL!$C$42, 16.2212, 16.2212) * CHOOSE(CONTROL!$C$21, $C$9, 100%, $E$9)</f>
        <v>16.2212</v>
      </c>
      <c r="I360" s="14">
        <f>CHOOSE(CONTROL!$C$42, 16.1966, 16.1966)* CHOOSE(CONTROL!$C$21, $C$9, 100%, $E$9)</f>
        <v>16.1966</v>
      </c>
      <c r="J360" s="14">
        <f>CHOOSE(CONTROL!$C$42, 16.1501, 16.1501)* CHOOSE(CONTROL!$C$21, $C$9, 100%, $E$9)</f>
        <v>16.150099999999998</v>
      </c>
      <c r="K360" s="53">
        <f>CHOOSE(CONTROL!$C$42, 16.1927, 16.1927) * CHOOSE(CONTROL!$C$21, $C$9, 100%, $E$9)</f>
        <v>16.192699999999999</v>
      </c>
      <c r="L360" s="14">
        <f>CHOOSE(CONTROL!$C$42, 16.8082, 16.8082) * CHOOSE(CONTROL!$C$21, $C$9, 100%, $E$9)</f>
        <v>16.808199999999999</v>
      </c>
      <c r="M360" s="14">
        <f>CHOOSE(CONTROL!$C$42, 15.8269, 15.8269) * CHOOSE(CONTROL!$C$21, $C$9, 100%, $E$9)</f>
        <v>15.8269</v>
      </c>
      <c r="N360" s="14">
        <f>CHOOSE(CONTROL!$C$42, 15.8446, 15.8446) * CHOOSE(CONTROL!$C$21, $C$9, 100%, $E$9)</f>
        <v>15.8446</v>
      </c>
      <c r="O360" s="14">
        <f>CHOOSE(CONTROL!$C$42, 15.8966, 15.8966) * CHOOSE(CONTROL!$C$21, $C$9, 100%, $E$9)</f>
        <v>15.896599999999999</v>
      </c>
      <c r="P360" s="14">
        <f>CHOOSE(CONTROL!$C$42, 15.8715, 15.8715) * CHOOSE(CONTROL!$C$21, $C$9, 100%, $E$9)</f>
        <v>15.871499999999999</v>
      </c>
      <c r="Q360" s="14">
        <f>CHOOSE(CONTROL!$C$42, 16.4913, 16.4913) * CHOOSE(CONTROL!$C$21, $C$9, 100%, $E$9)</f>
        <v>16.491299999999999</v>
      </c>
      <c r="R360" s="14">
        <f>CHOOSE(CONTROL!$C$42, 17.1195, 17.1195) * CHOOSE(CONTROL!$C$21, $C$9, 100%, $E$9)</f>
        <v>17.119499999999999</v>
      </c>
      <c r="S360" s="14">
        <f>CHOOSE(CONTROL!$C$42, 15.4799, 15.4799) * CHOOSE(CONTROL!$C$21, $C$9, 100%, $E$9)</f>
        <v>15.479900000000001</v>
      </c>
      <c r="T3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0" s="57">
        <f>(1000*CHOOSE(CONTROL!$C$42, 695, 695)*CHOOSE(CONTROL!$C$42, 0.5599, 0.5599)*CHOOSE(CONTROL!$C$42, 31, 31))/1000000</f>
        <v>12.063045499999998</v>
      </c>
      <c r="V360" s="57">
        <f>(1000*CHOOSE(CONTROL!$C$42, 500, 500)*CHOOSE(CONTROL!$C$42, 0.275, 0.275)*CHOOSE(CONTROL!$C$42, 31, 31))/1000000</f>
        <v>4.2625000000000002</v>
      </c>
      <c r="W360" s="57">
        <f>(1000*CHOOSE(CONTROL!$C$42, 0.1146, 0.1146)*CHOOSE(CONTROL!$C$42, 121.5, 121.5)*CHOOSE(CONTROL!$C$42, 31, 31))/1000000</f>
        <v>0.43164089999999994</v>
      </c>
      <c r="X360" s="57">
        <f>(31*0.1790888*100000/1000000)+(31*0.2374*100000/1000000)</f>
        <v>1.2911152800000001</v>
      </c>
      <c r="Y360" s="57"/>
      <c r="Z360" s="14"/>
      <c r="AA360" s="56"/>
      <c r="AB360" s="50">
        <f>(B360*122.58+C360*297.941+D360*89.177+E360*40.302+F360*40+G360*160+H360*0+I360*100+J360*300)/(122.58+297.941+89.177+40.302+0+40+160+100+300)</f>
        <v>16.154272843652173</v>
      </c>
      <c r="AC360" s="45">
        <f>(M360*'RAP TEMPLATE-GAS AVAILABILITY'!O359+N360*'RAP TEMPLATE-GAS AVAILABILITY'!P359+O360*'RAP TEMPLATE-GAS AVAILABILITY'!Q359+P360*'RAP TEMPLATE-GAS AVAILABILITY'!R359)/('RAP TEMPLATE-GAS AVAILABILITY'!O359+'RAP TEMPLATE-GAS AVAILABILITY'!P359+'RAP TEMPLATE-GAS AVAILABILITY'!Q359+'RAP TEMPLATE-GAS AVAILABILITY'!R359)</f>
        <v>15.865926618705036</v>
      </c>
    </row>
    <row r="361" spans="1:29" ht="15.75" x14ac:dyDescent="0.25">
      <c r="A361" s="33">
        <v>51897</v>
      </c>
      <c r="B361" s="14">
        <f>CHOOSE(CONTROL!$C$42, 17.4541, 17.4541) * CHOOSE(CONTROL!$C$21, $C$9, 100%, $E$9)</f>
        <v>17.4541</v>
      </c>
      <c r="C361" s="14">
        <f>CHOOSE(CONTROL!$C$42, 17.4592, 17.4592) * CHOOSE(CONTROL!$C$21, $C$9, 100%, $E$9)</f>
        <v>17.459199999999999</v>
      </c>
      <c r="D361" s="14">
        <f>CHOOSE(CONTROL!$C$42, 17.536, 17.536) * CHOOSE(CONTROL!$C$21, $C$9, 100%, $E$9)</f>
        <v>17.536000000000001</v>
      </c>
      <c r="E361" s="14">
        <f>CHOOSE(CONTROL!$C$42, 17.5701, 17.5701) * CHOOSE(CONTROL!$C$21, $C$9, 100%, $E$9)</f>
        <v>17.5701</v>
      </c>
      <c r="F361" s="14">
        <f>CHOOSE(CONTROL!$C$42, 17.4789, 17.4789)*CHOOSE(CONTROL!$C$21, $C$9, 100%, $E$9)</f>
        <v>17.478899999999999</v>
      </c>
      <c r="G361" s="14">
        <f>CHOOSE(CONTROL!$C$42, 17.4968, 17.4968)*CHOOSE(CONTROL!$C$21, $C$9, 100%, $E$9)</f>
        <v>17.4968</v>
      </c>
      <c r="H361" s="14">
        <f>CHOOSE(CONTROL!$C$42, 17.5593, 17.5593) * CHOOSE(CONTROL!$C$21, $C$9, 100%, $E$9)</f>
        <v>17.5593</v>
      </c>
      <c r="I361" s="14">
        <f>CHOOSE(CONTROL!$C$42, 17.5425, 17.5425)* CHOOSE(CONTROL!$C$21, $C$9, 100%, $E$9)</f>
        <v>17.5425</v>
      </c>
      <c r="J361" s="14">
        <f>CHOOSE(CONTROL!$C$42, 17.4719, 17.4719)* CHOOSE(CONTROL!$C$21, $C$9, 100%, $E$9)</f>
        <v>17.471900000000002</v>
      </c>
      <c r="K361" s="53">
        <f>CHOOSE(CONTROL!$C$42, 17.5386, 17.5386) * CHOOSE(CONTROL!$C$21, $C$9, 100%, $E$9)</f>
        <v>17.538599999999999</v>
      </c>
      <c r="L361" s="14">
        <f>CHOOSE(CONTROL!$C$42, 18.1463, 18.1463) * CHOOSE(CONTROL!$C$21, $C$9, 100%, $E$9)</f>
        <v>18.1463</v>
      </c>
      <c r="M361" s="14">
        <f>CHOOSE(CONTROL!$C$42, 17.1216, 17.1216) * CHOOSE(CONTROL!$C$21, $C$9, 100%, $E$9)</f>
        <v>17.121600000000001</v>
      </c>
      <c r="N361" s="14">
        <f>CHOOSE(CONTROL!$C$42, 17.1392, 17.1392) * CHOOSE(CONTROL!$C$21, $C$9, 100%, $E$9)</f>
        <v>17.139199999999999</v>
      </c>
      <c r="O361" s="14">
        <f>CHOOSE(CONTROL!$C$42, 17.2072, 17.2072) * CHOOSE(CONTROL!$C$21, $C$9, 100%, $E$9)</f>
        <v>17.2072</v>
      </c>
      <c r="P361" s="14">
        <f>CHOOSE(CONTROL!$C$42, 17.1897, 17.1897) * CHOOSE(CONTROL!$C$21, $C$9, 100%, $E$9)</f>
        <v>17.189699999999998</v>
      </c>
      <c r="Q361" s="14">
        <f>CHOOSE(CONTROL!$C$42, 17.8019, 17.8019) * CHOOSE(CONTROL!$C$21, $C$9, 100%, $E$9)</f>
        <v>17.8019</v>
      </c>
      <c r="R361" s="14">
        <f>CHOOSE(CONTROL!$C$42, 18.4334, 18.4334) * CHOOSE(CONTROL!$C$21, $C$9, 100%, $E$9)</f>
        <v>18.433399999999999</v>
      </c>
      <c r="S361" s="14">
        <f>CHOOSE(CONTROL!$C$42, 16.7631, 16.7631) * CHOOSE(CONTROL!$C$21, $C$9, 100%, $E$9)</f>
        <v>16.763100000000001</v>
      </c>
      <c r="T3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61" s="57">
        <f>(1000*CHOOSE(CONTROL!$C$42, 695, 695)*CHOOSE(CONTROL!$C$42, 0.5599, 0.5599)*CHOOSE(CONTROL!$C$42, 31, 31))/1000000</f>
        <v>12.063045499999998</v>
      </c>
      <c r="V361" s="57">
        <f>(1000*CHOOSE(CONTROL!$C$42, 500, 500)*CHOOSE(CONTROL!$C$42, 0.275, 0.275)*CHOOSE(CONTROL!$C$42, 31, 31))/1000000</f>
        <v>4.2625000000000002</v>
      </c>
      <c r="W361" s="57">
        <f>(1000*CHOOSE(CONTROL!$C$42, 0.1146, 0.1146)*CHOOSE(CONTROL!$C$42, 121.5, 121.5)*CHOOSE(CONTROL!$C$42, 31, 31))/1000000</f>
        <v>0.43164089999999994</v>
      </c>
      <c r="X361" s="57">
        <f>(31*0.1790888*100000/1000000)+(31*0.2374*100000/1000000)</f>
        <v>1.2911152800000001</v>
      </c>
      <c r="Y361" s="57"/>
      <c r="Z361" s="14"/>
      <c r="AA361" s="56"/>
      <c r="AB361" s="50">
        <f>(B361*122.58+C361*297.941+D361*89.177+E361*40.302+F361*40+G361*160+H361*0+I361*100+J361*300)/(122.58+297.941+89.177+40.302+0+40+160+100+300)</f>
        <v>17.484971415130435</v>
      </c>
      <c r="AC361" s="45">
        <f>(M361*'RAP TEMPLATE-GAS AVAILABILITY'!O360+N361*'RAP TEMPLATE-GAS AVAILABILITY'!P360+O361*'RAP TEMPLATE-GAS AVAILABILITY'!Q360+P361*'RAP TEMPLATE-GAS AVAILABILITY'!R360)/('RAP TEMPLATE-GAS AVAILABILITY'!O360+'RAP TEMPLATE-GAS AVAILABILITY'!P360+'RAP TEMPLATE-GAS AVAILABILITY'!Q360+'RAP TEMPLATE-GAS AVAILABILITY'!R360)</f>
        <v>17.171208633093524</v>
      </c>
    </row>
    <row r="362" spans="1:29" ht="15.75" x14ac:dyDescent="0.25">
      <c r="A362" s="33">
        <v>51925</v>
      </c>
      <c r="B362" s="14">
        <f>CHOOSE(CONTROL!$C$42, 17.7647, 17.7647) * CHOOSE(CONTROL!$C$21, $C$9, 100%, $E$9)</f>
        <v>17.764700000000001</v>
      </c>
      <c r="C362" s="14">
        <f>CHOOSE(CONTROL!$C$42, 17.7697, 17.7697) * CHOOSE(CONTROL!$C$21, $C$9, 100%, $E$9)</f>
        <v>17.7697</v>
      </c>
      <c r="D362" s="14">
        <f>CHOOSE(CONTROL!$C$42, 17.8465, 17.8465) * CHOOSE(CONTROL!$C$21, $C$9, 100%, $E$9)</f>
        <v>17.846499999999999</v>
      </c>
      <c r="E362" s="14">
        <f>CHOOSE(CONTROL!$C$42, 17.8806, 17.8806) * CHOOSE(CONTROL!$C$21, $C$9, 100%, $E$9)</f>
        <v>17.880600000000001</v>
      </c>
      <c r="F362" s="14">
        <f>CHOOSE(CONTROL!$C$42, 17.789, 17.789)*CHOOSE(CONTROL!$C$21, $C$9, 100%, $E$9)</f>
        <v>17.789000000000001</v>
      </c>
      <c r="G362" s="14">
        <f>CHOOSE(CONTROL!$C$42, 17.8069, 17.8069)*CHOOSE(CONTROL!$C$21, $C$9, 100%, $E$9)</f>
        <v>17.806899999999999</v>
      </c>
      <c r="H362" s="14">
        <f>CHOOSE(CONTROL!$C$42, 17.8698, 17.8698) * CHOOSE(CONTROL!$C$21, $C$9, 100%, $E$9)</f>
        <v>17.869800000000001</v>
      </c>
      <c r="I362" s="14">
        <f>CHOOSE(CONTROL!$C$42, 17.854, 17.854)* CHOOSE(CONTROL!$C$21, $C$9, 100%, $E$9)</f>
        <v>17.853999999999999</v>
      </c>
      <c r="J362" s="14">
        <f>CHOOSE(CONTROL!$C$42, 17.782, 17.782)* CHOOSE(CONTROL!$C$21, $C$9, 100%, $E$9)</f>
        <v>17.782</v>
      </c>
      <c r="K362" s="53">
        <f>CHOOSE(CONTROL!$C$42, 17.8501, 17.8501) * CHOOSE(CONTROL!$C$21, $C$9, 100%, $E$9)</f>
        <v>17.850100000000001</v>
      </c>
      <c r="L362" s="14">
        <f>CHOOSE(CONTROL!$C$42, 18.4568, 18.4568) * CHOOSE(CONTROL!$C$21, $C$9, 100%, $E$9)</f>
        <v>18.456800000000001</v>
      </c>
      <c r="M362" s="14">
        <f>CHOOSE(CONTROL!$C$42, 17.4253, 17.4253) * CHOOSE(CONTROL!$C$21, $C$9, 100%, $E$9)</f>
        <v>17.4253</v>
      </c>
      <c r="N362" s="14">
        <f>CHOOSE(CONTROL!$C$42, 17.4428, 17.4428) * CHOOSE(CONTROL!$C$21, $C$9, 100%, $E$9)</f>
        <v>17.442799999999998</v>
      </c>
      <c r="O362" s="14">
        <f>CHOOSE(CONTROL!$C$42, 17.5114, 17.5114) * CHOOSE(CONTROL!$C$21, $C$9, 100%, $E$9)</f>
        <v>17.511399999999998</v>
      </c>
      <c r="P362" s="14">
        <f>CHOOSE(CONTROL!$C$42, 17.4948, 17.4948) * CHOOSE(CONTROL!$C$21, $C$9, 100%, $E$9)</f>
        <v>17.494800000000001</v>
      </c>
      <c r="Q362" s="14">
        <f>CHOOSE(CONTROL!$C$42, 18.1061, 18.1061) * CHOOSE(CONTROL!$C$21, $C$9, 100%, $E$9)</f>
        <v>18.106100000000001</v>
      </c>
      <c r="R362" s="14">
        <f>CHOOSE(CONTROL!$C$42, 18.7384, 18.7384) * CHOOSE(CONTROL!$C$21, $C$9, 100%, $E$9)</f>
        <v>18.738399999999999</v>
      </c>
      <c r="S362" s="14">
        <f>CHOOSE(CONTROL!$C$42, 17.0615, 17.0615) * CHOOSE(CONTROL!$C$21, $C$9, 100%, $E$9)</f>
        <v>17.061499999999999</v>
      </c>
      <c r="T36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62" s="57">
        <f>(1000*CHOOSE(CONTROL!$C$42, 695, 695)*CHOOSE(CONTROL!$C$42, 0.5599, 0.5599)*CHOOSE(CONTROL!$C$42, 28, 28))/1000000</f>
        <v>10.895653999999999</v>
      </c>
      <c r="V362" s="57">
        <f>(1000*CHOOSE(CONTROL!$C$42, 500, 500)*CHOOSE(CONTROL!$C$42, 0.275, 0.275)*CHOOSE(CONTROL!$C$42, 28, 28))/1000000</f>
        <v>3.85</v>
      </c>
      <c r="W362" s="57">
        <f>(1000*CHOOSE(CONTROL!$C$42, 0.1146, 0.1146)*CHOOSE(CONTROL!$C$42, 121.5, 121.5)*CHOOSE(CONTROL!$C$42, 28, 28))/1000000</f>
        <v>0.38986920000000003</v>
      </c>
      <c r="X362" s="57">
        <f>(28*0.1790888*100000/1000000)+(28*0.2374*100000/1000000)</f>
        <v>1.16616864</v>
      </c>
      <c r="Y362" s="57"/>
      <c r="Z362" s="14"/>
      <c r="AA362" s="56"/>
      <c r="AB362" s="50">
        <f>(B362*122.58+C362*297.941+D362*89.177+E362*40.302+F362*40+G362*160+H362*0+I362*100+J362*300)/(122.58+297.941+89.177+40.302+0+40+160+100+300)</f>
        <v>17.79539511773913</v>
      </c>
      <c r="AC362" s="45">
        <f>(M362*'RAP TEMPLATE-GAS AVAILABILITY'!O361+N362*'RAP TEMPLATE-GAS AVAILABILITY'!P361+O362*'RAP TEMPLATE-GAS AVAILABILITY'!Q361+P362*'RAP TEMPLATE-GAS AVAILABILITY'!R361)/('RAP TEMPLATE-GAS AVAILABILITY'!O361+'RAP TEMPLATE-GAS AVAILABILITY'!P361+'RAP TEMPLATE-GAS AVAILABILITY'!Q361+'RAP TEMPLATE-GAS AVAILABILITY'!R361)</f>
        <v>17.475330935251797</v>
      </c>
    </row>
    <row r="363" spans="1:29" ht="15.75" x14ac:dyDescent="0.25">
      <c r="A363" s="33">
        <v>51956</v>
      </c>
      <c r="B363" s="14">
        <f>CHOOSE(CONTROL!$C$42, 17.2606, 17.2606) * CHOOSE(CONTROL!$C$21, $C$9, 100%, $E$9)</f>
        <v>17.2606</v>
      </c>
      <c r="C363" s="14">
        <f>CHOOSE(CONTROL!$C$42, 17.2656, 17.2656) * CHOOSE(CONTROL!$C$21, $C$9, 100%, $E$9)</f>
        <v>17.265599999999999</v>
      </c>
      <c r="D363" s="14">
        <f>CHOOSE(CONTROL!$C$42, 17.3425, 17.3425) * CHOOSE(CONTROL!$C$21, $C$9, 100%, $E$9)</f>
        <v>17.342500000000001</v>
      </c>
      <c r="E363" s="14">
        <f>CHOOSE(CONTROL!$C$42, 17.3766, 17.3766) * CHOOSE(CONTROL!$C$21, $C$9, 100%, $E$9)</f>
        <v>17.3766</v>
      </c>
      <c r="F363" s="14">
        <f>CHOOSE(CONTROL!$C$42, 17.284, 17.284)*CHOOSE(CONTROL!$C$21, $C$9, 100%, $E$9)</f>
        <v>17.283999999999999</v>
      </c>
      <c r="G363" s="14">
        <f>CHOOSE(CONTROL!$C$42, 17.3017, 17.3017)*CHOOSE(CONTROL!$C$21, $C$9, 100%, $E$9)</f>
        <v>17.3017</v>
      </c>
      <c r="H363" s="14">
        <f>CHOOSE(CONTROL!$C$42, 17.3658, 17.3658) * CHOOSE(CONTROL!$C$21, $C$9, 100%, $E$9)</f>
        <v>17.3658</v>
      </c>
      <c r="I363" s="14">
        <f>CHOOSE(CONTROL!$C$42, 17.3484, 17.3484)* CHOOSE(CONTROL!$C$21, $C$9, 100%, $E$9)</f>
        <v>17.348400000000002</v>
      </c>
      <c r="J363" s="14">
        <f>CHOOSE(CONTROL!$C$42, 17.277, 17.277)* CHOOSE(CONTROL!$C$21, $C$9, 100%, $E$9)</f>
        <v>17.277000000000001</v>
      </c>
      <c r="K363" s="53">
        <f>CHOOSE(CONTROL!$C$42, 17.3445, 17.3445) * CHOOSE(CONTROL!$C$21, $C$9, 100%, $E$9)</f>
        <v>17.3445</v>
      </c>
      <c r="L363" s="14">
        <f>CHOOSE(CONTROL!$C$42, 17.9528, 17.9528) * CHOOSE(CONTROL!$C$21, $C$9, 100%, $E$9)</f>
        <v>17.9528</v>
      </c>
      <c r="M363" s="14">
        <f>CHOOSE(CONTROL!$C$42, 16.9307, 16.9307) * CHOOSE(CONTROL!$C$21, $C$9, 100%, $E$9)</f>
        <v>16.930700000000002</v>
      </c>
      <c r="N363" s="14">
        <f>CHOOSE(CONTROL!$C$42, 16.948, 16.948) * CHOOSE(CONTROL!$C$21, $C$9, 100%, $E$9)</f>
        <v>16.948</v>
      </c>
      <c r="O363" s="14">
        <f>CHOOSE(CONTROL!$C$42, 17.0176, 17.0176) * CHOOSE(CONTROL!$C$21, $C$9, 100%, $E$9)</f>
        <v>17.017600000000002</v>
      </c>
      <c r="P363" s="14">
        <f>CHOOSE(CONTROL!$C$42, 16.9996, 16.9996) * CHOOSE(CONTROL!$C$21, $C$9, 100%, $E$9)</f>
        <v>16.999600000000001</v>
      </c>
      <c r="Q363" s="14">
        <f>CHOOSE(CONTROL!$C$42, 17.6123, 17.6123) * CHOOSE(CONTROL!$C$21, $C$9, 100%, $E$9)</f>
        <v>17.612300000000001</v>
      </c>
      <c r="R363" s="14">
        <f>CHOOSE(CONTROL!$C$42, 18.2434, 18.2434) * CHOOSE(CONTROL!$C$21, $C$9, 100%, $E$9)</f>
        <v>18.243400000000001</v>
      </c>
      <c r="S363" s="14">
        <f>CHOOSE(CONTROL!$C$42, 16.5771, 16.5771) * CHOOSE(CONTROL!$C$21, $C$9, 100%, $E$9)</f>
        <v>16.577100000000002</v>
      </c>
      <c r="T3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63" s="57">
        <f>(1000*CHOOSE(CONTROL!$C$42, 695, 695)*CHOOSE(CONTROL!$C$42, 0.5599, 0.5599)*CHOOSE(CONTROL!$C$42, 31, 31))/1000000</f>
        <v>12.063045499999998</v>
      </c>
      <c r="V363" s="57">
        <f>(1000*CHOOSE(CONTROL!$C$42, 500, 500)*CHOOSE(CONTROL!$C$42, 0.275, 0.275)*CHOOSE(CONTROL!$C$42, 31, 31))/1000000</f>
        <v>4.2625000000000002</v>
      </c>
      <c r="W363" s="57">
        <f>(1000*CHOOSE(CONTROL!$C$42, 0.1146, 0.1146)*CHOOSE(CONTROL!$C$42, 121.5, 121.5)*CHOOSE(CONTROL!$C$42, 31, 31))/1000000</f>
        <v>0.43164089999999994</v>
      </c>
      <c r="X363" s="57">
        <f>(31*0.1790888*100000/1000000)+(31*0.2374*100000/1000000)</f>
        <v>1.2911152800000001</v>
      </c>
      <c r="Y363" s="57"/>
      <c r="Z363" s="14"/>
      <c r="AA363" s="56"/>
      <c r="AB363" s="50">
        <f>(B363*122.58+C363*297.941+D363*89.177+E363*40.302+F363*40+G363*160+H363*0+I363*100+J363*300)/(122.58+297.941+89.177+40.302+0+40+160+100+300)</f>
        <v>17.290756811565217</v>
      </c>
      <c r="AC363" s="45">
        <f>(M363*'RAP TEMPLATE-GAS AVAILABILITY'!O362+N363*'RAP TEMPLATE-GAS AVAILABILITY'!P362+O363*'RAP TEMPLATE-GAS AVAILABILITY'!Q362+P363*'RAP TEMPLATE-GAS AVAILABILITY'!R362)/('RAP TEMPLATE-GAS AVAILABILITY'!O362+'RAP TEMPLATE-GAS AVAILABILITY'!P362+'RAP TEMPLATE-GAS AVAILABILITY'!Q362+'RAP TEMPLATE-GAS AVAILABILITY'!R362)</f>
        <v>16.980995683453241</v>
      </c>
    </row>
    <row r="364" spans="1:29" ht="15.75" x14ac:dyDescent="0.25">
      <c r="A364" s="33">
        <v>51986</v>
      </c>
      <c r="B364" s="14">
        <f>CHOOSE(CONTROL!$C$42, 17.2099, 17.2099) * CHOOSE(CONTROL!$C$21, $C$9, 100%, $E$9)</f>
        <v>17.209900000000001</v>
      </c>
      <c r="C364" s="14">
        <f>CHOOSE(CONTROL!$C$42, 17.2144, 17.2144) * CHOOSE(CONTROL!$C$21, $C$9, 100%, $E$9)</f>
        <v>17.214400000000001</v>
      </c>
      <c r="D364" s="14">
        <f>CHOOSE(CONTROL!$C$42, 17.4381, 17.4381) * CHOOSE(CONTROL!$C$21, $C$9, 100%, $E$9)</f>
        <v>17.438099999999999</v>
      </c>
      <c r="E364" s="14">
        <f>CHOOSE(CONTROL!$C$42, 17.4702, 17.4702) * CHOOSE(CONTROL!$C$21, $C$9, 100%, $E$9)</f>
        <v>17.470199999999998</v>
      </c>
      <c r="F364" s="14">
        <f>CHOOSE(CONTROL!$C$42, 17.2376, 17.2376)*CHOOSE(CONTROL!$C$21, $C$9, 100%, $E$9)</f>
        <v>17.2376</v>
      </c>
      <c r="G364" s="14">
        <f>CHOOSE(CONTROL!$C$42, 17.2545, 17.2545)*CHOOSE(CONTROL!$C$21, $C$9, 100%, $E$9)</f>
        <v>17.2545</v>
      </c>
      <c r="H364" s="14">
        <f>CHOOSE(CONTROL!$C$42, 17.46, 17.46) * CHOOSE(CONTROL!$C$21, $C$9, 100%, $E$9)</f>
        <v>17.46</v>
      </c>
      <c r="I364" s="14">
        <f>CHOOSE(CONTROL!$C$42, 17.2931, 17.2931)* CHOOSE(CONTROL!$C$21, $C$9, 100%, $E$9)</f>
        <v>17.293099999999999</v>
      </c>
      <c r="J364" s="14">
        <f>CHOOSE(CONTROL!$C$42, 17.2306, 17.2306)* CHOOSE(CONTROL!$C$21, $C$9, 100%, $E$9)</f>
        <v>17.230599999999999</v>
      </c>
      <c r="K364" s="53">
        <f>CHOOSE(CONTROL!$C$42, 17.2892, 17.2892) * CHOOSE(CONTROL!$C$21, $C$9, 100%, $E$9)</f>
        <v>17.289200000000001</v>
      </c>
      <c r="L364" s="14">
        <f>CHOOSE(CONTROL!$C$42, 18.047, 18.047) * CHOOSE(CONTROL!$C$21, $C$9, 100%, $E$9)</f>
        <v>18.047000000000001</v>
      </c>
      <c r="M364" s="14">
        <f>CHOOSE(CONTROL!$C$42, 16.8853, 16.8853) * CHOOSE(CONTROL!$C$21, $C$9, 100%, $E$9)</f>
        <v>16.885300000000001</v>
      </c>
      <c r="N364" s="14">
        <f>CHOOSE(CONTROL!$C$42, 16.9018, 16.9018) * CHOOSE(CONTROL!$C$21, $C$9, 100%, $E$9)</f>
        <v>16.901800000000001</v>
      </c>
      <c r="O364" s="14">
        <f>CHOOSE(CONTROL!$C$42, 17.11, 17.11) * CHOOSE(CONTROL!$C$21, $C$9, 100%, $E$9)</f>
        <v>17.11</v>
      </c>
      <c r="P364" s="14">
        <f>CHOOSE(CONTROL!$C$42, 16.9455, 16.9455) * CHOOSE(CONTROL!$C$21, $C$9, 100%, $E$9)</f>
        <v>16.945499999999999</v>
      </c>
      <c r="Q364" s="14">
        <f>CHOOSE(CONTROL!$C$42, 17.7047, 17.7047) * CHOOSE(CONTROL!$C$21, $C$9, 100%, $E$9)</f>
        <v>17.704699999999999</v>
      </c>
      <c r="R364" s="14">
        <f>CHOOSE(CONTROL!$C$42, 18.3359, 18.3359) * CHOOSE(CONTROL!$C$21, $C$9, 100%, $E$9)</f>
        <v>18.335899999999999</v>
      </c>
      <c r="S364" s="14">
        <f>CHOOSE(CONTROL!$C$42, 16.5277, 16.5277) * CHOOSE(CONTROL!$C$21, $C$9, 100%, $E$9)</f>
        <v>16.527699999999999</v>
      </c>
      <c r="T3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64" s="57">
        <f>(1000*CHOOSE(CONTROL!$C$42, 695, 695)*CHOOSE(CONTROL!$C$42, 0.5599, 0.5599)*CHOOSE(CONTROL!$C$42, 30, 30))/1000000</f>
        <v>11.673914999999997</v>
      </c>
      <c r="V364" s="57">
        <f>(1000*CHOOSE(CONTROL!$C$42, 500, 500)*CHOOSE(CONTROL!$C$42, 0.275, 0.275)*CHOOSE(CONTROL!$C$42, 30, 30))/1000000</f>
        <v>4.125</v>
      </c>
      <c r="W364" s="57">
        <f>(1000*CHOOSE(CONTROL!$C$42, 0.1146, 0.1146)*CHOOSE(CONTROL!$C$42, 121.5, 121.5)*CHOOSE(CONTROL!$C$42, 30, 30))/1000000</f>
        <v>0.417717</v>
      </c>
      <c r="X364" s="57">
        <f>(30*0.1790888*245000/1000000)+(30*0.2374*100000/1000000)</f>
        <v>2.0285026799999999</v>
      </c>
      <c r="Y364" s="57"/>
      <c r="Z364" s="14"/>
      <c r="AA364" s="56"/>
      <c r="AB364" s="50">
        <f>(B364*141.293+C364*267.993+D364*115.016+E364*89.698+F364*40+G364*185+H364*0+I364*100+J364*300)/(141.293+267.993+115.016+89.698+0+40+185+100+300)</f>
        <v>17.270182493220339</v>
      </c>
      <c r="AC364" s="45">
        <f>(M364*'RAP TEMPLATE-GAS AVAILABILITY'!O363+N364*'RAP TEMPLATE-GAS AVAILABILITY'!P363+O364*'RAP TEMPLATE-GAS AVAILABILITY'!Q363+P364*'RAP TEMPLATE-GAS AVAILABILITY'!R363)/('RAP TEMPLATE-GAS AVAILABILITY'!O363+'RAP TEMPLATE-GAS AVAILABILITY'!P363+'RAP TEMPLATE-GAS AVAILABILITY'!Q363+'RAP TEMPLATE-GAS AVAILABILITY'!R363)</f>
        <v>16.960805755395683</v>
      </c>
    </row>
    <row r="365" spans="1:29" ht="15.75" x14ac:dyDescent="0.25">
      <c r="A365" s="33">
        <v>52017</v>
      </c>
      <c r="B365" s="14">
        <f>CHOOSE(CONTROL!$C$42, 17.3631, 17.3631) * CHOOSE(CONTROL!$C$21, $C$9, 100%, $E$9)</f>
        <v>17.363099999999999</v>
      </c>
      <c r="C365" s="14">
        <f>CHOOSE(CONTROL!$C$42, 17.3712, 17.3712) * CHOOSE(CONTROL!$C$21, $C$9, 100%, $E$9)</f>
        <v>17.371200000000002</v>
      </c>
      <c r="D365" s="14">
        <f>CHOOSE(CONTROL!$C$42, 17.5917, 17.5917) * CHOOSE(CONTROL!$C$21, $C$9, 100%, $E$9)</f>
        <v>17.591699999999999</v>
      </c>
      <c r="E365" s="14">
        <f>CHOOSE(CONTROL!$C$42, 17.6232, 17.6232) * CHOOSE(CONTROL!$C$21, $C$9, 100%, $E$9)</f>
        <v>17.623200000000001</v>
      </c>
      <c r="F365" s="14">
        <f>CHOOSE(CONTROL!$C$42, 17.3894, 17.3894)*CHOOSE(CONTROL!$C$21, $C$9, 100%, $E$9)</f>
        <v>17.389399999999998</v>
      </c>
      <c r="G365" s="14">
        <f>CHOOSE(CONTROL!$C$42, 17.4065, 17.4065)*CHOOSE(CONTROL!$C$21, $C$9, 100%, $E$9)</f>
        <v>17.406500000000001</v>
      </c>
      <c r="H365" s="14">
        <f>CHOOSE(CONTROL!$C$42, 17.6118, 17.6118) * CHOOSE(CONTROL!$C$21, $C$9, 100%, $E$9)</f>
        <v>17.611799999999999</v>
      </c>
      <c r="I365" s="14">
        <f>CHOOSE(CONTROL!$C$42, 17.4454, 17.4454)* CHOOSE(CONTROL!$C$21, $C$9, 100%, $E$9)</f>
        <v>17.445399999999999</v>
      </c>
      <c r="J365" s="14">
        <f>CHOOSE(CONTROL!$C$42, 17.3824, 17.3824)* CHOOSE(CONTROL!$C$21, $C$9, 100%, $E$9)</f>
        <v>17.382400000000001</v>
      </c>
      <c r="K365" s="53">
        <f>CHOOSE(CONTROL!$C$42, 17.4415, 17.4415) * CHOOSE(CONTROL!$C$21, $C$9, 100%, $E$9)</f>
        <v>17.441500000000001</v>
      </c>
      <c r="L365" s="14">
        <f>CHOOSE(CONTROL!$C$42, 18.1988, 18.1988) * CHOOSE(CONTROL!$C$21, $C$9, 100%, $E$9)</f>
        <v>18.198799999999999</v>
      </c>
      <c r="M365" s="14">
        <f>CHOOSE(CONTROL!$C$42, 17.0339, 17.0339) * CHOOSE(CONTROL!$C$21, $C$9, 100%, $E$9)</f>
        <v>17.033899999999999</v>
      </c>
      <c r="N365" s="14">
        <f>CHOOSE(CONTROL!$C$42, 17.0507, 17.0507) * CHOOSE(CONTROL!$C$21, $C$9, 100%, $E$9)</f>
        <v>17.050699999999999</v>
      </c>
      <c r="O365" s="14">
        <f>CHOOSE(CONTROL!$C$42, 17.2587, 17.2587) * CHOOSE(CONTROL!$C$21, $C$9, 100%, $E$9)</f>
        <v>17.258700000000001</v>
      </c>
      <c r="P365" s="14">
        <f>CHOOSE(CONTROL!$C$42, 17.0946, 17.0946) * CHOOSE(CONTROL!$C$21, $C$9, 100%, $E$9)</f>
        <v>17.0946</v>
      </c>
      <c r="Q365" s="14">
        <f>CHOOSE(CONTROL!$C$42, 17.8534, 17.8534) * CHOOSE(CONTROL!$C$21, $C$9, 100%, $E$9)</f>
        <v>17.853400000000001</v>
      </c>
      <c r="R365" s="14">
        <f>CHOOSE(CONTROL!$C$42, 18.485, 18.485) * CHOOSE(CONTROL!$C$21, $C$9, 100%, $E$9)</f>
        <v>18.484999999999999</v>
      </c>
      <c r="S365" s="14">
        <f>CHOOSE(CONTROL!$C$42, 16.6736, 16.6736) * CHOOSE(CONTROL!$C$21, $C$9, 100%, $E$9)</f>
        <v>16.6736</v>
      </c>
      <c r="T3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65" s="57">
        <f>(1000*CHOOSE(CONTROL!$C$42, 695, 695)*CHOOSE(CONTROL!$C$42, 0.5599, 0.5599)*CHOOSE(CONTROL!$C$42, 31, 31))/1000000</f>
        <v>12.063045499999998</v>
      </c>
      <c r="V365" s="57">
        <f>(1000*CHOOSE(CONTROL!$C$42, 500, 500)*CHOOSE(CONTROL!$C$42, 0.275, 0.275)*CHOOSE(CONTROL!$C$42, 31, 31))/1000000</f>
        <v>4.2625000000000002</v>
      </c>
      <c r="W365" s="57">
        <f>(1000*CHOOSE(CONTROL!$C$42, 0.1146, 0.1146)*CHOOSE(CONTROL!$C$42, 121.5, 121.5)*CHOOSE(CONTROL!$C$42, 31, 31))/1000000</f>
        <v>0.43164089999999994</v>
      </c>
      <c r="X365" s="57">
        <f>(31*0.1790888*245000/1000000)+(31*0.2374*100000/1000000)</f>
        <v>2.0961194359999999</v>
      </c>
      <c r="Y365" s="57"/>
      <c r="Z365" s="14"/>
      <c r="AA365" s="56"/>
      <c r="AB365" s="50">
        <f>(B365*194.205+C365*267.466+D365*133.845+E365*53.484+F365*40+G365*185+H365*0+I365*100+J365*300)/(194.205+267.466+133.845+53.484+0+40+185+100+300)</f>
        <v>17.417868940345372</v>
      </c>
      <c r="AC365" s="45">
        <f>(M365*'RAP TEMPLATE-GAS AVAILABILITY'!O364+N365*'RAP TEMPLATE-GAS AVAILABILITY'!P364+O365*'RAP TEMPLATE-GAS AVAILABILITY'!Q364+P365*'RAP TEMPLATE-GAS AVAILABILITY'!R364)/('RAP TEMPLATE-GAS AVAILABILITY'!O364+'RAP TEMPLATE-GAS AVAILABILITY'!P364+'RAP TEMPLATE-GAS AVAILABILITY'!Q364+'RAP TEMPLATE-GAS AVAILABILITY'!R364)</f>
        <v>17.109574820143887</v>
      </c>
    </row>
    <row r="366" spans="1:29" ht="15.75" x14ac:dyDescent="0.25">
      <c r="A366" s="33">
        <v>52047</v>
      </c>
      <c r="B366" s="14">
        <f>CHOOSE(CONTROL!$C$42, 17.8553, 17.8553) * CHOOSE(CONTROL!$C$21, $C$9, 100%, $E$9)</f>
        <v>17.8553</v>
      </c>
      <c r="C366" s="14">
        <f>CHOOSE(CONTROL!$C$42, 17.8633, 17.8633) * CHOOSE(CONTROL!$C$21, $C$9, 100%, $E$9)</f>
        <v>17.863299999999999</v>
      </c>
      <c r="D366" s="14">
        <f>CHOOSE(CONTROL!$C$42, 18.0839, 18.0839) * CHOOSE(CONTROL!$C$21, $C$9, 100%, $E$9)</f>
        <v>18.0839</v>
      </c>
      <c r="E366" s="14">
        <f>CHOOSE(CONTROL!$C$42, 18.1154, 18.1154) * CHOOSE(CONTROL!$C$21, $C$9, 100%, $E$9)</f>
        <v>18.115400000000001</v>
      </c>
      <c r="F366" s="14">
        <f>CHOOSE(CONTROL!$C$42, 17.8819, 17.8819)*CHOOSE(CONTROL!$C$21, $C$9, 100%, $E$9)</f>
        <v>17.881900000000002</v>
      </c>
      <c r="G366" s="14">
        <f>CHOOSE(CONTROL!$C$42, 17.8991, 17.8991)*CHOOSE(CONTROL!$C$21, $C$9, 100%, $E$9)</f>
        <v>17.899100000000001</v>
      </c>
      <c r="H366" s="14">
        <f>CHOOSE(CONTROL!$C$42, 18.104, 18.104) * CHOOSE(CONTROL!$C$21, $C$9, 100%, $E$9)</f>
        <v>18.103999999999999</v>
      </c>
      <c r="I366" s="14">
        <f>CHOOSE(CONTROL!$C$42, 17.9391, 17.9391)* CHOOSE(CONTROL!$C$21, $C$9, 100%, $E$9)</f>
        <v>17.9391</v>
      </c>
      <c r="J366" s="14">
        <f>CHOOSE(CONTROL!$C$42, 17.8749, 17.8749)* CHOOSE(CONTROL!$C$21, $C$9, 100%, $E$9)</f>
        <v>17.8749</v>
      </c>
      <c r="K366" s="53">
        <f>CHOOSE(CONTROL!$C$42, 17.9352, 17.9352) * CHOOSE(CONTROL!$C$21, $C$9, 100%, $E$9)</f>
        <v>17.935199999999998</v>
      </c>
      <c r="L366" s="14">
        <f>CHOOSE(CONTROL!$C$42, 18.691, 18.691) * CHOOSE(CONTROL!$C$21, $C$9, 100%, $E$9)</f>
        <v>18.690999999999999</v>
      </c>
      <c r="M366" s="14">
        <f>CHOOSE(CONTROL!$C$42, 17.5164, 17.5164) * CHOOSE(CONTROL!$C$21, $C$9, 100%, $E$9)</f>
        <v>17.516400000000001</v>
      </c>
      <c r="N366" s="14">
        <f>CHOOSE(CONTROL!$C$42, 17.5332, 17.5332) * CHOOSE(CONTROL!$C$21, $C$9, 100%, $E$9)</f>
        <v>17.533200000000001</v>
      </c>
      <c r="O366" s="14">
        <f>CHOOSE(CONTROL!$C$42, 17.7408, 17.7408) * CHOOSE(CONTROL!$C$21, $C$9, 100%, $E$9)</f>
        <v>17.7408</v>
      </c>
      <c r="P366" s="14">
        <f>CHOOSE(CONTROL!$C$42, 17.5782, 17.5782) * CHOOSE(CONTROL!$C$21, $C$9, 100%, $E$9)</f>
        <v>17.578199999999999</v>
      </c>
      <c r="Q366" s="14">
        <f>CHOOSE(CONTROL!$C$42, 18.3355, 18.3355) * CHOOSE(CONTROL!$C$21, $C$9, 100%, $E$9)</f>
        <v>18.3355</v>
      </c>
      <c r="R366" s="14">
        <f>CHOOSE(CONTROL!$C$42, 18.9683, 18.9683) * CHOOSE(CONTROL!$C$21, $C$9, 100%, $E$9)</f>
        <v>18.968299999999999</v>
      </c>
      <c r="S366" s="14">
        <f>CHOOSE(CONTROL!$C$42, 17.1465, 17.1465) * CHOOSE(CONTROL!$C$21, $C$9, 100%, $E$9)</f>
        <v>17.1465</v>
      </c>
      <c r="T3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66" s="57">
        <f>(1000*CHOOSE(CONTROL!$C$42, 695, 695)*CHOOSE(CONTROL!$C$42, 0.5599, 0.5599)*CHOOSE(CONTROL!$C$42, 30, 30))/1000000</f>
        <v>11.673914999999997</v>
      </c>
      <c r="V366" s="57">
        <f>(1000*CHOOSE(CONTROL!$C$42, 500, 500)*CHOOSE(CONTROL!$C$42, 0.275, 0.275)*CHOOSE(CONTROL!$C$42, 30, 30))/1000000</f>
        <v>4.125</v>
      </c>
      <c r="W366" s="57">
        <f>(1000*CHOOSE(CONTROL!$C$42, 0.1146, 0.1146)*CHOOSE(CONTROL!$C$42, 121.5, 121.5)*CHOOSE(CONTROL!$C$42, 30, 30))/1000000</f>
        <v>0.417717</v>
      </c>
      <c r="X366" s="57">
        <f>(30*0.1790888*245000/1000000)+(30*0.2374*100000/1000000)</f>
        <v>2.0285026799999999</v>
      </c>
      <c r="Y366" s="57"/>
      <c r="Z366" s="14"/>
      <c r="AA366" s="56"/>
      <c r="AB366" s="50">
        <f>(B366*194.205+C366*267.466+D366*133.845+E366*53.484+F366*40+G366*185+H366*0+I366*100+J366*300)/(194.205+267.466+133.845+53.484+0+40+185+100+300)</f>
        <v>17.910303833124022</v>
      </c>
      <c r="AC366" s="45">
        <f>(M366*'RAP TEMPLATE-GAS AVAILABILITY'!O365+N366*'RAP TEMPLATE-GAS AVAILABILITY'!P365+O366*'RAP TEMPLATE-GAS AVAILABILITY'!Q365+P366*'RAP TEMPLATE-GAS AVAILABILITY'!R365)/('RAP TEMPLATE-GAS AVAILABILITY'!O365+'RAP TEMPLATE-GAS AVAILABILITY'!P365+'RAP TEMPLATE-GAS AVAILABILITY'!Q365+'RAP TEMPLATE-GAS AVAILABILITY'!R365)</f>
        <v>17.592120863309354</v>
      </c>
    </row>
    <row r="367" spans="1:29" ht="15.75" x14ac:dyDescent="0.25">
      <c r="A367" s="33">
        <v>52078</v>
      </c>
      <c r="B367" s="14">
        <f>CHOOSE(CONTROL!$C$42, 17.513, 17.513) * CHOOSE(CONTROL!$C$21, $C$9, 100%, $E$9)</f>
        <v>17.513000000000002</v>
      </c>
      <c r="C367" s="14">
        <f>CHOOSE(CONTROL!$C$42, 17.521, 17.521) * CHOOSE(CONTROL!$C$21, $C$9, 100%, $E$9)</f>
        <v>17.521000000000001</v>
      </c>
      <c r="D367" s="14">
        <f>CHOOSE(CONTROL!$C$42, 17.7416, 17.7416) * CHOOSE(CONTROL!$C$21, $C$9, 100%, $E$9)</f>
        <v>17.741599999999998</v>
      </c>
      <c r="E367" s="14">
        <f>CHOOSE(CONTROL!$C$42, 17.7731, 17.7731) * CHOOSE(CONTROL!$C$21, $C$9, 100%, $E$9)</f>
        <v>17.773099999999999</v>
      </c>
      <c r="F367" s="14">
        <f>CHOOSE(CONTROL!$C$42, 17.5401, 17.5401)*CHOOSE(CONTROL!$C$21, $C$9, 100%, $E$9)</f>
        <v>17.540099999999999</v>
      </c>
      <c r="G367" s="14">
        <f>CHOOSE(CONTROL!$C$42, 17.5574, 17.5574)*CHOOSE(CONTROL!$C$21, $C$9, 100%, $E$9)</f>
        <v>17.557400000000001</v>
      </c>
      <c r="H367" s="14">
        <f>CHOOSE(CONTROL!$C$42, 17.7617, 17.7617) * CHOOSE(CONTROL!$C$21, $C$9, 100%, $E$9)</f>
        <v>17.761700000000001</v>
      </c>
      <c r="I367" s="14">
        <f>CHOOSE(CONTROL!$C$42, 17.5957, 17.5957)* CHOOSE(CONTROL!$C$21, $C$9, 100%, $E$9)</f>
        <v>17.595700000000001</v>
      </c>
      <c r="J367" s="14">
        <f>CHOOSE(CONTROL!$C$42, 17.5331, 17.5331)* CHOOSE(CONTROL!$C$21, $C$9, 100%, $E$9)</f>
        <v>17.533100000000001</v>
      </c>
      <c r="K367" s="53">
        <f>CHOOSE(CONTROL!$C$42, 17.5918, 17.5918) * CHOOSE(CONTROL!$C$21, $C$9, 100%, $E$9)</f>
        <v>17.591799999999999</v>
      </c>
      <c r="L367" s="14">
        <f>CHOOSE(CONTROL!$C$42, 18.3487, 18.3487) * CHOOSE(CONTROL!$C$21, $C$9, 100%, $E$9)</f>
        <v>18.348700000000001</v>
      </c>
      <c r="M367" s="14">
        <f>CHOOSE(CONTROL!$C$42, 17.1815, 17.1815) * CHOOSE(CONTROL!$C$21, $C$9, 100%, $E$9)</f>
        <v>17.1815</v>
      </c>
      <c r="N367" s="14">
        <f>CHOOSE(CONTROL!$C$42, 17.1985, 17.1985) * CHOOSE(CONTROL!$C$21, $C$9, 100%, $E$9)</f>
        <v>17.198499999999999</v>
      </c>
      <c r="O367" s="14">
        <f>CHOOSE(CONTROL!$C$42, 17.4055, 17.4055) * CHOOSE(CONTROL!$C$21, $C$9, 100%, $E$9)</f>
        <v>17.4055</v>
      </c>
      <c r="P367" s="14">
        <f>CHOOSE(CONTROL!$C$42, 17.2419, 17.2419) * CHOOSE(CONTROL!$C$21, $C$9, 100%, $E$9)</f>
        <v>17.241900000000001</v>
      </c>
      <c r="Q367" s="14">
        <f>CHOOSE(CONTROL!$C$42, 18.0002, 18.0002) * CHOOSE(CONTROL!$C$21, $C$9, 100%, $E$9)</f>
        <v>18.0002</v>
      </c>
      <c r="R367" s="14">
        <f>CHOOSE(CONTROL!$C$42, 18.6322, 18.6322) * CHOOSE(CONTROL!$C$21, $C$9, 100%, $E$9)</f>
        <v>18.632200000000001</v>
      </c>
      <c r="S367" s="14">
        <f>CHOOSE(CONTROL!$C$42, 16.8176, 16.8176) * CHOOSE(CONTROL!$C$21, $C$9, 100%, $E$9)</f>
        <v>16.817599999999999</v>
      </c>
      <c r="T3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67" s="57">
        <f>(1000*CHOOSE(CONTROL!$C$42, 695, 695)*CHOOSE(CONTROL!$C$42, 0.5599, 0.5599)*CHOOSE(CONTROL!$C$42, 31, 31))/1000000</f>
        <v>12.063045499999998</v>
      </c>
      <c r="V367" s="57">
        <f>(1000*CHOOSE(CONTROL!$C$42, 500, 500)*CHOOSE(CONTROL!$C$42, 0.275, 0.275)*CHOOSE(CONTROL!$C$42, 31, 31))/1000000</f>
        <v>4.2625000000000002</v>
      </c>
      <c r="W367" s="57">
        <f>(1000*CHOOSE(CONTROL!$C$42, 0.1146, 0.1146)*CHOOSE(CONTROL!$C$42, 121.5, 121.5)*CHOOSE(CONTROL!$C$42, 31, 31))/1000000</f>
        <v>0.43164089999999994</v>
      </c>
      <c r="X367" s="57">
        <f>(31*0.1790888*245000/1000000)+(31*0.2374*100000/1000000)</f>
        <v>2.0961194359999999</v>
      </c>
      <c r="Y367" s="57"/>
      <c r="Z367" s="14"/>
      <c r="AA367" s="56"/>
      <c r="AB367" s="50">
        <f>(B367*194.205+C367*267.466+D367*133.845+E367*53.484+F367*40+G367*185+H367*0+I367*100+J367*300)/(194.205+267.466+133.845+53.484+0+40+185+100+300)</f>
        <v>17.568138056043956</v>
      </c>
      <c r="AC367" s="45">
        <f>(M367*'RAP TEMPLATE-GAS AVAILABILITY'!O366+N367*'RAP TEMPLATE-GAS AVAILABILITY'!P366+O367*'RAP TEMPLATE-GAS AVAILABILITY'!Q366+P367*'RAP TEMPLATE-GAS AVAILABILITY'!R366)/('RAP TEMPLATE-GAS AVAILABILITY'!O366+'RAP TEMPLATE-GAS AVAILABILITY'!P366+'RAP TEMPLATE-GAS AVAILABILITY'!Q366+'RAP TEMPLATE-GAS AVAILABILITY'!R366)</f>
        <v>17.256953237410073</v>
      </c>
    </row>
    <row r="368" spans="1:29" ht="15.75" x14ac:dyDescent="0.25">
      <c r="A368" s="33">
        <v>52109</v>
      </c>
      <c r="B368" s="14">
        <f>CHOOSE(CONTROL!$C$42, 16.6485, 16.6485) * CHOOSE(CONTROL!$C$21, $C$9, 100%, $E$9)</f>
        <v>16.648499999999999</v>
      </c>
      <c r="C368" s="14">
        <f>CHOOSE(CONTROL!$C$42, 16.6566, 16.6566) * CHOOSE(CONTROL!$C$21, $C$9, 100%, $E$9)</f>
        <v>16.656600000000001</v>
      </c>
      <c r="D368" s="14">
        <f>CHOOSE(CONTROL!$C$42, 16.8771, 16.8771) * CHOOSE(CONTROL!$C$21, $C$9, 100%, $E$9)</f>
        <v>16.877099999999999</v>
      </c>
      <c r="E368" s="14">
        <f>CHOOSE(CONTROL!$C$42, 16.9086, 16.9086) * CHOOSE(CONTROL!$C$21, $C$9, 100%, $E$9)</f>
        <v>16.9086</v>
      </c>
      <c r="F368" s="14">
        <f>CHOOSE(CONTROL!$C$42, 16.6759, 16.6759)*CHOOSE(CONTROL!$C$21, $C$9, 100%, $E$9)</f>
        <v>16.675899999999999</v>
      </c>
      <c r="G368" s="14">
        <f>CHOOSE(CONTROL!$C$42, 16.6933, 16.6933)*CHOOSE(CONTROL!$C$21, $C$9, 100%, $E$9)</f>
        <v>16.693300000000001</v>
      </c>
      <c r="H368" s="14">
        <f>CHOOSE(CONTROL!$C$42, 16.8972, 16.8972) * CHOOSE(CONTROL!$C$21, $C$9, 100%, $E$9)</f>
        <v>16.897200000000002</v>
      </c>
      <c r="I368" s="14">
        <f>CHOOSE(CONTROL!$C$42, 16.7286, 16.7286)* CHOOSE(CONTROL!$C$21, $C$9, 100%, $E$9)</f>
        <v>16.7286</v>
      </c>
      <c r="J368" s="14">
        <f>CHOOSE(CONTROL!$C$42, 16.6689, 16.6689)* CHOOSE(CONTROL!$C$21, $C$9, 100%, $E$9)</f>
        <v>16.668900000000001</v>
      </c>
      <c r="K368" s="53">
        <f>CHOOSE(CONTROL!$C$42, 16.7247, 16.7247) * CHOOSE(CONTROL!$C$21, $C$9, 100%, $E$9)</f>
        <v>16.724699999999999</v>
      </c>
      <c r="L368" s="14">
        <f>CHOOSE(CONTROL!$C$42, 17.4842, 17.4842) * CHOOSE(CONTROL!$C$21, $C$9, 100%, $E$9)</f>
        <v>17.484200000000001</v>
      </c>
      <c r="M368" s="14">
        <f>CHOOSE(CONTROL!$C$42, 16.3351, 16.3351) * CHOOSE(CONTROL!$C$21, $C$9, 100%, $E$9)</f>
        <v>16.335100000000001</v>
      </c>
      <c r="N368" s="14">
        <f>CHOOSE(CONTROL!$C$42, 16.3521, 16.3521) * CHOOSE(CONTROL!$C$21, $C$9, 100%, $E$9)</f>
        <v>16.3521</v>
      </c>
      <c r="O368" s="14">
        <f>CHOOSE(CONTROL!$C$42, 16.5587, 16.5587) * CHOOSE(CONTROL!$C$21, $C$9, 100%, $E$9)</f>
        <v>16.558700000000002</v>
      </c>
      <c r="P368" s="14">
        <f>CHOOSE(CONTROL!$C$42, 16.3925, 16.3925) * CHOOSE(CONTROL!$C$21, $C$9, 100%, $E$9)</f>
        <v>16.392499999999998</v>
      </c>
      <c r="Q368" s="14">
        <f>CHOOSE(CONTROL!$C$42, 17.1534, 17.1534) * CHOOSE(CONTROL!$C$21, $C$9, 100%, $E$9)</f>
        <v>17.153400000000001</v>
      </c>
      <c r="R368" s="14">
        <f>CHOOSE(CONTROL!$C$42, 17.7833, 17.7833) * CHOOSE(CONTROL!$C$21, $C$9, 100%, $E$9)</f>
        <v>17.783300000000001</v>
      </c>
      <c r="S368" s="14">
        <f>CHOOSE(CONTROL!$C$42, 15.9869, 15.9869) * CHOOSE(CONTROL!$C$21, $C$9, 100%, $E$9)</f>
        <v>15.9869</v>
      </c>
      <c r="T3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68" s="57">
        <f>(1000*CHOOSE(CONTROL!$C$42, 695, 695)*CHOOSE(CONTROL!$C$42, 0.5599, 0.5599)*CHOOSE(CONTROL!$C$42, 31, 31))/1000000</f>
        <v>12.063045499999998</v>
      </c>
      <c r="V368" s="57">
        <f>(1000*CHOOSE(CONTROL!$C$42, 500, 500)*CHOOSE(CONTROL!$C$42, 0.275, 0.275)*CHOOSE(CONTROL!$C$42, 31, 31))/1000000</f>
        <v>4.2625000000000002</v>
      </c>
      <c r="W368" s="57">
        <f>(1000*CHOOSE(CONTROL!$C$42, 0.1146, 0.1146)*CHOOSE(CONTROL!$C$42, 121.5, 121.5)*CHOOSE(CONTROL!$C$42, 31, 31))/1000000</f>
        <v>0.43164089999999994</v>
      </c>
      <c r="X368" s="57">
        <f>(31*0.1790888*245000/1000000)+(31*0.2374*100000/1000000)</f>
        <v>2.0961194359999999</v>
      </c>
      <c r="Y368" s="57"/>
      <c r="Z368" s="14"/>
      <c r="AA368" s="56"/>
      <c r="AB368" s="50">
        <f>(B368*194.205+C368*267.466+D368*133.845+E368*53.484+F368*40+G368*185+H368*0+I368*100+J368*300)/(194.205+267.466+133.845+53.484+0+40+185+100+300)</f>
        <v>16.703593116169547</v>
      </c>
      <c r="AC368" s="45">
        <f>(M368*'RAP TEMPLATE-GAS AVAILABILITY'!O367+N368*'RAP TEMPLATE-GAS AVAILABILITY'!P367+O368*'RAP TEMPLATE-GAS AVAILABILITY'!Q367+P368*'RAP TEMPLATE-GAS AVAILABILITY'!R367)/('RAP TEMPLATE-GAS AVAILABILITY'!O367+'RAP TEMPLATE-GAS AVAILABILITY'!P367+'RAP TEMPLATE-GAS AVAILABILITY'!Q367+'RAP TEMPLATE-GAS AVAILABILITY'!R367)</f>
        <v>16.410009352517985</v>
      </c>
    </row>
    <row r="369" spans="1:29" ht="15.75" x14ac:dyDescent="0.25">
      <c r="A369" s="33">
        <v>52139</v>
      </c>
      <c r="B369" s="14">
        <f>CHOOSE(CONTROL!$C$42, 15.5921, 15.5921) * CHOOSE(CONTROL!$C$21, $C$9, 100%, $E$9)</f>
        <v>15.5921</v>
      </c>
      <c r="C369" s="14">
        <f>CHOOSE(CONTROL!$C$42, 15.6001, 15.6001) * CHOOSE(CONTROL!$C$21, $C$9, 100%, $E$9)</f>
        <v>15.600099999999999</v>
      </c>
      <c r="D369" s="14">
        <f>CHOOSE(CONTROL!$C$42, 15.8207, 15.8207) * CHOOSE(CONTROL!$C$21, $C$9, 100%, $E$9)</f>
        <v>15.8207</v>
      </c>
      <c r="E369" s="14">
        <f>CHOOSE(CONTROL!$C$42, 15.8522, 15.8522) * CHOOSE(CONTROL!$C$21, $C$9, 100%, $E$9)</f>
        <v>15.8522</v>
      </c>
      <c r="F369" s="14">
        <f>CHOOSE(CONTROL!$C$42, 15.6194, 15.6194)*CHOOSE(CONTROL!$C$21, $C$9, 100%, $E$9)</f>
        <v>15.619400000000001</v>
      </c>
      <c r="G369" s="14">
        <f>CHOOSE(CONTROL!$C$42, 15.6368, 15.6368)*CHOOSE(CONTROL!$C$21, $C$9, 100%, $E$9)</f>
        <v>15.636799999999999</v>
      </c>
      <c r="H369" s="14">
        <f>CHOOSE(CONTROL!$C$42, 15.8408, 15.8408) * CHOOSE(CONTROL!$C$21, $C$9, 100%, $E$9)</f>
        <v>15.8408</v>
      </c>
      <c r="I369" s="14">
        <f>CHOOSE(CONTROL!$C$42, 15.6688, 15.6688)* CHOOSE(CONTROL!$C$21, $C$9, 100%, $E$9)</f>
        <v>15.668799999999999</v>
      </c>
      <c r="J369" s="14">
        <f>CHOOSE(CONTROL!$C$42, 15.6124, 15.6124)* CHOOSE(CONTROL!$C$21, $C$9, 100%, $E$9)</f>
        <v>15.612399999999999</v>
      </c>
      <c r="K369" s="53">
        <f>CHOOSE(CONTROL!$C$42, 15.6649, 15.6649) * CHOOSE(CONTROL!$C$21, $C$9, 100%, $E$9)</f>
        <v>15.664899999999999</v>
      </c>
      <c r="L369" s="14">
        <f>CHOOSE(CONTROL!$C$42, 16.4278, 16.4278) * CHOOSE(CONTROL!$C$21, $C$9, 100%, $E$9)</f>
        <v>16.427800000000001</v>
      </c>
      <c r="M369" s="14">
        <f>CHOOSE(CONTROL!$C$42, 15.3002, 15.3002) * CHOOSE(CONTROL!$C$21, $C$9, 100%, $E$9)</f>
        <v>15.3002</v>
      </c>
      <c r="N369" s="14">
        <f>CHOOSE(CONTROL!$C$42, 15.3173, 15.3173) * CHOOSE(CONTROL!$C$21, $C$9, 100%, $E$9)</f>
        <v>15.317299999999999</v>
      </c>
      <c r="O369" s="14">
        <f>CHOOSE(CONTROL!$C$42, 15.5239, 15.5239) * CHOOSE(CONTROL!$C$21, $C$9, 100%, $E$9)</f>
        <v>15.523899999999999</v>
      </c>
      <c r="P369" s="14">
        <f>CHOOSE(CONTROL!$C$42, 15.3545, 15.3545) * CHOOSE(CONTROL!$C$21, $C$9, 100%, $E$9)</f>
        <v>15.3545</v>
      </c>
      <c r="Q369" s="14">
        <f>CHOOSE(CONTROL!$C$42, 16.1186, 16.1186) * CHOOSE(CONTROL!$C$21, $C$9, 100%, $E$9)</f>
        <v>16.118600000000001</v>
      </c>
      <c r="R369" s="14">
        <f>CHOOSE(CONTROL!$C$42, 16.7459, 16.7459) * CHOOSE(CONTROL!$C$21, $C$9, 100%, $E$9)</f>
        <v>16.745899999999999</v>
      </c>
      <c r="S369" s="14">
        <f>CHOOSE(CONTROL!$C$42, 14.9718, 14.9718) * CHOOSE(CONTROL!$C$21, $C$9, 100%, $E$9)</f>
        <v>14.9718</v>
      </c>
      <c r="T3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69" s="57">
        <f>(1000*CHOOSE(CONTROL!$C$42, 695, 695)*CHOOSE(CONTROL!$C$42, 0.5599, 0.5599)*CHOOSE(CONTROL!$C$42, 30, 30))/1000000</f>
        <v>11.673914999999997</v>
      </c>
      <c r="V369" s="57">
        <f>(1000*CHOOSE(CONTROL!$C$42, 500, 500)*CHOOSE(CONTROL!$C$42, 0.275, 0.275)*CHOOSE(CONTROL!$C$42, 30, 30))/1000000</f>
        <v>4.125</v>
      </c>
      <c r="W369" s="57">
        <f>(1000*CHOOSE(CONTROL!$C$42, 0.1146, 0.1146)*CHOOSE(CONTROL!$C$42, 121.5, 121.5)*CHOOSE(CONTROL!$C$42, 30, 30))/1000000</f>
        <v>0.417717</v>
      </c>
      <c r="X369" s="57">
        <f>(30*0.1790888*245000/1000000)+(30*0.2374*100000/1000000)</f>
        <v>2.0285026799999999</v>
      </c>
      <c r="Y369" s="57"/>
      <c r="Z369" s="14"/>
      <c r="AA369" s="56"/>
      <c r="AB369" s="50">
        <f>(B369*194.205+C369*267.466+D369*133.845+E369*53.484+F369*40+G369*185+H369*0+I369*100+J369*300)/(194.205+267.466+133.845+53.484+0+40+185+100+300)</f>
        <v>15.646864037205651</v>
      </c>
      <c r="AC369" s="45">
        <f>(M369*'RAP TEMPLATE-GAS AVAILABILITY'!O368+N369*'RAP TEMPLATE-GAS AVAILABILITY'!P368+O369*'RAP TEMPLATE-GAS AVAILABILITY'!Q368+P369*'RAP TEMPLATE-GAS AVAILABILITY'!R368)/('RAP TEMPLATE-GAS AVAILABILITY'!O368+'RAP TEMPLATE-GAS AVAILABILITY'!P368+'RAP TEMPLATE-GAS AVAILABILITY'!Q368+'RAP TEMPLATE-GAS AVAILABILITY'!R368)</f>
        <v>15.374714388489211</v>
      </c>
    </row>
    <row r="370" spans="1:29" ht="15.75" x14ac:dyDescent="0.25">
      <c r="A370" s="33">
        <v>52170</v>
      </c>
      <c r="B370" s="14">
        <f>CHOOSE(CONTROL!$C$42, 15.274, 15.274) * CHOOSE(CONTROL!$C$21, $C$9, 100%, $E$9)</f>
        <v>15.273999999999999</v>
      </c>
      <c r="C370" s="14">
        <f>CHOOSE(CONTROL!$C$42, 15.2793, 15.2793) * CHOOSE(CONTROL!$C$21, $C$9, 100%, $E$9)</f>
        <v>15.279299999999999</v>
      </c>
      <c r="D370" s="14">
        <f>CHOOSE(CONTROL!$C$42, 15.5049, 15.5049) * CHOOSE(CONTROL!$C$21, $C$9, 100%, $E$9)</f>
        <v>15.504899999999999</v>
      </c>
      <c r="E370" s="14">
        <f>CHOOSE(CONTROL!$C$42, 15.534, 15.534) * CHOOSE(CONTROL!$C$21, $C$9, 100%, $E$9)</f>
        <v>15.534000000000001</v>
      </c>
      <c r="F370" s="14">
        <f>CHOOSE(CONTROL!$C$42, 15.3033, 15.3033)*CHOOSE(CONTROL!$C$21, $C$9, 100%, $E$9)</f>
        <v>15.3033</v>
      </c>
      <c r="G370" s="14">
        <f>CHOOSE(CONTROL!$C$42, 15.3206, 15.3206)*CHOOSE(CONTROL!$C$21, $C$9, 100%, $E$9)</f>
        <v>15.320600000000001</v>
      </c>
      <c r="H370" s="14">
        <f>CHOOSE(CONTROL!$C$42, 15.5244, 15.5244) * CHOOSE(CONTROL!$C$21, $C$9, 100%, $E$9)</f>
        <v>15.5244</v>
      </c>
      <c r="I370" s="14">
        <f>CHOOSE(CONTROL!$C$42, 15.3515, 15.3515)* CHOOSE(CONTROL!$C$21, $C$9, 100%, $E$9)</f>
        <v>15.3515</v>
      </c>
      <c r="J370" s="14">
        <f>CHOOSE(CONTROL!$C$42, 15.2963, 15.2963)* CHOOSE(CONTROL!$C$21, $C$9, 100%, $E$9)</f>
        <v>15.2963</v>
      </c>
      <c r="K370" s="53">
        <f>CHOOSE(CONTROL!$C$42, 15.3476, 15.3476) * CHOOSE(CONTROL!$C$21, $C$9, 100%, $E$9)</f>
        <v>15.3476</v>
      </c>
      <c r="L370" s="14">
        <f>CHOOSE(CONTROL!$C$42, 16.1114, 16.1114) * CHOOSE(CONTROL!$C$21, $C$9, 100%, $E$9)</f>
        <v>16.1114</v>
      </c>
      <c r="M370" s="14">
        <f>CHOOSE(CONTROL!$C$42, 14.9906, 14.9906) * CHOOSE(CONTROL!$C$21, $C$9, 100%, $E$9)</f>
        <v>14.990600000000001</v>
      </c>
      <c r="N370" s="14">
        <f>CHOOSE(CONTROL!$C$42, 15.0075, 15.0075) * CHOOSE(CONTROL!$C$21, $C$9, 100%, $E$9)</f>
        <v>15.0075</v>
      </c>
      <c r="O370" s="14">
        <f>CHOOSE(CONTROL!$C$42, 15.2141, 15.2141) * CHOOSE(CONTROL!$C$21, $C$9, 100%, $E$9)</f>
        <v>15.2141</v>
      </c>
      <c r="P370" s="14">
        <f>CHOOSE(CONTROL!$C$42, 15.0437, 15.0437) * CHOOSE(CONTROL!$C$21, $C$9, 100%, $E$9)</f>
        <v>15.043699999999999</v>
      </c>
      <c r="Q370" s="14">
        <f>CHOOSE(CONTROL!$C$42, 15.8088, 15.8088) * CHOOSE(CONTROL!$C$21, $C$9, 100%, $E$9)</f>
        <v>15.8088</v>
      </c>
      <c r="R370" s="14">
        <f>CHOOSE(CONTROL!$C$42, 16.4353, 16.4353) * CHOOSE(CONTROL!$C$21, $C$9, 100%, $E$9)</f>
        <v>16.435300000000002</v>
      </c>
      <c r="S370" s="14">
        <f>CHOOSE(CONTROL!$C$42, 14.6678, 14.6678) * CHOOSE(CONTROL!$C$21, $C$9, 100%, $E$9)</f>
        <v>14.6678</v>
      </c>
      <c r="T3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70" s="57">
        <f>(1000*CHOOSE(CONTROL!$C$42, 695, 695)*CHOOSE(CONTROL!$C$42, 0.5599, 0.5599)*CHOOSE(CONTROL!$C$42, 31, 31))/1000000</f>
        <v>12.063045499999998</v>
      </c>
      <c r="V370" s="57">
        <f>(1000*CHOOSE(CONTROL!$C$42, 500, 500)*CHOOSE(CONTROL!$C$42, 0.275, 0.275)*CHOOSE(CONTROL!$C$42, 31, 31))/1000000</f>
        <v>4.2625000000000002</v>
      </c>
      <c r="W370" s="57">
        <f>(1000*CHOOSE(CONTROL!$C$42, 0.1146, 0.1146)*CHOOSE(CONTROL!$C$42, 121.5, 121.5)*CHOOSE(CONTROL!$C$42, 31, 31))/1000000</f>
        <v>0.43164089999999994</v>
      </c>
      <c r="X370" s="57">
        <f>(31*0.1790888*245000/1000000)+(31*0.2374*100000/1000000)</f>
        <v>2.0961194359999999</v>
      </c>
      <c r="Y370" s="57"/>
      <c r="Z370" s="14"/>
      <c r="AA370" s="56"/>
      <c r="AB370" s="50">
        <f>(B370*131.881+C370*277.167+D370*79.08+E370*125.872+F370*40+G370*185+H370*0+I370*100+J370*300)/(131.881+277.167+79.08+125.872+0+40+185+100+300)</f>
        <v>15.335895300322841</v>
      </c>
      <c r="AC370" s="45">
        <f>(M370*'RAP TEMPLATE-GAS AVAILABILITY'!O369+N370*'RAP TEMPLATE-GAS AVAILABILITY'!P369+O370*'RAP TEMPLATE-GAS AVAILABILITY'!Q369+P370*'RAP TEMPLATE-GAS AVAILABILITY'!R369)/('RAP TEMPLATE-GAS AVAILABILITY'!O369+'RAP TEMPLATE-GAS AVAILABILITY'!P369+'RAP TEMPLATE-GAS AVAILABILITY'!Q369+'RAP TEMPLATE-GAS AVAILABILITY'!R369)</f>
        <v>15.064839568345324</v>
      </c>
    </row>
    <row r="371" spans="1:29" ht="15.75" x14ac:dyDescent="0.25">
      <c r="A371" s="33">
        <v>52200</v>
      </c>
      <c r="B371" s="14">
        <f>CHOOSE(CONTROL!$C$42, 15.6757, 15.6757) * CHOOSE(CONTROL!$C$21, $C$9, 100%, $E$9)</f>
        <v>15.675700000000001</v>
      </c>
      <c r="C371" s="14">
        <f>CHOOSE(CONTROL!$C$42, 15.6808, 15.6808) * CHOOSE(CONTROL!$C$21, $C$9, 100%, $E$9)</f>
        <v>15.6808</v>
      </c>
      <c r="D371" s="14">
        <f>CHOOSE(CONTROL!$C$42, 15.755, 15.755) * CHOOSE(CONTROL!$C$21, $C$9, 100%, $E$9)</f>
        <v>15.755000000000001</v>
      </c>
      <c r="E371" s="14">
        <f>CHOOSE(CONTROL!$C$42, 15.7891, 15.7891) * CHOOSE(CONTROL!$C$21, $C$9, 100%, $E$9)</f>
        <v>15.789099999999999</v>
      </c>
      <c r="F371" s="14">
        <f>CHOOSE(CONTROL!$C$42, 15.7117, 15.7117)*CHOOSE(CONTROL!$C$21, $C$9, 100%, $E$9)</f>
        <v>15.7117</v>
      </c>
      <c r="G371" s="14">
        <f>CHOOSE(CONTROL!$C$42, 15.7293, 15.7293)*CHOOSE(CONTROL!$C$21, $C$9, 100%, $E$9)</f>
        <v>15.7293</v>
      </c>
      <c r="H371" s="14">
        <f>CHOOSE(CONTROL!$C$42, 15.7783, 15.7783) * CHOOSE(CONTROL!$C$21, $C$9, 100%, $E$9)</f>
        <v>15.7783</v>
      </c>
      <c r="I371" s="14">
        <f>CHOOSE(CONTROL!$C$42, 15.7522, 15.7522)* CHOOSE(CONTROL!$C$21, $C$9, 100%, $E$9)</f>
        <v>15.7522</v>
      </c>
      <c r="J371" s="14">
        <f>CHOOSE(CONTROL!$C$42, 15.7047, 15.7047)* CHOOSE(CONTROL!$C$21, $C$9, 100%, $E$9)</f>
        <v>15.704700000000001</v>
      </c>
      <c r="K371" s="53">
        <f>CHOOSE(CONTROL!$C$42, 15.7484, 15.7484) * CHOOSE(CONTROL!$C$21, $C$9, 100%, $E$9)</f>
        <v>15.7484</v>
      </c>
      <c r="L371" s="14">
        <f>CHOOSE(CONTROL!$C$42, 16.3653, 16.3653) * CHOOSE(CONTROL!$C$21, $C$9, 100%, $E$9)</f>
        <v>16.365300000000001</v>
      </c>
      <c r="M371" s="14">
        <f>CHOOSE(CONTROL!$C$42, 15.3907, 15.3907) * CHOOSE(CONTROL!$C$21, $C$9, 100%, $E$9)</f>
        <v>15.390700000000001</v>
      </c>
      <c r="N371" s="14">
        <f>CHOOSE(CONTROL!$C$42, 15.4078, 15.4078) * CHOOSE(CONTROL!$C$21, $C$9, 100%, $E$9)</f>
        <v>15.4078</v>
      </c>
      <c r="O371" s="14">
        <f>CHOOSE(CONTROL!$C$42, 15.4627, 15.4627) * CHOOSE(CONTROL!$C$21, $C$9, 100%, $E$9)</f>
        <v>15.4627</v>
      </c>
      <c r="P371" s="14">
        <f>CHOOSE(CONTROL!$C$42, 15.4363, 15.4363) * CHOOSE(CONTROL!$C$21, $C$9, 100%, $E$9)</f>
        <v>15.436299999999999</v>
      </c>
      <c r="Q371" s="14">
        <f>CHOOSE(CONTROL!$C$42, 16.0574, 16.0574) * CHOOSE(CONTROL!$C$21, $C$9, 100%, $E$9)</f>
        <v>16.057400000000001</v>
      </c>
      <c r="R371" s="14">
        <f>CHOOSE(CONTROL!$C$42, 16.6845, 16.6845) * CHOOSE(CONTROL!$C$21, $C$9, 100%, $E$9)</f>
        <v>16.6845</v>
      </c>
      <c r="S371" s="14">
        <f>CHOOSE(CONTROL!$C$42, 15.0542, 15.0542) * CHOOSE(CONTROL!$C$21, $C$9, 100%, $E$9)</f>
        <v>15.0542</v>
      </c>
      <c r="T3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71" s="57">
        <f>(1000*CHOOSE(CONTROL!$C$42, 695, 695)*CHOOSE(CONTROL!$C$42, 0.5599, 0.5599)*CHOOSE(CONTROL!$C$42, 30, 30))/1000000</f>
        <v>11.673914999999997</v>
      </c>
      <c r="V371" s="57">
        <f>(1000*CHOOSE(CONTROL!$C$42, 500, 500)*CHOOSE(CONTROL!$C$42, 0.275, 0.275)*CHOOSE(CONTROL!$C$42, 30, 30))/1000000</f>
        <v>4.125</v>
      </c>
      <c r="W371" s="57">
        <f>(1000*CHOOSE(CONTROL!$C$42, 0.1146, 0.1146)*CHOOSE(CONTROL!$C$42, 121.5, 121.5)*CHOOSE(CONTROL!$C$42, 30, 30))/1000000</f>
        <v>0.417717</v>
      </c>
      <c r="X371" s="57">
        <f>(30*0.1790888*100000/1000000)+(30*0.2374*100000/1000000)</f>
        <v>1.2494664</v>
      </c>
      <c r="Y371" s="57"/>
      <c r="Z371" s="14"/>
      <c r="AA371" s="56"/>
      <c r="AB371" s="50">
        <f>(B371*122.58+C371*297.941+D371*89.177+E371*40.302+F371*40+G371*160+H371*0+I371*100+J371*300)/(122.58+297.941+89.177+40.302+0+40+160+100+300)</f>
        <v>15.71007172347826</v>
      </c>
      <c r="AC371" s="45">
        <f>(M371*'RAP TEMPLATE-GAS AVAILABILITY'!O370+N371*'RAP TEMPLATE-GAS AVAILABILITY'!P370+O371*'RAP TEMPLATE-GAS AVAILABILITY'!Q370+P371*'RAP TEMPLATE-GAS AVAILABILITY'!R370)/('RAP TEMPLATE-GAS AVAILABILITY'!O370+'RAP TEMPLATE-GAS AVAILABILITY'!P370+'RAP TEMPLATE-GAS AVAILABILITY'!Q370+'RAP TEMPLATE-GAS AVAILABILITY'!R370)</f>
        <v>15.430878417266186</v>
      </c>
    </row>
    <row r="372" spans="1:29" ht="15.75" x14ac:dyDescent="0.25">
      <c r="A372" s="33">
        <v>52231</v>
      </c>
      <c r="B372" s="14">
        <f>CHOOSE(CONTROL!$C$42, 16.7438, 16.7438) * CHOOSE(CONTROL!$C$21, $C$9, 100%, $E$9)</f>
        <v>16.7438</v>
      </c>
      <c r="C372" s="14">
        <f>CHOOSE(CONTROL!$C$42, 16.7489, 16.7489) * CHOOSE(CONTROL!$C$21, $C$9, 100%, $E$9)</f>
        <v>16.748899999999999</v>
      </c>
      <c r="D372" s="14">
        <f>CHOOSE(CONTROL!$C$42, 16.8231, 16.8231) * CHOOSE(CONTROL!$C$21, $C$9, 100%, $E$9)</f>
        <v>16.8231</v>
      </c>
      <c r="E372" s="14">
        <f>CHOOSE(CONTROL!$C$42, 16.8572, 16.8572) * CHOOSE(CONTROL!$C$21, $C$9, 100%, $E$9)</f>
        <v>16.857199999999999</v>
      </c>
      <c r="F372" s="14">
        <f>CHOOSE(CONTROL!$C$42, 16.7822, 16.7822)*CHOOSE(CONTROL!$C$21, $C$9, 100%, $E$9)</f>
        <v>16.7822</v>
      </c>
      <c r="G372" s="14">
        <f>CHOOSE(CONTROL!$C$42, 16.8004, 16.8004)*CHOOSE(CONTROL!$C$21, $C$9, 100%, $E$9)</f>
        <v>16.8004</v>
      </c>
      <c r="H372" s="14">
        <f>CHOOSE(CONTROL!$C$42, 16.8464, 16.8464) * CHOOSE(CONTROL!$C$21, $C$9, 100%, $E$9)</f>
        <v>16.846399999999999</v>
      </c>
      <c r="I372" s="14">
        <f>CHOOSE(CONTROL!$C$42, 16.8237, 16.8237)* CHOOSE(CONTROL!$C$21, $C$9, 100%, $E$9)</f>
        <v>16.823699999999999</v>
      </c>
      <c r="J372" s="14">
        <f>CHOOSE(CONTROL!$C$42, 16.7752, 16.7752)* CHOOSE(CONTROL!$C$21, $C$9, 100%, $E$9)</f>
        <v>16.775200000000002</v>
      </c>
      <c r="K372" s="53">
        <f>CHOOSE(CONTROL!$C$42, 16.8198, 16.8198) * CHOOSE(CONTROL!$C$21, $C$9, 100%, $E$9)</f>
        <v>16.819800000000001</v>
      </c>
      <c r="L372" s="14">
        <f>CHOOSE(CONTROL!$C$42, 17.4334, 17.4334) * CHOOSE(CONTROL!$C$21, $C$9, 100%, $E$9)</f>
        <v>17.433399999999999</v>
      </c>
      <c r="M372" s="14">
        <f>CHOOSE(CONTROL!$C$42, 16.4392, 16.4392) * CHOOSE(CONTROL!$C$21, $C$9, 100%, $E$9)</f>
        <v>16.4392</v>
      </c>
      <c r="N372" s="14">
        <f>CHOOSE(CONTROL!$C$42, 16.457, 16.457) * CHOOSE(CONTROL!$C$21, $C$9, 100%, $E$9)</f>
        <v>16.457000000000001</v>
      </c>
      <c r="O372" s="14">
        <f>CHOOSE(CONTROL!$C$42, 16.5089, 16.5089) * CHOOSE(CONTROL!$C$21, $C$9, 100%, $E$9)</f>
        <v>16.508900000000001</v>
      </c>
      <c r="P372" s="14">
        <f>CHOOSE(CONTROL!$C$42, 16.4857, 16.4857) * CHOOSE(CONTROL!$C$21, $C$9, 100%, $E$9)</f>
        <v>16.485700000000001</v>
      </c>
      <c r="Q372" s="14">
        <f>CHOOSE(CONTROL!$C$42, 17.1036, 17.1036) * CHOOSE(CONTROL!$C$21, $C$9, 100%, $E$9)</f>
        <v>17.1036</v>
      </c>
      <c r="R372" s="14">
        <f>CHOOSE(CONTROL!$C$42, 17.7334, 17.7334) * CHOOSE(CONTROL!$C$21, $C$9, 100%, $E$9)</f>
        <v>17.7334</v>
      </c>
      <c r="S372" s="14">
        <f>CHOOSE(CONTROL!$C$42, 16.0806, 16.0806) * CHOOSE(CONTROL!$C$21, $C$9, 100%, $E$9)</f>
        <v>16.0806</v>
      </c>
      <c r="T3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72" s="57">
        <f>(1000*CHOOSE(CONTROL!$C$42, 695, 695)*CHOOSE(CONTROL!$C$42, 0.5599, 0.5599)*CHOOSE(CONTROL!$C$42, 31, 31))/1000000</f>
        <v>12.063045499999998</v>
      </c>
      <c r="V372" s="57">
        <f>(1000*CHOOSE(CONTROL!$C$42, 500, 500)*CHOOSE(CONTROL!$C$42, 0.275, 0.275)*CHOOSE(CONTROL!$C$42, 31, 31))/1000000</f>
        <v>4.2625000000000002</v>
      </c>
      <c r="W372" s="57">
        <f>(1000*CHOOSE(CONTROL!$C$42, 0.1146, 0.1146)*CHOOSE(CONTROL!$C$42, 121.5, 121.5)*CHOOSE(CONTROL!$C$42, 31, 31))/1000000</f>
        <v>0.43164089999999994</v>
      </c>
      <c r="X372" s="57">
        <f>(31*0.1790888*100000/1000000)+(31*0.2374*100000/1000000)</f>
        <v>1.2911152800000001</v>
      </c>
      <c r="Y372" s="57"/>
      <c r="Z372" s="14"/>
      <c r="AA372" s="56"/>
      <c r="AB372" s="50">
        <f>(B372*122.58+C372*297.941+D372*89.177+E372*40.302+F372*40+G372*160+H372*0+I372*100+J372*300)/(122.58+297.941+89.177+40.302+0+40+160+100+300)</f>
        <v>16.779594332173914</v>
      </c>
      <c r="AC372" s="45">
        <f>(M372*'RAP TEMPLATE-GAS AVAILABILITY'!O371+N372*'RAP TEMPLATE-GAS AVAILABILITY'!P371+O372*'RAP TEMPLATE-GAS AVAILABILITY'!Q371+P372*'RAP TEMPLATE-GAS AVAILABILITY'!R371)/('RAP TEMPLATE-GAS AVAILABILITY'!O371+'RAP TEMPLATE-GAS AVAILABILITY'!P371+'RAP TEMPLATE-GAS AVAILABILITY'!Q371+'RAP TEMPLATE-GAS AVAILABILITY'!R371)</f>
        <v>16.478505755395684</v>
      </c>
    </row>
    <row r="373" spans="1:29" ht="15.75" x14ac:dyDescent="0.25">
      <c r="A373" s="33">
        <v>52262</v>
      </c>
      <c r="B373" s="14">
        <f>CHOOSE(CONTROL!$C$42, 18.1311, 18.1311) * CHOOSE(CONTROL!$C$21, $C$9, 100%, $E$9)</f>
        <v>18.1311</v>
      </c>
      <c r="C373" s="14">
        <f>CHOOSE(CONTROL!$C$42, 18.1361, 18.1361) * CHOOSE(CONTROL!$C$21, $C$9, 100%, $E$9)</f>
        <v>18.136099999999999</v>
      </c>
      <c r="D373" s="14">
        <f>CHOOSE(CONTROL!$C$42, 18.213, 18.213) * CHOOSE(CONTROL!$C$21, $C$9, 100%, $E$9)</f>
        <v>18.213000000000001</v>
      </c>
      <c r="E373" s="14">
        <f>CHOOSE(CONTROL!$C$42, 18.2471, 18.2471) * CHOOSE(CONTROL!$C$21, $C$9, 100%, $E$9)</f>
        <v>18.2471</v>
      </c>
      <c r="F373" s="14">
        <f>CHOOSE(CONTROL!$C$42, 18.1558, 18.1558)*CHOOSE(CONTROL!$C$21, $C$9, 100%, $E$9)</f>
        <v>18.155799999999999</v>
      </c>
      <c r="G373" s="14">
        <f>CHOOSE(CONTROL!$C$42, 18.1738, 18.1738)*CHOOSE(CONTROL!$C$21, $C$9, 100%, $E$9)</f>
        <v>18.1738</v>
      </c>
      <c r="H373" s="14">
        <f>CHOOSE(CONTROL!$C$42, 18.2363, 18.2363) * CHOOSE(CONTROL!$C$21, $C$9, 100%, $E$9)</f>
        <v>18.2363</v>
      </c>
      <c r="I373" s="14">
        <f>CHOOSE(CONTROL!$C$42, 18.2216, 18.2216)* CHOOSE(CONTROL!$C$21, $C$9, 100%, $E$9)</f>
        <v>18.221599999999999</v>
      </c>
      <c r="J373" s="14">
        <f>CHOOSE(CONTROL!$C$42, 18.1488, 18.1488)* CHOOSE(CONTROL!$C$21, $C$9, 100%, $E$9)</f>
        <v>18.148800000000001</v>
      </c>
      <c r="K373" s="53">
        <f>CHOOSE(CONTROL!$C$42, 18.2177, 18.2177) * CHOOSE(CONTROL!$C$21, $C$9, 100%, $E$9)</f>
        <v>18.217700000000001</v>
      </c>
      <c r="L373" s="14">
        <f>CHOOSE(CONTROL!$C$42, 18.8233, 18.8233) * CHOOSE(CONTROL!$C$21, $C$9, 100%, $E$9)</f>
        <v>18.8233</v>
      </c>
      <c r="M373" s="14">
        <f>CHOOSE(CONTROL!$C$42, 17.7846, 17.7846) * CHOOSE(CONTROL!$C$21, $C$9, 100%, $E$9)</f>
        <v>17.784600000000001</v>
      </c>
      <c r="N373" s="14">
        <f>CHOOSE(CONTROL!$C$42, 17.8023, 17.8023) * CHOOSE(CONTROL!$C$21, $C$9, 100%, $E$9)</f>
        <v>17.802299999999999</v>
      </c>
      <c r="O373" s="14">
        <f>CHOOSE(CONTROL!$C$42, 17.8703, 17.8703) * CHOOSE(CONTROL!$C$21, $C$9, 100%, $E$9)</f>
        <v>17.8703</v>
      </c>
      <c r="P373" s="14">
        <f>CHOOSE(CONTROL!$C$42, 17.8549, 17.8549) * CHOOSE(CONTROL!$C$21, $C$9, 100%, $E$9)</f>
        <v>17.854900000000001</v>
      </c>
      <c r="Q373" s="14">
        <f>CHOOSE(CONTROL!$C$42, 18.465, 18.465) * CHOOSE(CONTROL!$C$21, $C$9, 100%, $E$9)</f>
        <v>18.465</v>
      </c>
      <c r="R373" s="14">
        <f>CHOOSE(CONTROL!$C$42, 19.0982, 19.0982) * CHOOSE(CONTROL!$C$21, $C$9, 100%, $E$9)</f>
        <v>19.098199999999999</v>
      </c>
      <c r="S373" s="14">
        <f>CHOOSE(CONTROL!$C$42, 17.4136, 17.4136) * CHOOSE(CONTROL!$C$21, $C$9, 100%, $E$9)</f>
        <v>17.413599999999999</v>
      </c>
      <c r="T3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3" s="57">
        <f>(1000*CHOOSE(CONTROL!$C$42, 695, 695)*CHOOSE(CONTROL!$C$42, 0.5599, 0.5599)*CHOOSE(CONTROL!$C$42, 31, 31))/1000000</f>
        <v>12.063045499999998</v>
      </c>
      <c r="V373" s="57">
        <f>(1000*CHOOSE(CONTROL!$C$42, 500, 500)*CHOOSE(CONTROL!$C$42, 0.275, 0.275)*CHOOSE(CONTROL!$C$42, 31, 31))/1000000</f>
        <v>4.2625000000000002</v>
      </c>
      <c r="W373" s="57">
        <f>(1000*CHOOSE(CONTROL!$C$42, 0.1146, 0.1146)*CHOOSE(CONTROL!$C$42, 121.5, 121.5)*CHOOSE(CONTROL!$C$42, 31, 31))/1000000</f>
        <v>0.43164089999999994</v>
      </c>
      <c r="X373" s="57">
        <f>(31*0.1790888*100000/1000000)+(31*0.2374*100000/1000000)</f>
        <v>1.2911152800000001</v>
      </c>
      <c r="Y373" s="57"/>
      <c r="Z373" s="14"/>
      <c r="AA373" s="56"/>
      <c r="AB373" s="50">
        <f>(B373*122.58+C373*297.941+D373*89.177+E373*40.302+F373*40+G373*160+H373*0+I373*100+J373*300)/(122.58+297.941+89.177+40.302+0+40+160+100+300)</f>
        <v>18.162098550695653</v>
      </c>
      <c r="AC373" s="45">
        <f>(M373*'RAP TEMPLATE-GAS AVAILABILITY'!O372+N373*'RAP TEMPLATE-GAS AVAILABILITY'!P372+O373*'RAP TEMPLATE-GAS AVAILABILITY'!Q372+P373*'RAP TEMPLATE-GAS AVAILABILITY'!R372)/('RAP TEMPLATE-GAS AVAILABILITY'!O372+'RAP TEMPLATE-GAS AVAILABILITY'!P372+'RAP TEMPLATE-GAS AVAILABILITY'!Q372+'RAP TEMPLATE-GAS AVAILABILITY'!R372)</f>
        <v>17.834576258992804</v>
      </c>
    </row>
    <row r="374" spans="1:29" ht="15.75" x14ac:dyDescent="0.25">
      <c r="A374" s="33">
        <v>52290</v>
      </c>
      <c r="B374" s="14">
        <f>CHOOSE(CONTROL!$C$42, 18.4537, 18.4537) * CHOOSE(CONTROL!$C$21, $C$9, 100%, $E$9)</f>
        <v>18.453700000000001</v>
      </c>
      <c r="C374" s="14">
        <f>CHOOSE(CONTROL!$C$42, 18.4587, 18.4587) * CHOOSE(CONTROL!$C$21, $C$9, 100%, $E$9)</f>
        <v>18.4587</v>
      </c>
      <c r="D374" s="14">
        <f>CHOOSE(CONTROL!$C$42, 18.5355, 18.5355) * CHOOSE(CONTROL!$C$21, $C$9, 100%, $E$9)</f>
        <v>18.535499999999999</v>
      </c>
      <c r="E374" s="14">
        <f>CHOOSE(CONTROL!$C$42, 18.5697, 18.5697) * CHOOSE(CONTROL!$C$21, $C$9, 100%, $E$9)</f>
        <v>18.569700000000001</v>
      </c>
      <c r="F374" s="14">
        <f>CHOOSE(CONTROL!$C$42, 18.478, 18.478)*CHOOSE(CONTROL!$C$21, $C$9, 100%, $E$9)</f>
        <v>18.478000000000002</v>
      </c>
      <c r="G374" s="14">
        <f>CHOOSE(CONTROL!$C$42, 18.4959, 18.4959)*CHOOSE(CONTROL!$C$21, $C$9, 100%, $E$9)</f>
        <v>18.495899999999999</v>
      </c>
      <c r="H374" s="14">
        <f>CHOOSE(CONTROL!$C$42, 18.5588, 18.5588) * CHOOSE(CONTROL!$C$21, $C$9, 100%, $E$9)</f>
        <v>18.558800000000002</v>
      </c>
      <c r="I374" s="14">
        <f>CHOOSE(CONTROL!$C$42, 18.5452, 18.5452)* CHOOSE(CONTROL!$C$21, $C$9, 100%, $E$9)</f>
        <v>18.545200000000001</v>
      </c>
      <c r="J374" s="14">
        <f>CHOOSE(CONTROL!$C$42, 18.471, 18.471)* CHOOSE(CONTROL!$C$21, $C$9, 100%, $E$9)</f>
        <v>18.471</v>
      </c>
      <c r="K374" s="53">
        <f>CHOOSE(CONTROL!$C$42, 18.5413, 18.5413) * CHOOSE(CONTROL!$C$21, $C$9, 100%, $E$9)</f>
        <v>18.5413</v>
      </c>
      <c r="L374" s="14">
        <f>CHOOSE(CONTROL!$C$42, 19.1458, 19.1458) * CHOOSE(CONTROL!$C$21, $C$9, 100%, $E$9)</f>
        <v>19.145800000000001</v>
      </c>
      <c r="M374" s="14">
        <f>CHOOSE(CONTROL!$C$42, 18.1002, 18.1002) * CHOOSE(CONTROL!$C$21, $C$9, 100%, $E$9)</f>
        <v>18.100200000000001</v>
      </c>
      <c r="N374" s="14">
        <f>CHOOSE(CONTROL!$C$42, 18.1177, 18.1177) * CHOOSE(CONTROL!$C$21, $C$9, 100%, $E$9)</f>
        <v>18.117699999999999</v>
      </c>
      <c r="O374" s="14">
        <f>CHOOSE(CONTROL!$C$42, 18.1863, 18.1863) * CHOOSE(CONTROL!$C$21, $C$9, 100%, $E$9)</f>
        <v>18.186299999999999</v>
      </c>
      <c r="P374" s="14">
        <f>CHOOSE(CONTROL!$C$42, 18.1718, 18.1718) * CHOOSE(CONTROL!$C$21, $C$9, 100%, $E$9)</f>
        <v>18.171800000000001</v>
      </c>
      <c r="Q374" s="14">
        <f>CHOOSE(CONTROL!$C$42, 18.781, 18.781) * CHOOSE(CONTROL!$C$21, $C$9, 100%, $E$9)</f>
        <v>18.780999999999999</v>
      </c>
      <c r="R374" s="14">
        <f>CHOOSE(CONTROL!$C$42, 19.4149, 19.4149) * CHOOSE(CONTROL!$C$21, $C$9, 100%, $E$9)</f>
        <v>19.414899999999999</v>
      </c>
      <c r="S374" s="14">
        <f>CHOOSE(CONTROL!$C$42, 17.7236, 17.7236) * CHOOSE(CONTROL!$C$21, $C$9, 100%, $E$9)</f>
        <v>17.723600000000001</v>
      </c>
      <c r="T37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74" s="57">
        <f>(1000*CHOOSE(CONTROL!$C$42, 695, 695)*CHOOSE(CONTROL!$C$42, 0.5599, 0.5599)*CHOOSE(CONTROL!$C$42, 28, 28))/1000000</f>
        <v>10.895653999999999</v>
      </c>
      <c r="V374" s="57">
        <f>(1000*CHOOSE(CONTROL!$C$42, 500, 500)*CHOOSE(CONTROL!$C$42, 0.275, 0.275)*CHOOSE(CONTROL!$C$42, 28, 28))/1000000</f>
        <v>3.85</v>
      </c>
      <c r="W374" s="57">
        <f>(1000*CHOOSE(CONTROL!$C$42, 0.1146, 0.1146)*CHOOSE(CONTROL!$C$42, 121.5, 121.5)*CHOOSE(CONTROL!$C$42, 28, 28))/1000000</f>
        <v>0.38986920000000003</v>
      </c>
      <c r="X374" s="57">
        <f>(28*0.1790888*100000/1000000)+(28*0.2374*100000/1000000)</f>
        <v>1.16616864</v>
      </c>
      <c r="Y374" s="57"/>
      <c r="Z374" s="14"/>
      <c r="AA374" s="56"/>
      <c r="AB374" s="50">
        <f>(B374*122.58+C374*297.941+D374*89.177+E374*40.302+F374*40+G374*160+H374*0+I374*100+J374*300)/(122.58+297.941+89.177+40.302+0+40+160+100+300)</f>
        <v>18.484589926608699</v>
      </c>
      <c r="AC374" s="45">
        <f>(M374*'RAP TEMPLATE-GAS AVAILABILITY'!O373+N374*'RAP TEMPLATE-GAS AVAILABILITY'!P373+O374*'RAP TEMPLATE-GAS AVAILABILITY'!Q373+P374*'RAP TEMPLATE-GAS AVAILABILITY'!R373)/('RAP TEMPLATE-GAS AVAILABILITY'!O373+'RAP TEMPLATE-GAS AVAILABILITY'!P373+'RAP TEMPLATE-GAS AVAILABILITY'!Q373+'RAP TEMPLATE-GAS AVAILABILITY'!R373)</f>
        <v>18.15053309352518</v>
      </c>
    </row>
    <row r="375" spans="1:29" ht="15.75" x14ac:dyDescent="0.25">
      <c r="A375" s="33">
        <v>52321</v>
      </c>
      <c r="B375" s="14">
        <f>CHOOSE(CONTROL!$C$42, 17.93, 17.93) * CHOOSE(CONTROL!$C$21, $C$9, 100%, $E$9)</f>
        <v>17.93</v>
      </c>
      <c r="C375" s="14">
        <f>CHOOSE(CONTROL!$C$42, 17.9351, 17.9351) * CHOOSE(CONTROL!$C$21, $C$9, 100%, $E$9)</f>
        <v>17.935099999999998</v>
      </c>
      <c r="D375" s="14">
        <f>CHOOSE(CONTROL!$C$42, 18.0119, 18.0119) * CHOOSE(CONTROL!$C$21, $C$9, 100%, $E$9)</f>
        <v>18.011900000000001</v>
      </c>
      <c r="E375" s="14">
        <f>CHOOSE(CONTROL!$C$42, 18.046, 18.046) * CHOOSE(CONTROL!$C$21, $C$9, 100%, $E$9)</f>
        <v>18.045999999999999</v>
      </c>
      <c r="F375" s="14">
        <f>CHOOSE(CONTROL!$C$42, 17.9535, 17.9535)*CHOOSE(CONTROL!$C$21, $C$9, 100%, $E$9)</f>
        <v>17.953499999999998</v>
      </c>
      <c r="G375" s="14">
        <f>CHOOSE(CONTROL!$C$42, 17.9711, 17.9711)*CHOOSE(CONTROL!$C$21, $C$9, 100%, $E$9)</f>
        <v>17.9711</v>
      </c>
      <c r="H375" s="14">
        <f>CHOOSE(CONTROL!$C$42, 18.0352, 18.0352) * CHOOSE(CONTROL!$C$21, $C$9, 100%, $E$9)</f>
        <v>18.0352</v>
      </c>
      <c r="I375" s="14">
        <f>CHOOSE(CONTROL!$C$42, 18.0199, 18.0199)* CHOOSE(CONTROL!$C$21, $C$9, 100%, $E$9)</f>
        <v>18.0199</v>
      </c>
      <c r="J375" s="14">
        <f>CHOOSE(CONTROL!$C$42, 17.9465, 17.9465)* CHOOSE(CONTROL!$C$21, $C$9, 100%, $E$9)</f>
        <v>17.9465</v>
      </c>
      <c r="K375" s="53">
        <f>CHOOSE(CONTROL!$C$42, 18.016, 18.016) * CHOOSE(CONTROL!$C$21, $C$9, 100%, $E$9)</f>
        <v>18.015999999999998</v>
      </c>
      <c r="L375" s="14">
        <f>CHOOSE(CONTROL!$C$42, 18.6222, 18.6222) * CHOOSE(CONTROL!$C$21, $C$9, 100%, $E$9)</f>
        <v>18.622199999999999</v>
      </c>
      <c r="M375" s="14">
        <f>CHOOSE(CONTROL!$C$42, 17.5865, 17.5865) * CHOOSE(CONTROL!$C$21, $C$9, 100%, $E$9)</f>
        <v>17.586500000000001</v>
      </c>
      <c r="N375" s="14">
        <f>CHOOSE(CONTROL!$C$42, 17.6037, 17.6037) * CHOOSE(CONTROL!$C$21, $C$9, 100%, $E$9)</f>
        <v>17.6037</v>
      </c>
      <c r="O375" s="14">
        <f>CHOOSE(CONTROL!$C$42, 17.6734, 17.6734) * CHOOSE(CONTROL!$C$21, $C$9, 100%, $E$9)</f>
        <v>17.673400000000001</v>
      </c>
      <c r="P375" s="14">
        <f>CHOOSE(CONTROL!$C$42, 17.6573, 17.6573) * CHOOSE(CONTROL!$C$21, $C$9, 100%, $E$9)</f>
        <v>17.657299999999999</v>
      </c>
      <c r="Q375" s="14">
        <f>CHOOSE(CONTROL!$C$42, 18.2681, 18.2681) * CHOOSE(CONTROL!$C$21, $C$9, 100%, $E$9)</f>
        <v>18.2681</v>
      </c>
      <c r="R375" s="14">
        <f>CHOOSE(CONTROL!$C$42, 18.9007, 18.9007) * CHOOSE(CONTROL!$C$21, $C$9, 100%, $E$9)</f>
        <v>18.900700000000001</v>
      </c>
      <c r="S375" s="14">
        <f>CHOOSE(CONTROL!$C$42, 17.2204, 17.2204) * CHOOSE(CONTROL!$C$21, $C$9, 100%, $E$9)</f>
        <v>17.220400000000001</v>
      </c>
      <c r="T3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75" s="57">
        <f>(1000*CHOOSE(CONTROL!$C$42, 695, 695)*CHOOSE(CONTROL!$C$42, 0.5599, 0.5599)*CHOOSE(CONTROL!$C$42, 31, 31))/1000000</f>
        <v>12.063045499999998</v>
      </c>
      <c r="V375" s="57">
        <f>(1000*CHOOSE(CONTROL!$C$42, 500, 500)*CHOOSE(CONTROL!$C$42, 0.275, 0.275)*CHOOSE(CONTROL!$C$42, 31, 31))/1000000</f>
        <v>4.2625000000000002</v>
      </c>
      <c r="W375" s="57">
        <f>(1000*CHOOSE(CONTROL!$C$42, 0.1146, 0.1146)*CHOOSE(CONTROL!$C$42, 121.5, 121.5)*CHOOSE(CONTROL!$C$42, 31, 31))/1000000</f>
        <v>0.43164089999999994</v>
      </c>
      <c r="X375" s="57">
        <f>(31*0.1790888*100000/1000000)+(31*0.2374*100000/1000000)</f>
        <v>1.2911152800000001</v>
      </c>
      <c r="Y375" s="57"/>
      <c r="Z375" s="14"/>
      <c r="AA375" s="56"/>
      <c r="AB375" s="50">
        <f>(B375*122.58+C375*297.941+D375*89.177+E375*40.302+F375*40+G375*160+H375*0+I375*100+J375*300)/(122.58+297.941+89.177+40.302+0+40+160+100+300)</f>
        <v>17.960394893391303</v>
      </c>
      <c r="AC375" s="45">
        <f>(M375*'RAP TEMPLATE-GAS AVAILABILITY'!O374+N375*'RAP TEMPLATE-GAS AVAILABILITY'!P374+O375*'RAP TEMPLATE-GAS AVAILABILITY'!Q374+P375*'RAP TEMPLATE-GAS AVAILABILITY'!R374)/('RAP TEMPLATE-GAS AVAILABILITY'!O374+'RAP TEMPLATE-GAS AVAILABILITY'!P374+'RAP TEMPLATE-GAS AVAILABILITY'!Q374+'RAP TEMPLATE-GAS AVAILABILITY'!R374)</f>
        <v>17.637063309352516</v>
      </c>
    </row>
    <row r="376" spans="1:29" ht="15.75" x14ac:dyDescent="0.25">
      <c r="A376" s="33">
        <v>52351</v>
      </c>
      <c r="B376" s="14">
        <f>CHOOSE(CONTROL!$C$42, 17.8774, 17.8774) * CHOOSE(CONTROL!$C$21, $C$9, 100%, $E$9)</f>
        <v>17.877400000000002</v>
      </c>
      <c r="C376" s="14">
        <f>CHOOSE(CONTROL!$C$42, 17.8819, 17.8819) * CHOOSE(CONTROL!$C$21, $C$9, 100%, $E$9)</f>
        <v>17.881900000000002</v>
      </c>
      <c r="D376" s="14">
        <f>CHOOSE(CONTROL!$C$42, 18.1056, 18.1056) * CHOOSE(CONTROL!$C$21, $C$9, 100%, $E$9)</f>
        <v>18.105599999999999</v>
      </c>
      <c r="E376" s="14">
        <f>CHOOSE(CONTROL!$C$42, 18.1377, 18.1377) * CHOOSE(CONTROL!$C$21, $C$9, 100%, $E$9)</f>
        <v>18.137699999999999</v>
      </c>
      <c r="F376" s="14">
        <f>CHOOSE(CONTROL!$C$42, 17.9051, 17.9051)*CHOOSE(CONTROL!$C$21, $C$9, 100%, $E$9)</f>
        <v>17.905100000000001</v>
      </c>
      <c r="G376" s="14">
        <f>CHOOSE(CONTROL!$C$42, 17.922, 17.922)*CHOOSE(CONTROL!$C$21, $C$9, 100%, $E$9)</f>
        <v>17.922000000000001</v>
      </c>
      <c r="H376" s="14">
        <f>CHOOSE(CONTROL!$C$42, 18.1275, 18.1275) * CHOOSE(CONTROL!$C$21, $C$9, 100%, $E$9)</f>
        <v>18.127500000000001</v>
      </c>
      <c r="I376" s="14">
        <f>CHOOSE(CONTROL!$C$42, 17.9626, 17.9626)* CHOOSE(CONTROL!$C$21, $C$9, 100%, $E$9)</f>
        <v>17.962599999999998</v>
      </c>
      <c r="J376" s="14">
        <f>CHOOSE(CONTROL!$C$42, 17.8981, 17.8981)* CHOOSE(CONTROL!$C$21, $C$9, 100%, $E$9)</f>
        <v>17.898099999999999</v>
      </c>
      <c r="K376" s="53">
        <f>CHOOSE(CONTROL!$C$42, 17.9588, 17.9588) * CHOOSE(CONTROL!$C$21, $C$9, 100%, $E$9)</f>
        <v>17.9588</v>
      </c>
      <c r="L376" s="14">
        <f>CHOOSE(CONTROL!$C$42, 18.7145, 18.7145) * CHOOSE(CONTROL!$C$21, $C$9, 100%, $E$9)</f>
        <v>18.714500000000001</v>
      </c>
      <c r="M376" s="14">
        <f>CHOOSE(CONTROL!$C$42, 17.539, 17.539) * CHOOSE(CONTROL!$C$21, $C$9, 100%, $E$9)</f>
        <v>17.539000000000001</v>
      </c>
      <c r="N376" s="14">
        <f>CHOOSE(CONTROL!$C$42, 17.5556, 17.5556) * CHOOSE(CONTROL!$C$21, $C$9, 100%, $E$9)</f>
        <v>17.555599999999998</v>
      </c>
      <c r="O376" s="14">
        <f>CHOOSE(CONTROL!$C$42, 17.7638, 17.7638) * CHOOSE(CONTROL!$C$21, $C$9, 100%, $E$9)</f>
        <v>17.7638</v>
      </c>
      <c r="P376" s="14">
        <f>CHOOSE(CONTROL!$C$42, 17.6012, 17.6012) * CHOOSE(CONTROL!$C$21, $C$9, 100%, $E$9)</f>
        <v>17.601199999999999</v>
      </c>
      <c r="Q376" s="14">
        <f>CHOOSE(CONTROL!$C$42, 18.3585, 18.3585) * CHOOSE(CONTROL!$C$21, $C$9, 100%, $E$9)</f>
        <v>18.358499999999999</v>
      </c>
      <c r="R376" s="14">
        <f>CHOOSE(CONTROL!$C$42, 18.9913, 18.9913) * CHOOSE(CONTROL!$C$21, $C$9, 100%, $E$9)</f>
        <v>18.991299999999999</v>
      </c>
      <c r="S376" s="14">
        <f>CHOOSE(CONTROL!$C$42, 17.1691, 17.1691) * CHOOSE(CONTROL!$C$21, $C$9, 100%, $E$9)</f>
        <v>17.1691</v>
      </c>
      <c r="T3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76" s="57">
        <f>(1000*CHOOSE(CONTROL!$C$42, 695, 695)*CHOOSE(CONTROL!$C$42, 0.5599, 0.5599)*CHOOSE(CONTROL!$C$42, 30, 30))/1000000</f>
        <v>11.673914999999997</v>
      </c>
      <c r="V376" s="57">
        <f>(1000*CHOOSE(CONTROL!$C$42, 500, 500)*CHOOSE(CONTROL!$C$42, 0.275, 0.275)*CHOOSE(CONTROL!$C$42, 30, 30))/1000000</f>
        <v>4.125</v>
      </c>
      <c r="W376" s="57">
        <f>(1000*CHOOSE(CONTROL!$C$42, 0.1146, 0.1146)*CHOOSE(CONTROL!$C$42, 121.5, 121.5)*CHOOSE(CONTROL!$C$42, 30, 30))/1000000</f>
        <v>0.417717</v>
      </c>
      <c r="X376" s="57">
        <f>(30*0.1790888*245000/1000000)+(30*0.2374*100000/1000000)</f>
        <v>2.0285026799999999</v>
      </c>
      <c r="Y376" s="57"/>
      <c r="Z376" s="14"/>
      <c r="AA376" s="56"/>
      <c r="AB376" s="50">
        <f>(B376*141.293+C376*267.993+D376*115.016+E376*89.698+F376*40+G376*185+H376*0+I376*100+J376*300)/(141.293+267.993+115.016+89.698+0+40+185+100+300)</f>
        <v>17.937843913720744</v>
      </c>
      <c r="AC376" s="45">
        <f>(M376*'RAP TEMPLATE-GAS AVAILABILITY'!O375+N376*'RAP TEMPLATE-GAS AVAILABILITY'!P375+O376*'RAP TEMPLATE-GAS AVAILABILITY'!Q375+P376*'RAP TEMPLATE-GAS AVAILABILITY'!R375)/('RAP TEMPLATE-GAS AVAILABILITY'!O375+'RAP TEMPLATE-GAS AVAILABILITY'!P375+'RAP TEMPLATE-GAS AVAILABILITY'!Q375+'RAP TEMPLATE-GAS AVAILABILITY'!R375)</f>
        <v>17.614844604316545</v>
      </c>
    </row>
    <row r="377" spans="1:29" ht="15.75" x14ac:dyDescent="0.25">
      <c r="A377" s="33">
        <v>52382</v>
      </c>
      <c r="B377" s="14">
        <f>CHOOSE(CONTROL!$C$42, 18.0365, 18.0365) * CHOOSE(CONTROL!$C$21, $C$9, 100%, $E$9)</f>
        <v>18.0365</v>
      </c>
      <c r="C377" s="14">
        <f>CHOOSE(CONTROL!$C$42, 18.0445, 18.0445) * CHOOSE(CONTROL!$C$21, $C$9, 100%, $E$9)</f>
        <v>18.044499999999999</v>
      </c>
      <c r="D377" s="14">
        <f>CHOOSE(CONTROL!$C$42, 18.2651, 18.2651) * CHOOSE(CONTROL!$C$21, $C$9, 100%, $E$9)</f>
        <v>18.2651</v>
      </c>
      <c r="E377" s="14">
        <f>CHOOSE(CONTROL!$C$42, 18.2965, 18.2965) * CHOOSE(CONTROL!$C$21, $C$9, 100%, $E$9)</f>
        <v>18.296500000000002</v>
      </c>
      <c r="F377" s="14">
        <f>CHOOSE(CONTROL!$C$42, 18.0627, 18.0627)*CHOOSE(CONTROL!$C$21, $C$9, 100%, $E$9)</f>
        <v>18.0627</v>
      </c>
      <c r="G377" s="14">
        <f>CHOOSE(CONTROL!$C$42, 18.0798, 18.0798)*CHOOSE(CONTROL!$C$21, $C$9, 100%, $E$9)</f>
        <v>18.079799999999999</v>
      </c>
      <c r="H377" s="14">
        <f>CHOOSE(CONTROL!$C$42, 18.2852, 18.2852) * CHOOSE(CONTROL!$C$21, $C$9, 100%, $E$9)</f>
        <v>18.2852</v>
      </c>
      <c r="I377" s="14">
        <f>CHOOSE(CONTROL!$C$42, 18.1208, 18.1208)* CHOOSE(CONTROL!$C$21, $C$9, 100%, $E$9)</f>
        <v>18.120799999999999</v>
      </c>
      <c r="J377" s="14">
        <f>CHOOSE(CONTROL!$C$42, 18.0557, 18.0557)* CHOOSE(CONTROL!$C$21, $C$9, 100%, $E$9)</f>
        <v>18.055700000000002</v>
      </c>
      <c r="K377" s="53">
        <f>CHOOSE(CONTROL!$C$42, 18.1169, 18.1169) * CHOOSE(CONTROL!$C$21, $C$9, 100%, $E$9)</f>
        <v>18.116900000000001</v>
      </c>
      <c r="L377" s="14">
        <f>CHOOSE(CONTROL!$C$42, 18.8722, 18.8722) * CHOOSE(CONTROL!$C$21, $C$9, 100%, $E$9)</f>
        <v>18.872199999999999</v>
      </c>
      <c r="M377" s="14">
        <f>CHOOSE(CONTROL!$C$42, 17.6935, 17.6935) * CHOOSE(CONTROL!$C$21, $C$9, 100%, $E$9)</f>
        <v>17.6935</v>
      </c>
      <c r="N377" s="14">
        <f>CHOOSE(CONTROL!$C$42, 17.7102, 17.7102) * CHOOSE(CONTROL!$C$21, $C$9, 100%, $E$9)</f>
        <v>17.7102</v>
      </c>
      <c r="O377" s="14">
        <f>CHOOSE(CONTROL!$C$42, 17.9182, 17.9182) * CHOOSE(CONTROL!$C$21, $C$9, 100%, $E$9)</f>
        <v>17.918199999999999</v>
      </c>
      <c r="P377" s="14">
        <f>CHOOSE(CONTROL!$C$42, 17.7562, 17.7562) * CHOOSE(CONTROL!$C$21, $C$9, 100%, $E$9)</f>
        <v>17.7562</v>
      </c>
      <c r="Q377" s="14">
        <f>CHOOSE(CONTROL!$C$42, 18.5129, 18.5129) * CHOOSE(CONTROL!$C$21, $C$9, 100%, $E$9)</f>
        <v>18.512899999999998</v>
      </c>
      <c r="R377" s="14">
        <f>CHOOSE(CONTROL!$C$42, 19.1462, 19.1462) * CHOOSE(CONTROL!$C$21, $C$9, 100%, $E$9)</f>
        <v>19.1462</v>
      </c>
      <c r="S377" s="14">
        <f>CHOOSE(CONTROL!$C$42, 17.3206, 17.3206) * CHOOSE(CONTROL!$C$21, $C$9, 100%, $E$9)</f>
        <v>17.320599999999999</v>
      </c>
      <c r="T3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77" s="57">
        <f>(1000*CHOOSE(CONTROL!$C$42, 695, 695)*CHOOSE(CONTROL!$C$42, 0.5599, 0.5599)*CHOOSE(CONTROL!$C$42, 31, 31))/1000000</f>
        <v>12.063045499999998</v>
      </c>
      <c r="V377" s="57">
        <f>(1000*CHOOSE(CONTROL!$C$42, 500, 500)*CHOOSE(CONTROL!$C$42, 0.275, 0.275)*CHOOSE(CONTROL!$C$42, 31, 31))/1000000</f>
        <v>4.2625000000000002</v>
      </c>
      <c r="W377" s="57">
        <f>(1000*CHOOSE(CONTROL!$C$42, 0.1146, 0.1146)*CHOOSE(CONTROL!$C$42, 121.5, 121.5)*CHOOSE(CONTROL!$C$42, 31, 31))/1000000</f>
        <v>0.43164089999999994</v>
      </c>
      <c r="X377" s="57">
        <f>(31*0.1790888*245000/1000000)+(31*0.2374*100000/1000000)</f>
        <v>2.0961194359999999</v>
      </c>
      <c r="Y377" s="57"/>
      <c r="Z377" s="14"/>
      <c r="AA377" s="56"/>
      <c r="AB377" s="50">
        <f>(B377*194.205+C377*267.466+D377*133.845+E377*53.484+F377*40+G377*185+H377*0+I377*100+J377*300)/(194.205+267.466+133.845+53.484+0+40+185+100+300)</f>
        <v>18.091359525117738</v>
      </c>
      <c r="AC377" s="45">
        <f>(M377*'RAP TEMPLATE-GAS AVAILABILITY'!O376+N377*'RAP TEMPLATE-GAS AVAILABILITY'!P376+O377*'RAP TEMPLATE-GAS AVAILABILITY'!Q376+P377*'RAP TEMPLATE-GAS AVAILABILITY'!R376)/('RAP TEMPLATE-GAS AVAILABILITY'!O376+'RAP TEMPLATE-GAS AVAILABILITY'!P376+'RAP TEMPLATE-GAS AVAILABILITY'!Q376+'RAP TEMPLATE-GAS AVAILABILITY'!R376)</f>
        <v>17.769411510791365</v>
      </c>
    </row>
    <row r="378" spans="1:29" ht="15.75" x14ac:dyDescent="0.25">
      <c r="A378" s="33">
        <v>52412</v>
      </c>
      <c r="B378" s="14">
        <f>CHOOSE(CONTROL!$C$42, 18.5478, 18.5478) * CHOOSE(CONTROL!$C$21, $C$9, 100%, $E$9)</f>
        <v>18.547799999999999</v>
      </c>
      <c r="C378" s="14">
        <f>CHOOSE(CONTROL!$C$42, 18.5558, 18.5558) * CHOOSE(CONTROL!$C$21, $C$9, 100%, $E$9)</f>
        <v>18.555800000000001</v>
      </c>
      <c r="D378" s="14">
        <f>CHOOSE(CONTROL!$C$42, 18.7764, 18.7764) * CHOOSE(CONTROL!$C$21, $C$9, 100%, $E$9)</f>
        <v>18.776399999999999</v>
      </c>
      <c r="E378" s="14">
        <f>CHOOSE(CONTROL!$C$42, 18.8078, 18.8078) * CHOOSE(CONTROL!$C$21, $C$9, 100%, $E$9)</f>
        <v>18.8078</v>
      </c>
      <c r="F378" s="14">
        <f>CHOOSE(CONTROL!$C$42, 18.5744, 18.5744)*CHOOSE(CONTROL!$C$21, $C$9, 100%, $E$9)</f>
        <v>18.574400000000001</v>
      </c>
      <c r="G378" s="14">
        <f>CHOOSE(CONTROL!$C$42, 18.5916, 18.5916)*CHOOSE(CONTROL!$C$21, $C$9, 100%, $E$9)</f>
        <v>18.5916</v>
      </c>
      <c r="H378" s="14">
        <f>CHOOSE(CONTROL!$C$42, 18.7965, 18.7965) * CHOOSE(CONTROL!$C$21, $C$9, 100%, $E$9)</f>
        <v>18.796500000000002</v>
      </c>
      <c r="I378" s="14">
        <f>CHOOSE(CONTROL!$C$42, 18.6337, 18.6337)* CHOOSE(CONTROL!$C$21, $C$9, 100%, $E$9)</f>
        <v>18.633700000000001</v>
      </c>
      <c r="J378" s="14">
        <f>CHOOSE(CONTROL!$C$42, 18.5674, 18.5674)* CHOOSE(CONTROL!$C$21, $C$9, 100%, $E$9)</f>
        <v>18.567399999999999</v>
      </c>
      <c r="K378" s="53">
        <f>CHOOSE(CONTROL!$C$42, 18.6298, 18.6298) * CHOOSE(CONTROL!$C$21, $C$9, 100%, $E$9)</f>
        <v>18.629799999999999</v>
      </c>
      <c r="L378" s="14">
        <f>CHOOSE(CONTROL!$C$42, 19.3835, 19.3835) * CHOOSE(CONTROL!$C$21, $C$9, 100%, $E$9)</f>
        <v>19.383500000000002</v>
      </c>
      <c r="M378" s="14">
        <f>CHOOSE(CONTROL!$C$42, 18.1946, 18.1946) * CHOOSE(CONTROL!$C$21, $C$9, 100%, $E$9)</f>
        <v>18.194600000000001</v>
      </c>
      <c r="N378" s="14">
        <f>CHOOSE(CONTROL!$C$42, 18.2115, 18.2115) * CHOOSE(CONTROL!$C$21, $C$9, 100%, $E$9)</f>
        <v>18.211500000000001</v>
      </c>
      <c r="O378" s="14">
        <f>CHOOSE(CONTROL!$C$42, 18.419, 18.419) * CHOOSE(CONTROL!$C$21, $C$9, 100%, $E$9)</f>
        <v>18.419</v>
      </c>
      <c r="P378" s="14">
        <f>CHOOSE(CONTROL!$C$42, 18.2585, 18.2585) * CHOOSE(CONTROL!$C$21, $C$9, 100%, $E$9)</f>
        <v>18.258500000000002</v>
      </c>
      <c r="Q378" s="14">
        <f>CHOOSE(CONTROL!$C$42, 19.0137, 19.0137) * CHOOSE(CONTROL!$C$21, $C$9, 100%, $E$9)</f>
        <v>19.0137</v>
      </c>
      <c r="R378" s="14">
        <f>CHOOSE(CONTROL!$C$42, 19.6483, 19.6483) * CHOOSE(CONTROL!$C$21, $C$9, 100%, $E$9)</f>
        <v>19.648299999999999</v>
      </c>
      <c r="S378" s="14">
        <f>CHOOSE(CONTROL!$C$42, 17.8119, 17.8119) * CHOOSE(CONTROL!$C$21, $C$9, 100%, $E$9)</f>
        <v>17.811900000000001</v>
      </c>
      <c r="T3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78" s="57">
        <f>(1000*CHOOSE(CONTROL!$C$42, 695, 695)*CHOOSE(CONTROL!$C$42, 0.5599, 0.5599)*CHOOSE(CONTROL!$C$42, 30, 30))/1000000</f>
        <v>11.673914999999997</v>
      </c>
      <c r="V378" s="57">
        <f>(1000*CHOOSE(CONTROL!$C$42, 500, 500)*CHOOSE(CONTROL!$C$42, 0.275, 0.275)*CHOOSE(CONTROL!$C$42, 30, 30))/1000000</f>
        <v>4.125</v>
      </c>
      <c r="W378" s="57">
        <f>(1000*CHOOSE(CONTROL!$C$42, 0.1146, 0.1146)*CHOOSE(CONTROL!$C$42, 121.5, 121.5)*CHOOSE(CONTROL!$C$42, 30, 30))/1000000</f>
        <v>0.417717</v>
      </c>
      <c r="X378" s="57">
        <f>(30*0.1790888*245000/1000000)+(30*0.2374*100000/1000000)</f>
        <v>2.0285026799999999</v>
      </c>
      <c r="Y378" s="57"/>
      <c r="Z378" s="14"/>
      <c r="AA378" s="56"/>
      <c r="AB378" s="50">
        <f>(B378*194.205+C378*267.466+D378*133.845+E378*53.484+F378*40+G378*185+H378*0+I378*100+J378*300)/(194.205+267.466+133.845+53.484+0+40+185+100+300)</f>
        <v>18.602964470172687</v>
      </c>
      <c r="AC378" s="45">
        <f>(M378*'RAP TEMPLATE-GAS AVAILABILITY'!O377+N378*'RAP TEMPLATE-GAS AVAILABILITY'!P377+O378*'RAP TEMPLATE-GAS AVAILABILITY'!Q377+P378*'RAP TEMPLATE-GAS AVAILABILITY'!R377)/('RAP TEMPLATE-GAS AVAILABILITY'!O377+'RAP TEMPLATE-GAS AVAILABILITY'!P377+'RAP TEMPLATE-GAS AVAILABILITY'!Q377+'RAP TEMPLATE-GAS AVAILABILITY'!R377)</f>
        <v>18.270646043165467</v>
      </c>
    </row>
    <row r="379" spans="1:29" ht="15.75" x14ac:dyDescent="0.25">
      <c r="A379" s="33">
        <v>52443</v>
      </c>
      <c r="B379" s="14">
        <f>CHOOSE(CONTROL!$C$42, 18.1922, 18.1922) * CHOOSE(CONTROL!$C$21, $C$9, 100%, $E$9)</f>
        <v>18.1922</v>
      </c>
      <c r="C379" s="14">
        <f>CHOOSE(CONTROL!$C$42, 18.2002, 18.2002) * CHOOSE(CONTROL!$C$21, $C$9, 100%, $E$9)</f>
        <v>18.200199999999999</v>
      </c>
      <c r="D379" s="14">
        <f>CHOOSE(CONTROL!$C$42, 18.4208, 18.4208) * CHOOSE(CONTROL!$C$21, $C$9, 100%, $E$9)</f>
        <v>18.4208</v>
      </c>
      <c r="E379" s="14">
        <f>CHOOSE(CONTROL!$C$42, 18.4522, 18.4522) * CHOOSE(CONTROL!$C$21, $C$9, 100%, $E$9)</f>
        <v>18.452200000000001</v>
      </c>
      <c r="F379" s="14">
        <f>CHOOSE(CONTROL!$C$42, 18.2192, 18.2192)*CHOOSE(CONTROL!$C$21, $C$9, 100%, $E$9)</f>
        <v>18.219200000000001</v>
      </c>
      <c r="G379" s="14">
        <f>CHOOSE(CONTROL!$C$42, 18.2365, 18.2365)*CHOOSE(CONTROL!$C$21, $C$9, 100%, $E$9)</f>
        <v>18.236499999999999</v>
      </c>
      <c r="H379" s="14">
        <f>CHOOSE(CONTROL!$C$42, 18.4409, 18.4409) * CHOOSE(CONTROL!$C$21, $C$9, 100%, $E$9)</f>
        <v>18.440899999999999</v>
      </c>
      <c r="I379" s="14">
        <f>CHOOSE(CONTROL!$C$42, 18.277, 18.277)* CHOOSE(CONTROL!$C$21, $C$9, 100%, $E$9)</f>
        <v>18.277000000000001</v>
      </c>
      <c r="J379" s="14">
        <f>CHOOSE(CONTROL!$C$42, 18.2122, 18.2122)* CHOOSE(CONTROL!$C$21, $C$9, 100%, $E$9)</f>
        <v>18.212199999999999</v>
      </c>
      <c r="K379" s="53">
        <f>CHOOSE(CONTROL!$C$42, 18.2731, 18.2731) * CHOOSE(CONTROL!$C$21, $C$9, 100%, $E$9)</f>
        <v>18.273099999999999</v>
      </c>
      <c r="L379" s="14">
        <f>CHOOSE(CONTROL!$C$42, 19.0279, 19.0279) * CHOOSE(CONTROL!$C$21, $C$9, 100%, $E$9)</f>
        <v>19.027899999999999</v>
      </c>
      <c r="M379" s="14">
        <f>CHOOSE(CONTROL!$C$42, 17.8468, 17.8468) * CHOOSE(CONTROL!$C$21, $C$9, 100%, $E$9)</f>
        <v>17.846800000000002</v>
      </c>
      <c r="N379" s="14">
        <f>CHOOSE(CONTROL!$C$42, 17.8637, 17.8637) * CHOOSE(CONTROL!$C$21, $C$9, 100%, $E$9)</f>
        <v>17.863700000000001</v>
      </c>
      <c r="O379" s="14">
        <f>CHOOSE(CONTROL!$C$42, 18.0707, 18.0707) * CHOOSE(CONTROL!$C$21, $C$9, 100%, $E$9)</f>
        <v>18.070699999999999</v>
      </c>
      <c r="P379" s="14">
        <f>CHOOSE(CONTROL!$C$42, 17.9091, 17.9091) * CHOOSE(CONTROL!$C$21, $C$9, 100%, $E$9)</f>
        <v>17.909099999999999</v>
      </c>
      <c r="Q379" s="14">
        <f>CHOOSE(CONTROL!$C$42, 18.6654, 18.6654) * CHOOSE(CONTROL!$C$21, $C$9, 100%, $E$9)</f>
        <v>18.665400000000002</v>
      </c>
      <c r="R379" s="14">
        <f>CHOOSE(CONTROL!$C$42, 19.2991, 19.2991) * CHOOSE(CONTROL!$C$21, $C$9, 100%, $E$9)</f>
        <v>19.299099999999999</v>
      </c>
      <c r="S379" s="14">
        <f>CHOOSE(CONTROL!$C$42, 17.4702, 17.4702) * CHOOSE(CONTROL!$C$21, $C$9, 100%, $E$9)</f>
        <v>17.470199999999998</v>
      </c>
      <c r="T3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79" s="57">
        <f>(1000*CHOOSE(CONTROL!$C$42, 695, 695)*CHOOSE(CONTROL!$C$42, 0.5599, 0.5599)*CHOOSE(CONTROL!$C$42, 31, 31))/1000000</f>
        <v>12.063045499999998</v>
      </c>
      <c r="V379" s="57">
        <f>(1000*CHOOSE(CONTROL!$C$42, 500, 500)*CHOOSE(CONTROL!$C$42, 0.275, 0.275)*CHOOSE(CONTROL!$C$42, 31, 31))/1000000</f>
        <v>4.2625000000000002</v>
      </c>
      <c r="W379" s="57">
        <f>(1000*CHOOSE(CONTROL!$C$42, 0.1146, 0.1146)*CHOOSE(CONTROL!$C$42, 121.5, 121.5)*CHOOSE(CONTROL!$C$42, 31, 31))/1000000</f>
        <v>0.43164089999999994</v>
      </c>
      <c r="X379" s="57">
        <f>(31*0.1790888*245000/1000000)+(31*0.2374*100000/1000000)</f>
        <v>2.0961194359999999</v>
      </c>
      <c r="Y379" s="57"/>
      <c r="Z379" s="14"/>
      <c r="AA379" s="56"/>
      <c r="AB379" s="50">
        <f>(B379*194.205+C379*267.466+D379*133.845+E379*53.484+F379*40+G379*185+H379*0+I379*100+J379*300)/(194.205+267.466+133.845+53.484+0+40+185+100+300)</f>
        <v>18.247457484301414</v>
      </c>
      <c r="AC379" s="45">
        <f>(M379*'RAP TEMPLATE-GAS AVAILABILITY'!O378+N379*'RAP TEMPLATE-GAS AVAILABILITY'!P378+O379*'RAP TEMPLATE-GAS AVAILABILITY'!Q378+P379*'RAP TEMPLATE-GAS AVAILABILITY'!R378)/('RAP TEMPLATE-GAS AVAILABILITY'!O378+'RAP TEMPLATE-GAS AVAILABILITY'!P378+'RAP TEMPLATE-GAS AVAILABILITY'!Q378+'RAP TEMPLATE-GAS AVAILABILITY'!R378)</f>
        <v>17.922475539568342</v>
      </c>
    </row>
    <row r="380" spans="1:29" ht="15.75" x14ac:dyDescent="0.25">
      <c r="A380" s="33">
        <v>52474</v>
      </c>
      <c r="B380" s="14">
        <f>CHOOSE(CONTROL!$C$42, 17.2941, 17.2941) * CHOOSE(CONTROL!$C$21, $C$9, 100%, $E$9)</f>
        <v>17.2941</v>
      </c>
      <c r="C380" s="14">
        <f>CHOOSE(CONTROL!$C$42, 17.3022, 17.3022) * CHOOSE(CONTROL!$C$21, $C$9, 100%, $E$9)</f>
        <v>17.302199999999999</v>
      </c>
      <c r="D380" s="14">
        <f>CHOOSE(CONTROL!$C$42, 17.5227, 17.5227) * CHOOSE(CONTROL!$C$21, $C$9, 100%, $E$9)</f>
        <v>17.5227</v>
      </c>
      <c r="E380" s="14">
        <f>CHOOSE(CONTROL!$C$42, 17.5542, 17.5542) * CHOOSE(CONTROL!$C$21, $C$9, 100%, $E$9)</f>
        <v>17.554200000000002</v>
      </c>
      <c r="F380" s="14">
        <f>CHOOSE(CONTROL!$C$42, 17.3215, 17.3215)*CHOOSE(CONTROL!$C$21, $C$9, 100%, $E$9)</f>
        <v>17.3215</v>
      </c>
      <c r="G380" s="14">
        <f>CHOOSE(CONTROL!$C$42, 17.3389, 17.3389)*CHOOSE(CONTROL!$C$21, $C$9, 100%, $E$9)</f>
        <v>17.338899999999999</v>
      </c>
      <c r="H380" s="14">
        <f>CHOOSE(CONTROL!$C$42, 17.5428, 17.5428) * CHOOSE(CONTROL!$C$21, $C$9, 100%, $E$9)</f>
        <v>17.5428</v>
      </c>
      <c r="I380" s="14">
        <f>CHOOSE(CONTROL!$C$42, 17.3762, 17.3762)* CHOOSE(CONTROL!$C$21, $C$9, 100%, $E$9)</f>
        <v>17.376200000000001</v>
      </c>
      <c r="J380" s="14">
        <f>CHOOSE(CONTROL!$C$42, 17.3145, 17.3145)* CHOOSE(CONTROL!$C$21, $C$9, 100%, $E$9)</f>
        <v>17.314499999999999</v>
      </c>
      <c r="K380" s="53">
        <f>CHOOSE(CONTROL!$C$42, 17.3723, 17.3723) * CHOOSE(CONTROL!$C$21, $C$9, 100%, $E$9)</f>
        <v>17.372299999999999</v>
      </c>
      <c r="L380" s="14">
        <f>CHOOSE(CONTROL!$C$42, 18.1298, 18.1298) * CHOOSE(CONTROL!$C$21, $C$9, 100%, $E$9)</f>
        <v>18.129799999999999</v>
      </c>
      <c r="M380" s="14">
        <f>CHOOSE(CONTROL!$C$42, 16.9674, 16.9674) * CHOOSE(CONTROL!$C$21, $C$9, 100%, $E$9)</f>
        <v>16.967400000000001</v>
      </c>
      <c r="N380" s="14">
        <f>CHOOSE(CONTROL!$C$42, 16.9845, 16.9845) * CHOOSE(CONTROL!$C$21, $C$9, 100%, $E$9)</f>
        <v>16.984500000000001</v>
      </c>
      <c r="O380" s="14">
        <f>CHOOSE(CONTROL!$C$42, 17.1911, 17.1911) * CHOOSE(CONTROL!$C$21, $C$9, 100%, $E$9)</f>
        <v>17.191099999999999</v>
      </c>
      <c r="P380" s="14">
        <f>CHOOSE(CONTROL!$C$42, 17.0268, 17.0268) * CHOOSE(CONTROL!$C$21, $C$9, 100%, $E$9)</f>
        <v>17.026800000000001</v>
      </c>
      <c r="Q380" s="14">
        <f>CHOOSE(CONTROL!$C$42, 17.7858, 17.7858) * CHOOSE(CONTROL!$C$21, $C$9, 100%, $E$9)</f>
        <v>17.785799999999998</v>
      </c>
      <c r="R380" s="14">
        <f>CHOOSE(CONTROL!$C$42, 18.4173, 18.4173) * CHOOSE(CONTROL!$C$21, $C$9, 100%, $E$9)</f>
        <v>18.417300000000001</v>
      </c>
      <c r="S380" s="14">
        <f>CHOOSE(CONTROL!$C$42, 16.6073, 16.6073) * CHOOSE(CONTROL!$C$21, $C$9, 100%, $E$9)</f>
        <v>16.607299999999999</v>
      </c>
      <c r="T3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80" s="57">
        <f>(1000*CHOOSE(CONTROL!$C$42, 695, 695)*CHOOSE(CONTROL!$C$42, 0.5599, 0.5599)*CHOOSE(CONTROL!$C$42, 31, 31))/1000000</f>
        <v>12.063045499999998</v>
      </c>
      <c r="V380" s="57">
        <f>(1000*CHOOSE(CONTROL!$C$42, 500, 500)*CHOOSE(CONTROL!$C$42, 0.275, 0.275)*CHOOSE(CONTROL!$C$42, 31, 31))/1000000</f>
        <v>4.2625000000000002</v>
      </c>
      <c r="W380" s="57">
        <f>(1000*CHOOSE(CONTROL!$C$42, 0.1146, 0.1146)*CHOOSE(CONTROL!$C$42, 121.5, 121.5)*CHOOSE(CONTROL!$C$42, 31, 31))/1000000</f>
        <v>0.43164089999999994</v>
      </c>
      <c r="X380" s="57">
        <f>(31*0.1790888*245000/1000000)+(31*0.2374*100000/1000000)</f>
        <v>2.0961194359999999</v>
      </c>
      <c r="Y380" s="57"/>
      <c r="Z380" s="14"/>
      <c r="AA380" s="56"/>
      <c r="AB380" s="50">
        <f>(B380*194.205+C380*267.466+D380*133.845+E380*53.484+F380*40+G380*185+H380*0+I380*100+J380*300)/(194.205+267.466+133.845+53.484+0+40+185+100+300)</f>
        <v>17.349350102040816</v>
      </c>
      <c r="AC380" s="45">
        <f>(M380*'RAP TEMPLATE-GAS AVAILABILITY'!O379+N380*'RAP TEMPLATE-GAS AVAILABILITY'!P379+O380*'RAP TEMPLATE-GAS AVAILABILITY'!Q379+P380*'RAP TEMPLATE-GAS AVAILABILITY'!R379)/('RAP TEMPLATE-GAS AVAILABILITY'!O379+'RAP TEMPLATE-GAS AVAILABILITY'!P379+'RAP TEMPLATE-GAS AVAILABILITY'!Q379+'RAP TEMPLATE-GAS AVAILABILITY'!R379)</f>
        <v>17.042648201438848</v>
      </c>
    </row>
    <row r="381" spans="1:29" ht="15.75" x14ac:dyDescent="0.25">
      <c r="A381" s="33">
        <v>52504</v>
      </c>
      <c r="B381" s="14">
        <f>CHOOSE(CONTROL!$C$42, 16.1967, 16.1967) * CHOOSE(CONTROL!$C$21, $C$9, 100%, $E$9)</f>
        <v>16.1967</v>
      </c>
      <c r="C381" s="14">
        <f>CHOOSE(CONTROL!$C$42, 16.2047, 16.2047) * CHOOSE(CONTROL!$C$21, $C$9, 100%, $E$9)</f>
        <v>16.204699999999999</v>
      </c>
      <c r="D381" s="14">
        <f>CHOOSE(CONTROL!$C$42, 16.4253, 16.4253) * CHOOSE(CONTROL!$C$21, $C$9, 100%, $E$9)</f>
        <v>16.4253</v>
      </c>
      <c r="E381" s="14">
        <f>CHOOSE(CONTROL!$C$42, 16.4568, 16.4568) * CHOOSE(CONTROL!$C$21, $C$9, 100%, $E$9)</f>
        <v>16.456800000000001</v>
      </c>
      <c r="F381" s="14">
        <f>CHOOSE(CONTROL!$C$42, 16.224, 16.224)*CHOOSE(CONTROL!$C$21, $C$9, 100%, $E$9)</f>
        <v>16.224</v>
      </c>
      <c r="G381" s="14">
        <f>CHOOSE(CONTROL!$C$42, 16.2415, 16.2415)*CHOOSE(CONTROL!$C$21, $C$9, 100%, $E$9)</f>
        <v>16.241499999999998</v>
      </c>
      <c r="H381" s="14">
        <f>CHOOSE(CONTROL!$C$42, 16.4454, 16.4454) * CHOOSE(CONTROL!$C$21, $C$9, 100%, $E$9)</f>
        <v>16.445399999999999</v>
      </c>
      <c r="I381" s="14">
        <f>CHOOSE(CONTROL!$C$42, 16.2753, 16.2753)* CHOOSE(CONTROL!$C$21, $C$9, 100%, $E$9)</f>
        <v>16.275300000000001</v>
      </c>
      <c r="J381" s="14">
        <f>CHOOSE(CONTROL!$C$42, 16.217, 16.217)* CHOOSE(CONTROL!$C$21, $C$9, 100%, $E$9)</f>
        <v>16.216999999999999</v>
      </c>
      <c r="K381" s="53">
        <f>CHOOSE(CONTROL!$C$42, 16.2714, 16.2714) * CHOOSE(CONTROL!$C$21, $C$9, 100%, $E$9)</f>
        <v>16.2714</v>
      </c>
      <c r="L381" s="14">
        <f>CHOOSE(CONTROL!$C$42, 17.0324, 17.0324) * CHOOSE(CONTROL!$C$21, $C$9, 100%, $E$9)</f>
        <v>17.032399999999999</v>
      </c>
      <c r="M381" s="14">
        <f>CHOOSE(CONTROL!$C$42, 15.8925, 15.8925) * CHOOSE(CONTROL!$C$21, $C$9, 100%, $E$9)</f>
        <v>15.8925</v>
      </c>
      <c r="N381" s="14">
        <f>CHOOSE(CONTROL!$C$42, 15.9095, 15.9095) * CHOOSE(CONTROL!$C$21, $C$9, 100%, $E$9)</f>
        <v>15.9095</v>
      </c>
      <c r="O381" s="14">
        <f>CHOOSE(CONTROL!$C$42, 16.1161, 16.1161) * CHOOSE(CONTROL!$C$21, $C$9, 100%, $E$9)</f>
        <v>16.116099999999999</v>
      </c>
      <c r="P381" s="14">
        <f>CHOOSE(CONTROL!$C$42, 15.9486, 15.9486) * CHOOSE(CONTROL!$C$21, $C$9, 100%, $E$9)</f>
        <v>15.948600000000001</v>
      </c>
      <c r="Q381" s="14">
        <f>CHOOSE(CONTROL!$C$42, 16.7108, 16.7108) * CHOOSE(CONTROL!$C$21, $C$9, 100%, $E$9)</f>
        <v>16.710799999999999</v>
      </c>
      <c r="R381" s="14">
        <f>CHOOSE(CONTROL!$C$42, 17.3396, 17.3396) * CHOOSE(CONTROL!$C$21, $C$9, 100%, $E$9)</f>
        <v>17.339600000000001</v>
      </c>
      <c r="S381" s="14">
        <f>CHOOSE(CONTROL!$C$42, 15.5528, 15.5528) * CHOOSE(CONTROL!$C$21, $C$9, 100%, $E$9)</f>
        <v>15.5528</v>
      </c>
      <c r="T3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81" s="57">
        <f>(1000*CHOOSE(CONTROL!$C$42, 695, 695)*CHOOSE(CONTROL!$C$42, 0.5599, 0.5599)*CHOOSE(CONTROL!$C$42, 30, 30))/1000000</f>
        <v>11.673914999999997</v>
      </c>
      <c r="V381" s="57">
        <f>(1000*CHOOSE(CONTROL!$C$42, 500, 500)*CHOOSE(CONTROL!$C$42, 0.275, 0.275)*CHOOSE(CONTROL!$C$42, 30, 30))/1000000</f>
        <v>4.125</v>
      </c>
      <c r="W381" s="57">
        <f>(1000*CHOOSE(CONTROL!$C$42, 0.1146, 0.1146)*CHOOSE(CONTROL!$C$42, 121.5, 121.5)*CHOOSE(CONTROL!$C$42, 30, 30))/1000000</f>
        <v>0.417717</v>
      </c>
      <c r="X381" s="57">
        <f>(30*0.1790888*245000/1000000)+(30*0.2374*100000/1000000)</f>
        <v>2.0285026799999999</v>
      </c>
      <c r="Y381" s="57"/>
      <c r="Z381" s="14"/>
      <c r="AA381" s="56"/>
      <c r="AB381" s="50">
        <f>(B381*194.205+C381*267.466+D381*133.845+E381*53.484+F381*40+G381*185+H381*0+I381*100+J381*300)/(194.205+267.466+133.845+53.484+0+40+185+100+300)</f>
        <v>16.251627694976449</v>
      </c>
      <c r="AC381" s="45">
        <f>(M381*'RAP TEMPLATE-GAS AVAILABILITY'!O380+N381*'RAP TEMPLATE-GAS AVAILABILITY'!P380+O381*'RAP TEMPLATE-GAS AVAILABILITY'!Q380+P381*'RAP TEMPLATE-GAS AVAILABILITY'!R380)/('RAP TEMPLATE-GAS AVAILABILITY'!O380+'RAP TEMPLATE-GAS AVAILABILITY'!P380+'RAP TEMPLATE-GAS AVAILABILITY'!Q380+'RAP TEMPLATE-GAS AVAILABILITY'!R380)</f>
        <v>15.967222302158273</v>
      </c>
    </row>
    <row r="382" spans="1:29" ht="15.75" x14ac:dyDescent="0.25">
      <c r="A382" s="33">
        <v>52535</v>
      </c>
      <c r="B382" s="14">
        <f>CHOOSE(CONTROL!$C$42, 15.8663, 15.8663) * CHOOSE(CONTROL!$C$21, $C$9, 100%, $E$9)</f>
        <v>15.866300000000001</v>
      </c>
      <c r="C382" s="14">
        <f>CHOOSE(CONTROL!$C$42, 15.8716, 15.8716) * CHOOSE(CONTROL!$C$21, $C$9, 100%, $E$9)</f>
        <v>15.871600000000001</v>
      </c>
      <c r="D382" s="14">
        <f>CHOOSE(CONTROL!$C$42, 16.0972, 16.0972) * CHOOSE(CONTROL!$C$21, $C$9, 100%, $E$9)</f>
        <v>16.097200000000001</v>
      </c>
      <c r="E382" s="14">
        <f>CHOOSE(CONTROL!$C$42, 16.1263, 16.1263) * CHOOSE(CONTROL!$C$21, $C$9, 100%, $E$9)</f>
        <v>16.126300000000001</v>
      </c>
      <c r="F382" s="14">
        <f>CHOOSE(CONTROL!$C$42, 15.8957, 15.8957)*CHOOSE(CONTROL!$C$21, $C$9, 100%, $E$9)</f>
        <v>15.8957</v>
      </c>
      <c r="G382" s="14">
        <f>CHOOSE(CONTROL!$C$42, 15.9129, 15.9129)*CHOOSE(CONTROL!$C$21, $C$9, 100%, $E$9)</f>
        <v>15.9129</v>
      </c>
      <c r="H382" s="14">
        <f>CHOOSE(CONTROL!$C$42, 16.1168, 16.1168) * CHOOSE(CONTROL!$C$21, $C$9, 100%, $E$9)</f>
        <v>16.116800000000001</v>
      </c>
      <c r="I382" s="14">
        <f>CHOOSE(CONTROL!$C$42, 15.9457, 15.9457)* CHOOSE(CONTROL!$C$21, $C$9, 100%, $E$9)</f>
        <v>15.9457</v>
      </c>
      <c r="J382" s="14">
        <f>CHOOSE(CONTROL!$C$42, 15.8887, 15.8887)* CHOOSE(CONTROL!$C$21, $C$9, 100%, $E$9)</f>
        <v>15.8887</v>
      </c>
      <c r="K382" s="53">
        <f>CHOOSE(CONTROL!$C$42, 15.9418, 15.9418) * CHOOSE(CONTROL!$C$21, $C$9, 100%, $E$9)</f>
        <v>15.941800000000001</v>
      </c>
      <c r="L382" s="14">
        <f>CHOOSE(CONTROL!$C$42, 16.7038, 16.7038) * CHOOSE(CONTROL!$C$21, $C$9, 100%, $E$9)</f>
        <v>16.703800000000001</v>
      </c>
      <c r="M382" s="14">
        <f>CHOOSE(CONTROL!$C$42, 15.5708, 15.5708) * CHOOSE(CONTROL!$C$21, $C$9, 100%, $E$9)</f>
        <v>15.5708</v>
      </c>
      <c r="N382" s="14">
        <f>CHOOSE(CONTROL!$C$42, 15.5877, 15.5877) * CHOOSE(CONTROL!$C$21, $C$9, 100%, $E$9)</f>
        <v>15.5877</v>
      </c>
      <c r="O382" s="14">
        <f>CHOOSE(CONTROL!$C$42, 15.7943, 15.7943) * CHOOSE(CONTROL!$C$21, $C$9, 100%, $E$9)</f>
        <v>15.7943</v>
      </c>
      <c r="P382" s="14">
        <f>CHOOSE(CONTROL!$C$42, 15.6257, 15.6257) * CHOOSE(CONTROL!$C$21, $C$9, 100%, $E$9)</f>
        <v>15.6257</v>
      </c>
      <c r="Q382" s="14">
        <f>CHOOSE(CONTROL!$C$42, 16.389, 16.389) * CHOOSE(CONTROL!$C$21, $C$9, 100%, $E$9)</f>
        <v>16.388999999999999</v>
      </c>
      <c r="R382" s="14">
        <f>CHOOSE(CONTROL!$C$42, 17.0169, 17.0169) * CHOOSE(CONTROL!$C$21, $C$9, 100%, $E$9)</f>
        <v>17.0169</v>
      </c>
      <c r="S382" s="14">
        <f>CHOOSE(CONTROL!$C$42, 15.237, 15.237) * CHOOSE(CONTROL!$C$21, $C$9, 100%, $E$9)</f>
        <v>15.237</v>
      </c>
      <c r="T3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82" s="57">
        <f>(1000*CHOOSE(CONTROL!$C$42, 695, 695)*CHOOSE(CONTROL!$C$42, 0.5599, 0.5599)*CHOOSE(CONTROL!$C$42, 31, 31))/1000000</f>
        <v>12.063045499999998</v>
      </c>
      <c r="V382" s="57">
        <f>(1000*CHOOSE(CONTROL!$C$42, 500, 500)*CHOOSE(CONTROL!$C$42, 0.275, 0.275)*CHOOSE(CONTROL!$C$42, 31, 31))/1000000</f>
        <v>4.2625000000000002</v>
      </c>
      <c r="W382" s="57">
        <f>(1000*CHOOSE(CONTROL!$C$42, 0.1146, 0.1146)*CHOOSE(CONTROL!$C$42, 121.5, 121.5)*CHOOSE(CONTROL!$C$42, 31, 31))/1000000</f>
        <v>0.43164089999999994</v>
      </c>
      <c r="X382" s="57">
        <f>(31*0.1790888*245000/1000000)+(31*0.2374*100000/1000000)</f>
        <v>2.0961194359999999</v>
      </c>
      <c r="Y382" s="57"/>
      <c r="Z382" s="14"/>
      <c r="AA382" s="56"/>
      <c r="AB382" s="50">
        <f>(B382*131.881+C382*277.167+D382*79.08+E382*125.872+F382*40+G382*185+H382*0+I382*100+J382*300)/(131.881+277.167+79.08+125.872+0+40+185+100+300)</f>
        <v>15.928376091283292</v>
      </c>
      <c r="AC382" s="45">
        <f>(M382*'RAP TEMPLATE-GAS AVAILABILITY'!O381+N382*'RAP TEMPLATE-GAS AVAILABILITY'!P381+O382*'RAP TEMPLATE-GAS AVAILABILITY'!Q381+P382*'RAP TEMPLATE-GAS AVAILABILITY'!R381)/('RAP TEMPLATE-GAS AVAILABILITY'!O381+'RAP TEMPLATE-GAS AVAILABILITY'!P381+'RAP TEMPLATE-GAS AVAILABILITY'!Q381+'RAP TEMPLATE-GAS AVAILABILITY'!R381)</f>
        <v>15.64529856115108</v>
      </c>
    </row>
    <row r="383" spans="1:29" ht="15.75" x14ac:dyDescent="0.25">
      <c r="A383" s="33">
        <v>52565</v>
      </c>
      <c r="B383" s="14">
        <f>CHOOSE(CONTROL!$C$42, 16.2836, 16.2836) * CHOOSE(CONTROL!$C$21, $C$9, 100%, $E$9)</f>
        <v>16.2836</v>
      </c>
      <c r="C383" s="14">
        <f>CHOOSE(CONTROL!$C$42, 16.2887, 16.2887) * CHOOSE(CONTROL!$C$21, $C$9, 100%, $E$9)</f>
        <v>16.288699999999999</v>
      </c>
      <c r="D383" s="14">
        <f>CHOOSE(CONTROL!$C$42, 16.3629, 16.3629) * CHOOSE(CONTROL!$C$21, $C$9, 100%, $E$9)</f>
        <v>16.3629</v>
      </c>
      <c r="E383" s="14">
        <f>CHOOSE(CONTROL!$C$42, 16.397, 16.397) * CHOOSE(CONTROL!$C$21, $C$9, 100%, $E$9)</f>
        <v>16.396999999999998</v>
      </c>
      <c r="F383" s="14">
        <f>CHOOSE(CONTROL!$C$42, 16.3197, 16.3197)*CHOOSE(CONTROL!$C$21, $C$9, 100%, $E$9)</f>
        <v>16.319700000000001</v>
      </c>
      <c r="G383" s="14">
        <f>CHOOSE(CONTROL!$C$42, 16.3372, 16.3372)*CHOOSE(CONTROL!$C$21, $C$9, 100%, $E$9)</f>
        <v>16.337199999999999</v>
      </c>
      <c r="H383" s="14">
        <f>CHOOSE(CONTROL!$C$42, 16.3862, 16.3862) * CHOOSE(CONTROL!$C$21, $C$9, 100%, $E$9)</f>
        <v>16.386199999999999</v>
      </c>
      <c r="I383" s="14">
        <f>CHOOSE(CONTROL!$C$42, 16.3621, 16.3621)* CHOOSE(CONTROL!$C$21, $C$9, 100%, $E$9)</f>
        <v>16.362100000000002</v>
      </c>
      <c r="J383" s="14">
        <f>CHOOSE(CONTROL!$C$42, 16.3127, 16.3127)* CHOOSE(CONTROL!$C$21, $C$9, 100%, $E$9)</f>
        <v>16.3127</v>
      </c>
      <c r="K383" s="53">
        <f>CHOOSE(CONTROL!$C$42, 16.3582, 16.3582) * CHOOSE(CONTROL!$C$21, $C$9, 100%, $E$9)</f>
        <v>16.3582</v>
      </c>
      <c r="L383" s="14">
        <f>CHOOSE(CONTROL!$C$42, 16.9732, 16.9732) * CHOOSE(CONTROL!$C$21, $C$9, 100%, $E$9)</f>
        <v>16.973199999999999</v>
      </c>
      <c r="M383" s="14">
        <f>CHOOSE(CONTROL!$C$42, 15.9861, 15.9861) * CHOOSE(CONTROL!$C$21, $C$9, 100%, $E$9)</f>
        <v>15.9861</v>
      </c>
      <c r="N383" s="14">
        <f>CHOOSE(CONTROL!$C$42, 16.0033, 16.0033) * CHOOSE(CONTROL!$C$21, $C$9, 100%, $E$9)</f>
        <v>16.003299999999999</v>
      </c>
      <c r="O383" s="14">
        <f>CHOOSE(CONTROL!$C$42, 16.0582, 16.0582) * CHOOSE(CONTROL!$C$21, $C$9, 100%, $E$9)</f>
        <v>16.058199999999999</v>
      </c>
      <c r="P383" s="14">
        <f>CHOOSE(CONTROL!$C$42, 16.0336, 16.0336) * CHOOSE(CONTROL!$C$21, $C$9, 100%, $E$9)</f>
        <v>16.0336</v>
      </c>
      <c r="Q383" s="14">
        <f>CHOOSE(CONTROL!$C$42, 16.6529, 16.6529) * CHOOSE(CONTROL!$C$21, $C$9, 100%, $E$9)</f>
        <v>16.652899999999999</v>
      </c>
      <c r="R383" s="14">
        <f>CHOOSE(CONTROL!$C$42, 17.2815, 17.2815) * CHOOSE(CONTROL!$C$21, $C$9, 100%, $E$9)</f>
        <v>17.281500000000001</v>
      </c>
      <c r="S383" s="14">
        <f>CHOOSE(CONTROL!$C$42, 15.6384, 15.6384) * CHOOSE(CONTROL!$C$21, $C$9, 100%, $E$9)</f>
        <v>15.638400000000001</v>
      </c>
      <c r="T3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83" s="57">
        <f>(1000*CHOOSE(CONTROL!$C$42, 695, 695)*CHOOSE(CONTROL!$C$42, 0.5599, 0.5599)*CHOOSE(CONTROL!$C$42, 30, 30))/1000000</f>
        <v>11.673914999999997</v>
      </c>
      <c r="V383" s="57">
        <f>(1000*CHOOSE(CONTROL!$C$42, 500, 500)*CHOOSE(CONTROL!$C$42, 0.275, 0.275)*CHOOSE(CONTROL!$C$42, 30, 30))/1000000</f>
        <v>4.125</v>
      </c>
      <c r="W383" s="57">
        <f>(1000*CHOOSE(CONTROL!$C$42, 0.1146, 0.1146)*CHOOSE(CONTROL!$C$42, 121.5, 121.5)*CHOOSE(CONTROL!$C$42, 30, 30))/1000000</f>
        <v>0.417717</v>
      </c>
      <c r="X383" s="57">
        <f>(30*0.1790888*100000/1000000)+(30*0.2374*100000/1000000)</f>
        <v>1.2494664</v>
      </c>
      <c r="Y383" s="57"/>
      <c r="Z383" s="14"/>
      <c r="AA383" s="56"/>
      <c r="AB383" s="50">
        <f>(B383*122.58+C383*297.941+D383*89.177+E383*40.302+F383*40+G383*160+H383*0+I383*100+J383*300)/(122.58+297.941+89.177+40.302+0+40+160+100+300)</f>
        <v>16.31817520173913</v>
      </c>
      <c r="AC383" s="45">
        <f>(M383*'RAP TEMPLATE-GAS AVAILABILITY'!O382+N383*'RAP TEMPLATE-GAS AVAILABILITY'!P382+O383*'RAP TEMPLATE-GAS AVAILABILITY'!Q382+P383*'RAP TEMPLATE-GAS AVAILABILITY'!R382)/('RAP TEMPLATE-GAS AVAILABILITY'!O382+'RAP TEMPLATE-GAS AVAILABILITY'!P382+'RAP TEMPLATE-GAS AVAILABILITY'!Q382+'RAP TEMPLATE-GAS AVAILABILITY'!R382)</f>
        <v>16.026602877697844</v>
      </c>
    </row>
    <row r="384" spans="1:29" ht="15.75" x14ac:dyDescent="0.25">
      <c r="A384" s="33">
        <v>52596</v>
      </c>
      <c r="B384" s="14">
        <f>CHOOSE(CONTROL!$C$42, 17.3932, 17.3932) * CHOOSE(CONTROL!$C$21, $C$9, 100%, $E$9)</f>
        <v>17.3932</v>
      </c>
      <c r="C384" s="14">
        <f>CHOOSE(CONTROL!$C$42, 17.3983, 17.3983) * CHOOSE(CONTROL!$C$21, $C$9, 100%, $E$9)</f>
        <v>17.398299999999999</v>
      </c>
      <c r="D384" s="14">
        <f>CHOOSE(CONTROL!$C$42, 17.4725, 17.4725) * CHOOSE(CONTROL!$C$21, $C$9, 100%, $E$9)</f>
        <v>17.4725</v>
      </c>
      <c r="E384" s="14">
        <f>CHOOSE(CONTROL!$C$42, 17.5066, 17.5066) * CHOOSE(CONTROL!$C$21, $C$9, 100%, $E$9)</f>
        <v>17.506599999999999</v>
      </c>
      <c r="F384" s="14">
        <f>CHOOSE(CONTROL!$C$42, 17.4316, 17.4316)*CHOOSE(CONTROL!$C$21, $C$9, 100%, $E$9)</f>
        <v>17.4316</v>
      </c>
      <c r="G384" s="14">
        <f>CHOOSE(CONTROL!$C$42, 17.4497, 17.4497)*CHOOSE(CONTROL!$C$21, $C$9, 100%, $E$9)</f>
        <v>17.4497</v>
      </c>
      <c r="H384" s="14">
        <f>CHOOSE(CONTROL!$C$42, 17.4958, 17.4958) * CHOOSE(CONTROL!$C$21, $C$9, 100%, $E$9)</f>
        <v>17.495799999999999</v>
      </c>
      <c r="I384" s="14">
        <f>CHOOSE(CONTROL!$C$42, 17.4751, 17.4751)* CHOOSE(CONTROL!$C$21, $C$9, 100%, $E$9)</f>
        <v>17.475100000000001</v>
      </c>
      <c r="J384" s="14">
        <f>CHOOSE(CONTROL!$C$42, 17.4246, 17.4246)* CHOOSE(CONTROL!$C$21, $C$9, 100%, $E$9)</f>
        <v>17.424600000000002</v>
      </c>
      <c r="K384" s="53">
        <f>CHOOSE(CONTROL!$C$42, 17.4712, 17.4712) * CHOOSE(CONTROL!$C$21, $C$9, 100%, $E$9)</f>
        <v>17.4712</v>
      </c>
      <c r="L384" s="14">
        <f>CHOOSE(CONTROL!$C$42, 18.0828, 18.0828) * CHOOSE(CONTROL!$C$21, $C$9, 100%, $E$9)</f>
        <v>18.082799999999999</v>
      </c>
      <c r="M384" s="14">
        <f>CHOOSE(CONTROL!$C$42, 17.0753, 17.0753) * CHOOSE(CONTROL!$C$21, $C$9, 100%, $E$9)</f>
        <v>17.075299999999999</v>
      </c>
      <c r="N384" s="14">
        <f>CHOOSE(CONTROL!$C$42, 17.0931, 17.0931) * CHOOSE(CONTROL!$C$21, $C$9, 100%, $E$9)</f>
        <v>17.0931</v>
      </c>
      <c r="O384" s="14">
        <f>CHOOSE(CONTROL!$C$42, 17.145, 17.145) * CHOOSE(CONTROL!$C$21, $C$9, 100%, $E$9)</f>
        <v>17.145</v>
      </c>
      <c r="P384" s="14">
        <f>CHOOSE(CONTROL!$C$42, 17.1237, 17.1237) * CHOOSE(CONTROL!$C$21, $C$9, 100%, $E$9)</f>
        <v>17.123699999999999</v>
      </c>
      <c r="Q384" s="14">
        <f>CHOOSE(CONTROL!$C$42, 17.7397, 17.7397) * CHOOSE(CONTROL!$C$21, $C$9, 100%, $E$9)</f>
        <v>17.739699999999999</v>
      </c>
      <c r="R384" s="14">
        <f>CHOOSE(CONTROL!$C$42, 18.371, 18.371) * CHOOSE(CONTROL!$C$21, $C$9, 100%, $E$9)</f>
        <v>18.370999999999999</v>
      </c>
      <c r="S384" s="14">
        <f>CHOOSE(CONTROL!$C$42, 16.7046, 16.7046) * CHOOSE(CONTROL!$C$21, $C$9, 100%, $E$9)</f>
        <v>16.704599999999999</v>
      </c>
      <c r="T3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84" s="57">
        <f>(1000*CHOOSE(CONTROL!$C$42, 695, 695)*CHOOSE(CONTROL!$C$42, 0.5599, 0.5599)*CHOOSE(CONTROL!$C$42, 31, 31))/1000000</f>
        <v>12.063045499999998</v>
      </c>
      <c r="V384" s="57">
        <f>(1000*CHOOSE(CONTROL!$C$42, 500, 500)*CHOOSE(CONTROL!$C$42, 0.275, 0.275)*CHOOSE(CONTROL!$C$42, 31, 31))/1000000</f>
        <v>4.2625000000000002</v>
      </c>
      <c r="W384" s="57">
        <f>(1000*CHOOSE(CONTROL!$C$42, 0.1146, 0.1146)*CHOOSE(CONTROL!$C$42, 121.5, 121.5)*CHOOSE(CONTROL!$C$42, 31, 31))/1000000</f>
        <v>0.43164089999999994</v>
      </c>
      <c r="X384" s="57">
        <f>(31*0.1790888*100000/1000000)+(31*0.2374*100000/1000000)</f>
        <v>1.2911152800000001</v>
      </c>
      <c r="Y384" s="57"/>
      <c r="Z384" s="14"/>
      <c r="AA384" s="56"/>
      <c r="AB384" s="50">
        <f>(B384*122.58+C384*297.941+D384*89.177+E384*40.302+F384*40+G384*160+H384*0+I384*100+J384*300)/(122.58+297.941+89.177+40.302+0+40+160+100+300)</f>
        <v>17.429154332173912</v>
      </c>
      <c r="AC384" s="45">
        <f>(M384*'RAP TEMPLATE-GAS AVAILABILITY'!O383+N384*'RAP TEMPLATE-GAS AVAILABILITY'!P383+O384*'RAP TEMPLATE-GAS AVAILABILITY'!Q383+P384*'RAP TEMPLATE-GAS AVAILABILITY'!R383)/('RAP TEMPLATE-GAS AVAILABILITY'!O383+'RAP TEMPLATE-GAS AVAILABILITY'!P383+'RAP TEMPLATE-GAS AVAILABILITY'!Q383+'RAP TEMPLATE-GAS AVAILABILITY'!R383)</f>
        <v>17.114879136690647</v>
      </c>
    </row>
    <row r="385" spans="1:29" ht="15.75" x14ac:dyDescent="0.25">
      <c r="A385" s="33">
        <v>52627</v>
      </c>
      <c r="B385" s="14">
        <f>CHOOSE(CONTROL!$C$42, 18.8343, 18.8343) * CHOOSE(CONTROL!$C$21, $C$9, 100%, $E$9)</f>
        <v>18.834299999999999</v>
      </c>
      <c r="C385" s="14">
        <f>CHOOSE(CONTROL!$C$42, 18.8394, 18.8394) * CHOOSE(CONTROL!$C$21, $C$9, 100%, $E$9)</f>
        <v>18.839400000000001</v>
      </c>
      <c r="D385" s="14">
        <f>CHOOSE(CONTROL!$C$42, 18.9162, 18.9162) * CHOOSE(CONTROL!$C$21, $C$9, 100%, $E$9)</f>
        <v>18.9162</v>
      </c>
      <c r="E385" s="14">
        <f>CHOOSE(CONTROL!$C$42, 18.9503, 18.9503) * CHOOSE(CONTROL!$C$21, $C$9, 100%, $E$9)</f>
        <v>18.950299999999999</v>
      </c>
      <c r="F385" s="14">
        <f>CHOOSE(CONTROL!$C$42, 18.859, 18.859)*CHOOSE(CONTROL!$C$21, $C$9, 100%, $E$9)</f>
        <v>18.859000000000002</v>
      </c>
      <c r="G385" s="14">
        <f>CHOOSE(CONTROL!$C$42, 18.877, 18.877)*CHOOSE(CONTROL!$C$21, $C$9, 100%, $E$9)</f>
        <v>18.876999999999999</v>
      </c>
      <c r="H385" s="14">
        <f>CHOOSE(CONTROL!$C$42, 18.9395, 18.9395) * CHOOSE(CONTROL!$C$21, $C$9, 100%, $E$9)</f>
        <v>18.939499999999999</v>
      </c>
      <c r="I385" s="14">
        <f>CHOOSE(CONTROL!$C$42, 18.927, 18.927)* CHOOSE(CONTROL!$C$21, $C$9, 100%, $E$9)</f>
        <v>18.927</v>
      </c>
      <c r="J385" s="14">
        <f>CHOOSE(CONTROL!$C$42, 18.852, 18.852)* CHOOSE(CONTROL!$C$21, $C$9, 100%, $E$9)</f>
        <v>18.852</v>
      </c>
      <c r="K385" s="53">
        <f>CHOOSE(CONTROL!$C$42, 18.9231, 18.9231) * CHOOSE(CONTROL!$C$21, $C$9, 100%, $E$9)</f>
        <v>18.923100000000002</v>
      </c>
      <c r="L385" s="14">
        <f>CHOOSE(CONTROL!$C$42, 19.5265, 19.5265) * CHOOSE(CONTROL!$C$21, $C$9, 100%, $E$9)</f>
        <v>19.526499999999999</v>
      </c>
      <c r="M385" s="14">
        <f>CHOOSE(CONTROL!$C$42, 18.4735, 18.4735) * CHOOSE(CONTROL!$C$21, $C$9, 100%, $E$9)</f>
        <v>18.473500000000001</v>
      </c>
      <c r="N385" s="14">
        <f>CHOOSE(CONTROL!$C$42, 18.4911, 18.4911) * CHOOSE(CONTROL!$C$21, $C$9, 100%, $E$9)</f>
        <v>18.491099999999999</v>
      </c>
      <c r="O385" s="14">
        <f>CHOOSE(CONTROL!$C$42, 18.5591, 18.5591) * CHOOSE(CONTROL!$C$21, $C$9, 100%, $E$9)</f>
        <v>18.559100000000001</v>
      </c>
      <c r="P385" s="14">
        <f>CHOOSE(CONTROL!$C$42, 18.5458, 18.5458) * CHOOSE(CONTROL!$C$21, $C$9, 100%, $E$9)</f>
        <v>18.5458</v>
      </c>
      <c r="Q385" s="14">
        <f>CHOOSE(CONTROL!$C$42, 19.1538, 19.1538) * CHOOSE(CONTROL!$C$21, $C$9, 100%, $E$9)</f>
        <v>19.1538</v>
      </c>
      <c r="R385" s="14">
        <f>CHOOSE(CONTROL!$C$42, 19.7887, 19.7887) * CHOOSE(CONTROL!$C$21, $C$9, 100%, $E$9)</f>
        <v>19.788699999999999</v>
      </c>
      <c r="S385" s="14">
        <f>CHOOSE(CONTROL!$C$42, 18.0893, 18.0893) * CHOOSE(CONTROL!$C$21, $C$9, 100%, $E$9)</f>
        <v>18.089300000000001</v>
      </c>
      <c r="T3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85" s="57">
        <f>(1000*CHOOSE(CONTROL!$C$42, 695, 695)*CHOOSE(CONTROL!$C$42, 0.5599, 0.5599)*CHOOSE(CONTROL!$C$42, 31, 31))/1000000</f>
        <v>12.063045499999998</v>
      </c>
      <c r="V385" s="57">
        <f>(1000*CHOOSE(CONTROL!$C$42, 500, 500)*CHOOSE(CONTROL!$C$42, 0.275, 0.275)*CHOOSE(CONTROL!$C$42, 31, 31))/1000000</f>
        <v>4.2625000000000002</v>
      </c>
      <c r="W385" s="57">
        <f>(1000*CHOOSE(CONTROL!$C$42, 0.1146, 0.1146)*CHOOSE(CONTROL!$C$42, 121.5, 121.5)*CHOOSE(CONTROL!$C$42, 31, 31))/1000000</f>
        <v>0.43164089999999994</v>
      </c>
      <c r="X385" s="57">
        <f>(31*0.1790888*100000/1000000)+(31*0.2374*100000/1000000)</f>
        <v>1.2911152800000001</v>
      </c>
      <c r="Y385" s="57"/>
      <c r="Z385" s="14"/>
      <c r="AA385" s="56"/>
      <c r="AB385" s="50">
        <f>(B385*122.58+C385*297.941+D385*89.177+E385*40.302+F385*40+G385*160+H385*0+I385*100+J385*300)/(122.58+297.941+89.177+40.302+0+40+160+100+300)</f>
        <v>18.865515762956523</v>
      </c>
      <c r="AC385" s="45">
        <f>(M385*'RAP TEMPLATE-GAS AVAILABILITY'!O384+N385*'RAP TEMPLATE-GAS AVAILABILITY'!P384+O385*'RAP TEMPLATE-GAS AVAILABILITY'!Q384+P385*'RAP TEMPLATE-GAS AVAILABILITY'!R384)/('RAP TEMPLATE-GAS AVAILABILITY'!O384+'RAP TEMPLATE-GAS AVAILABILITY'!P384+'RAP TEMPLATE-GAS AVAILABILITY'!Q384+'RAP TEMPLATE-GAS AVAILABILITY'!R384)</f>
        <v>18.523712949640288</v>
      </c>
    </row>
    <row r="386" spans="1:29" ht="15.75" x14ac:dyDescent="0.25">
      <c r="A386" s="33">
        <v>52655</v>
      </c>
      <c r="B386" s="14">
        <f>CHOOSE(CONTROL!$C$42, 19.1694, 19.1694) * CHOOSE(CONTROL!$C$21, $C$9, 100%, $E$9)</f>
        <v>19.1694</v>
      </c>
      <c r="C386" s="14">
        <f>CHOOSE(CONTROL!$C$42, 19.1745, 19.1745) * CHOOSE(CONTROL!$C$21, $C$9, 100%, $E$9)</f>
        <v>19.174499999999998</v>
      </c>
      <c r="D386" s="14">
        <f>CHOOSE(CONTROL!$C$42, 19.2513, 19.2513) * CHOOSE(CONTROL!$C$21, $C$9, 100%, $E$9)</f>
        <v>19.251300000000001</v>
      </c>
      <c r="E386" s="14">
        <f>CHOOSE(CONTROL!$C$42, 19.2854, 19.2854) * CHOOSE(CONTROL!$C$21, $C$9, 100%, $E$9)</f>
        <v>19.285399999999999</v>
      </c>
      <c r="F386" s="14">
        <f>CHOOSE(CONTROL!$C$42, 19.1937, 19.1937)*CHOOSE(CONTROL!$C$21, $C$9, 100%, $E$9)</f>
        <v>19.1937</v>
      </c>
      <c r="G386" s="14">
        <f>CHOOSE(CONTROL!$C$42, 19.2116, 19.2116)*CHOOSE(CONTROL!$C$21, $C$9, 100%, $E$9)</f>
        <v>19.211600000000001</v>
      </c>
      <c r="H386" s="14">
        <f>CHOOSE(CONTROL!$C$42, 19.2746, 19.2746) * CHOOSE(CONTROL!$C$21, $C$9, 100%, $E$9)</f>
        <v>19.2746</v>
      </c>
      <c r="I386" s="14">
        <f>CHOOSE(CONTROL!$C$42, 19.2632, 19.2632)* CHOOSE(CONTROL!$C$21, $C$9, 100%, $E$9)</f>
        <v>19.263200000000001</v>
      </c>
      <c r="J386" s="14">
        <f>CHOOSE(CONTROL!$C$42, 19.1867, 19.1867)* CHOOSE(CONTROL!$C$21, $C$9, 100%, $E$9)</f>
        <v>19.186699999999998</v>
      </c>
      <c r="K386" s="53">
        <f>CHOOSE(CONTROL!$C$42, 19.2593, 19.2593) * CHOOSE(CONTROL!$C$21, $C$9, 100%, $E$9)</f>
        <v>19.2593</v>
      </c>
      <c r="L386" s="14">
        <f>CHOOSE(CONTROL!$C$42, 19.8616, 19.8616) * CHOOSE(CONTROL!$C$21, $C$9, 100%, $E$9)</f>
        <v>19.861599999999999</v>
      </c>
      <c r="M386" s="14">
        <f>CHOOSE(CONTROL!$C$42, 18.8013, 18.8013) * CHOOSE(CONTROL!$C$21, $C$9, 100%, $E$9)</f>
        <v>18.801300000000001</v>
      </c>
      <c r="N386" s="14">
        <f>CHOOSE(CONTROL!$C$42, 18.8188, 18.8188) * CHOOSE(CONTROL!$C$21, $C$9, 100%, $E$9)</f>
        <v>18.8188</v>
      </c>
      <c r="O386" s="14">
        <f>CHOOSE(CONTROL!$C$42, 18.8874, 18.8874) * CHOOSE(CONTROL!$C$21, $C$9, 100%, $E$9)</f>
        <v>18.8874</v>
      </c>
      <c r="P386" s="14">
        <f>CHOOSE(CONTROL!$C$42, 18.875, 18.875) * CHOOSE(CONTROL!$C$21, $C$9, 100%, $E$9)</f>
        <v>18.875</v>
      </c>
      <c r="Q386" s="14">
        <f>CHOOSE(CONTROL!$C$42, 19.4821, 19.4821) * CHOOSE(CONTROL!$C$21, $C$9, 100%, $E$9)</f>
        <v>19.482099999999999</v>
      </c>
      <c r="R386" s="14">
        <f>CHOOSE(CONTROL!$C$42, 20.1178, 20.1178) * CHOOSE(CONTROL!$C$21, $C$9, 100%, $E$9)</f>
        <v>20.117799999999999</v>
      </c>
      <c r="S386" s="14">
        <f>CHOOSE(CONTROL!$C$42, 18.4113, 18.4113) * CHOOSE(CONTROL!$C$21, $C$9, 100%, $E$9)</f>
        <v>18.411300000000001</v>
      </c>
      <c r="T38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86" s="57">
        <f>(1000*CHOOSE(CONTROL!$C$42, 695, 695)*CHOOSE(CONTROL!$C$42, 0.5599, 0.5599)*CHOOSE(CONTROL!$C$42, 29, 29))/1000000</f>
        <v>11.284784499999999</v>
      </c>
      <c r="V386" s="57">
        <f>(1000*CHOOSE(CONTROL!$C$42, 500, 500)*CHOOSE(CONTROL!$C$42, 0.275, 0.275)*CHOOSE(CONTROL!$C$42, 29, 29))/1000000</f>
        <v>3.9874999999999998</v>
      </c>
      <c r="W386" s="57">
        <f>(1000*CHOOSE(CONTROL!$C$42, 0.1146, 0.1146)*CHOOSE(CONTROL!$C$42, 121.5, 121.5)*CHOOSE(CONTROL!$C$42, 29, 29))/1000000</f>
        <v>0.40379309999999996</v>
      </c>
      <c r="X386" s="57">
        <f>(29*0.1790888*100000/1000000)+(29*0.2374*100000/1000000)</f>
        <v>1.2078175199999999</v>
      </c>
      <c r="Y386" s="57"/>
      <c r="Z386" s="14"/>
      <c r="AA386" s="56"/>
      <c r="AB386" s="50">
        <f>(B386*122.58+C386*297.941+D386*89.177+E386*40.302+F386*40+G386*160+H386*0+I386*100+J386*300)/(122.58+297.941+89.177+40.302+0+40+160+100+300)</f>
        <v>19.200523589043478</v>
      </c>
      <c r="AC386" s="45">
        <f>(M386*'RAP TEMPLATE-GAS AVAILABILITY'!O385+N386*'RAP TEMPLATE-GAS AVAILABILITY'!P385+O386*'RAP TEMPLATE-GAS AVAILABILITY'!Q385+P386*'RAP TEMPLATE-GAS AVAILABILITY'!R385)/('RAP TEMPLATE-GAS AVAILABILITY'!O385+'RAP TEMPLATE-GAS AVAILABILITY'!P385+'RAP TEMPLATE-GAS AVAILABILITY'!Q385+'RAP TEMPLATE-GAS AVAILABILITY'!R385)</f>
        <v>18.851935251798562</v>
      </c>
    </row>
    <row r="387" spans="1:29" ht="15.75" x14ac:dyDescent="0.25">
      <c r="A387" s="33">
        <v>52687</v>
      </c>
      <c r="B387" s="14">
        <f>CHOOSE(CONTROL!$C$42, 18.6254, 18.6254) * CHOOSE(CONTROL!$C$21, $C$9, 100%, $E$9)</f>
        <v>18.625399999999999</v>
      </c>
      <c r="C387" s="14">
        <f>CHOOSE(CONTROL!$C$42, 18.6305, 18.6305) * CHOOSE(CONTROL!$C$21, $C$9, 100%, $E$9)</f>
        <v>18.630500000000001</v>
      </c>
      <c r="D387" s="14">
        <f>CHOOSE(CONTROL!$C$42, 18.7073, 18.7073) * CHOOSE(CONTROL!$C$21, $C$9, 100%, $E$9)</f>
        <v>18.7073</v>
      </c>
      <c r="E387" s="14">
        <f>CHOOSE(CONTROL!$C$42, 18.7414, 18.7414) * CHOOSE(CONTROL!$C$21, $C$9, 100%, $E$9)</f>
        <v>18.741399999999999</v>
      </c>
      <c r="F387" s="14">
        <f>CHOOSE(CONTROL!$C$42, 18.6489, 18.6489)*CHOOSE(CONTROL!$C$21, $C$9, 100%, $E$9)</f>
        <v>18.648900000000001</v>
      </c>
      <c r="G387" s="14">
        <f>CHOOSE(CONTROL!$C$42, 18.6666, 18.6666)*CHOOSE(CONTROL!$C$21, $C$9, 100%, $E$9)</f>
        <v>18.666599999999999</v>
      </c>
      <c r="H387" s="14">
        <f>CHOOSE(CONTROL!$C$42, 18.7306, 18.7306) * CHOOSE(CONTROL!$C$21, $C$9, 100%, $E$9)</f>
        <v>18.730599999999999</v>
      </c>
      <c r="I387" s="14">
        <f>CHOOSE(CONTROL!$C$42, 18.7175, 18.7175)* CHOOSE(CONTROL!$C$21, $C$9, 100%, $E$9)</f>
        <v>18.717500000000001</v>
      </c>
      <c r="J387" s="14">
        <f>CHOOSE(CONTROL!$C$42, 18.6419, 18.6419)* CHOOSE(CONTROL!$C$21, $C$9, 100%, $E$9)</f>
        <v>18.6419</v>
      </c>
      <c r="K387" s="53">
        <f>CHOOSE(CONTROL!$C$42, 18.7136, 18.7136) * CHOOSE(CONTROL!$C$21, $C$9, 100%, $E$9)</f>
        <v>18.7136</v>
      </c>
      <c r="L387" s="14">
        <f>CHOOSE(CONTROL!$C$42, 19.3176, 19.3176) * CHOOSE(CONTROL!$C$21, $C$9, 100%, $E$9)</f>
        <v>19.317599999999999</v>
      </c>
      <c r="M387" s="14">
        <f>CHOOSE(CONTROL!$C$42, 18.2676, 18.2676) * CHOOSE(CONTROL!$C$21, $C$9, 100%, $E$9)</f>
        <v>18.267600000000002</v>
      </c>
      <c r="N387" s="14">
        <f>CHOOSE(CONTROL!$C$42, 18.2849, 18.2849) * CHOOSE(CONTROL!$C$21, $C$9, 100%, $E$9)</f>
        <v>18.2849</v>
      </c>
      <c r="O387" s="14">
        <f>CHOOSE(CONTROL!$C$42, 18.3546, 18.3546) * CHOOSE(CONTROL!$C$21, $C$9, 100%, $E$9)</f>
        <v>18.354600000000001</v>
      </c>
      <c r="P387" s="14">
        <f>CHOOSE(CONTROL!$C$42, 18.3406, 18.3406) * CHOOSE(CONTROL!$C$21, $C$9, 100%, $E$9)</f>
        <v>18.340599999999998</v>
      </c>
      <c r="Q387" s="14">
        <f>CHOOSE(CONTROL!$C$42, 18.9493, 18.9493) * CHOOSE(CONTROL!$C$21, $C$9, 100%, $E$9)</f>
        <v>18.949300000000001</v>
      </c>
      <c r="R387" s="14">
        <f>CHOOSE(CONTROL!$C$42, 19.5836, 19.5836) * CHOOSE(CONTROL!$C$21, $C$9, 100%, $E$9)</f>
        <v>19.583600000000001</v>
      </c>
      <c r="S387" s="14">
        <f>CHOOSE(CONTROL!$C$42, 17.8887, 17.8887) * CHOOSE(CONTROL!$C$21, $C$9, 100%, $E$9)</f>
        <v>17.8887</v>
      </c>
      <c r="T3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87" s="57">
        <f>(1000*CHOOSE(CONTROL!$C$42, 695, 695)*CHOOSE(CONTROL!$C$42, 0.5599, 0.5599)*CHOOSE(CONTROL!$C$42, 31, 31))/1000000</f>
        <v>12.063045499999998</v>
      </c>
      <c r="V387" s="57">
        <f>(1000*CHOOSE(CONTROL!$C$42, 500, 500)*CHOOSE(CONTROL!$C$42, 0.275, 0.275)*CHOOSE(CONTROL!$C$42, 31, 31))/1000000</f>
        <v>4.2625000000000002</v>
      </c>
      <c r="W387" s="57">
        <f>(1000*CHOOSE(CONTROL!$C$42, 0.1146, 0.1146)*CHOOSE(CONTROL!$C$42, 121.5, 121.5)*CHOOSE(CONTROL!$C$42, 31, 31))/1000000</f>
        <v>0.43164089999999994</v>
      </c>
      <c r="X387" s="57">
        <f>(31*0.1790888*100000/1000000)+(31*0.2374*100000/1000000)</f>
        <v>1.2911152800000001</v>
      </c>
      <c r="Y387" s="57"/>
      <c r="Z387" s="14"/>
      <c r="AA387" s="56"/>
      <c r="AB387" s="50">
        <f>(B387*122.58+C387*297.941+D387*89.177+E387*40.302+F387*40+G387*160+H387*0+I387*100+J387*300)/(122.58+297.941+89.177+40.302+0+40+160+100+300)</f>
        <v>18.656000110782607</v>
      </c>
      <c r="AC387" s="45">
        <f>(M387*'RAP TEMPLATE-GAS AVAILABILITY'!O386+N387*'RAP TEMPLATE-GAS AVAILABILITY'!P386+O387*'RAP TEMPLATE-GAS AVAILABILITY'!Q386+P387*'RAP TEMPLATE-GAS AVAILABILITY'!R386)/('RAP TEMPLATE-GAS AVAILABILITY'!O386+'RAP TEMPLATE-GAS AVAILABILITY'!P386+'RAP TEMPLATE-GAS AVAILABILITY'!Q386+'RAP TEMPLATE-GAS AVAILABILITY'!R386)</f>
        <v>18.318530935251797</v>
      </c>
    </row>
    <row r="388" spans="1:29" ht="15.75" x14ac:dyDescent="0.25">
      <c r="A388" s="33">
        <v>52717</v>
      </c>
      <c r="B388" s="14">
        <f>CHOOSE(CONTROL!$C$42, 18.5707, 18.5707) * CHOOSE(CONTROL!$C$21, $C$9, 100%, $E$9)</f>
        <v>18.570699999999999</v>
      </c>
      <c r="C388" s="14">
        <f>CHOOSE(CONTROL!$C$42, 18.5752, 18.5752) * CHOOSE(CONTROL!$C$21, $C$9, 100%, $E$9)</f>
        <v>18.575199999999999</v>
      </c>
      <c r="D388" s="14">
        <f>CHOOSE(CONTROL!$C$42, 18.7989, 18.7989) * CHOOSE(CONTROL!$C$21, $C$9, 100%, $E$9)</f>
        <v>18.7989</v>
      </c>
      <c r="E388" s="14">
        <f>CHOOSE(CONTROL!$C$42, 18.831, 18.831) * CHOOSE(CONTROL!$C$21, $C$9, 100%, $E$9)</f>
        <v>18.831</v>
      </c>
      <c r="F388" s="14">
        <f>CHOOSE(CONTROL!$C$42, 18.5984, 18.5984)*CHOOSE(CONTROL!$C$21, $C$9, 100%, $E$9)</f>
        <v>18.598400000000002</v>
      </c>
      <c r="G388" s="14">
        <f>CHOOSE(CONTROL!$C$42, 18.6153, 18.6153)*CHOOSE(CONTROL!$C$21, $C$9, 100%, $E$9)</f>
        <v>18.615300000000001</v>
      </c>
      <c r="H388" s="14">
        <f>CHOOSE(CONTROL!$C$42, 18.8208, 18.8208) * CHOOSE(CONTROL!$C$21, $C$9, 100%, $E$9)</f>
        <v>18.820799999999998</v>
      </c>
      <c r="I388" s="14">
        <f>CHOOSE(CONTROL!$C$42, 18.6582, 18.6582)* CHOOSE(CONTROL!$C$21, $C$9, 100%, $E$9)</f>
        <v>18.658200000000001</v>
      </c>
      <c r="J388" s="14">
        <f>CHOOSE(CONTROL!$C$42, 18.5914, 18.5914)* CHOOSE(CONTROL!$C$21, $C$9, 100%, $E$9)</f>
        <v>18.5914</v>
      </c>
      <c r="K388" s="53">
        <f>CHOOSE(CONTROL!$C$42, 18.6543, 18.6543) * CHOOSE(CONTROL!$C$21, $C$9, 100%, $E$9)</f>
        <v>18.654299999999999</v>
      </c>
      <c r="L388" s="14">
        <f>CHOOSE(CONTROL!$C$42, 19.4078, 19.4078) * CHOOSE(CONTROL!$C$21, $C$9, 100%, $E$9)</f>
        <v>19.407800000000002</v>
      </c>
      <c r="M388" s="14">
        <f>CHOOSE(CONTROL!$C$42, 18.2182, 18.2182) * CHOOSE(CONTROL!$C$21, $C$9, 100%, $E$9)</f>
        <v>18.2182</v>
      </c>
      <c r="N388" s="14">
        <f>CHOOSE(CONTROL!$C$42, 18.2347, 18.2347) * CHOOSE(CONTROL!$C$21, $C$9, 100%, $E$9)</f>
        <v>18.2347</v>
      </c>
      <c r="O388" s="14">
        <f>CHOOSE(CONTROL!$C$42, 18.4429, 18.4429) * CHOOSE(CONTROL!$C$21, $C$9, 100%, $E$9)</f>
        <v>18.442900000000002</v>
      </c>
      <c r="P388" s="14">
        <f>CHOOSE(CONTROL!$C$42, 18.2825, 18.2825) * CHOOSE(CONTROL!$C$21, $C$9, 100%, $E$9)</f>
        <v>18.282499999999999</v>
      </c>
      <c r="Q388" s="14">
        <f>CHOOSE(CONTROL!$C$42, 19.0376, 19.0376) * CHOOSE(CONTROL!$C$21, $C$9, 100%, $E$9)</f>
        <v>19.037600000000001</v>
      </c>
      <c r="R388" s="14">
        <f>CHOOSE(CONTROL!$C$42, 19.6722, 19.6722) * CHOOSE(CONTROL!$C$21, $C$9, 100%, $E$9)</f>
        <v>19.6722</v>
      </c>
      <c r="S388" s="14">
        <f>CHOOSE(CONTROL!$C$42, 17.8353, 17.8353) * CHOOSE(CONTROL!$C$21, $C$9, 100%, $E$9)</f>
        <v>17.8353</v>
      </c>
      <c r="T3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88" s="57">
        <f>(1000*CHOOSE(CONTROL!$C$42, 695, 695)*CHOOSE(CONTROL!$C$42, 0.5599, 0.5599)*CHOOSE(CONTROL!$C$42, 30, 30))/1000000</f>
        <v>11.673914999999997</v>
      </c>
      <c r="V388" s="57">
        <f>(1000*CHOOSE(CONTROL!$C$42, 500, 500)*CHOOSE(CONTROL!$C$42, 0.275, 0.275)*CHOOSE(CONTROL!$C$42, 30, 30))/1000000</f>
        <v>4.125</v>
      </c>
      <c r="W388" s="57">
        <f>(1000*CHOOSE(CONTROL!$C$42, 0.1146, 0.1146)*CHOOSE(CONTROL!$C$42, 121.5, 121.5)*CHOOSE(CONTROL!$C$42, 30, 30))/1000000</f>
        <v>0.417717</v>
      </c>
      <c r="X388" s="57">
        <f>(30*0.1790888*245000/1000000)+(30*0.2374*100000/1000000)</f>
        <v>2.0285026799999999</v>
      </c>
      <c r="Y388" s="57"/>
      <c r="Z388" s="14"/>
      <c r="AA388" s="56"/>
      <c r="AB388" s="50">
        <f>(B388*141.293+C388*267.993+D388*115.016+E388*89.698+F388*40+G388*185+H388*0+I388*100+J388*300)/(141.293+267.993+115.016+89.698+0+40+185+100+300)</f>
        <v>18.631329547296207</v>
      </c>
      <c r="AC388" s="45">
        <f>(M388*'RAP TEMPLATE-GAS AVAILABILITY'!O387+N388*'RAP TEMPLATE-GAS AVAILABILITY'!P387+O388*'RAP TEMPLATE-GAS AVAILABILITY'!Q387+P388*'RAP TEMPLATE-GAS AVAILABILITY'!R387)/('RAP TEMPLATE-GAS AVAILABILITY'!O387+'RAP TEMPLATE-GAS AVAILABILITY'!P387+'RAP TEMPLATE-GAS AVAILABILITY'!Q387+'RAP TEMPLATE-GAS AVAILABILITY'!R387)</f>
        <v>18.294295683453239</v>
      </c>
    </row>
    <row r="389" spans="1:29" ht="15.75" x14ac:dyDescent="0.25">
      <c r="A389" s="33">
        <v>52748</v>
      </c>
      <c r="B389" s="14">
        <f>CHOOSE(CONTROL!$C$42, 18.7359, 18.7359) * CHOOSE(CONTROL!$C$21, $C$9, 100%, $E$9)</f>
        <v>18.735900000000001</v>
      </c>
      <c r="C389" s="14">
        <f>CHOOSE(CONTROL!$C$42, 18.744, 18.744) * CHOOSE(CONTROL!$C$21, $C$9, 100%, $E$9)</f>
        <v>18.744</v>
      </c>
      <c r="D389" s="14">
        <f>CHOOSE(CONTROL!$C$42, 18.9645, 18.9645) * CHOOSE(CONTROL!$C$21, $C$9, 100%, $E$9)</f>
        <v>18.964500000000001</v>
      </c>
      <c r="E389" s="14">
        <f>CHOOSE(CONTROL!$C$42, 18.996, 18.996) * CHOOSE(CONTROL!$C$21, $C$9, 100%, $E$9)</f>
        <v>18.995999999999999</v>
      </c>
      <c r="F389" s="14">
        <f>CHOOSE(CONTROL!$C$42, 18.7622, 18.7622)*CHOOSE(CONTROL!$C$21, $C$9, 100%, $E$9)</f>
        <v>18.7622</v>
      </c>
      <c r="G389" s="14">
        <f>CHOOSE(CONTROL!$C$42, 18.7793, 18.7793)*CHOOSE(CONTROL!$C$21, $C$9, 100%, $E$9)</f>
        <v>18.779299999999999</v>
      </c>
      <c r="H389" s="14">
        <f>CHOOSE(CONTROL!$C$42, 18.9846, 18.9846) * CHOOSE(CONTROL!$C$21, $C$9, 100%, $E$9)</f>
        <v>18.9846</v>
      </c>
      <c r="I389" s="14">
        <f>CHOOSE(CONTROL!$C$42, 18.8225, 18.8225)* CHOOSE(CONTROL!$C$21, $C$9, 100%, $E$9)</f>
        <v>18.822500000000002</v>
      </c>
      <c r="J389" s="14">
        <f>CHOOSE(CONTROL!$C$42, 18.7552, 18.7552)* CHOOSE(CONTROL!$C$21, $C$9, 100%, $E$9)</f>
        <v>18.755199999999999</v>
      </c>
      <c r="K389" s="53">
        <f>CHOOSE(CONTROL!$C$42, 18.8186, 18.8186) * CHOOSE(CONTROL!$C$21, $C$9, 100%, $E$9)</f>
        <v>18.8186</v>
      </c>
      <c r="L389" s="14">
        <f>CHOOSE(CONTROL!$C$42, 19.5716, 19.5716) * CHOOSE(CONTROL!$C$21, $C$9, 100%, $E$9)</f>
        <v>19.5716</v>
      </c>
      <c r="M389" s="14">
        <f>CHOOSE(CONTROL!$C$42, 18.3786, 18.3786) * CHOOSE(CONTROL!$C$21, $C$9, 100%, $E$9)</f>
        <v>18.378599999999999</v>
      </c>
      <c r="N389" s="14">
        <f>CHOOSE(CONTROL!$C$42, 18.3954, 18.3954) * CHOOSE(CONTROL!$C$21, $C$9, 100%, $E$9)</f>
        <v>18.395399999999999</v>
      </c>
      <c r="O389" s="14">
        <f>CHOOSE(CONTROL!$C$42, 18.6033, 18.6033) * CHOOSE(CONTROL!$C$21, $C$9, 100%, $E$9)</f>
        <v>18.603300000000001</v>
      </c>
      <c r="P389" s="14">
        <f>CHOOSE(CONTROL!$C$42, 18.4434, 18.4434) * CHOOSE(CONTROL!$C$21, $C$9, 100%, $E$9)</f>
        <v>18.4434</v>
      </c>
      <c r="Q389" s="14">
        <f>CHOOSE(CONTROL!$C$42, 19.198, 19.198) * CHOOSE(CONTROL!$C$21, $C$9, 100%, $E$9)</f>
        <v>19.198</v>
      </c>
      <c r="R389" s="14">
        <f>CHOOSE(CONTROL!$C$42, 19.833, 19.833) * CHOOSE(CONTROL!$C$21, $C$9, 100%, $E$9)</f>
        <v>19.832999999999998</v>
      </c>
      <c r="S389" s="14">
        <f>CHOOSE(CONTROL!$C$42, 17.9927, 17.9927) * CHOOSE(CONTROL!$C$21, $C$9, 100%, $E$9)</f>
        <v>17.992699999999999</v>
      </c>
      <c r="T3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89" s="57">
        <f>(1000*CHOOSE(CONTROL!$C$42, 695, 695)*CHOOSE(CONTROL!$C$42, 0.5599, 0.5599)*CHOOSE(CONTROL!$C$42, 31, 31))/1000000</f>
        <v>12.063045499999998</v>
      </c>
      <c r="V389" s="57">
        <f>(1000*CHOOSE(CONTROL!$C$42, 500, 500)*CHOOSE(CONTROL!$C$42, 0.275, 0.275)*CHOOSE(CONTROL!$C$42, 31, 31))/1000000</f>
        <v>4.2625000000000002</v>
      </c>
      <c r="W389" s="57">
        <f>(1000*CHOOSE(CONTROL!$C$42, 0.1146, 0.1146)*CHOOSE(CONTROL!$C$42, 121.5, 121.5)*CHOOSE(CONTROL!$C$42, 31, 31))/1000000</f>
        <v>0.43164089999999994</v>
      </c>
      <c r="X389" s="57">
        <f>(31*0.1790888*245000/1000000)+(31*0.2374*100000/1000000)</f>
        <v>2.0961194359999999</v>
      </c>
      <c r="Y389" s="57"/>
      <c r="Z389" s="14"/>
      <c r="AA389" s="56"/>
      <c r="AB389" s="50">
        <f>(B389*194.205+C389*267.466+D389*133.845+E389*53.484+F389*40+G389*185+H389*0+I389*100+J389*300)/(194.205+267.466+133.845+53.484+0+40+185+100+300)</f>
        <v>18.7910064599686</v>
      </c>
      <c r="AC389" s="45">
        <f>(M389*'RAP TEMPLATE-GAS AVAILABILITY'!O388+N389*'RAP TEMPLATE-GAS AVAILABILITY'!P388+O389*'RAP TEMPLATE-GAS AVAILABILITY'!Q388+P389*'RAP TEMPLATE-GAS AVAILABILITY'!R388)/('RAP TEMPLATE-GAS AVAILABILITY'!O388+'RAP TEMPLATE-GAS AVAILABILITY'!P388+'RAP TEMPLATE-GAS AVAILABILITY'!Q388+'RAP TEMPLATE-GAS AVAILABILITY'!R388)</f>
        <v>18.454836690647479</v>
      </c>
    </row>
    <row r="390" spans="1:29" ht="15.75" x14ac:dyDescent="0.25">
      <c r="A390" s="33">
        <v>52778</v>
      </c>
      <c r="B390" s="14">
        <f>CHOOSE(CONTROL!$C$42, 19.2671, 19.2671) * CHOOSE(CONTROL!$C$21, $C$9, 100%, $E$9)</f>
        <v>19.267099999999999</v>
      </c>
      <c r="C390" s="14">
        <f>CHOOSE(CONTROL!$C$42, 19.2751, 19.2751) * CHOOSE(CONTROL!$C$21, $C$9, 100%, $E$9)</f>
        <v>19.275099999999998</v>
      </c>
      <c r="D390" s="14">
        <f>CHOOSE(CONTROL!$C$42, 19.4957, 19.4957) * CHOOSE(CONTROL!$C$21, $C$9, 100%, $E$9)</f>
        <v>19.495699999999999</v>
      </c>
      <c r="E390" s="14">
        <f>CHOOSE(CONTROL!$C$42, 19.5271, 19.5271) * CHOOSE(CONTROL!$C$21, $C$9, 100%, $E$9)</f>
        <v>19.527100000000001</v>
      </c>
      <c r="F390" s="14">
        <f>CHOOSE(CONTROL!$C$42, 19.2937, 19.2937)*CHOOSE(CONTROL!$C$21, $C$9, 100%, $E$9)</f>
        <v>19.293700000000001</v>
      </c>
      <c r="G390" s="14">
        <f>CHOOSE(CONTROL!$C$42, 19.3109, 19.3109)*CHOOSE(CONTROL!$C$21, $C$9, 100%, $E$9)</f>
        <v>19.3109</v>
      </c>
      <c r="H390" s="14">
        <f>CHOOSE(CONTROL!$C$42, 19.5158, 19.5158) * CHOOSE(CONTROL!$C$21, $C$9, 100%, $E$9)</f>
        <v>19.515799999999999</v>
      </c>
      <c r="I390" s="14">
        <f>CHOOSE(CONTROL!$C$42, 19.3553, 19.3553)* CHOOSE(CONTROL!$C$21, $C$9, 100%, $E$9)</f>
        <v>19.3553</v>
      </c>
      <c r="J390" s="14">
        <f>CHOOSE(CONTROL!$C$42, 19.2867, 19.2867)* CHOOSE(CONTROL!$C$21, $C$9, 100%, $E$9)</f>
        <v>19.2867</v>
      </c>
      <c r="K390" s="53">
        <f>CHOOSE(CONTROL!$C$42, 19.3514, 19.3514) * CHOOSE(CONTROL!$C$21, $C$9, 100%, $E$9)</f>
        <v>19.351400000000002</v>
      </c>
      <c r="L390" s="14">
        <f>CHOOSE(CONTROL!$C$42, 20.1028, 20.1028) * CHOOSE(CONTROL!$C$21, $C$9, 100%, $E$9)</f>
        <v>20.102799999999998</v>
      </c>
      <c r="M390" s="14">
        <f>CHOOSE(CONTROL!$C$42, 18.8992, 18.8992) * CHOOSE(CONTROL!$C$21, $C$9, 100%, $E$9)</f>
        <v>18.8992</v>
      </c>
      <c r="N390" s="14">
        <f>CHOOSE(CONTROL!$C$42, 18.9161, 18.9161) * CHOOSE(CONTROL!$C$21, $C$9, 100%, $E$9)</f>
        <v>18.9161</v>
      </c>
      <c r="O390" s="14">
        <f>CHOOSE(CONTROL!$C$42, 19.1236, 19.1236) * CHOOSE(CONTROL!$C$21, $C$9, 100%, $E$9)</f>
        <v>19.1236</v>
      </c>
      <c r="P390" s="14">
        <f>CHOOSE(CONTROL!$C$42, 18.9653, 18.9653) * CHOOSE(CONTROL!$C$21, $C$9, 100%, $E$9)</f>
        <v>18.965299999999999</v>
      </c>
      <c r="Q390" s="14">
        <f>CHOOSE(CONTROL!$C$42, 19.7183, 19.7183) * CHOOSE(CONTROL!$C$21, $C$9, 100%, $E$9)</f>
        <v>19.718299999999999</v>
      </c>
      <c r="R390" s="14">
        <f>CHOOSE(CONTROL!$C$42, 20.3546, 20.3546) * CHOOSE(CONTROL!$C$21, $C$9, 100%, $E$9)</f>
        <v>20.354600000000001</v>
      </c>
      <c r="S390" s="14">
        <f>CHOOSE(CONTROL!$C$42, 18.5031, 18.5031) * CHOOSE(CONTROL!$C$21, $C$9, 100%, $E$9)</f>
        <v>18.5031</v>
      </c>
      <c r="T3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90" s="57">
        <f>(1000*CHOOSE(CONTROL!$C$42, 695, 695)*CHOOSE(CONTROL!$C$42, 0.5599, 0.5599)*CHOOSE(CONTROL!$C$42, 30, 30))/1000000</f>
        <v>11.673914999999997</v>
      </c>
      <c r="V390" s="57">
        <f>(1000*CHOOSE(CONTROL!$C$42, 500, 500)*CHOOSE(CONTROL!$C$42, 0.275, 0.275)*CHOOSE(CONTROL!$C$42, 30, 30))/1000000</f>
        <v>4.125</v>
      </c>
      <c r="W390" s="57">
        <f>(1000*CHOOSE(CONTROL!$C$42, 0.1146, 0.1146)*CHOOSE(CONTROL!$C$42, 121.5, 121.5)*CHOOSE(CONTROL!$C$42, 30, 30))/1000000</f>
        <v>0.417717</v>
      </c>
      <c r="X390" s="57">
        <f>(30*0.1790888*245000/1000000)+(30*0.2374*100000/1000000)</f>
        <v>2.0285026799999999</v>
      </c>
      <c r="Y390" s="57"/>
      <c r="Z390" s="14"/>
      <c r="AA390" s="56"/>
      <c r="AB390" s="50">
        <f>(B390*194.205+C390*267.466+D390*133.845+E390*53.484+F390*40+G390*185+H390*0+I390*100+J390*300)/(194.205+267.466+133.845+53.484+0+40+185+100+300)</f>
        <v>19.322445003924646</v>
      </c>
      <c r="AC390" s="45">
        <f>(M390*'RAP TEMPLATE-GAS AVAILABILITY'!O389+N390*'RAP TEMPLATE-GAS AVAILABILITY'!P389+O390*'RAP TEMPLATE-GAS AVAILABILITY'!Q389+P390*'RAP TEMPLATE-GAS AVAILABILITY'!R389)/('RAP TEMPLATE-GAS AVAILABILITY'!O389+'RAP TEMPLATE-GAS AVAILABILITY'!P389+'RAP TEMPLATE-GAS AVAILABILITY'!Q389+'RAP TEMPLATE-GAS AVAILABILITY'!R389)</f>
        <v>18.97556258992806</v>
      </c>
    </row>
    <row r="391" spans="1:29" ht="15.75" x14ac:dyDescent="0.25">
      <c r="A391" s="33">
        <v>52809</v>
      </c>
      <c r="B391" s="14">
        <f>CHOOSE(CONTROL!$C$42, 18.8977, 18.8977) * CHOOSE(CONTROL!$C$21, $C$9, 100%, $E$9)</f>
        <v>18.8977</v>
      </c>
      <c r="C391" s="14">
        <f>CHOOSE(CONTROL!$C$42, 18.9057, 18.9057) * CHOOSE(CONTROL!$C$21, $C$9, 100%, $E$9)</f>
        <v>18.9057</v>
      </c>
      <c r="D391" s="14">
        <f>CHOOSE(CONTROL!$C$42, 19.1263, 19.1263) * CHOOSE(CONTROL!$C$21, $C$9, 100%, $E$9)</f>
        <v>19.126300000000001</v>
      </c>
      <c r="E391" s="14">
        <f>CHOOSE(CONTROL!$C$42, 19.1577, 19.1577) * CHOOSE(CONTROL!$C$21, $C$9, 100%, $E$9)</f>
        <v>19.157699999999998</v>
      </c>
      <c r="F391" s="14">
        <f>CHOOSE(CONTROL!$C$42, 18.9247, 18.9247)*CHOOSE(CONTROL!$C$21, $C$9, 100%, $E$9)</f>
        <v>18.924700000000001</v>
      </c>
      <c r="G391" s="14">
        <f>CHOOSE(CONTROL!$C$42, 18.9421, 18.9421)*CHOOSE(CONTROL!$C$21, $C$9, 100%, $E$9)</f>
        <v>18.9421</v>
      </c>
      <c r="H391" s="14">
        <f>CHOOSE(CONTROL!$C$42, 19.1464, 19.1464) * CHOOSE(CONTROL!$C$21, $C$9, 100%, $E$9)</f>
        <v>19.1464</v>
      </c>
      <c r="I391" s="14">
        <f>CHOOSE(CONTROL!$C$42, 18.9847, 18.9847)* CHOOSE(CONTROL!$C$21, $C$9, 100%, $E$9)</f>
        <v>18.9847</v>
      </c>
      <c r="J391" s="14">
        <f>CHOOSE(CONTROL!$C$42, 18.9177, 18.9177)* CHOOSE(CONTROL!$C$21, $C$9, 100%, $E$9)</f>
        <v>18.9177</v>
      </c>
      <c r="K391" s="53">
        <f>CHOOSE(CONTROL!$C$42, 18.9808, 18.9808) * CHOOSE(CONTROL!$C$21, $C$9, 100%, $E$9)</f>
        <v>18.980799999999999</v>
      </c>
      <c r="L391" s="14">
        <f>CHOOSE(CONTROL!$C$42, 19.7334, 19.7334) * CHOOSE(CONTROL!$C$21, $C$9, 100%, $E$9)</f>
        <v>19.7334</v>
      </c>
      <c r="M391" s="14">
        <f>CHOOSE(CONTROL!$C$42, 18.5378, 18.5378) * CHOOSE(CONTROL!$C$21, $C$9, 100%, $E$9)</f>
        <v>18.537800000000001</v>
      </c>
      <c r="N391" s="14">
        <f>CHOOSE(CONTROL!$C$42, 18.5548, 18.5548) * CHOOSE(CONTROL!$C$21, $C$9, 100%, $E$9)</f>
        <v>18.5548</v>
      </c>
      <c r="O391" s="14">
        <f>CHOOSE(CONTROL!$C$42, 18.7618, 18.7618) * CHOOSE(CONTROL!$C$21, $C$9, 100%, $E$9)</f>
        <v>18.761800000000001</v>
      </c>
      <c r="P391" s="14">
        <f>CHOOSE(CONTROL!$C$42, 18.6023, 18.6023) * CHOOSE(CONTROL!$C$21, $C$9, 100%, $E$9)</f>
        <v>18.6023</v>
      </c>
      <c r="Q391" s="14">
        <f>CHOOSE(CONTROL!$C$42, 19.3565, 19.3565) * CHOOSE(CONTROL!$C$21, $C$9, 100%, $E$9)</f>
        <v>19.3565</v>
      </c>
      <c r="R391" s="14">
        <f>CHOOSE(CONTROL!$C$42, 19.9919, 19.9919) * CHOOSE(CONTROL!$C$21, $C$9, 100%, $E$9)</f>
        <v>19.991900000000001</v>
      </c>
      <c r="S391" s="14">
        <f>CHOOSE(CONTROL!$C$42, 18.1481, 18.1481) * CHOOSE(CONTROL!$C$21, $C$9, 100%, $E$9)</f>
        <v>18.148099999999999</v>
      </c>
      <c r="T3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91" s="57">
        <f>(1000*CHOOSE(CONTROL!$C$42, 695, 695)*CHOOSE(CONTROL!$C$42, 0.5599, 0.5599)*CHOOSE(CONTROL!$C$42, 31, 31))/1000000</f>
        <v>12.063045499999998</v>
      </c>
      <c r="V391" s="57">
        <f>(1000*CHOOSE(CONTROL!$C$42, 500, 500)*CHOOSE(CONTROL!$C$42, 0.275, 0.275)*CHOOSE(CONTROL!$C$42, 31, 31))/1000000</f>
        <v>4.2625000000000002</v>
      </c>
      <c r="W391" s="57">
        <f>(1000*CHOOSE(CONTROL!$C$42, 0.1146, 0.1146)*CHOOSE(CONTROL!$C$42, 121.5, 121.5)*CHOOSE(CONTROL!$C$42, 31, 31))/1000000</f>
        <v>0.43164089999999994</v>
      </c>
      <c r="X391" s="57">
        <f>(31*0.1790888*245000/1000000)+(31*0.2374*100000/1000000)</f>
        <v>2.0961194359999999</v>
      </c>
      <c r="Y391" s="57"/>
      <c r="Z391" s="14"/>
      <c r="AA391" s="56"/>
      <c r="AB391" s="50">
        <f>(B391*194.205+C391*267.466+D391*133.845+E391*53.484+F391*40+G391*185+H391*0+I391*100+J391*300)/(194.205+267.466+133.845+53.484+0+40+185+100+300)</f>
        <v>18.953144689952904</v>
      </c>
      <c r="AC391" s="45">
        <f>(M391*'RAP TEMPLATE-GAS AVAILABILITY'!O390+N391*'RAP TEMPLATE-GAS AVAILABILITY'!P390+O391*'RAP TEMPLATE-GAS AVAILABILITY'!Q390+P391*'RAP TEMPLATE-GAS AVAILABILITY'!R390)/('RAP TEMPLATE-GAS AVAILABILITY'!O390+'RAP TEMPLATE-GAS AVAILABILITY'!P390+'RAP TEMPLATE-GAS AVAILABILITY'!Q390+'RAP TEMPLATE-GAS AVAILABILITY'!R390)</f>
        <v>18.613843165467625</v>
      </c>
    </row>
    <row r="392" spans="1:29" ht="15.75" x14ac:dyDescent="0.25">
      <c r="A392" s="33">
        <v>52840</v>
      </c>
      <c r="B392" s="14">
        <f>CHOOSE(CONTROL!$C$42, 17.9648, 17.9648) * CHOOSE(CONTROL!$C$21, $C$9, 100%, $E$9)</f>
        <v>17.9648</v>
      </c>
      <c r="C392" s="14">
        <f>CHOOSE(CONTROL!$C$42, 17.9728, 17.9728) * CHOOSE(CONTROL!$C$21, $C$9, 100%, $E$9)</f>
        <v>17.972799999999999</v>
      </c>
      <c r="D392" s="14">
        <f>CHOOSE(CONTROL!$C$42, 18.1934, 18.1934) * CHOOSE(CONTROL!$C$21, $C$9, 100%, $E$9)</f>
        <v>18.1934</v>
      </c>
      <c r="E392" s="14">
        <f>CHOOSE(CONTROL!$C$42, 18.2249, 18.2249) * CHOOSE(CONTROL!$C$21, $C$9, 100%, $E$9)</f>
        <v>18.224900000000002</v>
      </c>
      <c r="F392" s="14">
        <f>CHOOSE(CONTROL!$C$42, 17.9922, 17.9922)*CHOOSE(CONTROL!$C$21, $C$9, 100%, $E$9)</f>
        <v>17.9922</v>
      </c>
      <c r="G392" s="14">
        <f>CHOOSE(CONTROL!$C$42, 18.0096, 18.0096)*CHOOSE(CONTROL!$C$21, $C$9, 100%, $E$9)</f>
        <v>18.009599999999999</v>
      </c>
      <c r="H392" s="14">
        <f>CHOOSE(CONTROL!$C$42, 18.2135, 18.2135) * CHOOSE(CONTROL!$C$21, $C$9, 100%, $E$9)</f>
        <v>18.2135</v>
      </c>
      <c r="I392" s="14">
        <f>CHOOSE(CONTROL!$C$42, 18.0489, 18.0489)* CHOOSE(CONTROL!$C$21, $C$9, 100%, $E$9)</f>
        <v>18.0489</v>
      </c>
      <c r="J392" s="14">
        <f>CHOOSE(CONTROL!$C$42, 17.9852, 17.9852)* CHOOSE(CONTROL!$C$21, $C$9, 100%, $E$9)</f>
        <v>17.985199999999999</v>
      </c>
      <c r="K392" s="53">
        <f>CHOOSE(CONTROL!$C$42, 18.0451, 18.0451) * CHOOSE(CONTROL!$C$21, $C$9, 100%, $E$9)</f>
        <v>18.045100000000001</v>
      </c>
      <c r="L392" s="14">
        <f>CHOOSE(CONTROL!$C$42, 18.8005, 18.8005) * CHOOSE(CONTROL!$C$21, $C$9, 100%, $E$9)</f>
        <v>18.8005</v>
      </c>
      <c r="M392" s="14">
        <f>CHOOSE(CONTROL!$C$42, 17.6243, 17.6243) * CHOOSE(CONTROL!$C$21, $C$9, 100%, $E$9)</f>
        <v>17.624300000000002</v>
      </c>
      <c r="N392" s="14">
        <f>CHOOSE(CONTROL!$C$42, 17.6414, 17.6414) * CHOOSE(CONTROL!$C$21, $C$9, 100%, $E$9)</f>
        <v>17.641400000000001</v>
      </c>
      <c r="O392" s="14">
        <f>CHOOSE(CONTROL!$C$42, 17.848, 17.848) * CHOOSE(CONTROL!$C$21, $C$9, 100%, $E$9)</f>
        <v>17.847999999999999</v>
      </c>
      <c r="P392" s="14">
        <f>CHOOSE(CONTROL!$C$42, 17.6858, 17.6858) * CHOOSE(CONTROL!$C$21, $C$9, 100%, $E$9)</f>
        <v>17.6858</v>
      </c>
      <c r="Q392" s="14">
        <f>CHOOSE(CONTROL!$C$42, 18.4427, 18.4427) * CHOOSE(CONTROL!$C$21, $C$9, 100%, $E$9)</f>
        <v>18.442699999999999</v>
      </c>
      <c r="R392" s="14">
        <f>CHOOSE(CONTROL!$C$42, 19.0758, 19.0758) * CHOOSE(CONTROL!$C$21, $C$9, 100%, $E$9)</f>
        <v>19.075800000000001</v>
      </c>
      <c r="S392" s="14">
        <f>CHOOSE(CONTROL!$C$42, 17.2517, 17.2517) * CHOOSE(CONTROL!$C$21, $C$9, 100%, $E$9)</f>
        <v>17.2517</v>
      </c>
      <c r="T3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92" s="57">
        <f>(1000*CHOOSE(CONTROL!$C$42, 695, 695)*CHOOSE(CONTROL!$C$42, 0.5599, 0.5599)*CHOOSE(CONTROL!$C$42, 31, 31))/1000000</f>
        <v>12.063045499999998</v>
      </c>
      <c r="V392" s="57">
        <f>(1000*CHOOSE(CONTROL!$C$42, 500, 500)*CHOOSE(CONTROL!$C$42, 0.275, 0.275)*CHOOSE(CONTROL!$C$42, 31, 31))/1000000</f>
        <v>4.2625000000000002</v>
      </c>
      <c r="W392" s="57">
        <f>(1000*CHOOSE(CONTROL!$C$42, 0.1146, 0.1146)*CHOOSE(CONTROL!$C$42, 121.5, 121.5)*CHOOSE(CONTROL!$C$42, 31, 31))/1000000</f>
        <v>0.43164089999999994</v>
      </c>
      <c r="X392" s="57">
        <f>(31*0.1790888*245000/1000000)+(31*0.2374*100000/1000000)</f>
        <v>2.0961194359999999</v>
      </c>
      <c r="Y392" s="57"/>
      <c r="Z392" s="14"/>
      <c r="AA392" s="56"/>
      <c r="AB392" s="50">
        <f>(B392*194.205+C392*267.466+D392*133.845+E392*53.484+F392*40+G392*185+H392*0+I392*100+J392*300)/(194.205+267.466+133.845+53.484+0+40+185+100+300)</f>
        <v>18.020186093720564</v>
      </c>
      <c r="AC392" s="45">
        <f>(M392*'RAP TEMPLATE-GAS AVAILABILITY'!O391+N392*'RAP TEMPLATE-GAS AVAILABILITY'!P391+O392*'RAP TEMPLATE-GAS AVAILABILITY'!Q391+P392*'RAP TEMPLATE-GAS AVAILABILITY'!R391)/('RAP TEMPLATE-GAS AVAILABILITY'!O391+'RAP TEMPLATE-GAS AVAILABILITY'!P391+'RAP TEMPLATE-GAS AVAILABILITY'!Q391+'RAP TEMPLATE-GAS AVAILABILITY'!R391)</f>
        <v>17.699850359712229</v>
      </c>
    </row>
    <row r="393" spans="1:29" ht="15.75" x14ac:dyDescent="0.25">
      <c r="A393" s="33">
        <v>52870</v>
      </c>
      <c r="B393" s="14">
        <f>CHOOSE(CONTROL!$C$42, 16.8248, 16.8248) * CHOOSE(CONTROL!$C$21, $C$9, 100%, $E$9)</f>
        <v>16.8248</v>
      </c>
      <c r="C393" s="14">
        <f>CHOOSE(CONTROL!$C$42, 16.8328, 16.8328) * CHOOSE(CONTROL!$C$21, $C$9, 100%, $E$9)</f>
        <v>16.832799999999999</v>
      </c>
      <c r="D393" s="14">
        <f>CHOOSE(CONTROL!$C$42, 17.0534, 17.0534) * CHOOSE(CONTROL!$C$21, $C$9, 100%, $E$9)</f>
        <v>17.0534</v>
      </c>
      <c r="E393" s="14">
        <f>CHOOSE(CONTROL!$C$42, 17.0849, 17.0849) * CHOOSE(CONTROL!$C$21, $C$9, 100%, $E$9)</f>
        <v>17.084900000000001</v>
      </c>
      <c r="F393" s="14">
        <f>CHOOSE(CONTROL!$C$42, 16.8521, 16.8521)*CHOOSE(CONTROL!$C$21, $C$9, 100%, $E$9)</f>
        <v>16.8521</v>
      </c>
      <c r="G393" s="14">
        <f>CHOOSE(CONTROL!$C$42, 16.8695, 16.8695)*CHOOSE(CONTROL!$C$21, $C$9, 100%, $E$9)</f>
        <v>16.869499999999999</v>
      </c>
      <c r="H393" s="14">
        <f>CHOOSE(CONTROL!$C$42, 17.0735, 17.0735) * CHOOSE(CONTROL!$C$21, $C$9, 100%, $E$9)</f>
        <v>17.073499999999999</v>
      </c>
      <c r="I393" s="14">
        <f>CHOOSE(CONTROL!$C$42, 16.9054, 16.9054)* CHOOSE(CONTROL!$C$21, $C$9, 100%, $E$9)</f>
        <v>16.9054</v>
      </c>
      <c r="J393" s="14">
        <f>CHOOSE(CONTROL!$C$42, 16.8451, 16.8451)* CHOOSE(CONTROL!$C$21, $C$9, 100%, $E$9)</f>
        <v>16.845099999999999</v>
      </c>
      <c r="K393" s="53">
        <f>CHOOSE(CONTROL!$C$42, 16.9015, 16.9015) * CHOOSE(CONTROL!$C$21, $C$9, 100%, $E$9)</f>
        <v>16.901499999999999</v>
      </c>
      <c r="L393" s="14">
        <f>CHOOSE(CONTROL!$C$42, 17.6605, 17.6605) * CHOOSE(CONTROL!$C$21, $C$9, 100%, $E$9)</f>
        <v>17.660499999999999</v>
      </c>
      <c r="M393" s="14">
        <f>CHOOSE(CONTROL!$C$42, 16.5077, 16.5077) * CHOOSE(CONTROL!$C$21, $C$9, 100%, $E$9)</f>
        <v>16.5077</v>
      </c>
      <c r="N393" s="14">
        <f>CHOOSE(CONTROL!$C$42, 16.5247, 16.5247) * CHOOSE(CONTROL!$C$21, $C$9, 100%, $E$9)</f>
        <v>16.524699999999999</v>
      </c>
      <c r="O393" s="14">
        <f>CHOOSE(CONTROL!$C$42, 16.7314, 16.7314) * CHOOSE(CONTROL!$C$21, $C$9, 100%, $E$9)</f>
        <v>16.731400000000001</v>
      </c>
      <c r="P393" s="14">
        <f>CHOOSE(CONTROL!$C$42, 16.5657, 16.5657) * CHOOSE(CONTROL!$C$21, $C$9, 100%, $E$9)</f>
        <v>16.5657</v>
      </c>
      <c r="Q393" s="14">
        <f>CHOOSE(CONTROL!$C$42, 17.3261, 17.3261) * CHOOSE(CONTROL!$C$21, $C$9, 100%, $E$9)</f>
        <v>17.3261</v>
      </c>
      <c r="R393" s="14">
        <f>CHOOSE(CONTROL!$C$42, 17.9564, 17.9564) * CHOOSE(CONTROL!$C$21, $C$9, 100%, $E$9)</f>
        <v>17.956399999999999</v>
      </c>
      <c r="S393" s="14">
        <f>CHOOSE(CONTROL!$C$42, 16.1563, 16.1563) * CHOOSE(CONTROL!$C$21, $C$9, 100%, $E$9)</f>
        <v>16.156300000000002</v>
      </c>
      <c r="T3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93" s="57">
        <f>(1000*CHOOSE(CONTROL!$C$42, 695, 695)*CHOOSE(CONTROL!$C$42, 0.5599, 0.5599)*CHOOSE(CONTROL!$C$42, 30, 30))/1000000</f>
        <v>11.673914999999997</v>
      </c>
      <c r="V393" s="57">
        <f>(1000*CHOOSE(CONTROL!$C$42, 500, 500)*CHOOSE(CONTROL!$C$42, 0.275, 0.275)*CHOOSE(CONTROL!$C$42, 30, 30))/1000000</f>
        <v>4.125</v>
      </c>
      <c r="W393" s="57">
        <f>(1000*CHOOSE(CONTROL!$C$42, 0.1146, 0.1146)*CHOOSE(CONTROL!$C$42, 121.5, 121.5)*CHOOSE(CONTROL!$C$42, 30, 30))/1000000</f>
        <v>0.417717</v>
      </c>
      <c r="X393" s="57">
        <f>(30*0.1790888*245000/1000000)+(30*0.2374*100000/1000000)</f>
        <v>2.0285026799999999</v>
      </c>
      <c r="Y393" s="57"/>
      <c r="Z393" s="14"/>
      <c r="AA393" s="56"/>
      <c r="AB393" s="50">
        <f>(B393*194.205+C393*267.466+D393*133.845+E393*53.484+F393*40+G393*185+H393*0+I393*100+J393*300)/(194.205+267.466+133.845+53.484+0+40+185+100+300)</f>
        <v>16.879870159654629</v>
      </c>
      <c r="AC393" s="45">
        <f>(M393*'RAP TEMPLATE-GAS AVAILABILITY'!O392+N393*'RAP TEMPLATE-GAS AVAILABILITY'!P392+O393*'RAP TEMPLATE-GAS AVAILABILITY'!Q392+P393*'RAP TEMPLATE-GAS AVAILABILITY'!R392)/('RAP TEMPLATE-GAS AVAILABILITY'!O392+'RAP TEMPLATE-GAS AVAILABILITY'!P392+'RAP TEMPLATE-GAS AVAILABILITY'!Q392+'RAP TEMPLATE-GAS AVAILABILITY'!R392)</f>
        <v>16.582723741007193</v>
      </c>
    </row>
    <row r="394" spans="1:29" ht="15.75" x14ac:dyDescent="0.25">
      <c r="A394" s="33">
        <v>52901</v>
      </c>
      <c r="B394" s="14">
        <f>CHOOSE(CONTROL!$C$42, 16.4816, 16.4816) * CHOOSE(CONTROL!$C$21, $C$9, 100%, $E$9)</f>
        <v>16.4816</v>
      </c>
      <c r="C394" s="14">
        <f>CHOOSE(CONTROL!$C$42, 16.487, 16.487) * CHOOSE(CONTROL!$C$21, $C$9, 100%, $E$9)</f>
        <v>16.486999999999998</v>
      </c>
      <c r="D394" s="14">
        <f>CHOOSE(CONTROL!$C$42, 16.7125, 16.7125) * CHOOSE(CONTROL!$C$21, $C$9, 100%, $E$9)</f>
        <v>16.712499999999999</v>
      </c>
      <c r="E394" s="14">
        <f>CHOOSE(CONTROL!$C$42, 16.7416, 16.7416) * CHOOSE(CONTROL!$C$21, $C$9, 100%, $E$9)</f>
        <v>16.741599999999998</v>
      </c>
      <c r="F394" s="14">
        <f>CHOOSE(CONTROL!$C$42, 16.511, 16.511)*CHOOSE(CONTROL!$C$21, $C$9, 100%, $E$9)</f>
        <v>16.510999999999999</v>
      </c>
      <c r="G394" s="14">
        <f>CHOOSE(CONTROL!$C$42, 16.5283, 16.5283)*CHOOSE(CONTROL!$C$21, $C$9, 100%, $E$9)</f>
        <v>16.528300000000002</v>
      </c>
      <c r="H394" s="14">
        <f>CHOOSE(CONTROL!$C$42, 16.7321, 16.7321) * CHOOSE(CONTROL!$C$21, $C$9, 100%, $E$9)</f>
        <v>16.732099999999999</v>
      </c>
      <c r="I394" s="14">
        <f>CHOOSE(CONTROL!$C$42, 16.5629, 16.5629)* CHOOSE(CONTROL!$C$21, $C$9, 100%, $E$9)</f>
        <v>16.562899999999999</v>
      </c>
      <c r="J394" s="14">
        <f>CHOOSE(CONTROL!$C$42, 16.504, 16.504)* CHOOSE(CONTROL!$C$21, $C$9, 100%, $E$9)</f>
        <v>16.504000000000001</v>
      </c>
      <c r="K394" s="53">
        <f>CHOOSE(CONTROL!$C$42, 16.559, 16.559) * CHOOSE(CONTROL!$C$21, $C$9, 100%, $E$9)</f>
        <v>16.559000000000001</v>
      </c>
      <c r="L394" s="14">
        <f>CHOOSE(CONTROL!$C$42, 17.3191, 17.3191) * CHOOSE(CONTROL!$C$21, $C$9, 100%, $E$9)</f>
        <v>17.319099999999999</v>
      </c>
      <c r="M394" s="14">
        <f>CHOOSE(CONTROL!$C$42, 16.1735, 16.1735) * CHOOSE(CONTROL!$C$21, $C$9, 100%, $E$9)</f>
        <v>16.173500000000001</v>
      </c>
      <c r="N394" s="14">
        <f>CHOOSE(CONTROL!$C$42, 16.1904, 16.1904) * CHOOSE(CONTROL!$C$21, $C$9, 100%, $E$9)</f>
        <v>16.1904</v>
      </c>
      <c r="O394" s="14">
        <f>CHOOSE(CONTROL!$C$42, 16.397, 16.397) * CHOOSE(CONTROL!$C$21, $C$9, 100%, $E$9)</f>
        <v>16.396999999999998</v>
      </c>
      <c r="P394" s="14">
        <f>CHOOSE(CONTROL!$C$42, 16.2303, 16.2303) * CHOOSE(CONTROL!$C$21, $C$9, 100%, $E$9)</f>
        <v>16.2303</v>
      </c>
      <c r="Q394" s="14">
        <f>CHOOSE(CONTROL!$C$42, 16.9917, 16.9917) * CHOOSE(CONTROL!$C$21, $C$9, 100%, $E$9)</f>
        <v>16.991700000000002</v>
      </c>
      <c r="R394" s="14">
        <f>CHOOSE(CONTROL!$C$42, 17.6212, 17.6212) * CHOOSE(CONTROL!$C$21, $C$9, 100%, $E$9)</f>
        <v>17.621200000000002</v>
      </c>
      <c r="S394" s="14">
        <f>CHOOSE(CONTROL!$C$42, 15.8283, 15.8283) * CHOOSE(CONTROL!$C$21, $C$9, 100%, $E$9)</f>
        <v>15.8283</v>
      </c>
      <c r="T3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94" s="57">
        <f>(1000*CHOOSE(CONTROL!$C$42, 695, 695)*CHOOSE(CONTROL!$C$42, 0.5599, 0.5599)*CHOOSE(CONTROL!$C$42, 31, 31))/1000000</f>
        <v>12.063045499999998</v>
      </c>
      <c r="V394" s="57">
        <f>(1000*CHOOSE(CONTROL!$C$42, 500, 500)*CHOOSE(CONTROL!$C$42, 0.275, 0.275)*CHOOSE(CONTROL!$C$42, 31, 31))/1000000</f>
        <v>4.2625000000000002</v>
      </c>
      <c r="W394" s="57">
        <f>(1000*CHOOSE(CONTROL!$C$42, 0.1146, 0.1146)*CHOOSE(CONTROL!$C$42, 121.5, 121.5)*CHOOSE(CONTROL!$C$42, 31, 31))/1000000</f>
        <v>0.43164089999999994</v>
      </c>
      <c r="X394" s="57">
        <f>(31*0.1790888*245000/1000000)+(31*0.2374*100000/1000000)</f>
        <v>2.0961194359999999</v>
      </c>
      <c r="Y394" s="57"/>
      <c r="Z394" s="14"/>
      <c r="AA394" s="56"/>
      <c r="AB394" s="50">
        <f>(B394*131.881+C394*277.167+D394*79.08+E394*125.872+F394*40+G394*185+H394*0+I394*100+J394*300)/(131.881+277.167+79.08+125.872+0+40+185+100+300)</f>
        <v>16.543866742372881</v>
      </c>
      <c r="AC394" s="45">
        <f>(M394*'RAP TEMPLATE-GAS AVAILABILITY'!O393+N394*'RAP TEMPLATE-GAS AVAILABILITY'!P393+O394*'RAP TEMPLATE-GAS AVAILABILITY'!Q393+P394*'RAP TEMPLATE-GAS AVAILABILITY'!R393)/('RAP TEMPLATE-GAS AVAILABILITY'!O393+'RAP TEMPLATE-GAS AVAILABILITY'!P393+'RAP TEMPLATE-GAS AVAILABILITY'!Q393+'RAP TEMPLATE-GAS AVAILABILITY'!R393)</f>
        <v>16.248271942446046</v>
      </c>
    </row>
    <row r="395" spans="1:29" ht="15.75" x14ac:dyDescent="0.25">
      <c r="A395" s="33">
        <v>52931</v>
      </c>
      <c r="B395" s="14">
        <f>CHOOSE(CONTROL!$C$42, 16.9152, 16.9152) * CHOOSE(CONTROL!$C$21, $C$9, 100%, $E$9)</f>
        <v>16.915199999999999</v>
      </c>
      <c r="C395" s="14">
        <f>CHOOSE(CONTROL!$C$42, 16.9202, 16.9202) * CHOOSE(CONTROL!$C$21, $C$9, 100%, $E$9)</f>
        <v>16.920200000000001</v>
      </c>
      <c r="D395" s="14">
        <f>CHOOSE(CONTROL!$C$42, 16.9945, 16.9945) * CHOOSE(CONTROL!$C$21, $C$9, 100%, $E$9)</f>
        <v>16.994499999999999</v>
      </c>
      <c r="E395" s="14">
        <f>CHOOSE(CONTROL!$C$42, 17.0286, 17.0286) * CHOOSE(CONTROL!$C$21, $C$9, 100%, $E$9)</f>
        <v>17.028600000000001</v>
      </c>
      <c r="F395" s="14">
        <f>CHOOSE(CONTROL!$C$42, 16.9512, 16.9512)*CHOOSE(CONTROL!$C$21, $C$9, 100%, $E$9)</f>
        <v>16.9512</v>
      </c>
      <c r="G395" s="14">
        <f>CHOOSE(CONTROL!$C$42, 16.9688, 16.9688)*CHOOSE(CONTROL!$C$21, $C$9, 100%, $E$9)</f>
        <v>16.968800000000002</v>
      </c>
      <c r="H395" s="14">
        <f>CHOOSE(CONTROL!$C$42, 17.0178, 17.0178) * CHOOSE(CONTROL!$C$21, $C$9, 100%, $E$9)</f>
        <v>17.017800000000001</v>
      </c>
      <c r="I395" s="14">
        <f>CHOOSE(CONTROL!$C$42, 16.9956, 16.9956)* CHOOSE(CONTROL!$C$21, $C$9, 100%, $E$9)</f>
        <v>16.9956</v>
      </c>
      <c r="J395" s="14">
        <f>CHOOSE(CONTROL!$C$42, 16.9442, 16.9442)* CHOOSE(CONTROL!$C$21, $C$9, 100%, $E$9)</f>
        <v>16.944199999999999</v>
      </c>
      <c r="K395" s="53">
        <f>CHOOSE(CONTROL!$C$42, 16.9917, 16.9917) * CHOOSE(CONTROL!$C$21, $C$9, 100%, $E$9)</f>
        <v>16.991700000000002</v>
      </c>
      <c r="L395" s="14">
        <f>CHOOSE(CONTROL!$C$42, 17.6048, 17.6048) * CHOOSE(CONTROL!$C$21, $C$9, 100%, $E$9)</f>
        <v>17.604800000000001</v>
      </c>
      <c r="M395" s="14">
        <f>CHOOSE(CONTROL!$C$42, 16.6047, 16.6047) * CHOOSE(CONTROL!$C$21, $C$9, 100%, $E$9)</f>
        <v>16.604700000000001</v>
      </c>
      <c r="N395" s="14">
        <f>CHOOSE(CONTROL!$C$42, 16.6219, 16.6219) * CHOOSE(CONTROL!$C$21, $C$9, 100%, $E$9)</f>
        <v>16.6219</v>
      </c>
      <c r="O395" s="14">
        <f>CHOOSE(CONTROL!$C$42, 16.6768, 16.6768) * CHOOSE(CONTROL!$C$21, $C$9, 100%, $E$9)</f>
        <v>16.6768</v>
      </c>
      <c r="P395" s="14">
        <f>CHOOSE(CONTROL!$C$42, 16.6541, 16.6541) * CHOOSE(CONTROL!$C$21, $C$9, 100%, $E$9)</f>
        <v>16.6541</v>
      </c>
      <c r="Q395" s="14">
        <f>CHOOSE(CONTROL!$C$42, 17.2715, 17.2715) * CHOOSE(CONTROL!$C$21, $C$9, 100%, $E$9)</f>
        <v>17.2715</v>
      </c>
      <c r="R395" s="14">
        <f>CHOOSE(CONTROL!$C$42, 17.9016, 17.9016) * CHOOSE(CONTROL!$C$21, $C$9, 100%, $E$9)</f>
        <v>17.901599999999998</v>
      </c>
      <c r="S395" s="14">
        <f>CHOOSE(CONTROL!$C$42, 16.2452, 16.2452) * CHOOSE(CONTROL!$C$21, $C$9, 100%, $E$9)</f>
        <v>16.245200000000001</v>
      </c>
      <c r="T3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95" s="57">
        <f>(1000*CHOOSE(CONTROL!$C$42, 695, 695)*CHOOSE(CONTROL!$C$42, 0.5599, 0.5599)*CHOOSE(CONTROL!$C$42, 30, 30))/1000000</f>
        <v>11.673914999999997</v>
      </c>
      <c r="V395" s="57">
        <f>(1000*CHOOSE(CONTROL!$C$42, 500, 500)*CHOOSE(CONTROL!$C$42, 0.275, 0.275)*CHOOSE(CONTROL!$C$42, 30, 30))/1000000</f>
        <v>4.125</v>
      </c>
      <c r="W395" s="57">
        <f>(1000*CHOOSE(CONTROL!$C$42, 0.1146, 0.1146)*CHOOSE(CONTROL!$C$42, 121.5, 121.5)*CHOOSE(CONTROL!$C$42, 30, 30))/1000000</f>
        <v>0.417717</v>
      </c>
      <c r="X395" s="57">
        <f>(30*0.1790888*100000/1000000)+(30*0.2374*100000/1000000)</f>
        <v>1.2494664</v>
      </c>
      <c r="Y395" s="57"/>
      <c r="Z395" s="14"/>
      <c r="AA395" s="56"/>
      <c r="AB395" s="50">
        <f>(B395*122.58+C395*297.941+D395*89.177+E395*40.302+F395*40+G395*160+H395*0+I395*100+J395*300)/(122.58+297.941+89.177+40.302+0+40+160+100+300)</f>
        <v>16.949884945999997</v>
      </c>
      <c r="AC395" s="45">
        <f>(M395*'RAP TEMPLATE-GAS AVAILABILITY'!O394+N395*'RAP TEMPLATE-GAS AVAILABILITY'!P394+O395*'RAP TEMPLATE-GAS AVAILABILITY'!Q394+P395*'RAP TEMPLATE-GAS AVAILABILITY'!R394)/('RAP TEMPLATE-GAS AVAILABILITY'!O394+'RAP TEMPLATE-GAS AVAILABILITY'!P394+'RAP TEMPLATE-GAS AVAILABILITY'!Q394+'RAP TEMPLATE-GAS AVAILABILITY'!R394)</f>
        <v>16.645476258992804</v>
      </c>
    </row>
    <row r="396" spans="1:29" ht="15.75" x14ac:dyDescent="0.25">
      <c r="A396" s="33">
        <v>52962</v>
      </c>
      <c r="B396" s="14">
        <f>CHOOSE(CONTROL!$C$42, 18.0678, 18.0678) * CHOOSE(CONTROL!$C$21, $C$9, 100%, $E$9)</f>
        <v>18.067799999999998</v>
      </c>
      <c r="C396" s="14">
        <f>CHOOSE(CONTROL!$C$42, 18.0729, 18.0729) * CHOOSE(CONTROL!$C$21, $C$9, 100%, $E$9)</f>
        <v>18.072900000000001</v>
      </c>
      <c r="D396" s="14">
        <f>CHOOSE(CONTROL!$C$42, 18.1471, 18.1471) * CHOOSE(CONTROL!$C$21, $C$9, 100%, $E$9)</f>
        <v>18.147099999999998</v>
      </c>
      <c r="E396" s="14">
        <f>CHOOSE(CONTROL!$C$42, 18.1812, 18.1812) * CHOOSE(CONTROL!$C$21, $C$9, 100%, $E$9)</f>
        <v>18.1812</v>
      </c>
      <c r="F396" s="14">
        <f>CHOOSE(CONTROL!$C$42, 18.1062, 18.1062)*CHOOSE(CONTROL!$C$21, $C$9, 100%, $E$9)</f>
        <v>18.106200000000001</v>
      </c>
      <c r="G396" s="14">
        <f>CHOOSE(CONTROL!$C$42, 18.1243, 18.1243)*CHOOSE(CONTROL!$C$21, $C$9, 100%, $E$9)</f>
        <v>18.124300000000002</v>
      </c>
      <c r="H396" s="14">
        <f>CHOOSE(CONTROL!$C$42, 18.1704, 18.1704) * CHOOSE(CONTROL!$C$21, $C$9, 100%, $E$9)</f>
        <v>18.170400000000001</v>
      </c>
      <c r="I396" s="14">
        <f>CHOOSE(CONTROL!$C$42, 18.1518, 18.1518)* CHOOSE(CONTROL!$C$21, $C$9, 100%, $E$9)</f>
        <v>18.151800000000001</v>
      </c>
      <c r="J396" s="14">
        <f>CHOOSE(CONTROL!$C$42, 18.0992, 18.0992)* CHOOSE(CONTROL!$C$21, $C$9, 100%, $E$9)</f>
        <v>18.0992</v>
      </c>
      <c r="K396" s="53">
        <f>CHOOSE(CONTROL!$C$42, 18.1479, 18.1479) * CHOOSE(CONTROL!$C$21, $C$9, 100%, $E$9)</f>
        <v>18.1479</v>
      </c>
      <c r="L396" s="14">
        <f>CHOOSE(CONTROL!$C$42, 18.7574, 18.7574) * CHOOSE(CONTROL!$C$21, $C$9, 100%, $E$9)</f>
        <v>18.757400000000001</v>
      </c>
      <c r="M396" s="14">
        <f>CHOOSE(CONTROL!$C$42, 17.736, 17.736) * CHOOSE(CONTROL!$C$21, $C$9, 100%, $E$9)</f>
        <v>17.736000000000001</v>
      </c>
      <c r="N396" s="14">
        <f>CHOOSE(CONTROL!$C$42, 17.7538, 17.7538) * CHOOSE(CONTROL!$C$21, $C$9, 100%, $E$9)</f>
        <v>17.753799999999998</v>
      </c>
      <c r="O396" s="14">
        <f>CHOOSE(CONTROL!$C$42, 17.8058, 17.8058) * CHOOSE(CONTROL!$C$21, $C$9, 100%, $E$9)</f>
        <v>17.805800000000001</v>
      </c>
      <c r="P396" s="14">
        <f>CHOOSE(CONTROL!$C$42, 17.7865, 17.7865) * CHOOSE(CONTROL!$C$21, $C$9, 100%, $E$9)</f>
        <v>17.7865</v>
      </c>
      <c r="Q396" s="14">
        <f>CHOOSE(CONTROL!$C$42, 18.4005, 18.4005) * CHOOSE(CONTROL!$C$21, $C$9, 100%, $E$9)</f>
        <v>18.400500000000001</v>
      </c>
      <c r="R396" s="14">
        <f>CHOOSE(CONTROL!$C$42, 19.0335, 19.0335) * CHOOSE(CONTROL!$C$21, $C$9, 100%, $E$9)</f>
        <v>19.0335</v>
      </c>
      <c r="S396" s="14">
        <f>CHOOSE(CONTROL!$C$42, 17.3528, 17.3528) * CHOOSE(CONTROL!$C$21, $C$9, 100%, $E$9)</f>
        <v>17.352799999999998</v>
      </c>
      <c r="T3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96" s="57">
        <f>(1000*CHOOSE(CONTROL!$C$42, 695, 695)*CHOOSE(CONTROL!$C$42, 0.5599, 0.5599)*CHOOSE(CONTROL!$C$42, 31, 31))/1000000</f>
        <v>12.063045499999998</v>
      </c>
      <c r="V396" s="57">
        <f>(1000*CHOOSE(CONTROL!$C$42, 500, 500)*CHOOSE(CONTROL!$C$42, 0.275, 0.275)*CHOOSE(CONTROL!$C$42, 31, 31))/1000000</f>
        <v>4.2625000000000002</v>
      </c>
      <c r="W396" s="57">
        <f>(1000*CHOOSE(CONTROL!$C$42, 0.1146, 0.1146)*CHOOSE(CONTROL!$C$42, 121.5, 121.5)*CHOOSE(CONTROL!$C$42, 31, 31))/1000000</f>
        <v>0.43164089999999994</v>
      </c>
      <c r="X396" s="57">
        <f>(31*0.1790888*100000/1000000)+(31*0.2374*100000/1000000)</f>
        <v>1.2911152800000001</v>
      </c>
      <c r="Y396" s="57"/>
      <c r="Z396" s="14"/>
      <c r="AA396" s="56"/>
      <c r="AB396" s="50">
        <f>(B396*122.58+C396*297.941+D396*89.177+E396*40.302+F396*40+G396*160+H396*0+I396*100+J396*300)/(122.58+297.941+89.177+40.302+0+40+160+100+300)</f>
        <v>18.103936940869563</v>
      </c>
      <c r="AC396" s="45">
        <f>(M396*'RAP TEMPLATE-GAS AVAILABILITY'!O395+N396*'RAP TEMPLATE-GAS AVAILABILITY'!P395+O396*'RAP TEMPLATE-GAS AVAILABILITY'!Q395+P396*'RAP TEMPLATE-GAS AVAILABILITY'!R395)/('RAP TEMPLATE-GAS AVAILABILITY'!O395+'RAP TEMPLATE-GAS AVAILABILITY'!P395+'RAP TEMPLATE-GAS AVAILABILITY'!Q395+'RAP TEMPLATE-GAS AVAILABILITY'!R395)</f>
        <v>17.775926618705036</v>
      </c>
    </row>
    <row r="397" spans="1:29" ht="15.75" x14ac:dyDescent="0.25">
      <c r="A397" s="33">
        <v>52993</v>
      </c>
      <c r="B397" s="14">
        <f>CHOOSE(CONTROL!$C$42, 19.5648, 19.5648) * CHOOSE(CONTROL!$C$21, $C$9, 100%, $E$9)</f>
        <v>19.564800000000002</v>
      </c>
      <c r="C397" s="14">
        <f>CHOOSE(CONTROL!$C$42, 19.5699, 19.5699) * CHOOSE(CONTROL!$C$21, $C$9, 100%, $E$9)</f>
        <v>19.569900000000001</v>
      </c>
      <c r="D397" s="14">
        <f>CHOOSE(CONTROL!$C$42, 19.6467, 19.6467) * CHOOSE(CONTROL!$C$21, $C$9, 100%, $E$9)</f>
        <v>19.646699999999999</v>
      </c>
      <c r="E397" s="14">
        <f>CHOOSE(CONTROL!$C$42, 19.6808, 19.6808) * CHOOSE(CONTROL!$C$21, $C$9, 100%, $E$9)</f>
        <v>19.680800000000001</v>
      </c>
      <c r="F397" s="14">
        <f>CHOOSE(CONTROL!$C$42, 19.5896, 19.5896)*CHOOSE(CONTROL!$C$21, $C$9, 100%, $E$9)</f>
        <v>19.589600000000001</v>
      </c>
      <c r="G397" s="14">
        <f>CHOOSE(CONTROL!$C$42, 19.6075, 19.6075)*CHOOSE(CONTROL!$C$21, $C$9, 100%, $E$9)</f>
        <v>19.607500000000002</v>
      </c>
      <c r="H397" s="14">
        <f>CHOOSE(CONTROL!$C$42, 19.67, 19.67) * CHOOSE(CONTROL!$C$21, $C$9, 100%, $E$9)</f>
        <v>19.670000000000002</v>
      </c>
      <c r="I397" s="14">
        <f>CHOOSE(CONTROL!$C$42, 19.6598, 19.6598)* CHOOSE(CONTROL!$C$21, $C$9, 100%, $E$9)</f>
        <v>19.659800000000001</v>
      </c>
      <c r="J397" s="14">
        <f>CHOOSE(CONTROL!$C$42, 19.5826, 19.5826)* CHOOSE(CONTROL!$C$21, $C$9, 100%, $E$9)</f>
        <v>19.582599999999999</v>
      </c>
      <c r="K397" s="53">
        <f>CHOOSE(CONTROL!$C$42, 19.6559, 19.6559) * CHOOSE(CONTROL!$C$21, $C$9, 100%, $E$9)</f>
        <v>19.655899999999999</v>
      </c>
      <c r="L397" s="14">
        <f>CHOOSE(CONTROL!$C$42, 20.257, 20.257) * CHOOSE(CONTROL!$C$21, $C$9, 100%, $E$9)</f>
        <v>20.257000000000001</v>
      </c>
      <c r="M397" s="14">
        <f>CHOOSE(CONTROL!$C$42, 19.189, 19.189) * CHOOSE(CONTROL!$C$21, $C$9, 100%, $E$9)</f>
        <v>19.189</v>
      </c>
      <c r="N397" s="14">
        <f>CHOOSE(CONTROL!$C$42, 19.2066, 19.2066) * CHOOSE(CONTROL!$C$21, $C$9, 100%, $E$9)</f>
        <v>19.206600000000002</v>
      </c>
      <c r="O397" s="14">
        <f>CHOOSE(CONTROL!$C$42, 19.2747, 19.2747) * CHOOSE(CONTROL!$C$21, $C$9, 100%, $E$9)</f>
        <v>19.274699999999999</v>
      </c>
      <c r="P397" s="14">
        <f>CHOOSE(CONTROL!$C$42, 19.2635, 19.2635) * CHOOSE(CONTROL!$C$21, $C$9, 100%, $E$9)</f>
        <v>19.263500000000001</v>
      </c>
      <c r="Q397" s="14">
        <f>CHOOSE(CONTROL!$C$42, 19.8694, 19.8694) * CHOOSE(CONTROL!$C$21, $C$9, 100%, $E$9)</f>
        <v>19.869399999999999</v>
      </c>
      <c r="R397" s="14">
        <f>CHOOSE(CONTROL!$C$42, 20.5061, 20.5061) * CHOOSE(CONTROL!$C$21, $C$9, 100%, $E$9)</f>
        <v>20.5061</v>
      </c>
      <c r="S397" s="14">
        <f>CHOOSE(CONTROL!$C$42, 18.7913, 18.7913) * CHOOSE(CONTROL!$C$21, $C$9, 100%, $E$9)</f>
        <v>18.7913</v>
      </c>
      <c r="T3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97" s="57">
        <f>(1000*CHOOSE(CONTROL!$C$42, 695, 695)*CHOOSE(CONTROL!$C$42, 0.5599, 0.5599)*CHOOSE(CONTROL!$C$42, 31, 31))/1000000</f>
        <v>12.063045499999998</v>
      </c>
      <c r="V397" s="57">
        <f>(1000*CHOOSE(CONTROL!$C$42, 500, 500)*CHOOSE(CONTROL!$C$42, 0.275, 0.275)*CHOOSE(CONTROL!$C$42, 31, 31))/1000000</f>
        <v>4.2625000000000002</v>
      </c>
      <c r="W397" s="57">
        <f>(1000*CHOOSE(CONTROL!$C$42, 0.1146, 0.1146)*CHOOSE(CONTROL!$C$42, 121.5, 121.5)*CHOOSE(CONTROL!$C$42, 31, 31))/1000000</f>
        <v>0.43164089999999994</v>
      </c>
      <c r="X397" s="57">
        <f>(31*0.1790888*100000/1000000)+(31*0.2374*100000/1000000)</f>
        <v>1.2911152800000001</v>
      </c>
      <c r="Y397" s="57"/>
      <c r="Z397" s="14"/>
      <c r="AA397" s="56"/>
      <c r="AB397" s="50">
        <f>(B397*122.58+C397*297.941+D397*89.177+E397*40.302+F397*40+G397*160+H397*0+I397*100+J397*300)/(122.58+297.941+89.177+40.302+0+40+160+100+300)</f>
        <v>19.596245328173911</v>
      </c>
      <c r="AC397" s="45">
        <f>(M397*'RAP TEMPLATE-GAS AVAILABILITY'!O396+N397*'RAP TEMPLATE-GAS AVAILABILITY'!P396+O397*'RAP TEMPLATE-GAS AVAILABILITY'!Q396+P397*'RAP TEMPLATE-GAS AVAILABILITY'!R396)/('RAP TEMPLATE-GAS AVAILABILITY'!O396+'RAP TEMPLATE-GAS AVAILABILITY'!P396+'RAP TEMPLATE-GAS AVAILABILITY'!Q396+'RAP TEMPLATE-GAS AVAILABILITY'!R396)</f>
        <v>19.239574820143886</v>
      </c>
    </row>
    <row r="398" spans="1:29" ht="15.75" x14ac:dyDescent="0.25">
      <c r="A398" s="33">
        <v>53021</v>
      </c>
      <c r="B398" s="14">
        <f>CHOOSE(CONTROL!$C$42, 19.9129, 19.9129) * CHOOSE(CONTROL!$C$21, $C$9, 100%, $E$9)</f>
        <v>19.9129</v>
      </c>
      <c r="C398" s="14">
        <f>CHOOSE(CONTROL!$C$42, 19.918, 19.918) * CHOOSE(CONTROL!$C$21, $C$9, 100%, $E$9)</f>
        <v>19.917999999999999</v>
      </c>
      <c r="D398" s="14">
        <f>CHOOSE(CONTROL!$C$42, 19.9948, 19.9948) * CHOOSE(CONTROL!$C$21, $C$9, 100%, $E$9)</f>
        <v>19.994800000000001</v>
      </c>
      <c r="E398" s="14">
        <f>CHOOSE(CONTROL!$C$42, 20.0289, 20.0289) * CHOOSE(CONTROL!$C$21, $C$9, 100%, $E$9)</f>
        <v>20.0289</v>
      </c>
      <c r="F398" s="14">
        <f>CHOOSE(CONTROL!$C$42, 19.9373, 19.9373)*CHOOSE(CONTROL!$C$21, $C$9, 100%, $E$9)</f>
        <v>19.9373</v>
      </c>
      <c r="G398" s="14">
        <f>CHOOSE(CONTROL!$C$42, 19.9551, 19.9551)*CHOOSE(CONTROL!$C$21, $C$9, 100%, $E$9)</f>
        <v>19.955100000000002</v>
      </c>
      <c r="H398" s="14">
        <f>CHOOSE(CONTROL!$C$42, 20.0181, 20.0181) * CHOOSE(CONTROL!$C$21, $C$9, 100%, $E$9)</f>
        <v>20.0181</v>
      </c>
      <c r="I398" s="14">
        <f>CHOOSE(CONTROL!$C$42, 20.009, 20.009)* CHOOSE(CONTROL!$C$21, $C$9, 100%, $E$9)</f>
        <v>20.009</v>
      </c>
      <c r="J398" s="14">
        <f>CHOOSE(CONTROL!$C$42, 19.9303, 19.9303)* CHOOSE(CONTROL!$C$21, $C$9, 100%, $E$9)</f>
        <v>19.930299999999999</v>
      </c>
      <c r="K398" s="53">
        <f>CHOOSE(CONTROL!$C$42, 20.0051, 20.0051) * CHOOSE(CONTROL!$C$21, $C$9, 100%, $E$9)</f>
        <v>20.005099999999999</v>
      </c>
      <c r="L398" s="14">
        <f>CHOOSE(CONTROL!$C$42, 20.6051, 20.6051) * CHOOSE(CONTROL!$C$21, $C$9, 100%, $E$9)</f>
        <v>20.6051</v>
      </c>
      <c r="M398" s="14">
        <f>CHOOSE(CONTROL!$C$42, 19.5296, 19.5296) * CHOOSE(CONTROL!$C$21, $C$9, 100%, $E$9)</f>
        <v>19.529599999999999</v>
      </c>
      <c r="N398" s="14">
        <f>CHOOSE(CONTROL!$C$42, 19.5471, 19.5471) * CHOOSE(CONTROL!$C$21, $C$9, 100%, $E$9)</f>
        <v>19.5471</v>
      </c>
      <c r="O398" s="14">
        <f>CHOOSE(CONTROL!$C$42, 19.6157, 19.6157) * CHOOSE(CONTROL!$C$21, $C$9, 100%, $E$9)</f>
        <v>19.6157</v>
      </c>
      <c r="P398" s="14">
        <f>CHOOSE(CONTROL!$C$42, 19.6056, 19.6056) * CHOOSE(CONTROL!$C$21, $C$9, 100%, $E$9)</f>
        <v>19.605599999999999</v>
      </c>
      <c r="Q398" s="14">
        <f>CHOOSE(CONTROL!$C$42, 20.2104, 20.2104) * CHOOSE(CONTROL!$C$21, $C$9, 100%, $E$9)</f>
        <v>20.2104</v>
      </c>
      <c r="R398" s="14">
        <f>CHOOSE(CONTROL!$C$42, 20.8479, 20.8479) * CHOOSE(CONTROL!$C$21, $C$9, 100%, $E$9)</f>
        <v>20.847899999999999</v>
      </c>
      <c r="S398" s="14">
        <f>CHOOSE(CONTROL!$C$42, 19.1258, 19.1258) * CHOOSE(CONTROL!$C$21, $C$9, 100%, $E$9)</f>
        <v>19.125800000000002</v>
      </c>
      <c r="T39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98" s="57">
        <f>(1000*CHOOSE(CONTROL!$C$42, 695, 695)*CHOOSE(CONTROL!$C$42, 0.5599, 0.5599)*CHOOSE(CONTROL!$C$42, 28, 28))/1000000</f>
        <v>10.895653999999999</v>
      </c>
      <c r="V398" s="57">
        <f>(1000*CHOOSE(CONTROL!$C$42, 500, 500)*CHOOSE(CONTROL!$C$42, 0.275, 0.275)*CHOOSE(CONTROL!$C$42, 28, 28))/1000000</f>
        <v>3.85</v>
      </c>
      <c r="W398" s="57">
        <f>(1000*CHOOSE(CONTROL!$C$42, 0.1146, 0.1146)*CHOOSE(CONTROL!$C$42, 121.5, 121.5)*CHOOSE(CONTROL!$C$42, 28, 28))/1000000</f>
        <v>0.38986920000000003</v>
      </c>
      <c r="X398" s="57">
        <f>(28*0.1790888*100000/1000000)+(28*0.2374*100000/1000000)</f>
        <v>1.16616864</v>
      </c>
      <c r="Y398" s="57"/>
      <c r="Z398" s="14"/>
      <c r="AA398" s="56"/>
      <c r="AB398" s="50">
        <f>(B398*122.58+C398*297.941+D398*89.177+E398*40.302+F398*40+G398*160+H398*0+I398*100+J398*300)/(122.58+297.941+89.177+40.302+0+40+160+100+300)</f>
        <v>19.944253154260871</v>
      </c>
      <c r="AC398" s="45">
        <f>(M398*'RAP TEMPLATE-GAS AVAILABILITY'!O397+N398*'RAP TEMPLATE-GAS AVAILABILITY'!P397+O398*'RAP TEMPLATE-GAS AVAILABILITY'!Q397+P398*'RAP TEMPLATE-GAS AVAILABILITY'!R397)/('RAP TEMPLATE-GAS AVAILABILITY'!O397+'RAP TEMPLATE-GAS AVAILABILITY'!P397+'RAP TEMPLATE-GAS AVAILABILITY'!Q397+'RAP TEMPLATE-GAS AVAILABILITY'!R397)</f>
        <v>19.580566187050358</v>
      </c>
    </row>
    <row r="399" spans="1:29" ht="15.75" x14ac:dyDescent="0.25">
      <c r="A399" s="33">
        <v>53052</v>
      </c>
      <c r="B399" s="14">
        <f>CHOOSE(CONTROL!$C$42, 19.3479, 19.3479) * CHOOSE(CONTROL!$C$21, $C$9, 100%, $E$9)</f>
        <v>19.347899999999999</v>
      </c>
      <c r="C399" s="14">
        <f>CHOOSE(CONTROL!$C$42, 19.3529, 19.3529) * CHOOSE(CONTROL!$C$21, $C$9, 100%, $E$9)</f>
        <v>19.352900000000002</v>
      </c>
      <c r="D399" s="14">
        <f>CHOOSE(CONTROL!$C$42, 19.4298, 19.4298) * CHOOSE(CONTROL!$C$21, $C$9, 100%, $E$9)</f>
        <v>19.4298</v>
      </c>
      <c r="E399" s="14">
        <f>CHOOSE(CONTROL!$C$42, 19.4639, 19.4639) * CHOOSE(CONTROL!$C$21, $C$9, 100%, $E$9)</f>
        <v>19.463899999999999</v>
      </c>
      <c r="F399" s="14">
        <f>CHOOSE(CONTROL!$C$42, 19.3713, 19.3713)*CHOOSE(CONTROL!$C$21, $C$9, 100%, $E$9)</f>
        <v>19.371300000000002</v>
      </c>
      <c r="G399" s="14">
        <f>CHOOSE(CONTROL!$C$42, 19.389, 19.389)*CHOOSE(CONTROL!$C$21, $C$9, 100%, $E$9)</f>
        <v>19.388999999999999</v>
      </c>
      <c r="H399" s="14">
        <f>CHOOSE(CONTROL!$C$42, 19.4531, 19.4531) * CHOOSE(CONTROL!$C$21, $C$9, 100%, $E$9)</f>
        <v>19.453099999999999</v>
      </c>
      <c r="I399" s="14">
        <f>CHOOSE(CONTROL!$C$42, 19.4422, 19.4422)* CHOOSE(CONTROL!$C$21, $C$9, 100%, $E$9)</f>
        <v>19.4422</v>
      </c>
      <c r="J399" s="14">
        <f>CHOOSE(CONTROL!$C$42, 19.3643, 19.3643)* CHOOSE(CONTROL!$C$21, $C$9, 100%, $E$9)</f>
        <v>19.3643</v>
      </c>
      <c r="K399" s="53">
        <f>CHOOSE(CONTROL!$C$42, 19.4383, 19.4383) * CHOOSE(CONTROL!$C$21, $C$9, 100%, $E$9)</f>
        <v>19.438300000000002</v>
      </c>
      <c r="L399" s="14">
        <f>CHOOSE(CONTROL!$C$42, 20.0401, 20.0401) * CHOOSE(CONTROL!$C$21, $C$9, 100%, $E$9)</f>
        <v>20.040099999999999</v>
      </c>
      <c r="M399" s="14">
        <f>CHOOSE(CONTROL!$C$42, 18.9753, 18.9753) * CHOOSE(CONTROL!$C$21, $C$9, 100%, $E$9)</f>
        <v>18.975300000000001</v>
      </c>
      <c r="N399" s="14">
        <f>CHOOSE(CONTROL!$C$42, 18.9925, 18.9925) * CHOOSE(CONTROL!$C$21, $C$9, 100%, $E$9)</f>
        <v>18.9925</v>
      </c>
      <c r="O399" s="14">
        <f>CHOOSE(CONTROL!$C$42, 19.0622, 19.0622) * CHOOSE(CONTROL!$C$21, $C$9, 100%, $E$9)</f>
        <v>19.062200000000001</v>
      </c>
      <c r="P399" s="14">
        <f>CHOOSE(CONTROL!$C$42, 19.0504, 19.0504) * CHOOSE(CONTROL!$C$21, $C$9, 100%, $E$9)</f>
        <v>19.0504</v>
      </c>
      <c r="Q399" s="14">
        <f>CHOOSE(CONTROL!$C$42, 19.6569, 19.6569) * CHOOSE(CONTROL!$C$21, $C$9, 100%, $E$9)</f>
        <v>19.6569</v>
      </c>
      <c r="R399" s="14">
        <f>CHOOSE(CONTROL!$C$42, 20.293, 20.293) * CHOOSE(CONTROL!$C$21, $C$9, 100%, $E$9)</f>
        <v>20.292999999999999</v>
      </c>
      <c r="S399" s="14">
        <f>CHOOSE(CONTROL!$C$42, 18.5828, 18.5828) * CHOOSE(CONTROL!$C$21, $C$9, 100%, $E$9)</f>
        <v>18.582799999999999</v>
      </c>
      <c r="T3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9" s="57">
        <f>(1000*CHOOSE(CONTROL!$C$42, 695, 695)*CHOOSE(CONTROL!$C$42, 0.5599, 0.5599)*CHOOSE(CONTROL!$C$42, 31, 31))/1000000</f>
        <v>12.063045499999998</v>
      </c>
      <c r="V399" s="57">
        <f>(1000*CHOOSE(CONTROL!$C$42, 500, 500)*CHOOSE(CONTROL!$C$42, 0.275, 0.275)*CHOOSE(CONTROL!$C$42, 31, 31))/1000000</f>
        <v>4.2625000000000002</v>
      </c>
      <c r="W399" s="57">
        <f>(1000*CHOOSE(CONTROL!$C$42, 0.1146, 0.1146)*CHOOSE(CONTROL!$C$42, 121.5, 121.5)*CHOOSE(CONTROL!$C$42, 31, 31))/1000000</f>
        <v>0.43164089999999994</v>
      </c>
      <c r="X399" s="57">
        <f>(31*0.1790888*100000/1000000)+(31*0.2374*100000/1000000)</f>
        <v>1.2911152800000001</v>
      </c>
      <c r="Y399" s="57"/>
      <c r="Z399" s="14"/>
      <c r="AA399" s="56"/>
      <c r="AB399" s="50">
        <f>(B399*122.58+C399*297.941+D399*89.177+E399*40.302+F399*40+G399*160+H399*0+I399*100+J399*300)/(122.58+297.941+89.177+40.302+0+40+160+100+300)</f>
        <v>19.378622028956524</v>
      </c>
      <c r="AC399" s="45">
        <f>(M399*'RAP TEMPLATE-GAS AVAILABILITY'!O398+N399*'RAP TEMPLATE-GAS AVAILABILITY'!P398+O399*'RAP TEMPLATE-GAS AVAILABILITY'!Q398+P399*'RAP TEMPLATE-GAS AVAILABILITY'!R398)/('RAP TEMPLATE-GAS AVAILABILITY'!O398+'RAP TEMPLATE-GAS AVAILABILITY'!P398+'RAP TEMPLATE-GAS AVAILABILITY'!Q398+'RAP TEMPLATE-GAS AVAILABILITY'!R398)</f>
        <v>19.026482014388488</v>
      </c>
    </row>
    <row r="400" spans="1:29" ht="15.75" x14ac:dyDescent="0.25">
      <c r="A400" s="33">
        <v>53082</v>
      </c>
      <c r="B400" s="14">
        <f>CHOOSE(CONTROL!$C$42, 19.291, 19.291) * CHOOSE(CONTROL!$C$21, $C$9, 100%, $E$9)</f>
        <v>19.291</v>
      </c>
      <c r="C400" s="14">
        <f>CHOOSE(CONTROL!$C$42, 19.2955, 19.2955) * CHOOSE(CONTROL!$C$21, $C$9, 100%, $E$9)</f>
        <v>19.295500000000001</v>
      </c>
      <c r="D400" s="14">
        <f>CHOOSE(CONTROL!$C$42, 19.5192, 19.5192) * CHOOSE(CONTROL!$C$21, $C$9, 100%, $E$9)</f>
        <v>19.519200000000001</v>
      </c>
      <c r="E400" s="14">
        <f>CHOOSE(CONTROL!$C$42, 19.5513, 19.5513) * CHOOSE(CONTROL!$C$21, $C$9, 100%, $E$9)</f>
        <v>19.551300000000001</v>
      </c>
      <c r="F400" s="14">
        <f>CHOOSE(CONTROL!$C$42, 19.3187, 19.3187)*CHOOSE(CONTROL!$C$21, $C$9, 100%, $E$9)</f>
        <v>19.3187</v>
      </c>
      <c r="G400" s="14">
        <f>CHOOSE(CONTROL!$C$42, 19.3356, 19.3356)*CHOOSE(CONTROL!$C$21, $C$9, 100%, $E$9)</f>
        <v>19.335599999999999</v>
      </c>
      <c r="H400" s="14">
        <f>CHOOSE(CONTROL!$C$42, 19.5411, 19.5411) * CHOOSE(CONTROL!$C$21, $C$9, 100%, $E$9)</f>
        <v>19.5411</v>
      </c>
      <c r="I400" s="14">
        <f>CHOOSE(CONTROL!$C$42, 19.3807, 19.3807)* CHOOSE(CONTROL!$C$21, $C$9, 100%, $E$9)</f>
        <v>19.380700000000001</v>
      </c>
      <c r="J400" s="14">
        <f>CHOOSE(CONTROL!$C$42, 19.3117, 19.3117)* CHOOSE(CONTROL!$C$21, $C$9, 100%, $E$9)</f>
        <v>19.311699999999998</v>
      </c>
      <c r="K400" s="53">
        <f>CHOOSE(CONTROL!$C$42, 19.3768, 19.3768) * CHOOSE(CONTROL!$C$21, $C$9, 100%, $E$9)</f>
        <v>19.376799999999999</v>
      </c>
      <c r="L400" s="14">
        <f>CHOOSE(CONTROL!$C$42, 20.1281, 20.1281) * CHOOSE(CONTROL!$C$21, $C$9, 100%, $E$9)</f>
        <v>20.1281</v>
      </c>
      <c r="M400" s="14">
        <f>CHOOSE(CONTROL!$C$42, 18.9237, 18.9237) * CHOOSE(CONTROL!$C$21, $C$9, 100%, $E$9)</f>
        <v>18.9237</v>
      </c>
      <c r="N400" s="14">
        <f>CHOOSE(CONTROL!$C$42, 18.9402, 18.9402) * CHOOSE(CONTROL!$C$21, $C$9, 100%, $E$9)</f>
        <v>18.940200000000001</v>
      </c>
      <c r="O400" s="14">
        <f>CHOOSE(CONTROL!$C$42, 19.1484, 19.1484) * CHOOSE(CONTROL!$C$21, $C$9, 100%, $E$9)</f>
        <v>19.148399999999999</v>
      </c>
      <c r="P400" s="14">
        <f>CHOOSE(CONTROL!$C$42, 18.9901, 18.9901) * CHOOSE(CONTROL!$C$21, $C$9, 100%, $E$9)</f>
        <v>18.990100000000002</v>
      </c>
      <c r="Q400" s="14">
        <f>CHOOSE(CONTROL!$C$42, 19.7431, 19.7431) * CHOOSE(CONTROL!$C$21, $C$9, 100%, $E$9)</f>
        <v>19.743099999999998</v>
      </c>
      <c r="R400" s="14">
        <f>CHOOSE(CONTROL!$C$42, 20.3794, 20.3794) * CHOOSE(CONTROL!$C$21, $C$9, 100%, $E$9)</f>
        <v>20.3794</v>
      </c>
      <c r="S400" s="14">
        <f>CHOOSE(CONTROL!$C$42, 18.5274, 18.5274) * CHOOSE(CONTROL!$C$21, $C$9, 100%, $E$9)</f>
        <v>18.5274</v>
      </c>
      <c r="T4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0" s="57">
        <f>(1000*CHOOSE(CONTROL!$C$42, 695, 695)*CHOOSE(CONTROL!$C$42, 0.5599, 0.5599)*CHOOSE(CONTROL!$C$42, 30, 30))/1000000</f>
        <v>11.673914999999997</v>
      </c>
      <c r="V400" s="57">
        <f>(1000*CHOOSE(CONTROL!$C$42, 500, 500)*CHOOSE(CONTROL!$C$42, 0.275, 0.275)*CHOOSE(CONTROL!$C$42, 30, 30))/1000000</f>
        <v>4.125</v>
      </c>
      <c r="W400" s="57">
        <f>(1000*CHOOSE(CONTROL!$C$42, 0.1146, 0.1146)*CHOOSE(CONTROL!$C$42, 121.5, 121.5)*CHOOSE(CONTROL!$C$42, 30, 30))/1000000</f>
        <v>0.417717</v>
      </c>
      <c r="X400" s="57">
        <f>(30*0.1790888*245000/1000000)+(30*0.2374*100000/1000000)</f>
        <v>2.0285026799999999</v>
      </c>
      <c r="Y400" s="57"/>
      <c r="Z400" s="14"/>
      <c r="AA400" s="56"/>
      <c r="AB400" s="50">
        <f>(B400*141.293+C400*267.993+D400*115.016+E400*89.698+F400*40+G400*185+H400*0+I400*100+J400*300)/(141.293+267.993+115.016+89.698+0+40+185+100+300)</f>
        <v>19.35180710984665</v>
      </c>
      <c r="AC400" s="45">
        <f>(M400*'RAP TEMPLATE-GAS AVAILABILITY'!O399+N400*'RAP TEMPLATE-GAS AVAILABILITY'!P399+O400*'RAP TEMPLATE-GAS AVAILABILITY'!Q399+P400*'RAP TEMPLATE-GAS AVAILABILITY'!R399)/('RAP TEMPLATE-GAS AVAILABILITY'!O399+'RAP TEMPLATE-GAS AVAILABILITY'!P399+'RAP TEMPLATE-GAS AVAILABILITY'!Q399+'RAP TEMPLATE-GAS AVAILABILITY'!R399)</f>
        <v>19.000097841726621</v>
      </c>
    </row>
    <row r="401" spans="1:29" ht="15.75" x14ac:dyDescent="0.25">
      <c r="A401" s="33">
        <v>53113</v>
      </c>
      <c r="B401" s="14">
        <f>CHOOSE(CONTROL!$C$42, 19.4625, 19.4625) * CHOOSE(CONTROL!$C$21, $C$9, 100%, $E$9)</f>
        <v>19.462499999999999</v>
      </c>
      <c r="C401" s="14">
        <f>CHOOSE(CONTROL!$C$42, 19.4706, 19.4706) * CHOOSE(CONTROL!$C$21, $C$9, 100%, $E$9)</f>
        <v>19.470600000000001</v>
      </c>
      <c r="D401" s="14">
        <f>CHOOSE(CONTROL!$C$42, 19.6911, 19.6911) * CHOOSE(CONTROL!$C$21, $C$9, 100%, $E$9)</f>
        <v>19.691099999999999</v>
      </c>
      <c r="E401" s="14">
        <f>CHOOSE(CONTROL!$C$42, 19.7226, 19.7226) * CHOOSE(CONTROL!$C$21, $C$9, 100%, $E$9)</f>
        <v>19.7226</v>
      </c>
      <c r="F401" s="14">
        <f>CHOOSE(CONTROL!$C$42, 19.4888, 19.4888)*CHOOSE(CONTROL!$C$21, $C$9, 100%, $E$9)</f>
        <v>19.488800000000001</v>
      </c>
      <c r="G401" s="14">
        <f>CHOOSE(CONTROL!$C$42, 19.5059, 19.5059)*CHOOSE(CONTROL!$C$21, $C$9, 100%, $E$9)</f>
        <v>19.5059</v>
      </c>
      <c r="H401" s="14">
        <f>CHOOSE(CONTROL!$C$42, 19.7112, 19.7112) * CHOOSE(CONTROL!$C$21, $C$9, 100%, $E$9)</f>
        <v>19.711200000000002</v>
      </c>
      <c r="I401" s="14">
        <f>CHOOSE(CONTROL!$C$42, 19.5514, 19.5514)* CHOOSE(CONTROL!$C$21, $C$9, 100%, $E$9)</f>
        <v>19.551400000000001</v>
      </c>
      <c r="J401" s="14">
        <f>CHOOSE(CONTROL!$C$42, 19.4818, 19.4818)* CHOOSE(CONTROL!$C$21, $C$9, 100%, $E$9)</f>
        <v>19.4818</v>
      </c>
      <c r="K401" s="53">
        <f>CHOOSE(CONTROL!$C$42, 19.5475, 19.5475) * CHOOSE(CONTROL!$C$21, $C$9, 100%, $E$9)</f>
        <v>19.547499999999999</v>
      </c>
      <c r="L401" s="14">
        <f>CHOOSE(CONTROL!$C$42, 20.2982, 20.2982) * CHOOSE(CONTROL!$C$21, $C$9, 100%, $E$9)</f>
        <v>20.298200000000001</v>
      </c>
      <c r="M401" s="14">
        <f>CHOOSE(CONTROL!$C$42, 19.0903, 19.0903) * CHOOSE(CONTROL!$C$21, $C$9, 100%, $E$9)</f>
        <v>19.090299999999999</v>
      </c>
      <c r="N401" s="14">
        <f>CHOOSE(CONTROL!$C$42, 19.1071, 19.1071) * CHOOSE(CONTROL!$C$21, $C$9, 100%, $E$9)</f>
        <v>19.107099999999999</v>
      </c>
      <c r="O401" s="14">
        <f>CHOOSE(CONTROL!$C$42, 19.3151, 19.3151) * CHOOSE(CONTROL!$C$21, $C$9, 100%, $E$9)</f>
        <v>19.315100000000001</v>
      </c>
      <c r="P401" s="14">
        <f>CHOOSE(CONTROL!$C$42, 19.1573, 19.1573) * CHOOSE(CONTROL!$C$21, $C$9, 100%, $E$9)</f>
        <v>19.157299999999999</v>
      </c>
      <c r="Q401" s="14">
        <f>CHOOSE(CONTROL!$C$42, 19.9098, 19.9098) * CHOOSE(CONTROL!$C$21, $C$9, 100%, $E$9)</f>
        <v>19.909800000000001</v>
      </c>
      <c r="R401" s="14">
        <f>CHOOSE(CONTROL!$C$42, 20.5465, 20.5465) * CHOOSE(CONTROL!$C$21, $C$9, 100%, $E$9)</f>
        <v>20.546500000000002</v>
      </c>
      <c r="S401" s="14">
        <f>CHOOSE(CONTROL!$C$42, 18.6909, 18.6909) * CHOOSE(CONTROL!$C$21, $C$9, 100%, $E$9)</f>
        <v>18.690899999999999</v>
      </c>
      <c r="T4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01" s="57">
        <f>(1000*CHOOSE(CONTROL!$C$42, 695, 695)*CHOOSE(CONTROL!$C$42, 0.5599, 0.5599)*CHOOSE(CONTROL!$C$42, 31, 31))/1000000</f>
        <v>12.063045499999998</v>
      </c>
      <c r="V401" s="57">
        <f>(1000*CHOOSE(CONTROL!$C$42, 500, 500)*CHOOSE(CONTROL!$C$42, 0.275, 0.275)*CHOOSE(CONTROL!$C$42, 31, 31))/1000000</f>
        <v>4.2625000000000002</v>
      </c>
      <c r="W401" s="57">
        <f>(1000*CHOOSE(CONTROL!$C$42, 0.1146, 0.1146)*CHOOSE(CONTROL!$C$42, 121.5, 121.5)*CHOOSE(CONTROL!$C$42, 31, 31))/1000000</f>
        <v>0.43164089999999994</v>
      </c>
      <c r="X401" s="57">
        <f>(31*0.1790888*245000/1000000)+(31*0.2374*100000/1000000)</f>
        <v>2.0961194359999999</v>
      </c>
      <c r="Y401" s="57"/>
      <c r="Z401" s="14"/>
      <c r="AA401" s="56"/>
      <c r="AB401" s="50">
        <f>(B401*194.205+C401*267.466+D401*133.845+E401*53.484+F401*40+G401*185+H401*0+I401*100+J401*300)/(194.205+267.466+133.845+53.484+0+40+185+100+300)</f>
        <v>19.517786993720566</v>
      </c>
      <c r="AC401" s="45">
        <f>(M401*'RAP TEMPLATE-GAS AVAILABILITY'!O400+N401*'RAP TEMPLATE-GAS AVAILABILITY'!P400+O401*'RAP TEMPLATE-GAS AVAILABILITY'!Q400+P401*'RAP TEMPLATE-GAS AVAILABILITY'!R400)/('RAP TEMPLATE-GAS AVAILABILITY'!O400+'RAP TEMPLATE-GAS AVAILABILITY'!P400+'RAP TEMPLATE-GAS AVAILABILITY'!Q400+'RAP TEMPLATE-GAS AVAILABILITY'!R400)</f>
        <v>19.166881294964025</v>
      </c>
    </row>
    <row r="402" spans="1:29" ht="15.75" x14ac:dyDescent="0.25">
      <c r="A402" s="33">
        <v>53143</v>
      </c>
      <c r="B402" s="14">
        <f>CHOOSE(CONTROL!$C$42, 20.0143, 20.0143) * CHOOSE(CONTROL!$C$21, $C$9, 100%, $E$9)</f>
        <v>20.014299999999999</v>
      </c>
      <c r="C402" s="14">
        <f>CHOOSE(CONTROL!$C$42, 20.0223, 20.0223) * CHOOSE(CONTROL!$C$21, $C$9, 100%, $E$9)</f>
        <v>20.022300000000001</v>
      </c>
      <c r="D402" s="14">
        <f>CHOOSE(CONTROL!$C$42, 20.2429, 20.2429) * CHOOSE(CONTROL!$C$21, $C$9, 100%, $E$9)</f>
        <v>20.242899999999999</v>
      </c>
      <c r="E402" s="14">
        <f>CHOOSE(CONTROL!$C$42, 20.2744, 20.2744) * CHOOSE(CONTROL!$C$21, $C$9, 100%, $E$9)</f>
        <v>20.2744</v>
      </c>
      <c r="F402" s="14">
        <f>CHOOSE(CONTROL!$C$42, 20.0409, 20.0409)*CHOOSE(CONTROL!$C$21, $C$9, 100%, $E$9)</f>
        <v>20.040900000000001</v>
      </c>
      <c r="G402" s="14">
        <f>CHOOSE(CONTROL!$C$42, 20.0581, 20.0581)*CHOOSE(CONTROL!$C$21, $C$9, 100%, $E$9)</f>
        <v>20.0581</v>
      </c>
      <c r="H402" s="14">
        <f>CHOOSE(CONTROL!$C$42, 20.263, 20.263) * CHOOSE(CONTROL!$C$21, $C$9, 100%, $E$9)</f>
        <v>20.263000000000002</v>
      </c>
      <c r="I402" s="14">
        <f>CHOOSE(CONTROL!$C$42, 20.1048, 20.1048)* CHOOSE(CONTROL!$C$21, $C$9, 100%, $E$9)</f>
        <v>20.104800000000001</v>
      </c>
      <c r="J402" s="14">
        <f>CHOOSE(CONTROL!$C$42, 20.0339, 20.0339)* CHOOSE(CONTROL!$C$21, $C$9, 100%, $E$9)</f>
        <v>20.033899999999999</v>
      </c>
      <c r="K402" s="53">
        <f>CHOOSE(CONTROL!$C$42, 20.101, 20.101) * CHOOSE(CONTROL!$C$21, $C$9, 100%, $E$9)</f>
        <v>20.100999999999999</v>
      </c>
      <c r="L402" s="14">
        <f>CHOOSE(CONTROL!$C$42, 20.85, 20.85) * CHOOSE(CONTROL!$C$21, $C$9, 100%, $E$9)</f>
        <v>20.85</v>
      </c>
      <c r="M402" s="14">
        <f>CHOOSE(CONTROL!$C$42, 19.6311, 19.6311) * CHOOSE(CONTROL!$C$21, $C$9, 100%, $E$9)</f>
        <v>19.6311</v>
      </c>
      <c r="N402" s="14">
        <f>CHOOSE(CONTROL!$C$42, 19.648, 19.648) * CHOOSE(CONTROL!$C$21, $C$9, 100%, $E$9)</f>
        <v>19.648</v>
      </c>
      <c r="O402" s="14">
        <f>CHOOSE(CONTROL!$C$42, 19.8555, 19.8555) * CHOOSE(CONTROL!$C$21, $C$9, 100%, $E$9)</f>
        <v>19.855499999999999</v>
      </c>
      <c r="P402" s="14">
        <f>CHOOSE(CONTROL!$C$42, 19.6994, 19.6994) * CHOOSE(CONTROL!$C$21, $C$9, 100%, $E$9)</f>
        <v>19.699400000000001</v>
      </c>
      <c r="Q402" s="14">
        <f>CHOOSE(CONTROL!$C$42, 20.4502, 20.4502) * CHOOSE(CONTROL!$C$21, $C$9, 100%, $E$9)</f>
        <v>20.450199999999999</v>
      </c>
      <c r="R402" s="14">
        <f>CHOOSE(CONTROL!$C$42, 21.0883, 21.0883) * CHOOSE(CONTROL!$C$21, $C$9, 100%, $E$9)</f>
        <v>21.0883</v>
      </c>
      <c r="S402" s="14">
        <f>CHOOSE(CONTROL!$C$42, 19.2211, 19.2211) * CHOOSE(CONTROL!$C$21, $C$9, 100%, $E$9)</f>
        <v>19.2211</v>
      </c>
      <c r="T4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02" s="57">
        <f>(1000*CHOOSE(CONTROL!$C$42, 695, 695)*CHOOSE(CONTROL!$C$42, 0.5599, 0.5599)*CHOOSE(CONTROL!$C$42, 30, 30))/1000000</f>
        <v>11.673914999999997</v>
      </c>
      <c r="V402" s="57">
        <f>(1000*CHOOSE(CONTROL!$C$42, 500, 500)*CHOOSE(CONTROL!$C$42, 0.275, 0.275)*CHOOSE(CONTROL!$C$42, 30, 30))/1000000</f>
        <v>4.125</v>
      </c>
      <c r="W402" s="57">
        <f>(1000*CHOOSE(CONTROL!$C$42, 0.1146, 0.1146)*CHOOSE(CONTROL!$C$42, 121.5, 121.5)*CHOOSE(CONTROL!$C$42, 30, 30))/1000000</f>
        <v>0.417717</v>
      </c>
      <c r="X402" s="57">
        <f>(30*0.1790888*245000/1000000)+(30*0.2374*100000/1000000)</f>
        <v>2.0285026799999999</v>
      </c>
      <c r="Y402" s="57"/>
      <c r="Z402" s="14"/>
      <c r="AA402" s="56"/>
      <c r="AB402" s="50">
        <f>(B402*194.205+C402*267.466+D402*133.845+E402*53.484+F402*40+G402*185+H402*0+I402*100+J402*300)/(194.205+267.466+133.845+53.484+0+40+185+100+300)</f>
        <v>20.069829735792776</v>
      </c>
      <c r="AC402" s="45">
        <f>(M402*'RAP TEMPLATE-GAS AVAILABILITY'!O401+N402*'RAP TEMPLATE-GAS AVAILABILITY'!P401+O402*'RAP TEMPLATE-GAS AVAILABILITY'!Q401+P402*'RAP TEMPLATE-GAS AVAILABILITY'!R401)/('RAP TEMPLATE-GAS AVAILABILITY'!O401+'RAP TEMPLATE-GAS AVAILABILITY'!P401+'RAP TEMPLATE-GAS AVAILABILITY'!Q401+'RAP TEMPLATE-GAS AVAILABILITY'!R401)</f>
        <v>19.70777913669065</v>
      </c>
    </row>
    <row r="403" spans="1:29" ht="15.75" x14ac:dyDescent="0.25">
      <c r="A403" s="33">
        <v>53174</v>
      </c>
      <c r="B403" s="14">
        <f>CHOOSE(CONTROL!$C$42, 19.6305, 19.6305) * CHOOSE(CONTROL!$C$21, $C$9, 100%, $E$9)</f>
        <v>19.630500000000001</v>
      </c>
      <c r="C403" s="14">
        <f>CHOOSE(CONTROL!$C$42, 19.6386, 19.6386) * CHOOSE(CONTROL!$C$21, $C$9, 100%, $E$9)</f>
        <v>19.6386</v>
      </c>
      <c r="D403" s="14">
        <f>CHOOSE(CONTROL!$C$42, 19.8592, 19.8592) * CHOOSE(CONTROL!$C$21, $C$9, 100%, $E$9)</f>
        <v>19.859200000000001</v>
      </c>
      <c r="E403" s="14">
        <f>CHOOSE(CONTROL!$C$42, 19.8906, 19.8906) * CHOOSE(CONTROL!$C$21, $C$9, 100%, $E$9)</f>
        <v>19.890599999999999</v>
      </c>
      <c r="F403" s="14">
        <f>CHOOSE(CONTROL!$C$42, 19.6576, 19.6576)*CHOOSE(CONTROL!$C$21, $C$9, 100%, $E$9)</f>
        <v>19.657599999999999</v>
      </c>
      <c r="G403" s="14">
        <f>CHOOSE(CONTROL!$C$42, 19.6749, 19.6749)*CHOOSE(CONTROL!$C$21, $C$9, 100%, $E$9)</f>
        <v>19.674900000000001</v>
      </c>
      <c r="H403" s="14">
        <f>CHOOSE(CONTROL!$C$42, 19.8792, 19.8792) * CHOOSE(CONTROL!$C$21, $C$9, 100%, $E$9)</f>
        <v>19.879200000000001</v>
      </c>
      <c r="I403" s="14">
        <f>CHOOSE(CONTROL!$C$42, 19.7199, 19.7199)* CHOOSE(CONTROL!$C$21, $C$9, 100%, $E$9)</f>
        <v>19.719899999999999</v>
      </c>
      <c r="J403" s="14">
        <f>CHOOSE(CONTROL!$C$42, 19.6506, 19.6506)* CHOOSE(CONTROL!$C$21, $C$9, 100%, $E$9)</f>
        <v>19.650600000000001</v>
      </c>
      <c r="K403" s="53">
        <f>CHOOSE(CONTROL!$C$42, 19.716, 19.716) * CHOOSE(CONTROL!$C$21, $C$9, 100%, $E$9)</f>
        <v>19.716000000000001</v>
      </c>
      <c r="L403" s="14">
        <f>CHOOSE(CONTROL!$C$42, 20.4662, 20.4662) * CHOOSE(CONTROL!$C$21, $C$9, 100%, $E$9)</f>
        <v>20.466200000000001</v>
      </c>
      <c r="M403" s="14">
        <f>CHOOSE(CONTROL!$C$42, 19.2557, 19.2557) * CHOOSE(CONTROL!$C$21, $C$9, 100%, $E$9)</f>
        <v>19.255700000000001</v>
      </c>
      <c r="N403" s="14">
        <f>CHOOSE(CONTROL!$C$42, 19.2727, 19.2727) * CHOOSE(CONTROL!$C$21, $C$9, 100%, $E$9)</f>
        <v>19.2727</v>
      </c>
      <c r="O403" s="14">
        <f>CHOOSE(CONTROL!$C$42, 19.4796, 19.4796) * CHOOSE(CONTROL!$C$21, $C$9, 100%, $E$9)</f>
        <v>19.479600000000001</v>
      </c>
      <c r="P403" s="14">
        <f>CHOOSE(CONTROL!$C$42, 19.3224, 19.3224) * CHOOSE(CONTROL!$C$21, $C$9, 100%, $E$9)</f>
        <v>19.322399999999998</v>
      </c>
      <c r="Q403" s="14">
        <f>CHOOSE(CONTROL!$C$42, 20.0743, 20.0743) * CHOOSE(CONTROL!$C$21, $C$9, 100%, $E$9)</f>
        <v>20.074300000000001</v>
      </c>
      <c r="R403" s="14">
        <f>CHOOSE(CONTROL!$C$42, 20.7115, 20.7115) * CHOOSE(CONTROL!$C$21, $C$9, 100%, $E$9)</f>
        <v>20.711500000000001</v>
      </c>
      <c r="S403" s="14">
        <f>CHOOSE(CONTROL!$C$42, 18.8524, 18.8524) * CHOOSE(CONTROL!$C$21, $C$9, 100%, $E$9)</f>
        <v>18.852399999999999</v>
      </c>
      <c r="T4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03" s="57">
        <f>(1000*CHOOSE(CONTROL!$C$42, 695, 695)*CHOOSE(CONTROL!$C$42, 0.5599, 0.5599)*CHOOSE(CONTROL!$C$42, 31, 31))/1000000</f>
        <v>12.063045499999998</v>
      </c>
      <c r="V403" s="57">
        <f>(1000*CHOOSE(CONTROL!$C$42, 500, 500)*CHOOSE(CONTROL!$C$42, 0.275, 0.275)*CHOOSE(CONTROL!$C$42, 31, 31))/1000000</f>
        <v>4.2625000000000002</v>
      </c>
      <c r="W403" s="57">
        <f>(1000*CHOOSE(CONTROL!$C$42, 0.1146, 0.1146)*CHOOSE(CONTROL!$C$42, 121.5, 121.5)*CHOOSE(CONTROL!$C$42, 31, 31))/1000000</f>
        <v>0.43164089999999994</v>
      </c>
      <c r="X403" s="57">
        <f>(31*0.1790888*245000/1000000)+(31*0.2374*100000/1000000)</f>
        <v>2.0961194359999999</v>
      </c>
      <c r="Y403" s="57"/>
      <c r="Z403" s="14"/>
      <c r="AA403" s="56"/>
      <c r="AB403" s="50">
        <f>(B403*194.205+C403*267.466+D403*133.845+E403*53.484+F403*40+G403*185+H403*0+I403*100+J403*300)/(194.205+267.466+133.845+53.484+0+40+185+100+300)</f>
        <v>19.686195458791211</v>
      </c>
      <c r="AC403" s="45">
        <f>(M403*'RAP TEMPLATE-GAS AVAILABILITY'!O402+N403*'RAP TEMPLATE-GAS AVAILABILITY'!P402+O403*'RAP TEMPLATE-GAS AVAILABILITY'!Q402+P403*'RAP TEMPLATE-GAS AVAILABILITY'!R402)/('RAP TEMPLATE-GAS AVAILABILITY'!O402+'RAP TEMPLATE-GAS AVAILABILITY'!P402+'RAP TEMPLATE-GAS AVAILABILITY'!Q402+'RAP TEMPLATE-GAS AVAILABILITY'!R402)</f>
        <v>19.332031654676261</v>
      </c>
    </row>
    <row r="404" spans="1:29" ht="15.75" x14ac:dyDescent="0.25">
      <c r="A404" s="33">
        <v>53205</v>
      </c>
      <c r="B404" s="14">
        <f>CHOOSE(CONTROL!$C$42, 18.6615, 18.6615) * CHOOSE(CONTROL!$C$21, $C$9, 100%, $E$9)</f>
        <v>18.6615</v>
      </c>
      <c r="C404" s="14">
        <f>CHOOSE(CONTROL!$C$42, 18.6695, 18.6695) * CHOOSE(CONTROL!$C$21, $C$9, 100%, $E$9)</f>
        <v>18.669499999999999</v>
      </c>
      <c r="D404" s="14">
        <f>CHOOSE(CONTROL!$C$42, 18.8901, 18.8901) * CHOOSE(CONTROL!$C$21, $C$9, 100%, $E$9)</f>
        <v>18.8901</v>
      </c>
      <c r="E404" s="14">
        <f>CHOOSE(CONTROL!$C$42, 18.9216, 18.9216) * CHOOSE(CONTROL!$C$21, $C$9, 100%, $E$9)</f>
        <v>18.921600000000002</v>
      </c>
      <c r="F404" s="14">
        <f>CHOOSE(CONTROL!$C$42, 18.6888, 18.6888)*CHOOSE(CONTROL!$C$21, $C$9, 100%, $E$9)</f>
        <v>18.688800000000001</v>
      </c>
      <c r="G404" s="14">
        <f>CHOOSE(CONTROL!$C$42, 18.7062, 18.7062)*CHOOSE(CONTROL!$C$21, $C$9, 100%, $E$9)</f>
        <v>18.706199999999999</v>
      </c>
      <c r="H404" s="14">
        <f>CHOOSE(CONTROL!$C$42, 18.9102, 18.9102) * CHOOSE(CONTROL!$C$21, $C$9, 100%, $E$9)</f>
        <v>18.9102</v>
      </c>
      <c r="I404" s="14">
        <f>CHOOSE(CONTROL!$C$42, 18.7478, 18.7478)* CHOOSE(CONTROL!$C$21, $C$9, 100%, $E$9)</f>
        <v>18.747800000000002</v>
      </c>
      <c r="J404" s="14">
        <f>CHOOSE(CONTROL!$C$42, 18.6818, 18.6818)* CHOOSE(CONTROL!$C$21, $C$9, 100%, $E$9)</f>
        <v>18.681799999999999</v>
      </c>
      <c r="K404" s="53">
        <f>CHOOSE(CONTROL!$C$42, 18.7439, 18.7439) * CHOOSE(CONTROL!$C$21, $C$9, 100%, $E$9)</f>
        <v>18.7439</v>
      </c>
      <c r="L404" s="14">
        <f>CHOOSE(CONTROL!$C$42, 19.4972, 19.4972) * CHOOSE(CONTROL!$C$21, $C$9, 100%, $E$9)</f>
        <v>19.497199999999999</v>
      </c>
      <c r="M404" s="14">
        <f>CHOOSE(CONTROL!$C$42, 18.3068, 18.3068) * CHOOSE(CONTROL!$C$21, $C$9, 100%, $E$9)</f>
        <v>18.306799999999999</v>
      </c>
      <c r="N404" s="14">
        <f>CHOOSE(CONTROL!$C$42, 18.3238, 18.3238) * CHOOSE(CONTROL!$C$21, $C$9, 100%, $E$9)</f>
        <v>18.323799999999999</v>
      </c>
      <c r="O404" s="14">
        <f>CHOOSE(CONTROL!$C$42, 18.5304, 18.5304) * CHOOSE(CONTROL!$C$21, $C$9, 100%, $E$9)</f>
        <v>18.5304</v>
      </c>
      <c r="P404" s="14">
        <f>CHOOSE(CONTROL!$C$42, 18.3703, 18.3703) * CHOOSE(CONTROL!$C$21, $C$9, 100%, $E$9)</f>
        <v>18.3703</v>
      </c>
      <c r="Q404" s="14">
        <f>CHOOSE(CONTROL!$C$42, 19.1251, 19.1251) * CHOOSE(CONTROL!$C$21, $C$9, 100%, $E$9)</f>
        <v>19.1251</v>
      </c>
      <c r="R404" s="14">
        <f>CHOOSE(CONTROL!$C$42, 19.7599, 19.7599) * CHOOSE(CONTROL!$C$21, $C$9, 100%, $E$9)</f>
        <v>19.759899999999998</v>
      </c>
      <c r="S404" s="14">
        <f>CHOOSE(CONTROL!$C$42, 17.9212, 17.9212) * CHOOSE(CONTROL!$C$21, $C$9, 100%, $E$9)</f>
        <v>17.921199999999999</v>
      </c>
      <c r="T4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04" s="57">
        <f>(1000*CHOOSE(CONTROL!$C$42, 695, 695)*CHOOSE(CONTROL!$C$42, 0.5599, 0.5599)*CHOOSE(CONTROL!$C$42, 31, 31))/1000000</f>
        <v>12.063045499999998</v>
      </c>
      <c r="V404" s="57">
        <f>(1000*CHOOSE(CONTROL!$C$42, 500, 500)*CHOOSE(CONTROL!$C$42, 0.275, 0.275)*CHOOSE(CONTROL!$C$42, 31, 31))/1000000</f>
        <v>4.2625000000000002</v>
      </c>
      <c r="W404" s="57">
        <f>(1000*CHOOSE(CONTROL!$C$42, 0.1146, 0.1146)*CHOOSE(CONTROL!$C$42, 121.5, 121.5)*CHOOSE(CONTROL!$C$42, 31, 31))/1000000</f>
        <v>0.43164089999999994</v>
      </c>
      <c r="X404" s="57">
        <f>(31*0.1790888*245000/1000000)+(31*0.2374*100000/1000000)</f>
        <v>2.0961194359999999</v>
      </c>
      <c r="Y404" s="57"/>
      <c r="Z404" s="14"/>
      <c r="AA404" s="56"/>
      <c r="AB404" s="50">
        <f>(B404*194.205+C404*267.466+D404*133.845+E404*53.484+F404*40+G404*185+H404*0+I404*100+J404*300)/(194.205+267.466+133.845+53.484+0+40+185+100+300)</f>
        <v>18.717017569387753</v>
      </c>
      <c r="AC404" s="45">
        <f>(M404*'RAP TEMPLATE-GAS AVAILABILITY'!O403+N404*'RAP TEMPLATE-GAS AVAILABILITY'!P403+O404*'RAP TEMPLATE-GAS AVAILABILITY'!Q403+P404*'RAP TEMPLATE-GAS AVAILABILITY'!R403)/('RAP TEMPLATE-GAS AVAILABILITY'!O403+'RAP TEMPLATE-GAS AVAILABILITY'!P403+'RAP TEMPLATE-GAS AVAILABILITY'!Q403+'RAP TEMPLATE-GAS AVAILABILITY'!R403)</f>
        <v>18.38258705035971</v>
      </c>
    </row>
    <row r="405" spans="1:29" ht="15.75" x14ac:dyDescent="0.25">
      <c r="A405" s="33">
        <v>53235</v>
      </c>
      <c r="B405" s="14">
        <f>CHOOSE(CONTROL!$C$42, 17.4772, 17.4772) * CHOOSE(CONTROL!$C$21, $C$9, 100%, $E$9)</f>
        <v>17.4772</v>
      </c>
      <c r="C405" s="14">
        <f>CHOOSE(CONTROL!$C$42, 17.4853, 17.4853) * CHOOSE(CONTROL!$C$21, $C$9, 100%, $E$9)</f>
        <v>17.485299999999999</v>
      </c>
      <c r="D405" s="14">
        <f>CHOOSE(CONTROL!$C$42, 17.7058, 17.7058) * CHOOSE(CONTROL!$C$21, $C$9, 100%, $E$9)</f>
        <v>17.7058</v>
      </c>
      <c r="E405" s="14">
        <f>CHOOSE(CONTROL!$C$42, 17.7373, 17.7373) * CHOOSE(CONTROL!$C$21, $C$9, 100%, $E$9)</f>
        <v>17.737300000000001</v>
      </c>
      <c r="F405" s="14">
        <f>CHOOSE(CONTROL!$C$42, 17.5046, 17.5046)*CHOOSE(CONTROL!$C$21, $C$9, 100%, $E$9)</f>
        <v>17.5046</v>
      </c>
      <c r="G405" s="14">
        <f>CHOOSE(CONTROL!$C$42, 17.522, 17.522)*CHOOSE(CONTROL!$C$21, $C$9, 100%, $E$9)</f>
        <v>17.521999999999998</v>
      </c>
      <c r="H405" s="14">
        <f>CHOOSE(CONTROL!$C$42, 17.7259, 17.7259) * CHOOSE(CONTROL!$C$21, $C$9, 100%, $E$9)</f>
        <v>17.725899999999999</v>
      </c>
      <c r="I405" s="14">
        <f>CHOOSE(CONTROL!$C$42, 17.5599, 17.5599)* CHOOSE(CONTROL!$C$21, $C$9, 100%, $E$9)</f>
        <v>17.559899999999999</v>
      </c>
      <c r="J405" s="14">
        <f>CHOOSE(CONTROL!$C$42, 17.4976, 17.4976)* CHOOSE(CONTROL!$C$21, $C$9, 100%, $E$9)</f>
        <v>17.497599999999998</v>
      </c>
      <c r="K405" s="53">
        <f>CHOOSE(CONTROL!$C$42, 17.556, 17.556) * CHOOSE(CONTROL!$C$21, $C$9, 100%, $E$9)</f>
        <v>17.556000000000001</v>
      </c>
      <c r="L405" s="14">
        <f>CHOOSE(CONTROL!$C$42, 18.3129, 18.3129) * CHOOSE(CONTROL!$C$21, $C$9, 100%, $E$9)</f>
        <v>18.312899999999999</v>
      </c>
      <c r="M405" s="14">
        <f>CHOOSE(CONTROL!$C$42, 17.1468, 17.1468) * CHOOSE(CONTROL!$C$21, $C$9, 100%, $E$9)</f>
        <v>17.146799999999999</v>
      </c>
      <c r="N405" s="14">
        <f>CHOOSE(CONTROL!$C$42, 17.1638, 17.1638) * CHOOSE(CONTROL!$C$21, $C$9, 100%, $E$9)</f>
        <v>17.163799999999998</v>
      </c>
      <c r="O405" s="14">
        <f>CHOOSE(CONTROL!$C$42, 17.3704, 17.3704) * CHOOSE(CONTROL!$C$21, $C$9, 100%, $E$9)</f>
        <v>17.3704</v>
      </c>
      <c r="P405" s="14">
        <f>CHOOSE(CONTROL!$C$42, 17.2067, 17.2067) * CHOOSE(CONTROL!$C$21, $C$9, 100%, $E$9)</f>
        <v>17.206700000000001</v>
      </c>
      <c r="Q405" s="14">
        <f>CHOOSE(CONTROL!$C$42, 17.9651, 17.9651) * CHOOSE(CONTROL!$C$21, $C$9, 100%, $E$9)</f>
        <v>17.9651</v>
      </c>
      <c r="R405" s="14">
        <f>CHOOSE(CONTROL!$C$42, 18.5971, 18.5971) * CHOOSE(CONTROL!$C$21, $C$9, 100%, $E$9)</f>
        <v>18.597100000000001</v>
      </c>
      <c r="S405" s="14">
        <f>CHOOSE(CONTROL!$C$42, 16.7832, 16.7832) * CHOOSE(CONTROL!$C$21, $C$9, 100%, $E$9)</f>
        <v>16.783200000000001</v>
      </c>
      <c r="T4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05" s="57">
        <f>(1000*CHOOSE(CONTROL!$C$42, 695, 695)*CHOOSE(CONTROL!$C$42, 0.5599, 0.5599)*CHOOSE(CONTROL!$C$42, 30, 30))/1000000</f>
        <v>11.673914999999997</v>
      </c>
      <c r="V405" s="57">
        <f>(1000*CHOOSE(CONTROL!$C$42, 500, 500)*CHOOSE(CONTROL!$C$42, 0.275, 0.275)*CHOOSE(CONTROL!$C$42, 30, 30))/1000000</f>
        <v>4.125</v>
      </c>
      <c r="W405" s="57">
        <f>(1000*CHOOSE(CONTROL!$C$42, 0.1146, 0.1146)*CHOOSE(CONTROL!$C$42, 121.5, 121.5)*CHOOSE(CONTROL!$C$42, 30, 30))/1000000</f>
        <v>0.417717</v>
      </c>
      <c r="X405" s="57">
        <f>(30*0.1790888*245000/1000000)+(30*0.2374*100000/1000000)</f>
        <v>2.0285026799999999</v>
      </c>
      <c r="Y405" s="57"/>
      <c r="Z405" s="14"/>
      <c r="AA405" s="56"/>
      <c r="AB405" s="50">
        <f>(B405*194.205+C405*267.466+D405*133.845+E405*53.484+F405*40+G405*185+H405*0+I405*100+J405*300)/(194.205+267.466+133.845+53.484+0+40+185+100+300)</f>
        <v>17.532497197802197</v>
      </c>
      <c r="AC405" s="45">
        <f>(M405*'RAP TEMPLATE-GAS AVAILABILITY'!O404+N405*'RAP TEMPLATE-GAS AVAILABILITY'!P404+O405*'RAP TEMPLATE-GAS AVAILABILITY'!Q404+P405*'RAP TEMPLATE-GAS AVAILABILITY'!R404)/('RAP TEMPLATE-GAS AVAILABILITY'!O404+'RAP TEMPLATE-GAS AVAILABILITY'!P404+'RAP TEMPLATE-GAS AVAILABILITY'!Q404+'RAP TEMPLATE-GAS AVAILABILITY'!R404)</f>
        <v>17.222069064748201</v>
      </c>
    </row>
    <row r="406" spans="1:29" ht="15.75" x14ac:dyDescent="0.25">
      <c r="A406" s="33">
        <v>53266</v>
      </c>
      <c r="B406" s="14">
        <f>CHOOSE(CONTROL!$C$42, 17.1209, 17.1209) * CHOOSE(CONTROL!$C$21, $C$9, 100%, $E$9)</f>
        <v>17.120899999999999</v>
      </c>
      <c r="C406" s="14">
        <f>CHOOSE(CONTROL!$C$42, 17.1262, 17.1262) * CHOOSE(CONTROL!$C$21, $C$9, 100%, $E$9)</f>
        <v>17.126200000000001</v>
      </c>
      <c r="D406" s="14">
        <f>CHOOSE(CONTROL!$C$42, 17.3517, 17.3517) * CHOOSE(CONTROL!$C$21, $C$9, 100%, $E$9)</f>
        <v>17.351700000000001</v>
      </c>
      <c r="E406" s="14">
        <f>CHOOSE(CONTROL!$C$42, 17.3809, 17.3809) * CHOOSE(CONTROL!$C$21, $C$9, 100%, $E$9)</f>
        <v>17.3809</v>
      </c>
      <c r="F406" s="14">
        <f>CHOOSE(CONTROL!$C$42, 17.1502, 17.1502)*CHOOSE(CONTROL!$C$21, $C$9, 100%, $E$9)</f>
        <v>17.150200000000002</v>
      </c>
      <c r="G406" s="14">
        <f>CHOOSE(CONTROL!$C$42, 17.1675, 17.1675)*CHOOSE(CONTROL!$C$21, $C$9, 100%, $E$9)</f>
        <v>17.1675</v>
      </c>
      <c r="H406" s="14">
        <f>CHOOSE(CONTROL!$C$42, 17.3713, 17.3713) * CHOOSE(CONTROL!$C$21, $C$9, 100%, $E$9)</f>
        <v>17.371300000000002</v>
      </c>
      <c r="I406" s="14">
        <f>CHOOSE(CONTROL!$C$42, 17.2041, 17.2041)* CHOOSE(CONTROL!$C$21, $C$9, 100%, $E$9)</f>
        <v>17.2041</v>
      </c>
      <c r="J406" s="14">
        <f>CHOOSE(CONTROL!$C$42, 17.1432, 17.1432)* CHOOSE(CONTROL!$C$21, $C$9, 100%, $E$9)</f>
        <v>17.1432</v>
      </c>
      <c r="K406" s="53">
        <f>CHOOSE(CONTROL!$C$42, 17.2002, 17.2002) * CHOOSE(CONTROL!$C$21, $C$9, 100%, $E$9)</f>
        <v>17.200199999999999</v>
      </c>
      <c r="L406" s="14">
        <f>CHOOSE(CONTROL!$C$42, 17.9583, 17.9583) * CHOOSE(CONTROL!$C$21, $C$9, 100%, $E$9)</f>
        <v>17.958300000000001</v>
      </c>
      <c r="M406" s="14">
        <f>CHOOSE(CONTROL!$C$42, 16.7997, 16.7997) * CHOOSE(CONTROL!$C$21, $C$9, 100%, $E$9)</f>
        <v>16.799700000000001</v>
      </c>
      <c r="N406" s="14">
        <f>CHOOSE(CONTROL!$C$42, 16.8165, 16.8165) * CHOOSE(CONTROL!$C$21, $C$9, 100%, $E$9)</f>
        <v>16.816500000000001</v>
      </c>
      <c r="O406" s="14">
        <f>CHOOSE(CONTROL!$C$42, 17.0231, 17.0231) * CHOOSE(CONTROL!$C$21, $C$9, 100%, $E$9)</f>
        <v>17.023099999999999</v>
      </c>
      <c r="P406" s="14">
        <f>CHOOSE(CONTROL!$C$42, 16.8583, 16.8583) * CHOOSE(CONTROL!$C$21, $C$9, 100%, $E$9)</f>
        <v>16.8583</v>
      </c>
      <c r="Q406" s="14">
        <f>CHOOSE(CONTROL!$C$42, 17.6178, 17.6178) * CHOOSE(CONTROL!$C$21, $C$9, 100%, $E$9)</f>
        <v>17.617799999999999</v>
      </c>
      <c r="R406" s="14">
        <f>CHOOSE(CONTROL!$C$42, 18.2488, 18.2488) * CHOOSE(CONTROL!$C$21, $C$9, 100%, $E$9)</f>
        <v>18.248799999999999</v>
      </c>
      <c r="S406" s="14">
        <f>CHOOSE(CONTROL!$C$42, 16.4425, 16.4425) * CHOOSE(CONTROL!$C$21, $C$9, 100%, $E$9)</f>
        <v>16.442499999999999</v>
      </c>
      <c r="T4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06" s="57">
        <f>(1000*CHOOSE(CONTROL!$C$42, 695, 695)*CHOOSE(CONTROL!$C$42, 0.5599, 0.5599)*CHOOSE(CONTROL!$C$42, 31, 31))/1000000</f>
        <v>12.063045499999998</v>
      </c>
      <c r="V406" s="57">
        <f>(1000*CHOOSE(CONTROL!$C$42, 500, 500)*CHOOSE(CONTROL!$C$42, 0.275, 0.275)*CHOOSE(CONTROL!$C$42, 31, 31))/1000000</f>
        <v>4.2625000000000002</v>
      </c>
      <c r="W406" s="57">
        <f>(1000*CHOOSE(CONTROL!$C$42, 0.1146, 0.1146)*CHOOSE(CONTROL!$C$42, 121.5, 121.5)*CHOOSE(CONTROL!$C$42, 31, 31))/1000000</f>
        <v>0.43164089999999994</v>
      </c>
      <c r="X406" s="57">
        <f>(31*0.1790888*245000/1000000)+(31*0.2374*100000/1000000)</f>
        <v>2.0961194359999999</v>
      </c>
      <c r="Y406" s="57"/>
      <c r="Z406" s="14"/>
      <c r="AA406" s="56"/>
      <c r="AB406" s="50">
        <f>(B406*131.881+C406*277.167+D406*79.08+E406*125.872+F406*40+G406*185+H406*0+I406*100+J406*300)/(131.881+277.167+79.08+125.872+0+40+185+100+300)</f>
        <v>17.183248966182408</v>
      </c>
      <c r="AC406" s="45">
        <f>(M406*'RAP TEMPLATE-GAS AVAILABILITY'!O405+N406*'RAP TEMPLATE-GAS AVAILABILITY'!P405+O406*'RAP TEMPLATE-GAS AVAILABILITY'!Q405+P406*'RAP TEMPLATE-GAS AVAILABILITY'!R405)/('RAP TEMPLATE-GAS AVAILABILITY'!O405+'RAP TEMPLATE-GAS AVAILABILITY'!P405+'RAP TEMPLATE-GAS AVAILABILITY'!Q405+'RAP TEMPLATE-GAS AVAILABILITY'!R405)</f>
        <v>16.874679856115112</v>
      </c>
    </row>
    <row r="407" spans="1:29" ht="15.75" x14ac:dyDescent="0.25">
      <c r="A407" s="33">
        <v>53296</v>
      </c>
      <c r="B407" s="14">
        <f>CHOOSE(CONTROL!$C$42, 17.5712, 17.5712) * CHOOSE(CONTROL!$C$21, $C$9, 100%, $E$9)</f>
        <v>17.571200000000001</v>
      </c>
      <c r="C407" s="14">
        <f>CHOOSE(CONTROL!$C$42, 17.5763, 17.5763) * CHOOSE(CONTROL!$C$21, $C$9, 100%, $E$9)</f>
        <v>17.5763</v>
      </c>
      <c r="D407" s="14">
        <f>CHOOSE(CONTROL!$C$42, 17.6505, 17.6505) * CHOOSE(CONTROL!$C$21, $C$9, 100%, $E$9)</f>
        <v>17.650500000000001</v>
      </c>
      <c r="E407" s="14">
        <f>CHOOSE(CONTROL!$C$42, 17.6846, 17.6846) * CHOOSE(CONTROL!$C$21, $C$9, 100%, $E$9)</f>
        <v>17.6846</v>
      </c>
      <c r="F407" s="14">
        <f>CHOOSE(CONTROL!$C$42, 17.6073, 17.6073)*CHOOSE(CONTROL!$C$21, $C$9, 100%, $E$9)</f>
        <v>17.607299999999999</v>
      </c>
      <c r="G407" s="14">
        <f>CHOOSE(CONTROL!$C$42, 17.6248, 17.6248)*CHOOSE(CONTROL!$C$21, $C$9, 100%, $E$9)</f>
        <v>17.6248</v>
      </c>
      <c r="H407" s="14">
        <f>CHOOSE(CONTROL!$C$42, 17.6738, 17.6738) * CHOOSE(CONTROL!$C$21, $C$9, 100%, $E$9)</f>
        <v>17.6738</v>
      </c>
      <c r="I407" s="14">
        <f>CHOOSE(CONTROL!$C$42, 17.6537, 17.6537)* CHOOSE(CONTROL!$C$21, $C$9, 100%, $E$9)</f>
        <v>17.653700000000001</v>
      </c>
      <c r="J407" s="14">
        <f>CHOOSE(CONTROL!$C$42, 17.6003, 17.6003)* CHOOSE(CONTROL!$C$21, $C$9, 100%, $E$9)</f>
        <v>17.600300000000001</v>
      </c>
      <c r="K407" s="53">
        <f>CHOOSE(CONTROL!$C$42, 17.6498, 17.6498) * CHOOSE(CONTROL!$C$21, $C$9, 100%, $E$9)</f>
        <v>17.649799999999999</v>
      </c>
      <c r="L407" s="14">
        <f>CHOOSE(CONTROL!$C$42, 18.2608, 18.2608) * CHOOSE(CONTROL!$C$21, $C$9, 100%, $E$9)</f>
        <v>18.2608</v>
      </c>
      <c r="M407" s="14">
        <f>CHOOSE(CONTROL!$C$42, 17.2473, 17.2473) * CHOOSE(CONTROL!$C$21, $C$9, 100%, $E$9)</f>
        <v>17.247299999999999</v>
      </c>
      <c r="N407" s="14">
        <f>CHOOSE(CONTROL!$C$42, 17.2645, 17.2645) * CHOOSE(CONTROL!$C$21, $C$9, 100%, $E$9)</f>
        <v>17.264500000000002</v>
      </c>
      <c r="O407" s="14">
        <f>CHOOSE(CONTROL!$C$42, 17.3194, 17.3194) * CHOOSE(CONTROL!$C$21, $C$9, 100%, $E$9)</f>
        <v>17.319400000000002</v>
      </c>
      <c r="P407" s="14">
        <f>CHOOSE(CONTROL!$C$42, 17.2987, 17.2987) * CHOOSE(CONTROL!$C$21, $C$9, 100%, $E$9)</f>
        <v>17.2987</v>
      </c>
      <c r="Q407" s="14">
        <f>CHOOSE(CONTROL!$C$42, 17.9141, 17.9141) * CHOOSE(CONTROL!$C$21, $C$9, 100%, $E$9)</f>
        <v>17.914100000000001</v>
      </c>
      <c r="R407" s="14">
        <f>CHOOSE(CONTROL!$C$42, 18.5459, 18.5459) * CHOOSE(CONTROL!$C$21, $C$9, 100%, $E$9)</f>
        <v>18.5459</v>
      </c>
      <c r="S407" s="14">
        <f>CHOOSE(CONTROL!$C$42, 16.8756, 16.8756) * CHOOSE(CONTROL!$C$21, $C$9, 100%, $E$9)</f>
        <v>16.875599999999999</v>
      </c>
      <c r="T4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07" s="57">
        <f>(1000*CHOOSE(CONTROL!$C$42, 695, 695)*CHOOSE(CONTROL!$C$42, 0.5599, 0.5599)*CHOOSE(CONTROL!$C$42, 30, 30))/1000000</f>
        <v>11.673914999999997</v>
      </c>
      <c r="V407" s="57">
        <f>(1000*CHOOSE(CONTROL!$C$42, 500, 500)*CHOOSE(CONTROL!$C$42, 0.275, 0.275)*CHOOSE(CONTROL!$C$42, 30, 30))/1000000</f>
        <v>4.125</v>
      </c>
      <c r="W407" s="57">
        <f>(1000*CHOOSE(CONTROL!$C$42, 0.1146, 0.1146)*CHOOSE(CONTROL!$C$42, 121.5, 121.5)*CHOOSE(CONTROL!$C$42, 30, 30))/1000000</f>
        <v>0.417717</v>
      </c>
      <c r="X407" s="57">
        <f>(30*0.1790888*100000/1000000)+(30*0.2374*100000/1000000)</f>
        <v>1.2494664</v>
      </c>
      <c r="Y407" s="57"/>
      <c r="Z407" s="14"/>
      <c r="AA407" s="56"/>
      <c r="AB407" s="50">
        <f>(B407*122.58+C407*297.941+D407*89.177+E407*40.302+F407*40+G407*160+H407*0+I407*100+J407*300)/(122.58+297.941+89.177+40.302+0+40+160+100+300)</f>
        <v>17.606123027826087</v>
      </c>
      <c r="AC407" s="45">
        <f>(M407*'RAP TEMPLATE-GAS AVAILABILITY'!O406+N407*'RAP TEMPLATE-GAS AVAILABILITY'!P406+O407*'RAP TEMPLATE-GAS AVAILABILITY'!Q406+P407*'RAP TEMPLATE-GAS AVAILABILITY'!R406)/('RAP TEMPLATE-GAS AVAILABILITY'!O406+'RAP TEMPLATE-GAS AVAILABILITY'!P406+'RAP TEMPLATE-GAS AVAILABILITY'!Q406+'RAP TEMPLATE-GAS AVAILABILITY'!R406)</f>
        <v>17.288364028776982</v>
      </c>
    </row>
    <row r="408" spans="1:29" ht="15.75" x14ac:dyDescent="0.25">
      <c r="A408" s="33">
        <v>53327</v>
      </c>
      <c r="B408" s="14">
        <f>CHOOSE(CONTROL!$C$42, 18.7686, 18.7686) * CHOOSE(CONTROL!$C$21, $C$9, 100%, $E$9)</f>
        <v>18.768599999999999</v>
      </c>
      <c r="C408" s="14">
        <f>CHOOSE(CONTROL!$C$42, 18.7736, 18.7736) * CHOOSE(CONTROL!$C$21, $C$9, 100%, $E$9)</f>
        <v>18.773599999999998</v>
      </c>
      <c r="D408" s="14">
        <f>CHOOSE(CONTROL!$C$42, 18.8478, 18.8478) * CHOOSE(CONTROL!$C$21, $C$9, 100%, $E$9)</f>
        <v>18.847799999999999</v>
      </c>
      <c r="E408" s="14">
        <f>CHOOSE(CONTROL!$C$42, 18.8819, 18.8819) * CHOOSE(CONTROL!$C$21, $C$9, 100%, $E$9)</f>
        <v>18.881900000000002</v>
      </c>
      <c r="F408" s="14">
        <f>CHOOSE(CONTROL!$C$42, 18.807, 18.807)*CHOOSE(CONTROL!$C$21, $C$9, 100%, $E$9)</f>
        <v>18.806999999999999</v>
      </c>
      <c r="G408" s="14">
        <f>CHOOSE(CONTROL!$C$42, 18.8251, 18.8251)*CHOOSE(CONTROL!$C$21, $C$9, 100%, $E$9)</f>
        <v>18.825099999999999</v>
      </c>
      <c r="H408" s="14">
        <f>CHOOSE(CONTROL!$C$42, 18.8711, 18.8711) * CHOOSE(CONTROL!$C$21, $C$9, 100%, $E$9)</f>
        <v>18.871099999999998</v>
      </c>
      <c r="I408" s="14">
        <f>CHOOSE(CONTROL!$C$42, 18.8548, 18.8548)* CHOOSE(CONTROL!$C$21, $C$9, 100%, $E$9)</f>
        <v>18.854800000000001</v>
      </c>
      <c r="J408" s="14">
        <f>CHOOSE(CONTROL!$C$42, 18.8, 18.8)* CHOOSE(CONTROL!$C$21, $C$9, 100%, $E$9)</f>
        <v>18.8</v>
      </c>
      <c r="K408" s="53">
        <f>CHOOSE(CONTROL!$C$42, 18.8509, 18.8509) * CHOOSE(CONTROL!$C$21, $C$9, 100%, $E$9)</f>
        <v>18.850899999999999</v>
      </c>
      <c r="L408" s="14">
        <f>CHOOSE(CONTROL!$C$42, 19.4581, 19.4581) * CHOOSE(CONTROL!$C$21, $C$9, 100%, $E$9)</f>
        <v>19.458100000000002</v>
      </c>
      <c r="M408" s="14">
        <f>CHOOSE(CONTROL!$C$42, 18.4225, 18.4225) * CHOOSE(CONTROL!$C$21, $C$9, 100%, $E$9)</f>
        <v>18.422499999999999</v>
      </c>
      <c r="N408" s="14">
        <f>CHOOSE(CONTROL!$C$42, 18.4402, 18.4402) * CHOOSE(CONTROL!$C$21, $C$9, 100%, $E$9)</f>
        <v>18.440200000000001</v>
      </c>
      <c r="O408" s="14">
        <f>CHOOSE(CONTROL!$C$42, 18.4922, 18.4922) * CHOOSE(CONTROL!$C$21, $C$9, 100%, $E$9)</f>
        <v>18.4922</v>
      </c>
      <c r="P408" s="14">
        <f>CHOOSE(CONTROL!$C$42, 18.4751, 18.4751) * CHOOSE(CONTROL!$C$21, $C$9, 100%, $E$9)</f>
        <v>18.475100000000001</v>
      </c>
      <c r="Q408" s="14">
        <f>CHOOSE(CONTROL!$C$42, 19.0869, 19.0869) * CHOOSE(CONTROL!$C$21, $C$9, 100%, $E$9)</f>
        <v>19.0869</v>
      </c>
      <c r="R408" s="14">
        <f>CHOOSE(CONTROL!$C$42, 19.7216, 19.7216) * CHOOSE(CONTROL!$C$21, $C$9, 100%, $E$9)</f>
        <v>19.721599999999999</v>
      </c>
      <c r="S408" s="14">
        <f>CHOOSE(CONTROL!$C$42, 18.0262, 18.0262) * CHOOSE(CONTROL!$C$21, $C$9, 100%, $E$9)</f>
        <v>18.026199999999999</v>
      </c>
      <c r="T4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08" s="57">
        <f>(1000*CHOOSE(CONTROL!$C$42, 695, 695)*CHOOSE(CONTROL!$C$42, 0.5599, 0.5599)*CHOOSE(CONTROL!$C$42, 31, 31))/1000000</f>
        <v>12.063045499999998</v>
      </c>
      <c r="V408" s="57">
        <f>(1000*CHOOSE(CONTROL!$C$42, 500, 500)*CHOOSE(CONTROL!$C$42, 0.275, 0.275)*CHOOSE(CONTROL!$C$42, 31, 31))/1000000</f>
        <v>4.2625000000000002</v>
      </c>
      <c r="W408" s="57">
        <f>(1000*CHOOSE(CONTROL!$C$42, 0.1146, 0.1146)*CHOOSE(CONTROL!$C$42, 121.5, 121.5)*CHOOSE(CONTROL!$C$42, 31, 31))/1000000</f>
        <v>0.43164089999999994</v>
      </c>
      <c r="X408" s="57">
        <f>(31*0.1790888*100000/1000000)+(31*0.2374*100000/1000000)</f>
        <v>1.2911152800000001</v>
      </c>
      <c r="Y408" s="57"/>
      <c r="Z408" s="14"/>
      <c r="AA408" s="56"/>
      <c r="AB408" s="50">
        <f>(B408*122.58+C408*297.941+D408*89.177+E408*40.302+F408*40+G408*160+H408*0+I408*100+J408*300)/(122.58+297.941+89.177+40.302+0+40+160+100+300)</f>
        <v>18.804891078260869</v>
      </c>
      <c r="AC408" s="45">
        <f>(M408*'RAP TEMPLATE-GAS AVAILABILITY'!O407+N408*'RAP TEMPLATE-GAS AVAILABILITY'!P407+O408*'RAP TEMPLATE-GAS AVAILABILITY'!Q407+P408*'RAP TEMPLATE-GAS AVAILABILITY'!R407)/('RAP TEMPLATE-GAS AVAILABILITY'!O407+'RAP TEMPLATE-GAS AVAILABILITY'!P407+'RAP TEMPLATE-GAS AVAILABILITY'!Q407+'RAP TEMPLATE-GAS AVAILABILITY'!R407)</f>
        <v>18.462677697841727</v>
      </c>
    </row>
    <row r="409" spans="1:29" ht="15.75" x14ac:dyDescent="0.25">
      <c r="A409" s="33">
        <v>53358</v>
      </c>
      <c r="B409" s="14">
        <f>CHOOSE(CONTROL!$C$42, 20.3237, 20.3237) * CHOOSE(CONTROL!$C$21, $C$9, 100%, $E$9)</f>
        <v>20.323699999999999</v>
      </c>
      <c r="C409" s="14">
        <f>CHOOSE(CONTROL!$C$42, 20.3288, 20.3288) * CHOOSE(CONTROL!$C$21, $C$9, 100%, $E$9)</f>
        <v>20.328800000000001</v>
      </c>
      <c r="D409" s="14">
        <f>CHOOSE(CONTROL!$C$42, 20.4056, 20.4056) * CHOOSE(CONTROL!$C$21, $C$9, 100%, $E$9)</f>
        <v>20.4056</v>
      </c>
      <c r="E409" s="14">
        <f>CHOOSE(CONTROL!$C$42, 20.4397, 20.4397) * CHOOSE(CONTROL!$C$21, $C$9, 100%, $E$9)</f>
        <v>20.439699999999998</v>
      </c>
      <c r="F409" s="14">
        <f>CHOOSE(CONTROL!$C$42, 20.3484, 20.3484)*CHOOSE(CONTROL!$C$21, $C$9, 100%, $E$9)</f>
        <v>20.348400000000002</v>
      </c>
      <c r="G409" s="14">
        <f>CHOOSE(CONTROL!$C$42, 20.3664, 20.3664)*CHOOSE(CONTROL!$C$21, $C$9, 100%, $E$9)</f>
        <v>20.366399999999999</v>
      </c>
      <c r="H409" s="14">
        <f>CHOOSE(CONTROL!$C$42, 20.4289, 20.4289) * CHOOSE(CONTROL!$C$21, $C$9, 100%, $E$9)</f>
        <v>20.428899999999999</v>
      </c>
      <c r="I409" s="14">
        <f>CHOOSE(CONTROL!$C$42, 20.4211, 20.4211)* CHOOSE(CONTROL!$C$21, $C$9, 100%, $E$9)</f>
        <v>20.421099999999999</v>
      </c>
      <c r="J409" s="14">
        <f>CHOOSE(CONTROL!$C$42, 20.3414, 20.3414)* CHOOSE(CONTROL!$C$21, $C$9, 100%, $E$9)</f>
        <v>20.3414</v>
      </c>
      <c r="K409" s="53">
        <f>CHOOSE(CONTROL!$C$42, 20.4172, 20.4172) * CHOOSE(CONTROL!$C$21, $C$9, 100%, $E$9)</f>
        <v>20.417200000000001</v>
      </c>
      <c r="L409" s="14">
        <f>CHOOSE(CONTROL!$C$42, 21.0159, 21.0159) * CHOOSE(CONTROL!$C$21, $C$9, 100%, $E$9)</f>
        <v>21.015899999999998</v>
      </c>
      <c r="M409" s="14">
        <f>CHOOSE(CONTROL!$C$42, 19.9323, 19.9323) * CHOOSE(CONTROL!$C$21, $C$9, 100%, $E$9)</f>
        <v>19.932300000000001</v>
      </c>
      <c r="N409" s="14">
        <f>CHOOSE(CONTROL!$C$42, 19.9499, 19.9499) * CHOOSE(CONTROL!$C$21, $C$9, 100%, $E$9)</f>
        <v>19.9499</v>
      </c>
      <c r="O409" s="14">
        <f>CHOOSE(CONTROL!$C$42, 20.018, 20.018) * CHOOSE(CONTROL!$C$21, $C$9, 100%, $E$9)</f>
        <v>20.018000000000001</v>
      </c>
      <c r="P409" s="14">
        <f>CHOOSE(CONTROL!$C$42, 20.0091, 20.0091) * CHOOSE(CONTROL!$C$21, $C$9, 100%, $E$9)</f>
        <v>20.0091</v>
      </c>
      <c r="Q409" s="14">
        <f>CHOOSE(CONTROL!$C$42, 20.6127, 20.6127) * CHOOSE(CONTROL!$C$21, $C$9, 100%, $E$9)</f>
        <v>20.6127</v>
      </c>
      <c r="R409" s="14">
        <f>CHOOSE(CONTROL!$C$42, 21.2512, 21.2512) * CHOOSE(CONTROL!$C$21, $C$9, 100%, $E$9)</f>
        <v>21.251200000000001</v>
      </c>
      <c r="S409" s="14">
        <f>CHOOSE(CONTROL!$C$42, 19.5205, 19.5205) * CHOOSE(CONTROL!$C$21, $C$9, 100%, $E$9)</f>
        <v>19.520499999999998</v>
      </c>
      <c r="T4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09" s="57">
        <f>(1000*CHOOSE(CONTROL!$C$42, 695, 695)*CHOOSE(CONTROL!$C$42, 0.5599, 0.5599)*CHOOSE(CONTROL!$C$42, 31, 31))/1000000</f>
        <v>12.063045499999998</v>
      </c>
      <c r="V409" s="57">
        <f>(1000*CHOOSE(CONTROL!$C$42, 500, 500)*CHOOSE(CONTROL!$C$42, 0.275, 0.275)*CHOOSE(CONTROL!$C$42, 31, 31))/1000000</f>
        <v>4.2625000000000002</v>
      </c>
      <c r="W409" s="57">
        <f>(1000*CHOOSE(CONTROL!$C$42, 0.1146, 0.1146)*CHOOSE(CONTROL!$C$42, 121.5, 121.5)*CHOOSE(CONTROL!$C$42, 31, 31))/1000000</f>
        <v>0.43164089999999994</v>
      </c>
      <c r="X409" s="57">
        <f>(31*0.1790888*100000/1000000)+(31*0.2374*100000/1000000)</f>
        <v>1.2911152800000001</v>
      </c>
      <c r="Y409" s="57"/>
      <c r="Z409" s="14"/>
      <c r="AA409" s="56"/>
      <c r="AB409" s="50">
        <f>(B409*122.58+C409*297.941+D409*89.177+E409*40.302+F409*40+G409*160+H409*0+I409*100+J409*300)/(122.58+297.941+89.177+40.302+0+40+160+100+300)</f>
        <v>20.355324458608692</v>
      </c>
      <c r="AC409" s="45">
        <f>(M409*'RAP TEMPLATE-GAS AVAILABILITY'!O408+N409*'RAP TEMPLATE-GAS AVAILABILITY'!P408+O409*'RAP TEMPLATE-GAS AVAILABILITY'!Q408+P409*'RAP TEMPLATE-GAS AVAILABILITY'!R408)/('RAP TEMPLATE-GAS AVAILABILITY'!O408+'RAP TEMPLATE-GAS AVAILABILITY'!P408+'RAP TEMPLATE-GAS AVAILABILITY'!Q408+'RAP TEMPLATE-GAS AVAILABILITY'!R408)</f>
        <v>19.983205755395684</v>
      </c>
    </row>
    <row r="410" spans="1:29" ht="15.75" x14ac:dyDescent="0.25">
      <c r="A410" s="33">
        <v>53386</v>
      </c>
      <c r="B410" s="14">
        <f>CHOOSE(CONTROL!$C$42, 20.6853, 20.6853) * CHOOSE(CONTROL!$C$21, $C$9, 100%, $E$9)</f>
        <v>20.685300000000002</v>
      </c>
      <c r="C410" s="14">
        <f>CHOOSE(CONTROL!$C$42, 20.6904, 20.6904) * CHOOSE(CONTROL!$C$21, $C$9, 100%, $E$9)</f>
        <v>20.6904</v>
      </c>
      <c r="D410" s="14">
        <f>CHOOSE(CONTROL!$C$42, 20.7672, 20.7672) * CHOOSE(CONTROL!$C$21, $C$9, 100%, $E$9)</f>
        <v>20.767199999999999</v>
      </c>
      <c r="E410" s="14">
        <f>CHOOSE(CONTROL!$C$42, 20.8013, 20.8013) * CHOOSE(CONTROL!$C$21, $C$9, 100%, $E$9)</f>
        <v>20.801300000000001</v>
      </c>
      <c r="F410" s="14">
        <f>CHOOSE(CONTROL!$C$42, 20.7096, 20.7096)*CHOOSE(CONTROL!$C$21, $C$9, 100%, $E$9)</f>
        <v>20.709599999999998</v>
      </c>
      <c r="G410" s="14">
        <f>CHOOSE(CONTROL!$C$42, 20.7275, 20.7275)*CHOOSE(CONTROL!$C$21, $C$9, 100%, $E$9)</f>
        <v>20.727499999999999</v>
      </c>
      <c r="H410" s="14">
        <f>CHOOSE(CONTROL!$C$42, 20.7905, 20.7905) * CHOOSE(CONTROL!$C$21, $C$9, 100%, $E$9)</f>
        <v>20.790500000000002</v>
      </c>
      <c r="I410" s="14">
        <f>CHOOSE(CONTROL!$C$42, 20.7838, 20.7838)* CHOOSE(CONTROL!$C$21, $C$9, 100%, $E$9)</f>
        <v>20.783799999999999</v>
      </c>
      <c r="J410" s="14">
        <f>CHOOSE(CONTROL!$C$42, 20.7026, 20.7026)* CHOOSE(CONTROL!$C$21, $C$9, 100%, $E$9)</f>
        <v>20.7026</v>
      </c>
      <c r="K410" s="53">
        <f>CHOOSE(CONTROL!$C$42, 20.7799, 20.7799) * CHOOSE(CONTROL!$C$21, $C$9, 100%, $E$9)</f>
        <v>20.779900000000001</v>
      </c>
      <c r="L410" s="14">
        <f>CHOOSE(CONTROL!$C$42, 21.3775, 21.3775) * CHOOSE(CONTROL!$C$21, $C$9, 100%, $E$9)</f>
        <v>21.377500000000001</v>
      </c>
      <c r="M410" s="14">
        <f>CHOOSE(CONTROL!$C$42, 20.2862, 20.2862) * CHOOSE(CONTROL!$C$21, $C$9, 100%, $E$9)</f>
        <v>20.286200000000001</v>
      </c>
      <c r="N410" s="14">
        <f>CHOOSE(CONTROL!$C$42, 20.3037, 20.3037) * CHOOSE(CONTROL!$C$21, $C$9, 100%, $E$9)</f>
        <v>20.303699999999999</v>
      </c>
      <c r="O410" s="14">
        <f>CHOOSE(CONTROL!$C$42, 20.3722, 20.3722) * CHOOSE(CONTROL!$C$21, $C$9, 100%, $E$9)</f>
        <v>20.372199999999999</v>
      </c>
      <c r="P410" s="14">
        <f>CHOOSE(CONTROL!$C$42, 20.3644, 20.3644) * CHOOSE(CONTROL!$C$21, $C$9, 100%, $E$9)</f>
        <v>20.3644</v>
      </c>
      <c r="Q410" s="14">
        <f>CHOOSE(CONTROL!$C$42, 20.9669, 20.9669) * CHOOSE(CONTROL!$C$21, $C$9, 100%, $E$9)</f>
        <v>20.966899999999999</v>
      </c>
      <c r="R410" s="14">
        <f>CHOOSE(CONTROL!$C$42, 21.6063, 21.6063) * CHOOSE(CONTROL!$C$21, $C$9, 100%, $E$9)</f>
        <v>21.606300000000001</v>
      </c>
      <c r="S410" s="14">
        <f>CHOOSE(CONTROL!$C$42, 19.868, 19.868) * CHOOSE(CONTROL!$C$21, $C$9, 100%, $E$9)</f>
        <v>19.867999999999999</v>
      </c>
      <c r="T41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10" s="57">
        <f>(1000*CHOOSE(CONTROL!$C$42, 695, 695)*CHOOSE(CONTROL!$C$42, 0.5599, 0.5599)*CHOOSE(CONTROL!$C$42, 28, 28))/1000000</f>
        <v>10.895653999999999</v>
      </c>
      <c r="V410" s="57">
        <f>(1000*CHOOSE(CONTROL!$C$42, 500, 500)*CHOOSE(CONTROL!$C$42, 0.275, 0.275)*CHOOSE(CONTROL!$C$42, 28, 28))/1000000</f>
        <v>3.85</v>
      </c>
      <c r="W410" s="57">
        <f>(1000*CHOOSE(CONTROL!$C$42, 0.1146, 0.1146)*CHOOSE(CONTROL!$C$42, 121.5, 121.5)*CHOOSE(CONTROL!$C$42, 28, 28))/1000000</f>
        <v>0.38986920000000003</v>
      </c>
      <c r="X410" s="57">
        <f>(28*0.1790888*100000/1000000)+(28*0.2374*100000/1000000)</f>
        <v>1.16616864</v>
      </c>
      <c r="Y410" s="57"/>
      <c r="Z410" s="14"/>
      <c r="AA410" s="56"/>
      <c r="AB410" s="50">
        <f>(B410*122.58+C410*297.941+D410*89.177+E410*40.302+F410*40+G410*160+H410*0+I410*100+J410*300)/(122.58+297.941+89.177+40.302+0+40+160+100+300)</f>
        <v>20.716832284695652</v>
      </c>
      <c r="AC410" s="45">
        <f>(M410*'RAP TEMPLATE-GAS AVAILABILITY'!O409+N410*'RAP TEMPLATE-GAS AVAILABILITY'!P409+O410*'RAP TEMPLATE-GAS AVAILABILITY'!Q409+P410*'RAP TEMPLATE-GAS AVAILABILITY'!R409)/('RAP TEMPLATE-GAS AVAILABILITY'!O409+'RAP TEMPLATE-GAS AVAILABILITY'!P409+'RAP TEMPLATE-GAS AVAILABILITY'!Q409+'RAP TEMPLATE-GAS AVAILABILITY'!R409)</f>
        <v>20.337437410071942</v>
      </c>
    </row>
    <row r="411" spans="1:29" ht="15.75" x14ac:dyDescent="0.25">
      <c r="A411" s="33">
        <v>53417</v>
      </c>
      <c r="B411" s="14">
        <f>CHOOSE(CONTROL!$C$42, 20.0983, 20.0983) * CHOOSE(CONTROL!$C$21, $C$9, 100%, $E$9)</f>
        <v>20.098299999999998</v>
      </c>
      <c r="C411" s="14">
        <f>CHOOSE(CONTROL!$C$42, 20.1034, 20.1034) * CHOOSE(CONTROL!$C$21, $C$9, 100%, $E$9)</f>
        <v>20.103400000000001</v>
      </c>
      <c r="D411" s="14">
        <f>CHOOSE(CONTROL!$C$42, 20.1802, 20.1802) * CHOOSE(CONTROL!$C$21, $C$9, 100%, $E$9)</f>
        <v>20.180199999999999</v>
      </c>
      <c r="E411" s="14">
        <f>CHOOSE(CONTROL!$C$42, 20.2143, 20.2143) * CHOOSE(CONTROL!$C$21, $C$9, 100%, $E$9)</f>
        <v>20.214300000000001</v>
      </c>
      <c r="F411" s="14">
        <f>CHOOSE(CONTROL!$C$42, 20.1218, 20.1218)*CHOOSE(CONTROL!$C$21, $C$9, 100%, $E$9)</f>
        <v>20.1218</v>
      </c>
      <c r="G411" s="14">
        <f>CHOOSE(CONTROL!$C$42, 20.1394, 20.1394)*CHOOSE(CONTROL!$C$21, $C$9, 100%, $E$9)</f>
        <v>20.139399999999998</v>
      </c>
      <c r="H411" s="14">
        <f>CHOOSE(CONTROL!$C$42, 20.2035, 20.2035) * CHOOSE(CONTROL!$C$21, $C$9, 100%, $E$9)</f>
        <v>20.203499999999998</v>
      </c>
      <c r="I411" s="14">
        <f>CHOOSE(CONTROL!$C$42, 20.195, 20.195)* CHOOSE(CONTROL!$C$21, $C$9, 100%, $E$9)</f>
        <v>20.195</v>
      </c>
      <c r="J411" s="14">
        <f>CHOOSE(CONTROL!$C$42, 20.1148, 20.1148)* CHOOSE(CONTROL!$C$21, $C$9, 100%, $E$9)</f>
        <v>20.114799999999999</v>
      </c>
      <c r="K411" s="53">
        <f>CHOOSE(CONTROL!$C$42, 20.1911, 20.1911) * CHOOSE(CONTROL!$C$21, $C$9, 100%, $E$9)</f>
        <v>20.191099999999999</v>
      </c>
      <c r="L411" s="14">
        <f>CHOOSE(CONTROL!$C$42, 20.7905, 20.7905) * CHOOSE(CONTROL!$C$21, $C$9, 100%, $E$9)</f>
        <v>20.790500000000002</v>
      </c>
      <c r="M411" s="14">
        <f>CHOOSE(CONTROL!$C$42, 19.7103, 19.7103) * CHOOSE(CONTROL!$C$21, $C$9, 100%, $E$9)</f>
        <v>19.7103</v>
      </c>
      <c r="N411" s="14">
        <f>CHOOSE(CONTROL!$C$42, 19.7276, 19.7276) * CHOOSE(CONTROL!$C$21, $C$9, 100%, $E$9)</f>
        <v>19.727599999999999</v>
      </c>
      <c r="O411" s="14">
        <f>CHOOSE(CONTROL!$C$42, 19.7972, 19.7972) * CHOOSE(CONTROL!$C$21, $C$9, 100%, $E$9)</f>
        <v>19.7972</v>
      </c>
      <c r="P411" s="14">
        <f>CHOOSE(CONTROL!$C$42, 19.7877, 19.7877) * CHOOSE(CONTROL!$C$21, $C$9, 100%, $E$9)</f>
        <v>19.787700000000001</v>
      </c>
      <c r="Q411" s="14">
        <f>CHOOSE(CONTROL!$C$42, 20.3919, 20.3919) * CHOOSE(CONTROL!$C$21, $C$9, 100%, $E$9)</f>
        <v>20.3919</v>
      </c>
      <c r="R411" s="14">
        <f>CHOOSE(CONTROL!$C$42, 21.0299, 21.0299) * CHOOSE(CONTROL!$C$21, $C$9, 100%, $E$9)</f>
        <v>21.029900000000001</v>
      </c>
      <c r="S411" s="14">
        <f>CHOOSE(CONTROL!$C$42, 19.3039, 19.3039) * CHOOSE(CONTROL!$C$21, $C$9, 100%, $E$9)</f>
        <v>19.303899999999999</v>
      </c>
      <c r="T4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11" s="57">
        <f>(1000*CHOOSE(CONTROL!$C$42, 695, 695)*CHOOSE(CONTROL!$C$42, 0.5599, 0.5599)*CHOOSE(CONTROL!$C$42, 31, 31))/1000000</f>
        <v>12.063045499999998</v>
      </c>
      <c r="V411" s="57">
        <f>(1000*CHOOSE(CONTROL!$C$42, 500, 500)*CHOOSE(CONTROL!$C$42, 0.275, 0.275)*CHOOSE(CONTROL!$C$42, 31, 31))/1000000</f>
        <v>4.2625000000000002</v>
      </c>
      <c r="W411" s="57">
        <f>(1000*CHOOSE(CONTROL!$C$42, 0.1146, 0.1146)*CHOOSE(CONTROL!$C$42, 121.5, 121.5)*CHOOSE(CONTROL!$C$42, 31, 31))/1000000</f>
        <v>0.43164089999999994</v>
      </c>
      <c r="X411" s="57">
        <f>(31*0.1790888*100000/1000000)+(31*0.2374*100000/1000000)</f>
        <v>1.2911152800000001</v>
      </c>
      <c r="Y411" s="57"/>
      <c r="Z411" s="14"/>
      <c r="AA411" s="56"/>
      <c r="AB411" s="50">
        <f>(B411*122.58+C411*297.941+D411*89.177+E411*40.302+F411*40+G411*160+H411*0+I411*100+J411*300)/(122.58+297.941+89.177+40.302+0+40+160+100+300)</f>
        <v>20.129286197739127</v>
      </c>
      <c r="AC411" s="45">
        <f>(M411*'RAP TEMPLATE-GAS AVAILABILITY'!O410+N411*'RAP TEMPLATE-GAS AVAILABILITY'!P410+O411*'RAP TEMPLATE-GAS AVAILABILITY'!Q410+P411*'RAP TEMPLATE-GAS AVAILABILITY'!R410)/('RAP TEMPLATE-GAS AVAILABILITY'!O410+'RAP TEMPLATE-GAS AVAILABILITY'!P410+'RAP TEMPLATE-GAS AVAILABILITY'!Q410+'RAP TEMPLATE-GAS AVAILABILITY'!R410)</f>
        <v>19.761818705035971</v>
      </c>
    </row>
    <row r="412" spans="1:29" ht="15.75" x14ac:dyDescent="0.25">
      <c r="A412" s="33">
        <v>53447</v>
      </c>
      <c r="B412" s="14">
        <f>CHOOSE(CONTROL!$C$42, 20.0392, 20.0392) * CHOOSE(CONTROL!$C$21, $C$9, 100%, $E$9)</f>
        <v>20.039200000000001</v>
      </c>
      <c r="C412" s="14">
        <f>CHOOSE(CONTROL!$C$42, 20.0437, 20.0437) * CHOOSE(CONTROL!$C$21, $C$9, 100%, $E$9)</f>
        <v>20.043700000000001</v>
      </c>
      <c r="D412" s="14">
        <f>CHOOSE(CONTROL!$C$42, 20.2674, 20.2674) * CHOOSE(CONTROL!$C$21, $C$9, 100%, $E$9)</f>
        <v>20.267399999999999</v>
      </c>
      <c r="E412" s="14">
        <f>CHOOSE(CONTROL!$C$42, 20.2995, 20.2995) * CHOOSE(CONTROL!$C$21, $C$9, 100%, $E$9)</f>
        <v>20.299499999999998</v>
      </c>
      <c r="F412" s="14">
        <f>CHOOSE(CONTROL!$C$42, 20.0669, 20.0669)*CHOOSE(CONTROL!$C$21, $C$9, 100%, $E$9)</f>
        <v>20.0669</v>
      </c>
      <c r="G412" s="14">
        <f>CHOOSE(CONTROL!$C$42, 20.0838, 20.0838)*CHOOSE(CONTROL!$C$21, $C$9, 100%, $E$9)</f>
        <v>20.0838</v>
      </c>
      <c r="H412" s="14">
        <f>CHOOSE(CONTROL!$C$42, 20.2893, 20.2893) * CHOOSE(CONTROL!$C$21, $C$9, 100%, $E$9)</f>
        <v>20.289300000000001</v>
      </c>
      <c r="I412" s="14">
        <f>CHOOSE(CONTROL!$C$42, 20.1312, 20.1312)* CHOOSE(CONTROL!$C$21, $C$9, 100%, $E$9)</f>
        <v>20.1312</v>
      </c>
      <c r="J412" s="14">
        <f>CHOOSE(CONTROL!$C$42, 20.0599, 20.0599)* CHOOSE(CONTROL!$C$21, $C$9, 100%, $E$9)</f>
        <v>20.059899999999999</v>
      </c>
      <c r="K412" s="53">
        <f>CHOOSE(CONTROL!$C$42, 20.1273, 20.1273) * CHOOSE(CONTROL!$C$21, $C$9, 100%, $E$9)</f>
        <v>20.127300000000002</v>
      </c>
      <c r="L412" s="14">
        <f>CHOOSE(CONTROL!$C$42, 20.8763, 20.8763) * CHOOSE(CONTROL!$C$21, $C$9, 100%, $E$9)</f>
        <v>20.876300000000001</v>
      </c>
      <c r="M412" s="14">
        <f>CHOOSE(CONTROL!$C$42, 19.6565, 19.6565) * CHOOSE(CONTROL!$C$21, $C$9, 100%, $E$9)</f>
        <v>19.656500000000001</v>
      </c>
      <c r="N412" s="14">
        <f>CHOOSE(CONTROL!$C$42, 19.6731, 19.6731) * CHOOSE(CONTROL!$C$21, $C$9, 100%, $E$9)</f>
        <v>19.673100000000002</v>
      </c>
      <c r="O412" s="14">
        <f>CHOOSE(CONTROL!$C$42, 19.8813, 19.8813) * CHOOSE(CONTROL!$C$21, $C$9, 100%, $E$9)</f>
        <v>19.8813</v>
      </c>
      <c r="P412" s="14">
        <f>CHOOSE(CONTROL!$C$42, 19.7253, 19.7253) * CHOOSE(CONTROL!$C$21, $C$9, 100%, $E$9)</f>
        <v>19.725300000000001</v>
      </c>
      <c r="Q412" s="14">
        <f>CHOOSE(CONTROL!$C$42, 20.476, 20.476) * CHOOSE(CONTROL!$C$21, $C$9, 100%, $E$9)</f>
        <v>20.475999999999999</v>
      </c>
      <c r="R412" s="14">
        <f>CHOOSE(CONTROL!$C$42, 21.1141, 21.1141) * CHOOSE(CONTROL!$C$21, $C$9, 100%, $E$9)</f>
        <v>21.114100000000001</v>
      </c>
      <c r="S412" s="14">
        <f>CHOOSE(CONTROL!$C$42, 19.2464, 19.2464) * CHOOSE(CONTROL!$C$21, $C$9, 100%, $E$9)</f>
        <v>19.246400000000001</v>
      </c>
      <c r="T4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12" s="57">
        <f>(1000*CHOOSE(CONTROL!$C$42, 695, 695)*CHOOSE(CONTROL!$C$42, 0.5599, 0.5599)*CHOOSE(CONTROL!$C$42, 30, 30))/1000000</f>
        <v>11.673914999999997</v>
      </c>
      <c r="V412" s="57">
        <f>(1000*CHOOSE(CONTROL!$C$42, 500, 500)*CHOOSE(CONTROL!$C$42, 0.275, 0.275)*CHOOSE(CONTROL!$C$42, 30, 30))/1000000</f>
        <v>4.125</v>
      </c>
      <c r="W412" s="57">
        <f>(1000*CHOOSE(CONTROL!$C$42, 0.1146, 0.1146)*CHOOSE(CONTROL!$C$42, 121.5, 121.5)*CHOOSE(CONTROL!$C$42, 30, 30))/1000000</f>
        <v>0.417717</v>
      </c>
      <c r="X412" s="57">
        <f>(30*0.1790888*245000/1000000)+(30*0.2374*100000/1000000)</f>
        <v>2.0285026799999999</v>
      </c>
      <c r="Y412" s="57"/>
      <c r="Z412" s="14"/>
      <c r="AA412" s="56"/>
      <c r="AB412" s="50">
        <f>(B412*141.293+C412*267.993+D412*115.016+E412*89.698+F412*40+G412*185+H412*0+I412*100+J412*300)/(141.293+267.993+115.016+89.698+0+40+185+100+300)</f>
        <v>20.100192743422113</v>
      </c>
      <c r="AC412" s="45">
        <f>(M412*'RAP TEMPLATE-GAS AVAILABILITY'!O411+N412*'RAP TEMPLATE-GAS AVAILABILITY'!P411+O412*'RAP TEMPLATE-GAS AVAILABILITY'!Q411+P412*'RAP TEMPLATE-GAS AVAILABILITY'!R411)/('RAP TEMPLATE-GAS AVAILABILITY'!O411+'RAP TEMPLATE-GAS AVAILABILITY'!P411+'RAP TEMPLATE-GAS AVAILABILITY'!Q411+'RAP TEMPLATE-GAS AVAILABILITY'!R411)</f>
        <v>19.73329424460432</v>
      </c>
    </row>
    <row r="413" spans="1:29" ht="15.75" x14ac:dyDescent="0.25">
      <c r="A413" s="33">
        <v>53478</v>
      </c>
      <c r="B413" s="14">
        <f>CHOOSE(CONTROL!$C$42, 20.2173, 20.2173) * CHOOSE(CONTROL!$C$21, $C$9, 100%, $E$9)</f>
        <v>20.217300000000002</v>
      </c>
      <c r="C413" s="14">
        <f>CHOOSE(CONTROL!$C$42, 20.2254, 20.2254) * CHOOSE(CONTROL!$C$21, $C$9, 100%, $E$9)</f>
        <v>20.2254</v>
      </c>
      <c r="D413" s="14">
        <f>CHOOSE(CONTROL!$C$42, 20.446, 20.446) * CHOOSE(CONTROL!$C$21, $C$9, 100%, $E$9)</f>
        <v>20.446000000000002</v>
      </c>
      <c r="E413" s="14">
        <f>CHOOSE(CONTROL!$C$42, 20.4774, 20.4774) * CHOOSE(CONTROL!$C$21, $C$9, 100%, $E$9)</f>
        <v>20.477399999999999</v>
      </c>
      <c r="F413" s="14">
        <f>CHOOSE(CONTROL!$C$42, 20.2436, 20.2436)*CHOOSE(CONTROL!$C$21, $C$9, 100%, $E$9)</f>
        <v>20.243600000000001</v>
      </c>
      <c r="G413" s="14">
        <f>CHOOSE(CONTROL!$C$42, 20.2607, 20.2607)*CHOOSE(CONTROL!$C$21, $C$9, 100%, $E$9)</f>
        <v>20.2607</v>
      </c>
      <c r="H413" s="14">
        <f>CHOOSE(CONTROL!$C$42, 20.4661, 20.4661) * CHOOSE(CONTROL!$C$21, $C$9, 100%, $E$9)</f>
        <v>20.466100000000001</v>
      </c>
      <c r="I413" s="14">
        <f>CHOOSE(CONTROL!$C$42, 20.3085, 20.3085)* CHOOSE(CONTROL!$C$21, $C$9, 100%, $E$9)</f>
        <v>20.308499999999999</v>
      </c>
      <c r="J413" s="14">
        <f>CHOOSE(CONTROL!$C$42, 20.2366, 20.2366)* CHOOSE(CONTROL!$C$21, $C$9, 100%, $E$9)</f>
        <v>20.236599999999999</v>
      </c>
      <c r="K413" s="53">
        <f>CHOOSE(CONTROL!$C$42, 20.3047, 20.3047) * CHOOSE(CONTROL!$C$21, $C$9, 100%, $E$9)</f>
        <v>20.3047</v>
      </c>
      <c r="L413" s="14">
        <f>CHOOSE(CONTROL!$C$42, 21.0531, 21.0531) * CHOOSE(CONTROL!$C$21, $C$9, 100%, $E$9)</f>
        <v>21.053100000000001</v>
      </c>
      <c r="M413" s="14">
        <f>CHOOSE(CONTROL!$C$42, 19.8297, 19.8297) * CHOOSE(CONTROL!$C$21, $C$9, 100%, $E$9)</f>
        <v>19.829699999999999</v>
      </c>
      <c r="N413" s="14">
        <f>CHOOSE(CONTROL!$C$42, 19.8464, 19.8464) * CHOOSE(CONTROL!$C$21, $C$9, 100%, $E$9)</f>
        <v>19.846399999999999</v>
      </c>
      <c r="O413" s="14">
        <f>CHOOSE(CONTROL!$C$42, 20.0544, 20.0544) * CHOOSE(CONTROL!$C$21, $C$9, 100%, $E$9)</f>
        <v>20.054400000000001</v>
      </c>
      <c r="P413" s="14">
        <f>CHOOSE(CONTROL!$C$42, 19.8989, 19.8989) * CHOOSE(CONTROL!$C$21, $C$9, 100%, $E$9)</f>
        <v>19.898900000000001</v>
      </c>
      <c r="Q413" s="14">
        <f>CHOOSE(CONTROL!$C$42, 20.6491, 20.6491) * CHOOSE(CONTROL!$C$21, $C$9, 100%, $E$9)</f>
        <v>20.649100000000001</v>
      </c>
      <c r="R413" s="14">
        <f>CHOOSE(CONTROL!$C$42, 21.2877, 21.2877) * CHOOSE(CONTROL!$C$21, $C$9, 100%, $E$9)</f>
        <v>21.287700000000001</v>
      </c>
      <c r="S413" s="14">
        <f>CHOOSE(CONTROL!$C$42, 19.4162, 19.4162) * CHOOSE(CONTROL!$C$21, $C$9, 100%, $E$9)</f>
        <v>19.4162</v>
      </c>
      <c r="T4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13" s="57">
        <f>(1000*CHOOSE(CONTROL!$C$42, 695, 695)*CHOOSE(CONTROL!$C$42, 0.5599, 0.5599)*CHOOSE(CONTROL!$C$42, 31, 31))/1000000</f>
        <v>12.063045499999998</v>
      </c>
      <c r="V413" s="57">
        <f>(1000*CHOOSE(CONTROL!$C$42, 500, 500)*CHOOSE(CONTROL!$C$42, 0.275, 0.275)*CHOOSE(CONTROL!$C$42, 31, 31))/1000000</f>
        <v>4.2625000000000002</v>
      </c>
      <c r="W413" s="57">
        <f>(1000*CHOOSE(CONTROL!$C$42, 0.1146, 0.1146)*CHOOSE(CONTROL!$C$42, 121.5, 121.5)*CHOOSE(CONTROL!$C$42, 31, 31))/1000000</f>
        <v>0.43164089999999994</v>
      </c>
      <c r="X413" s="57">
        <f>(31*0.1790888*245000/1000000)+(31*0.2374*100000/1000000)</f>
        <v>2.0961194359999999</v>
      </c>
      <c r="Y413" s="57"/>
      <c r="Z413" s="14"/>
      <c r="AA413" s="56"/>
      <c r="AB413" s="50">
        <f>(B413*194.205+C413*267.466+D413*133.845+E413*53.484+F413*40+G413*185+H413*0+I413*100+J413*300)/(194.205+267.466+133.845+53.484+0+40+185+100+300)</f>
        <v>20.272778033359497</v>
      </c>
      <c r="AC413" s="45">
        <f>(M413*'RAP TEMPLATE-GAS AVAILABILITY'!O412+N413*'RAP TEMPLATE-GAS AVAILABILITY'!P412+O413*'RAP TEMPLATE-GAS AVAILABILITY'!Q412+P413*'RAP TEMPLATE-GAS AVAILABILITY'!R412)/('RAP TEMPLATE-GAS AVAILABILITY'!O412+'RAP TEMPLATE-GAS AVAILABILITY'!P412+'RAP TEMPLATE-GAS AVAILABILITY'!Q412+'RAP TEMPLATE-GAS AVAILABILITY'!R412)</f>
        <v>19.906546762589926</v>
      </c>
    </row>
    <row r="414" spans="1:29" ht="15.75" x14ac:dyDescent="0.25">
      <c r="A414" s="33">
        <v>53508</v>
      </c>
      <c r="B414" s="14">
        <f>CHOOSE(CONTROL!$C$42, 20.7905, 20.7905) * CHOOSE(CONTROL!$C$21, $C$9, 100%, $E$9)</f>
        <v>20.790500000000002</v>
      </c>
      <c r="C414" s="14">
        <f>CHOOSE(CONTROL!$C$42, 20.7985, 20.7985) * CHOOSE(CONTROL!$C$21, $C$9, 100%, $E$9)</f>
        <v>20.798500000000001</v>
      </c>
      <c r="D414" s="14">
        <f>CHOOSE(CONTROL!$C$42, 21.0191, 21.0191) * CHOOSE(CONTROL!$C$21, $C$9, 100%, $E$9)</f>
        <v>21.019100000000002</v>
      </c>
      <c r="E414" s="14">
        <f>CHOOSE(CONTROL!$C$42, 21.0506, 21.0506) * CHOOSE(CONTROL!$C$21, $C$9, 100%, $E$9)</f>
        <v>21.050599999999999</v>
      </c>
      <c r="F414" s="14">
        <f>CHOOSE(CONTROL!$C$42, 20.8171, 20.8171)*CHOOSE(CONTROL!$C$21, $C$9, 100%, $E$9)</f>
        <v>20.8171</v>
      </c>
      <c r="G414" s="14">
        <f>CHOOSE(CONTROL!$C$42, 20.8343, 20.8343)*CHOOSE(CONTROL!$C$21, $C$9, 100%, $E$9)</f>
        <v>20.834299999999999</v>
      </c>
      <c r="H414" s="14">
        <f>CHOOSE(CONTROL!$C$42, 21.0392, 21.0392) * CHOOSE(CONTROL!$C$21, $C$9, 100%, $E$9)</f>
        <v>21.039200000000001</v>
      </c>
      <c r="I414" s="14">
        <f>CHOOSE(CONTROL!$C$42, 20.8835, 20.8835)* CHOOSE(CONTROL!$C$21, $C$9, 100%, $E$9)</f>
        <v>20.883500000000002</v>
      </c>
      <c r="J414" s="14">
        <f>CHOOSE(CONTROL!$C$42, 20.8101, 20.8101)* CHOOSE(CONTROL!$C$21, $C$9, 100%, $E$9)</f>
        <v>20.810099999999998</v>
      </c>
      <c r="K414" s="53">
        <f>CHOOSE(CONTROL!$C$42, 20.8796, 20.8796) * CHOOSE(CONTROL!$C$21, $C$9, 100%, $E$9)</f>
        <v>20.8796</v>
      </c>
      <c r="L414" s="14">
        <f>CHOOSE(CONTROL!$C$42, 21.6262, 21.6262) * CHOOSE(CONTROL!$C$21, $C$9, 100%, $E$9)</f>
        <v>21.626200000000001</v>
      </c>
      <c r="M414" s="14">
        <f>CHOOSE(CONTROL!$C$42, 20.3914, 20.3914) * CHOOSE(CONTROL!$C$21, $C$9, 100%, $E$9)</f>
        <v>20.391400000000001</v>
      </c>
      <c r="N414" s="14">
        <f>CHOOSE(CONTROL!$C$42, 20.4083, 20.4083) * CHOOSE(CONTROL!$C$21, $C$9, 100%, $E$9)</f>
        <v>20.408300000000001</v>
      </c>
      <c r="O414" s="14">
        <f>CHOOSE(CONTROL!$C$42, 20.6158, 20.6158) * CHOOSE(CONTROL!$C$21, $C$9, 100%, $E$9)</f>
        <v>20.6158</v>
      </c>
      <c r="P414" s="14">
        <f>CHOOSE(CONTROL!$C$42, 20.4621, 20.4621) * CHOOSE(CONTROL!$C$21, $C$9, 100%, $E$9)</f>
        <v>20.4621</v>
      </c>
      <c r="Q414" s="14">
        <f>CHOOSE(CONTROL!$C$42, 21.2105, 21.2105) * CHOOSE(CONTROL!$C$21, $C$9, 100%, $E$9)</f>
        <v>21.2105</v>
      </c>
      <c r="R414" s="14">
        <f>CHOOSE(CONTROL!$C$42, 21.8505, 21.8505) * CHOOSE(CONTROL!$C$21, $C$9, 100%, $E$9)</f>
        <v>21.8505</v>
      </c>
      <c r="S414" s="14">
        <f>CHOOSE(CONTROL!$C$42, 19.967, 19.967) * CHOOSE(CONTROL!$C$21, $C$9, 100%, $E$9)</f>
        <v>19.966999999999999</v>
      </c>
      <c r="T4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14" s="57">
        <f>(1000*CHOOSE(CONTROL!$C$42, 695, 695)*CHOOSE(CONTROL!$C$42, 0.5599, 0.5599)*CHOOSE(CONTROL!$C$42, 30, 30))/1000000</f>
        <v>11.673914999999997</v>
      </c>
      <c r="V414" s="57">
        <f>(1000*CHOOSE(CONTROL!$C$42, 500, 500)*CHOOSE(CONTROL!$C$42, 0.275, 0.275)*CHOOSE(CONTROL!$C$42, 30, 30))/1000000</f>
        <v>4.125</v>
      </c>
      <c r="W414" s="57">
        <f>(1000*CHOOSE(CONTROL!$C$42, 0.1146, 0.1146)*CHOOSE(CONTROL!$C$42, 121.5, 121.5)*CHOOSE(CONTROL!$C$42, 30, 30))/1000000</f>
        <v>0.417717</v>
      </c>
      <c r="X414" s="57">
        <f>(30*0.1790888*245000/1000000)+(30*0.2374*100000/1000000)</f>
        <v>2.0285026799999999</v>
      </c>
      <c r="Y414" s="57"/>
      <c r="Z414" s="14"/>
      <c r="AA414" s="56"/>
      <c r="AB414" s="50">
        <f>(B414*194.205+C414*267.466+D414*133.845+E414*53.484+F414*40+G414*185+H414*0+I414*100+J414*300)/(194.205+267.466+133.845+53.484+0+40+185+100+300)</f>
        <v>20.846225968131865</v>
      </c>
      <c r="AC414" s="45">
        <f>(M414*'RAP TEMPLATE-GAS AVAILABILITY'!O413+N414*'RAP TEMPLATE-GAS AVAILABILITY'!P413+O414*'RAP TEMPLATE-GAS AVAILABILITY'!Q413+P414*'RAP TEMPLATE-GAS AVAILABILITY'!R413)/('RAP TEMPLATE-GAS AVAILABILITY'!O413+'RAP TEMPLATE-GAS AVAILABILITY'!P413+'RAP TEMPLATE-GAS AVAILABILITY'!Q413+'RAP TEMPLATE-GAS AVAILABILITY'!R413)</f>
        <v>20.468424460431656</v>
      </c>
    </row>
    <row r="415" spans="1:29" ht="15.75" x14ac:dyDescent="0.25">
      <c r="A415" s="33">
        <v>53539</v>
      </c>
      <c r="B415" s="14">
        <f>CHOOSE(CONTROL!$C$42, 20.3919, 20.3919) * CHOOSE(CONTROL!$C$21, $C$9, 100%, $E$9)</f>
        <v>20.3919</v>
      </c>
      <c r="C415" s="14">
        <f>CHOOSE(CONTROL!$C$42, 20.3999, 20.3999) * CHOOSE(CONTROL!$C$21, $C$9, 100%, $E$9)</f>
        <v>20.399899999999999</v>
      </c>
      <c r="D415" s="14">
        <f>CHOOSE(CONTROL!$C$42, 20.6205, 20.6205) * CHOOSE(CONTROL!$C$21, $C$9, 100%, $E$9)</f>
        <v>20.6205</v>
      </c>
      <c r="E415" s="14">
        <f>CHOOSE(CONTROL!$C$42, 20.6519, 20.6519) * CHOOSE(CONTROL!$C$21, $C$9, 100%, $E$9)</f>
        <v>20.651900000000001</v>
      </c>
      <c r="F415" s="14">
        <f>CHOOSE(CONTROL!$C$42, 20.4189, 20.4189)*CHOOSE(CONTROL!$C$21, $C$9, 100%, $E$9)</f>
        <v>20.418900000000001</v>
      </c>
      <c r="G415" s="14">
        <f>CHOOSE(CONTROL!$C$42, 20.4363, 20.4363)*CHOOSE(CONTROL!$C$21, $C$9, 100%, $E$9)</f>
        <v>20.436299999999999</v>
      </c>
      <c r="H415" s="14">
        <f>CHOOSE(CONTROL!$C$42, 20.6406, 20.6406) * CHOOSE(CONTROL!$C$21, $C$9, 100%, $E$9)</f>
        <v>20.640599999999999</v>
      </c>
      <c r="I415" s="14">
        <f>CHOOSE(CONTROL!$C$42, 20.4836, 20.4836)* CHOOSE(CONTROL!$C$21, $C$9, 100%, $E$9)</f>
        <v>20.483599999999999</v>
      </c>
      <c r="J415" s="14">
        <f>CHOOSE(CONTROL!$C$42, 20.4119, 20.4119)* CHOOSE(CONTROL!$C$21, $C$9, 100%, $E$9)</f>
        <v>20.411899999999999</v>
      </c>
      <c r="K415" s="53">
        <f>CHOOSE(CONTROL!$C$42, 20.4797, 20.4797) * CHOOSE(CONTROL!$C$21, $C$9, 100%, $E$9)</f>
        <v>20.479700000000001</v>
      </c>
      <c r="L415" s="14">
        <f>CHOOSE(CONTROL!$C$42, 21.2276, 21.2276) * CHOOSE(CONTROL!$C$21, $C$9, 100%, $E$9)</f>
        <v>21.227599999999999</v>
      </c>
      <c r="M415" s="14">
        <f>CHOOSE(CONTROL!$C$42, 20.0014, 20.0014) * CHOOSE(CONTROL!$C$21, $C$9, 100%, $E$9)</f>
        <v>20.0014</v>
      </c>
      <c r="N415" s="14">
        <f>CHOOSE(CONTROL!$C$42, 20.0184, 20.0184) * CHOOSE(CONTROL!$C$21, $C$9, 100%, $E$9)</f>
        <v>20.0184</v>
      </c>
      <c r="O415" s="14">
        <f>CHOOSE(CONTROL!$C$42, 20.2254, 20.2254) * CHOOSE(CONTROL!$C$21, $C$9, 100%, $E$9)</f>
        <v>20.2254</v>
      </c>
      <c r="P415" s="14">
        <f>CHOOSE(CONTROL!$C$42, 20.0704, 20.0704) * CHOOSE(CONTROL!$C$21, $C$9, 100%, $E$9)</f>
        <v>20.070399999999999</v>
      </c>
      <c r="Q415" s="14">
        <f>CHOOSE(CONTROL!$C$42, 20.8201, 20.8201) * CHOOSE(CONTROL!$C$21, $C$9, 100%, $E$9)</f>
        <v>20.8201</v>
      </c>
      <c r="R415" s="14">
        <f>CHOOSE(CONTROL!$C$42, 21.4591, 21.4591) * CHOOSE(CONTROL!$C$21, $C$9, 100%, $E$9)</f>
        <v>21.459099999999999</v>
      </c>
      <c r="S415" s="14">
        <f>CHOOSE(CONTROL!$C$42, 19.5839, 19.5839) * CHOOSE(CONTROL!$C$21, $C$9, 100%, $E$9)</f>
        <v>19.5839</v>
      </c>
      <c r="T4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15" s="57">
        <f>(1000*CHOOSE(CONTROL!$C$42, 695, 695)*CHOOSE(CONTROL!$C$42, 0.5599, 0.5599)*CHOOSE(CONTROL!$C$42, 31, 31))/1000000</f>
        <v>12.063045499999998</v>
      </c>
      <c r="V415" s="57">
        <f>(1000*CHOOSE(CONTROL!$C$42, 500, 500)*CHOOSE(CONTROL!$C$42, 0.275, 0.275)*CHOOSE(CONTROL!$C$42, 31, 31))/1000000</f>
        <v>4.2625000000000002</v>
      </c>
      <c r="W415" s="57">
        <f>(1000*CHOOSE(CONTROL!$C$42, 0.1146, 0.1146)*CHOOSE(CONTROL!$C$42, 121.5, 121.5)*CHOOSE(CONTROL!$C$42, 31, 31))/1000000</f>
        <v>0.43164089999999994</v>
      </c>
      <c r="X415" s="57">
        <f>(31*0.1790888*245000/1000000)+(31*0.2374*100000/1000000)</f>
        <v>2.0961194359999999</v>
      </c>
      <c r="Y415" s="57"/>
      <c r="Z415" s="14"/>
      <c r="AA415" s="56"/>
      <c r="AB415" s="50">
        <f>(B415*194.205+C415*267.466+D415*133.845+E415*53.484+F415*40+G415*185+H415*0+I415*100+J415*300)/(194.205+267.466+133.845+53.484+0+40+185+100+300)</f>
        <v>20.447713606750394</v>
      </c>
      <c r="AC415" s="45">
        <f>(M415*'RAP TEMPLATE-GAS AVAILABILITY'!O414+N415*'RAP TEMPLATE-GAS AVAILABILITY'!P414+O415*'RAP TEMPLATE-GAS AVAILABILITY'!Q414+P415*'RAP TEMPLATE-GAS AVAILABILITY'!R414)/('RAP TEMPLATE-GAS AVAILABILITY'!O414+'RAP TEMPLATE-GAS AVAILABILITY'!P414+'RAP TEMPLATE-GAS AVAILABILITY'!Q414+'RAP TEMPLATE-GAS AVAILABILITY'!R414)</f>
        <v>20.078090647482014</v>
      </c>
    </row>
    <row r="416" spans="1:29" ht="15.75" x14ac:dyDescent="0.25">
      <c r="A416" s="33">
        <v>53570</v>
      </c>
      <c r="B416" s="14">
        <f>CHOOSE(CONTROL!$C$42, 19.3852, 19.3852) * CHOOSE(CONTROL!$C$21, $C$9, 100%, $E$9)</f>
        <v>19.385200000000001</v>
      </c>
      <c r="C416" s="14">
        <f>CHOOSE(CONTROL!$C$42, 19.3932, 19.3932) * CHOOSE(CONTROL!$C$21, $C$9, 100%, $E$9)</f>
        <v>19.3932</v>
      </c>
      <c r="D416" s="14">
        <f>CHOOSE(CONTROL!$C$42, 19.6138, 19.6138) * CHOOSE(CONTROL!$C$21, $C$9, 100%, $E$9)</f>
        <v>19.613800000000001</v>
      </c>
      <c r="E416" s="14">
        <f>CHOOSE(CONTROL!$C$42, 19.6453, 19.6453) * CHOOSE(CONTROL!$C$21, $C$9, 100%, $E$9)</f>
        <v>19.645299999999999</v>
      </c>
      <c r="F416" s="14">
        <f>CHOOSE(CONTROL!$C$42, 19.4126, 19.4126)*CHOOSE(CONTROL!$C$21, $C$9, 100%, $E$9)</f>
        <v>19.412600000000001</v>
      </c>
      <c r="G416" s="14">
        <f>CHOOSE(CONTROL!$C$42, 19.43, 19.43)*CHOOSE(CONTROL!$C$21, $C$9, 100%, $E$9)</f>
        <v>19.43</v>
      </c>
      <c r="H416" s="14">
        <f>CHOOSE(CONTROL!$C$42, 19.6339, 19.6339) * CHOOSE(CONTROL!$C$21, $C$9, 100%, $E$9)</f>
        <v>19.633900000000001</v>
      </c>
      <c r="I416" s="14">
        <f>CHOOSE(CONTROL!$C$42, 19.4738, 19.4738)* CHOOSE(CONTROL!$C$21, $C$9, 100%, $E$9)</f>
        <v>19.473800000000001</v>
      </c>
      <c r="J416" s="14">
        <f>CHOOSE(CONTROL!$C$42, 19.4056, 19.4056)* CHOOSE(CONTROL!$C$21, $C$9, 100%, $E$9)</f>
        <v>19.4056</v>
      </c>
      <c r="K416" s="53">
        <f>CHOOSE(CONTROL!$C$42, 19.4699, 19.4699) * CHOOSE(CONTROL!$C$21, $C$9, 100%, $E$9)</f>
        <v>19.469899999999999</v>
      </c>
      <c r="L416" s="14">
        <f>CHOOSE(CONTROL!$C$42, 20.2209, 20.2209) * CHOOSE(CONTROL!$C$21, $C$9, 100%, $E$9)</f>
        <v>20.2209</v>
      </c>
      <c r="M416" s="14">
        <f>CHOOSE(CONTROL!$C$42, 19.0156, 19.0156) * CHOOSE(CONTROL!$C$21, $C$9, 100%, $E$9)</f>
        <v>19.015599999999999</v>
      </c>
      <c r="N416" s="14">
        <f>CHOOSE(CONTROL!$C$42, 19.0327, 19.0327) * CHOOSE(CONTROL!$C$21, $C$9, 100%, $E$9)</f>
        <v>19.032699999999998</v>
      </c>
      <c r="O416" s="14">
        <f>CHOOSE(CONTROL!$C$42, 19.2393, 19.2393) * CHOOSE(CONTROL!$C$21, $C$9, 100%, $E$9)</f>
        <v>19.2393</v>
      </c>
      <c r="P416" s="14">
        <f>CHOOSE(CONTROL!$C$42, 19.0813, 19.0813) * CHOOSE(CONTROL!$C$21, $C$9, 100%, $E$9)</f>
        <v>19.081299999999999</v>
      </c>
      <c r="Q416" s="14">
        <f>CHOOSE(CONTROL!$C$42, 19.834, 19.834) * CHOOSE(CONTROL!$C$21, $C$9, 100%, $E$9)</f>
        <v>19.834</v>
      </c>
      <c r="R416" s="14">
        <f>CHOOSE(CONTROL!$C$42, 20.4706, 20.4706) * CHOOSE(CONTROL!$C$21, $C$9, 100%, $E$9)</f>
        <v>20.470600000000001</v>
      </c>
      <c r="S416" s="14">
        <f>CHOOSE(CONTROL!$C$42, 18.6166, 18.6166) * CHOOSE(CONTROL!$C$21, $C$9, 100%, $E$9)</f>
        <v>18.616599999999998</v>
      </c>
      <c r="T4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16" s="57">
        <f>(1000*CHOOSE(CONTROL!$C$42, 695, 695)*CHOOSE(CONTROL!$C$42, 0.5599, 0.5599)*CHOOSE(CONTROL!$C$42, 31, 31))/1000000</f>
        <v>12.063045499999998</v>
      </c>
      <c r="V416" s="57">
        <f>(1000*CHOOSE(CONTROL!$C$42, 500, 500)*CHOOSE(CONTROL!$C$42, 0.275, 0.275)*CHOOSE(CONTROL!$C$42, 31, 31))/1000000</f>
        <v>4.2625000000000002</v>
      </c>
      <c r="W416" s="57">
        <f>(1000*CHOOSE(CONTROL!$C$42, 0.1146, 0.1146)*CHOOSE(CONTROL!$C$42, 121.5, 121.5)*CHOOSE(CONTROL!$C$42, 31, 31))/1000000</f>
        <v>0.43164089999999994</v>
      </c>
      <c r="X416" s="57">
        <f>(31*0.1790888*245000/1000000)+(31*0.2374*100000/1000000)</f>
        <v>2.0961194359999999</v>
      </c>
      <c r="Y416" s="57"/>
      <c r="Z416" s="14"/>
      <c r="AA416" s="56"/>
      <c r="AB416" s="50">
        <f>(B416*194.205+C416*267.466+D416*133.845+E416*53.484+F416*40+G416*185+H416*0+I416*100+J416*300)/(194.205+267.466+133.845+53.484+0+40+185+100+300)</f>
        <v>19.440939311930929</v>
      </c>
      <c r="AC416" s="45">
        <f>(M416*'RAP TEMPLATE-GAS AVAILABILITY'!O415+N416*'RAP TEMPLATE-GAS AVAILABILITY'!P415+O416*'RAP TEMPLATE-GAS AVAILABILITY'!Q415+P416*'RAP TEMPLATE-GAS AVAILABILITY'!R415)/('RAP TEMPLATE-GAS AVAILABILITY'!O415+'RAP TEMPLATE-GAS AVAILABILITY'!P415+'RAP TEMPLATE-GAS AVAILABILITY'!Q415+'RAP TEMPLATE-GAS AVAILABILITY'!R415)</f>
        <v>19.09175467625899</v>
      </c>
    </row>
    <row r="417" spans="1:29" ht="15.75" x14ac:dyDescent="0.25">
      <c r="A417" s="33">
        <v>53600</v>
      </c>
      <c r="B417" s="14">
        <f>CHOOSE(CONTROL!$C$42, 18.155, 18.155) * CHOOSE(CONTROL!$C$21, $C$9, 100%, $E$9)</f>
        <v>18.155000000000001</v>
      </c>
      <c r="C417" s="14">
        <f>CHOOSE(CONTROL!$C$42, 18.163, 18.163) * CHOOSE(CONTROL!$C$21, $C$9, 100%, $E$9)</f>
        <v>18.163</v>
      </c>
      <c r="D417" s="14">
        <f>CHOOSE(CONTROL!$C$42, 18.3836, 18.3836) * CHOOSE(CONTROL!$C$21, $C$9, 100%, $E$9)</f>
        <v>18.383600000000001</v>
      </c>
      <c r="E417" s="14">
        <f>CHOOSE(CONTROL!$C$42, 18.4151, 18.4151) * CHOOSE(CONTROL!$C$21, $C$9, 100%, $E$9)</f>
        <v>18.415099999999999</v>
      </c>
      <c r="F417" s="14">
        <f>CHOOSE(CONTROL!$C$42, 18.1824, 18.1824)*CHOOSE(CONTROL!$C$21, $C$9, 100%, $E$9)</f>
        <v>18.182400000000001</v>
      </c>
      <c r="G417" s="14">
        <f>CHOOSE(CONTROL!$C$42, 18.1998, 18.1998)*CHOOSE(CONTROL!$C$21, $C$9, 100%, $E$9)</f>
        <v>18.1998</v>
      </c>
      <c r="H417" s="14">
        <f>CHOOSE(CONTROL!$C$42, 18.4037, 18.4037) * CHOOSE(CONTROL!$C$21, $C$9, 100%, $E$9)</f>
        <v>18.403700000000001</v>
      </c>
      <c r="I417" s="14">
        <f>CHOOSE(CONTROL!$C$42, 18.2397, 18.2397)* CHOOSE(CONTROL!$C$21, $C$9, 100%, $E$9)</f>
        <v>18.239699999999999</v>
      </c>
      <c r="J417" s="14">
        <f>CHOOSE(CONTROL!$C$42, 18.1754, 18.1754)* CHOOSE(CONTROL!$C$21, $C$9, 100%, $E$9)</f>
        <v>18.1754</v>
      </c>
      <c r="K417" s="53">
        <f>CHOOSE(CONTROL!$C$42, 18.2359, 18.2359) * CHOOSE(CONTROL!$C$21, $C$9, 100%, $E$9)</f>
        <v>18.235900000000001</v>
      </c>
      <c r="L417" s="14">
        <f>CHOOSE(CONTROL!$C$42, 18.9907, 18.9907) * CHOOSE(CONTROL!$C$21, $C$9, 100%, $E$9)</f>
        <v>18.9907</v>
      </c>
      <c r="M417" s="14">
        <f>CHOOSE(CONTROL!$C$42, 17.8106, 17.8106) * CHOOSE(CONTROL!$C$21, $C$9, 100%, $E$9)</f>
        <v>17.810600000000001</v>
      </c>
      <c r="N417" s="14">
        <f>CHOOSE(CONTROL!$C$42, 17.8277, 17.8277) * CHOOSE(CONTROL!$C$21, $C$9, 100%, $E$9)</f>
        <v>17.8277</v>
      </c>
      <c r="O417" s="14">
        <f>CHOOSE(CONTROL!$C$42, 18.0343, 18.0343) * CHOOSE(CONTROL!$C$21, $C$9, 100%, $E$9)</f>
        <v>18.034300000000002</v>
      </c>
      <c r="P417" s="14">
        <f>CHOOSE(CONTROL!$C$42, 17.8727, 17.8727) * CHOOSE(CONTROL!$C$21, $C$9, 100%, $E$9)</f>
        <v>17.872699999999998</v>
      </c>
      <c r="Q417" s="14">
        <f>CHOOSE(CONTROL!$C$42, 18.629, 18.629) * CHOOSE(CONTROL!$C$21, $C$9, 100%, $E$9)</f>
        <v>18.629000000000001</v>
      </c>
      <c r="R417" s="14">
        <f>CHOOSE(CONTROL!$C$42, 19.2626, 19.2626) * CHOOSE(CONTROL!$C$21, $C$9, 100%, $E$9)</f>
        <v>19.262599999999999</v>
      </c>
      <c r="S417" s="14">
        <f>CHOOSE(CONTROL!$C$42, 17.4345, 17.4345) * CHOOSE(CONTROL!$C$21, $C$9, 100%, $E$9)</f>
        <v>17.4345</v>
      </c>
      <c r="T4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17" s="57">
        <f>(1000*CHOOSE(CONTROL!$C$42, 695, 695)*CHOOSE(CONTROL!$C$42, 0.5599, 0.5599)*CHOOSE(CONTROL!$C$42, 30, 30))/1000000</f>
        <v>11.673914999999997</v>
      </c>
      <c r="V417" s="57">
        <f>(1000*CHOOSE(CONTROL!$C$42, 500, 500)*CHOOSE(CONTROL!$C$42, 0.275, 0.275)*CHOOSE(CONTROL!$C$42, 30, 30))/1000000</f>
        <v>4.125</v>
      </c>
      <c r="W417" s="57">
        <f>(1000*CHOOSE(CONTROL!$C$42, 0.1146, 0.1146)*CHOOSE(CONTROL!$C$42, 121.5, 121.5)*CHOOSE(CONTROL!$C$42, 30, 30))/1000000</f>
        <v>0.417717</v>
      </c>
      <c r="X417" s="57">
        <f>(30*0.1790888*245000/1000000)+(30*0.2374*100000/1000000)</f>
        <v>2.0285026799999999</v>
      </c>
      <c r="Y417" s="57"/>
      <c r="Z417" s="14"/>
      <c r="AA417" s="56"/>
      <c r="AB417" s="50">
        <f>(B417*194.205+C417*267.466+D417*133.845+E417*53.484+F417*40+G417*185+H417*0+I417*100+J417*300)/(194.205+267.466+133.845+53.484+0+40+185+100+300)</f>
        <v>18.210433189481947</v>
      </c>
      <c r="AC417" s="45">
        <f>(M417*'RAP TEMPLATE-GAS AVAILABILITY'!O416+N417*'RAP TEMPLATE-GAS AVAILABILITY'!P416+O417*'RAP TEMPLATE-GAS AVAILABILITY'!Q416+P417*'RAP TEMPLATE-GAS AVAILABILITY'!R416)/('RAP TEMPLATE-GAS AVAILABILITY'!O416+'RAP TEMPLATE-GAS AVAILABILITY'!P416+'RAP TEMPLATE-GAS AVAILABILITY'!Q416+'RAP TEMPLATE-GAS AVAILABILITY'!R416)</f>
        <v>17.886236690647483</v>
      </c>
    </row>
    <row r="418" spans="1:29" ht="15.75" x14ac:dyDescent="0.25">
      <c r="A418" s="33">
        <v>53631</v>
      </c>
      <c r="B418" s="14">
        <f>CHOOSE(CONTROL!$C$42, 17.7849, 17.7849) * CHOOSE(CONTROL!$C$21, $C$9, 100%, $E$9)</f>
        <v>17.7849</v>
      </c>
      <c r="C418" s="14">
        <f>CHOOSE(CONTROL!$C$42, 17.7902, 17.7902) * CHOOSE(CONTROL!$C$21, $C$9, 100%, $E$9)</f>
        <v>17.790199999999999</v>
      </c>
      <c r="D418" s="14">
        <f>CHOOSE(CONTROL!$C$42, 18.0157, 18.0157) * CHOOSE(CONTROL!$C$21, $C$9, 100%, $E$9)</f>
        <v>18.015699999999999</v>
      </c>
      <c r="E418" s="14">
        <f>CHOOSE(CONTROL!$C$42, 18.0449, 18.0449) * CHOOSE(CONTROL!$C$21, $C$9, 100%, $E$9)</f>
        <v>18.044899999999998</v>
      </c>
      <c r="F418" s="14">
        <f>CHOOSE(CONTROL!$C$42, 17.8142, 17.8142)*CHOOSE(CONTROL!$C$21, $C$9, 100%, $E$9)</f>
        <v>17.8142</v>
      </c>
      <c r="G418" s="14">
        <f>CHOOSE(CONTROL!$C$42, 17.8315, 17.8315)*CHOOSE(CONTROL!$C$21, $C$9, 100%, $E$9)</f>
        <v>17.831499999999998</v>
      </c>
      <c r="H418" s="14">
        <f>CHOOSE(CONTROL!$C$42, 18.0353, 18.0353) * CHOOSE(CONTROL!$C$21, $C$9, 100%, $E$9)</f>
        <v>18.035299999999999</v>
      </c>
      <c r="I418" s="14">
        <f>CHOOSE(CONTROL!$C$42, 17.8702, 17.8702)* CHOOSE(CONTROL!$C$21, $C$9, 100%, $E$9)</f>
        <v>17.870200000000001</v>
      </c>
      <c r="J418" s="14">
        <f>CHOOSE(CONTROL!$C$42, 17.8072, 17.8072)* CHOOSE(CONTROL!$C$21, $C$9, 100%, $E$9)</f>
        <v>17.807200000000002</v>
      </c>
      <c r="K418" s="53">
        <f>CHOOSE(CONTROL!$C$42, 17.8663, 17.8663) * CHOOSE(CONTROL!$C$21, $C$9, 100%, $E$9)</f>
        <v>17.866299999999999</v>
      </c>
      <c r="L418" s="14">
        <f>CHOOSE(CONTROL!$C$42, 18.6223, 18.6223) * CHOOSE(CONTROL!$C$21, $C$9, 100%, $E$9)</f>
        <v>18.622299999999999</v>
      </c>
      <c r="M418" s="14">
        <f>CHOOSE(CONTROL!$C$42, 17.4501, 17.4501) * CHOOSE(CONTROL!$C$21, $C$9, 100%, $E$9)</f>
        <v>17.450099999999999</v>
      </c>
      <c r="N418" s="14">
        <f>CHOOSE(CONTROL!$C$42, 17.467, 17.467) * CHOOSE(CONTROL!$C$21, $C$9, 100%, $E$9)</f>
        <v>17.466999999999999</v>
      </c>
      <c r="O418" s="14">
        <f>CHOOSE(CONTROL!$C$42, 17.6735, 17.6735) * CHOOSE(CONTROL!$C$21, $C$9, 100%, $E$9)</f>
        <v>17.673500000000001</v>
      </c>
      <c r="P418" s="14">
        <f>CHOOSE(CONTROL!$C$42, 17.5107, 17.5107) * CHOOSE(CONTROL!$C$21, $C$9, 100%, $E$9)</f>
        <v>17.5107</v>
      </c>
      <c r="Q418" s="14">
        <f>CHOOSE(CONTROL!$C$42, 18.2682, 18.2682) * CHOOSE(CONTROL!$C$21, $C$9, 100%, $E$9)</f>
        <v>18.2682</v>
      </c>
      <c r="R418" s="14">
        <f>CHOOSE(CONTROL!$C$42, 18.9009, 18.9009) * CHOOSE(CONTROL!$C$21, $C$9, 100%, $E$9)</f>
        <v>18.9009</v>
      </c>
      <c r="S418" s="14">
        <f>CHOOSE(CONTROL!$C$42, 17.0805, 17.0805) * CHOOSE(CONTROL!$C$21, $C$9, 100%, $E$9)</f>
        <v>17.080500000000001</v>
      </c>
      <c r="T4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18" s="57">
        <f>(1000*CHOOSE(CONTROL!$C$42, 695, 695)*CHOOSE(CONTROL!$C$42, 0.5599, 0.5599)*CHOOSE(CONTROL!$C$42, 31, 31))/1000000</f>
        <v>12.063045499999998</v>
      </c>
      <c r="V418" s="57">
        <f>(1000*CHOOSE(CONTROL!$C$42, 500, 500)*CHOOSE(CONTROL!$C$42, 0.275, 0.275)*CHOOSE(CONTROL!$C$42, 31, 31))/1000000</f>
        <v>4.2625000000000002</v>
      </c>
      <c r="W418" s="57">
        <f>(1000*CHOOSE(CONTROL!$C$42, 0.1146, 0.1146)*CHOOSE(CONTROL!$C$42, 121.5, 121.5)*CHOOSE(CONTROL!$C$42, 31, 31))/1000000</f>
        <v>0.43164089999999994</v>
      </c>
      <c r="X418" s="57">
        <f>(31*0.1790888*245000/1000000)+(31*0.2374*100000/1000000)</f>
        <v>2.0961194359999999</v>
      </c>
      <c r="Y418" s="57"/>
      <c r="Z418" s="14"/>
      <c r="AA418" s="56"/>
      <c r="AB418" s="50">
        <f>(B418*131.881+C418*277.167+D418*79.08+E418*125.872+F418*40+G418*185+H418*0+I418*100+J418*300)/(131.881+277.167+79.08+125.872+0+40+185+100+300)</f>
        <v>17.847418457707825</v>
      </c>
      <c r="AC418" s="45">
        <f>(M418*'RAP TEMPLATE-GAS AVAILABILITY'!O417+N418*'RAP TEMPLATE-GAS AVAILABILITY'!P417+O418*'RAP TEMPLATE-GAS AVAILABILITY'!Q417+P418*'RAP TEMPLATE-GAS AVAILABILITY'!R417)/('RAP TEMPLATE-GAS AVAILABILITY'!O417+'RAP TEMPLATE-GAS AVAILABILITY'!P417+'RAP TEMPLATE-GAS AVAILABILITY'!Q417+'RAP TEMPLATE-GAS AVAILABILITY'!R417)</f>
        <v>17.525390647482013</v>
      </c>
    </row>
    <row r="419" spans="1:29" ht="15.75" x14ac:dyDescent="0.25">
      <c r="A419" s="33">
        <v>53661</v>
      </c>
      <c r="B419" s="14">
        <f>CHOOSE(CONTROL!$C$42, 18.2527, 18.2527) * CHOOSE(CONTROL!$C$21, $C$9, 100%, $E$9)</f>
        <v>18.252700000000001</v>
      </c>
      <c r="C419" s="14">
        <f>CHOOSE(CONTROL!$C$42, 18.2578, 18.2578) * CHOOSE(CONTROL!$C$21, $C$9, 100%, $E$9)</f>
        <v>18.2578</v>
      </c>
      <c r="D419" s="14">
        <f>CHOOSE(CONTROL!$C$42, 18.332, 18.332) * CHOOSE(CONTROL!$C$21, $C$9, 100%, $E$9)</f>
        <v>18.332000000000001</v>
      </c>
      <c r="E419" s="14">
        <f>CHOOSE(CONTROL!$C$42, 18.3661, 18.3661) * CHOOSE(CONTROL!$C$21, $C$9, 100%, $E$9)</f>
        <v>18.366099999999999</v>
      </c>
      <c r="F419" s="14">
        <f>CHOOSE(CONTROL!$C$42, 18.2888, 18.2888)*CHOOSE(CONTROL!$C$21, $C$9, 100%, $E$9)</f>
        <v>18.288799999999998</v>
      </c>
      <c r="G419" s="14">
        <f>CHOOSE(CONTROL!$C$42, 18.3063, 18.3063)*CHOOSE(CONTROL!$C$21, $C$9, 100%, $E$9)</f>
        <v>18.3063</v>
      </c>
      <c r="H419" s="14">
        <f>CHOOSE(CONTROL!$C$42, 18.3553, 18.3553) * CHOOSE(CONTROL!$C$21, $C$9, 100%, $E$9)</f>
        <v>18.3553</v>
      </c>
      <c r="I419" s="14">
        <f>CHOOSE(CONTROL!$C$42, 18.3373, 18.3373)* CHOOSE(CONTROL!$C$21, $C$9, 100%, $E$9)</f>
        <v>18.337299999999999</v>
      </c>
      <c r="J419" s="14">
        <f>CHOOSE(CONTROL!$C$42, 18.2818, 18.2818)* CHOOSE(CONTROL!$C$21, $C$9, 100%, $E$9)</f>
        <v>18.2818</v>
      </c>
      <c r="K419" s="53">
        <f>CHOOSE(CONTROL!$C$42, 18.3335, 18.3335) * CHOOSE(CONTROL!$C$21, $C$9, 100%, $E$9)</f>
        <v>18.333500000000001</v>
      </c>
      <c r="L419" s="14">
        <f>CHOOSE(CONTROL!$C$42, 18.9423, 18.9423) * CHOOSE(CONTROL!$C$21, $C$9, 100%, $E$9)</f>
        <v>18.942299999999999</v>
      </c>
      <c r="M419" s="14">
        <f>CHOOSE(CONTROL!$C$42, 17.9149, 17.9149) * CHOOSE(CONTROL!$C$21, $C$9, 100%, $E$9)</f>
        <v>17.914899999999999</v>
      </c>
      <c r="N419" s="14">
        <f>CHOOSE(CONTROL!$C$42, 17.9321, 17.9321) * CHOOSE(CONTROL!$C$21, $C$9, 100%, $E$9)</f>
        <v>17.932099999999998</v>
      </c>
      <c r="O419" s="14">
        <f>CHOOSE(CONTROL!$C$42, 17.9869, 17.9869) * CHOOSE(CONTROL!$C$21, $C$9, 100%, $E$9)</f>
        <v>17.986899999999999</v>
      </c>
      <c r="P419" s="14">
        <f>CHOOSE(CONTROL!$C$42, 17.9682, 17.9682) * CHOOSE(CONTROL!$C$21, $C$9, 100%, $E$9)</f>
        <v>17.9682</v>
      </c>
      <c r="Q419" s="14">
        <f>CHOOSE(CONTROL!$C$42, 18.5816, 18.5816) * CHOOSE(CONTROL!$C$21, $C$9, 100%, $E$9)</f>
        <v>18.581600000000002</v>
      </c>
      <c r="R419" s="14">
        <f>CHOOSE(CONTROL!$C$42, 19.2151, 19.2151) * CHOOSE(CONTROL!$C$21, $C$9, 100%, $E$9)</f>
        <v>19.2151</v>
      </c>
      <c r="S419" s="14">
        <f>CHOOSE(CONTROL!$C$42, 17.5305, 17.5305) * CHOOSE(CONTROL!$C$21, $C$9, 100%, $E$9)</f>
        <v>17.5305</v>
      </c>
      <c r="T4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19" s="57">
        <f>(1000*CHOOSE(CONTROL!$C$42, 695, 695)*CHOOSE(CONTROL!$C$42, 0.5599, 0.5599)*CHOOSE(CONTROL!$C$42, 30, 30))/1000000</f>
        <v>11.673914999999997</v>
      </c>
      <c r="V419" s="57">
        <f>(1000*CHOOSE(CONTROL!$C$42, 500, 500)*CHOOSE(CONTROL!$C$42, 0.275, 0.275)*CHOOSE(CONTROL!$C$42, 30, 30))/1000000</f>
        <v>4.125</v>
      </c>
      <c r="W419" s="57">
        <f>(1000*CHOOSE(CONTROL!$C$42, 0.1146, 0.1146)*CHOOSE(CONTROL!$C$42, 121.5, 121.5)*CHOOSE(CONTROL!$C$42, 30, 30))/1000000</f>
        <v>0.417717</v>
      </c>
      <c r="X419" s="57">
        <f>(30*0.1790888*100000/1000000)+(30*0.2374*100000/1000000)</f>
        <v>1.2494664</v>
      </c>
      <c r="Y419" s="57"/>
      <c r="Z419" s="14"/>
      <c r="AA419" s="56"/>
      <c r="AB419" s="50">
        <f>(B419*122.58+C419*297.941+D419*89.177+E419*40.302+F419*40+G419*160+H419*0+I419*100+J419*300)/(122.58+297.941+89.177+40.302+0+40+160+100+300)</f>
        <v>18.287805636521739</v>
      </c>
      <c r="AC419" s="45">
        <f>(M419*'RAP TEMPLATE-GAS AVAILABILITY'!O418+N419*'RAP TEMPLATE-GAS AVAILABILITY'!P418+O419*'RAP TEMPLATE-GAS AVAILABILITY'!Q418+P419*'RAP TEMPLATE-GAS AVAILABILITY'!R418)/('RAP TEMPLATE-GAS AVAILABILITY'!O418+'RAP TEMPLATE-GAS AVAILABILITY'!P418+'RAP TEMPLATE-GAS AVAILABILITY'!Q418+'RAP TEMPLATE-GAS AVAILABILITY'!R418)</f>
        <v>17.956192086330933</v>
      </c>
    </row>
    <row r="420" spans="1:29" ht="15.75" x14ac:dyDescent="0.25">
      <c r="A420" s="33">
        <v>53692</v>
      </c>
      <c r="B420" s="14">
        <f>CHOOSE(CONTROL!$C$42, 19.4965, 19.4965) * CHOOSE(CONTROL!$C$21, $C$9, 100%, $E$9)</f>
        <v>19.496500000000001</v>
      </c>
      <c r="C420" s="14">
        <f>CHOOSE(CONTROL!$C$42, 19.5016, 19.5016) * CHOOSE(CONTROL!$C$21, $C$9, 100%, $E$9)</f>
        <v>19.5016</v>
      </c>
      <c r="D420" s="14">
        <f>CHOOSE(CONTROL!$C$42, 19.5758, 19.5758) * CHOOSE(CONTROL!$C$21, $C$9, 100%, $E$9)</f>
        <v>19.575800000000001</v>
      </c>
      <c r="E420" s="14">
        <f>CHOOSE(CONTROL!$C$42, 19.6099, 19.6099) * CHOOSE(CONTROL!$C$21, $C$9, 100%, $E$9)</f>
        <v>19.6099</v>
      </c>
      <c r="F420" s="14">
        <f>CHOOSE(CONTROL!$C$42, 19.5349, 19.5349)*CHOOSE(CONTROL!$C$21, $C$9, 100%, $E$9)</f>
        <v>19.5349</v>
      </c>
      <c r="G420" s="14">
        <f>CHOOSE(CONTROL!$C$42, 19.5531, 19.5531)*CHOOSE(CONTROL!$C$21, $C$9, 100%, $E$9)</f>
        <v>19.553100000000001</v>
      </c>
      <c r="H420" s="14">
        <f>CHOOSE(CONTROL!$C$42, 19.5991, 19.5991) * CHOOSE(CONTROL!$C$21, $C$9, 100%, $E$9)</f>
        <v>19.5991</v>
      </c>
      <c r="I420" s="14">
        <f>CHOOSE(CONTROL!$C$42, 19.585, 19.585)* CHOOSE(CONTROL!$C$21, $C$9, 100%, $E$9)</f>
        <v>19.585000000000001</v>
      </c>
      <c r="J420" s="14">
        <f>CHOOSE(CONTROL!$C$42, 19.5279, 19.5279)* CHOOSE(CONTROL!$C$21, $C$9, 100%, $E$9)</f>
        <v>19.527899999999999</v>
      </c>
      <c r="K420" s="53">
        <f>CHOOSE(CONTROL!$C$42, 19.5812, 19.5812) * CHOOSE(CONTROL!$C$21, $C$9, 100%, $E$9)</f>
        <v>19.581199999999999</v>
      </c>
      <c r="L420" s="14">
        <f>CHOOSE(CONTROL!$C$42, 20.1861, 20.1861) * CHOOSE(CONTROL!$C$21, $C$9, 100%, $E$9)</f>
        <v>20.1861</v>
      </c>
      <c r="M420" s="14">
        <f>CHOOSE(CONTROL!$C$42, 19.1355, 19.1355) * CHOOSE(CONTROL!$C$21, $C$9, 100%, $E$9)</f>
        <v>19.1355</v>
      </c>
      <c r="N420" s="14">
        <f>CHOOSE(CONTROL!$C$42, 19.1533, 19.1533) * CHOOSE(CONTROL!$C$21, $C$9, 100%, $E$9)</f>
        <v>19.153300000000002</v>
      </c>
      <c r="O420" s="14">
        <f>CHOOSE(CONTROL!$C$42, 19.2052, 19.2052) * CHOOSE(CONTROL!$C$21, $C$9, 100%, $E$9)</f>
        <v>19.205200000000001</v>
      </c>
      <c r="P420" s="14">
        <f>CHOOSE(CONTROL!$C$42, 19.1903, 19.1903) * CHOOSE(CONTROL!$C$21, $C$9, 100%, $E$9)</f>
        <v>19.190300000000001</v>
      </c>
      <c r="Q420" s="14">
        <f>CHOOSE(CONTROL!$C$42, 19.7999, 19.7999) * CHOOSE(CONTROL!$C$21, $C$9, 100%, $E$9)</f>
        <v>19.799900000000001</v>
      </c>
      <c r="R420" s="14">
        <f>CHOOSE(CONTROL!$C$42, 20.4364, 20.4364) * CHOOSE(CONTROL!$C$21, $C$9, 100%, $E$9)</f>
        <v>20.436399999999999</v>
      </c>
      <c r="S420" s="14">
        <f>CHOOSE(CONTROL!$C$42, 18.7257, 18.7257) * CHOOSE(CONTROL!$C$21, $C$9, 100%, $E$9)</f>
        <v>18.7257</v>
      </c>
      <c r="T4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20" s="57">
        <f>(1000*CHOOSE(CONTROL!$C$42, 695, 695)*CHOOSE(CONTROL!$C$42, 0.5599, 0.5599)*CHOOSE(CONTROL!$C$42, 31, 31))/1000000</f>
        <v>12.063045499999998</v>
      </c>
      <c r="V420" s="57">
        <f>(1000*CHOOSE(CONTROL!$C$42, 500, 500)*CHOOSE(CONTROL!$C$42, 0.275, 0.275)*CHOOSE(CONTROL!$C$42, 31, 31))/1000000</f>
        <v>4.2625000000000002</v>
      </c>
      <c r="W420" s="57">
        <f>(1000*CHOOSE(CONTROL!$C$42, 0.1146, 0.1146)*CHOOSE(CONTROL!$C$42, 121.5, 121.5)*CHOOSE(CONTROL!$C$42, 31, 31))/1000000</f>
        <v>0.43164089999999994</v>
      </c>
      <c r="X420" s="57">
        <f>(31*0.1790888*100000/1000000)+(31*0.2374*100000/1000000)</f>
        <v>1.2911152800000001</v>
      </c>
      <c r="Y420" s="57"/>
      <c r="Z420" s="14"/>
      <c r="AA420" s="56"/>
      <c r="AB420" s="50">
        <f>(B420*122.58+C420*297.941+D420*89.177+E420*40.302+F420*40+G420*160+H420*0+I420*100+J420*300)/(122.58+297.941+89.177+40.302+0+40+160+100+300)</f>
        <v>19.533042158260869</v>
      </c>
      <c r="AC420" s="45">
        <f>(M420*'RAP TEMPLATE-GAS AVAILABILITY'!O419+N420*'RAP TEMPLATE-GAS AVAILABILITY'!P419+O420*'RAP TEMPLATE-GAS AVAILABILITY'!Q419+P420*'RAP TEMPLATE-GAS AVAILABILITY'!R419)/('RAP TEMPLATE-GAS AVAILABILITY'!O419+'RAP TEMPLATE-GAS AVAILABILITY'!P419+'RAP TEMPLATE-GAS AVAILABILITY'!Q419+'RAP TEMPLATE-GAS AVAILABILITY'!R419)</f>
        <v>19.176000000000002</v>
      </c>
    </row>
    <row r="421" spans="1:29" ht="15.75" x14ac:dyDescent="0.25">
      <c r="A421" s="33">
        <v>53723</v>
      </c>
      <c r="B421" s="14">
        <f>CHOOSE(CONTROL!$C$42, 21.112, 21.112) * CHOOSE(CONTROL!$C$21, $C$9, 100%, $E$9)</f>
        <v>21.111999999999998</v>
      </c>
      <c r="C421" s="14">
        <f>CHOOSE(CONTROL!$C$42, 21.1171, 21.1171) * CHOOSE(CONTROL!$C$21, $C$9, 100%, $E$9)</f>
        <v>21.117100000000001</v>
      </c>
      <c r="D421" s="14">
        <f>CHOOSE(CONTROL!$C$42, 21.1939, 21.1939) * CHOOSE(CONTROL!$C$21, $C$9, 100%, $E$9)</f>
        <v>21.193899999999999</v>
      </c>
      <c r="E421" s="14">
        <f>CHOOSE(CONTROL!$C$42, 21.228, 21.228) * CHOOSE(CONTROL!$C$21, $C$9, 100%, $E$9)</f>
        <v>21.228000000000002</v>
      </c>
      <c r="F421" s="14">
        <f>CHOOSE(CONTROL!$C$42, 21.1367, 21.1367)*CHOOSE(CONTROL!$C$21, $C$9, 100%, $E$9)</f>
        <v>21.136700000000001</v>
      </c>
      <c r="G421" s="14">
        <f>CHOOSE(CONTROL!$C$42, 21.1547, 21.1547)*CHOOSE(CONTROL!$C$21, $C$9, 100%, $E$9)</f>
        <v>21.154699999999998</v>
      </c>
      <c r="H421" s="14">
        <f>CHOOSE(CONTROL!$C$42, 21.2172, 21.2172) * CHOOSE(CONTROL!$C$21, $C$9, 100%, $E$9)</f>
        <v>21.217199999999998</v>
      </c>
      <c r="I421" s="14">
        <f>CHOOSE(CONTROL!$C$42, 21.2119, 21.2119)* CHOOSE(CONTROL!$C$21, $C$9, 100%, $E$9)</f>
        <v>21.2119</v>
      </c>
      <c r="J421" s="14">
        <f>CHOOSE(CONTROL!$C$42, 21.1297, 21.1297)* CHOOSE(CONTROL!$C$21, $C$9, 100%, $E$9)</f>
        <v>21.1297</v>
      </c>
      <c r="K421" s="53">
        <f>CHOOSE(CONTROL!$C$42, 21.208, 21.208) * CHOOSE(CONTROL!$C$21, $C$9, 100%, $E$9)</f>
        <v>21.207999999999998</v>
      </c>
      <c r="L421" s="14">
        <f>CHOOSE(CONTROL!$C$42, 21.8042, 21.8042) * CHOOSE(CONTROL!$C$21, $C$9, 100%, $E$9)</f>
        <v>21.804200000000002</v>
      </c>
      <c r="M421" s="14">
        <f>CHOOSE(CONTROL!$C$42, 20.7045, 20.7045) * CHOOSE(CONTROL!$C$21, $C$9, 100%, $E$9)</f>
        <v>20.704499999999999</v>
      </c>
      <c r="N421" s="14">
        <f>CHOOSE(CONTROL!$C$42, 20.7221, 20.7221) * CHOOSE(CONTROL!$C$21, $C$9, 100%, $E$9)</f>
        <v>20.722100000000001</v>
      </c>
      <c r="O421" s="14">
        <f>CHOOSE(CONTROL!$C$42, 20.7902, 20.7902) * CHOOSE(CONTROL!$C$21, $C$9, 100%, $E$9)</f>
        <v>20.790199999999999</v>
      </c>
      <c r="P421" s="14">
        <f>CHOOSE(CONTROL!$C$42, 20.7837, 20.7837) * CHOOSE(CONTROL!$C$21, $C$9, 100%, $E$9)</f>
        <v>20.7837</v>
      </c>
      <c r="Q421" s="14">
        <f>CHOOSE(CONTROL!$C$42, 21.3849, 21.3849) * CHOOSE(CONTROL!$C$21, $C$9, 100%, $E$9)</f>
        <v>21.384899999999998</v>
      </c>
      <c r="R421" s="14">
        <f>CHOOSE(CONTROL!$C$42, 22.0253, 22.0253) * CHOOSE(CONTROL!$C$21, $C$9, 100%, $E$9)</f>
        <v>22.025300000000001</v>
      </c>
      <c r="S421" s="14">
        <f>CHOOSE(CONTROL!$C$42, 20.278, 20.278) * CHOOSE(CONTROL!$C$21, $C$9, 100%, $E$9)</f>
        <v>20.277999999999999</v>
      </c>
      <c r="T4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21" s="57">
        <f>(1000*CHOOSE(CONTROL!$C$42, 695, 695)*CHOOSE(CONTROL!$C$42, 0.5599, 0.5599)*CHOOSE(CONTROL!$C$42, 31, 31))/1000000</f>
        <v>12.063045499999998</v>
      </c>
      <c r="V421" s="57">
        <f>(1000*CHOOSE(CONTROL!$C$42, 500, 500)*CHOOSE(CONTROL!$C$42, 0.275, 0.275)*CHOOSE(CONTROL!$C$42, 31, 31))/1000000</f>
        <v>4.2625000000000002</v>
      </c>
      <c r="W421" s="57">
        <f>(1000*CHOOSE(CONTROL!$C$42, 0.1146, 0.1146)*CHOOSE(CONTROL!$C$42, 121.5, 121.5)*CHOOSE(CONTROL!$C$42, 31, 31))/1000000</f>
        <v>0.43164089999999994</v>
      </c>
      <c r="X421" s="57">
        <f>(31*0.1790888*100000/1000000)+(31*0.2374*100000/1000000)</f>
        <v>1.2911152800000001</v>
      </c>
      <c r="Y421" s="57"/>
      <c r="Z421" s="14"/>
      <c r="AA421" s="56"/>
      <c r="AB421" s="50">
        <f>(B421*122.58+C421*297.941+D421*89.177+E421*40.302+F421*40+G421*160+H421*0+I421*100+J421*300)/(122.58+297.941+89.177+40.302+0+40+160+100+300)</f>
        <v>21.143841849913041</v>
      </c>
      <c r="AC421" s="45">
        <f>(M421*'RAP TEMPLATE-GAS AVAILABILITY'!O420+N421*'RAP TEMPLATE-GAS AVAILABILITY'!P420+O421*'RAP TEMPLATE-GAS AVAILABILITY'!Q420+P421*'RAP TEMPLATE-GAS AVAILABILITY'!R420)/('RAP TEMPLATE-GAS AVAILABILITY'!O420+'RAP TEMPLATE-GAS AVAILABILITY'!P420+'RAP TEMPLATE-GAS AVAILABILITY'!Q420+'RAP TEMPLATE-GAS AVAILABILITY'!R420)</f>
        <v>20.75575107913669</v>
      </c>
    </row>
    <row r="422" spans="1:29" ht="15.75" x14ac:dyDescent="0.25">
      <c r="A422" s="33">
        <v>53751</v>
      </c>
      <c r="B422" s="14">
        <f>CHOOSE(CONTROL!$C$42, 21.4877, 21.4877) * CHOOSE(CONTROL!$C$21, $C$9, 100%, $E$9)</f>
        <v>21.4877</v>
      </c>
      <c r="C422" s="14">
        <f>CHOOSE(CONTROL!$C$42, 21.4927, 21.4927) * CHOOSE(CONTROL!$C$21, $C$9, 100%, $E$9)</f>
        <v>21.492699999999999</v>
      </c>
      <c r="D422" s="14">
        <f>CHOOSE(CONTROL!$C$42, 21.5695, 21.5695) * CHOOSE(CONTROL!$C$21, $C$9, 100%, $E$9)</f>
        <v>21.569500000000001</v>
      </c>
      <c r="E422" s="14">
        <f>CHOOSE(CONTROL!$C$42, 21.6037, 21.6037) * CHOOSE(CONTROL!$C$21, $C$9, 100%, $E$9)</f>
        <v>21.6037</v>
      </c>
      <c r="F422" s="14">
        <f>CHOOSE(CONTROL!$C$42, 21.512, 21.512)*CHOOSE(CONTROL!$C$21, $C$9, 100%, $E$9)</f>
        <v>21.512</v>
      </c>
      <c r="G422" s="14">
        <f>CHOOSE(CONTROL!$C$42, 21.5299, 21.5299)*CHOOSE(CONTROL!$C$21, $C$9, 100%, $E$9)</f>
        <v>21.529900000000001</v>
      </c>
      <c r="H422" s="14">
        <f>CHOOSE(CONTROL!$C$42, 21.5929, 21.5929) * CHOOSE(CONTROL!$C$21, $C$9, 100%, $E$9)</f>
        <v>21.5929</v>
      </c>
      <c r="I422" s="14">
        <f>CHOOSE(CONTROL!$C$42, 21.5887, 21.5887)* CHOOSE(CONTROL!$C$21, $C$9, 100%, $E$9)</f>
        <v>21.588699999999999</v>
      </c>
      <c r="J422" s="14">
        <f>CHOOSE(CONTROL!$C$42, 21.505, 21.505)* CHOOSE(CONTROL!$C$21, $C$9, 100%, $E$9)</f>
        <v>21.504999999999999</v>
      </c>
      <c r="K422" s="53">
        <f>CHOOSE(CONTROL!$C$42, 21.5848, 21.5848) * CHOOSE(CONTROL!$C$21, $C$9, 100%, $E$9)</f>
        <v>21.584800000000001</v>
      </c>
      <c r="L422" s="14">
        <f>CHOOSE(CONTROL!$C$42, 22.1799, 22.1799) * CHOOSE(CONTROL!$C$21, $C$9, 100%, $E$9)</f>
        <v>22.1799</v>
      </c>
      <c r="M422" s="14">
        <f>CHOOSE(CONTROL!$C$42, 21.0721, 21.0721) * CHOOSE(CONTROL!$C$21, $C$9, 100%, $E$9)</f>
        <v>21.072099999999999</v>
      </c>
      <c r="N422" s="14">
        <f>CHOOSE(CONTROL!$C$42, 21.0896, 21.0896) * CHOOSE(CONTROL!$C$21, $C$9, 100%, $E$9)</f>
        <v>21.089600000000001</v>
      </c>
      <c r="O422" s="14">
        <f>CHOOSE(CONTROL!$C$42, 21.1581, 21.1581) * CHOOSE(CONTROL!$C$21, $C$9, 100%, $E$9)</f>
        <v>21.158100000000001</v>
      </c>
      <c r="P422" s="14">
        <f>CHOOSE(CONTROL!$C$42, 21.1528, 21.1528) * CHOOSE(CONTROL!$C$21, $C$9, 100%, $E$9)</f>
        <v>21.152799999999999</v>
      </c>
      <c r="Q422" s="14">
        <f>CHOOSE(CONTROL!$C$42, 21.7528, 21.7528) * CHOOSE(CONTROL!$C$21, $C$9, 100%, $E$9)</f>
        <v>21.752800000000001</v>
      </c>
      <c r="R422" s="14">
        <f>CHOOSE(CONTROL!$C$42, 22.3942, 22.3942) * CHOOSE(CONTROL!$C$21, $C$9, 100%, $E$9)</f>
        <v>22.394200000000001</v>
      </c>
      <c r="S422" s="14">
        <f>CHOOSE(CONTROL!$C$42, 20.639, 20.639) * CHOOSE(CONTROL!$C$21, $C$9, 100%, $E$9)</f>
        <v>20.638999999999999</v>
      </c>
      <c r="T42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22" s="57">
        <f>(1000*CHOOSE(CONTROL!$C$42, 695, 695)*CHOOSE(CONTROL!$C$42, 0.5599, 0.5599)*CHOOSE(CONTROL!$C$42, 28, 28))/1000000</f>
        <v>10.895653999999999</v>
      </c>
      <c r="V422" s="57">
        <f>(1000*CHOOSE(CONTROL!$C$42, 500, 500)*CHOOSE(CONTROL!$C$42, 0.275, 0.275)*CHOOSE(CONTROL!$C$42, 28, 28))/1000000</f>
        <v>3.85</v>
      </c>
      <c r="W422" s="57">
        <f>(1000*CHOOSE(CONTROL!$C$42, 0.1146, 0.1146)*CHOOSE(CONTROL!$C$42, 121.5, 121.5)*CHOOSE(CONTROL!$C$42, 28, 28))/1000000</f>
        <v>0.38986920000000003</v>
      </c>
      <c r="X422" s="57">
        <f>(28*0.1790888*100000/1000000)+(28*0.2374*100000/1000000)</f>
        <v>1.16616864</v>
      </c>
      <c r="Y422" s="57"/>
      <c r="Z422" s="14"/>
      <c r="AA422" s="56"/>
      <c r="AB422" s="50">
        <f>(B422*122.58+C422*297.941+D422*89.177+E422*40.302+F422*40+G422*160+H422*0+I422*100+J422*300)/(122.58+297.941+89.177+40.302+0+40+160+100+300)</f>
        <v>21.519416013565216</v>
      </c>
      <c r="AC422" s="45">
        <f>(M422*'RAP TEMPLATE-GAS AVAILABILITY'!O421+N422*'RAP TEMPLATE-GAS AVAILABILITY'!P421+O422*'RAP TEMPLATE-GAS AVAILABILITY'!Q421+P422*'RAP TEMPLATE-GAS AVAILABILITY'!R421)/('RAP TEMPLATE-GAS AVAILABILITY'!O421+'RAP TEMPLATE-GAS AVAILABILITY'!P421+'RAP TEMPLATE-GAS AVAILABILITY'!Q421+'RAP TEMPLATE-GAS AVAILABILITY'!R421)</f>
        <v>21.123697122302158</v>
      </c>
    </row>
    <row r="423" spans="1:29" ht="15.75" x14ac:dyDescent="0.25">
      <c r="A423" s="33">
        <v>53782</v>
      </c>
      <c r="B423" s="14">
        <f>CHOOSE(CONTROL!$C$42, 20.8779, 20.8779) * CHOOSE(CONTROL!$C$21, $C$9, 100%, $E$9)</f>
        <v>20.8779</v>
      </c>
      <c r="C423" s="14">
        <f>CHOOSE(CONTROL!$C$42, 20.8829, 20.8829) * CHOOSE(CONTROL!$C$21, $C$9, 100%, $E$9)</f>
        <v>20.882899999999999</v>
      </c>
      <c r="D423" s="14">
        <f>CHOOSE(CONTROL!$C$42, 20.9598, 20.9598) * CHOOSE(CONTROL!$C$21, $C$9, 100%, $E$9)</f>
        <v>20.959800000000001</v>
      </c>
      <c r="E423" s="14">
        <f>CHOOSE(CONTROL!$C$42, 20.9939, 20.9939) * CHOOSE(CONTROL!$C$21, $C$9, 100%, $E$9)</f>
        <v>20.9939</v>
      </c>
      <c r="F423" s="14">
        <f>CHOOSE(CONTROL!$C$42, 20.9014, 20.9014)*CHOOSE(CONTROL!$C$21, $C$9, 100%, $E$9)</f>
        <v>20.901399999999999</v>
      </c>
      <c r="G423" s="14">
        <f>CHOOSE(CONTROL!$C$42, 20.919, 20.919)*CHOOSE(CONTROL!$C$21, $C$9, 100%, $E$9)</f>
        <v>20.919</v>
      </c>
      <c r="H423" s="14">
        <f>CHOOSE(CONTROL!$C$42, 20.9831, 20.9831) * CHOOSE(CONTROL!$C$21, $C$9, 100%, $E$9)</f>
        <v>20.9831</v>
      </c>
      <c r="I423" s="14">
        <f>CHOOSE(CONTROL!$C$42, 20.977, 20.977)* CHOOSE(CONTROL!$C$21, $C$9, 100%, $E$9)</f>
        <v>20.977</v>
      </c>
      <c r="J423" s="14">
        <f>CHOOSE(CONTROL!$C$42, 20.8944, 20.8944)* CHOOSE(CONTROL!$C$21, $C$9, 100%, $E$9)</f>
        <v>20.894400000000001</v>
      </c>
      <c r="K423" s="53">
        <f>CHOOSE(CONTROL!$C$42, 20.9731, 20.9731) * CHOOSE(CONTROL!$C$21, $C$9, 100%, $E$9)</f>
        <v>20.973099999999999</v>
      </c>
      <c r="L423" s="14">
        <f>CHOOSE(CONTROL!$C$42, 21.5701, 21.5701) * CHOOSE(CONTROL!$C$21, $C$9, 100%, $E$9)</f>
        <v>21.5701</v>
      </c>
      <c r="M423" s="14">
        <f>CHOOSE(CONTROL!$C$42, 20.4739, 20.4739) * CHOOSE(CONTROL!$C$21, $C$9, 100%, $E$9)</f>
        <v>20.4739</v>
      </c>
      <c r="N423" s="14">
        <f>CHOOSE(CONTROL!$C$42, 20.4912, 20.4912) * CHOOSE(CONTROL!$C$21, $C$9, 100%, $E$9)</f>
        <v>20.491199999999999</v>
      </c>
      <c r="O423" s="14">
        <f>CHOOSE(CONTROL!$C$42, 20.5608, 20.5608) * CHOOSE(CONTROL!$C$21, $C$9, 100%, $E$9)</f>
        <v>20.5608</v>
      </c>
      <c r="P423" s="14">
        <f>CHOOSE(CONTROL!$C$42, 20.5536, 20.5536) * CHOOSE(CONTROL!$C$21, $C$9, 100%, $E$9)</f>
        <v>20.553599999999999</v>
      </c>
      <c r="Q423" s="14">
        <f>CHOOSE(CONTROL!$C$42, 21.1555, 21.1555) * CHOOSE(CONTROL!$C$21, $C$9, 100%, $E$9)</f>
        <v>21.1555</v>
      </c>
      <c r="R423" s="14">
        <f>CHOOSE(CONTROL!$C$42, 21.7954, 21.7954) * CHOOSE(CONTROL!$C$21, $C$9, 100%, $E$9)</f>
        <v>21.795400000000001</v>
      </c>
      <c r="S423" s="14">
        <f>CHOOSE(CONTROL!$C$42, 20.053, 20.053) * CHOOSE(CONTROL!$C$21, $C$9, 100%, $E$9)</f>
        <v>20.053000000000001</v>
      </c>
      <c r="T4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23" s="57">
        <f>(1000*CHOOSE(CONTROL!$C$42, 695, 695)*CHOOSE(CONTROL!$C$42, 0.5599, 0.5599)*CHOOSE(CONTROL!$C$42, 31, 31))/1000000</f>
        <v>12.063045499999998</v>
      </c>
      <c r="V423" s="57">
        <f>(1000*CHOOSE(CONTROL!$C$42, 500, 500)*CHOOSE(CONTROL!$C$42, 0.275, 0.275)*CHOOSE(CONTROL!$C$42, 31, 31))/1000000</f>
        <v>4.2625000000000002</v>
      </c>
      <c r="W423" s="57">
        <f>(1000*CHOOSE(CONTROL!$C$42, 0.1146, 0.1146)*CHOOSE(CONTROL!$C$42, 121.5, 121.5)*CHOOSE(CONTROL!$C$42, 31, 31))/1000000</f>
        <v>0.43164089999999994</v>
      </c>
      <c r="X423" s="57">
        <f>(31*0.1790888*100000/1000000)+(31*0.2374*100000/1000000)</f>
        <v>1.2911152800000001</v>
      </c>
      <c r="Y423" s="57"/>
      <c r="Z423" s="14"/>
      <c r="AA423" s="56"/>
      <c r="AB423" s="50">
        <f>(B423*122.58+C423*297.941+D423*89.177+E423*40.302+F423*40+G423*160+H423*0+I423*100+J423*300)/(122.58+297.941+89.177+40.302+0+40+160+100+300)</f>
        <v>20.909068985478264</v>
      </c>
      <c r="AC423" s="45">
        <f>(M423*'RAP TEMPLATE-GAS AVAILABILITY'!O422+N423*'RAP TEMPLATE-GAS AVAILABILITY'!P422+O423*'RAP TEMPLATE-GAS AVAILABILITY'!Q422+P423*'RAP TEMPLATE-GAS AVAILABILITY'!R422)/('RAP TEMPLATE-GAS AVAILABILITY'!O422+'RAP TEMPLATE-GAS AVAILABILITY'!P422+'RAP TEMPLATE-GAS AVAILABILITY'!Q422+'RAP TEMPLATE-GAS AVAILABILITY'!R422)</f>
        <v>20.525749640287771</v>
      </c>
    </row>
    <row r="424" spans="1:29" ht="15.75" x14ac:dyDescent="0.25">
      <c r="A424" s="33">
        <v>53812</v>
      </c>
      <c r="B424" s="14">
        <f>CHOOSE(CONTROL!$C$42, 20.8164, 20.8164) * CHOOSE(CONTROL!$C$21, $C$9, 100%, $E$9)</f>
        <v>20.816400000000002</v>
      </c>
      <c r="C424" s="14">
        <f>CHOOSE(CONTROL!$C$42, 20.8209, 20.8209) * CHOOSE(CONTROL!$C$21, $C$9, 100%, $E$9)</f>
        <v>20.820900000000002</v>
      </c>
      <c r="D424" s="14">
        <f>CHOOSE(CONTROL!$C$42, 21.0446, 21.0446) * CHOOSE(CONTROL!$C$21, $C$9, 100%, $E$9)</f>
        <v>21.044599999999999</v>
      </c>
      <c r="E424" s="14">
        <f>CHOOSE(CONTROL!$C$42, 21.0767, 21.0767) * CHOOSE(CONTROL!$C$21, $C$9, 100%, $E$9)</f>
        <v>21.076699999999999</v>
      </c>
      <c r="F424" s="14">
        <f>CHOOSE(CONTROL!$C$42, 20.8441, 20.8441)*CHOOSE(CONTROL!$C$21, $C$9, 100%, $E$9)</f>
        <v>20.844100000000001</v>
      </c>
      <c r="G424" s="14">
        <f>CHOOSE(CONTROL!$C$42, 20.861, 20.861)*CHOOSE(CONTROL!$C$21, $C$9, 100%, $E$9)</f>
        <v>20.861000000000001</v>
      </c>
      <c r="H424" s="14">
        <f>CHOOSE(CONTROL!$C$42, 21.0665, 21.0665) * CHOOSE(CONTROL!$C$21, $C$9, 100%, $E$9)</f>
        <v>21.066500000000001</v>
      </c>
      <c r="I424" s="14">
        <f>CHOOSE(CONTROL!$C$42, 20.9109, 20.9109)* CHOOSE(CONTROL!$C$21, $C$9, 100%, $E$9)</f>
        <v>20.910900000000002</v>
      </c>
      <c r="J424" s="14">
        <f>CHOOSE(CONTROL!$C$42, 20.8371, 20.8371)* CHOOSE(CONTROL!$C$21, $C$9, 100%, $E$9)</f>
        <v>20.8371</v>
      </c>
      <c r="K424" s="53">
        <f>CHOOSE(CONTROL!$C$42, 20.907, 20.907) * CHOOSE(CONTROL!$C$21, $C$9, 100%, $E$9)</f>
        <v>20.907</v>
      </c>
      <c r="L424" s="14">
        <f>CHOOSE(CONTROL!$C$42, 21.6535, 21.6535) * CHOOSE(CONTROL!$C$21, $C$9, 100%, $E$9)</f>
        <v>21.653500000000001</v>
      </c>
      <c r="M424" s="14">
        <f>CHOOSE(CONTROL!$C$42, 20.4179, 20.4179) * CHOOSE(CONTROL!$C$21, $C$9, 100%, $E$9)</f>
        <v>20.417899999999999</v>
      </c>
      <c r="N424" s="14">
        <f>CHOOSE(CONTROL!$C$42, 20.4344, 20.4344) * CHOOSE(CONTROL!$C$21, $C$9, 100%, $E$9)</f>
        <v>20.4344</v>
      </c>
      <c r="O424" s="14">
        <f>CHOOSE(CONTROL!$C$42, 20.6426, 20.6426) * CHOOSE(CONTROL!$C$21, $C$9, 100%, $E$9)</f>
        <v>20.642600000000002</v>
      </c>
      <c r="P424" s="14">
        <f>CHOOSE(CONTROL!$C$42, 20.4889, 20.4889) * CHOOSE(CONTROL!$C$21, $C$9, 100%, $E$9)</f>
        <v>20.488900000000001</v>
      </c>
      <c r="Q424" s="14">
        <f>CHOOSE(CONTROL!$C$42, 21.2373, 21.2373) * CHOOSE(CONTROL!$C$21, $C$9, 100%, $E$9)</f>
        <v>21.237300000000001</v>
      </c>
      <c r="R424" s="14">
        <f>CHOOSE(CONTROL!$C$42, 21.8774, 21.8774) * CHOOSE(CONTROL!$C$21, $C$9, 100%, $E$9)</f>
        <v>21.877400000000002</v>
      </c>
      <c r="S424" s="14">
        <f>CHOOSE(CONTROL!$C$42, 19.9932, 19.9932) * CHOOSE(CONTROL!$C$21, $C$9, 100%, $E$9)</f>
        <v>19.993200000000002</v>
      </c>
      <c r="T4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24" s="57">
        <f>(1000*CHOOSE(CONTROL!$C$42, 695, 695)*CHOOSE(CONTROL!$C$42, 0.5599, 0.5599)*CHOOSE(CONTROL!$C$42, 30, 30))/1000000</f>
        <v>11.673914999999997</v>
      </c>
      <c r="V424" s="57">
        <f>(1000*CHOOSE(CONTROL!$C$42, 500, 500)*CHOOSE(CONTROL!$C$42, 0.275, 0.275)*CHOOSE(CONTROL!$C$42, 30, 30))/1000000</f>
        <v>4.125</v>
      </c>
      <c r="W424" s="57">
        <f>(1000*CHOOSE(CONTROL!$C$42, 0.1146, 0.1146)*CHOOSE(CONTROL!$C$42, 121.5, 121.5)*CHOOSE(CONTROL!$C$42, 30, 30))/1000000</f>
        <v>0.417717</v>
      </c>
      <c r="X424" s="57">
        <f>(30*0.1790888*245000/1000000)+(30*0.2374*100000/1000000)</f>
        <v>2.0285026799999999</v>
      </c>
      <c r="Y424" s="57"/>
      <c r="Z424" s="14"/>
      <c r="AA424" s="56"/>
      <c r="AB424" s="50">
        <f>(B424*141.293+C424*267.993+D424*115.016+E424*89.698+F424*40+G424*185+H424*0+I424*100+J424*300)/(141.293+267.993+115.016+89.698+0+40+185+100+300)</f>
        <v>20.877594519047623</v>
      </c>
      <c r="AC424" s="45">
        <f>(M424*'RAP TEMPLATE-GAS AVAILABILITY'!O423+N424*'RAP TEMPLATE-GAS AVAILABILITY'!P423+O424*'RAP TEMPLATE-GAS AVAILABILITY'!Q423+P424*'RAP TEMPLATE-GAS AVAILABILITY'!R423)/('RAP TEMPLATE-GAS AVAILABILITY'!O423+'RAP TEMPLATE-GAS AVAILABILITY'!P423+'RAP TEMPLATE-GAS AVAILABILITY'!Q423+'RAP TEMPLATE-GAS AVAILABILITY'!R423)</f>
        <v>20.494959712230216</v>
      </c>
    </row>
    <row r="425" spans="1:29" ht="15.75" x14ac:dyDescent="0.25">
      <c r="A425" s="33">
        <v>53843</v>
      </c>
      <c r="B425" s="14">
        <f>CHOOSE(CONTROL!$C$42, 21.0014, 21.0014) * CHOOSE(CONTROL!$C$21, $C$9, 100%, $E$9)</f>
        <v>21.0014</v>
      </c>
      <c r="C425" s="14">
        <f>CHOOSE(CONTROL!$C$42, 21.0095, 21.0095) * CHOOSE(CONTROL!$C$21, $C$9, 100%, $E$9)</f>
        <v>21.009499999999999</v>
      </c>
      <c r="D425" s="14">
        <f>CHOOSE(CONTROL!$C$42, 21.2301, 21.2301) * CHOOSE(CONTROL!$C$21, $C$9, 100%, $E$9)</f>
        <v>21.2301</v>
      </c>
      <c r="E425" s="14">
        <f>CHOOSE(CONTROL!$C$42, 21.2615, 21.2615) * CHOOSE(CONTROL!$C$21, $C$9, 100%, $E$9)</f>
        <v>21.261500000000002</v>
      </c>
      <c r="F425" s="14">
        <f>CHOOSE(CONTROL!$C$42, 21.0277, 21.0277)*CHOOSE(CONTROL!$C$21, $C$9, 100%, $E$9)</f>
        <v>21.027699999999999</v>
      </c>
      <c r="G425" s="14">
        <f>CHOOSE(CONTROL!$C$42, 21.0448, 21.0448)*CHOOSE(CONTROL!$C$21, $C$9, 100%, $E$9)</f>
        <v>21.044799999999999</v>
      </c>
      <c r="H425" s="14">
        <f>CHOOSE(CONTROL!$C$42, 21.2502, 21.2502) * CHOOSE(CONTROL!$C$21, $C$9, 100%, $E$9)</f>
        <v>21.2502</v>
      </c>
      <c r="I425" s="14">
        <f>CHOOSE(CONTROL!$C$42, 21.0951, 21.0951)* CHOOSE(CONTROL!$C$21, $C$9, 100%, $E$9)</f>
        <v>21.095099999999999</v>
      </c>
      <c r="J425" s="14">
        <f>CHOOSE(CONTROL!$C$42, 21.0207, 21.0207)* CHOOSE(CONTROL!$C$21, $C$9, 100%, $E$9)</f>
        <v>21.020700000000001</v>
      </c>
      <c r="K425" s="53">
        <f>CHOOSE(CONTROL!$C$42, 21.0912, 21.0912) * CHOOSE(CONTROL!$C$21, $C$9, 100%, $E$9)</f>
        <v>21.091200000000001</v>
      </c>
      <c r="L425" s="14">
        <f>CHOOSE(CONTROL!$C$42, 21.8372, 21.8372) * CHOOSE(CONTROL!$C$21, $C$9, 100%, $E$9)</f>
        <v>21.837199999999999</v>
      </c>
      <c r="M425" s="14">
        <f>CHOOSE(CONTROL!$C$42, 20.5977, 20.5977) * CHOOSE(CONTROL!$C$21, $C$9, 100%, $E$9)</f>
        <v>20.5977</v>
      </c>
      <c r="N425" s="14">
        <f>CHOOSE(CONTROL!$C$42, 20.6145, 20.6145) * CHOOSE(CONTROL!$C$21, $C$9, 100%, $E$9)</f>
        <v>20.6145</v>
      </c>
      <c r="O425" s="14">
        <f>CHOOSE(CONTROL!$C$42, 20.8224, 20.8224) * CHOOSE(CONTROL!$C$21, $C$9, 100%, $E$9)</f>
        <v>20.822399999999998</v>
      </c>
      <c r="P425" s="14">
        <f>CHOOSE(CONTROL!$C$42, 20.6693, 20.6693) * CHOOSE(CONTROL!$C$21, $C$9, 100%, $E$9)</f>
        <v>20.6693</v>
      </c>
      <c r="Q425" s="14">
        <f>CHOOSE(CONTROL!$C$42, 21.4171, 21.4171) * CHOOSE(CONTROL!$C$21, $C$9, 100%, $E$9)</f>
        <v>21.417100000000001</v>
      </c>
      <c r="R425" s="14">
        <f>CHOOSE(CONTROL!$C$42, 22.0577, 22.0577) * CHOOSE(CONTROL!$C$21, $C$9, 100%, $E$9)</f>
        <v>22.057700000000001</v>
      </c>
      <c r="S425" s="14">
        <f>CHOOSE(CONTROL!$C$42, 20.1697, 20.1697) * CHOOSE(CONTROL!$C$21, $C$9, 100%, $E$9)</f>
        <v>20.169699999999999</v>
      </c>
      <c r="T4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25" s="57">
        <f>(1000*CHOOSE(CONTROL!$C$42, 695, 695)*CHOOSE(CONTROL!$C$42, 0.5599, 0.5599)*CHOOSE(CONTROL!$C$42, 31, 31))/1000000</f>
        <v>12.063045499999998</v>
      </c>
      <c r="V425" s="57">
        <f>(1000*CHOOSE(CONTROL!$C$42, 500, 500)*CHOOSE(CONTROL!$C$42, 0.275, 0.275)*CHOOSE(CONTROL!$C$42, 31, 31))/1000000</f>
        <v>4.2625000000000002</v>
      </c>
      <c r="W425" s="57">
        <f>(1000*CHOOSE(CONTROL!$C$42, 0.1146, 0.1146)*CHOOSE(CONTROL!$C$42, 121.5, 121.5)*CHOOSE(CONTROL!$C$42, 31, 31))/1000000</f>
        <v>0.43164089999999994</v>
      </c>
      <c r="X425" s="57">
        <f>(31*0.1790888*245000/1000000)+(31*0.2374*100000/1000000)</f>
        <v>2.0961194359999999</v>
      </c>
      <c r="Y425" s="57"/>
      <c r="Z425" s="14"/>
      <c r="AA425" s="56"/>
      <c r="AB425" s="50">
        <f>(B425*194.205+C425*267.466+D425*133.845+E425*53.484+F425*40+G425*185+H425*0+I425*100+J425*300)/(194.205+267.466+133.845+53.484+0+40+185+100+300)</f>
        <v>21.057074265698585</v>
      </c>
      <c r="AC425" s="45">
        <f>(M425*'RAP TEMPLATE-GAS AVAILABILITY'!O424+N425*'RAP TEMPLATE-GAS AVAILABILITY'!P424+O425*'RAP TEMPLATE-GAS AVAILABILITY'!Q424+P425*'RAP TEMPLATE-GAS AVAILABILITY'!R424)/('RAP TEMPLATE-GAS AVAILABILITY'!O424+'RAP TEMPLATE-GAS AVAILABILITY'!P424+'RAP TEMPLATE-GAS AVAILABILITY'!Q424+'RAP TEMPLATE-GAS AVAILABILITY'!R424)</f>
        <v>20.674915107913666</v>
      </c>
    </row>
    <row r="426" spans="1:29" ht="15.75" x14ac:dyDescent="0.25">
      <c r="A426" s="33">
        <v>53873</v>
      </c>
      <c r="B426" s="14">
        <f>CHOOSE(CONTROL!$C$42, 21.5968, 21.5968) * CHOOSE(CONTROL!$C$21, $C$9, 100%, $E$9)</f>
        <v>21.596800000000002</v>
      </c>
      <c r="C426" s="14">
        <f>CHOOSE(CONTROL!$C$42, 21.6049, 21.6049) * CHOOSE(CONTROL!$C$21, $C$9, 100%, $E$9)</f>
        <v>21.604900000000001</v>
      </c>
      <c r="D426" s="14">
        <f>CHOOSE(CONTROL!$C$42, 21.8254, 21.8254) * CHOOSE(CONTROL!$C$21, $C$9, 100%, $E$9)</f>
        <v>21.825399999999998</v>
      </c>
      <c r="E426" s="14">
        <f>CHOOSE(CONTROL!$C$42, 21.8569, 21.8569) * CHOOSE(CONTROL!$C$21, $C$9, 100%, $E$9)</f>
        <v>21.8569</v>
      </c>
      <c r="F426" s="14">
        <f>CHOOSE(CONTROL!$C$42, 21.6235, 21.6235)*CHOOSE(CONTROL!$C$21, $C$9, 100%, $E$9)</f>
        <v>21.6235</v>
      </c>
      <c r="G426" s="14">
        <f>CHOOSE(CONTROL!$C$42, 21.6407, 21.6407)*CHOOSE(CONTROL!$C$21, $C$9, 100%, $E$9)</f>
        <v>21.640699999999999</v>
      </c>
      <c r="H426" s="14">
        <f>CHOOSE(CONTROL!$C$42, 21.8455, 21.8455) * CHOOSE(CONTROL!$C$21, $C$9, 100%, $E$9)</f>
        <v>21.845500000000001</v>
      </c>
      <c r="I426" s="14">
        <f>CHOOSE(CONTROL!$C$42, 21.6924, 21.6924)* CHOOSE(CONTROL!$C$21, $C$9, 100%, $E$9)</f>
        <v>21.692399999999999</v>
      </c>
      <c r="J426" s="14">
        <f>CHOOSE(CONTROL!$C$42, 21.6165, 21.6165)* CHOOSE(CONTROL!$C$21, $C$9, 100%, $E$9)</f>
        <v>21.616499999999998</v>
      </c>
      <c r="K426" s="53">
        <f>CHOOSE(CONTROL!$C$42, 21.6885, 21.6885) * CHOOSE(CONTROL!$C$21, $C$9, 100%, $E$9)</f>
        <v>21.688500000000001</v>
      </c>
      <c r="L426" s="14">
        <f>CHOOSE(CONTROL!$C$42, 22.4325, 22.4325) * CHOOSE(CONTROL!$C$21, $C$9, 100%, $E$9)</f>
        <v>22.432500000000001</v>
      </c>
      <c r="M426" s="14">
        <f>CHOOSE(CONTROL!$C$42, 21.1812, 21.1812) * CHOOSE(CONTROL!$C$21, $C$9, 100%, $E$9)</f>
        <v>21.1812</v>
      </c>
      <c r="N426" s="14">
        <f>CHOOSE(CONTROL!$C$42, 21.1981, 21.1981) * CHOOSE(CONTROL!$C$21, $C$9, 100%, $E$9)</f>
        <v>21.1981</v>
      </c>
      <c r="O426" s="14">
        <f>CHOOSE(CONTROL!$C$42, 21.4056, 21.4056) * CHOOSE(CONTROL!$C$21, $C$9, 100%, $E$9)</f>
        <v>21.4056</v>
      </c>
      <c r="P426" s="14">
        <f>CHOOSE(CONTROL!$C$42, 21.2543, 21.2543) * CHOOSE(CONTROL!$C$21, $C$9, 100%, $E$9)</f>
        <v>21.254300000000001</v>
      </c>
      <c r="Q426" s="14">
        <f>CHOOSE(CONTROL!$C$42, 22.0003, 22.0003) * CHOOSE(CONTROL!$C$21, $C$9, 100%, $E$9)</f>
        <v>22.000299999999999</v>
      </c>
      <c r="R426" s="14">
        <f>CHOOSE(CONTROL!$C$42, 22.6423, 22.6423) * CHOOSE(CONTROL!$C$21, $C$9, 100%, $E$9)</f>
        <v>22.642299999999999</v>
      </c>
      <c r="S426" s="14">
        <f>CHOOSE(CONTROL!$C$42, 20.7418, 20.7418) * CHOOSE(CONTROL!$C$21, $C$9, 100%, $E$9)</f>
        <v>20.741800000000001</v>
      </c>
      <c r="T4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26" s="57">
        <f>(1000*CHOOSE(CONTROL!$C$42, 695, 695)*CHOOSE(CONTROL!$C$42, 0.5599, 0.5599)*CHOOSE(CONTROL!$C$42, 30, 30))/1000000</f>
        <v>11.673914999999997</v>
      </c>
      <c r="V426" s="57">
        <f>(1000*CHOOSE(CONTROL!$C$42, 500, 500)*CHOOSE(CONTROL!$C$42, 0.275, 0.275)*CHOOSE(CONTROL!$C$42, 30, 30))/1000000</f>
        <v>4.125</v>
      </c>
      <c r="W426" s="57">
        <f>(1000*CHOOSE(CONTROL!$C$42, 0.1146, 0.1146)*CHOOSE(CONTROL!$C$42, 121.5, 121.5)*CHOOSE(CONTROL!$C$42, 30, 30))/1000000</f>
        <v>0.417717</v>
      </c>
      <c r="X426" s="57">
        <f>(30*0.1790888*245000/1000000)+(30*0.2374*100000/1000000)</f>
        <v>2.0285026799999999</v>
      </c>
      <c r="Y426" s="57"/>
      <c r="Z426" s="14"/>
      <c r="AA426" s="56"/>
      <c r="AB426" s="50">
        <f>(B426*194.205+C426*267.466+D426*133.845+E426*53.484+F426*40+G426*185+H426*0+I426*100+J426*300)/(194.205+267.466+133.845+53.484+0+40+185+100+300)</f>
        <v>21.652792252747251</v>
      </c>
      <c r="AC426" s="45">
        <f>(M426*'RAP TEMPLATE-GAS AVAILABILITY'!O425+N426*'RAP TEMPLATE-GAS AVAILABILITY'!P425+O426*'RAP TEMPLATE-GAS AVAILABILITY'!Q425+P426*'RAP TEMPLATE-GAS AVAILABILITY'!R425)/('RAP TEMPLATE-GAS AVAILABILITY'!O425+'RAP TEMPLATE-GAS AVAILABILITY'!P425+'RAP TEMPLATE-GAS AVAILABILITY'!Q425+'RAP TEMPLATE-GAS AVAILABILITY'!R425)</f>
        <v>21.258569784172664</v>
      </c>
    </row>
    <row r="427" spans="1:29" ht="15.75" x14ac:dyDescent="0.25">
      <c r="A427" s="33">
        <v>53904</v>
      </c>
      <c r="B427" s="14">
        <f>CHOOSE(CONTROL!$C$42, 21.1827, 21.1827) * CHOOSE(CONTROL!$C$21, $C$9, 100%, $E$9)</f>
        <v>21.182700000000001</v>
      </c>
      <c r="C427" s="14">
        <f>CHOOSE(CONTROL!$C$42, 21.1908, 21.1908) * CHOOSE(CONTROL!$C$21, $C$9, 100%, $E$9)</f>
        <v>21.190799999999999</v>
      </c>
      <c r="D427" s="14">
        <f>CHOOSE(CONTROL!$C$42, 21.4113, 21.4113) * CHOOSE(CONTROL!$C$21, $C$9, 100%, $E$9)</f>
        <v>21.411300000000001</v>
      </c>
      <c r="E427" s="14">
        <f>CHOOSE(CONTROL!$C$42, 21.4428, 21.4428) * CHOOSE(CONTROL!$C$21, $C$9, 100%, $E$9)</f>
        <v>21.442799999999998</v>
      </c>
      <c r="F427" s="14">
        <f>CHOOSE(CONTROL!$C$42, 21.2098, 21.2098)*CHOOSE(CONTROL!$C$21, $C$9, 100%, $E$9)</f>
        <v>21.209800000000001</v>
      </c>
      <c r="G427" s="14">
        <f>CHOOSE(CONTROL!$C$42, 21.2271, 21.2271)*CHOOSE(CONTROL!$C$21, $C$9, 100%, $E$9)</f>
        <v>21.2271</v>
      </c>
      <c r="H427" s="14">
        <f>CHOOSE(CONTROL!$C$42, 21.4314, 21.4314) * CHOOSE(CONTROL!$C$21, $C$9, 100%, $E$9)</f>
        <v>21.4314</v>
      </c>
      <c r="I427" s="14">
        <f>CHOOSE(CONTROL!$C$42, 21.277, 21.277)* CHOOSE(CONTROL!$C$21, $C$9, 100%, $E$9)</f>
        <v>21.277000000000001</v>
      </c>
      <c r="J427" s="14">
        <f>CHOOSE(CONTROL!$C$42, 21.2028, 21.2028)* CHOOSE(CONTROL!$C$21, $C$9, 100%, $E$9)</f>
        <v>21.2028</v>
      </c>
      <c r="K427" s="53">
        <f>CHOOSE(CONTROL!$C$42, 21.2731, 21.2731) * CHOOSE(CONTROL!$C$21, $C$9, 100%, $E$9)</f>
        <v>21.273099999999999</v>
      </c>
      <c r="L427" s="14">
        <f>CHOOSE(CONTROL!$C$42, 22.0184, 22.0184) * CHOOSE(CONTROL!$C$21, $C$9, 100%, $E$9)</f>
        <v>22.0184</v>
      </c>
      <c r="M427" s="14">
        <f>CHOOSE(CONTROL!$C$42, 20.7761, 20.7761) * CHOOSE(CONTROL!$C$21, $C$9, 100%, $E$9)</f>
        <v>20.7761</v>
      </c>
      <c r="N427" s="14">
        <f>CHOOSE(CONTROL!$C$42, 20.793, 20.793) * CHOOSE(CONTROL!$C$21, $C$9, 100%, $E$9)</f>
        <v>20.792999999999999</v>
      </c>
      <c r="O427" s="14">
        <f>CHOOSE(CONTROL!$C$42, 21, 21) * CHOOSE(CONTROL!$C$21, $C$9, 100%, $E$9)</f>
        <v>21</v>
      </c>
      <c r="P427" s="14">
        <f>CHOOSE(CONTROL!$C$42, 20.8474, 20.8474) * CHOOSE(CONTROL!$C$21, $C$9, 100%, $E$9)</f>
        <v>20.8474</v>
      </c>
      <c r="Q427" s="14">
        <f>CHOOSE(CONTROL!$C$42, 21.5947, 21.5947) * CHOOSE(CONTROL!$C$21, $C$9, 100%, $E$9)</f>
        <v>21.5947</v>
      </c>
      <c r="R427" s="14">
        <f>CHOOSE(CONTROL!$C$42, 22.2357, 22.2357) * CHOOSE(CONTROL!$C$21, $C$9, 100%, $E$9)</f>
        <v>22.235700000000001</v>
      </c>
      <c r="S427" s="14">
        <f>CHOOSE(CONTROL!$C$42, 20.3439, 20.3439) * CHOOSE(CONTROL!$C$21, $C$9, 100%, $E$9)</f>
        <v>20.343900000000001</v>
      </c>
      <c r="T4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27" s="57">
        <f>(1000*CHOOSE(CONTROL!$C$42, 695, 695)*CHOOSE(CONTROL!$C$42, 0.5599, 0.5599)*CHOOSE(CONTROL!$C$42, 31, 31))/1000000</f>
        <v>12.063045499999998</v>
      </c>
      <c r="V427" s="57">
        <f>(1000*CHOOSE(CONTROL!$C$42, 500, 500)*CHOOSE(CONTROL!$C$42, 0.275, 0.275)*CHOOSE(CONTROL!$C$42, 31, 31))/1000000</f>
        <v>4.2625000000000002</v>
      </c>
      <c r="W427" s="57">
        <f>(1000*CHOOSE(CONTROL!$C$42, 0.1146, 0.1146)*CHOOSE(CONTROL!$C$42, 121.5, 121.5)*CHOOSE(CONTROL!$C$42, 31, 31))/1000000</f>
        <v>0.43164089999999994</v>
      </c>
      <c r="X427" s="57">
        <f>(31*0.1790888*245000/1000000)+(31*0.2374*100000/1000000)</f>
        <v>2.0961194359999999</v>
      </c>
      <c r="Y427" s="57"/>
      <c r="Z427" s="14"/>
      <c r="AA427" s="56"/>
      <c r="AB427" s="50">
        <f>(B427*194.205+C427*267.466+D427*133.845+E427*53.484+F427*40+G427*185+H427*0+I427*100+J427*300)/(194.205+267.466+133.845+53.484+0+40+185+100+300)</f>
        <v>21.238769568288852</v>
      </c>
      <c r="AC427" s="45">
        <f>(M427*'RAP TEMPLATE-GAS AVAILABILITY'!O426+N427*'RAP TEMPLATE-GAS AVAILABILITY'!P426+O427*'RAP TEMPLATE-GAS AVAILABILITY'!Q426+P427*'RAP TEMPLATE-GAS AVAILABILITY'!R426)/('RAP TEMPLATE-GAS AVAILABILITY'!O426+'RAP TEMPLATE-GAS AVAILABILITY'!P426+'RAP TEMPLATE-GAS AVAILABILITY'!Q426+'RAP TEMPLATE-GAS AVAILABILITY'!R426)</f>
        <v>20.853070503597124</v>
      </c>
    </row>
    <row r="428" spans="1:29" ht="15.75" x14ac:dyDescent="0.25">
      <c r="A428" s="33">
        <v>53935</v>
      </c>
      <c r="B428" s="14">
        <f>CHOOSE(CONTROL!$C$42, 20.137, 20.137) * CHOOSE(CONTROL!$C$21, $C$9, 100%, $E$9)</f>
        <v>20.137</v>
      </c>
      <c r="C428" s="14">
        <f>CHOOSE(CONTROL!$C$42, 20.145, 20.145) * CHOOSE(CONTROL!$C$21, $C$9, 100%, $E$9)</f>
        <v>20.145</v>
      </c>
      <c r="D428" s="14">
        <f>CHOOSE(CONTROL!$C$42, 20.3656, 20.3656) * CHOOSE(CONTROL!$C$21, $C$9, 100%, $E$9)</f>
        <v>20.365600000000001</v>
      </c>
      <c r="E428" s="14">
        <f>CHOOSE(CONTROL!$C$42, 20.3971, 20.3971) * CHOOSE(CONTROL!$C$21, $C$9, 100%, $E$9)</f>
        <v>20.397099999999998</v>
      </c>
      <c r="F428" s="14">
        <f>CHOOSE(CONTROL!$C$42, 20.1644, 20.1644)*CHOOSE(CONTROL!$C$21, $C$9, 100%, $E$9)</f>
        <v>20.164400000000001</v>
      </c>
      <c r="G428" s="14">
        <f>CHOOSE(CONTROL!$C$42, 20.1818, 20.1818)*CHOOSE(CONTROL!$C$21, $C$9, 100%, $E$9)</f>
        <v>20.181799999999999</v>
      </c>
      <c r="H428" s="14">
        <f>CHOOSE(CONTROL!$C$42, 20.3857, 20.3857) * CHOOSE(CONTROL!$C$21, $C$9, 100%, $E$9)</f>
        <v>20.3857</v>
      </c>
      <c r="I428" s="14">
        <f>CHOOSE(CONTROL!$C$42, 20.228, 20.228)* CHOOSE(CONTROL!$C$21, $C$9, 100%, $E$9)</f>
        <v>20.228000000000002</v>
      </c>
      <c r="J428" s="14">
        <f>CHOOSE(CONTROL!$C$42, 20.1574, 20.1574)* CHOOSE(CONTROL!$C$21, $C$9, 100%, $E$9)</f>
        <v>20.157399999999999</v>
      </c>
      <c r="K428" s="53">
        <f>CHOOSE(CONTROL!$C$42, 20.2241, 20.2241) * CHOOSE(CONTROL!$C$21, $C$9, 100%, $E$9)</f>
        <v>20.2241</v>
      </c>
      <c r="L428" s="14">
        <f>CHOOSE(CONTROL!$C$42, 20.9727, 20.9727) * CHOOSE(CONTROL!$C$21, $C$9, 100%, $E$9)</f>
        <v>20.9727</v>
      </c>
      <c r="M428" s="14">
        <f>CHOOSE(CONTROL!$C$42, 19.752, 19.752) * CHOOSE(CONTROL!$C$21, $C$9, 100%, $E$9)</f>
        <v>19.751999999999999</v>
      </c>
      <c r="N428" s="14">
        <f>CHOOSE(CONTROL!$C$42, 19.7691, 19.7691) * CHOOSE(CONTROL!$C$21, $C$9, 100%, $E$9)</f>
        <v>19.769100000000002</v>
      </c>
      <c r="O428" s="14">
        <f>CHOOSE(CONTROL!$C$42, 19.9757, 19.9757) * CHOOSE(CONTROL!$C$21, $C$9, 100%, $E$9)</f>
        <v>19.9757</v>
      </c>
      <c r="P428" s="14">
        <f>CHOOSE(CONTROL!$C$42, 19.82, 19.82) * CHOOSE(CONTROL!$C$21, $C$9, 100%, $E$9)</f>
        <v>19.82</v>
      </c>
      <c r="Q428" s="14">
        <f>CHOOSE(CONTROL!$C$42, 20.5704, 20.5704) * CHOOSE(CONTROL!$C$21, $C$9, 100%, $E$9)</f>
        <v>20.570399999999999</v>
      </c>
      <c r="R428" s="14">
        <f>CHOOSE(CONTROL!$C$42, 21.2088, 21.2088) * CHOOSE(CONTROL!$C$21, $C$9, 100%, $E$9)</f>
        <v>21.2088</v>
      </c>
      <c r="S428" s="14">
        <f>CHOOSE(CONTROL!$C$42, 19.339, 19.339) * CHOOSE(CONTROL!$C$21, $C$9, 100%, $E$9)</f>
        <v>19.338999999999999</v>
      </c>
      <c r="T4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28" s="57">
        <f>(1000*CHOOSE(CONTROL!$C$42, 695, 695)*CHOOSE(CONTROL!$C$42, 0.5599, 0.5599)*CHOOSE(CONTROL!$C$42, 31, 31))/1000000</f>
        <v>12.063045499999998</v>
      </c>
      <c r="V428" s="57">
        <f>(1000*CHOOSE(CONTROL!$C$42, 500, 500)*CHOOSE(CONTROL!$C$42, 0.275, 0.275)*CHOOSE(CONTROL!$C$42, 31, 31))/1000000</f>
        <v>4.2625000000000002</v>
      </c>
      <c r="W428" s="57">
        <f>(1000*CHOOSE(CONTROL!$C$42, 0.1146, 0.1146)*CHOOSE(CONTROL!$C$42, 121.5, 121.5)*CHOOSE(CONTROL!$C$42, 31, 31))/1000000</f>
        <v>0.43164089999999994</v>
      </c>
      <c r="X428" s="57">
        <f>(31*0.1790888*245000/1000000)+(31*0.2374*100000/1000000)</f>
        <v>2.0961194359999999</v>
      </c>
      <c r="Y428" s="57"/>
      <c r="Z428" s="14"/>
      <c r="AA428" s="56"/>
      <c r="AB428" s="50">
        <f>(B428*194.205+C428*267.466+D428*133.845+E428*53.484+F428*40+G428*185+H428*0+I428*100+J428*300)/(194.205+267.466+133.845+53.484+0+40+185+100+300)</f>
        <v>20.192927694976447</v>
      </c>
      <c r="AC428" s="45">
        <f>(M428*'RAP TEMPLATE-GAS AVAILABILITY'!O427+N428*'RAP TEMPLATE-GAS AVAILABILITY'!P427+O428*'RAP TEMPLATE-GAS AVAILABILITY'!Q427+P428*'RAP TEMPLATE-GAS AVAILABILITY'!R427)/('RAP TEMPLATE-GAS AVAILABILITY'!O427+'RAP TEMPLATE-GAS AVAILABILITY'!P427+'RAP TEMPLATE-GAS AVAILABILITY'!Q427+'RAP TEMPLATE-GAS AVAILABILITY'!R427)</f>
        <v>19.828485611510793</v>
      </c>
    </row>
    <row r="429" spans="1:29" ht="15.75" x14ac:dyDescent="0.25">
      <c r="A429" s="33">
        <v>53965</v>
      </c>
      <c r="B429" s="14">
        <f>CHOOSE(CONTROL!$C$42, 18.8591, 18.8591) * CHOOSE(CONTROL!$C$21, $C$9, 100%, $E$9)</f>
        <v>18.859100000000002</v>
      </c>
      <c r="C429" s="14">
        <f>CHOOSE(CONTROL!$C$42, 18.8671, 18.8671) * CHOOSE(CONTROL!$C$21, $C$9, 100%, $E$9)</f>
        <v>18.867100000000001</v>
      </c>
      <c r="D429" s="14">
        <f>CHOOSE(CONTROL!$C$42, 19.0877, 19.0877) * CHOOSE(CONTROL!$C$21, $C$9, 100%, $E$9)</f>
        <v>19.087700000000002</v>
      </c>
      <c r="E429" s="14">
        <f>CHOOSE(CONTROL!$C$42, 19.1192, 19.1192) * CHOOSE(CONTROL!$C$21, $C$9, 100%, $E$9)</f>
        <v>19.119199999999999</v>
      </c>
      <c r="F429" s="14">
        <f>CHOOSE(CONTROL!$C$42, 18.8864, 18.8864)*CHOOSE(CONTROL!$C$21, $C$9, 100%, $E$9)</f>
        <v>18.886399999999998</v>
      </c>
      <c r="G429" s="14">
        <f>CHOOSE(CONTROL!$C$42, 18.9038, 18.9038)*CHOOSE(CONTROL!$C$21, $C$9, 100%, $E$9)</f>
        <v>18.9038</v>
      </c>
      <c r="H429" s="14">
        <f>CHOOSE(CONTROL!$C$42, 19.1078, 19.1078) * CHOOSE(CONTROL!$C$21, $C$9, 100%, $E$9)</f>
        <v>19.107800000000001</v>
      </c>
      <c r="I429" s="14">
        <f>CHOOSE(CONTROL!$C$42, 18.946, 18.946)* CHOOSE(CONTROL!$C$21, $C$9, 100%, $E$9)</f>
        <v>18.946000000000002</v>
      </c>
      <c r="J429" s="14">
        <f>CHOOSE(CONTROL!$C$42, 18.8794, 18.8794)* CHOOSE(CONTROL!$C$21, $C$9, 100%, $E$9)</f>
        <v>18.8794</v>
      </c>
      <c r="K429" s="53">
        <f>CHOOSE(CONTROL!$C$42, 18.9421, 18.9421) * CHOOSE(CONTROL!$C$21, $C$9, 100%, $E$9)</f>
        <v>18.9421</v>
      </c>
      <c r="L429" s="14">
        <f>CHOOSE(CONTROL!$C$42, 19.6948, 19.6948) * CHOOSE(CONTROL!$C$21, $C$9, 100%, $E$9)</f>
        <v>19.694800000000001</v>
      </c>
      <c r="M429" s="14">
        <f>CHOOSE(CONTROL!$C$42, 18.5003, 18.5003) * CHOOSE(CONTROL!$C$21, $C$9, 100%, $E$9)</f>
        <v>18.500299999999999</v>
      </c>
      <c r="N429" s="14">
        <f>CHOOSE(CONTROL!$C$42, 18.5173, 18.5173) * CHOOSE(CONTROL!$C$21, $C$9, 100%, $E$9)</f>
        <v>18.517299999999999</v>
      </c>
      <c r="O429" s="14">
        <f>CHOOSE(CONTROL!$C$42, 18.724, 18.724) * CHOOSE(CONTROL!$C$21, $C$9, 100%, $E$9)</f>
        <v>18.724</v>
      </c>
      <c r="P429" s="14">
        <f>CHOOSE(CONTROL!$C$42, 18.5644, 18.5644) * CHOOSE(CONTROL!$C$21, $C$9, 100%, $E$9)</f>
        <v>18.564399999999999</v>
      </c>
      <c r="Q429" s="14">
        <f>CHOOSE(CONTROL!$C$42, 19.3187, 19.3187) * CHOOSE(CONTROL!$C$21, $C$9, 100%, $E$9)</f>
        <v>19.3187</v>
      </c>
      <c r="R429" s="14">
        <f>CHOOSE(CONTROL!$C$42, 19.954, 19.954) * CHOOSE(CONTROL!$C$21, $C$9, 100%, $E$9)</f>
        <v>19.954000000000001</v>
      </c>
      <c r="S429" s="14">
        <f>CHOOSE(CONTROL!$C$42, 18.1111, 18.1111) * CHOOSE(CONTROL!$C$21, $C$9, 100%, $E$9)</f>
        <v>18.1111</v>
      </c>
      <c r="T4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29" s="57">
        <f>(1000*CHOOSE(CONTROL!$C$42, 695, 695)*CHOOSE(CONTROL!$C$42, 0.5599, 0.5599)*CHOOSE(CONTROL!$C$42, 30, 30))/1000000</f>
        <v>11.673914999999997</v>
      </c>
      <c r="V429" s="57">
        <f>(1000*CHOOSE(CONTROL!$C$42, 500, 500)*CHOOSE(CONTROL!$C$42, 0.275, 0.275)*CHOOSE(CONTROL!$C$42, 30, 30))/1000000</f>
        <v>4.125</v>
      </c>
      <c r="W429" s="57">
        <f>(1000*CHOOSE(CONTROL!$C$42, 0.1146, 0.1146)*CHOOSE(CONTROL!$C$42, 121.5, 121.5)*CHOOSE(CONTROL!$C$42, 30, 30))/1000000</f>
        <v>0.417717</v>
      </c>
      <c r="X429" s="57">
        <f>(30*0.1790888*245000/1000000)+(30*0.2374*100000/1000000)</f>
        <v>2.0285026799999999</v>
      </c>
      <c r="Y429" s="57"/>
      <c r="Z429" s="14"/>
      <c r="AA429" s="56"/>
      <c r="AB429" s="50">
        <f>(B429*194.205+C429*267.466+D429*133.845+E429*53.484+F429*40+G429*185+H429*0+I429*100+J429*300)/(194.205+267.466+133.845+53.484+0+40+185+100+300)</f>
        <v>18.914664665149139</v>
      </c>
      <c r="AC429" s="45">
        <f>(M429*'RAP TEMPLATE-GAS AVAILABILITY'!O428+N429*'RAP TEMPLATE-GAS AVAILABILITY'!P428+O429*'RAP TEMPLATE-GAS AVAILABILITY'!Q428+P429*'RAP TEMPLATE-GAS AVAILABILITY'!R428)/('RAP TEMPLATE-GAS AVAILABILITY'!O428+'RAP TEMPLATE-GAS AVAILABILITY'!P428+'RAP TEMPLATE-GAS AVAILABILITY'!Q428+'RAP TEMPLATE-GAS AVAILABILITY'!R428)</f>
        <v>18.576201438848923</v>
      </c>
    </row>
    <row r="430" spans="1:29" ht="15.75" x14ac:dyDescent="0.25">
      <c r="A430" s="33">
        <v>53996</v>
      </c>
      <c r="B430" s="14">
        <f>CHOOSE(CONTROL!$C$42, 18.4746, 18.4746) * CHOOSE(CONTROL!$C$21, $C$9, 100%, $E$9)</f>
        <v>18.474599999999999</v>
      </c>
      <c r="C430" s="14">
        <f>CHOOSE(CONTROL!$C$42, 18.48, 18.48) * CHOOSE(CONTROL!$C$21, $C$9, 100%, $E$9)</f>
        <v>18.48</v>
      </c>
      <c r="D430" s="14">
        <f>CHOOSE(CONTROL!$C$42, 18.7055, 18.7055) * CHOOSE(CONTROL!$C$21, $C$9, 100%, $E$9)</f>
        <v>18.705500000000001</v>
      </c>
      <c r="E430" s="14">
        <f>CHOOSE(CONTROL!$C$42, 18.7346, 18.7346) * CHOOSE(CONTROL!$C$21, $C$9, 100%, $E$9)</f>
        <v>18.7346</v>
      </c>
      <c r="F430" s="14">
        <f>CHOOSE(CONTROL!$C$42, 18.504, 18.504)*CHOOSE(CONTROL!$C$21, $C$9, 100%, $E$9)</f>
        <v>18.504000000000001</v>
      </c>
      <c r="G430" s="14">
        <f>CHOOSE(CONTROL!$C$42, 18.5212, 18.5212)*CHOOSE(CONTROL!$C$21, $C$9, 100%, $E$9)</f>
        <v>18.5212</v>
      </c>
      <c r="H430" s="14">
        <f>CHOOSE(CONTROL!$C$42, 18.7251, 18.7251) * CHOOSE(CONTROL!$C$21, $C$9, 100%, $E$9)</f>
        <v>18.725100000000001</v>
      </c>
      <c r="I430" s="14">
        <f>CHOOSE(CONTROL!$C$42, 18.5622, 18.5622)* CHOOSE(CONTROL!$C$21, $C$9, 100%, $E$9)</f>
        <v>18.562200000000001</v>
      </c>
      <c r="J430" s="14">
        <f>CHOOSE(CONTROL!$C$42, 18.497, 18.497)* CHOOSE(CONTROL!$C$21, $C$9, 100%, $E$9)</f>
        <v>18.497</v>
      </c>
      <c r="K430" s="53">
        <f>CHOOSE(CONTROL!$C$42, 18.5583, 18.5583) * CHOOSE(CONTROL!$C$21, $C$9, 100%, $E$9)</f>
        <v>18.558299999999999</v>
      </c>
      <c r="L430" s="14">
        <f>CHOOSE(CONTROL!$C$42, 19.3121, 19.3121) * CHOOSE(CONTROL!$C$21, $C$9, 100%, $E$9)</f>
        <v>19.312100000000001</v>
      </c>
      <c r="M430" s="14">
        <f>CHOOSE(CONTROL!$C$42, 18.1257, 18.1257) * CHOOSE(CONTROL!$C$21, $C$9, 100%, $E$9)</f>
        <v>18.125699999999998</v>
      </c>
      <c r="N430" s="14">
        <f>CHOOSE(CONTROL!$C$42, 18.1426, 18.1426) * CHOOSE(CONTROL!$C$21, $C$9, 100%, $E$9)</f>
        <v>18.142600000000002</v>
      </c>
      <c r="O430" s="14">
        <f>CHOOSE(CONTROL!$C$42, 18.3491, 18.3491) * CHOOSE(CONTROL!$C$21, $C$9, 100%, $E$9)</f>
        <v>18.3491</v>
      </c>
      <c r="P430" s="14">
        <f>CHOOSE(CONTROL!$C$42, 18.1884, 18.1884) * CHOOSE(CONTROL!$C$21, $C$9, 100%, $E$9)</f>
        <v>18.188400000000001</v>
      </c>
      <c r="Q430" s="14">
        <f>CHOOSE(CONTROL!$C$42, 18.9438, 18.9438) * CHOOSE(CONTROL!$C$21, $C$9, 100%, $E$9)</f>
        <v>18.9438</v>
      </c>
      <c r="R430" s="14">
        <f>CHOOSE(CONTROL!$C$42, 19.5782, 19.5782) * CHOOSE(CONTROL!$C$21, $C$9, 100%, $E$9)</f>
        <v>19.578199999999999</v>
      </c>
      <c r="S430" s="14">
        <f>CHOOSE(CONTROL!$C$42, 17.7433, 17.7433) * CHOOSE(CONTROL!$C$21, $C$9, 100%, $E$9)</f>
        <v>17.743300000000001</v>
      </c>
      <c r="T4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30" s="57">
        <f>(1000*CHOOSE(CONTROL!$C$42, 695, 695)*CHOOSE(CONTROL!$C$42, 0.5599, 0.5599)*CHOOSE(CONTROL!$C$42, 31, 31))/1000000</f>
        <v>12.063045499999998</v>
      </c>
      <c r="V430" s="57">
        <f>(1000*CHOOSE(CONTROL!$C$42, 500, 500)*CHOOSE(CONTROL!$C$42, 0.275, 0.275)*CHOOSE(CONTROL!$C$42, 31, 31))/1000000</f>
        <v>4.2625000000000002</v>
      </c>
      <c r="W430" s="57">
        <f>(1000*CHOOSE(CONTROL!$C$42, 0.1146, 0.1146)*CHOOSE(CONTROL!$C$42, 121.5, 121.5)*CHOOSE(CONTROL!$C$42, 31, 31))/1000000</f>
        <v>0.43164089999999994</v>
      </c>
      <c r="X430" s="57">
        <f>(31*0.1790888*245000/1000000)+(31*0.2374*100000/1000000)</f>
        <v>2.0961194359999999</v>
      </c>
      <c r="Y430" s="57"/>
      <c r="Z430" s="14"/>
      <c r="AA430" s="56"/>
      <c r="AB430" s="50">
        <f>(B430*131.881+C430*277.167+D430*79.08+E430*125.872+F430*40+G430*185+H430*0+I430*100+J430*300)/(131.881+277.167+79.08+125.872+0+40+185+100+300)</f>
        <v>18.537360285552865</v>
      </c>
      <c r="AC430" s="45">
        <f>(M430*'RAP TEMPLATE-GAS AVAILABILITY'!O429+N430*'RAP TEMPLATE-GAS AVAILABILITY'!P429+O430*'RAP TEMPLATE-GAS AVAILABILITY'!Q429+P430*'RAP TEMPLATE-GAS AVAILABILITY'!R429)/('RAP TEMPLATE-GAS AVAILABILITY'!O429+'RAP TEMPLATE-GAS AVAILABILITY'!P429+'RAP TEMPLATE-GAS AVAILABILITY'!Q429+'RAP TEMPLATE-GAS AVAILABILITY'!R429)</f>
        <v>18.201292805755397</v>
      </c>
    </row>
    <row r="431" spans="1:29" ht="15.75" x14ac:dyDescent="0.25">
      <c r="A431" s="33">
        <v>54026</v>
      </c>
      <c r="B431" s="14">
        <f>CHOOSE(CONTROL!$C$42, 18.9607, 18.9607) * CHOOSE(CONTROL!$C$21, $C$9, 100%, $E$9)</f>
        <v>18.960699999999999</v>
      </c>
      <c r="C431" s="14">
        <f>CHOOSE(CONTROL!$C$42, 18.9657, 18.9657) * CHOOSE(CONTROL!$C$21, $C$9, 100%, $E$9)</f>
        <v>18.965699999999998</v>
      </c>
      <c r="D431" s="14">
        <f>CHOOSE(CONTROL!$C$42, 19.04, 19.04) * CHOOSE(CONTROL!$C$21, $C$9, 100%, $E$9)</f>
        <v>19.04</v>
      </c>
      <c r="E431" s="14">
        <f>CHOOSE(CONTROL!$C$42, 19.0741, 19.0741) * CHOOSE(CONTROL!$C$21, $C$9, 100%, $E$9)</f>
        <v>19.074100000000001</v>
      </c>
      <c r="F431" s="14">
        <f>CHOOSE(CONTROL!$C$42, 18.9967, 18.9967)*CHOOSE(CONTROL!$C$21, $C$9, 100%, $E$9)</f>
        <v>18.996700000000001</v>
      </c>
      <c r="G431" s="14">
        <f>CHOOSE(CONTROL!$C$42, 19.0143, 19.0143)*CHOOSE(CONTROL!$C$21, $C$9, 100%, $E$9)</f>
        <v>19.014299999999999</v>
      </c>
      <c r="H431" s="14">
        <f>CHOOSE(CONTROL!$C$42, 19.0633, 19.0633) * CHOOSE(CONTROL!$C$21, $C$9, 100%, $E$9)</f>
        <v>19.063300000000002</v>
      </c>
      <c r="I431" s="14">
        <f>CHOOSE(CONTROL!$C$42, 19.0475, 19.0475)* CHOOSE(CONTROL!$C$21, $C$9, 100%, $E$9)</f>
        <v>19.047499999999999</v>
      </c>
      <c r="J431" s="14">
        <f>CHOOSE(CONTROL!$C$42, 18.9897, 18.9897)* CHOOSE(CONTROL!$C$21, $C$9, 100%, $E$9)</f>
        <v>18.989699999999999</v>
      </c>
      <c r="K431" s="53">
        <f>CHOOSE(CONTROL!$C$42, 19.0436, 19.0436) * CHOOSE(CONTROL!$C$21, $C$9, 100%, $E$9)</f>
        <v>19.043600000000001</v>
      </c>
      <c r="L431" s="14">
        <f>CHOOSE(CONTROL!$C$42, 19.6503, 19.6503) * CHOOSE(CONTROL!$C$21, $C$9, 100%, $E$9)</f>
        <v>19.650300000000001</v>
      </c>
      <c r="M431" s="14">
        <f>CHOOSE(CONTROL!$C$42, 18.6083, 18.6083) * CHOOSE(CONTROL!$C$21, $C$9, 100%, $E$9)</f>
        <v>18.6083</v>
      </c>
      <c r="N431" s="14">
        <f>CHOOSE(CONTROL!$C$42, 18.6255, 18.6255) * CHOOSE(CONTROL!$C$21, $C$9, 100%, $E$9)</f>
        <v>18.625499999999999</v>
      </c>
      <c r="O431" s="14">
        <f>CHOOSE(CONTROL!$C$42, 18.6804, 18.6804) * CHOOSE(CONTROL!$C$21, $C$9, 100%, $E$9)</f>
        <v>18.680399999999999</v>
      </c>
      <c r="P431" s="14">
        <f>CHOOSE(CONTROL!$C$42, 18.6638, 18.6638) * CHOOSE(CONTROL!$C$21, $C$9, 100%, $E$9)</f>
        <v>18.663799999999998</v>
      </c>
      <c r="Q431" s="14">
        <f>CHOOSE(CONTROL!$C$42, 19.2751, 19.2751) * CHOOSE(CONTROL!$C$21, $C$9, 100%, $E$9)</f>
        <v>19.275099999999998</v>
      </c>
      <c r="R431" s="14">
        <f>CHOOSE(CONTROL!$C$42, 19.9102, 19.9102) * CHOOSE(CONTROL!$C$21, $C$9, 100%, $E$9)</f>
        <v>19.9102</v>
      </c>
      <c r="S431" s="14">
        <f>CHOOSE(CONTROL!$C$42, 18.2108, 18.2108) * CHOOSE(CONTROL!$C$21, $C$9, 100%, $E$9)</f>
        <v>18.210799999999999</v>
      </c>
      <c r="T4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31" s="57">
        <f>(1000*CHOOSE(CONTROL!$C$42, 695, 695)*CHOOSE(CONTROL!$C$42, 0.5599, 0.5599)*CHOOSE(CONTROL!$C$42, 30, 30))/1000000</f>
        <v>11.673914999999997</v>
      </c>
      <c r="V431" s="57">
        <f>(1000*CHOOSE(CONTROL!$C$42, 500, 500)*CHOOSE(CONTROL!$C$42, 0.275, 0.275)*CHOOSE(CONTROL!$C$42, 30, 30))/1000000</f>
        <v>4.125</v>
      </c>
      <c r="W431" s="57">
        <f>(1000*CHOOSE(CONTROL!$C$42, 0.1146, 0.1146)*CHOOSE(CONTROL!$C$42, 121.5, 121.5)*CHOOSE(CONTROL!$C$42, 30, 30))/1000000</f>
        <v>0.417717</v>
      </c>
      <c r="X431" s="57">
        <f>(30*0.1790888*100000/1000000)+(30*0.2374*100000/1000000)</f>
        <v>1.2494664</v>
      </c>
      <c r="Y431" s="57"/>
      <c r="Z431" s="14"/>
      <c r="AA431" s="56"/>
      <c r="AB431" s="50">
        <f>(B431*122.58+C431*297.941+D431*89.177+E431*40.302+F431*40+G431*160+H431*0+I431*100+J431*300)/(122.58+297.941+89.177+40.302+0+40+160+100+300)</f>
        <v>18.995941467739129</v>
      </c>
      <c r="AC431" s="45">
        <f>(M431*'RAP TEMPLATE-GAS AVAILABILITY'!O430+N431*'RAP TEMPLATE-GAS AVAILABILITY'!P430+O431*'RAP TEMPLATE-GAS AVAILABILITY'!Q430+P431*'RAP TEMPLATE-GAS AVAILABILITY'!R430)/('RAP TEMPLATE-GAS AVAILABILITY'!O430+'RAP TEMPLATE-GAS AVAILABILITY'!P430+'RAP TEMPLATE-GAS AVAILABILITY'!Q430+'RAP TEMPLATE-GAS AVAILABILITY'!R430)</f>
        <v>18.64995395683453</v>
      </c>
    </row>
    <row r="432" spans="1:29" ht="15.75" x14ac:dyDescent="0.25">
      <c r="A432" s="33">
        <v>54057</v>
      </c>
      <c r="B432" s="14">
        <f>CHOOSE(CONTROL!$C$42, 20.2527, 20.2527) * CHOOSE(CONTROL!$C$21, $C$9, 100%, $E$9)</f>
        <v>20.252700000000001</v>
      </c>
      <c r="C432" s="14">
        <f>CHOOSE(CONTROL!$C$42, 20.2578, 20.2578) * CHOOSE(CONTROL!$C$21, $C$9, 100%, $E$9)</f>
        <v>20.2578</v>
      </c>
      <c r="D432" s="14">
        <f>CHOOSE(CONTROL!$C$42, 20.332, 20.332) * CHOOSE(CONTROL!$C$21, $C$9, 100%, $E$9)</f>
        <v>20.332000000000001</v>
      </c>
      <c r="E432" s="14">
        <f>CHOOSE(CONTROL!$C$42, 20.3661, 20.3661) * CHOOSE(CONTROL!$C$21, $C$9, 100%, $E$9)</f>
        <v>20.366099999999999</v>
      </c>
      <c r="F432" s="14">
        <f>CHOOSE(CONTROL!$C$42, 20.2912, 20.2912)*CHOOSE(CONTROL!$C$21, $C$9, 100%, $E$9)</f>
        <v>20.2912</v>
      </c>
      <c r="G432" s="14">
        <f>CHOOSE(CONTROL!$C$42, 20.3093, 20.3093)*CHOOSE(CONTROL!$C$21, $C$9, 100%, $E$9)</f>
        <v>20.3093</v>
      </c>
      <c r="H432" s="14">
        <f>CHOOSE(CONTROL!$C$42, 20.3553, 20.3553) * CHOOSE(CONTROL!$C$21, $C$9, 100%, $E$9)</f>
        <v>20.3553</v>
      </c>
      <c r="I432" s="14">
        <f>CHOOSE(CONTROL!$C$42, 20.3436, 20.3436)* CHOOSE(CONTROL!$C$21, $C$9, 100%, $E$9)</f>
        <v>20.343599999999999</v>
      </c>
      <c r="J432" s="14">
        <f>CHOOSE(CONTROL!$C$42, 20.2842, 20.2842)* CHOOSE(CONTROL!$C$21, $C$9, 100%, $E$9)</f>
        <v>20.284199999999998</v>
      </c>
      <c r="K432" s="53">
        <f>CHOOSE(CONTROL!$C$42, 20.3397, 20.3397) * CHOOSE(CONTROL!$C$21, $C$9, 100%, $E$9)</f>
        <v>20.339700000000001</v>
      </c>
      <c r="L432" s="14">
        <f>CHOOSE(CONTROL!$C$42, 20.9423, 20.9423) * CHOOSE(CONTROL!$C$21, $C$9, 100%, $E$9)</f>
        <v>20.942299999999999</v>
      </c>
      <c r="M432" s="14">
        <f>CHOOSE(CONTROL!$C$42, 19.8762, 19.8762) * CHOOSE(CONTROL!$C$21, $C$9, 100%, $E$9)</f>
        <v>19.876200000000001</v>
      </c>
      <c r="N432" s="14">
        <f>CHOOSE(CONTROL!$C$42, 19.894, 19.894) * CHOOSE(CONTROL!$C$21, $C$9, 100%, $E$9)</f>
        <v>19.893999999999998</v>
      </c>
      <c r="O432" s="14">
        <f>CHOOSE(CONTROL!$C$42, 19.946, 19.946) * CHOOSE(CONTROL!$C$21, $C$9, 100%, $E$9)</f>
        <v>19.946000000000002</v>
      </c>
      <c r="P432" s="14">
        <f>CHOOSE(CONTROL!$C$42, 19.9333, 19.9333) * CHOOSE(CONTROL!$C$21, $C$9, 100%, $E$9)</f>
        <v>19.933299999999999</v>
      </c>
      <c r="Q432" s="14">
        <f>CHOOSE(CONTROL!$C$42, 20.5407, 20.5407) * CHOOSE(CONTROL!$C$21, $C$9, 100%, $E$9)</f>
        <v>20.540700000000001</v>
      </c>
      <c r="R432" s="14">
        <f>CHOOSE(CONTROL!$C$42, 21.179, 21.179) * CHOOSE(CONTROL!$C$21, $C$9, 100%, $E$9)</f>
        <v>21.178999999999998</v>
      </c>
      <c r="S432" s="14">
        <f>CHOOSE(CONTROL!$C$42, 19.4523, 19.4523) * CHOOSE(CONTROL!$C$21, $C$9, 100%, $E$9)</f>
        <v>19.452300000000001</v>
      </c>
      <c r="T4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32" s="57">
        <f>(1000*CHOOSE(CONTROL!$C$42, 695, 695)*CHOOSE(CONTROL!$C$42, 0.5599, 0.5599)*CHOOSE(CONTROL!$C$42, 31, 31))/1000000</f>
        <v>12.063045499999998</v>
      </c>
      <c r="V432" s="57">
        <f>(1000*CHOOSE(CONTROL!$C$42, 500, 500)*CHOOSE(CONTROL!$C$42, 0.275, 0.275)*CHOOSE(CONTROL!$C$42, 31, 31))/1000000</f>
        <v>4.2625000000000002</v>
      </c>
      <c r="W432" s="57">
        <f>(1000*CHOOSE(CONTROL!$C$42, 0.1146, 0.1146)*CHOOSE(CONTROL!$C$42, 121.5, 121.5)*CHOOSE(CONTROL!$C$42, 31, 31))/1000000</f>
        <v>0.43164089999999994</v>
      </c>
      <c r="X432" s="57">
        <f>(31*0.1790888*100000/1000000)+(31*0.2374*100000/1000000)</f>
        <v>1.2911152800000001</v>
      </c>
      <c r="Y432" s="57"/>
      <c r="Z432" s="14"/>
      <c r="AA432" s="56"/>
      <c r="AB432" s="50">
        <f>(B432*122.58+C432*297.941+D432*89.177+E432*40.302+F432*40+G432*160+H432*0+I432*100+J432*300)/(122.58+297.941+89.177+40.302+0+40+160+100+300)</f>
        <v>20.289480419130435</v>
      </c>
      <c r="AC432" s="45">
        <f>(M432*'RAP TEMPLATE-GAS AVAILABILITY'!O431+N432*'RAP TEMPLATE-GAS AVAILABILITY'!P431+O432*'RAP TEMPLATE-GAS AVAILABILITY'!Q431+P432*'RAP TEMPLATE-GAS AVAILABILITY'!R431)/('RAP TEMPLATE-GAS AVAILABILITY'!O431+'RAP TEMPLATE-GAS AVAILABILITY'!P431+'RAP TEMPLATE-GAS AVAILABILITY'!Q431+'RAP TEMPLATE-GAS AVAILABILITY'!R431)</f>
        <v>19.917076258992807</v>
      </c>
    </row>
    <row r="433" spans="1:29" ht="15.75" x14ac:dyDescent="0.25">
      <c r="A433" s="33">
        <v>54088</v>
      </c>
      <c r="B433" s="14">
        <f>CHOOSE(CONTROL!$C$42, 21.9309, 21.9309) * CHOOSE(CONTROL!$C$21, $C$9, 100%, $E$9)</f>
        <v>21.930900000000001</v>
      </c>
      <c r="C433" s="14">
        <f>CHOOSE(CONTROL!$C$42, 21.936, 21.936) * CHOOSE(CONTROL!$C$21, $C$9, 100%, $E$9)</f>
        <v>21.936</v>
      </c>
      <c r="D433" s="14">
        <f>CHOOSE(CONTROL!$C$42, 22.0128, 22.0128) * CHOOSE(CONTROL!$C$21, $C$9, 100%, $E$9)</f>
        <v>22.012799999999999</v>
      </c>
      <c r="E433" s="14">
        <f>CHOOSE(CONTROL!$C$42, 22.0469, 22.0469) * CHOOSE(CONTROL!$C$21, $C$9, 100%, $E$9)</f>
        <v>22.046900000000001</v>
      </c>
      <c r="F433" s="14">
        <f>CHOOSE(CONTROL!$C$42, 21.9557, 21.9557)*CHOOSE(CONTROL!$C$21, $C$9, 100%, $E$9)</f>
        <v>21.9557</v>
      </c>
      <c r="G433" s="14">
        <f>CHOOSE(CONTROL!$C$42, 21.9736, 21.9736)*CHOOSE(CONTROL!$C$21, $C$9, 100%, $E$9)</f>
        <v>21.973600000000001</v>
      </c>
      <c r="H433" s="14">
        <f>CHOOSE(CONTROL!$C$42, 22.0361, 22.0361) * CHOOSE(CONTROL!$C$21, $C$9, 100%, $E$9)</f>
        <v>22.036100000000001</v>
      </c>
      <c r="I433" s="14">
        <f>CHOOSE(CONTROL!$C$42, 22.0333, 22.0333)* CHOOSE(CONTROL!$C$21, $C$9, 100%, $E$9)</f>
        <v>22.033300000000001</v>
      </c>
      <c r="J433" s="14">
        <f>CHOOSE(CONTROL!$C$42, 21.9487, 21.9487)* CHOOSE(CONTROL!$C$21, $C$9, 100%, $E$9)</f>
        <v>21.948699999999999</v>
      </c>
      <c r="K433" s="53">
        <f>CHOOSE(CONTROL!$C$42, 22.0294, 22.0294) * CHOOSE(CONTROL!$C$21, $C$9, 100%, $E$9)</f>
        <v>22.029399999999999</v>
      </c>
      <c r="L433" s="14">
        <f>CHOOSE(CONTROL!$C$42, 22.6231, 22.6231) * CHOOSE(CONTROL!$C$21, $C$9, 100%, $E$9)</f>
        <v>22.623100000000001</v>
      </c>
      <c r="M433" s="14">
        <f>CHOOSE(CONTROL!$C$42, 21.5066, 21.5066) * CHOOSE(CONTROL!$C$21, $C$9, 100%, $E$9)</f>
        <v>21.506599999999999</v>
      </c>
      <c r="N433" s="14">
        <f>CHOOSE(CONTROL!$C$42, 21.5242, 21.5242) * CHOOSE(CONTROL!$C$21, $C$9, 100%, $E$9)</f>
        <v>21.5242</v>
      </c>
      <c r="O433" s="14">
        <f>CHOOSE(CONTROL!$C$42, 21.5923, 21.5923) * CHOOSE(CONTROL!$C$21, $C$9, 100%, $E$9)</f>
        <v>21.592300000000002</v>
      </c>
      <c r="P433" s="14">
        <f>CHOOSE(CONTROL!$C$42, 21.5883, 21.5883) * CHOOSE(CONTROL!$C$21, $C$9, 100%, $E$9)</f>
        <v>21.5883</v>
      </c>
      <c r="Q433" s="14">
        <f>CHOOSE(CONTROL!$C$42, 22.187, 22.187) * CHOOSE(CONTROL!$C$21, $C$9, 100%, $E$9)</f>
        <v>22.187000000000001</v>
      </c>
      <c r="R433" s="14">
        <f>CHOOSE(CONTROL!$C$42, 22.8295, 22.8295) * CHOOSE(CONTROL!$C$21, $C$9, 100%, $E$9)</f>
        <v>22.829499999999999</v>
      </c>
      <c r="S433" s="14">
        <f>CHOOSE(CONTROL!$C$42, 21.0649, 21.0649) * CHOOSE(CONTROL!$C$21, $C$9, 100%, $E$9)</f>
        <v>21.064900000000002</v>
      </c>
      <c r="T4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33" s="57">
        <f>(1000*CHOOSE(CONTROL!$C$42, 695, 695)*CHOOSE(CONTROL!$C$42, 0.5599, 0.5599)*CHOOSE(CONTROL!$C$42, 31, 31))/1000000</f>
        <v>12.063045499999998</v>
      </c>
      <c r="V433" s="57">
        <f>(1000*CHOOSE(CONTROL!$C$42, 500, 500)*CHOOSE(CONTROL!$C$42, 0.275, 0.275)*CHOOSE(CONTROL!$C$42, 31, 31))/1000000</f>
        <v>4.2625000000000002</v>
      </c>
      <c r="W433" s="57">
        <f>(1000*CHOOSE(CONTROL!$C$42, 0.1146, 0.1146)*CHOOSE(CONTROL!$C$42, 121.5, 121.5)*CHOOSE(CONTROL!$C$42, 31, 31))/1000000</f>
        <v>0.43164089999999994</v>
      </c>
      <c r="X433" s="57">
        <f>(31*0.1790888*100000/1000000)+(31*0.2374*100000/1000000)</f>
        <v>1.2911152800000001</v>
      </c>
      <c r="Y433" s="57"/>
      <c r="Z433" s="14"/>
      <c r="AA433" s="56"/>
      <c r="AB433" s="50">
        <f>(B433*122.58+C433*297.941+D433*89.177+E433*40.302+F433*40+G433*160+H433*0+I433*100+J433*300)/(122.58+297.941+89.177+40.302+0+40+160+100+300)</f>
        <v>21.962988806434783</v>
      </c>
      <c r="AC433" s="45">
        <f>(M433*'RAP TEMPLATE-GAS AVAILABILITY'!O432+N433*'RAP TEMPLATE-GAS AVAILABILITY'!P432+O433*'RAP TEMPLATE-GAS AVAILABILITY'!Q432+P433*'RAP TEMPLATE-GAS AVAILABILITY'!R432)/('RAP TEMPLATE-GAS AVAILABILITY'!O432+'RAP TEMPLATE-GAS AVAILABILITY'!P432+'RAP TEMPLATE-GAS AVAILABILITY'!Q432+'RAP TEMPLATE-GAS AVAILABILITY'!R432)</f>
        <v>21.558210791366907</v>
      </c>
    </row>
    <row r="434" spans="1:29" ht="15.75" x14ac:dyDescent="0.25">
      <c r="A434" s="33">
        <v>54116</v>
      </c>
      <c r="B434" s="14">
        <f>CHOOSE(CONTROL!$C$42, 22.3212, 22.3212) * CHOOSE(CONTROL!$C$21, $C$9, 100%, $E$9)</f>
        <v>22.321200000000001</v>
      </c>
      <c r="C434" s="14">
        <f>CHOOSE(CONTROL!$C$42, 22.3262, 22.3262) * CHOOSE(CONTROL!$C$21, $C$9, 100%, $E$9)</f>
        <v>22.3262</v>
      </c>
      <c r="D434" s="14">
        <f>CHOOSE(CONTROL!$C$42, 22.403, 22.403) * CHOOSE(CONTROL!$C$21, $C$9, 100%, $E$9)</f>
        <v>22.402999999999999</v>
      </c>
      <c r="E434" s="14">
        <f>CHOOSE(CONTROL!$C$42, 22.4371, 22.4371) * CHOOSE(CONTROL!$C$21, $C$9, 100%, $E$9)</f>
        <v>22.437100000000001</v>
      </c>
      <c r="F434" s="14">
        <f>CHOOSE(CONTROL!$C$42, 22.3455, 22.3455)*CHOOSE(CONTROL!$C$21, $C$9, 100%, $E$9)</f>
        <v>22.345500000000001</v>
      </c>
      <c r="G434" s="14">
        <f>CHOOSE(CONTROL!$C$42, 22.3634, 22.3634)*CHOOSE(CONTROL!$C$21, $C$9, 100%, $E$9)</f>
        <v>22.363399999999999</v>
      </c>
      <c r="H434" s="14">
        <f>CHOOSE(CONTROL!$C$42, 22.4263, 22.4263) * CHOOSE(CONTROL!$C$21, $C$9, 100%, $E$9)</f>
        <v>22.426300000000001</v>
      </c>
      <c r="I434" s="14">
        <f>CHOOSE(CONTROL!$C$42, 22.4248, 22.4248)* CHOOSE(CONTROL!$C$21, $C$9, 100%, $E$9)</f>
        <v>22.424800000000001</v>
      </c>
      <c r="J434" s="14">
        <f>CHOOSE(CONTROL!$C$42, 22.3385, 22.3385)* CHOOSE(CONTROL!$C$21, $C$9, 100%, $E$9)</f>
        <v>22.3385</v>
      </c>
      <c r="K434" s="53">
        <f>CHOOSE(CONTROL!$C$42, 22.4209, 22.4209) * CHOOSE(CONTROL!$C$21, $C$9, 100%, $E$9)</f>
        <v>22.4209</v>
      </c>
      <c r="L434" s="14">
        <f>CHOOSE(CONTROL!$C$42, 23.0133, 23.0133) * CHOOSE(CONTROL!$C$21, $C$9, 100%, $E$9)</f>
        <v>23.013300000000001</v>
      </c>
      <c r="M434" s="14">
        <f>CHOOSE(CONTROL!$C$42, 21.8885, 21.8885) * CHOOSE(CONTROL!$C$21, $C$9, 100%, $E$9)</f>
        <v>21.888500000000001</v>
      </c>
      <c r="N434" s="14">
        <f>CHOOSE(CONTROL!$C$42, 21.906, 21.906) * CHOOSE(CONTROL!$C$21, $C$9, 100%, $E$9)</f>
        <v>21.905999999999999</v>
      </c>
      <c r="O434" s="14">
        <f>CHOOSE(CONTROL!$C$42, 21.9745, 21.9745) * CHOOSE(CONTROL!$C$21, $C$9, 100%, $E$9)</f>
        <v>21.974499999999999</v>
      </c>
      <c r="P434" s="14">
        <f>CHOOSE(CONTROL!$C$42, 21.9717, 21.9717) * CHOOSE(CONTROL!$C$21, $C$9, 100%, $E$9)</f>
        <v>21.971699999999998</v>
      </c>
      <c r="Q434" s="14">
        <f>CHOOSE(CONTROL!$C$42, 22.5692, 22.5692) * CHOOSE(CONTROL!$C$21, $C$9, 100%, $E$9)</f>
        <v>22.569199999999999</v>
      </c>
      <c r="R434" s="14">
        <f>CHOOSE(CONTROL!$C$42, 23.2127, 23.2127) * CHOOSE(CONTROL!$C$21, $C$9, 100%, $E$9)</f>
        <v>23.212700000000002</v>
      </c>
      <c r="S434" s="14">
        <f>CHOOSE(CONTROL!$C$42, 21.4399, 21.4399) * CHOOSE(CONTROL!$C$21, $C$9, 100%, $E$9)</f>
        <v>21.439900000000002</v>
      </c>
      <c r="T43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34" s="57">
        <f>(1000*CHOOSE(CONTROL!$C$42, 695, 695)*CHOOSE(CONTROL!$C$42, 0.5599, 0.5599)*CHOOSE(CONTROL!$C$42, 29, 29))/1000000</f>
        <v>11.284784499999999</v>
      </c>
      <c r="V434" s="57">
        <f>(1000*CHOOSE(CONTROL!$C$42, 500, 500)*CHOOSE(CONTROL!$C$42, 0.275, 0.275)*CHOOSE(CONTROL!$C$42, 29, 29))/1000000</f>
        <v>3.9874999999999998</v>
      </c>
      <c r="W434" s="57">
        <f>(1000*CHOOSE(CONTROL!$C$42, 0.1146, 0.1146)*CHOOSE(CONTROL!$C$42, 121.5, 121.5)*CHOOSE(CONTROL!$C$42, 29, 29))/1000000</f>
        <v>0.40379309999999996</v>
      </c>
      <c r="X434" s="57">
        <f>(29*0.1790888*100000/1000000)+(29*0.2374*100000/1000000)</f>
        <v>1.2078175199999999</v>
      </c>
      <c r="Y434" s="57"/>
      <c r="Z434" s="14"/>
      <c r="AA434" s="56"/>
      <c r="AB434" s="50">
        <f>(B434*122.58+C434*297.941+D434*89.177+E434*40.302+F434*40+G434*160+H434*0+I434*100+J434*300)/(122.58+297.941+89.177+40.302+0+40+160+100+300)</f>
        <v>22.353138595999997</v>
      </c>
      <c r="AC434" s="45">
        <f>(M434*'RAP TEMPLATE-GAS AVAILABILITY'!O433+N434*'RAP TEMPLATE-GAS AVAILABILITY'!P433+O434*'RAP TEMPLATE-GAS AVAILABILITY'!Q433+P434*'RAP TEMPLATE-GAS AVAILABILITY'!R433)/('RAP TEMPLATE-GAS AVAILABILITY'!O433+'RAP TEMPLATE-GAS AVAILABILITY'!P433+'RAP TEMPLATE-GAS AVAILABILITY'!Q433+'RAP TEMPLATE-GAS AVAILABILITY'!R433)</f>
        <v>21.940456834532373</v>
      </c>
    </row>
    <row r="435" spans="1:29" ht="15.75" x14ac:dyDescent="0.25">
      <c r="A435" s="33">
        <v>54148</v>
      </c>
      <c r="B435" s="14">
        <f>CHOOSE(CONTROL!$C$42, 21.6877, 21.6877) * CHOOSE(CONTROL!$C$21, $C$9, 100%, $E$9)</f>
        <v>21.6877</v>
      </c>
      <c r="C435" s="14">
        <f>CHOOSE(CONTROL!$C$42, 21.6928, 21.6928) * CHOOSE(CONTROL!$C$21, $C$9, 100%, $E$9)</f>
        <v>21.692799999999998</v>
      </c>
      <c r="D435" s="14">
        <f>CHOOSE(CONTROL!$C$42, 21.7696, 21.7696) * CHOOSE(CONTROL!$C$21, $C$9, 100%, $E$9)</f>
        <v>21.769600000000001</v>
      </c>
      <c r="E435" s="14">
        <f>CHOOSE(CONTROL!$C$42, 21.8037, 21.8037) * CHOOSE(CONTROL!$C$21, $C$9, 100%, $E$9)</f>
        <v>21.803699999999999</v>
      </c>
      <c r="F435" s="14">
        <f>CHOOSE(CONTROL!$C$42, 21.7112, 21.7112)*CHOOSE(CONTROL!$C$21, $C$9, 100%, $E$9)</f>
        <v>21.711200000000002</v>
      </c>
      <c r="G435" s="14">
        <f>CHOOSE(CONTROL!$C$42, 21.7288, 21.7288)*CHOOSE(CONTROL!$C$21, $C$9, 100%, $E$9)</f>
        <v>21.7288</v>
      </c>
      <c r="H435" s="14">
        <f>CHOOSE(CONTROL!$C$42, 21.7929, 21.7929) * CHOOSE(CONTROL!$C$21, $C$9, 100%, $E$9)</f>
        <v>21.792899999999999</v>
      </c>
      <c r="I435" s="14">
        <f>CHOOSE(CONTROL!$C$42, 21.7894, 21.7894)* CHOOSE(CONTROL!$C$21, $C$9, 100%, $E$9)</f>
        <v>21.789400000000001</v>
      </c>
      <c r="J435" s="14">
        <f>CHOOSE(CONTROL!$C$42, 21.7042, 21.7042)* CHOOSE(CONTROL!$C$21, $C$9, 100%, $E$9)</f>
        <v>21.7042</v>
      </c>
      <c r="K435" s="53">
        <f>CHOOSE(CONTROL!$C$42, 21.7855, 21.7855) * CHOOSE(CONTROL!$C$21, $C$9, 100%, $E$9)</f>
        <v>21.785499999999999</v>
      </c>
      <c r="L435" s="14">
        <f>CHOOSE(CONTROL!$C$42, 22.3799, 22.3799) * CHOOSE(CONTROL!$C$21, $C$9, 100%, $E$9)</f>
        <v>22.379899999999999</v>
      </c>
      <c r="M435" s="14">
        <f>CHOOSE(CONTROL!$C$42, 21.2672, 21.2672) * CHOOSE(CONTROL!$C$21, $C$9, 100%, $E$9)</f>
        <v>21.267199999999999</v>
      </c>
      <c r="N435" s="14">
        <f>CHOOSE(CONTROL!$C$42, 21.2844, 21.2844) * CHOOSE(CONTROL!$C$21, $C$9, 100%, $E$9)</f>
        <v>21.284400000000002</v>
      </c>
      <c r="O435" s="14">
        <f>CHOOSE(CONTROL!$C$42, 21.3541, 21.3541) * CHOOSE(CONTROL!$C$21, $C$9, 100%, $E$9)</f>
        <v>21.354099999999999</v>
      </c>
      <c r="P435" s="14">
        <f>CHOOSE(CONTROL!$C$42, 21.3493, 21.3493) * CHOOSE(CONTROL!$C$21, $C$9, 100%, $E$9)</f>
        <v>21.349299999999999</v>
      </c>
      <c r="Q435" s="14">
        <f>CHOOSE(CONTROL!$C$42, 21.9488, 21.9488) * CHOOSE(CONTROL!$C$21, $C$9, 100%, $E$9)</f>
        <v>21.948799999999999</v>
      </c>
      <c r="R435" s="14">
        <f>CHOOSE(CONTROL!$C$42, 22.5906, 22.5906) * CHOOSE(CONTROL!$C$21, $C$9, 100%, $E$9)</f>
        <v>22.590599999999998</v>
      </c>
      <c r="S435" s="14">
        <f>CHOOSE(CONTROL!$C$42, 20.8312, 20.8312) * CHOOSE(CONTROL!$C$21, $C$9, 100%, $E$9)</f>
        <v>20.831199999999999</v>
      </c>
      <c r="T4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35" s="57">
        <f>(1000*CHOOSE(CONTROL!$C$42, 695, 695)*CHOOSE(CONTROL!$C$42, 0.5599, 0.5599)*CHOOSE(CONTROL!$C$42, 31, 31))/1000000</f>
        <v>12.063045499999998</v>
      </c>
      <c r="V435" s="57">
        <f>(1000*CHOOSE(CONTROL!$C$42, 500, 500)*CHOOSE(CONTROL!$C$42, 0.275, 0.275)*CHOOSE(CONTROL!$C$42, 31, 31))/1000000</f>
        <v>4.2625000000000002</v>
      </c>
      <c r="W435" s="57">
        <f>(1000*CHOOSE(CONTROL!$C$42, 0.1146, 0.1146)*CHOOSE(CONTROL!$C$42, 121.5, 121.5)*CHOOSE(CONTROL!$C$42, 31, 31))/1000000</f>
        <v>0.43164089999999994</v>
      </c>
      <c r="X435" s="57">
        <f>(31*0.1790888*100000/1000000)+(31*0.2374*100000/1000000)</f>
        <v>1.2911152800000001</v>
      </c>
      <c r="Y435" s="57"/>
      <c r="Z435" s="14"/>
      <c r="AA435" s="56"/>
      <c r="AB435" s="50">
        <f>(B435*122.58+C435*297.941+D435*89.177+E435*40.302+F435*40+G435*160+H435*0+I435*100+J435*300)/(122.58+297.941+89.177+40.302+0+40+160+100+300)</f>
        <v>21.719120980347824</v>
      </c>
      <c r="AC435" s="45">
        <f>(M435*'RAP TEMPLATE-GAS AVAILABILITY'!O434+N435*'RAP TEMPLATE-GAS AVAILABILITY'!P434+O435*'RAP TEMPLATE-GAS AVAILABILITY'!Q434+P435*'RAP TEMPLATE-GAS AVAILABILITY'!R434)/('RAP TEMPLATE-GAS AVAILABILITY'!O434+'RAP TEMPLATE-GAS AVAILABILITY'!P434+'RAP TEMPLATE-GAS AVAILABILITY'!Q434+'RAP TEMPLATE-GAS AVAILABILITY'!R434)</f>
        <v>21.319389208633094</v>
      </c>
    </row>
    <row r="436" spans="1:29" ht="15.75" x14ac:dyDescent="0.25">
      <c r="A436" s="33">
        <v>54178</v>
      </c>
      <c r="B436" s="14">
        <f>CHOOSE(CONTROL!$C$42, 21.6238, 21.6238) * CHOOSE(CONTROL!$C$21, $C$9, 100%, $E$9)</f>
        <v>21.623799999999999</v>
      </c>
      <c r="C436" s="14">
        <f>CHOOSE(CONTROL!$C$42, 21.6283, 21.6283) * CHOOSE(CONTROL!$C$21, $C$9, 100%, $E$9)</f>
        <v>21.628299999999999</v>
      </c>
      <c r="D436" s="14">
        <f>CHOOSE(CONTROL!$C$42, 21.852, 21.852) * CHOOSE(CONTROL!$C$21, $C$9, 100%, $E$9)</f>
        <v>21.852</v>
      </c>
      <c r="E436" s="14">
        <f>CHOOSE(CONTROL!$C$42, 21.8841, 21.8841) * CHOOSE(CONTROL!$C$21, $C$9, 100%, $E$9)</f>
        <v>21.8841</v>
      </c>
      <c r="F436" s="14">
        <f>CHOOSE(CONTROL!$C$42, 21.6515, 21.6515)*CHOOSE(CONTROL!$C$21, $C$9, 100%, $E$9)</f>
        <v>21.651499999999999</v>
      </c>
      <c r="G436" s="14">
        <f>CHOOSE(CONTROL!$C$42, 21.6684, 21.6684)*CHOOSE(CONTROL!$C$21, $C$9, 100%, $E$9)</f>
        <v>21.668399999999998</v>
      </c>
      <c r="H436" s="14">
        <f>CHOOSE(CONTROL!$C$42, 21.8739, 21.8739) * CHOOSE(CONTROL!$C$21, $C$9, 100%, $E$9)</f>
        <v>21.873899999999999</v>
      </c>
      <c r="I436" s="14">
        <f>CHOOSE(CONTROL!$C$42, 21.7208, 21.7208)* CHOOSE(CONTROL!$C$21, $C$9, 100%, $E$9)</f>
        <v>21.720800000000001</v>
      </c>
      <c r="J436" s="14">
        <f>CHOOSE(CONTROL!$C$42, 21.6445, 21.6445)* CHOOSE(CONTROL!$C$21, $C$9, 100%, $E$9)</f>
        <v>21.644500000000001</v>
      </c>
      <c r="K436" s="53">
        <f>CHOOSE(CONTROL!$C$42, 21.7169, 21.7169) * CHOOSE(CONTROL!$C$21, $C$9, 100%, $E$9)</f>
        <v>21.716899999999999</v>
      </c>
      <c r="L436" s="14">
        <f>CHOOSE(CONTROL!$C$42, 22.4609, 22.4609) * CHOOSE(CONTROL!$C$21, $C$9, 100%, $E$9)</f>
        <v>22.460899999999999</v>
      </c>
      <c r="M436" s="14">
        <f>CHOOSE(CONTROL!$C$42, 21.2087, 21.2087) * CHOOSE(CONTROL!$C$21, $C$9, 100%, $E$9)</f>
        <v>21.2087</v>
      </c>
      <c r="N436" s="14">
        <f>CHOOSE(CONTROL!$C$42, 21.2253, 21.2253) * CHOOSE(CONTROL!$C$21, $C$9, 100%, $E$9)</f>
        <v>21.225300000000001</v>
      </c>
      <c r="O436" s="14">
        <f>CHOOSE(CONTROL!$C$42, 21.4334, 21.4334) * CHOOSE(CONTROL!$C$21, $C$9, 100%, $E$9)</f>
        <v>21.433399999999999</v>
      </c>
      <c r="P436" s="14">
        <f>CHOOSE(CONTROL!$C$42, 21.2822, 21.2822) * CHOOSE(CONTROL!$C$21, $C$9, 100%, $E$9)</f>
        <v>21.2822</v>
      </c>
      <c r="Q436" s="14">
        <f>CHOOSE(CONTROL!$C$42, 22.0281, 22.0281) * CHOOSE(CONTROL!$C$21, $C$9, 100%, $E$9)</f>
        <v>22.028099999999998</v>
      </c>
      <c r="R436" s="14">
        <f>CHOOSE(CONTROL!$C$42, 22.6702, 22.6702) * CHOOSE(CONTROL!$C$21, $C$9, 100%, $E$9)</f>
        <v>22.670200000000001</v>
      </c>
      <c r="S436" s="14">
        <f>CHOOSE(CONTROL!$C$42, 20.769, 20.769) * CHOOSE(CONTROL!$C$21, $C$9, 100%, $E$9)</f>
        <v>20.768999999999998</v>
      </c>
      <c r="T4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36" s="57">
        <f>(1000*CHOOSE(CONTROL!$C$42, 695, 695)*CHOOSE(CONTROL!$C$42, 0.5599, 0.5599)*CHOOSE(CONTROL!$C$42, 30, 30))/1000000</f>
        <v>11.673914999999997</v>
      </c>
      <c r="V436" s="57">
        <f>(1000*CHOOSE(CONTROL!$C$42, 500, 500)*CHOOSE(CONTROL!$C$42, 0.275, 0.275)*CHOOSE(CONTROL!$C$42, 30, 30))/1000000</f>
        <v>4.125</v>
      </c>
      <c r="W436" s="57">
        <f>(1000*CHOOSE(CONTROL!$C$42, 0.1146, 0.1146)*CHOOSE(CONTROL!$C$42, 121.5, 121.5)*CHOOSE(CONTROL!$C$42, 30, 30))/1000000</f>
        <v>0.417717</v>
      </c>
      <c r="X436" s="57">
        <f>(30*0.1790888*245000/1000000)+(30*0.2374*100000/1000000)</f>
        <v>2.0285026799999999</v>
      </c>
      <c r="Y436" s="57"/>
      <c r="Z436" s="14"/>
      <c r="AA436" s="56"/>
      <c r="AB436" s="50">
        <f>(B436*141.293+C436*267.993+D436*115.016+E436*89.698+F436*40+G436*185+H436*0+I436*100+J436*300)/(141.293+267.993+115.016+89.698+0+40+185+100+300)</f>
        <v>21.685196294673123</v>
      </c>
      <c r="AC436" s="45">
        <f>(M436*'RAP TEMPLATE-GAS AVAILABILITY'!O435+N436*'RAP TEMPLATE-GAS AVAILABILITY'!P435+O436*'RAP TEMPLATE-GAS AVAILABILITY'!Q435+P436*'RAP TEMPLATE-GAS AVAILABILITY'!R435)/('RAP TEMPLATE-GAS AVAILABILITY'!O435+'RAP TEMPLATE-GAS AVAILABILITY'!P435+'RAP TEMPLATE-GAS AVAILABILITY'!Q435+'RAP TEMPLATE-GAS AVAILABILITY'!R435)</f>
        <v>21.286142446043165</v>
      </c>
    </row>
    <row r="437" spans="1:29" ht="15.75" x14ac:dyDescent="0.25">
      <c r="A437" s="33">
        <v>54209</v>
      </c>
      <c r="B437" s="14">
        <f>CHOOSE(CONTROL!$C$42, 21.816, 21.816) * CHOOSE(CONTROL!$C$21, $C$9, 100%, $E$9)</f>
        <v>21.815999999999999</v>
      </c>
      <c r="C437" s="14">
        <f>CHOOSE(CONTROL!$C$42, 21.824, 21.824) * CHOOSE(CONTROL!$C$21, $C$9, 100%, $E$9)</f>
        <v>21.824000000000002</v>
      </c>
      <c r="D437" s="14">
        <f>CHOOSE(CONTROL!$C$42, 22.0446, 22.0446) * CHOOSE(CONTROL!$C$21, $C$9, 100%, $E$9)</f>
        <v>22.044599999999999</v>
      </c>
      <c r="E437" s="14">
        <f>CHOOSE(CONTROL!$C$42, 22.076, 22.076) * CHOOSE(CONTROL!$C$21, $C$9, 100%, $E$9)</f>
        <v>22.076000000000001</v>
      </c>
      <c r="F437" s="14">
        <f>CHOOSE(CONTROL!$C$42, 21.8422, 21.8422)*CHOOSE(CONTROL!$C$21, $C$9, 100%, $E$9)</f>
        <v>21.842199999999998</v>
      </c>
      <c r="G437" s="14">
        <f>CHOOSE(CONTROL!$C$42, 21.8594, 21.8594)*CHOOSE(CONTROL!$C$21, $C$9, 100%, $E$9)</f>
        <v>21.859400000000001</v>
      </c>
      <c r="H437" s="14">
        <f>CHOOSE(CONTROL!$C$42, 22.0647, 22.0647) * CHOOSE(CONTROL!$C$21, $C$9, 100%, $E$9)</f>
        <v>22.064699999999998</v>
      </c>
      <c r="I437" s="14">
        <f>CHOOSE(CONTROL!$C$42, 21.9122, 21.9122)* CHOOSE(CONTROL!$C$21, $C$9, 100%, $E$9)</f>
        <v>21.912199999999999</v>
      </c>
      <c r="J437" s="14">
        <f>CHOOSE(CONTROL!$C$42, 21.8352, 21.8352)* CHOOSE(CONTROL!$C$21, $C$9, 100%, $E$9)</f>
        <v>21.8352</v>
      </c>
      <c r="K437" s="53">
        <f>CHOOSE(CONTROL!$C$42, 21.9083, 21.9083) * CHOOSE(CONTROL!$C$21, $C$9, 100%, $E$9)</f>
        <v>21.908300000000001</v>
      </c>
      <c r="L437" s="14">
        <f>CHOOSE(CONTROL!$C$42, 22.6517, 22.6517) * CHOOSE(CONTROL!$C$21, $C$9, 100%, $E$9)</f>
        <v>22.651700000000002</v>
      </c>
      <c r="M437" s="14">
        <f>CHOOSE(CONTROL!$C$42, 21.3955, 21.3955) * CHOOSE(CONTROL!$C$21, $C$9, 100%, $E$9)</f>
        <v>21.395499999999998</v>
      </c>
      <c r="N437" s="14">
        <f>CHOOSE(CONTROL!$C$42, 21.4123, 21.4123) * CHOOSE(CONTROL!$C$21, $C$9, 100%, $E$9)</f>
        <v>21.412299999999998</v>
      </c>
      <c r="O437" s="14">
        <f>CHOOSE(CONTROL!$C$42, 21.6203, 21.6203) * CHOOSE(CONTROL!$C$21, $C$9, 100%, $E$9)</f>
        <v>21.6203</v>
      </c>
      <c r="P437" s="14">
        <f>CHOOSE(CONTROL!$C$42, 21.4696, 21.4696) * CHOOSE(CONTROL!$C$21, $C$9, 100%, $E$9)</f>
        <v>21.4696</v>
      </c>
      <c r="Q437" s="14">
        <f>CHOOSE(CONTROL!$C$42, 22.215, 22.215) * CHOOSE(CONTROL!$C$21, $C$9, 100%, $E$9)</f>
        <v>22.215</v>
      </c>
      <c r="R437" s="14">
        <f>CHOOSE(CONTROL!$C$42, 22.8575, 22.8575) * CHOOSE(CONTROL!$C$21, $C$9, 100%, $E$9)</f>
        <v>22.857500000000002</v>
      </c>
      <c r="S437" s="14">
        <f>CHOOSE(CONTROL!$C$42, 20.9523, 20.9523) * CHOOSE(CONTROL!$C$21, $C$9, 100%, $E$9)</f>
        <v>20.952300000000001</v>
      </c>
      <c r="T4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37" s="57">
        <f>(1000*CHOOSE(CONTROL!$C$42, 695, 695)*CHOOSE(CONTROL!$C$42, 0.5599, 0.5599)*CHOOSE(CONTROL!$C$42, 31, 31))/1000000</f>
        <v>12.063045499999998</v>
      </c>
      <c r="V437" s="57">
        <f>(1000*CHOOSE(CONTROL!$C$42, 500, 500)*CHOOSE(CONTROL!$C$42, 0.275, 0.275)*CHOOSE(CONTROL!$C$42, 31, 31))/1000000</f>
        <v>4.2625000000000002</v>
      </c>
      <c r="W437" s="57">
        <f>(1000*CHOOSE(CONTROL!$C$42, 0.1146, 0.1146)*CHOOSE(CONTROL!$C$42, 121.5, 121.5)*CHOOSE(CONTROL!$C$42, 31, 31))/1000000</f>
        <v>0.43164089999999994</v>
      </c>
      <c r="X437" s="57">
        <f>(31*0.1790888*245000/1000000)+(31*0.2374*100000/1000000)</f>
        <v>2.0961194359999999</v>
      </c>
      <c r="Y437" s="57"/>
      <c r="Z437" s="14"/>
      <c r="AA437" s="56"/>
      <c r="AB437" s="50">
        <f>(B437*194.205+C437*267.466+D437*133.845+E437*53.484+F437*40+G437*185+H437*0+I437*100+J437*300)/(194.205+267.466+133.845+53.484+0+40+185+100+300)</f>
        <v>21.871808112244899</v>
      </c>
      <c r="AC437" s="45">
        <f>(M437*'RAP TEMPLATE-GAS AVAILABILITY'!O436+N437*'RAP TEMPLATE-GAS AVAILABILITY'!P436+O437*'RAP TEMPLATE-GAS AVAILABILITY'!Q436+P437*'RAP TEMPLATE-GAS AVAILABILITY'!R436)/('RAP TEMPLATE-GAS AVAILABILITY'!O436+'RAP TEMPLATE-GAS AVAILABILITY'!P436+'RAP TEMPLATE-GAS AVAILABILITY'!Q436+'RAP TEMPLATE-GAS AVAILABILITY'!R436)</f>
        <v>21.473102877697841</v>
      </c>
    </row>
    <row r="438" spans="1:29" ht="15.75" x14ac:dyDescent="0.25">
      <c r="A438" s="33">
        <v>54239</v>
      </c>
      <c r="B438" s="14">
        <f>CHOOSE(CONTROL!$C$42, 22.4345, 22.4345) * CHOOSE(CONTROL!$C$21, $C$9, 100%, $E$9)</f>
        <v>22.4345</v>
      </c>
      <c r="C438" s="14">
        <f>CHOOSE(CONTROL!$C$42, 22.4425, 22.4425) * CHOOSE(CONTROL!$C$21, $C$9, 100%, $E$9)</f>
        <v>22.442499999999999</v>
      </c>
      <c r="D438" s="14">
        <f>CHOOSE(CONTROL!$C$42, 22.6631, 22.6631) * CHOOSE(CONTROL!$C$21, $C$9, 100%, $E$9)</f>
        <v>22.6631</v>
      </c>
      <c r="E438" s="14">
        <f>CHOOSE(CONTROL!$C$42, 22.6945, 22.6945) * CHOOSE(CONTROL!$C$21, $C$9, 100%, $E$9)</f>
        <v>22.694500000000001</v>
      </c>
      <c r="F438" s="14">
        <f>CHOOSE(CONTROL!$C$42, 22.4611, 22.4611)*CHOOSE(CONTROL!$C$21, $C$9, 100%, $E$9)</f>
        <v>22.461099999999998</v>
      </c>
      <c r="G438" s="14">
        <f>CHOOSE(CONTROL!$C$42, 22.4783, 22.4783)*CHOOSE(CONTROL!$C$21, $C$9, 100%, $E$9)</f>
        <v>22.478300000000001</v>
      </c>
      <c r="H438" s="14">
        <f>CHOOSE(CONTROL!$C$42, 22.6832, 22.6832) * CHOOSE(CONTROL!$C$21, $C$9, 100%, $E$9)</f>
        <v>22.683199999999999</v>
      </c>
      <c r="I438" s="14">
        <f>CHOOSE(CONTROL!$C$42, 22.5326, 22.5326)* CHOOSE(CONTROL!$C$21, $C$9, 100%, $E$9)</f>
        <v>22.532599999999999</v>
      </c>
      <c r="J438" s="14">
        <f>CHOOSE(CONTROL!$C$42, 22.4541, 22.4541)* CHOOSE(CONTROL!$C$21, $C$9, 100%, $E$9)</f>
        <v>22.4541</v>
      </c>
      <c r="K438" s="53">
        <f>CHOOSE(CONTROL!$C$42, 22.5287, 22.5287) * CHOOSE(CONTROL!$C$21, $C$9, 100%, $E$9)</f>
        <v>22.528700000000001</v>
      </c>
      <c r="L438" s="14">
        <f>CHOOSE(CONTROL!$C$42, 23.2702, 23.2702) * CHOOSE(CONTROL!$C$21, $C$9, 100%, $E$9)</f>
        <v>23.270199999999999</v>
      </c>
      <c r="M438" s="14">
        <f>CHOOSE(CONTROL!$C$42, 22.0017, 22.0017) * CHOOSE(CONTROL!$C$21, $C$9, 100%, $E$9)</f>
        <v>22.0017</v>
      </c>
      <c r="N438" s="14">
        <f>CHOOSE(CONTROL!$C$42, 22.0186, 22.0186) * CHOOSE(CONTROL!$C$21, $C$9, 100%, $E$9)</f>
        <v>22.018599999999999</v>
      </c>
      <c r="O438" s="14">
        <f>CHOOSE(CONTROL!$C$42, 22.2261, 22.2261) * CHOOSE(CONTROL!$C$21, $C$9, 100%, $E$9)</f>
        <v>22.226099999999999</v>
      </c>
      <c r="P438" s="14">
        <f>CHOOSE(CONTROL!$C$42, 22.0773, 22.0773) * CHOOSE(CONTROL!$C$21, $C$9, 100%, $E$9)</f>
        <v>22.077300000000001</v>
      </c>
      <c r="Q438" s="14">
        <f>CHOOSE(CONTROL!$C$42, 22.8208, 22.8208) * CHOOSE(CONTROL!$C$21, $C$9, 100%, $E$9)</f>
        <v>22.820799999999998</v>
      </c>
      <c r="R438" s="14">
        <f>CHOOSE(CONTROL!$C$42, 23.4649, 23.4649) * CHOOSE(CONTROL!$C$21, $C$9, 100%, $E$9)</f>
        <v>23.4649</v>
      </c>
      <c r="S438" s="14">
        <f>CHOOSE(CONTROL!$C$42, 21.5466, 21.5466) * CHOOSE(CONTROL!$C$21, $C$9, 100%, $E$9)</f>
        <v>21.546600000000002</v>
      </c>
      <c r="T4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38" s="57">
        <f>(1000*CHOOSE(CONTROL!$C$42, 695, 695)*CHOOSE(CONTROL!$C$42, 0.5599, 0.5599)*CHOOSE(CONTROL!$C$42, 30, 30))/1000000</f>
        <v>11.673914999999997</v>
      </c>
      <c r="V438" s="57">
        <f>(1000*CHOOSE(CONTROL!$C$42, 500, 500)*CHOOSE(CONTROL!$C$42, 0.275, 0.275)*CHOOSE(CONTROL!$C$42, 30, 30))/1000000</f>
        <v>4.125</v>
      </c>
      <c r="W438" s="57">
        <f>(1000*CHOOSE(CONTROL!$C$42, 0.1146, 0.1146)*CHOOSE(CONTROL!$C$42, 121.5, 121.5)*CHOOSE(CONTROL!$C$42, 30, 30))/1000000</f>
        <v>0.417717</v>
      </c>
      <c r="X438" s="57">
        <f>(30*0.1790888*245000/1000000)+(30*0.2374*100000/1000000)</f>
        <v>2.0285026799999999</v>
      </c>
      <c r="Y438" s="57"/>
      <c r="Z438" s="14"/>
      <c r="AA438" s="56"/>
      <c r="AB438" s="50">
        <f>(B438*194.205+C438*267.466+D438*133.845+E438*53.484+F438*40+G438*185+H438*0+I438*100+J438*300)/(194.205+267.466+133.845+53.484+0+40+185+100+300)</f>
        <v>22.490622083987439</v>
      </c>
      <c r="AC438" s="45">
        <f>(M438*'RAP TEMPLATE-GAS AVAILABILITY'!O437+N438*'RAP TEMPLATE-GAS AVAILABILITY'!P437+O438*'RAP TEMPLATE-GAS AVAILABILITY'!Q437+P438*'RAP TEMPLATE-GAS AVAILABILITY'!R437)/('RAP TEMPLATE-GAS AVAILABILITY'!O437+'RAP TEMPLATE-GAS AVAILABILITY'!P437+'RAP TEMPLATE-GAS AVAILABILITY'!Q437+'RAP TEMPLATE-GAS AVAILABILITY'!R437)</f>
        <v>22.079429496402874</v>
      </c>
    </row>
    <row r="439" spans="1:29" ht="15.75" x14ac:dyDescent="0.25">
      <c r="A439" s="33">
        <v>54270</v>
      </c>
      <c r="B439" s="14">
        <f>CHOOSE(CONTROL!$C$42, 22.0043, 22.0043) * CHOOSE(CONTROL!$C$21, $C$9, 100%, $E$9)</f>
        <v>22.004300000000001</v>
      </c>
      <c r="C439" s="14">
        <f>CHOOSE(CONTROL!$C$42, 22.0123, 22.0123) * CHOOSE(CONTROL!$C$21, $C$9, 100%, $E$9)</f>
        <v>22.0123</v>
      </c>
      <c r="D439" s="14">
        <f>CHOOSE(CONTROL!$C$42, 22.2329, 22.2329) * CHOOSE(CONTROL!$C$21, $C$9, 100%, $E$9)</f>
        <v>22.232900000000001</v>
      </c>
      <c r="E439" s="14">
        <f>CHOOSE(CONTROL!$C$42, 22.2644, 22.2644) * CHOOSE(CONTROL!$C$21, $C$9, 100%, $E$9)</f>
        <v>22.264399999999998</v>
      </c>
      <c r="F439" s="14">
        <f>CHOOSE(CONTROL!$C$42, 22.0314, 22.0314)*CHOOSE(CONTROL!$C$21, $C$9, 100%, $E$9)</f>
        <v>22.031400000000001</v>
      </c>
      <c r="G439" s="14">
        <f>CHOOSE(CONTROL!$C$42, 22.0487, 22.0487)*CHOOSE(CONTROL!$C$21, $C$9, 100%, $E$9)</f>
        <v>22.0487</v>
      </c>
      <c r="H439" s="14">
        <f>CHOOSE(CONTROL!$C$42, 22.253, 22.253) * CHOOSE(CONTROL!$C$21, $C$9, 100%, $E$9)</f>
        <v>22.253</v>
      </c>
      <c r="I439" s="14">
        <f>CHOOSE(CONTROL!$C$42, 22.1011, 22.1011)* CHOOSE(CONTROL!$C$21, $C$9, 100%, $E$9)</f>
        <v>22.101099999999999</v>
      </c>
      <c r="J439" s="14">
        <f>CHOOSE(CONTROL!$C$42, 22.0244, 22.0244)* CHOOSE(CONTROL!$C$21, $C$9, 100%, $E$9)</f>
        <v>22.0244</v>
      </c>
      <c r="K439" s="53">
        <f>CHOOSE(CONTROL!$C$42, 22.0972, 22.0972) * CHOOSE(CONTROL!$C$21, $C$9, 100%, $E$9)</f>
        <v>22.097200000000001</v>
      </c>
      <c r="L439" s="14">
        <f>CHOOSE(CONTROL!$C$42, 22.84, 22.84) * CHOOSE(CONTROL!$C$21, $C$9, 100%, $E$9)</f>
        <v>22.84</v>
      </c>
      <c r="M439" s="14">
        <f>CHOOSE(CONTROL!$C$42, 21.5808, 21.5808) * CHOOSE(CONTROL!$C$21, $C$9, 100%, $E$9)</f>
        <v>21.5808</v>
      </c>
      <c r="N439" s="14">
        <f>CHOOSE(CONTROL!$C$42, 21.5978, 21.5978) * CHOOSE(CONTROL!$C$21, $C$9, 100%, $E$9)</f>
        <v>21.597799999999999</v>
      </c>
      <c r="O439" s="14">
        <f>CHOOSE(CONTROL!$C$42, 21.8047, 21.8047) * CHOOSE(CONTROL!$C$21, $C$9, 100%, $E$9)</f>
        <v>21.8047</v>
      </c>
      <c r="P439" s="14">
        <f>CHOOSE(CONTROL!$C$42, 21.6546, 21.6546) * CHOOSE(CONTROL!$C$21, $C$9, 100%, $E$9)</f>
        <v>21.654599999999999</v>
      </c>
      <c r="Q439" s="14">
        <f>CHOOSE(CONTROL!$C$42, 22.3994, 22.3994) * CHOOSE(CONTROL!$C$21, $C$9, 100%, $E$9)</f>
        <v>22.3994</v>
      </c>
      <c r="R439" s="14">
        <f>CHOOSE(CONTROL!$C$42, 23.0424, 23.0424) * CHOOSE(CONTROL!$C$21, $C$9, 100%, $E$9)</f>
        <v>23.042400000000001</v>
      </c>
      <c r="S439" s="14">
        <f>CHOOSE(CONTROL!$C$42, 21.1333, 21.1333) * CHOOSE(CONTROL!$C$21, $C$9, 100%, $E$9)</f>
        <v>21.133299999999998</v>
      </c>
      <c r="T4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39" s="57">
        <f>(1000*CHOOSE(CONTROL!$C$42, 695, 695)*CHOOSE(CONTROL!$C$42, 0.5599, 0.5599)*CHOOSE(CONTROL!$C$42, 31, 31))/1000000</f>
        <v>12.063045499999998</v>
      </c>
      <c r="V439" s="57">
        <f>(1000*CHOOSE(CONTROL!$C$42, 500, 500)*CHOOSE(CONTROL!$C$42, 0.275, 0.275)*CHOOSE(CONTROL!$C$42, 31, 31))/1000000</f>
        <v>4.2625000000000002</v>
      </c>
      <c r="W439" s="57">
        <f>(1000*CHOOSE(CONTROL!$C$42, 0.1146, 0.1146)*CHOOSE(CONTROL!$C$42, 121.5, 121.5)*CHOOSE(CONTROL!$C$42, 31, 31))/1000000</f>
        <v>0.43164089999999994</v>
      </c>
      <c r="X439" s="57">
        <f>(31*0.1790888*245000/1000000)+(31*0.2374*100000/1000000)</f>
        <v>2.0961194359999999</v>
      </c>
      <c r="Y439" s="57"/>
      <c r="Z439" s="14"/>
      <c r="AA439" s="56"/>
      <c r="AB439" s="50">
        <f>(B439*194.205+C439*267.466+D439*133.845+E439*53.484+F439*40+G439*185+H439*0+I439*100+J439*300)/(194.205+267.466+133.845+53.484+0+40+185+100+300)</f>
        <v>22.060544806436422</v>
      </c>
      <c r="AC439" s="45">
        <f>(M439*'RAP TEMPLATE-GAS AVAILABILITY'!O438+N439*'RAP TEMPLATE-GAS AVAILABILITY'!P438+O439*'RAP TEMPLATE-GAS AVAILABILITY'!Q438+P439*'RAP TEMPLATE-GAS AVAILABILITY'!R438)/('RAP TEMPLATE-GAS AVAILABILITY'!O438+'RAP TEMPLATE-GAS AVAILABILITY'!P438+'RAP TEMPLATE-GAS AVAILABILITY'!Q438+'RAP TEMPLATE-GAS AVAILABILITY'!R438)</f>
        <v>21.658153237410072</v>
      </c>
    </row>
    <row r="440" spans="1:29" ht="15.75" x14ac:dyDescent="0.25">
      <c r="A440" s="33">
        <v>54301</v>
      </c>
      <c r="B440" s="14">
        <f>CHOOSE(CONTROL!$C$42, 20.918, 20.918) * CHOOSE(CONTROL!$C$21, $C$9, 100%, $E$9)</f>
        <v>20.917999999999999</v>
      </c>
      <c r="C440" s="14">
        <f>CHOOSE(CONTROL!$C$42, 20.926, 20.926) * CHOOSE(CONTROL!$C$21, $C$9, 100%, $E$9)</f>
        <v>20.925999999999998</v>
      </c>
      <c r="D440" s="14">
        <f>CHOOSE(CONTROL!$C$42, 21.1466, 21.1466) * CHOOSE(CONTROL!$C$21, $C$9, 100%, $E$9)</f>
        <v>21.146599999999999</v>
      </c>
      <c r="E440" s="14">
        <f>CHOOSE(CONTROL!$C$42, 21.1781, 21.1781) * CHOOSE(CONTROL!$C$21, $C$9, 100%, $E$9)</f>
        <v>21.178100000000001</v>
      </c>
      <c r="F440" s="14">
        <f>CHOOSE(CONTROL!$C$42, 20.9453, 20.9453)*CHOOSE(CONTROL!$C$21, $C$9, 100%, $E$9)</f>
        <v>20.9453</v>
      </c>
      <c r="G440" s="14">
        <f>CHOOSE(CONTROL!$C$42, 20.9628, 20.9628)*CHOOSE(CONTROL!$C$21, $C$9, 100%, $E$9)</f>
        <v>20.962800000000001</v>
      </c>
      <c r="H440" s="14">
        <f>CHOOSE(CONTROL!$C$42, 21.1667, 21.1667) * CHOOSE(CONTROL!$C$21, $C$9, 100%, $E$9)</f>
        <v>21.166699999999999</v>
      </c>
      <c r="I440" s="14">
        <f>CHOOSE(CONTROL!$C$42, 21.0114, 21.0114)* CHOOSE(CONTROL!$C$21, $C$9, 100%, $E$9)</f>
        <v>21.011399999999998</v>
      </c>
      <c r="J440" s="14">
        <f>CHOOSE(CONTROL!$C$42, 20.9383, 20.9383)* CHOOSE(CONTROL!$C$21, $C$9, 100%, $E$9)</f>
        <v>20.938300000000002</v>
      </c>
      <c r="K440" s="53">
        <f>CHOOSE(CONTROL!$C$42, 21.0075, 21.0075) * CHOOSE(CONTROL!$C$21, $C$9, 100%, $E$9)</f>
        <v>21.0075</v>
      </c>
      <c r="L440" s="14">
        <f>CHOOSE(CONTROL!$C$42, 21.7537, 21.7537) * CHOOSE(CONTROL!$C$21, $C$9, 100%, $E$9)</f>
        <v>21.753699999999998</v>
      </c>
      <c r="M440" s="14">
        <f>CHOOSE(CONTROL!$C$42, 20.517, 20.517) * CHOOSE(CONTROL!$C$21, $C$9, 100%, $E$9)</f>
        <v>20.516999999999999</v>
      </c>
      <c r="N440" s="14">
        <f>CHOOSE(CONTROL!$C$42, 20.5341, 20.5341) * CHOOSE(CONTROL!$C$21, $C$9, 100%, $E$9)</f>
        <v>20.534099999999999</v>
      </c>
      <c r="O440" s="14">
        <f>CHOOSE(CONTROL!$C$42, 20.7407, 20.7407) * CHOOSE(CONTROL!$C$21, $C$9, 100%, $E$9)</f>
        <v>20.7407</v>
      </c>
      <c r="P440" s="14">
        <f>CHOOSE(CONTROL!$C$42, 20.5873, 20.5873) * CHOOSE(CONTROL!$C$21, $C$9, 100%, $E$9)</f>
        <v>20.587299999999999</v>
      </c>
      <c r="Q440" s="14">
        <f>CHOOSE(CONTROL!$C$42, 21.3354, 21.3354) * CHOOSE(CONTROL!$C$21, $C$9, 100%, $E$9)</f>
        <v>21.3354</v>
      </c>
      <c r="R440" s="14">
        <f>CHOOSE(CONTROL!$C$42, 21.9757, 21.9757) * CHOOSE(CONTROL!$C$21, $C$9, 100%, $E$9)</f>
        <v>21.9757</v>
      </c>
      <c r="S440" s="14">
        <f>CHOOSE(CONTROL!$C$42, 20.0895, 20.0895) * CHOOSE(CONTROL!$C$21, $C$9, 100%, $E$9)</f>
        <v>20.089500000000001</v>
      </c>
      <c r="T4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40" s="57">
        <f>(1000*CHOOSE(CONTROL!$C$42, 695, 695)*CHOOSE(CONTROL!$C$42, 0.5599, 0.5599)*CHOOSE(CONTROL!$C$42, 31, 31))/1000000</f>
        <v>12.063045499999998</v>
      </c>
      <c r="V440" s="57">
        <f>(1000*CHOOSE(CONTROL!$C$42, 500, 500)*CHOOSE(CONTROL!$C$42, 0.275, 0.275)*CHOOSE(CONTROL!$C$42, 31, 31))/1000000</f>
        <v>4.2625000000000002</v>
      </c>
      <c r="W440" s="57">
        <f>(1000*CHOOSE(CONTROL!$C$42, 0.1146, 0.1146)*CHOOSE(CONTROL!$C$42, 121.5, 121.5)*CHOOSE(CONTROL!$C$42, 31, 31))/1000000</f>
        <v>0.43164089999999994</v>
      </c>
      <c r="X440" s="57">
        <f>(31*0.1790888*245000/1000000)+(31*0.2374*100000/1000000)</f>
        <v>2.0961194359999999</v>
      </c>
      <c r="Y440" s="57"/>
      <c r="Z440" s="14"/>
      <c r="AA440" s="56"/>
      <c r="AB440" s="50">
        <f>(B440*194.205+C440*267.466+D440*133.845+E440*53.484+F440*40+G440*185+H440*0+I440*100+J440*300)/(194.205+267.466+133.845+53.484+0+40+185+100+300)</f>
        <v>20.974089390423863</v>
      </c>
      <c r="AC440" s="45">
        <f>(M440*'RAP TEMPLATE-GAS AVAILABILITY'!O439+N440*'RAP TEMPLATE-GAS AVAILABILITY'!P439+O440*'RAP TEMPLATE-GAS AVAILABILITY'!Q439+P440*'RAP TEMPLATE-GAS AVAILABILITY'!R439)/('RAP TEMPLATE-GAS AVAILABILITY'!O439+'RAP TEMPLATE-GAS AVAILABILITY'!P439+'RAP TEMPLATE-GAS AVAILABILITY'!Q439+'RAP TEMPLATE-GAS AVAILABILITY'!R439)</f>
        <v>20.593816546762589</v>
      </c>
    </row>
    <row r="441" spans="1:29" ht="15.75" x14ac:dyDescent="0.25">
      <c r="A441" s="33">
        <v>54331</v>
      </c>
      <c r="B441" s="14">
        <f>CHOOSE(CONTROL!$C$42, 19.5905, 19.5905) * CHOOSE(CONTROL!$C$21, $C$9, 100%, $E$9)</f>
        <v>19.590499999999999</v>
      </c>
      <c r="C441" s="14">
        <f>CHOOSE(CONTROL!$C$42, 19.5985, 19.5985) * CHOOSE(CONTROL!$C$21, $C$9, 100%, $E$9)</f>
        <v>19.598500000000001</v>
      </c>
      <c r="D441" s="14">
        <f>CHOOSE(CONTROL!$C$42, 19.8191, 19.8191) * CHOOSE(CONTROL!$C$21, $C$9, 100%, $E$9)</f>
        <v>19.819099999999999</v>
      </c>
      <c r="E441" s="14">
        <f>CHOOSE(CONTROL!$C$42, 19.8506, 19.8506) * CHOOSE(CONTROL!$C$21, $C$9, 100%, $E$9)</f>
        <v>19.8506</v>
      </c>
      <c r="F441" s="14">
        <f>CHOOSE(CONTROL!$C$42, 19.6178, 19.6178)*CHOOSE(CONTROL!$C$21, $C$9, 100%, $E$9)</f>
        <v>19.617799999999999</v>
      </c>
      <c r="G441" s="14">
        <f>CHOOSE(CONTROL!$C$42, 19.6352, 19.6352)*CHOOSE(CONTROL!$C$21, $C$9, 100%, $E$9)</f>
        <v>19.635200000000001</v>
      </c>
      <c r="H441" s="14">
        <f>CHOOSE(CONTROL!$C$42, 19.8392, 19.8392) * CHOOSE(CONTROL!$C$21, $C$9, 100%, $E$9)</f>
        <v>19.839200000000002</v>
      </c>
      <c r="I441" s="14">
        <f>CHOOSE(CONTROL!$C$42, 19.6797, 19.6797)* CHOOSE(CONTROL!$C$21, $C$9, 100%, $E$9)</f>
        <v>19.6797</v>
      </c>
      <c r="J441" s="14">
        <f>CHOOSE(CONTROL!$C$42, 19.6108, 19.6108)* CHOOSE(CONTROL!$C$21, $C$9, 100%, $E$9)</f>
        <v>19.610800000000001</v>
      </c>
      <c r="K441" s="53">
        <f>CHOOSE(CONTROL!$C$42, 19.6758, 19.6758) * CHOOSE(CONTROL!$C$21, $C$9, 100%, $E$9)</f>
        <v>19.675799999999999</v>
      </c>
      <c r="L441" s="14">
        <f>CHOOSE(CONTROL!$C$42, 20.4262, 20.4262) * CHOOSE(CONTROL!$C$21, $C$9, 100%, $E$9)</f>
        <v>20.426200000000001</v>
      </c>
      <c r="M441" s="14">
        <f>CHOOSE(CONTROL!$C$42, 19.2167, 19.2167) * CHOOSE(CONTROL!$C$21, $C$9, 100%, $E$9)</f>
        <v>19.216699999999999</v>
      </c>
      <c r="N441" s="14">
        <f>CHOOSE(CONTROL!$C$42, 19.2338, 19.2338) * CHOOSE(CONTROL!$C$21, $C$9, 100%, $E$9)</f>
        <v>19.233799999999999</v>
      </c>
      <c r="O441" s="14">
        <f>CHOOSE(CONTROL!$C$42, 19.4404, 19.4404) * CHOOSE(CONTROL!$C$21, $C$9, 100%, $E$9)</f>
        <v>19.4404</v>
      </c>
      <c r="P441" s="14">
        <f>CHOOSE(CONTROL!$C$42, 19.283, 19.283) * CHOOSE(CONTROL!$C$21, $C$9, 100%, $E$9)</f>
        <v>19.283000000000001</v>
      </c>
      <c r="Q441" s="14">
        <f>CHOOSE(CONTROL!$C$42, 20.0351, 20.0351) * CHOOSE(CONTROL!$C$21, $C$9, 100%, $E$9)</f>
        <v>20.0351</v>
      </c>
      <c r="R441" s="14">
        <f>CHOOSE(CONTROL!$C$42, 20.6722, 20.6722) * CHOOSE(CONTROL!$C$21, $C$9, 100%, $E$9)</f>
        <v>20.6722</v>
      </c>
      <c r="S441" s="14">
        <f>CHOOSE(CONTROL!$C$42, 18.8139, 18.8139) * CHOOSE(CONTROL!$C$21, $C$9, 100%, $E$9)</f>
        <v>18.8139</v>
      </c>
      <c r="T4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41" s="57">
        <f>(1000*CHOOSE(CONTROL!$C$42, 695, 695)*CHOOSE(CONTROL!$C$42, 0.5599, 0.5599)*CHOOSE(CONTROL!$C$42, 30, 30))/1000000</f>
        <v>11.673914999999997</v>
      </c>
      <c r="V441" s="57">
        <f>(1000*CHOOSE(CONTROL!$C$42, 500, 500)*CHOOSE(CONTROL!$C$42, 0.275, 0.275)*CHOOSE(CONTROL!$C$42, 30, 30))/1000000</f>
        <v>4.125</v>
      </c>
      <c r="W441" s="57">
        <f>(1000*CHOOSE(CONTROL!$C$42, 0.1146, 0.1146)*CHOOSE(CONTROL!$C$42, 121.5, 121.5)*CHOOSE(CONTROL!$C$42, 30, 30))/1000000</f>
        <v>0.417717</v>
      </c>
      <c r="X441" s="57">
        <f>(30*0.1790888*245000/1000000)+(30*0.2374*100000/1000000)</f>
        <v>2.0285026799999999</v>
      </c>
      <c r="Y441" s="57"/>
      <c r="Z441" s="14"/>
      <c r="AA441" s="56"/>
      <c r="AB441" s="50">
        <f>(B441*194.205+C441*267.466+D441*133.845+E441*53.484+F441*40+G441*185+H441*0+I441*100+J441*300)/(194.205+267.466+133.845+53.484+0+40+185+100+300)</f>
        <v>19.646245198901102</v>
      </c>
      <c r="AC441" s="45">
        <f>(M441*'RAP TEMPLATE-GAS AVAILABILITY'!O440+N441*'RAP TEMPLATE-GAS AVAILABILITY'!P440+O441*'RAP TEMPLATE-GAS AVAILABILITY'!Q440+P441*'RAP TEMPLATE-GAS AVAILABILITY'!R440)/('RAP TEMPLATE-GAS AVAILABILITY'!O440+'RAP TEMPLATE-GAS AVAILABILITY'!P440+'RAP TEMPLATE-GAS AVAILABILITY'!Q440+'RAP TEMPLATE-GAS AVAILABILITY'!R440)</f>
        <v>19.292941007194248</v>
      </c>
    </row>
    <row r="442" spans="1:29" ht="15.75" x14ac:dyDescent="0.25">
      <c r="A442" s="33">
        <v>54362</v>
      </c>
      <c r="B442" s="14">
        <f>CHOOSE(CONTROL!$C$42, 19.1912, 19.1912) * CHOOSE(CONTROL!$C$21, $C$9, 100%, $E$9)</f>
        <v>19.191199999999998</v>
      </c>
      <c r="C442" s="14">
        <f>CHOOSE(CONTROL!$C$42, 19.1965, 19.1965) * CHOOSE(CONTROL!$C$21, $C$9, 100%, $E$9)</f>
        <v>19.1965</v>
      </c>
      <c r="D442" s="14">
        <f>CHOOSE(CONTROL!$C$42, 19.4221, 19.4221) * CHOOSE(CONTROL!$C$21, $C$9, 100%, $E$9)</f>
        <v>19.4221</v>
      </c>
      <c r="E442" s="14">
        <f>CHOOSE(CONTROL!$C$42, 19.4512, 19.4512) * CHOOSE(CONTROL!$C$21, $C$9, 100%, $E$9)</f>
        <v>19.4512</v>
      </c>
      <c r="F442" s="14">
        <f>CHOOSE(CONTROL!$C$42, 19.2206, 19.2206)*CHOOSE(CONTROL!$C$21, $C$9, 100%, $E$9)</f>
        <v>19.220600000000001</v>
      </c>
      <c r="G442" s="14">
        <f>CHOOSE(CONTROL!$C$42, 19.2378, 19.2378)*CHOOSE(CONTROL!$C$21, $C$9, 100%, $E$9)</f>
        <v>19.2378</v>
      </c>
      <c r="H442" s="14">
        <f>CHOOSE(CONTROL!$C$42, 19.4417, 19.4417) * CHOOSE(CONTROL!$C$21, $C$9, 100%, $E$9)</f>
        <v>19.441700000000001</v>
      </c>
      <c r="I442" s="14">
        <f>CHOOSE(CONTROL!$C$42, 19.2809, 19.2809)* CHOOSE(CONTROL!$C$21, $C$9, 100%, $E$9)</f>
        <v>19.280899999999999</v>
      </c>
      <c r="J442" s="14">
        <f>CHOOSE(CONTROL!$C$42, 19.2136, 19.2136)* CHOOSE(CONTROL!$C$21, $C$9, 100%, $E$9)</f>
        <v>19.2136</v>
      </c>
      <c r="K442" s="53">
        <f>CHOOSE(CONTROL!$C$42, 19.2771, 19.2771) * CHOOSE(CONTROL!$C$21, $C$9, 100%, $E$9)</f>
        <v>19.277100000000001</v>
      </c>
      <c r="L442" s="14">
        <f>CHOOSE(CONTROL!$C$42, 20.0287, 20.0287) * CHOOSE(CONTROL!$C$21, $C$9, 100%, $E$9)</f>
        <v>20.028700000000001</v>
      </c>
      <c r="M442" s="14">
        <f>CHOOSE(CONTROL!$C$42, 18.8276, 18.8276) * CHOOSE(CONTROL!$C$21, $C$9, 100%, $E$9)</f>
        <v>18.8276</v>
      </c>
      <c r="N442" s="14">
        <f>CHOOSE(CONTROL!$C$42, 18.8445, 18.8445) * CHOOSE(CONTROL!$C$21, $C$9, 100%, $E$9)</f>
        <v>18.8445</v>
      </c>
      <c r="O442" s="14">
        <f>CHOOSE(CONTROL!$C$42, 19.051, 19.051) * CHOOSE(CONTROL!$C$21, $C$9, 100%, $E$9)</f>
        <v>19.050999999999998</v>
      </c>
      <c r="P442" s="14">
        <f>CHOOSE(CONTROL!$C$42, 18.8924, 18.8924) * CHOOSE(CONTROL!$C$21, $C$9, 100%, $E$9)</f>
        <v>18.892399999999999</v>
      </c>
      <c r="Q442" s="14">
        <f>CHOOSE(CONTROL!$C$42, 19.6457, 19.6457) * CHOOSE(CONTROL!$C$21, $C$9, 100%, $E$9)</f>
        <v>19.645700000000001</v>
      </c>
      <c r="R442" s="14">
        <f>CHOOSE(CONTROL!$C$42, 20.2818, 20.2818) * CHOOSE(CONTROL!$C$21, $C$9, 100%, $E$9)</f>
        <v>20.2818</v>
      </c>
      <c r="S442" s="14">
        <f>CHOOSE(CONTROL!$C$42, 18.4319, 18.4319) * CHOOSE(CONTROL!$C$21, $C$9, 100%, $E$9)</f>
        <v>18.431899999999999</v>
      </c>
      <c r="T4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42" s="57">
        <f>(1000*CHOOSE(CONTROL!$C$42, 695, 695)*CHOOSE(CONTROL!$C$42, 0.5599, 0.5599)*CHOOSE(CONTROL!$C$42, 31, 31))/1000000</f>
        <v>12.063045499999998</v>
      </c>
      <c r="V442" s="57">
        <f>(1000*CHOOSE(CONTROL!$C$42, 500, 500)*CHOOSE(CONTROL!$C$42, 0.275, 0.275)*CHOOSE(CONTROL!$C$42, 31, 31))/1000000</f>
        <v>4.2625000000000002</v>
      </c>
      <c r="W442" s="57">
        <f>(1000*CHOOSE(CONTROL!$C$42, 0.1146, 0.1146)*CHOOSE(CONTROL!$C$42, 121.5, 121.5)*CHOOSE(CONTROL!$C$42, 31, 31))/1000000</f>
        <v>0.43164089999999994</v>
      </c>
      <c r="X442" s="57">
        <f>(31*0.1790888*245000/1000000)+(31*0.2374*100000/1000000)</f>
        <v>2.0961194359999999</v>
      </c>
      <c r="Y442" s="57"/>
      <c r="Z442" s="14"/>
      <c r="AA442" s="56"/>
      <c r="AB442" s="50">
        <f>(B442*131.881+C442*277.167+D442*79.08+E442*125.872+F442*40+G442*185+H442*0+I442*100+J442*300)/(131.881+277.167+79.08+125.872+0+40+185+100+300)</f>
        <v>19.254107406860371</v>
      </c>
      <c r="AC442" s="45">
        <f>(M442*'RAP TEMPLATE-GAS AVAILABILITY'!O441+N442*'RAP TEMPLATE-GAS AVAILABILITY'!P441+O442*'RAP TEMPLATE-GAS AVAILABILITY'!Q441+P442*'RAP TEMPLATE-GAS AVAILABILITY'!R441)/('RAP TEMPLATE-GAS AVAILABILITY'!O441+'RAP TEMPLATE-GAS AVAILABILITY'!P441+'RAP TEMPLATE-GAS AVAILABILITY'!Q441+'RAP TEMPLATE-GAS AVAILABILITY'!R441)</f>
        <v>18.903494964028773</v>
      </c>
    </row>
    <row r="443" spans="1:29" ht="15.75" x14ac:dyDescent="0.25">
      <c r="A443" s="33">
        <v>54392</v>
      </c>
      <c r="B443" s="14">
        <f>CHOOSE(CONTROL!$C$42, 19.6961, 19.6961) * CHOOSE(CONTROL!$C$21, $C$9, 100%, $E$9)</f>
        <v>19.696100000000001</v>
      </c>
      <c r="C443" s="14">
        <f>CHOOSE(CONTROL!$C$42, 19.7012, 19.7012) * CHOOSE(CONTROL!$C$21, $C$9, 100%, $E$9)</f>
        <v>19.7012</v>
      </c>
      <c r="D443" s="14">
        <f>CHOOSE(CONTROL!$C$42, 19.7754, 19.7754) * CHOOSE(CONTROL!$C$21, $C$9, 100%, $E$9)</f>
        <v>19.775400000000001</v>
      </c>
      <c r="E443" s="14">
        <f>CHOOSE(CONTROL!$C$42, 19.8095, 19.8095) * CHOOSE(CONTROL!$C$21, $C$9, 100%, $E$9)</f>
        <v>19.8095</v>
      </c>
      <c r="F443" s="14">
        <f>CHOOSE(CONTROL!$C$42, 19.7321, 19.7321)*CHOOSE(CONTROL!$C$21, $C$9, 100%, $E$9)</f>
        <v>19.732099999999999</v>
      </c>
      <c r="G443" s="14">
        <f>CHOOSE(CONTROL!$C$42, 19.7497, 19.7497)*CHOOSE(CONTROL!$C$21, $C$9, 100%, $E$9)</f>
        <v>19.749700000000001</v>
      </c>
      <c r="H443" s="14">
        <f>CHOOSE(CONTROL!$C$42, 19.7987, 19.7987) * CHOOSE(CONTROL!$C$21, $C$9, 100%, $E$9)</f>
        <v>19.7987</v>
      </c>
      <c r="I443" s="14">
        <f>CHOOSE(CONTROL!$C$42, 19.7852, 19.7852)* CHOOSE(CONTROL!$C$21, $C$9, 100%, $E$9)</f>
        <v>19.7852</v>
      </c>
      <c r="J443" s="14">
        <f>CHOOSE(CONTROL!$C$42, 19.7251, 19.7251)* CHOOSE(CONTROL!$C$21, $C$9, 100%, $E$9)</f>
        <v>19.725100000000001</v>
      </c>
      <c r="K443" s="53">
        <f>CHOOSE(CONTROL!$C$42, 19.7813, 19.7813) * CHOOSE(CONTROL!$C$21, $C$9, 100%, $E$9)</f>
        <v>19.781300000000002</v>
      </c>
      <c r="L443" s="14">
        <f>CHOOSE(CONTROL!$C$42, 20.3857, 20.3857) * CHOOSE(CONTROL!$C$21, $C$9, 100%, $E$9)</f>
        <v>20.3857</v>
      </c>
      <c r="M443" s="14">
        <f>CHOOSE(CONTROL!$C$42, 19.3287, 19.3287) * CHOOSE(CONTROL!$C$21, $C$9, 100%, $E$9)</f>
        <v>19.328700000000001</v>
      </c>
      <c r="N443" s="14">
        <f>CHOOSE(CONTROL!$C$42, 19.3459, 19.3459) * CHOOSE(CONTROL!$C$21, $C$9, 100%, $E$9)</f>
        <v>19.3459</v>
      </c>
      <c r="O443" s="14">
        <f>CHOOSE(CONTROL!$C$42, 19.4007, 19.4007) * CHOOSE(CONTROL!$C$21, $C$9, 100%, $E$9)</f>
        <v>19.400700000000001</v>
      </c>
      <c r="P443" s="14">
        <f>CHOOSE(CONTROL!$C$42, 19.3864, 19.3864) * CHOOSE(CONTROL!$C$21, $C$9, 100%, $E$9)</f>
        <v>19.386399999999998</v>
      </c>
      <c r="Q443" s="14">
        <f>CHOOSE(CONTROL!$C$42, 19.9954, 19.9954) * CHOOSE(CONTROL!$C$21, $C$9, 100%, $E$9)</f>
        <v>19.9954</v>
      </c>
      <c r="R443" s="14">
        <f>CHOOSE(CONTROL!$C$42, 20.6324, 20.6324) * CHOOSE(CONTROL!$C$21, $C$9, 100%, $E$9)</f>
        <v>20.632400000000001</v>
      </c>
      <c r="S443" s="14">
        <f>CHOOSE(CONTROL!$C$42, 18.9174, 18.9174) * CHOOSE(CONTROL!$C$21, $C$9, 100%, $E$9)</f>
        <v>18.917400000000001</v>
      </c>
      <c r="T4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43" s="57">
        <f>(1000*CHOOSE(CONTROL!$C$42, 695, 695)*CHOOSE(CONTROL!$C$42, 0.5599, 0.5599)*CHOOSE(CONTROL!$C$42, 30, 30))/1000000</f>
        <v>11.673914999999997</v>
      </c>
      <c r="V443" s="57">
        <f>(1000*CHOOSE(CONTROL!$C$42, 500, 500)*CHOOSE(CONTROL!$C$42, 0.275, 0.275)*CHOOSE(CONTROL!$C$42, 30, 30))/1000000</f>
        <v>4.125</v>
      </c>
      <c r="W443" s="57">
        <f>(1000*CHOOSE(CONTROL!$C$42, 0.1146, 0.1146)*CHOOSE(CONTROL!$C$42, 121.5, 121.5)*CHOOSE(CONTROL!$C$42, 30, 30))/1000000</f>
        <v>0.417717</v>
      </c>
      <c r="X443" s="57">
        <f>(30*0.1790888*100000/1000000)+(30*0.2374*100000/1000000)</f>
        <v>1.2494664</v>
      </c>
      <c r="Y443" s="57"/>
      <c r="Z443" s="14"/>
      <c r="AA443" s="56"/>
      <c r="AB443" s="50">
        <f>(B443*122.58+C443*297.941+D443*89.177+E443*40.302+F443*40+G443*160+H443*0+I443*100+J443*300)/(122.58+297.941+89.177+40.302+0+40+160+100+300)</f>
        <v>19.731567375652173</v>
      </c>
      <c r="AC443" s="45">
        <f>(M443*'RAP TEMPLATE-GAS AVAILABILITY'!O442+N443*'RAP TEMPLATE-GAS AVAILABILITY'!P442+O443*'RAP TEMPLATE-GAS AVAILABILITY'!Q442+P443*'RAP TEMPLATE-GAS AVAILABILITY'!R442)/('RAP TEMPLATE-GAS AVAILABILITY'!O442+'RAP TEMPLATE-GAS AVAILABILITY'!P442+'RAP TEMPLATE-GAS AVAILABILITY'!Q442+'RAP TEMPLATE-GAS AVAILABILITY'!R442)</f>
        <v>19.370625179856116</v>
      </c>
    </row>
    <row r="444" spans="1:29" ht="15.75" x14ac:dyDescent="0.25">
      <c r="A444" s="33">
        <v>54423</v>
      </c>
      <c r="B444" s="14">
        <f>CHOOSE(CONTROL!$C$42, 21.0383, 21.0383) * CHOOSE(CONTROL!$C$21, $C$9, 100%, $E$9)</f>
        <v>21.0383</v>
      </c>
      <c r="C444" s="14">
        <f>CHOOSE(CONTROL!$C$42, 21.0434, 21.0434) * CHOOSE(CONTROL!$C$21, $C$9, 100%, $E$9)</f>
        <v>21.043399999999998</v>
      </c>
      <c r="D444" s="14">
        <f>CHOOSE(CONTROL!$C$42, 21.1176, 21.1176) * CHOOSE(CONTROL!$C$21, $C$9, 100%, $E$9)</f>
        <v>21.117599999999999</v>
      </c>
      <c r="E444" s="14">
        <f>CHOOSE(CONTROL!$C$42, 21.1517, 21.1517) * CHOOSE(CONTROL!$C$21, $C$9, 100%, $E$9)</f>
        <v>21.151700000000002</v>
      </c>
      <c r="F444" s="14">
        <f>CHOOSE(CONTROL!$C$42, 21.0767, 21.0767)*CHOOSE(CONTROL!$C$21, $C$9, 100%, $E$9)</f>
        <v>21.076699999999999</v>
      </c>
      <c r="G444" s="14">
        <f>CHOOSE(CONTROL!$C$42, 21.0949, 21.0949)*CHOOSE(CONTROL!$C$21, $C$9, 100%, $E$9)</f>
        <v>21.094899999999999</v>
      </c>
      <c r="H444" s="14">
        <f>CHOOSE(CONTROL!$C$42, 21.1409, 21.1409) * CHOOSE(CONTROL!$C$21, $C$9, 100%, $E$9)</f>
        <v>21.140899999999998</v>
      </c>
      <c r="I444" s="14">
        <f>CHOOSE(CONTROL!$C$42, 21.1317, 21.1317)* CHOOSE(CONTROL!$C$21, $C$9, 100%, $E$9)</f>
        <v>21.131699999999999</v>
      </c>
      <c r="J444" s="14">
        <f>CHOOSE(CONTROL!$C$42, 21.0697, 21.0697)* CHOOSE(CONTROL!$C$21, $C$9, 100%, $E$9)</f>
        <v>21.069700000000001</v>
      </c>
      <c r="K444" s="53">
        <f>CHOOSE(CONTROL!$C$42, 21.1278, 21.1278) * CHOOSE(CONTROL!$C$21, $C$9, 100%, $E$9)</f>
        <v>21.127800000000001</v>
      </c>
      <c r="L444" s="14">
        <f>CHOOSE(CONTROL!$C$42, 21.7279, 21.7279) * CHOOSE(CONTROL!$C$21, $C$9, 100%, $E$9)</f>
        <v>21.727900000000002</v>
      </c>
      <c r="M444" s="14">
        <f>CHOOSE(CONTROL!$C$42, 20.6457, 20.6457) * CHOOSE(CONTROL!$C$21, $C$9, 100%, $E$9)</f>
        <v>20.645700000000001</v>
      </c>
      <c r="N444" s="14">
        <f>CHOOSE(CONTROL!$C$42, 20.6635, 20.6635) * CHOOSE(CONTROL!$C$21, $C$9, 100%, $E$9)</f>
        <v>20.663499999999999</v>
      </c>
      <c r="O444" s="14">
        <f>CHOOSE(CONTROL!$C$42, 20.7154, 20.7154) * CHOOSE(CONTROL!$C$21, $C$9, 100%, $E$9)</f>
        <v>20.715399999999999</v>
      </c>
      <c r="P444" s="14">
        <f>CHOOSE(CONTROL!$C$42, 20.7051, 20.7051) * CHOOSE(CONTROL!$C$21, $C$9, 100%, $E$9)</f>
        <v>20.705100000000002</v>
      </c>
      <c r="Q444" s="14">
        <f>CHOOSE(CONTROL!$C$42, 21.3101, 21.3101) * CHOOSE(CONTROL!$C$21, $C$9, 100%, $E$9)</f>
        <v>21.310099999999998</v>
      </c>
      <c r="R444" s="14">
        <f>CHOOSE(CONTROL!$C$42, 21.9504, 21.9504) * CHOOSE(CONTROL!$C$21, $C$9, 100%, $E$9)</f>
        <v>21.950399999999998</v>
      </c>
      <c r="S444" s="14">
        <f>CHOOSE(CONTROL!$C$42, 20.2072, 20.2072) * CHOOSE(CONTROL!$C$21, $C$9, 100%, $E$9)</f>
        <v>20.2072</v>
      </c>
      <c r="T4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44" s="57">
        <f>(1000*CHOOSE(CONTROL!$C$42, 695, 695)*CHOOSE(CONTROL!$C$42, 0.5599, 0.5599)*CHOOSE(CONTROL!$C$42, 31, 31))/1000000</f>
        <v>12.063045499999998</v>
      </c>
      <c r="V444" s="57">
        <f>(1000*CHOOSE(CONTROL!$C$42, 500, 500)*CHOOSE(CONTROL!$C$42, 0.275, 0.275)*CHOOSE(CONTROL!$C$42, 31, 31))/1000000</f>
        <v>4.2625000000000002</v>
      </c>
      <c r="W444" s="57">
        <f>(1000*CHOOSE(CONTROL!$C$42, 0.1146, 0.1146)*CHOOSE(CONTROL!$C$42, 121.5, 121.5)*CHOOSE(CONTROL!$C$42, 31, 31))/1000000</f>
        <v>0.43164089999999994</v>
      </c>
      <c r="X444" s="57">
        <f>(31*0.1790888*100000/1000000)+(31*0.2374*100000/1000000)</f>
        <v>1.2911152800000001</v>
      </c>
      <c r="Y444" s="57"/>
      <c r="Z444" s="14"/>
      <c r="AA444" s="56"/>
      <c r="AB444" s="50">
        <f>(B444*122.58+C444*297.941+D444*89.177+E444*40.302+F444*40+G444*160+H444*0+I444*100+J444*300)/(122.58+297.941+89.177+40.302+0+40+160+100+300)</f>
        <v>21.075268245217387</v>
      </c>
      <c r="AC444" s="45">
        <f>(M444*'RAP TEMPLATE-GAS AVAILABILITY'!O443+N444*'RAP TEMPLATE-GAS AVAILABILITY'!P443+O444*'RAP TEMPLATE-GAS AVAILABILITY'!Q443+P444*'RAP TEMPLATE-GAS AVAILABILITY'!R443)/('RAP TEMPLATE-GAS AVAILABILITY'!O443+'RAP TEMPLATE-GAS AVAILABILITY'!P443+'RAP TEMPLATE-GAS AVAILABILITY'!Q443+'RAP TEMPLATE-GAS AVAILABILITY'!R443)</f>
        <v>20.686861870503598</v>
      </c>
    </row>
    <row r="445" spans="1:29" ht="15.75" x14ac:dyDescent="0.25">
      <c r="A445" s="33">
        <v>54454</v>
      </c>
      <c r="B445" s="14">
        <f>CHOOSE(CONTROL!$C$42, 22.7816, 22.7816) * CHOOSE(CONTROL!$C$21, $C$9, 100%, $E$9)</f>
        <v>22.781600000000001</v>
      </c>
      <c r="C445" s="14">
        <f>CHOOSE(CONTROL!$C$42, 22.7867, 22.7867) * CHOOSE(CONTROL!$C$21, $C$9, 100%, $E$9)</f>
        <v>22.7867</v>
      </c>
      <c r="D445" s="14">
        <f>CHOOSE(CONTROL!$C$42, 22.8635, 22.8635) * CHOOSE(CONTROL!$C$21, $C$9, 100%, $E$9)</f>
        <v>22.863499999999998</v>
      </c>
      <c r="E445" s="14">
        <f>CHOOSE(CONTROL!$C$42, 22.8976, 22.8976) * CHOOSE(CONTROL!$C$21, $C$9, 100%, $E$9)</f>
        <v>22.897600000000001</v>
      </c>
      <c r="F445" s="14">
        <f>CHOOSE(CONTROL!$C$42, 22.8063, 22.8063)*CHOOSE(CONTROL!$C$21, $C$9, 100%, $E$9)</f>
        <v>22.8063</v>
      </c>
      <c r="G445" s="14">
        <f>CHOOSE(CONTROL!$C$42, 22.8243, 22.8243)*CHOOSE(CONTROL!$C$21, $C$9, 100%, $E$9)</f>
        <v>22.824300000000001</v>
      </c>
      <c r="H445" s="14">
        <f>CHOOSE(CONTROL!$C$42, 22.8868, 22.8868) * CHOOSE(CONTROL!$C$21, $C$9, 100%, $E$9)</f>
        <v>22.886800000000001</v>
      </c>
      <c r="I445" s="14">
        <f>CHOOSE(CONTROL!$C$42, 22.8867, 22.8867)* CHOOSE(CONTROL!$C$21, $C$9, 100%, $E$9)</f>
        <v>22.886700000000001</v>
      </c>
      <c r="J445" s="14">
        <f>CHOOSE(CONTROL!$C$42, 22.7993, 22.7993)* CHOOSE(CONTROL!$C$21, $C$9, 100%, $E$9)</f>
        <v>22.799299999999999</v>
      </c>
      <c r="K445" s="53">
        <f>CHOOSE(CONTROL!$C$42, 22.8828, 22.8828) * CHOOSE(CONTROL!$C$21, $C$9, 100%, $E$9)</f>
        <v>22.8828</v>
      </c>
      <c r="L445" s="14">
        <f>CHOOSE(CONTROL!$C$42, 23.4738, 23.4738) * CHOOSE(CONTROL!$C$21, $C$9, 100%, $E$9)</f>
        <v>23.473800000000001</v>
      </c>
      <c r="M445" s="14">
        <f>CHOOSE(CONTROL!$C$42, 22.3399, 22.3399) * CHOOSE(CONTROL!$C$21, $C$9, 100%, $E$9)</f>
        <v>22.3399</v>
      </c>
      <c r="N445" s="14">
        <f>CHOOSE(CONTROL!$C$42, 22.3575, 22.3575) * CHOOSE(CONTROL!$C$21, $C$9, 100%, $E$9)</f>
        <v>22.357500000000002</v>
      </c>
      <c r="O445" s="14">
        <f>CHOOSE(CONTROL!$C$42, 22.4256, 22.4256) * CHOOSE(CONTROL!$C$21, $C$9, 100%, $E$9)</f>
        <v>22.425599999999999</v>
      </c>
      <c r="P445" s="14">
        <f>CHOOSE(CONTROL!$C$42, 22.4241, 22.4241) * CHOOSE(CONTROL!$C$21, $C$9, 100%, $E$9)</f>
        <v>22.424099999999999</v>
      </c>
      <c r="Q445" s="14">
        <f>CHOOSE(CONTROL!$C$42, 23.0203, 23.0203) * CHOOSE(CONTROL!$C$21, $C$9, 100%, $E$9)</f>
        <v>23.020299999999999</v>
      </c>
      <c r="R445" s="14">
        <f>CHOOSE(CONTROL!$C$42, 23.6648, 23.6648) * CHOOSE(CONTROL!$C$21, $C$9, 100%, $E$9)</f>
        <v>23.6648</v>
      </c>
      <c r="S445" s="14">
        <f>CHOOSE(CONTROL!$C$42, 21.8823, 21.8823) * CHOOSE(CONTROL!$C$21, $C$9, 100%, $E$9)</f>
        <v>21.882300000000001</v>
      </c>
      <c r="T4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45" s="57">
        <f>(1000*CHOOSE(CONTROL!$C$42, 695, 695)*CHOOSE(CONTROL!$C$42, 0.5599, 0.5599)*CHOOSE(CONTROL!$C$42, 31, 31))/1000000</f>
        <v>12.063045499999998</v>
      </c>
      <c r="V445" s="57">
        <f>(1000*CHOOSE(CONTROL!$C$42, 500, 500)*CHOOSE(CONTROL!$C$42, 0.275, 0.275)*CHOOSE(CONTROL!$C$42, 31, 31))/1000000</f>
        <v>4.2625000000000002</v>
      </c>
      <c r="W445" s="57">
        <f>(1000*CHOOSE(CONTROL!$C$42, 0.1146, 0.1146)*CHOOSE(CONTROL!$C$42, 121.5, 121.5)*CHOOSE(CONTROL!$C$42, 31, 31))/1000000</f>
        <v>0.43164089999999994</v>
      </c>
      <c r="X445" s="57">
        <f>(31*0.1790888*100000/1000000)+(31*0.2374*100000/1000000)</f>
        <v>1.2911152800000001</v>
      </c>
      <c r="Y445" s="57"/>
      <c r="Z445" s="14"/>
      <c r="AA445" s="56"/>
      <c r="AB445" s="50">
        <f>(B445*122.58+C445*297.941+D445*89.177+E445*40.302+F445*40+G445*160+H445*0+I445*100+J445*300)/(122.58+297.941+89.177+40.302+0+40+160+100+300)</f>
        <v>22.813894023826084</v>
      </c>
      <c r="AC445" s="45">
        <f>(M445*'RAP TEMPLATE-GAS AVAILABILITY'!O444+N445*'RAP TEMPLATE-GAS AVAILABILITY'!P444+O445*'RAP TEMPLATE-GAS AVAILABILITY'!Q444+P445*'RAP TEMPLATE-GAS AVAILABILITY'!R444)/('RAP TEMPLATE-GAS AVAILABILITY'!O444+'RAP TEMPLATE-GAS AVAILABILITY'!P444+'RAP TEMPLATE-GAS AVAILABILITY'!Q444+'RAP TEMPLATE-GAS AVAILABILITY'!R444)</f>
        <v>22.391870503597119</v>
      </c>
    </row>
    <row r="446" spans="1:29" ht="15.75" x14ac:dyDescent="0.25">
      <c r="A446" s="33">
        <v>54482</v>
      </c>
      <c r="B446" s="14">
        <f>CHOOSE(CONTROL!$C$42, 23.187, 23.187) * CHOOSE(CONTROL!$C$21, $C$9, 100%, $E$9)</f>
        <v>23.187000000000001</v>
      </c>
      <c r="C446" s="14">
        <f>CHOOSE(CONTROL!$C$42, 23.192, 23.192) * CHOOSE(CONTROL!$C$21, $C$9, 100%, $E$9)</f>
        <v>23.192</v>
      </c>
      <c r="D446" s="14">
        <f>CHOOSE(CONTROL!$C$42, 23.2689, 23.2689) * CHOOSE(CONTROL!$C$21, $C$9, 100%, $E$9)</f>
        <v>23.268899999999999</v>
      </c>
      <c r="E446" s="14">
        <f>CHOOSE(CONTROL!$C$42, 23.303, 23.303) * CHOOSE(CONTROL!$C$21, $C$9, 100%, $E$9)</f>
        <v>23.303000000000001</v>
      </c>
      <c r="F446" s="14">
        <f>CHOOSE(CONTROL!$C$42, 23.2113, 23.2113)*CHOOSE(CONTROL!$C$21, $C$9, 100%, $E$9)</f>
        <v>23.211300000000001</v>
      </c>
      <c r="G446" s="14">
        <f>CHOOSE(CONTROL!$C$42, 23.2292, 23.2292)*CHOOSE(CONTROL!$C$21, $C$9, 100%, $E$9)</f>
        <v>23.229199999999999</v>
      </c>
      <c r="H446" s="14">
        <f>CHOOSE(CONTROL!$C$42, 23.2922, 23.2922) * CHOOSE(CONTROL!$C$21, $C$9, 100%, $E$9)</f>
        <v>23.292200000000001</v>
      </c>
      <c r="I446" s="14">
        <f>CHOOSE(CONTROL!$C$42, 23.2933, 23.2933)* CHOOSE(CONTROL!$C$21, $C$9, 100%, $E$9)</f>
        <v>23.293299999999999</v>
      </c>
      <c r="J446" s="14">
        <f>CHOOSE(CONTROL!$C$42, 23.2043, 23.2043)* CHOOSE(CONTROL!$C$21, $C$9, 100%, $E$9)</f>
        <v>23.2043</v>
      </c>
      <c r="K446" s="53">
        <f>CHOOSE(CONTROL!$C$42, 23.2894, 23.2894) * CHOOSE(CONTROL!$C$21, $C$9, 100%, $E$9)</f>
        <v>23.289400000000001</v>
      </c>
      <c r="L446" s="14">
        <f>CHOOSE(CONTROL!$C$42, 23.8792, 23.8792) * CHOOSE(CONTROL!$C$21, $C$9, 100%, $E$9)</f>
        <v>23.879200000000001</v>
      </c>
      <c r="M446" s="14">
        <f>CHOOSE(CONTROL!$C$42, 22.7366, 22.7366) * CHOOSE(CONTROL!$C$21, $C$9, 100%, $E$9)</f>
        <v>22.736599999999999</v>
      </c>
      <c r="N446" s="14">
        <f>CHOOSE(CONTROL!$C$42, 22.7541, 22.7541) * CHOOSE(CONTROL!$C$21, $C$9, 100%, $E$9)</f>
        <v>22.754100000000001</v>
      </c>
      <c r="O446" s="14">
        <f>CHOOSE(CONTROL!$C$42, 22.8226, 22.8226) * CHOOSE(CONTROL!$C$21, $C$9, 100%, $E$9)</f>
        <v>22.822600000000001</v>
      </c>
      <c r="P446" s="14">
        <f>CHOOSE(CONTROL!$C$42, 22.8224, 22.8224) * CHOOSE(CONTROL!$C$21, $C$9, 100%, $E$9)</f>
        <v>22.822399999999998</v>
      </c>
      <c r="Q446" s="14">
        <f>CHOOSE(CONTROL!$C$42, 23.4173, 23.4173) * CHOOSE(CONTROL!$C$21, $C$9, 100%, $E$9)</f>
        <v>23.417300000000001</v>
      </c>
      <c r="R446" s="14">
        <f>CHOOSE(CONTROL!$C$42, 24.0629, 24.0629) * CHOOSE(CONTROL!$C$21, $C$9, 100%, $E$9)</f>
        <v>24.062899999999999</v>
      </c>
      <c r="S446" s="14">
        <f>CHOOSE(CONTROL!$C$42, 22.2718, 22.2718) * CHOOSE(CONTROL!$C$21, $C$9, 100%, $E$9)</f>
        <v>22.271799999999999</v>
      </c>
      <c r="T44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46" s="57">
        <f>(1000*CHOOSE(CONTROL!$C$42, 695, 695)*CHOOSE(CONTROL!$C$42, 0.5599, 0.5599)*CHOOSE(CONTROL!$C$42, 28, 28))/1000000</f>
        <v>10.895653999999999</v>
      </c>
      <c r="V446" s="57">
        <f>(1000*CHOOSE(CONTROL!$C$42, 500, 500)*CHOOSE(CONTROL!$C$42, 0.275, 0.275)*CHOOSE(CONTROL!$C$42, 28, 28))/1000000</f>
        <v>3.85</v>
      </c>
      <c r="W446" s="57">
        <f>(1000*CHOOSE(CONTROL!$C$42, 0.1146, 0.1146)*CHOOSE(CONTROL!$C$42, 121.5, 121.5)*CHOOSE(CONTROL!$C$42, 28, 28))/1000000</f>
        <v>0.38986920000000003</v>
      </c>
      <c r="X446" s="57">
        <f>(28*0.1790888*100000/1000000)+(28*0.2374*100000/1000000)</f>
        <v>1.16616864</v>
      </c>
      <c r="Y446" s="57"/>
      <c r="Z446" s="14"/>
      <c r="AA446" s="56"/>
      <c r="AB446" s="50">
        <f>(B446*122.58+C446*297.941+D446*89.177+E446*40.302+F446*40+G446*160+H446*0+I446*100+J446*300)/(122.58+297.941+89.177+40.302+0+40+160+100+300)</f>
        <v>23.21918463765217</v>
      </c>
      <c r="AC446" s="45">
        <f>(M446*'RAP TEMPLATE-GAS AVAILABILITY'!O445+N446*'RAP TEMPLATE-GAS AVAILABILITY'!P445+O446*'RAP TEMPLATE-GAS AVAILABILITY'!Q445+P446*'RAP TEMPLATE-GAS AVAILABILITY'!R445)/('RAP TEMPLATE-GAS AVAILABILITY'!O445+'RAP TEMPLATE-GAS AVAILABILITY'!P445+'RAP TEMPLATE-GAS AVAILABILITY'!Q445+'RAP TEMPLATE-GAS AVAILABILITY'!R445)</f>
        <v>22.788930935251798</v>
      </c>
    </row>
    <row r="447" spans="1:29" ht="15.75" x14ac:dyDescent="0.25">
      <c r="A447" s="33">
        <v>54513</v>
      </c>
      <c r="B447" s="14">
        <f>CHOOSE(CONTROL!$C$42, 22.529, 22.529) * CHOOSE(CONTROL!$C$21, $C$9, 100%, $E$9)</f>
        <v>22.529</v>
      </c>
      <c r="C447" s="14">
        <f>CHOOSE(CONTROL!$C$42, 22.534, 22.534) * CHOOSE(CONTROL!$C$21, $C$9, 100%, $E$9)</f>
        <v>22.533999999999999</v>
      </c>
      <c r="D447" s="14">
        <f>CHOOSE(CONTROL!$C$42, 22.6108, 22.6108) * CHOOSE(CONTROL!$C$21, $C$9, 100%, $E$9)</f>
        <v>22.610800000000001</v>
      </c>
      <c r="E447" s="14">
        <f>CHOOSE(CONTROL!$C$42, 22.645, 22.645) * CHOOSE(CONTROL!$C$21, $C$9, 100%, $E$9)</f>
        <v>22.645</v>
      </c>
      <c r="F447" s="14">
        <f>CHOOSE(CONTROL!$C$42, 22.5524, 22.5524)*CHOOSE(CONTROL!$C$21, $C$9, 100%, $E$9)</f>
        <v>22.552399999999999</v>
      </c>
      <c r="G447" s="14">
        <f>CHOOSE(CONTROL!$C$42, 22.5701, 22.5701)*CHOOSE(CONTROL!$C$21, $C$9, 100%, $E$9)</f>
        <v>22.5701</v>
      </c>
      <c r="H447" s="14">
        <f>CHOOSE(CONTROL!$C$42, 22.6341, 22.6341) * CHOOSE(CONTROL!$C$21, $C$9, 100%, $E$9)</f>
        <v>22.6341</v>
      </c>
      <c r="I447" s="14">
        <f>CHOOSE(CONTROL!$C$42, 22.6332, 22.6332)* CHOOSE(CONTROL!$C$21, $C$9, 100%, $E$9)</f>
        <v>22.633199999999999</v>
      </c>
      <c r="J447" s="14">
        <f>CHOOSE(CONTROL!$C$42, 22.5454, 22.5454)* CHOOSE(CONTROL!$C$21, $C$9, 100%, $E$9)</f>
        <v>22.545400000000001</v>
      </c>
      <c r="K447" s="53">
        <f>CHOOSE(CONTROL!$C$42, 22.6293, 22.6293) * CHOOSE(CONTROL!$C$21, $C$9, 100%, $E$9)</f>
        <v>22.629300000000001</v>
      </c>
      <c r="L447" s="14">
        <f>CHOOSE(CONTROL!$C$42, 23.2211, 23.2211) * CHOOSE(CONTROL!$C$21, $C$9, 100%, $E$9)</f>
        <v>23.2211</v>
      </c>
      <c r="M447" s="14">
        <f>CHOOSE(CONTROL!$C$42, 22.0912, 22.0912) * CHOOSE(CONTROL!$C$21, $C$9, 100%, $E$9)</f>
        <v>22.091200000000001</v>
      </c>
      <c r="N447" s="14">
        <f>CHOOSE(CONTROL!$C$42, 22.1085, 22.1085) * CHOOSE(CONTROL!$C$21, $C$9, 100%, $E$9)</f>
        <v>22.108499999999999</v>
      </c>
      <c r="O447" s="14">
        <f>CHOOSE(CONTROL!$C$42, 22.1781, 22.1781) * CHOOSE(CONTROL!$C$21, $C$9, 100%, $E$9)</f>
        <v>22.178100000000001</v>
      </c>
      <c r="P447" s="14">
        <f>CHOOSE(CONTROL!$C$42, 22.1758, 22.1758) * CHOOSE(CONTROL!$C$21, $C$9, 100%, $E$9)</f>
        <v>22.175799999999999</v>
      </c>
      <c r="Q447" s="14">
        <f>CHOOSE(CONTROL!$C$42, 22.7728, 22.7728) * CHOOSE(CONTROL!$C$21, $C$9, 100%, $E$9)</f>
        <v>22.7728</v>
      </c>
      <c r="R447" s="14">
        <f>CHOOSE(CONTROL!$C$42, 23.4167, 23.4167) * CHOOSE(CONTROL!$C$21, $C$9, 100%, $E$9)</f>
        <v>23.416699999999999</v>
      </c>
      <c r="S447" s="14">
        <f>CHOOSE(CONTROL!$C$42, 21.6395, 21.6395) * CHOOSE(CONTROL!$C$21, $C$9, 100%, $E$9)</f>
        <v>21.639500000000002</v>
      </c>
      <c r="T4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47" s="57">
        <f>(1000*CHOOSE(CONTROL!$C$42, 695, 695)*CHOOSE(CONTROL!$C$42, 0.5599, 0.5599)*CHOOSE(CONTROL!$C$42, 31, 31))/1000000</f>
        <v>12.063045499999998</v>
      </c>
      <c r="V447" s="57">
        <f>(1000*CHOOSE(CONTROL!$C$42, 500, 500)*CHOOSE(CONTROL!$C$42, 0.275, 0.275)*CHOOSE(CONTROL!$C$42, 31, 31))/1000000</f>
        <v>4.2625000000000002</v>
      </c>
      <c r="W447" s="57">
        <f>(1000*CHOOSE(CONTROL!$C$42, 0.1146, 0.1146)*CHOOSE(CONTROL!$C$42, 121.5, 121.5)*CHOOSE(CONTROL!$C$42, 31, 31))/1000000</f>
        <v>0.43164089999999994</v>
      </c>
      <c r="X447" s="57">
        <f>(31*0.1790888*100000/1000000)+(31*0.2374*100000/1000000)</f>
        <v>1.2911152800000001</v>
      </c>
      <c r="Y447" s="57"/>
      <c r="Z447" s="14"/>
      <c r="AA447" s="56"/>
      <c r="AB447" s="50">
        <f>(B447*122.58+C447*297.941+D447*89.177+E447*40.302+F447*40+G447*160+H447*0+I447*100+J447*300)/(122.58+297.941+89.177+40.302+0+40+160+100+300)</f>
        <v>22.560575143999998</v>
      </c>
      <c r="AC447" s="45">
        <f>(M447*'RAP TEMPLATE-GAS AVAILABILITY'!O446+N447*'RAP TEMPLATE-GAS AVAILABILITY'!P446+O447*'RAP TEMPLATE-GAS AVAILABILITY'!Q446+P447*'RAP TEMPLATE-GAS AVAILABILITY'!R446)/('RAP TEMPLATE-GAS AVAILABILITY'!O446+'RAP TEMPLATE-GAS AVAILABILITY'!P446+'RAP TEMPLATE-GAS AVAILABILITY'!Q446+'RAP TEMPLATE-GAS AVAILABILITY'!R446)</f>
        <v>22.143754676258993</v>
      </c>
    </row>
    <row r="448" spans="1:29" ht="15.75" x14ac:dyDescent="0.25">
      <c r="A448" s="33">
        <v>54543</v>
      </c>
      <c r="B448" s="14">
        <f>CHOOSE(CONTROL!$C$42, 22.4625, 22.4625) * CHOOSE(CONTROL!$C$21, $C$9, 100%, $E$9)</f>
        <v>22.462499999999999</v>
      </c>
      <c r="C448" s="14">
        <f>CHOOSE(CONTROL!$C$42, 22.467, 22.467) * CHOOSE(CONTROL!$C$21, $C$9, 100%, $E$9)</f>
        <v>22.466999999999999</v>
      </c>
      <c r="D448" s="14">
        <f>CHOOSE(CONTROL!$C$42, 22.6908, 22.6908) * CHOOSE(CONTROL!$C$21, $C$9, 100%, $E$9)</f>
        <v>22.690799999999999</v>
      </c>
      <c r="E448" s="14">
        <f>CHOOSE(CONTROL!$C$42, 22.7229, 22.7229) * CHOOSE(CONTROL!$C$21, $C$9, 100%, $E$9)</f>
        <v>22.722899999999999</v>
      </c>
      <c r="F448" s="14">
        <f>CHOOSE(CONTROL!$C$42, 22.4902, 22.4902)*CHOOSE(CONTROL!$C$21, $C$9, 100%, $E$9)</f>
        <v>22.490200000000002</v>
      </c>
      <c r="G448" s="14">
        <f>CHOOSE(CONTROL!$C$42, 22.5071, 22.5071)*CHOOSE(CONTROL!$C$21, $C$9, 100%, $E$9)</f>
        <v>22.507100000000001</v>
      </c>
      <c r="H448" s="14">
        <f>CHOOSE(CONTROL!$C$42, 22.7126, 22.7126) * CHOOSE(CONTROL!$C$21, $C$9, 100%, $E$9)</f>
        <v>22.712599999999998</v>
      </c>
      <c r="I448" s="14">
        <f>CHOOSE(CONTROL!$C$42, 22.5622, 22.5622)* CHOOSE(CONTROL!$C$21, $C$9, 100%, $E$9)</f>
        <v>22.562200000000001</v>
      </c>
      <c r="J448" s="14">
        <f>CHOOSE(CONTROL!$C$42, 22.4832, 22.4832)* CHOOSE(CONTROL!$C$21, $C$9, 100%, $E$9)</f>
        <v>22.4832</v>
      </c>
      <c r="K448" s="53">
        <f>CHOOSE(CONTROL!$C$42, 22.5583, 22.5583) * CHOOSE(CONTROL!$C$21, $C$9, 100%, $E$9)</f>
        <v>22.558299999999999</v>
      </c>
      <c r="L448" s="14">
        <f>CHOOSE(CONTROL!$C$42, 23.2996, 23.2996) * CHOOSE(CONTROL!$C$21, $C$9, 100%, $E$9)</f>
        <v>23.299600000000002</v>
      </c>
      <c r="M448" s="14">
        <f>CHOOSE(CONTROL!$C$42, 22.0303, 22.0303) * CHOOSE(CONTROL!$C$21, $C$9, 100%, $E$9)</f>
        <v>22.0303</v>
      </c>
      <c r="N448" s="14">
        <f>CHOOSE(CONTROL!$C$42, 22.0468, 22.0468) * CHOOSE(CONTROL!$C$21, $C$9, 100%, $E$9)</f>
        <v>22.046800000000001</v>
      </c>
      <c r="O448" s="14">
        <f>CHOOSE(CONTROL!$C$42, 22.255, 22.255) * CHOOSE(CONTROL!$C$21, $C$9, 100%, $E$9)</f>
        <v>22.254999999999999</v>
      </c>
      <c r="P448" s="14">
        <f>CHOOSE(CONTROL!$C$42, 22.1062, 22.1062) * CHOOSE(CONTROL!$C$21, $C$9, 100%, $E$9)</f>
        <v>22.106200000000001</v>
      </c>
      <c r="Q448" s="14">
        <f>CHOOSE(CONTROL!$C$42, 22.8497, 22.8497) * CHOOSE(CONTROL!$C$21, $C$9, 100%, $E$9)</f>
        <v>22.849699999999999</v>
      </c>
      <c r="R448" s="14">
        <f>CHOOSE(CONTROL!$C$42, 23.4938, 23.4938) * CHOOSE(CONTROL!$C$21, $C$9, 100%, $E$9)</f>
        <v>23.4938</v>
      </c>
      <c r="S448" s="14">
        <f>CHOOSE(CONTROL!$C$42, 21.575, 21.575) * CHOOSE(CONTROL!$C$21, $C$9, 100%, $E$9)</f>
        <v>21.574999999999999</v>
      </c>
      <c r="T4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48" s="57">
        <f>(1000*CHOOSE(CONTROL!$C$42, 695, 695)*CHOOSE(CONTROL!$C$42, 0.5599, 0.5599)*CHOOSE(CONTROL!$C$42, 30, 30))/1000000</f>
        <v>11.673914999999997</v>
      </c>
      <c r="V448" s="57">
        <f>(1000*CHOOSE(CONTROL!$C$42, 500, 500)*CHOOSE(CONTROL!$C$42, 0.275, 0.275)*CHOOSE(CONTROL!$C$42, 30, 30))/1000000</f>
        <v>4.125</v>
      </c>
      <c r="W448" s="57">
        <f>(1000*CHOOSE(CONTROL!$C$42, 0.1146, 0.1146)*CHOOSE(CONTROL!$C$42, 121.5, 121.5)*CHOOSE(CONTROL!$C$42, 30, 30))/1000000</f>
        <v>0.417717</v>
      </c>
      <c r="X448" s="57">
        <f>(30*0.1790888*245000/1000000)+(30*0.2374*100000/1000000)</f>
        <v>2.0285026799999999</v>
      </c>
      <c r="Y448" s="57"/>
      <c r="Z448" s="14"/>
      <c r="AA448" s="56"/>
      <c r="AB448" s="50">
        <f>(B448*141.293+C448*267.993+D448*115.016+E448*89.698+F448*40+G448*185+H448*0+I448*100+J448*300)/(141.293+267.993+115.016+89.698+0+40+185+100+300)</f>
        <v>22.52413073486683</v>
      </c>
      <c r="AC448" s="45">
        <f>(M448*'RAP TEMPLATE-GAS AVAILABILITY'!O447+N448*'RAP TEMPLATE-GAS AVAILABILITY'!P447+O448*'RAP TEMPLATE-GAS AVAILABILITY'!Q447+P448*'RAP TEMPLATE-GAS AVAILABILITY'!R447)/('RAP TEMPLATE-GAS AVAILABILITY'!O447+'RAP TEMPLATE-GAS AVAILABILITY'!P447+'RAP TEMPLATE-GAS AVAILABILITY'!Q447+'RAP TEMPLATE-GAS AVAILABILITY'!R447)</f>
        <v>22.108064748201439</v>
      </c>
    </row>
    <row r="449" spans="1:29" ht="15.75" x14ac:dyDescent="0.25">
      <c r="A449" s="33">
        <v>54574</v>
      </c>
      <c r="B449" s="14">
        <f>CHOOSE(CONTROL!$C$42, 22.6621, 22.6621) * CHOOSE(CONTROL!$C$21, $C$9, 100%, $E$9)</f>
        <v>22.662099999999999</v>
      </c>
      <c r="C449" s="14">
        <f>CHOOSE(CONTROL!$C$42, 22.6701, 22.6701) * CHOOSE(CONTROL!$C$21, $C$9, 100%, $E$9)</f>
        <v>22.670100000000001</v>
      </c>
      <c r="D449" s="14">
        <f>CHOOSE(CONTROL!$C$42, 22.8907, 22.8907) * CHOOSE(CONTROL!$C$21, $C$9, 100%, $E$9)</f>
        <v>22.890699999999999</v>
      </c>
      <c r="E449" s="14">
        <f>CHOOSE(CONTROL!$C$42, 22.9222, 22.9222) * CHOOSE(CONTROL!$C$21, $C$9, 100%, $E$9)</f>
        <v>22.9222</v>
      </c>
      <c r="F449" s="14">
        <f>CHOOSE(CONTROL!$C$42, 22.6884, 22.6884)*CHOOSE(CONTROL!$C$21, $C$9, 100%, $E$9)</f>
        <v>22.688400000000001</v>
      </c>
      <c r="G449" s="14">
        <f>CHOOSE(CONTROL!$C$42, 22.7055, 22.7055)*CHOOSE(CONTROL!$C$21, $C$9, 100%, $E$9)</f>
        <v>22.705500000000001</v>
      </c>
      <c r="H449" s="14">
        <f>CHOOSE(CONTROL!$C$42, 22.9108, 22.9108) * CHOOSE(CONTROL!$C$21, $C$9, 100%, $E$9)</f>
        <v>22.910799999999998</v>
      </c>
      <c r="I449" s="14">
        <f>CHOOSE(CONTROL!$C$42, 22.761, 22.761)* CHOOSE(CONTROL!$C$21, $C$9, 100%, $E$9)</f>
        <v>22.760999999999999</v>
      </c>
      <c r="J449" s="14">
        <f>CHOOSE(CONTROL!$C$42, 22.6814, 22.6814)* CHOOSE(CONTROL!$C$21, $C$9, 100%, $E$9)</f>
        <v>22.6814</v>
      </c>
      <c r="K449" s="53">
        <f>CHOOSE(CONTROL!$C$42, 22.7571, 22.7571) * CHOOSE(CONTROL!$C$21, $C$9, 100%, $E$9)</f>
        <v>22.757100000000001</v>
      </c>
      <c r="L449" s="14">
        <f>CHOOSE(CONTROL!$C$42, 23.4978, 23.4978) * CHOOSE(CONTROL!$C$21, $C$9, 100%, $E$9)</f>
        <v>23.497800000000002</v>
      </c>
      <c r="M449" s="14">
        <f>CHOOSE(CONTROL!$C$42, 22.2243, 22.2243) * CHOOSE(CONTROL!$C$21, $C$9, 100%, $E$9)</f>
        <v>22.224299999999999</v>
      </c>
      <c r="N449" s="14">
        <f>CHOOSE(CONTROL!$C$42, 22.2411, 22.2411) * CHOOSE(CONTROL!$C$21, $C$9, 100%, $E$9)</f>
        <v>22.241099999999999</v>
      </c>
      <c r="O449" s="14">
        <f>CHOOSE(CONTROL!$C$42, 22.4491, 22.4491) * CHOOSE(CONTROL!$C$21, $C$9, 100%, $E$9)</f>
        <v>22.449100000000001</v>
      </c>
      <c r="P449" s="14">
        <f>CHOOSE(CONTROL!$C$42, 22.3009, 22.3009) * CHOOSE(CONTROL!$C$21, $C$9, 100%, $E$9)</f>
        <v>22.300899999999999</v>
      </c>
      <c r="Q449" s="14">
        <f>CHOOSE(CONTROL!$C$42, 23.0438, 23.0438) * CHOOSE(CONTROL!$C$21, $C$9, 100%, $E$9)</f>
        <v>23.043800000000001</v>
      </c>
      <c r="R449" s="14">
        <f>CHOOSE(CONTROL!$C$42, 23.6884, 23.6884) * CHOOSE(CONTROL!$C$21, $C$9, 100%, $E$9)</f>
        <v>23.688400000000001</v>
      </c>
      <c r="S449" s="14">
        <f>CHOOSE(CONTROL!$C$42, 21.7654, 21.7654) * CHOOSE(CONTROL!$C$21, $C$9, 100%, $E$9)</f>
        <v>21.7654</v>
      </c>
      <c r="T4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49" s="57">
        <f>(1000*CHOOSE(CONTROL!$C$42, 695, 695)*CHOOSE(CONTROL!$C$42, 0.5599, 0.5599)*CHOOSE(CONTROL!$C$42, 31, 31))/1000000</f>
        <v>12.063045499999998</v>
      </c>
      <c r="V449" s="57">
        <f>(1000*CHOOSE(CONTROL!$C$42, 500, 500)*CHOOSE(CONTROL!$C$42, 0.275, 0.275)*CHOOSE(CONTROL!$C$42, 31, 31))/1000000</f>
        <v>4.2625000000000002</v>
      </c>
      <c r="W449" s="57">
        <f>(1000*CHOOSE(CONTROL!$C$42, 0.1146, 0.1146)*CHOOSE(CONTROL!$C$42, 121.5, 121.5)*CHOOSE(CONTROL!$C$42, 31, 31))/1000000</f>
        <v>0.43164089999999994</v>
      </c>
      <c r="X449" s="57">
        <f>(31*0.1790888*245000/1000000)+(31*0.2374*100000/1000000)</f>
        <v>2.0961194359999999</v>
      </c>
      <c r="Y449" s="57"/>
      <c r="Z449" s="14"/>
      <c r="AA449" s="56"/>
      <c r="AB449" s="50">
        <f>(B449*194.205+C449*267.466+D449*133.845+E449*53.484+F449*40+G449*185+H449*0+I449*100+J449*300)/(194.205+267.466+133.845+53.484+0+40+185+100+300)</f>
        <v>22.718150928885397</v>
      </c>
      <c r="AC449" s="45">
        <f>(M449*'RAP TEMPLATE-GAS AVAILABILITY'!O448+N449*'RAP TEMPLATE-GAS AVAILABILITY'!P448+O449*'RAP TEMPLATE-GAS AVAILABILITY'!Q448+P449*'RAP TEMPLATE-GAS AVAILABILITY'!R448)/('RAP TEMPLATE-GAS AVAILABILITY'!O448+'RAP TEMPLATE-GAS AVAILABILITY'!P448+'RAP TEMPLATE-GAS AVAILABILITY'!Q448+'RAP TEMPLATE-GAS AVAILABILITY'!R448)</f>
        <v>22.302262589928059</v>
      </c>
    </row>
    <row r="450" spans="1:29" ht="15.75" x14ac:dyDescent="0.25">
      <c r="A450" s="33">
        <v>54604</v>
      </c>
      <c r="B450" s="14">
        <f>CHOOSE(CONTROL!$C$42, 23.3046, 23.3046) * CHOOSE(CONTROL!$C$21, $C$9, 100%, $E$9)</f>
        <v>23.304600000000001</v>
      </c>
      <c r="C450" s="14">
        <f>CHOOSE(CONTROL!$C$42, 23.3126, 23.3126) * CHOOSE(CONTROL!$C$21, $C$9, 100%, $E$9)</f>
        <v>23.3126</v>
      </c>
      <c r="D450" s="14">
        <f>CHOOSE(CONTROL!$C$42, 23.5332, 23.5332) * CHOOSE(CONTROL!$C$21, $C$9, 100%, $E$9)</f>
        <v>23.533200000000001</v>
      </c>
      <c r="E450" s="14">
        <f>CHOOSE(CONTROL!$C$42, 23.5647, 23.5647) * CHOOSE(CONTROL!$C$21, $C$9, 100%, $E$9)</f>
        <v>23.564699999999998</v>
      </c>
      <c r="F450" s="14">
        <f>CHOOSE(CONTROL!$C$42, 23.3312, 23.3312)*CHOOSE(CONTROL!$C$21, $C$9, 100%, $E$9)</f>
        <v>23.331199999999999</v>
      </c>
      <c r="G450" s="14">
        <f>CHOOSE(CONTROL!$C$42, 23.3484, 23.3484)*CHOOSE(CONTROL!$C$21, $C$9, 100%, $E$9)</f>
        <v>23.348400000000002</v>
      </c>
      <c r="H450" s="14">
        <f>CHOOSE(CONTROL!$C$42, 23.5533, 23.5533) * CHOOSE(CONTROL!$C$21, $C$9, 100%, $E$9)</f>
        <v>23.5533</v>
      </c>
      <c r="I450" s="14">
        <f>CHOOSE(CONTROL!$C$42, 23.4055, 23.4055)* CHOOSE(CONTROL!$C$21, $C$9, 100%, $E$9)</f>
        <v>23.4055</v>
      </c>
      <c r="J450" s="14">
        <f>CHOOSE(CONTROL!$C$42, 23.3242, 23.3242)* CHOOSE(CONTROL!$C$21, $C$9, 100%, $E$9)</f>
        <v>23.324200000000001</v>
      </c>
      <c r="K450" s="53">
        <f>CHOOSE(CONTROL!$C$42, 23.4016, 23.4016) * CHOOSE(CONTROL!$C$21, $C$9, 100%, $E$9)</f>
        <v>23.401599999999998</v>
      </c>
      <c r="L450" s="14">
        <f>CHOOSE(CONTROL!$C$42, 24.1403, 24.1403) * CHOOSE(CONTROL!$C$21, $C$9, 100%, $E$9)</f>
        <v>24.1403</v>
      </c>
      <c r="M450" s="14">
        <f>CHOOSE(CONTROL!$C$42, 22.854, 22.854) * CHOOSE(CONTROL!$C$21, $C$9, 100%, $E$9)</f>
        <v>22.853999999999999</v>
      </c>
      <c r="N450" s="14">
        <f>CHOOSE(CONTROL!$C$42, 22.8709, 22.8709) * CHOOSE(CONTROL!$C$21, $C$9, 100%, $E$9)</f>
        <v>22.870899999999999</v>
      </c>
      <c r="O450" s="14">
        <f>CHOOSE(CONTROL!$C$42, 23.0784, 23.0784) * CHOOSE(CONTROL!$C$21, $C$9, 100%, $E$9)</f>
        <v>23.078399999999998</v>
      </c>
      <c r="P450" s="14">
        <f>CHOOSE(CONTROL!$C$42, 22.9322, 22.9322) * CHOOSE(CONTROL!$C$21, $C$9, 100%, $E$9)</f>
        <v>22.932200000000002</v>
      </c>
      <c r="Q450" s="14">
        <f>CHOOSE(CONTROL!$C$42, 23.6731, 23.6731) * CHOOSE(CONTROL!$C$21, $C$9, 100%, $E$9)</f>
        <v>23.673100000000002</v>
      </c>
      <c r="R450" s="14">
        <f>CHOOSE(CONTROL!$C$42, 24.3193, 24.3193) * CHOOSE(CONTROL!$C$21, $C$9, 100%, $E$9)</f>
        <v>24.319299999999998</v>
      </c>
      <c r="S450" s="14">
        <f>CHOOSE(CONTROL!$C$42, 22.3828, 22.3828) * CHOOSE(CONTROL!$C$21, $C$9, 100%, $E$9)</f>
        <v>22.3828</v>
      </c>
      <c r="T4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50" s="57">
        <f>(1000*CHOOSE(CONTROL!$C$42, 695, 695)*CHOOSE(CONTROL!$C$42, 0.5599, 0.5599)*CHOOSE(CONTROL!$C$42, 30, 30))/1000000</f>
        <v>11.673914999999997</v>
      </c>
      <c r="V450" s="57">
        <f>(1000*CHOOSE(CONTROL!$C$42, 500, 500)*CHOOSE(CONTROL!$C$42, 0.275, 0.275)*CHOOSE(CONTROL!$C$42, 30, 30))/1000000</f>
        <v>4.125</v>
      </c>
      <c r="W450" s="57">
        <f>(1000*CHOOSE(CONTROL!$C$42, 0.1146, 0.1146)*CHOOSE(CONTROL!$C$42, 121.5, 121.5)*CHOOSE(CONTROL!$C$42, 30, 30))/1000000</f>
        <v>0.417717</v>
      </c>
      <c r="X450" s="57">
        <f>(30*0.1790888*245000/1000000)+(30*0.2374*100000/1000000)</f>
        <v>2.0285026799999999</v>
      </c>
      <c r="Y450" s="57"/>
      <c r="Z450" s="14"/>
      <c r="AA450" s="56"/>
      <c r="AB450" s="50">
        <f>(B450*194.205+C450*267.466+D450*133.845+E450*53.484+F450*40+G450*185+H450*0+I450*100+J450*300)/(194.205+267.466+133.845+53.484+0+40+185+100+300)</f>
        <v>23.360946062323389</v>
      </c>
      <c r="AC450" s="45">
        <f>(M450*'RAP TEMPLATE-GAS AVAILABILITY'!O449+N450*'RAP TEMPLATE-GAS AVAILABILITY'!P449+O450*'RAP TEMPLATE-GAS AVAILABILITY'!Q449+P450*'RAP TEMPLATE-GAS AVAILABILITY'!R449)/('RAP TEMPLATE-GAS AVAILABILITY'!O449+'RAP TEMPLATE-GAS AVAILABILITY'!P449+'RAP TEMPLATE-GAS AVAILABILITY'!Q449+'RAP TEMPLATE-GAS AVAILABILITY'!R449)</f>
        <v>22.932103597122303</v>
      </c>
    </row>
    <row r="451" spans="1:29" ht="15.75" x14ac:dyDescent="0.25">
      <c r="A451" s="33">
        <v>54635</v>
      </c>
      <c r="B451" s="14">
        <f>CHOOSE(CONTROL!$C$42, 22.8577, 22.8577) * CHOOSE(CONTROL!$C$21, $C$9, 100%, $E$9)</f>
        <v>22.857700000000001</v>
      </c>
      <c r="C451" s="14">
        <f>CHOOSE(CONTROL!$C$42, 22.8658, 22.8658) * CHOOSE(CONTROL!$C$21, $C$9, 100%, $E$9)</f>
        <v>22.8658</v>
      </c>
      <c r="D451" s="14">
        <f>CHOOSE(CONTROL!$C$42, 23.0864, 23.0864) * CHOOSE(CONTROL!$C$21, $C$9, 100%, $E$9)</f>
        <v>23.086400000000001</v>
      </c>
      <c r="E451" s="14">
        <f>CHOOSE(CONTROL!$C$42, 23.1178, 23.1178) * CHOOSE(CONTROL!$C$21, $C$9, 100%, $E$9)</f>
        <v>23.117799999999999</v>
      </c>
      <c r="F451" s="14">
        <f>CHOOSE(CONTROL!$C$42, 22.8848, 22.8848)*CHOOSE(CONTROL!$C$21, $C$9, 100%, $E$9)</f>
        <v>22.884799999999998</v>
      </c>
      <c r="G451" s="14">
        <f>CHOOSE(CONTROL!$C$42, 22.9021, 22.9021)*CHOOSE(CONTROL!$C$21, $C$9, 100%, $E$9)</f>
        <v>22.902100000000001</v>
      </c>
      <c r="H451" s="14">
        <f>CHOOSE(CONTROL!$C$42, 23.1064, 23.1064) * CHOOSE(CONTROL!$C$21, $C$9, 100%, $E$9)</f>
        <v>23.106400000000001</v>
      </c>
      <c r="I451" s="14">
        <f>CHOOSE(CONTROL!$C$42, 22.9572, 22.9572)* CHOOSE(CONTROL!$C$21, $C$9, 100%, $E$9)</f>
        <v>22.9572</v>
      </c>
      <c r="J451" s="14">
        <f>CHOOSE(CONTROL!$C$42, 22.8778, 22.8778)* CHOOSE(CONTROL!$C$21, $C$9, 100%, $E$9)</f>
        <v>22.877800000000001</v>
      </c>
      <c r="K451" s="53">
        <f>CHOOSE(CONTROL!$C$42, 22.9533, 22.9533) * CHOOSE(CONTROL!$C$21, $C$9, 100%, $E$9)</f>
        <v>22.953299999999999</v>
      </c>
      <c r="L451" s="14">
        <f>CHOOSE(CONTROL!$C$42, 23.6934, 23.6934) * CHOOSE(CONTROL!$C$21, $C$9, 100%, $E$9)</f>
        <v>23.6934</v>
      </c>
      <c r="M451" s="14">
        <f>CHOOSE(CONTROL!$C$42, 22.4167, 22.4167) * CHOOSE(CONTROL!$C$21, $C$9, 100%, $E$9)</f>
        <v>22.416699999999999</v>
      </c>
      <c r="N451" s="14">
        <f>CHOOSE(CONTROL!$C$42, 22.4337, 22.4337) * CHOOSE(CONTROL!$C$21, $C$9, 100%, $E$9)</f>
        <v>22.433700000000002</v>
      </c>
      <c r="O451" s="14">
        <f>CHOOSE(CONTROL!$C$42, 22.6407, 22.6407) * CHOOSE(CONTROL!$C$21, $C$9, 100%, $E$9)</f>
        <v>22.640699999999999</v>
      </c>
      <c r="P451" s="14">
        <f>CHOOSE(CONTROL!$C$42, 22.4932, 22.4932) * CHOOSE(CONTROL!$C$21, $C$9, 100%, $E$9)</f>
        <v>22.493200000000002</v>
      </c>
      <c r="Q451" s="14">
        <f>CHOOSE(CONTROL!$C$42, 23.2354, 23.2354) * CHOOSE(CONTROL!$C$21, $C$9, 100%, $E$9)</f>
        <v>23.235399999999998</v>
      </c>
      <c r="R451" s="14">
        <f>CHOOSE(CONTROL!$C$42, 23.8805, 23.8805) * CHOOSE(CONTROL!$C$21, $C$9, 100%, $E$9)</f>
        <v>23.880500000000001</v>
      </c>
      <c r="S451" s="14">
        <f>CHOOSE(CONTROL!$C$42, 21.9534, 21.9534) * CHOOSE(CONTROL!$C$21, $C$9, 100%, $E$9)</f>
        <v>21.953399999999998</v>
      </c>
      <c r="T4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51" s="57">
        <f>(1000*CHOOSE(CONTROL!$C$42, 695, 695)*CHOOSE(CONTROL!$C$42, 0.5599, 0.5599)*CHOOSE(CONTROL!$C$42, 31, 31))/1000000</f>
        <v>12.063045499999998</v>
      </c>
      <c r="V451" s="57">
        <f>(1000*CHOOSE(CONTROL!$C$42, 500, 500)*CHOOSE(CONTROL!$C$42, 0.275, 0.275)*CHOOSE(CONTROL!$C$42, 31, 31))/1000000</f>
        <v>4.2625000000000002</v>
      </c>
      <c r="W451" s="57">
        <f>(1000*CHOOSE(CONTROL!$C$42, 0.1146, 0.1146)*CHOOSE(CONTROL!$C$42, 121.5, 121.5)*CHOOSE(CONTROL!$C$42, 31, 31))/1000000</f>
        <v>0.43164089999999994</v>
      </c>
      <c r="X451" s="57">
        <f>(31*0.1790888*245000/1000000)+(31*0.2374*100000/1000000)</f>
        <v>2.0961194359999999</v>
      </c>
      <c r="Y451" s="57"/>
      <c r="Z451" s="14"/>
      <c r="AA451" s="56"/>
      <c r="AB451" s="50">
        <f>(B451*194.205+C451*267.466+D451*133.845+E451*53.484+F451*40+G451*185+H451*0+I451*100+J451*300)/(194.205+267.466+133.845+53.484+0+40+185+100+300)</f>
        <v>22.914188237441135</v>
      </c>
      <c r="AC451" s="45">
        <f>(M451*'RAP TEMPLATE-GAS AVAILABILITY'!O450+N451*'RAP TEMPLATE-GAS AVAILABILITY'!P450+O451*'RAP TEMPLATE-GAS AVAILABILITY'!Q450+P451*'RAP TEMPLATE-GAS AVAILABILITY'!R450)/('RAP TEMPLATE-GAS AVAILABILITY'!O450+'RAP TEMPLATE-GAS AVAILABILITY'!P450+'RAP TEMPLATE-GAS AVAILABILITY'!Q450+'RAP TEMPLATE-GAS AVAILABILITY'!R450)</f>
        <v>22.494469784172662</v>
      </c>
    </row>
    <row r="452" spans="1:29" ht="15.75" x14ac:dyDescent="0.25">
      <c r="A452" s="33">
        <v>54666</v>
      </c>
      <c r="B452" s="14">
        <f>CHOOSE(CONTROL!$C$42, 21.7293, 21.7293) * CHOOSE(CONTROL!$C$21, $C$9, 100%, $E$9)</f>
        <v>21.729299999999999</v>
      </c>
      <c r="C452" s="14">
        <f>CHOOSE(CONTROL!$C$42, 21.7373, 21.7373) * CHOOSE(CONTROL!$C$21, $C$9, 100%, $E$9)</f>
        <v>21.737300000000001</v>
      </c>
      <c r="D452" s="14">
        <f>CHOOSE(CONTROL!$C$42, 21.9579, 21.9579) * CHOOSE(CONTROL!$C$21, $C$9, 100%, $E$9)</f>
        <v>21.957899999999999</v>
      </c>
      <c r="E452" s="14">
        <f>CHOOSE(CONTROL!$C$42, 21.9893, 21.9893) * CHOOSE(CONTROL!$C$21, $C$9, 100%, $E$9)</f>
        <v>21.9893</v>
      </c>
      <c r="F452" s="14">
        <f>CHOOSE(CONTROL!$C$42, 21.7566, 21.7566)*CHOOSE(CONTROL!$C$21, $C$9, 100%, $E$9)</f>
        <v>21.756599999999999</v>
      </c>
      <c r="G452" s="14">
        <f>CHOOSE(CONTROL!$C$42, 21.774, 21.774)*CHOOSE(CONTROL!$C$21, $C$9, 100%, $E$9)</f>
        <v>21.774000000000001</v>
      </c>
      <c r="H452" s="14">
        <f>CHOOSE(CONTROL!$C$42, 21.978, 21.978) * CHOOSE(CONTROL!$C$21, $C$9, 100%, $E$9)</f>
        <v>21.978000000000002</v>
      </c>
      <c r="I452" s="14">
        <f>CHOOSE(CONTROL!$C$42, 21.8252, 21.8252)* CHOOSE(CONTROL!$C$21, $C$9, 100%, $E$9)</f>
        <v>21.825199999999999</v>
      </c>
      <c r="J452" s="14">
        <f>CHOOSE(CONTROL!$C$42, 21.7496, 21.7496)* CHOOSE(CONTROL!$C$21, $C$9, 100%, $E$9)</f>
        <v>21.749600000000001</v>
      </c>
      <c r="K452" s="53">
        <f>CHOOSE(CONTROL!$C$42, 21.8213, 21.8213) * CHOOSE(CONTROL!$C$21, $C$9, 100%, $E$9)</f>
        <v>21.821300000000001</v>
      </c>
      <c r="L452" s="14">
        <f>CHOOSE(CONTROL!$C$42, 22.565, 22.565) * CHOOSE(CONTROL!$C$21, $C$9, 100%, $E$9)</f>
        <v>22.565000000000001</v>
      </c>
      <c r="M452" s="14">
        <f>CHOOSE(CONTROL!$C$42, 21.3117, 21.3117) * CHOOSE(CONTROL!$C$21, $C$9, 100%, $E$9)</f>
        <v>21.311699999999998</v>
      </c>
      <c r="N452" s="14">
        <f>CHOOSE(CONTROL!$C$42, 21.3287, 21.3287) * CHOOSE(CONTROL!$C$21, $C$9, 100%, $E$9)</f>
        <v>21.328700000000001</v>
      </c>
      <c r="O452" s="14">
        <f>CHOOSE(CONTROL!$C$42, 21.5354, 21.5354) * CHOOSE(CONTROL!$C$21, $C$9, 100%, $E$9)</f>
        <v>21.535399999999999</v>
      </c>
      <c r="P452" s="14">
        <f>CHOOSE(CONTROL!$C$42, 21.3844, 21.3844) * CHOOSE(CONTROL!$C$21, $C$9, 100%, $E$9)</f>
        <v>21.384399999999999</v>
      </c>
      <c r="Q452" s="14">
        <f>CHOOSE(CONTROL!$C$42, 22.1301, 22.1301) * CHOOSE(CONTROL!$C$21, $C$9, 100%, $E$9)</f>
        <v>22.130099999999999</v>
      </c>
      <c r="R452" s="14">
        <f>CHOOSE(CONTROL!$C$42, 22.7724, 22.7724) * CHOOSE(CONTROL!$C$21, $C$9, 100%, $E$9)</f>
        <v>22.772400000000001</v>
      </c>
      <c r="S452" s="14">
        <f>CHOOSE(CONTROL!$C$42, 20.869, 20.869) * CHOOSE(CONTROL!$C$21, $C$9, 100%, $E$9)</f>
        <v>20.869</v>
      </c>
      <c r="T4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52" s="57">
        <f>(1000*CHOOSE(CONTROL!$C$42, 695, 695)*CHOOSE(CONTROL!$C$42, 0.5599, 0.5599)*CHOOSE(CONTROL!$C$42, 31, 31))/1000000</f>
        <v>12.063045499999998</v>
      </c>
      <c r="V452" s="57">
        <f>(1000*CHOOSE(CONTROL!$C$42, 500, 500)*CHOOSE(CONTROL!$C$42, 0.275, 0.275)*CHOOSE(CONTROL!$C$42, 31, 31))/1000000</f>
        <v>4.2625000000000002</v>
      </c>
      <c r="W452" s="57">
        <f>(1000*CHOOSE(CONTROL!$C$42, 0.1146, 0.1146)*CHOOSE(CONTROL!$C$42, 121.5, 121.5)*CHOOSE(CONTROL!$C$42, 31, 31))/1000000</f>
        <v>0.43164089999999994</v>
      </c>
      <c r="X452" s="57">
        <f>(31*0.1790888*245000/1000000)+(31*0.2374*100000/1000000)</f>
        <v>2.0961194359999999</v>
      </c>
      <c r="Y452" s="57"/>
      <c r="Z452" s="14"/>
      <c r="AA452" s="56"/>
      <c r="AB452" s="50">
        <f>(B452*194.205+C452*267.466+D452*133.845+E452*53.484+F452*40+G452*185+H452*0+I452*100+J452*300)/(194.205+267.466+133.845+53.484+0+40+185+100+300)</f>
        <v>21.785566903453692</v>
      </c>
      <c r="AC452" s="45">
        <f>(M452*'RAP TEMPLATE-GAS AVAILABILITY'!O451+N452*'RAP TEMPLATE-GAS AVAILABILITY'!P451+O452*'RAP TEMPLATE-GAS AVAILABILITY'!Q451+P452*'RAP TEMPLATE-GAS AVAILABILITY'!R451)/('RAP TEMPLATE-GAS AVAILABILITY'!O451+'RAP TEMPLATE-GAS AVAILABILITY'!P451+'RAP TEMPLATE-GAS AVAILABILITY'!Q451+'RAP TEMPLATE-GAS AVAILABILITY'!R451)</f>
        <v>21.388838848920862</v>
      </c>
    </row>
    <row r="453" spans="1:29" ht="15.75" x14ac:dyDescent="0.25">
      <c r="A453" s="33">
        <v>54696</v>
      </c>
      <c r="B453" s="14">
        <f>CHOOSE(CONTROL!$C$42, 20.3503, 20.3503) * CHOOSE(CONTROL!$C$21, $C$9, 100%, $E$9)</f>
        <v>20.350300000000001</v>
      </c>
      <c r="C453" s="14">
        <f>CHOOSE(CONTROL!$C$42, 20.3583, 20.3583) * CHOOSE(CONTROL!$C$21, $C$9, 100%, $E$9)</f>
        <v>20.3583</v>
      </c>
      <c r="D453" s="14">
        <f>CHOOSE(CONTROL!$C$42, 20.5789, 20.5789) * CHOOSE(CONTROL!$C$21, $C$9, 100%, $E$9)</f>
        <v>20.578900000000001</v>
      </c>
      <c r="E453" s="14">
        <f>CHOOSE(CONTROL!$C$42, 20.6103, 20.6103) * CHOOSE(CONTROL!$C$21, $C$9, 100%, $E$9)</f>
        <v>20.610299999999999</v>
      </c>
      <c r="F453" s="14">
        <f>CHOOSE(CONTROL!$C$42, 20.3776, 20.3776)*CHOOSE(CONTROL!$C$21, $C$9, 100%, $E$9)</f>
        <v>20.377600000000001</v>
      </c>
      <c r="G453" s="14">
        <f>CHOOSE(CONTROL!$C$42, 20.395, 20.395)*CHOOSE(CONTROL!$C$21, $C$9, 100%, $E$9)</f>
        <v>20.395</v>
      </c>
      <c r="H453" s="14">
        <f>CHOOSE(CONTROL!$C$42, 20.599, 20.599) * CHOOSE(CONTROL!$C$21, $C$9, 100%, $E$9)</f>
        <v>20.599</v>
      </c>
      <c r="I453" s="14">
        <f>CHOOSE(CONTROL!$C$42, 20.4419, 20.4419)* CHOOSE(CONTROL!$C$21, $C$9, 100%, $E$9)</f>
        <v>20.4419</v>
      </c>
      <c r="J453" s="14">
        <f>CHOOSE(CONTROL!$C$42, 20.3706, 20.3706)* CHOOSE(CONTROL!$C$21, $C$9, 100%, $E$9)</f>
        <v>20.3706</v>
      </c>
      <c r="K453" s="53">
        <f>CHOOSE(CONTROL!$C$42, 20.438, 20.438) * CHOOSE(CONTROL!$C$21, $C$9, 100%, $E$9)</f>
        <v>20.437999999999999</v>
      </c>
      <c r="L453" s="14">
        <f>CHOOSE(CONTROL!$C$42, 21.186, 21.186) * CHOOSE(CONTROL!$C$21, $C$9, 100%, $E$9)</f>
        <v>21.186</v>
      </c>
      <c r="M453" s="14">
        <f>CHOOSE(CONTROL!$C$42, 19.9609, 19.9609) * CHOOSE(CONTROL!$C$21, $C$9, 100%, $E$9)</f>
        <v>19.960899999999999</v>
      </c>
      <c r="N453" s="14">
        <f>CHOOSE(CONTROL!$C$42, 19.978, 19.978) * CHOOSE(CONTROL!$C$21, $C$9, 100%, $E$9)</f>
        <v>19.978000000000002</v>
      </c>
      <c r="O453" s="14">
        <f>CHOOSE(CONTROL!$C$42, 20.1846, 20.1846) * CHOOSE(CONTROL!$C$21, $C$9, 100%, $E$9)</f>
        <v>20.1846</v>
      </c>
      <c r="P453" s="14">
        <f>CHOOSE(CONTROL!$C$42, 20.0295, 20.0295) * CHOOSE(CONTROL!$C$21, $C$9, 100%, $E$9)</f>
        <v>20.029499999999999</v>
      </c>
      <c r="Q453" s="14">
        <f>CHOOSE(CONTROL!$C$42, 20.7793, 20.7793) * CHOOSE(CONTROL!$C$21, $C$9, 100%, $E$9)</f>
        <v>20.779299999999999</v>
      </c>
      <c r="R453" s="14">
        <f>CHOOSE(CONTROL!$C$42, 21.4182, 21.4182) * CHOOSE(CONTROL!$C$21, $C$9, 100%, $E$9)</f>
        <v>21.418199999999999</v>
      </c>
      <c r="S453" s="14">
        <f>CHOOSE(CONTROL!$C$42, 19.5439, 19.5439) * CHOOSE(CONTROL!$C$21, $C$9, 100%, $E$9)</f>
        <v>19.543900000000001</v>
      </c>
      <c r="T4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53" s="57">
        <f>(1000*CHOOSE(CONTROL!$C$42, 695, 695)*CHOOSE(CONTROL!$C$42, 0.5599, 0.5599)*CHOOSE(CONTROL!$C$42, 30, 30))/1000000</f>
        <v>11.673914999999997</v>
      </c>
      <c r="V453" s="57">
        <f>(1000*CHOOSE(CONTROL!$C$42, 500, 500)*CHOOSE(CONTROL!$C$42, 0.275, 0.275)*CHOOSE(CONTROL!$C$42, 30, 30))/1000000</f>
        <v>4.125</v>
      </c>
      <c r="W453" s="57">
        <f>(1000*CHOOSE(CONTROL!$C$42, 0.1146, 0.1146)*CHOOSE(CONTROL!$C$42, 121.5, 121.5)*CHOOSE(CONTROL!$C$42, 30, 30))/1000000</f>
        <v>0.417717</v>
      </c>
      <c r="X453" s="57">
        <f>(30*0.1790888*245000/1000000)+(30*0.2374*100000/1000000)</f>
        <v>2.0285026799999999</v>
      </c>
      <c r="Y453" s="57"/>
      <c r="Z453" s="14"/>
      <c r="AA453" s="56"/>
      <c r="AB453" s="50">
        <f>(B453*194.205+C453*267.466+D453*133.845+E453*53.484+F453*40+G453*185+H453*0+I453*100+J453*300)/(194.205+267.466+133.845+53.484+0+40+185+100+300)</f>
        <v>20.406229383830453</v>
      </c>
      <c r="AC453" s="45">
        <f>(M453*'RAP TEMPLATE-GAS AVAILABILITY'!O452+N453*'RAP TEMPLATE-GAS AVAILABILITY'!P452+O453*'RAP TEMPLATE-GAS AVAILABILITY'!Q452+P453*'RAP TEMPLATE-GAS AVAILABILITY'!R452)/('RAP TEMPLATE-GAS AVAILABILITY'!O452+'RAP TEMPLATE-GAS AVAILABILITY'!P452+'RAP TEMPLATE-GAS AVAILABILITY'!Q452+'RAP TEMPLATE-GAS AVAILABILITY'!R452)</f>
        <v>20.037471942446047</v>
      </c>
    </row>
    <row r="454" spans="1:29" ht="15.75" x14ac:dyDescent="0.25">
      <c r="A454" s="33">
        <v>54727</v>
      </c>
      <c r="B454" s="14">
        <f>CHOOSE(CONTROL!$C$42, 19.9355, 19.9355) * CHOOSE(CONTROL!$C$21, $C$9, 100%, $E$9)</f>
        <v>19.935500000000001</v>
      </c>
      <c r="C454" s="14">
        <f>CHOOSE(CONTROL!$C$42, 19.9409, 19.9409) * CHOOSE(CONTROL!$C$21, $C$9, 100%, $E$9)</f>
        <v>19.940899999999999</v>
      </c>
      <c r="D454" s="14">
        <f>CHOOSE(CONTROL!$C$42, 20.1664, 20.1664) * CHOOSE(CONTROL!$C$21, $C$9, 100%, $E$9)</f>
        <v>20.166399999999999</v>
      </c>
      <c r="E454" s="14">
        <f>CHOOSE(CONTROL!$C$42, 20.1955, 20.1955) * CHOOSE(CONTROL!$C$21, $C$9, 100%, $E$9)</f>
        <v>20.195499999999999</v>
      </c>
      <c r="F454" s="14">
        <f>CHOOSE(CONTROL!$C$42, 19.9649, 19.9649)*CHOOSE(CONTROL!$C$21, $C$9, 100%, $E$9)</f>
        <v>19.9649</v>
      </c>
      <c r="G454" s="14">
        <f>CHOOSE(CONTROL!$C$42, 19.9821, 19.9821)*CHOOSE(CONTROL!$C$21, $C$9, 100%, $E$9)</f>
        <v>19.982099999999999</v>
      </c>
      <c r="H454" s="14">
        <f>CHOOSE(CONTROL!$C$42, 20.186, 20.186) * CHOOSE(CONTROL!$C$21, $C$9, 100%, $E$9)</f>
        <v>20.186</v>
      </c>
      <c r="I454" s="14">
        <f>CHOOSE(CONTROL!$C$42, 20.0276, 20.0276)* CHOOSE(CONTROL!$C$21, $C$9, 100%, $E$9)</f>
        <v>20.0276</v>
      </c>
      <c r="J454" s="14">
        <f>CHOOSE(CONTROL!$C$42, 19.9579, 19.9579)* CHOOSE(CONTROL!$C$21, $C$9, 100%, $E$9)</f>
        <v>19.957899999999999</v>
      </c>
      <c r="K454" s="53">
        <f>CHOOSE(CONTROL!$C$42, 20.0237, 20.0237) * CHOOSE(CONTROL!$C$21, $C$9, 100%, $E$9)</f>
        <v>20.023700000000002</v>
      </c>
      <c r="L454" s="14">
        <f>CHOOSE(CONTROL!$C$42, 20.773, 20.773) * CHOOSE(CONTROL!$C$21, $C$9, 100%, $E$9)</f>
        <v>20.773</v>
      </c>
      <c r="M454" s="14">
        <f>CHOOSE(CONTROL!$C$42, 19.5567, 19.5567) * CHOOSE(CONTROL!$C$21, $C$9, 100%, $E$9)</f>
        <v>19.556699999999999</v>
      </c>
      <c r="N454" s="14">
        <f>CHOOSE(CONTROL!$C$42, 19.5736, 19.5736) * CHOOSE(CONTROL!$C$21, $C$9, 100%, $E$9)</f>
        <v>19.573599999999999</v>
      </c>
      <c r="O454" s="14">
        <f>CHOOSE(CONTROL!$C$42, 19.7801, 19.7801) * CHOOSE(CONTROL!$C$21, $C$9, 100%, $E$9)</f>
        <v>19.780100000000001</v>
      </c>
      <c r="P454" s="14">
        <f>CHOOSE(CONTROL!$C$42, 19.6238, 19.6238) * CHOOSE(CONTROL!$C$21, $C$9, 100%, $E$9)</f>
        <v>19.623799999999999</v>
      </c>
      <c r="Q454" s="14">
        <f>CHOOSE(CONTROL!$C$42, 20.3748, 20.3748) * CHOOSE(CONTROL!$C$21, $C$9, 100%, $E$9)</f>
        <v>20.3748</v>
      </c>
      <c r="R454" s="14">
        <f>CHOOSE(CONTROL!$C$42, 21.0127, 21.0127) * CHOOSE(CONTROL!$C$21, $C$9, 100%, $E$9)</f>
        <v>21.012699999999999</v>
      </c>
      <c r="S454" s="14">
        <f>CHOOSE(CONTROL!$C$42, 19.1471, 19.1471) * CHOOSE(CONTROL!$C$21, $C$9, 100%, $E$9)</f>
        <v>19.147099999999998</v>
      </c>
      <c r="T4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54" s="57">
        <f>(1000*CHOOSE(CONTROL!$C$42, 695, 695)*CHOOSE(CONTROL!$C$42, 0.5599, 0.5599)*CHOOSE(CONTROL!$C$42, 31, 31))/1000000</f>
        <v>12.063045499999998</v>
      </c>
      <c r="V454" s="57">
        <f>(1000*CHOOSE(CONTROL!$C$42, 500, 500)*CHOOSE(CONTROL!$C$42, 0.275, 0.275)*CHOOSE(CONTROL!$C$42, 31, 31))/1000000</f>
        <v>4.2625000000000002</v>
      </c>
      <c r="W454" s="57">
        <f>(1000*CHOOSE(CONTROL!$C$42, 0.1146, 0.1146)*CHOOSE(CONTROL!$C$42, 121.5, 121.5)*CHOOSE(CONTROL!$C$42, 31, 31))/1000000</f>
        <v>0.43164089999999994</v>
      </c>
      <c r="X454" s="57">
        <f>(31*0.1790888*245000/1000000)+(31*0.2374*100000/1000000)</f>
        <v>2.0961194359999999</v>
      </c>
      <c r="Y454" s="57"/>
      <c r="Z454" s="14"/>
      <c r="AA454" s="56"/>
      <c r="AB454" s="50">
        <f>(B454*131.881+C454*277.167+D454*79.08+E454*125.872+F454*40+G454*185+H454*0+I454*100+J454*300)/(131.881+277.167+79.08+125.872+0+40+185+100+300)</f>
        <v>19.99862348167877</v>
      </c>
      <c r="AC454" s="45">
        <f>(M454*'RAP TEMPLATE-GAS AVAILABILITY'!O453+N454*'RAP TEMPLATE-GAS AVAILABILITY'!P453+O454*'RAP TEMPLATE-GAS AVAILABILITY'!Q453+P454*'RAP TEMPLATE-GAS AVAILABILITY'!R453)/('RAP TEMPLATE-GAS AVAILABILITY'!O453+'RAP TEMPLATE-GAS AVAILABILITY'!P453+'RAP TEMPLATE-GAS AVAILABILITY'!Q453+'RAP TEMPLATE-GAS AVAILABILITY'!R453)</f>
        <v>19.632925899280576</v>
      </c>
    </row>
    <row r="455" spans="1:29" ht="15.75" x14ac:dyDescent="0.25">
      <c r="A455" s="33">
        <v>54757</v>
      </c>
      <c r="B455" s="14">
        <f>CHOOSE(CONTROL!$C$42, 20.4601, 20.4601) * CHOOSE(CONTROL!$C$21, $C$9, 100%, $E$9)</f>
        <v>20.460100000000001</v>
      </c>
      <c r="C455" s="14">
        <f>CHOOSE(CONTROL!$C$42, 20.4651, 20.4651) * CHOOSE(CONTROL!$C$21, $C$9, 100%, $E$9)</f>
        <v>20.4651</v>
      </c>
      <c r="D455" s="14">
        <f>CHOOSE(CONTROL!$C$42, 20.5393, 20.5393) * CHOOSE(CONTROL!$C$21, $C$9, 100%, $E$9)</f>
        <v>20.539300000000001</v>
      </c>
      <c r="E455" s="14">
        <f>CHOOSE(CONTROL!$C$42, 20.5734, 20.5734) * CHOOSE(CONTROL!$C$21, $C$9, 100%, $E$9)</f>
        <v>20.573399999999999</v>
      </c>
      <c r="F455" s="14">
        <f>CHOOSE(CONTROL!$C$42, 20.4961, 20.4961)*CHOOSE(CONTROL!$C$21, $C$9, 100%, $E$9)</f>
        <v>20.496099999999998</v>
      </c>
      <c r="G455" s="14">
        <f>CHOOSE(CONTROL!$C$42, 20.5136, 20.5136)*CHOOSE(CONTROL!$C$21, $C$9, 100%, $E$9)</f>
        <v>20.5136</v>
      </c>
      <c r="H455" s="14">
        <f>CHOOSE(CONTROL!$C$42, 20.5626, 20.5626) * CHOOSE(CONTROL!$C$21, $C$9, 100%, $E$9)</f>
        <v>20.5626</v>
      </c>
      <c r="I455" s="14">
        <f>CHOOSE(CONTROL!$C$42, 20.5516, 20.5516)* CHOOSE(CONTROL!$C$21, $C$9, 100%, $E$9)</f>
        <v>20.551600000000001</v>
      </c>
      <c r="J455" s="14">
        <f>CHOOSE(CONTROL!$C$42, 20.4891, 20.4891)* CHOOSE(CONTROL!$C$21, $C$9, 100%, $E$9)</f>
        <v>20.489100000000001</v>
      </c>
      <c r="K455" s="53">
        <f>CHOOSE(CONTROL!$C$42, 20.5477, 20.5477) * CHOOSE(CONTROL!$C$21, $C$9, 100%, $E$9)</f>
        <v>20.547699999999999</v>
      </c>
      <c r="L455" s="14">
        <f>CHOOSE(CONTROL!$C$42, 21.1496, 21.1496) * CHOOSE(CONTROL!$C$21, $C$9, 100%, $E$9)</f>
        <v>21.1496</v>
      </c>
      <c r="M455" s="14">
        <f>CHOOSE(CONTROL!$C$42, 20.077, 20.077) * CHOOSE(CONTROL!$C$21, $C$9, 100%, $E$9)</f>
        <v>20.077000000000002</v>
      </c>
      <c r="N455" s="14">
        <f>CHOOSE(CONTROL!$C$42, 20.0942, 20.0942) * CHOOSE(CONTROL!$C$21, $C$9, 100%, $E$9)</f>
        <v>20.094200000000001</v>
      </c>
      <c r="O455" s="14">
        <f>CHOOSE(CONTROL!$C$42, 20.149, 20.149) * CHOOSE(CONTROL!$C$21, $C$9, 100%, $E$9)</f>
        <v>20.149000000000001</v>
      </c>
      <c r="P455" s="14">
        <f>CHOOSE(CONTROL!$C$42, 20.137, 20.137) * CHOOSE(CONTROL!$C$21, $C$9, 100%, $E$9)</f>
        <v>20.137</v>
      </c>
      <c r="Q455" s="14">
        <f>CHOOSE(CONTROL!$C$42, 20.7437, 20.7437) * CHOOSE(CONTROL!$C$21, $C$9, 100%, $E$9)</f>
        <v>20.7437</v>
      </c>
      <c r="R455" s="14">
        <f>CHOOSE(CONTROL!$C$42, 21.3826, 21.3826) * CHOOSE(CONTROL!$C$21, $C$9, 100%, $E$9)</f>
        <v>21.3826</v>
      </c>
      <c r="S455" s="14">
        <f>CHOOSE(CONTROL!$C$42, 19.6515, 19.6515) * CHOOSE(CONTROL!$C$21, $C$9, 100%, $E$9)</f>
        <v>19.651499999999999</v>
      </c>
      <c r="T4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55" s="57">
        <f>(1000*CHOOSE(CONTROL!$C$42, 695, 695)*CHOOSE(CONTROL!$C$42, 0.5599, 0.5599)*CHOOSE(CONTROL!$C$42, 30, 30))/1000000</f>
        <v>11.673914999999997</v>
      </c>
      <c r="V455" s="57">
        <f>(1000*CHOOSE(CONTROL!$C$42, 500, 500)*CHOOSE(CONTROL!$C$42, 0.275, 0.275)*CHOOSE(CONTROL!$C$42, 30, 30))/1000000</f>
        <v>4.125</v>
      </c>
      <c r="W455" s="57">
        <f>(1000*CHOOSE(CONTROL!$C$42, 0.1146, 0.1146)*CHOOSE(CONTROL!$C$42, 121.5, 121.5)*CHOOSE(CONTROL!$C$42, 30, 30))/1000000</f>
        <v>0.417717</v>
      </c>
      <c r="X455" s="57">
        <f>(30*0.1790888*100000/1000000)+(30*0.2374*100000/1000000)</f>
        <v>1.2494664</v>
      </c>
      <c r="Y455" s="57"/>
      <c r="Z455" s="14"/>
      <c r="AA455" s="56"/>
      <c r="AB455" s="50">
        <f>(B455*122.58+C455*297.941+D455*89.177+E455*40.302+F455*40+G455*160+H455*0+I455*100+J455*300)/(122.58+297.941+89.177+40.302+0+40+160+100+300)</f>
        <v>20.495724991304346</v>
      </c>
      <c r="AC455" s="45">
        <f>(M455*'RAP TEMPLATE-GAS AVAILABILITY'!O454+N455*'RAP TEMPLATE-GAS AVAILABILITY'!P454+O455*'RAP TEMPLATE-GAS AVAILABILITY'!Q454+P455*'RAP TEMPLATE-GAS AVAILABILITY'!R454)/('RAP TEMPLATE-GAS AVAILABILITY'!O454+'RAP TEMPLATE-GAS AVAILABILITY'!P454+'RAP TEMPLATE-GAS AVAILABILITY'!Q454+'RAP TEMPLATE-GAS AVAILABILITY'!R454)</f>
        <v>20.119256115107916</v>
      </c>
    </row>
    <row r="456" spans="1:29" ht="15.75" x14ac:dyDescent="0.25">
      <c r="A456" s="33">
        <v>54788</v>
      </c>
      <c r="B456" s="14">
        <f>CHOOSE(CONTROL!$C$42, 21.8544, 21.8544) * CHOOSE(CONTROL!$C$21, $C$9, 100%, $E$9)</f>
        <v>21.854399999999998</v>
      </c>
      <c r="C456" s="14">
        <f>CHOOSE(CONTROL!$C$42, 21.8594, 21.8594) * CHOOSE(CONTROL!$C$21, $C$9, 100%, $E$9)</f>
        <v>21.859400000000001</v>
      </c>
      <c r="D456" s="14">
        <f>CHOOSE(CONTROL!$C$42, 21.9336, 21.9336) * CHOOSE(CONTROL!$C$21, $C$9, 100%, $E$9)</f>
        <v>21.933599999999998</v>
      </c>
      <c r="E456" s="14">
        <f>CHOOSE(CONTROL!$C$42, 21.9678, 21.9678) * CHOOSE(CONTROL!$C$21, $C$9, 100%, $E$9)</f>
        <v>21.9678</v>
      </c>
      <c r="F456" s="14">
        <f>CHOOSE(CONTROL!$C$42, 21.8928, 21.8928)*CHOOSE(CONTROL!$C$21, $C$9, 100%, $E$9)</f>
        <v>21.892800000000001</v>
      </c>
      <c r="G456" s="14">
        <f>CHOOSE(CONTROL!$C$42, 21.9109, 21.9109)*CHOOSE(CONTROL!$C$21, $C$9, 100%, $E$9)</f>
        <v>21.910900000000002</v>
      </c>
      <c r="H456" s="14">
        <f>CHOOSE(CONTROL!$C$42, 21.9569, 21.9569) * CHOOSE(CONTROL!$C$21, $C$9, 100%, $E$9)</f>
        <v>21.956900000000001</v>
      </c>
      <c r="I456" s="14">
        <f>CHOOSE(CONTROL!$C$42, 21.9503, 21.9503)* CHOOSE(CONTROL!$C$21, $C$9, 100%, $E$9)</f>
        <v>21.950299999999999</v>
      </c>
      <c r="J456" s="14">
        <f>CHOOSE(CONTROL!$C$42, 21.8858, 21.8858)* CHOOSE(CONTROL!$C$21, $C$9, 100%, $E$9)</f>
        <v>21.8858</v>
      </c>
      <c r="K456" s="53">
        <f>CHOOSE(CONTROL!$C$42, 21.9464, 21.9464) * CHOOSE(CONTROL!$C$21, $C$9, 100%, $E$9)</f>
        <v>21.946400000000001</v>
      </c>
      <c r="L456" s="14">
        <f>CHOOSE(CONTROL!$C$42, 22.5439, 22.5439) * CHOOSE(CONTROL!$C$21, $C$9, 100%, $E$9)</f>
        <v>22.543900000000001</v>
      </c>
      <c r="M456" s="14">
        <f>CHOOSE(CONTROL!$C$42, 21.445, 21.445) * CHOOSE(CONTROL!$C$21, $C$9, 100%, $E$9)</f>
        <v>21.445</v>
      </c>
      <c r="N456" s="14">
        <f>CHOOSE(CONTROL!$C$42, 21.4628, 21.4628) * CHOOSE(CONTROL!$C$21, $C$9, 100%, $E$9)</f>
        <v>21.462800000000001</v>
      </c>
      <c r="O456" s="14">
        <f>CHOOSE(CONTROL!$C$42, 21.5148, 21.5148) * CHOOSE(CONTROL!$C$21, $C$9, 100%, $E$9)</f>
        <v>21.514800000000001</v>
      </c>
      <c r="P456" s="14">
        <f>CHOOSE(CONTROL!$C$42, 21.5069, 21.5069) * CHOOSE(CONTROL!$C$21, $C$9, 100%, $E$9)</f>
        <v>21.506900000000002</v>
      </c>
      <c r="Q456" s="14">
        <f>CHOOSE(CONTROL!$C$42, 22.1095, 22.1095) * CHOOSE(CONTROL!$C$21, $C$9, 100%, $E$9)</f>
        <v>22.109500000000001</v>
      </c>
      <c r="R456" s="14">
        <f>CHOOSE(CONTROL!$C$42, 22.7517, 22.7517) * CHOOSE(CONTROL!$C$21, $C$9, 100%, $E$9)</f>
        <v>22.7517</v>
      </c>
      <c r="S456" s="14">
        <f>CHOOSE(CONTROL!$C$42, 20.9913, 20.9913) * CHOOSE(CONTROL!$C$21, $C$9, 100%, $E$9)</f>
        <v>20.991299999999999</v>
      </c>
      <c r="T4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56" s="57">
        <f>(1000*CHOOSE(CONTROL!$C$42, 695, 695)*CHOOSE(CONTROL!$C$42, 0.5599, 0.5599)*CHOOSE(CONTROL!$C$42, 31, 31))/1000000</f>
        <v>12.063045499999998</v>
      </c>
      <c r="V456" s="57">
        <f>(1000*CHOOSE(CONTROL!$C$42, 500, 500)*CHOOSE(CONTROL!$C$42, 0.275, 0.275)*CHOOSE(CONTROL!$C$42, 31, 31))/1000000</f>
        <v>4.2625000000000002</v>
      </c>
      <c r="W456" s="57">
        <f>(1000*CHOOSE(CONTROL!$C$42, 0.1146, 0.1146)*CHOOSE(CONTROL!$C$42, 121.5, 121.5)*CHOOSE(CONTROL!$C$42, 31, 31))/1000000</f>
        <v>0.43164089999999994</v>
      </c>
      <c r="X456" s="57">
        <f>(31*0.1790888*100000/1000000)+(31*0.2374*100000/1000000)</f>
        <v>1.2911152800000001</v>
      </c>
      <c r="Y456" s="57"/>
      <c r="Z456" s="14"/>
      <c r="AA456" s="56"/>
      <c r="AB456" s="50">
        <f>(B456*122.58+C456*297.941+D456*89.177+E456*40.302+F456*40+G456*160+H456*0+I456*100+J456*300)/(122.58+297.941+89.177+40.302+0+40+160+100+300)</f>
        <v>21.891538061043477</v>
      </c>
      <c r="AC456" s="45">
        <f>(M456*'RAP TEMPLATE-GAS AVAILABILITY'!O455+N456*'RAP TEMPLATE-GAS AVAILABILITY'!P455+O456*'RAP TEMPLATE-GAS AVAILABILITY'!Q455+P456*'RAP TEMPLATE-GAS AVAILABILITY'!R455)/('RAP TEMPLATE-GAS AVAILABILITY'!O455+'RAP TEMPLATE-GAS AVAILABILITY'!P455+'RAP TEMPLATE-GAS AVAILABILITY'!Q455+'RAP TEMPLATE-GAS AVAILABILITY'!R455)</f>
        <v>21.48656690647482</v>
      </c>
    </row>
    <row r="457" spans="1:29" ht="15.75" x14ac:dyDescent="0.25">
      <c r="A457" s="33">
        <v>54819</v>
      </c>
      <c r="B457" s="14">
        <f>CHOOSE(CONTROL!$C$42, 23.6653, 23.6653) * CHOOSE(CONTROL!$C$21, $C$9, 100%, $E$9)</f>
        <v>23.665299999999998</v>
      </c>
      <c r="C457" s="14">
        <f>CHOOSE(CONTROL!$C$42, 23.6704, 23.6704) * CHOOSE(CONTROL!$C$21, $C$9, 100%, $E$9)</f>
        <v>23.670400000000001</v>
      </c>
      <c r="D457" s="14">
        <f>CHOOSE(CONTROL!$C$42, 23.7472, 23.7472) * CHOOSE(CONTROL!$C$21, $C$9, 100%, $E$9)</f>
        <v>23.747199999999999</v>
      </c>
      <c r="E457" s="14">
        <f>CHOOSE(CONTROL!$C$42, 23.7813, 23.7813) * CHOOSE(CONTROL!$C$21, $C$9, 100%, $E$9)</f>
        <v>23.781300000000002</v>
      </c>
      <c r="F457" s="14">
        <f>CHOOSE(CONTROL!$C$42, 23.69, 23.69)*CHOOSE(CONTROL!$C$21, $C$9, 100%, $E$9)</f>
        <v>23.69</v>
      </c>
      <c r="G457" s="14">
        <f>CHOOSE(CONTROL!$C$42, 23.708, 23.708)*CHOOSE(CONTROL!$C$21, $C$9, 100%, $E$9)</f>
        <v>23.707999999999998</v>
      </c>
      <c r="H457" s="14">
        <f>CHOOSE(CONTROL!$C$42, 23.7705, 23.7705) * CHOOSE(CONTROL!$C$21, $C$9, 100%, $E$9)</f>
        <v>23.770499999999998</v>
      </c>
      <c r="I457" s="14">
        <f>CHOOSE(CONTROL!$C$42, 23.7731, 23.7731)* CHOOSE(CONTROL!$C$21, $C$9, 100%, $E$9)</f>
        <v>23.773099999999999</v>
      </c>
      <c r="J457" s="14">
        <f>CHOOSE(CONTROL!$C$42, 23.683, 23.683)* CHOOSE(CONTROL!$C$21, $C$9, 100%, $E$9)</f>
        <v>23.683</v>
      </c>
      <c r="K457" s="53">
        <f>CHOOSE(CONTROL!$C$42, 23.7693, 23.7693) * CHOOSE(CONTROL!$C$21, $C$9, 100%, $E$9)</f>
        <v>23.769300000000001</v>
      </c>
      <c r="L457" s="14">
        <f>CHOOSE(CONTROL!$C$42, 24.3575, 24.3575) * CHOOSE(CONTROL!$C$21, $C$9, 100%, $E$9)</f>
        <v>24.357500000000002</v>
      </c>
      <c r="M457" s="14">
        <f>CHOOSE(CONTROL!$C$42, 23.2055, 23.2055) * CHOOSE(CONTROL!$C$21, $C$9, 100%, $E$9)</f>
        <v>23.205500000000001</v>
      </c>
      <c r="N457" s="14">
        <f>CHOOSE(CONTROL!$C$42, 23.2231, 23.2231) * CHOOSE(CONTROL!$C$21, $C$9, 100%, $E$9)</f>
        <v>23.223099999999999</v>
      </c>
      <c r="O457" s="14">
        <f>CHOOSE(CONTROL!$C$42, 23.2911, 23.2911) * CHOOSE(CONTROL!$C$21, $C$9, 100%, $E$9)</f>
        <v>23.2911</v>
      </c>
      <c r="P457" s="14">
        <f>CHOOSE(CONTROL!$C$42, 23.2923, 23.2923) * CHOOSE(CONTROL!$C$21, $C$9, 100%, $E$9)</f>
        <v>23.292300000000001</v>
      </c>
      <c r="Q457" s="14">
        <f>CHOOSE(CONTROL!$C$42, 23.8858, 23.8858) * CHOOSE(CONTROL!$C$21, $C$9, 100%, $E$9)</f>
        <v>23.8858</v>
      </c>
      <c r="R457" s="14">
        <f>CHOOSE(CONTROL!$C$42, 24.5326, 24.5326) * CHOOSE(CONTROL!$C$21, $C$9, 100%, $E$9)</f>
        <v>24.532599999999999</v>
      </c>
      <c r="S457" s="14">
        <f>CHOOSE(CONTROL!$C$42, 22.7315, 22.7315) * CHOOSE(CONTROL!$C$21, $C$9, 100%, $E$9)</f>
        <v>22.7315</v>
      </c>
      <c r="T4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57" s="57">
        <f>(1000*CHOOSE(CONTROL!$C$42, 695, 695)*CHOOSE(CONTROL!$C$42, 0.5599, 0.5599)*CHOOSE(CONTROL!$C$42, 31, 31))/1000000</f>
        <v>12.063045499999998</v>
      </c>
      <c r="V457" s="57">
        <f>(1000*CHOOSE(CONTROL!$C$42, 500, 500)*CHOOSE(CONTROL!$C$42, 0.275, 0.275)*CHOOSE(CONTROL!$C$42, 31, 31))/1000000</f>
        <v>4.2625000000000002</v>
      </c>
      <c r="W457" s="57">
        <f>(1000*CHOOSE(CONTROL!$C$42, 0.1146, 0.1146)*CHOOSE(CONTROL!$C$42, 121.5, 121.5)*CHOOSE(CONTROL!$C$42, 31, 31))/1000000</f>
        <v>0.43164089999999994</v>
      </c>
      <c r="X457" s="57">
        <f>(31*0.1790888*100000/1000000)+(31*0.2374*100000/1000000)</f>
        <v>1.2911152800000001</v>
      </c>
      <c r="Y457" s="57"/>
      <c r="Z457" s="14"/>
      <c r="AA457" s="56"/>
      <c r="AB457" s="50">
        <f>(B457*122.58+C457*297.941+D457*89.177+E457*40.302+F457*40+G457*160+H457*0+I457*100+J457*300)/(122.58+297.941+89.177+40.302+0+40+160+100+300)</f>
        <v>23.697828806434782</v>
      </c>
      <c r="AC457" s="45">
        <f>(M457*'RAP TEMPLATE-GAS AVAILABILITY'!O456+N457*'RAP TEMPLATE-GAS AVAILABILITY'!P456+O457*'RAP TEMPLATE-GAS AVAILABILITY'!Q456+P457*'RAP TEMPLATE-GAS AVAILABILITY'!R456)/('RAP TEMPLATE-GAS AVAILABILITY'!O456+'RAP TEMPLATE-GAS AVAILABILITY'!P456+'RAP TEMPLATE-GAS AVAILABILITY'!Q456+'RAP TEMPLATE-GAS AVAILABILITY'!R456)</f>
        <v>23.25779928057554</v>
      </c>
    </row>
    <row r="458" spans="1:29" ht="15.75" x14ac:dyDescent="0.25">
      <c r="A458" s="33">
        <v>54847</v>
      </c>
      <c r="B458" s="14">
        <f>CHOOSE(CONTROL!$C$42, 24.0864, 24.0864) * CHOOSE(CONTROL!$C$21, $C$9, 100%, $E$9)</f>
        <v>24.086400000000001</v>
      </c>
      <c r="C458" s="14">
        <f>CHOOSE(CONTROL!$C$42, 24.0915, 24.0915) * CHOOSE(CONTROL!$C$21, $C$9, 100%, $E$9)</f>
        <v>24.0915</v>
      </c>
      <c r="D458" s="14">
        <f>CHOOSE(CONTROL!$C$42, 24.1683, 24.1683) * CHOOSE(CONTROL!$C$21, $C$9, 100%, $E$9)</f>
        <v>24.168299999999999</v>
      </c>
      <c r="E458" s="14">
        <f>CHOOSE(CONTROL!$C$42, 24.2024, 24.2024) * CHOOSE(CONTROL!$C$21, $C$9, 100%, $E$9)</f>
        <v>24.202400000000001</v>
      </c>
      <c r="F458" s="14">
        <f>CHOOSE(CONTROL!$C$42, 24.1108, 24.1108)*CHOOSE(CONTROL!$C$21, $C$9, 100%, $E$9)</f>
        <v>24.110800000000001</v>
      </c>
      <c r="G458" s="14">
        <f>CHOOSE(CONTROL!$C$42, 24.1286, 24.1286)*CHOOSE(CONTROL!$C$21, $C$9, 100%, $E$9)</f>
        <v>24.128599999999999</v>
      </c>
      <c r="H458" s="14">
        <f>CHOOSE(CONTROL!$C$42, 24.1916, 24.1916) * CHOOSE(CONTROL!$C$21, $C$9, 100%, $E$9)</f>
        <v>24.191600000000001</v>
      </c>
      <c r="I458" s="14">
        <f>CHOOSE(CONTROL!$C$42, 24.1956, 24.1956)* CHOOSE(CONTROL!$C$21, $C$9, 100%, $E$9)</f>
        <v>24.195599999999999</v>
      </c>
      <c r="J458" s="14">
        <f>CHOOSE(CONTROL!$C$42, 24.1038, 24.1038)* CHOOSE(CONTROL!$C$21, $C$9, 100%, $E$9)</f>
        <v>24.1038</v>
      </c>
      <c r="K458" s="53">
        <f>CHOOSE(CONTROL!$C$42, 24.1917, 24.1917) * CHOOSE(CONTROL!$C$21, $C$9, 100%, $E$9)</f>
        <v>24.191700000000001</v>
      </c>
      <c r="L458" s="14">
        <f>CHOOSE(CONTROL!$C$42, 24.7786, 24.7786) * CHOOSE(CONTROL!$C$21, $C$9, 100%, $E$9)</f>
        <v>24.778600000000001</v>
      </c>
      <c r="M458" s="14">
        <f>CHOOSE(CONTROL!$C$42, 23.6176, 23.6176) * CHOOSE(CONTROL!$C$21, $C$9, 100%, $E$9)</f>
        <v>23.617599999999999</v>
      </c>
      <c r="N458" s="14">
        <f>CHOOSE(CONTROL!$C$42, 23.6351, 23.6351) * CHOOSE(CONTROL!$C$21, $C$9, 100%, $E$9)</f>
        <v>23.635100000000001</v>
      </c>
      <c r="O458" s="14">
        <f>CHOOSE(CONTROL!$C$42, 23.7036, 23.7036) * CHOOSE(CONTROL!$C$21, $C$9, 100%, $E$9)</f>
        <v>23.703600000000002</v>
      </c>
      <c r="P458" s="14">
        <f>CHOOSE(CONTROL!$C$42, 23.7061, 23.7061) * CHOOSE(CONTROL!$C$21, $C$9, 100%, $E$9)</f>
        <v>23.706099999999999</v>
      </c>
      <c r="Q458" s="14">
        <f>CHOOSE(CONTROL!$C$42, 24.2983, 24.2983) * CHOOSE(CONTROL!$C$21, $C$9, 100%, $E$9)</f>
        <v>24.298300000000001</v>
      </c>
      <c r="R458" s="14">
        <f>CHOOSE(CONTROL!$C$42, 24.9461, 24.9461) * CHOOSE(CONTROL!$C$21, $C$9, 100%, $E$9)</f>
        <v>24.946100000000001</v>
      </c>
      <c r="S458" s="14">
        <f>CHOOSE(CONTROL!$C$42, 23.1361, 23.1361) * CHOOSE(CONTROL!$C$21, $C$9, 100%, $E$9)</f>
        <v>23.136099999999999</v>
      </c>
      <c r="T45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58" s="57">
        <f>(1000*CHOOSE(CONTROL!$C$42, 695, 695)*CHOOSE(CONTROL!$C$42, 0.5599, 0.5599)*CHOOSE(CONTROL!$C$42, 28, 28))/1000000</f>
        <v>10.895653999999999</v>
      </c>
      <c r="V458" s="57">
        <f>(1000*CHOOSE(CONTROL!$C$42, 500, 500)*CHOOSE(CONTROL!$C$42, 0.275, 0.275)*CHOOSE(CONTROL!$C$42, 28, 28))/1000000</f>
        <v>3.85</v>
      </c>
      <c r="W458" s="57">
        <f>(1000*CHOOSE(CONTROL!$C$42, 0.1146, 0.1146)*CHOOSE(CONTROL!$C$42, 121.5, 121.5)*CHOOSE(CONTROL!$C$42, 28, 28))/1000000</f>
        <v>0.38986920000000003</v>
      </c>
      <c r="X458" s="57">
        <f>(28*0.1790888*100000/1000000)+(28*0.2374*100000/1000000)</f>
        <v>1.16616864</v>
      </c>
      <c r="Y458" s="57"/>
      <c r="Z458" s="14"/>
      <c r="AA458" s="56"/>
      <c r="AB458" s="50">
        <f>(B458*122.58+C458*297.941+D458*89.177+E458*40.302+F458*40+G458*160+H458*0+I458*100+J458*300)/(122.58+297.941+89.177+40.302+0+40+160+100+300)</f>
        <v>24.118892284695654</v>
      </c>
      <c r="AC458" s="45">
        <f>(M458*'RAP TEMPLATE-GAS AVAILABILITY'!O457+N458*'RAP TEMPLATE-GAS AVAILABILITY'!P457+O458*'RAP TEMPLATE-GAS AVAILABILITY'!Q457+P458*'RAP TEMPLATE-GAS AVAILABILITY'!R457)/('RAP TEMPLATE-GAS AVAILABILITY'!O457+'RAP TEMPLATE-GAS AVAILABILITY'!P457+'RAP TEMPLATE-GAS AVAILABILITY'!Q457+'RAP TEMPLATE-GAS AVAILABILITY'!R457)</f>
        <v>23.670319424460438</v>
      </c>
    </row>
    <row r="459" spans="1:29" ht="15.75" x14ac:dyDescent="0.25">
      <c r="A459" s="33">
        <v>54878</v>
      </c>
      <c r="B459" s="14">
        <f>CHOOSE(CONTROL!$C$42, 23.4029, 23.4029) * CHOOSE(CONTROL!$C$21, $C$9, 100%, $E$9)</f>
        <v>23.402899999999999</v>
      </c>
      <c r="C459" s="14">
        <f>CHOOSE(CONTROL!$C$42, 23.4079, 23.4079) * CHOOSE(CONTROL!$C$21, $C$9, 100%, $E$9)</f>
        <v>23.407900000000001</v>
      </c>
      <c r="D459" s="14">
        <f>CHOOSE(CONTROL!$C$42, 23.4847, 23.4847) * CHOOSE(CONTROL!$C$21, $C$9, 100%, $E$9)</f>
        <v>23.4847</v>
      </c>
      <c r="E459" s="14">
        <f>CHOOSE(CONTROL!$C$42, 23.5188, 23.5188) * CHOOSE(CONTROL!$C$21, $C$9, 100%, $E$9)</f>
        <v>23.518799999999999</v>
      </c>
      <c r="F459" s="14">
        <f>CHOOSE(CONTROL!$C$42, 23.4263, 23.4263)*CHOOSE(CONTROL!$C$21, $C$9, 100%, $E$9)</f>
        <v>23.426300000000001</v>
      </c>
      <c r="G459" s="14">
        <f>CHOOSE(CONTROL!$C$42, 23.444, 23.444)*CHOOSE(CONTROL!$C$21, $C$9, 100%, $E$9)</f>
        <v>23.443999999999999</v>
      </c>
      <c r="H459" s="14">
        <f>CHOOSE(CONTROL!$C$42, 23.508, 23.508) * CHOOSE(CONTROL!$C$21, $C$9, 100%, $E$9)</f>
        <v>23.507999999999999</v>
      </c>
      <c r="I459" s="14">
        <f>CHOOSE(CONTROL!$C$42, 23.5099, 23.5099)* CHOOSE(CONTROL!$C$21, $C$9, 100%, $E$9)</f>
        <v>23.509899999999998</v>
      </c>
      <c r="J459" s="14">
        <f>CHOOSE(CONTROL!$C$42, 23.4193, 23.4193)* CHOOSE(CONTROL!$C$21, $C$9, 100%, $E$9)</f>
        <v>23.4193</v>
      </c>
      <c r="K459" s="53">
        <f>CHOOSE(CONTROL!$C$42, 23.506, 23.506) * CHOOSE(CONTROL!$C$21, $C$9, 100%, $E$9)</f>
        <v>23.506</v>
      </c>
      <c r="L459" s="14">
        <f>CHOOSE(CONTROL!$C$42, 24.095, 24.095) * CHOOSE(CONTROL!$C$21, $C$9, 100%, $E$9)</f>
        <v>24.094999999999999</v>
      </c>
      <c r="M459" s="14">
        <f>CHOOSE(CONTROL!$C$42, 22.9472, 22.9472) * CHOOSE(CONTROL!$C$21, $C$9, 100%, $E$9)</f>
        <v>22.947199999999999</v>
      </c>
      <c r="N459" s="14">
        <f>CHOOSE(CONTROL!$C$42, 22.9644, 22.9644) * CHOOSE(CONTROL!$C$21, $C$9, 100%, $E$9)</f>
        <v>22.964400000000001</v>
      </c>
      <c r="O459" s="14">
        <f>CHOOSE(CONTROL!$C$42, 23.0341, 23.0341) * CHOOSE(CONTROL!$C$21, $C$9, 100%, $E$9)</f>
        <v>23.034099999999999</v>
      </c>
      <c r="P459" s="14">
        <f>CHOOSE(CONTROL!$C$42, 23.0345, 23.0345) * CHOOSE(CONTROL!$C$21, $C$9, 100%, $E$9)</f>
        <v>23.034500000000001</v>
      </c>
      <c r="Q459" s="14">
        <f>CHOOSE(CONTROL!$C$42, 23.6288, 23.6288) * CHOOSE(CONTROL!$C$21, $C$9, 100%, $E$9)</f>
        <v>23.628799999999998</v>
      </c>
      <c r="R459" s="14">
        <f>CHOOSE(CONTROL!$C$42, 24.2748, 24.2748) * CHOOSE(CONTROL!$C$21, $C$9, 100%, $E$9)</f>
        <v>24.274799999999999</v>
      </c>
      <c r="S459" s="14">
        <f>CHOOSE(CONTROL!$C$42, 22.4793, 22.4793) * CHOOSE(CONTROL!$C$21, $C$9, 100%, $E$9)</f>
        <v>22.479299999999999</v>
      </c>
      <c r="T4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59" s="57">
        <f>(1000*CHOOSE(CONTROL!$C$42, 695, 695)*CHOOSE(CONTROL!$C$42, 0.5599, 0.5599)*CHOOSE(CONTROL!$C$42, 31, 31))/1000000</f>
        <v>12.063045499999998</v>
      </c>
      <c r="V459" s="57">
        <f>(1000*CHOOSE(CONTROL!$C$42, 500, 500)*CHOOSE(CONTROL!$C$42, 0.275, 0.275)*CHOOSE(CONTROL!$C$42, 31, 31))/1000000</f>
        <v>4.2625000000000002</v>
      </c>
      <c r="W459" s="57">
        <f>(1000*CHOOSE(CONTROL!$C$42, 0.1146, 0.1146)*CHOOSE(CONTROL!$C$42, 121.5, 121.5)*CHOOSE(CONTROL!$C$42, 31, 31))/1000000</f>
        <v>0.43164089999999994</v>
      </c>
      <c r="X459" s="57">
        <f>(31*0.1790888*100000/1000000)+(31*0.2374*100000/1000000)</f>
        <v>1.2911152800000001</v>
      </c>
      <c r="Y459" s="57"/>
      <c r="Z459" s="14"/>
      <c r="AA459" s="56"/>
      <c r="AB459" s="50">
        <f>(B459*122.58+C459*297.941+D459*89.177+E459*40.302+F459*40+G459*160+H459*0+I459*100+J459*300)/(122.58+297.941+89.177+40.302+0+40+160+100+300)</f>
        <v>23.434715117739131</v>
      </c>
      <c r="AC459" s="45">
        <f>(M459*'RAP TEMPLATE-GAS AVAILABILITY'!O458+N459*'RAP TEMPLATE-GAS AVAILABILITY'!P458+O459*'RAP TEMPLATE-GAS AVAILABILITY'!Q458+P459*'RAP TEMPLATE-GAS AVAILABILITY'!R458)/('RAP TEMPLATE-GAS AVAILABILITY'!O458+'RAP TEMPLATE-GAS AVAILABILITY'!P458+'RAP TEMPLATE-GAS AVAILABILITY'!Q458+'RAP TEMPLATE-GAS AVAILABILITY'!R458)</f>
        <v>23.000137410071943</v>
      </c>
    </row>
    <row r="460" spans="1:29" ht="15.75" x14ac:dyDescent="0.25">
      <c r="A460" s="33">
        <v>54908</v>
      </c>
      <c r="B460" s="14">
        <f>CHOOSE(CONTROL!$C$42, 23.3338, 23.3338) * CHOOSE(CONTROL!$C$21, $C$9, 100%, $E$9)</f>
        <v>23.3338</v>
      </c>
      <c r="C460" s="14">
        <f>CHOOSE(CONTROL!$C$42, 23.3383, 23.3383) * CHOOSE(CONTROL!$C$21, $C$9, 100%, $E$9)</f>
        <v>23.3383</v>
      </c>
      <c r="D460" s="14">
        <f>CHOOSE(CONTROL!$C$42, 23.562, 23.562) * CHOOSE(CONTROL!$C$21, $C$9, 100%, $E$9)</f>
        <v>23.562000000000001</v>
      </c>
      <c r="E460" s="14">
        <f>CHOOSE(CONTROL!$C$42, 23.5941, 23.5941) * CHOOSE(CONTROL!$C$21, $C$9, 100%, $E$9)</f>
        <v>23.594100000000001</v>
      </c>
      <c r="F460" s="14">
        <f>CHOOSE(CONTROL!$C$42, 23.3615, 23.3615)*CHOOSE(CONTROL!$C$21, $C$9, 100%, $E$9)</f>
        <v>23.361499999999999</v>
      </c>
      <c r="G460" s="14">
        <f>CHOOSE(CONTROL!$C$42, 23.3784, 23.3784)*CHOOSE(CONTROL!$C$21, $C$9, 100%, $E$9)</f>
        <v>23.378399999999999</v>
      </c>
      <c r="H460" s="14">
        <f>CHOOSE(CONTROL!$C$42, 23.5839, 23.5839) * CHOOSE(CONTROL!$C$21, $C$9, 100%, $E$9)</f>
        <v>23.5839</v>
      </c>
      <c r="I460" s="14">
        <f>CHOOSE(CONTROL!$C$42, 23.4362, 23.4362)* CHOOSE(CONTROL!$C$21, $C$9, 100%, $E$9)</f>
        <v>23.436199999999999</v>
      </c>
      <c r="J460" s="14">
        <f>CHOOSE(CONTROL!$C$42, 23.3545, 23.3545)* CHOOSE(CONTROL!$C$21, $C$9, 100%, $E$9)</f>
        <v>23.354500000000002</v>
      </c>
      <c r="K460" s="53">
        <f>CHOOSE(CONTROL!$C$42, 23.4323, 23.4323) * CHOOSE(CONTROL!$C$21, $C$9, 100%, $E$9)</f>
        <v>23.432300000000001</v>
      </c>
      <c r="L460" s="14">
        <f>CHOOSE(CONTROL!$C$42, 24.1709, 24.1709) * CHOOSE(CONTROL!$C$21, $C$9, 100%, $E$9)</f>
        <v>24.1709</v>
      </c>
      <c r="M460" s="14">
        <f>CHOOSE(CONTROL!$C$42, 22.8837, 22.8837) * CHOOSE(CONTROL!$C$21, $C$9, 100%, $E$9)</f>
        <v>22.883700000000001</v>
      </c>
      <c r="N460" s="14">
        <f>CHOOSE(CONTROL!$C$42, 22.9002, 22.9002) * CHOOSE(CONTROL!$C$21, $C$9, 100%, $E$9)</f>
        <v>22.900200000000002</v>
      </c>
      <c r="O460" s="14">
        <f>CHOOSE(CONTROL!$C$42, 23.1084, 23.1084) * CHOOSE(CONTROL!$C$21, $C$9, 100%, $E$9)</f>
        <v>23.1084</v>
      </c>
      <c r="P460" s="14">
        <f>CHOOSE(CONTROL!$C$42, 22.9623, 22.9623) * CHOOSE(CONTROL!$C$21, $C$9, 100%, $E$9)</f>
        <v>22.962299999999999</v>
      </c>
      <c r="Q460" s="14">
        <f>CHOOSE(CONTROL!$C$42, 23.7031, 23.7031) * CHOOSE(CONTROL!$C$21, $C$9, 100%, $E$9)</f>
        <v>23.703099999999999</v>
      </c>
      <c r="R460" s="14">
        <f>CHOOSE(CONTROL!$C$42, 24.3494, 24.3494) * CHOOSE(CONTROL!$C$21, $C$9, 100%, $E$9)</f>
        <v>24.349399999999999</v>
      </c>
      <c r="S460" s="14">
        <f>CHOOSE(CONTROL!$C$42, 22.4122, 22.4122) * CHOOSE(CONTROL!$C$21, $C$9, 100%, $E$9)</f>
        <v>22.412199999999999</v>
      </c>
      <c r="T4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60" s="57">
        <f>(1000*CHOOSE(CONTROL!$C$42, 695, 695)*CHOOSE(CONTROL!$C$42, 0.5599, 0.5599)*CHOOSE(CONTROL!$C$42, 30, 30))/1000000</f>
        <v>11.673914999999997</v>
      </c>
      <c r="V460" s="57">
        <f>(1000*CHOOSE(CONTROL!$C$42, 500, 500)*CHOOSE(CONTROL!$C$42, 0.275, 0.275)*CHOOSE(CONTROL!$C$42, 30, 30))/1000000</f>
        <v>4.125</v>
      </c>
      <c r="W460" s="57">
        <f>(1000*CHOOSE(CONTROL!$C$42, 0.1146, 0.1146)*CHOOSE(CONTROL!$C$42, 121.5, 121.5)*CHOOSE(CONTROL!$C$42, 30, 30))/1000000</f>
        <v>0.417717</v>
      </c>
      <c r="X460" s="57">
        <f>(30*0.1790888*245000/1000000)+(30*0.2374*100000/1000000)</f>
        <v>2.0285026799999999</v>
      </c>
      <c r="Y460" s="57"/>
      <c r="Z460" s="14"/>
      <c r="AA460" s="56"/>
      <c r="AB460" s="50">
        <f>(B460*141.293+C460*267.993+D460*115.016+E460*89.698+F460*40+G460*185+H460*0+I460*100+J460*300)/(141.293+267.993+115.016+89.698+0+40+185+100+300)</f>
        <v>23.395632130024214</v>
      </c>
      <c r="AC460" s="45">
        <f>(M460*'RAP TEMPLATE-GAS AVAILABILITY'!O459+N460*'RAP TEMPLATE-GAS AVAILABILITY'!P459+O460*'RAP TEMPLATE-GAS AVAILABILITY'!Q459+P460*'RAP TEMPLATE-GAS AVAILABILITY'!R459)/('RAP TEMPLATE-GAS AVAILABILITY'!O459+'RAP TEMPLATE-GAS AVAILABILITY'!P459+'RAP TEMPLATE-GAS AVAILABILITY'!Q459+'RAP TEMPLATE-GAS AVAILABILITY'!R459)</f>
        <v>22.961853237410075</v>
      </c>
    </row>
    <row r="461" spans="1:29" ht="15.75" x14ac:dyDescent="0.25">
      <c r="A461" s="33">
        <v>54939</v>
      </c>
      <c r="B461" s="14">
        <f>CHOOSE(CONTROL!$C$42, 23.5411, 23.5411) * CHOOSE(CONTROL!$C$21, $C$9, 100%, $E$9)</f>
        <v>23.5411</v>
      </c>
      <c r="C461" s="14">
        <f>CHOOSE(CONTROL!$C$42, 23.5491, 23.5491) * CHOOSE(CONTROL!$C$21, $C$9, 100%, $E$9)</f>
        <v>23.549099999999999</v>
      </c>
      <c r="D461" s="14">
        <f>CHOOSE(CONTROL!$C$42, 23.7697, 23.7697) * CHOOSE(CONTROL!$C$21, $C$9, 100%, $E$9)</f>
        <v>23.7697</v>
      </c>
      <c r="E461" s="14">
        <f>CHOOSE(CONTROL!$C$42, 23.8011, 23.8011) * CHOOSE(CONTROL!$C$21, $C$9, 100%, $E$9)</f>
        <v>23.801100000000002</v>
      </c>
      <c r="F461" s="14">
        <f>CHOOSE(CONTROL!$C$42, 23.5673, 23.5673)*CHOOSE(CONTROL!$C$21, $C$9, 100%, $E$9)</f>
        <v>23.567299999999999</v>
      </c>
      <c r="G461" s="14">
        <f>CHOOSE(CONTROL!$C$42, 23.5845, 23.5845)*CHOOSE(CONTROL!$C$21, $C$9, 100%, $E$9)</f>
        <v>23.584499999999998</v>
      </c>
      <c r="H461" s="14">
        <f>CHOOSE(CONTROL!$C$42, 23.7898, 23.7898) * CHOOSE(CONTROL!$C$21, $C$9, 100%, $E$9)</f>
        <v>23.7898</v>
      </c>
      <c r="I461" s="14">
        <f>CHOOSE(CONTROL!$C$42, 23.6427, 23.6427)* CHOOSE(CONTROL!$C$21, $C$9, 100%, $E$9)</f>
        <v>23.642700000000001</v>
      </c>
      <c r="J461" s="14">
        <f>CHOOSE(CONTROL!$C$42, 23.5603, 23.5603)* CHOOSE(CONTROL!$C$21, $C$9, 100%, $E$9)</f>
        <v>23.560300000000002</v>
      </c>
      <c r="K461" s="53">
        <f>CHOOSE(CONTROL!$C$42, 23.6388, 23.6388) * CHOOSE(CONTROL!$C$21, $C$9, 100%, $E$9)</f>
        <v>23.6388</v>
      </c>
      <c r="L461" s="14">
        <f>CHOOSE(CONTROL!$C$42, 24.3768, 24.3768) * CHOOSE(CONTROL!$C$21, $C$9, 100%, $E$9)</f>
        <v>24.376799999999999</v>
      </c>
      <c r="M461" s="14">
        <f>CHOOSE(CONTROL!$C$42, 23.0853, 23.0853) * CHOOSE(CONTROL!$C$21, $C$9, 100%, $E$9)</f>
        <v>23.0853</v>
      </c>
      <c r="N461" s="14">
        <f>CHOOSE(CONTROL!$C$42, 23.1021, 23.1021) * CHOOSE(CONTROL!$C$21, $C$9, 100%, $E$9)</f>
        <v>23.1021</v>
      </c>
      <c r="O461" s="14">
        <f>CHOOSE(CONTROL!$C$42, 23.31, 23.31) * CHOOSE(CONTROL!$C$21, $C$9, 100%, $E$9)</f>
        <v>23.31</v>
      </c>
      <c r="P461" s="14">
        <f>CHOOSE(CONTROL!$C$42, 23.1645, 23.1645) * CHOOSE(CONTROL!$C$21, $C$9, 100%, $E$9)</f>
        <v>23.1645</v>
      </c>
      <c r="Q461" s="14">
        <f>CHOOSE(CONTROL!$C$42, 23.9047, 23.9047) * CHOOSE(CONTROL!$C$21, $C$9, 100%, $E$9)</f>
        <v>23.904699999999998</v>
      </c>
      <c r="R461" s="14">
        <f>CHOOSE(CONTROL!$C$42, 24.5515, 24.5515) * CHOOSE(CONTROL!$C$21, $C$9, 100%, $E$9)</f>
        <v>24.551500000000001</v>
      </c>
      <c r="S461" s="14">
        <f>CHOOSE(CONTROL!$C$42, 22.61, 22.61) * CHOOSE(CONTROL!$C$21, $C$9, 100%, $E$9)</f>
        <v>22.61</v>
      </c>
      <c r="T4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61" s="57">
        <f>(1000*CHOOSE(CONTROL!$C$42, 695, 695)*CHOOSE(CONTROL!$C$42, 0.5599, 0.5599)*CHOOSE(CONTROL!$C$42, 31, 31))/1000000</f>
        <v>12.063045499999998</v>
      </c>
      <c r="V461" s="57">
        <f>(1000*CHOOSE(CONTROL!$C$42, 500, 500)*CHOOSE(CONTROL!$C$42, 0.275, 0.275)*CHOOSE(CONTROL!$C$42, 31, 31))/1000000</f>
        <v>4.2625000000000002</v>
      </c>
      <c r="W461" s="57">
        <f>(1000*CHOOSE(CONTROL!$C$42, 0.1146, 0.1146)*CHOOSE(CONTROL!$C$42, 121.5, 121.5)*CHOOSE(CONTROL!$C$42, 31, 31))/1000000</f>
        <v>0.43164089999999994</v>
      </c>
      <c r="X461" s="57">
        <f>(31*0.1790888*245000/1000000)+(31*0.2374*100000/1000000)</f>
        <v>2.0961194359999999</v>
      </c>
      <c r="Y461" s="57"/>
      <c r="Z461" s="14"/>
      <c r="AA461" s="56"/>
      <c r="AB461" s="50">
        <f>(B461*194.205+C461*267.466+D461*133.845+E461*53.484+F461*40+G461*185+H461*0+I461*100+J461*300)/(194.205+267.466+133.845+53.484+0+40+185+100+300)</f>
        <v>23.59733197409733</v>
      </c>
      <c r="AC461" s="45">
        <f>(M461*'RAP TEMPLATE-GAS AVAILABILITY'!O460+N461*'RAP TEMPLATE-GAS AVAILABILITY'!P460+O461*'RAP TEMPLATE-GAS AVAILABILITY'!Q460+P461*'RAP TEMPLATE-GAS AVAILABILITY'!R460)/('RAP TEMPLATE-GAS AVAILABILITY'!O460+'RAP TEMPLATE-GAS AVAILABILITY'!P460+'RAP TEMPLATE-GAS AVAILABILITY'!Q460+'RAP TEMPLATE-GAS AVAILABILITY'!R460)</f>
        <v>23.163608633093528</v>
      </c>
    </row>
    <row r="462" spans="1:29" ht="15.75" x14ac:dyDescent="0.25">
      <c r="A462" s="33">
        <v>54969</v>
      </c>
      <c r="B462" s="14">
        <f>CHOOSE(CONTROL!$C$42, 24.2085, 24.2085) * CHOOSE(CONTROL!$C$21, $C$9, 100%, $E$9)</f>
        <v>24.208500000000001</v>
      </c>
      <c r="C462" s="14">
        <f>CHOOSE(CONTROL!$C$42, 24.2165, 24.2165) * CHOOSE(CONTROL!$C$21, $C$9, 100%, $E$9)</f>
        <v>24.2165</v>
      </c>
      <c r="D462" s="14">
        <f>CHOOSE(CONTROL!$C$42, 24.4371, 24.4371) * CHOOSE(CONTROL!$C$21, $C$9, 100%, $E$9)</f>
        <v>24.437100000000001</v>
      </c>
      <c r="E462" s="14">
        <f>CHOOSE(CONTROL!$C$42, 24.4686, 24.4686) * CHOOSE(CONTROL!$C$21, $C$9, 100%, $E$9)</f>
        <v>24.468599999999999</v>
      </c>
      <c r="F462" s="14">
        <f>CHOOSE(CONTROL!$C$42, 24.2351, 24.2351)*CHOOSE(CONTROL!$C$21, $C$9, 100%, $E$9)</f>
        <v>24.235099999999999</v>
      </c>
      <c r="G462" s="14">
        <f>CHOOSE(CONTROL!$C$42, 24.2523, 24.2523)*CHOOSE(CONTROL!$C$21, $C$9, 100%, $E$9)</f>
        <v>24.252300000000002</v>
      </c>
      <c r="H462" s="14">
        <f>CHOOSE(CONTROL!$C$42, 24.4572, 24.4572) * CHOOSE(CONTROL!$C$21, $C$9, 100%, $E$9)</f>
        <v>24.4572</v>
      </c>
      <c r="I462" s="14">
        <f>CHOOSE(CONTROL!$C$42, 24.3122, 24.3122)* CHOOSE(CONTROL!$C$21, $C$9, 100%, $E$9)</f>
        <v>24.312200000000001</v>
      </c>
      <c r="J462" s="14">
        <f>CHOOSE(CONTROL!$C$42, 24.2281, 24.2281)* CHOOSE(CONTROL!$C$21, $C$9, 100%, $E$9)</f>
        <v>24.228100000000001</v>
      </c>
      <c r="K462" s="53">
        <f>CHOOSE(CONTROL!$C$42, 24.3083, 24.3083) * CHOOSE(CONTROL!$C$21, $C$9, 100%, $E$9)</f>
        <v>24.308299999999999</v>
      </c>
      <c r="L462" s="14">
        <f>CHOOSE(CONTROL!$C$42, 25.0442, 25.0442) * CHOOSE(CONTROL!$C$21, $C$9, 100%, $E$9)</f>
        <v>25.0442</v>
      </c>
      <c r="M462" s="14">
        <f>CHOOSE(CONTROL!$C$42, 23.7394, 23.7394) * CHOOSE(CONTROL!$C$21, $C$9, 100%, $E$9)</f>
        <v>23.7394</v>
      </c>
      <c r="N462" s="14">
        <f>CHOOSE(CONTROL!$C$42, 23.7563, 23.7563) * CHOOSE(CONTROL!$C$21, $C$9, 100%, $E$9)</f>
        <v>23.7563</v>
      </c>
      <c r="O462" s="14">
        <f>CHOOSE(CONTROL!$C$42, 23.9638, 23.9638) * CHOOSE(CONTROL!$C$21, $C$9, 100%, $E$9)</f>
        <v>23.963799999999999</v>
      </c>
      <c r="P462" s="14">
        <f>CHOOSE(CONTROL!$C$42, 23.8203, 23.8203) * CHOOSE(CONTROL!$C$21, $C$9, 100%, $E$9)</f>
        <v>23.8203</v>
      </c>
      <c r="Q462" s="14">
        <f>CHOOSE(CONTROL!$C$42, 24.5585, 24.5585) * CHOOSE(CONTROL!$C$21, $C$9, 100%, $E$9)</f>
        <v>24.558499999999999</v>
      </c>
      <c r="R462" s="14">
        <f>CHOOSE(CONTROL!$C$42, 25.2069, 25.2069) * CHOOSE(CONTROL!$C$21, $C$9, 100%, $E$9)</f>
        <v>25.206900000000001</v>
      </c>
      <c r="S462" s="14">
        <f>CHOOSE(CONTROL!$C$42, 23.2513, 23.2513) * CHOOSE(CONTROL!$C$21, $C$9, 100%, $E$9)</f>
        <v>23.251300000000001</v>
      </c>
      <c r="T4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62" s="57">
        <f>(1000*CHOOSE(CONTROL!$C$42, 695, 695)*CHOOSE(CONTROL!$C$42, 0.5599, 0.5599)*CHOOSE(CONTROL!$C$42, 30, 30))/1000000</f>
        <v>11.673914999999997</v>
      </c>
      <c r="V462" s="57">
        <f>(1000*CHOOSE(CONTROL!$C$42, 500, 500)*CHOOSE(CONTROL!$C$42, 0.275, 0.275)*CHOOSE(CONTROL!$C$42, 30, 30))/1000000</f>
        <v>4.125</v>
      </c>
      <c r="W462" s="57">
        <f>(1000*CHOOSE(CONTROL!$C$42, 0.1146, 0.1146)*CHOOSE(CONTROL!$C$42, 121.5, 121.5)*CHOOSE(CONTROL!$C$42, 30, 30))/1000000</f>
        <v>0.417717</v>
      </c>
      <c r="X462" s="57">
        <f>(30*0.1790888*245000/1000000)+(30*0.2374*100000/1000000)</f>
        <v>2.0285026799999999</v>
      </c>
      <c r="Y462" s="57"/>
      <c r="Z462" s="14"/>
      <c r="AA462" s="56"/>
      <c r="AB462" s="50">
        <f>(B462*194.205+C462*267.466+D462*133.845+E462*53.484+F462*40+G462*185+H462*0+I462*100+J462*300)/(194.205+267.466+133.845+53.484+0+40+185+100+300)</f>
        <v>24.265065842543173</v>
      </c>
      <c r="AC462" s="45">
        <f>(M462*'RAP TEMPLATE-GAS AVAILABILITY'!O461+N462*'RAP TEMPLATE-GAS AVAILABILITY'!P461+O462*'RAP TEMPLATE-GAS AVAILABILITY'!Q461+P462*'RAP TEMPLATE-GAS AVAILABILITY'!R461)/('RAP TEMPLATE-GAS AVAILABILITY'!O461+'RAP TEMPLATE-GAS AVAILABILITY'!P461+'RAP TEMPLATE-GAS AVAILABILITY'!Q461+'RAP TEMPLATE-GAS AVAILABILITY'!R461)</f>
        <v>23.817892086330932</v>
      </c>
    </row>
    <row r="463" spans="1:29" ht="15.75" x14ac:dyDescent="0.25">
      <c r="A463" s="33">
        <v>55000</v>
      </c>
      <c r="B463" s="14">
        <f>CHOOSE(CONTROL!$C$42, 23.7443, 23.7443) * CHOOSE(CONTROL!$C$21, $C$9, 100%, $E$9)</f>
        <v>23.744299999999999</v>
      </c>
      <c r="C463" s="14">
        <f>CHOOSE(CONTROL!$C$42, 23.7523, 23.7523) * CHOOSE(CONTROL!$C$21, $C$9, 100%, $E$9)</f>
        <v>23.752300000000002</v>
      </c>
      <c r="D463" s="14">
        <f>CHOOSE(CONTROL!$C$42, 23.9729, 23.9729) * CHOOSE(CONTROL!$C$21, $C$9, 100%, $E$9)</f>
        <v>23.972899999999999</v>
      </c>
      <c r="E463" s="14">
        <f>CHOOSE(CONTROL!$C$42, 24.0044, 24.0044) * CHOOSE(CONTROL!$C$21, $C$9, 100%, $E$9)</f>
        <v>24.0044</v>
      </c>
      <c r="F463" s="14">
        <f>CHOOSE(CONTROL!$C$42, 23.7714, 23.7714)*CHOOSE(CONTROL!$C$21, $C$9, 100%, $E$9)</f>
        <v>23.7714</v>
      </c>
      <c r="G463" s="14">
        <f>CHOOSE(CONTROL!$C$42, 23.7887, 23.7887)*CHOOSE(CONTROL!$C$21, $C$9, 100%, $E$9)</f>
        <v>23.788699999999999</v>
      </c>
      <c r="H463" s="14">
        <f>CHOOSE(CONTROL!$C$42, 23.993, 23.993) * CHOOSE(CONTROL!$C$21, $C$9, 100%, $E$9)</f>
        <v>23.992999999999999</v>
      </c>
      <c r="I463" s="14">
        <f>CHOOSE(CONTROL!$C$42, 23.8466, 23.8466)* CHOOSE(CONTROL!$C$21, $C$9, 100%, $E$9)</f>
        <v>23.846599999999999</v>
      </c>
      <c r="J463" s="14">
        <f>CHOOSE(CONTROL!$C$42, 23.7644, 23.7644)* CHOOSE(CONTROL!$C$21, $C$9, 100%, $E$9)</f>
        <v>23.764399999999998</v>
      </c>
      <c r="K463" s="53">
        <f>CHOOSE(CONTROL!$C$42, 23.8427, 23.8427) * CHOOSE(CONTROL!$C$21, $C$9, 100%, $E$9)</f>
        <v>23.842700000000001</v>
      </c>
      <c r="L463" s="14">
        <f>CHOOSE(CONTROL!$C$42, 24.58, 24.58) * CHOOSE(CONTROL!$C$21, $C$9, 100%, $E$9)</f>
        <v>24.58</v>
      </c>
      <c r="M463" s="14">
        <f>CHOOSE(CONTROL!$C$42, 23.2851, 23.2851) * CHOOSE(CONTROL!$C$21, $C$9, 100%, $E$9)</f>
        <v>23.2851</v>
      </c>
      <c r="N463" s="14">
        <f>CHOOSE(CONTROL!$C$42, 23.3021, 23.3021) * CHOOSE(CONTROL!$C$21, $C$9, 100%, $E$9)</f>
        <v>23.302099999999999</v>
      </c>
      <c r="O463" s="14">
        <f>CHOOSE(CONTROL!$C$42, 23.5091, 23.5091) * CHOOSE(CONTROL!$C$21, $C$9, 100%, $E$9)</f>
        <v>23.5091</v>
      </c>
      <c r="P463" s="14">
        <f>CHOOSE(CONTROL!$C$42, 23.3642, 23.3642) * CHOOSE(CONTROL!$C$21, $C$9, 100%, $E$9)</f>
        <v>23.3642</v>
      </c>
      <c r="Q463" s="14">
        <f>CHOOSE(CONTROL!$C$42, 24.1038, 24.1038) * CHOOSE(CONTROL!$C$21, $C$9, 100%, $E$9)</f>
        <v>24.1038</v>
      </c>
      <c r="R463" s="14">
        <f>CHOOSE(CONTROL!$C$42, 24.7511, 24.7511) * CHOOSE(CONTROL!$C$21, $C$9, 100%, $E$9)</f>
        <v>24.751100000000001</v>
      </c>
      <c r="S463" s="14">
        <f>CHOOSE(CONTROL!$C$42, 22.8053, 22.8053) * CHOOSE(CONTROL!$C$21, $C$9, 100%, $E$9)</f>
        <v>22.805299999999999</v>
      </c>
      <c r="T4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63" s="57">
        <f>(1000*CHOOSE(CONTROL!$C$42, 695, 695)*CHOOSE(CONTROL!$C$42, 0.5599, 0.5599)*CHOOSE(CONTROL!$C$42, 31, 31))/1000000</f>
        <v>12.063045499999998</v>
      </c>
      <c r="V463" s="57">
        <f>(1000*CHOOSE(CONTROL!$C$42, 500, 500)*CHOOSE(CONTROL!$C$42, 0.275, 0.275)*CHOOSE(CONTROL!$C$42, 31, 31))/1000000</f>
        <v>4.2625000000000002</v>
      </c>
      <c r="W463" s="57">
        <f>(1000*CHOOSE(CONTROL!$C$42, 0.1146, 0.1146)*CHOOSE(CONTROL!$C$42, 121.5, 121.5)*CHOOSE(CONTROL!$C$42, 31, 31))/1000000</f>
        <v>0.43164089999999994</v>
      </c>
      <c r="X463" s="57">
        <f>(31*0.1790888*245000/1000000)+(31*0.2374*100000/1000000)</f>
        <v>2.0961194359999999</v>
      </c>
      <c r="Y463" s="57"/>
      <c r="Z463" s="14"/>
      <c r="AA463" s="56"/>
      <c r="AB463" s="50">
        <f>(B463*194.205+C463*267.466+D463*133.845+E463*53.484+F463*40+G463*185+H463*0+I463*100+J463*300)/(194.205+267.466+133.845+53.484+0+40+185+100+300)</f>
        <v>23.80097651758242</v>
      </c>
      <c r="AC463" s="45">
        <f>(M463*'RAP TEMPLATE-GAS AVAILABILITY'!O462+N463*'RAP TEMPLATE-GAS AVAILABILITY'!P462+O463*'RAP TEMPLATE-GAS AVAILABILITY'!Q462+P463*'RAP TEMPLATE-GAS AVAILABILITY'!R462)/('RAP TEMPLATE-GAS AVAILABILITY'!O462+'RAP TEMPLATE-GAS AVAILABILITY'!P462+'RAP TEMPLATE-GAS AVAILABILITY'!Q462+'RAP TEMPLATE-GAS AVAILABILITY'!R462)</f>
        <v>23.363243884892089</v>
      </c>
    </row>
    <row r="464" spans="1:29" ht="15.75" x14ac:dyDescent="0.25">
      <c r="A464" s="33">
        <v>55031</v>
      </c>
      <c r="B464" s="14">
        <f>CHOOSE(CONTROL!$C$42, 22.572, 22.572) * CHOOSE(CONTROL!$C$21, $C$9, 100%, $E$9)</f>
        <v>22.571999999999999</v>
      </c>
      <c r="C464" s="14">
        <f>CHOOSE(CONTROL!$C$42, 22.5801, 22.5801) * CHOOSE(CONTROL!$C$21, $C$9, 100%, $E$9)</f>
        <v>22.580100000000002</v>
      </c>
      <c r="D464" s="14">
        <f>CHOOSE(CONTROL!$C$42, 22.8006, 22.8006) * CHOOSE(CONTROL!$C$21, $C$9, 100%, $E$9)</f>
        <v>22.800599999999999</v>
      </c>
      <c r="E464" s="14">
        <f>CHOOSE(CONTROL!$C$42, 22.8321, 22.8321) * CHOOSE(CONTROL!$C$21, $C$9, 100%, $E$9)</f>
        <v>22.832100000000001</v>
      </c>
      <c r="F464" s="14">
        <f>CHOOSE(CONTROL!$C$42, 22.5994, 22.5994)*CHOOSE(CONTROL!$C$21, $C$9, 100%, $E$9)</f>
        <v>22.599399999999999</v>
      </c>
      <c r="G464" s="14">
        <f>CHOOSE(CONTROL!$C$42, 22.6168, 22.6168)*CHOOSE(CONTROL!$C$21, $C$9, 100%, $E$9)</f>
        <v>22.616800000000001</v>
      </c>
      <c r="H464" s="14">
        <f>CHOOSE(CONTROL!$C$42, 22.8207, 22.8207) * CHOOSE(CONTROL!$C$21, $C$9, 100%, $E$9)</f>
        <v>22.820699999999999</v>
      </c>
      <c r="I464" s="14">
        <f>CHOOSE(CONTROL!$C$42, 22.6706, 22.6706)* CHOOSE(CONTROL!$C$21, $C$9, 100%, $E$9)</f>
        <v>22.6706</v>
      </c>
      <c r="J464" s="14">
        <f>CHOOSE(CONTROL!$C$42, 22.5924, 22.5924)* CHOOSE(CONTROL!$C$21, $C$9, 100%, $E$9)</f>
        <v>22.592400000000001</v>
      </c>
      <c r="K464" s="53">
        <f>CHOOSE(CONTROL!$C$42, 22.6667, 22.6667) * CHOOSE(CONTROL!$C$21, $C$9, 100%, $E$9)</f>
        <v>22.666699999999999</v>
      </c>
      <c r="L464" s="14">
        <f>CHOOSE(CONTROL!$C$42, 23.4077, 23.4077) * CHOOSE(CONTROL!$C$21, $C$9, 100%, $E$9)</f>
        <v>23.407699999999998</v>
      </c>
      <c r="M464" s="14">
        <f>CHOOSE(CONTROL!$C$42, 22.1372, 22.1372) * CHOOSE(CONTROL!$C$21, $C$9, 100%, $E$9)</f>
        <v>22.1372</v>
      </c>
      <c r="N464" s="14">
        <f>CHOOSE(CONTROL!$C$42, 22.1542, 22.1542) * CHOOSE(CONTROL!$C$21, $C$9, 100%, $E$9)</f>
        <v>22.154199999999999</v>
      </c>
      <c r="O464" s="14">
        <f>CHOOSE(CONTROL!$C$42, 22.3609, 22.3609) * CHOOSE(CONTROL!$C$21, $C$9, 100%, $E$9)</f>
        <v>22.360900000000001</v>
      </c>
      <c r="P464" s="14">
        <f>CHOOSE(CONTROL!$C$42, 22.2125, 22.2125) * CHOOSE(CONTROL!$C$21, $C$9, 100%, $E$9)</f>
        <v>22.212499999999999</v>
      </c>
      <c r="Q464" s="14">
        <f>CHOOSE(CONTROL!$C$42, 22.9556, 22.9556) * CHOOSE(CONTROL!$C$21, $C$9, 100%, $E$9)</f>
        <v>22.9556</v>
      </c>
      <c r="R464" s="14">
        <f>CHOOSE(CONTROL!$C$42, 23.5999, 23.5999) * CHOOSE(CONTROL!$C$21, $C$9, 100%, $E$9)</f>
        <v>23.599900000000002</v>
      </c>
      <c r="S464" s="14">
        <f>CHOOSE(CONTROL!$C$42, 21.6788, 21.6788) * CHOOSE(CONTROL!$C$21, $C$9, 100%, $E$9)</f>
        <v>21.678799999999999</v>
      </c>
      <c r="T4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64" s="57">
        <f>(1000*CHOOSE(CONTROL!$C$42, 695, 695)*CHOOSE(CONTROL!$C$42, 0.5599, 0.5599)*CHOOSE(CONTROL!$C$42, 31, 31))/1000000</f>
        <v>12.063045499999998</v>
      </c>
      <c r="V464" s="57">
        <f>(1000*CHOOSE(CONTROL!$C$42, 500, 500)*CHOOSE(CONTROL!$C$42, 0.275, 0.275)*CHOOSE(CONTROL!$C$42, 31, 31))/1000000</f>
        <v>4.2625000000000002</v>
      </c>
      <c r="W464" s="57">
        <f>(1000*CHOOSE(CONTROL!$C$42, 0.1146, 0.1146)*CHOOSE(CONTROL!$C$42, 121.5, 121.5)*CHOOSE(CONTROL!$C$42, 31, 31))/1000000</f>
        <v>0.43164089999999994</v>
      </c>
      <c r="X464" s="57">
        <f>(31*0.1790888*245000/1000000)+(31*0.2374*100000/1000000)</f>
        <v>2.0961194359999999</v>
      </c>
      <c r="Y464" s="57"/>
      <c r="Z464" s="14"/>
      <c r="AA464" s="56"/>
      <c r="AB464" s="50">
        <f>(B464*194.205+C464*267.466+D464*133.845+E464*53.484+F464*40+G464*185+H464*0+I464*100+J464*300)/(194.205+267.466+133.845+53.484+0+40+185+100+300)</f>
        <v>22.628545235478807</v>
      </c>
      <c r="AC464" s="45">
        <f>(M464*'RAP TEMPLATE-GAS AVAILABILITY'!O463+N464*'RAP TEMPLATE-GAS AVAILABILITY'!P463+O464*'RAP TEMPLATE-GAS AVAILABILITY'!Q463+P464*'RAP TEMPLATE-GAS AVAILABILITY'!R463)/('RAP TEMPLATE-GAS AVAILABILITY'!O463+'RAP TEMPLATE-GAS AVAILABILITY'!P463+'RAP TEMPLATE-GAS AVAILABILITY'!Q463+'RAP TEMPLATE-GAS AVAILABILITY'!R463)</f>
        <v>22.214712949640287</v>
      </c>
    </row>
    <row r="465" spans="1:29" ht="15.75" x14ac:dyDescent="0.25">
      <c r="A465" s="33">
        <v>55061</v>
      </c>
      <c r="B465" s="14">
        <f>CHOOSE(CONTROL!$C$42, 21.1395, 21.1395) * CHOOSE(CONTROL!$C$21, $C$9, 100%, $E$9)</f>
        <v>21.139500000000002</v>
      </c>
      <c r="C465" s="14">
        <f>CHOOSE(CONTROL!$C$42, 21.1475, 21.1475) * CHOOSE(CONTROL!$C$21, $C$9, 100%, $E$9)</f>
        <v>21.147500000000001</v>
      </c>
      <c r="D465" s="14">
        <f>CHOOSE(CONTROL!$C$42, 21.3681, 21.3681) * CHOOSE(CONTROL!$C$21, $C$9, 100%, $E$9)</f>
        <v>21.368099999999998</v>
      </c>
      <c r="E465" s="14">
        <f>CHOOSE(CONTROL!$C$42, 21.3996, 21.3996) * CHOOSE(CONTROL!$C$21, $C$9, 100%, $E$9)</f>
        <v>21.3996</v>
      </c>
      <c r="F465" s="14">
        <f>CHOOSE(CONTROL!$C$42, 21.1669, 21.1669)*CHOOSE(CONTROL!$C$21, $C$9, 100%, $E$9)</f>
        <v>21.166899999999998</v>
      </c>
      <c r="G465" s="14">
        <f>CHOOSE(CONTROL!$C$42, 21.1843, 21.1843)*CHOOSE(CONTROL!$C$21, $C$9, 100%, $E$9)</f>
        <v>21.1843</v>
      </c>
      <c r="H465" s="14">
        <f>CHOOSE(CONTROL!$C$42, 21.3882, 21.3882) * CHOOSE(CONTROL!$C$21, $C$9, 100%, $E$9)</f>
        <v>21.388200000000001</v>
      </c>
      <c r="I465" s="14">
        <f>CHOOSE(CONTROL!$C$42, 21.2336, 21.2336)* CHOOSE(CONTROL!$C$21, $C$9, 100%, $E$9)</f>
        <v>21.233599999999999</v>
      </c>
      <c r="J465" s="14">
        <f>CHOOSE(CONTROL!$C$42, 21.1599, 21.1599)* CHOOSE(CONTROL!$C$21, $C$9, 100%, $E$9)</f>
        <v>21.1599</v>
      </c>
      <c r="K465" s="53">
        <f>CHOOSE(CONTROL!$C$42, 21.2297, 21.2297) * CHOOSE(CONTROL!$C$21, $C$9, 100%, $E$9)</f>
        <v>21.229700000000001</v>
      </c>
      <c r="L465" s="14">
        <f>CHOOSE(CONTROL!$C$42, 21.9752, 21.9752) * CHOOSE(CONTROL!$C$21, $C$9, 100%, $E$9)</f>
        <v>21.975200000000001</v>
      </c>
      <c r="M465" s="14">
        <f>CHOOSE(CONTROL!$C$42, 20.734, 20.734) * CHOOSE(CONTROL!$C$21, $C$9, 100%, $E$9)</f>
        <v>20.734000000000002</v>
      </c>
      <c r="N465" s="14">
        <f>CHOOSE(CONTROL!$C$42, 20.7511, 20.7511) * CHOOSE(CONTROL!$C$21, $C$9, 100%, $E$9)</f>
        <v>20.751100000000001</v>
      </c>
      <c r="O465" s="14">
        <f>CHOOSE(CONTROL!$C$42, 20.9577, 20.9577) * CHOOSE(CONTROL!$C$21, $C$9, 100%, $E$9)</f>
        <v>20.957699999999999</v>
      </c>
      <c r="P465" s="14">
        <f>CHOOSE(CONTROL!$C$42, 20.805, 20.805) * CHOOSE(CONTROL!$C$21, $C$9, 100%, $E$9)</f>
        <v>20.805</v>
      </c>
      <c r="Q465" s="14">
        <f>CHOOSE(CONTROL!$C$42, 21.5524, 21.5524) * CHOOSE(CONTROL!$C$21, $C$9, 100%, $E$9)</f>
        <v>21.552399999999999</v>
      </c>
      <c r="R465" s="14">
        <f>CHOOSE(CONTROL!$C$42, 22.1933, 22.1933) * CHOOSE(CONTROL!$C$21, $C$9, 100%, $E$9)</f>
        <v>22.193300000000001</v>
      </c>
      <c r="S465" s="14">
        <f>CHOOSE(CONTROL!$C$42, 20.3023, 20.3023) * CHOOSE(CONTROL!$C$21, $C$9, 100%, $E$9)</f>
        <v>20.302299999999999</v>
      </c>
      <c r="T4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65" s="57">
        <f>(1000*CHOOSE(CONTROL!$C$42, 695, 695)*CHOOSE(CONTROL!$C$42, 0.5599, 0.5599)*CHOOSE(CONTROL!$C$42, 30, 30))/1000000</f>
        <v>11.673914999999997</v>
      </c>
      <c r="V465" s="57">
        <f>(1000*CHOOSE(CONTROL!$C$42, 500, 500)*CHOOSE(CONTROL!$C$42, 0.275, 0.275)*CHOOSE(CONTROL!$C$42, 30, 30))/1000000</f>
        <v>4.125</v>
      </c>
      <c r="W465" s="57">
        <f>(1000*CHOOSE(CONTROL!$C$42, 0.1146, 0.1146)*CHOOSE(CONTROL!$C$42, 121.5, 121.5)*CHOOSE(CONTROL!$C$42, 30, 30))/1000000</f>
        <v>0.417717</v>
      </c>
      <c r="X465" s="57">
        <f>(30*0.1790888*245000/1000000)+(30*0.2374*100000/1000000)</f>
        <v>2.0285026799999999</v>
      </c>
      <c r="Y465" s="57"/>
      <c r="Z465" s="14"/>
      <c r="AA465" s="56"/>
      <c r="AB465" s="50">
        <f>(B465*194.205+C465*267.466+D465*133.845+E465*53.484+F465*40+G465*185+H465*0+I465*100+J465*300)/(194.205+267.466+133.845+53.484+0+40+185+100+300)</f>
        <v>21.195671023076926</v>
      </c>
      <c r="AC465" s="45">
        <f>(M465*'RAP TEMPLATE-GAS AVAILABILITY'!O464+N465*'RAP TEMPLATE-GAS AVAILABILITY'!P464+O465*'RAP TEMPLATE-GAS AVAILABILITY'!Q464+P465*'RAP TEMPLATE-GAS AVAILABILITY'!R464)/('RAP TEMPLATE-GAS AVAILABILITY'!O464+'RAP TEMPLATE-GAS AVAILABILITY'!P464+'RAP TEMPLATE-GAS AVAILABILITY'!Q464+'RAP TEMPLATE-GAS AVAILABILITY'!R464)</f>
        <v>20.810917266187051</v>
      </c>
    </row>
    <row r="466" spans="1:29" ht="15.75" x14ac:dyDescent="0.25">
      <c r="A466" s="33">
        <v>55092</v>
      </c>
      <c r="B466" s="14">
        <f>CHOOSE(CONTROL!$C$42, 20.7088, 20.7088) * CHOOSE(CONTROL!$C$21, $C$9, 100%, $E$9)</f>
        <v>20.7088</v>
      </c>
      <c r="C466" s="14">
        <f>CHOOSE(CONTROL!$C$42, 20.7141, 20.7141) * CHOOSE(CONTROL!$C$21, $C$9, 100%, $E$9)</f>
        <v>20.714099999999998</v>
      </c>
      <c r="D466" s="14">
        <f>CHOOSE(CONTROL!$C$42, 20.9397, 20.9397) * CHOOSE(CONTROL!$C$21, $C$9, 100%, $E$9)</f>
        <v>20.939699999999998</v>
      </c>
      <c r="E466" s="14">
        <f>CHOOSE(CONTROL!$C$42, 20.9688, 20.9688) * CHOOSE(CONTROL!$C$21, $C$9, 100%, $E$9)</f>
        <v>20.968800000000002</v>
      </c>
      <c r="F466" s="14">
        <f>CHOOSE(CONTROL!$C$42, 20.7381, 20.7381)*CHOOSE(CONTROL!$C$21, $C$9, 100%, $E$9)</f>
        <v>20.738099999999999</v>
      </c>
      <c r="G466" s="14">
        <f>CHOOSE(CONTROL!$C$42, 20.7554, 20.7554)*CHOOSE(CONTROL!$C$21, $C$9, 100%, $E$9)</f>
        <v>20.755400000000002</v>
      </c>
      <c r="H466" s="14">
        <f>CHOOSE(CONTROL!$C$42, 20.9592, 20.9592) * CHOOSE(CONTROL!$C$21, $C$9, 100%, $E$9)</f>
        <v>20.959199999999999</v>
      </c>
      <c r="I466" s="14">
        <f>CHOOSE(CONTROL!$C$42, 20.8033, 20.8033)* CHOOSE(CONTROL!$C$21, $C$9, 100%, $E$9)</f>
        <v>20.8033</v>
      </c>
      <c r="J466" s="14">
        <f>CHOOSE(CONTROL!$C$42, 20.7311, 20.7311)* CHOOSE(CONTROL!$C$21, $C$9, 100%, $E$9)</f>
        <v>20.731100000000001</v>
      </c>
      <c r="K466" s="53">
        <f>CHOOSE(CONTROL!$C$42, 20.7994, 20.7994) * CHOOSE(CONTROL!$C$21, $C$9, 100%, $E$9)</f>
        <v>20.799399999999999</v>
      </c>
      <c r="L466" s="14">
        <f>CHOOSE(CONTROL!$C$42, 21.5462, 21.5462) * CHOOSE(CONTROL!$C$21, $C$9, 100%, $E$9)</f>
        <v>21.546199999999999</v>
      </c>
      <c r="M466" s="14">
        <f>CHOOSE(CONTROL!$C$42, 20.3141, 20.3141) * CHOOSE(CONTROL!$C$21, $C$9, 100%, $E$9)</f>
        <v>20.3141</v>
      </c>
      <c r="N466" s="14">
        <f>CHOOSE(CONTROL!$C$42, 20.331, 20.331) * CHOOSE(CONTROL!$C$21, $C$9, 100%, $E$9)</f>
        <v>20.331</v>
      </c>
      <c r="O466" s="14">
        <f>CHOOSE(CONTROL!$C$42, 20.5375, 20.5375) * CHOOSE(CONTROL!$C$21, $C$9, 100%, $E$9)</f>
        <v>20.537500000000001</v>
      </c>
      <c r="P466" s="14">
        <f>CHOOSE(CONTROL!$C$42, 20.3835, 20.3835) * CHOOSE(CONTROL!$C$21, $C$9, 100%, $E$9)</f>
        <v>20.383500000000002</v>
      </c>
      <c r="Q466" s="14">
        <f>CHOOSE(CONTROL!$C$42, 21.1322, 21.1322) * CHOOSE(CONTROL!$C$21, $C$9, 100%, $E$9)</f>
        <v>21.132200000000001</v>
      </c>
      <c r="R466" s="14">
        <f>CHOOSE(CONTROL!$C$42, 21.772, 21.772) * CHOOSE(CONTROL!$C$21, $C$9, 100%, $E$9)</f>
        <v>21.771999999999998</v>
      </c>
      <c r="S466" s="14">
        <f>CHOOSE(CONTROL!$C$42, 19.8901, 19.8901) * CHOOSE(CONTROL!$C$21, $C$9, 100%, $E$9)</f>
        <v>19.8901</v>
      </c>
      <c r="T4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6" s="57">
        <f>(1000*CHOOSE(CONTROL!$C$42, 695, 695)*CHOOSE(CONTROL!$C$42, 0.5599, 0.5599)*CHOOSE(CONTROL!$C$42, 31, 31))/1000000</f>
        <v>12.063045499999998</v>
      </c>
      <c r="V466" s="57">
        <f>(1000*CHOOSE(CONTROL!$C$42, 500, 500)*CHOOSE(CONTROL!$C$42, 0.275, 0.275)*CHOOSE(CONTROL!$C$42, 31, 31))/1000000</f>
        <v>4.2625000000000002</v>
      </c>
      <c r="W466" s="57">
        <f>(1000*CHOOSE(CONTROL!$C$42, 0.1146, 0.1146)*CHOOSE(CONTROL!$C$42, 121.5, 121.5)*CHOOSE(CONTROL!$C$42, 31, 31))/1000000</f>
        <v>0.43164089999999994</v>
      </c>
      <c r="X466" s="57">
        <f>(31*0.1790888*245000/1000000)+(31*0.2374*100000/1000000)</f>
        <v>2.0961194359999999</v>
      </c>
      <c r="Y466" s="57"/>
      <c r="Z466" s="14"/>
      <c r="AA466" s="56"/>
      <c r="AB466" s="50">
        <f>(B466*131.881+C466*277.167+D466*79.08+E466*125.872+F466*40+G466*185+H466*0+I466*100+J466*300)/(131.881+277.167+79.08+125.872+0+40+185+100+300)</f>
        <v>20.772067374576274</v>
      </c>
      <c r="AC466" s="45">
        <f>(M466*'RAP TEMPLATE-GAS AVAILABILITY'!O465+N466*'RAP TEMPLATE-GAS AVAILABILITY'!P465+O466*'RAP TEMPLATE-GAS AVAILABILITY'!Q465+P466*'RAP TEMPLATE-GAS AVAILABILITY'!R465)/('RAP TEMPLATE-GAS AVAILABILITY'!O465+'RAP TEMPLATE-GAS AVAILABILITY'!P465+'RAP TEMPLATE-GAS AVAILABILITY'!Q465+'RAP TEMPLATE-GAS AVAILABILITY'!R465)</f>
        <v>20.390656834532376</v>
      </c>
    </row>
    <row r="467" spans="1:29" ht="15.75" x14ac:dyDescent="0.25">
      <c r="A467" s="33">
        <v>55122</v>
      </c>
      <c r="B467" s="14">
        <f>CHOOSE(CONTROL!$C$42, 21.2537, 21.2537) * CHOOSE(CONTROL!$C$21, $C$9, 100%, $E$9)</f>
        <v>21.253699999999998</v>
      </c>
      <c r="C467" s="14">
        <f>CHOOSE(CONTROL!$C$42, 21.2587, 21.2587) * CHOOSE(CONTROL!$C$21, $C$9, 100%, $E$9)</f>
        <v>21.258700000000001</v>
      </c>
      <c r="D467" s="14">
        <f>CHOOSE(CONTROL!$C$42, 21.333, 21.333) * CHOOSE(CONTROL!$C$21, $C$9, 100%, $E$9)</f>
        <v>21.332999999999998</v>
      </c>
      <c r="E467" s="14">
        <f>CHOOSE(CONTROL!$C$42, 21.3671, 21.3671) * CHOOSE(CONTROL!$C$21, $C$9, 100%, $E$9)</f>
        <v>21.367100000000001</v>
      </c>
      <c r="F467" s="14">
        <f>CHOOSE(CONTROL!$C$42, 21.2897, 21.2897)*CHOOSE(CONTROL!$C$21, $C$9, 100%, $E$9)</f>
        <v>21.2897</v>
      </c>
      <c r="G467" s="14">
        <f>CHOOSE(CONTROL!$C$42, 21.3072, 21.3072)*CHOOSE(CONTROL!$C$21, $C$9, 100%, $E$9)</f>
        <v>21.307200000000002</v>
      </c>
      <c r="H467" s="14">
        <f>CHOOSE(CONTROL!$C$42, 21.3563, 21.3563) * CHOOSE(CONTROL!$C$21, $C$9, 100%, $E$9)</f>
        <v>21.356300000000001</v>
      </c>
      <c r="I467" s="14">
        <f>CHOOSE(CONTROL!$C$42, 21.3477, 21.3477)* CHOOSE(CONTROL!$C$21, $C$9, 100%, $E$9)</f>
        <v>21.3477</v>
      </c>
      <c r="J467" s="14">
        <f>CHOOSE(CONTROL!$C$42, 21.2827, 21.2827)* CHOOSE(CONTROL!$C$21, $C$9, 100%, $E$9)</f>
        <v>21.282699999999998</v>
      </c>
      <c r="K467" s="53">
        <f>CHOOSE(CONTROL!$C$42, 21.3438, 21.3438) * CHOOSE(CONTROL!$C$21, $C$9, 100%, $E$9)</f>
        <v>21.343800000000002</v>
      </c>
      <c r="L467" s="14">
        <f>CHOOSE(CONTROL!$C$42, 21.9433, 21.9433) * CHOOSE(CONTROL!$C$21, $C$9, 100%, $E$9)</f>
        <v>21.943300000000001</v>
      </c>
      <c r="M467" s="14">
        <f>CHOOSE(CONTROL!$C$42, 20.8543, 20.8543) * CHOOSE(CONTROL!$C$21, $C$9, 100%, $E$9)</f>
        <v>20.854299999999999</v>
      </c>
      <c r="N467" s="14">
        <f>CHOOSE(CONTROL!$C$42, 20.8715, 20.8715) * CHOOSE(CONTROL!$C$21, $C$9, 100%, $E$9)</f>
        <v>20.871500000000001</v>
      </c>
      <c r="O467" s="14">
        <f>CHOOSE(CONTROL!$C$42, 20.9264, 20.9264) * CHOOSE(CONTROL!$C$21, $C$9, 100%, $E$9)</f>
        <v>20.926400000000001</v>
      </c>
      <c r="P467" s="14">
        <f>CHOOSE(CONTROL!$C$42, 20.9167, 20.9167) * CHOOSE(CONTROL!$C$21, $C$9, 100%, $E$9)</f>
        <v>20.916699999999999</v>
      </c>
      <c r="Q467" s="14">
        <f>CHOOSE(CONTROL!$C$42, 21.5211, 21.5211) * CHOOSE(CONTROL!$C$21, $C$9, 100%, $E$9)</f>
        <v>21.521100000000001</v>
      </c>
      <c r="R467" s="14">
        <f>CHOOSE(CONTROL!$C$42, 22.1619, 22.1619) * CHOOSE(CONTROL!$C$21, $C$9, 100%, $E$9)</f>
        <v>22.161899999999999</v>
      </c>
      <c r="S467" s="14">
        <f>CHOOSE(CONTROL!$C$42, 20.4141, 20.4141) * CHOOSE(CONTROL!$C$21, $C$9, 100%, $E$9)</f>
        <v>20.414100000000001</v>
      </c>
      <c r="T4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67" s="57">
        <f>(1000*CHOOSE(CONTROL!$C$42, 695, 695)*CHOOSE(CONTROL!$C$42, 0.5599, 0.5599)*CHOOSE(CONTROL!$C$42, 30, 30))/1000000</f>
        <v>11.673914999999997</v>
      </c>
      <c r="V467" s="57">
        <f>(1000*CHOOSE(CONTROL!$C$42, 500, 500)*CHOOSE(CONTROL!$C$42, 0.275, 0.275)*CHOOSE(CONTROL!$C$42, 30, 30))/1000000</f>
        <v>4.125</v>
      </c>
      <c r="W467" s="57">
        <f>(1000*CHOOSE(CONTROL!$C$42, 0.1146, 0.1146)*CHOOSE(CONTROL!$C$42, 121.5, 121.5)*CHOOSE(CONTROL!$C$42, 30, 30))/1000000</f>
        <v>0.417717</v>
      </c>
      <c r="X467" s="57">
        <f>(30*0.1790888*100000/1000000)+(30*0.2374*100000/1000000)</f>
        <v>1.2494664</v>
      </c>
      <c r="Y467" s="57"/>
      <c r="Z467" s="14"/>
      <c r="AA467" s="56"/>
      <c r="AB467" s="50">
        <f>(B467*122.58+C467*297.941+D467*89.177+E467*40.302+F467*40+G467*160+H467*0+I467*100+J467*300)/(122.58+297.941+89.177+40.302+0+40+160+100+300)</f>
        <v>21.289553641652169</v>
      </c>
      <c r="AC467" s="45">
        <f>(M467*'RAP TEMPLATE-GAS AVAILABILITY'!O466+N467*'RAP TEMPLATE-GAS AVAILABILITY'!P466+O467*'RAP TEMPLATE-GAS AVAILABILITY'!Q466+P467*'RAP TEMPLATE-GAS AVAILABILITY'!R466)/('RAP TEMPLATE-GAS AVAILABILITY'!O466+'RAP TEMPLATE-GAS AVAILABILITY'!P466+'RAP TEMPLATE-GAS AVAILABILITY'!Q466+'RAP TEMPLATE-GAS AVAILABILITY'!R466)</f>
        <v>20.896946762589927</v>
      </c>
    </row>
    <row r="468" spans="1:29" ht="15.75" x14ac:dyDescent="0.25">
      <c r="A468" s="33">
        <v>55153</v>
      </c>
      <c r="B468" s="14">
        <f>CHOOSE(CONTROL!$C$42, 22.7021, 22.7021) * CHOOSE(CONTROL!$C$21, $C$9, 100%, $E$9)</f>
        <v>22.702100000000002</v>
      </c>
      <c r="C468" s="14">
        <f>CHOOSE(CONTROL!$C$42, 22.7071, 22.7071) * CHOOSE(CONTROL!$C$21, $C$9, 100%, $E$9)</f>
        <v>22.707100000000001</v>
      </c>
      <c r="D468" s="14">
        <f>CHOOSE(CONTROL!$C$42, 22.7814, 22.7814) * CHOOSE(CONTROL!$C$21, $C$9, 100%, $E$9)</f>
        <v>22.781400000000001</v>
      </c>
      <c r="E468" s="14">
        <f>CHOOSE(CONTROL!$C$42, 22.8155, 22.8155) * CHOOSE(CONTROL!$C$21, $C$9, 100%, $E$9)</f>
        <v>22.8155</v>
      </c>
      <c r="F468" s="14">
        <f>CHOOSE(CONTROL!$C$42, 22.7405, 22.7405)*CHOOSE(CONTROL!$C$21, $C$9, 100%, $E$9)</f>
        <v>22.740500000000001</v>
      </c>
      <c r="G468" s="14">
        <f>CHOOSE(CONTROL!$C$42, 22.7586, 22.7586)*CHOOSE(CONTROL!$C$21, $C$9, 100%, $E$9)</f>
        <v>22.758600000000001</v>
      </c>
      <c r="H468" s="14">
        <f>CHOOSE(CONTROL!$C$42, 22.8047, 22.8047) * CHOOSE(CONTROL!$C$21, $C$9, 100%, $E$9)</f>
        <v>22.8047</v>
      </c>
      <c r="I468" s="14">
        <f>CHOOSE(CONTROL!$C$42, 22.8006, 22.8006)* CHOOSE(CONTROL!$C$21, $C$9, 100%, $E$9)</f>
        <v>22.800599999999999</v>
      </c>
      <c r="J468" s="14">
        <f>CHOOSE(CONTROL!$C$42, 22.7335, 22.7335)* CHOOSE(CONTROL!$C$21, $C$9, 100%, $E$9)</f>
        <v>22.733499999999999</v>
      </c>
      <c r="K468" s="53">
        <f>CHOOSE(CONTROL!$C$42, 22.7967, 22.7967) * CHOOSE(CONTROL!$C$21, $C$9, 100%, $E$9)</f>
        <v>22.796700000000001</v>
      </c>
      <c r="L468" s="14">
        <f>CHOOSE(CONTROL!$C$42, 23.3917, 23.3917) * CHOOSE(CONTROL!$C$21, $C$9, 100%, $E$9)</f>
        <v>23.3917</v>
      </c>
      <c r="M468" s="14">
        <f>CHOOSE(CONTROL!$C$42, 22.2754, 22.2754) * CHOOSE(CONTROL!$C$21, $C$9, 100%, $E$9)</f>
        <v>22.275400000000001</v>
      </c>
      <c r="N468" s="14">
        <f>CHOOSE(CONTROL!$C$42, 22.2932, 22.2932) * CHOOSE(CONTROL!$C$21, $C$9, 100%, $E$9)</f>
        <v>22.293199999999999</v>
      </c>
      <c r="O468" s="14">
        <f>CHOOSE(CONTROL!$C$42, 22.3451, 22.3451) * CHOOSE(CONTROL!$C$21, $C$9, 100%, $E$9)</f>
        <v>22.345099999999999</v>
      </c>
      <c r="P468" s="14">
        <f>CHOOSE(CONTROL!$C$42, 22.3398, 22.3398) * CHOOSE(CONTROL!$C$21, $C$9, 100%, $E$9)</f>
        <v>22.3398</v>
      </c>
      <c r="Q468" s="14">
        <f>CHOOSE(CONTROL!$C$42, 22.9398, 22.9398) * CHOOSE(CONTROL!$C$21, $C$9, 100%, $E$9)</f>
        <v>22.939800000000002</v>
      </c>
      <c r="R468" s="14">
        <f>CHOOSE(CONTROL!$C$42, 23.5842, 23.5842) * CHOOSE(CONTROL!$C$21, $C$9, 100%, $E$9)</f>
        <v>23.584199999999999</v>
      </c>
      <c r="S468" s="14">
        <f>CHOOSE(CONTROL!$C$42, 21.8059, 21.8059) * CHOOSE(CONTROL!$C$21, $C$9, 100%, $E$9)</f>
        <v>21.805900000000001</v>
      </c>
      <c r="T4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68" s="57">
        <f>(1000*CHOOSE(CONTROL!$C$42, 695, 695)*CHOOSE(CONTROL!$C$42, 0.5599, 0.5599)*CHOOSE(CONTROL!$C$42, 31, 31))/1000000</f>
        <v>12.063045499999998</v>
      </c>
      <c r="V468" s="57">
        <f>(1000*CHOOSE(CONTROL!$C$42, 500, 500)*CHOOSE(CONTROL!$C$42, 0.275, 0.275)*CHOOSE(CONTROL!$C$42, 31, 31))/1000000</f>
        <v>4.2625000000000002</v>
      </c>
      <c r="W468" s="57">
        <f>(1000*CHOOSE(CONTROL!$C$42, 0.1146, 0.1146)*CHOOSE(CONTROL!$C$42, 121.5, 121.5)*CHOOSE(CONTROL!$C$42, 31, 31))/1000000</f>
        <v>0.43164089999999994</v>
      </c>
      <c r="X468" s="57">
        <f>(31*0.1790888*100000/1000000)+(31*0.2374*100000/1000000)</f>
        <v>1.2911152800000001</v>
      </c>
      <c r="Y468" s="57"/>
      <c r="Z468" s="14"/>
      <c r="AA468" s="56"/>
      <c r="AB468" s="50">
        <f>(B468*122.58+C468*297.941+D468*89.177+E468*40.302+F468*40+G468*160+H468*0+I468*100+J468*300)/(122.58+297.941+89.177+40.302+0+40+160+100+300)</f>
        <v>22.739471902521743</v>
      </c>
      <c r="AC468" s="45">
        <f>(M468*'RAP TEMPLATE-GAS AVAILABILITY'!O467+N468*'RAP TEMPLATE-GAS AVAILABILITY'!P467+O468*'RAP TEMPLATE-GAS AVAILABILITY'!Q467+P468*'RAP TEMPLATE-GAS AVAILABILITY'!R467)/('RAP TEMPLATE-GAS AVAILABILITY'!O467+'RAP TEMPLATE-GAS AVAILABILITY'!P467+'RAP TEMPLATE-GAS AVAILABILITY'!Q467+'RAP TEMPLATE-GAS AVAILABILITY'!R467)</f>
        <v>22.31728129496403</v>
      </c>
    </row>
    <row r="469" spans="1:29" ht="15.75" x14ac:dyDescent="0.25">
      <c r="A469" s="33">
        <v>55184</v>
      </c>
      <c r="B469" s="14">
        <f>CHOOSE(CONTROL!$C$42, 24.5833, 24.5833) * CHOOSE(CONTROL!$C$21, $C$9, 100%, $E$9)</f>
        <v>24.583300000000001</v>
      </c>
      <c r="C469" s="14">
        <f>CHOOSE(CONTROL!$C$42, 24.5884, 24.5884) * CHOOSE(CONTROL!$C$21, $C$9, 100%, $E$9)</f>
        <v>24.5884</v>
      </c>
      <c r="D469" s="14">
        <f>CHOOSE(CONTROL!$C$42, 24.6652, 24.6652) * CHOOSE(CONTROL!$C$21, $C$9, 100%, $E$9)</f>
        <v>24.665199999999999</v>
      </c>
      <c r="E469" s="14">
        <f>CHOOSE(CONTROL!$C$42, 24.6993, 24.6993) * CHOOSE(CONTROL!$C$21, $C$9, 100%, $E$9)</f>
        <v>24.699300000000001</v>
      </c>
      <c r="F469" s="14">
        <f>CHOOSE(CONTROL!$C$42, 24.608, 24.608)*CHOOSE(CONTROL!$C$21, $C$9, 100%, $E$9)</f>
        <v>24.608000000000001</v>
      </c>
      <c r="G469" s="14">
        <f>CHOOSE(CONTROL!$C$42, 24.626, 24.626)*CHOOSE(CONTROL!$C$21, $C$9, 100%, $E$9)</f>
        <v>24.626000000000001</v>
      </c>
      <c r="H469" s="14">
        <f>CHOOSE(CONTROL!$C$42, 24.6885, 24.6885) * CHOOSE(CONTROL!$C$21, $C$9, 100%, $E$9)</f>
        <v>24.688500000000001</v>
      </c>
      <c r="I469" s="14">
        <f>CHOOSE(CONTROL!$C$42, 24.694, 24.694)* CHOOSE(CONTROL!$C$21, $C$9, 100%, $E$9)</f>
        <v>24.693999999999999</v>
      </c>
      <c r="J469" s="14">
        <f>CHOOSE(CONTROL!$C$42, 24.601, 24.601)* CHOOSE(CONTROL!$C$21, $C$9, 100%, $E$9)</f>
        <v>24.600999999999999</v>
      </c>
      <c r="K469" s="53">
        <f>CHOOSE(CONTROL!$C$42, 24.6901, 24.6901) * CHOOSE(CONTROL!$C$21, $C$9, 100%, $E$9)</f>
        <v>24.690100000000001</v>
      </c>
      <c r="L469" s="14">
        <f>CHOOSE(CONTROL!$C$42, 25.2755, 25.2755) * CHOOSE(CONTROL!$C$21, $C$9, 100%, $E$9)</f>
        <v>25.275500000000001</v>
      </c>
      <c r="M469" s="14">
        <f>CHOOSE(CONTROL!$C$42, 24.1047, 24.1047) * CHOOSE(CONTROL!$C$21, $C$9, 100%, $E$9)</f>
        <v>24.104700000000001</v>
      </c>
      <c r="N469" s="14">
        <f>CHOOSE(CONTROL!$C$42, 24.1223, 24.1223) * CHOOSE(CONTROL!$C$21, $C$9, 100%, $E$9)</f>
        <v>24.122299999999999</v>
      </c>
      <c r="O469" s="14">
        <f>CHOOSE(CONTROL!$C$42, 24.1903, 24.1903) * CHOOSE(CONTROL!$C$21, $C$9, 100%, $E$9)</f>
        <v>24.190300000000001</v>
      </c>
      <c r="P469" s="14">
        <f>CHOOSE(CONTROL!$C$42, 24.1943, 24.1943) * CHOOSE(CONTROL!$C$21, $C$9, 100%, $E$9)</f>
        <v>24.194299999999998</v>
      </c>
      <c r="Q469" s="14">
        <f>CHOOSE(CONTROL!$C$42, 24.785, 24.785) * CHOOSE(CONTROL!$C$21, $C$9, 100%, $E$9)</f>
        <v>24.785</v>
      </c>
      <c r="R469" s="14">
        <f>CHOOSE(CONTROL!$C$42, 25.434, 25.434) * CHOOSE(CONTROL!$C$21, $C$9, 100%, $E$9)</f>
        <v>25.434000000000001</v>
      </c>
      <c r="S469" s="14">
        <f>CHOOSE(CONTROL!$C$42, 23.6136, 23.6136) * CHOOSE(CONTROL!$C$21, $C$9, 100%, $E$9)</f>
        <v>23.613600000000002</v>
      </c>
      <c r="T46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69" s="57">
        <f>(1000*CHOOSE(CONTROL!$C$42, 695, 695)*CHOOSE(CONTROL!$C$42, 0.5599, 0.5599)*CHOOSE(CONTROL!$C$42, 31, 31))/1000000</f>
        <v>12.063045499999998</v>
      </c>
      <c r="V469" s="57">
        <f>(1000*CHOOSE(CONTROL!$C$42, 500, 500)*CHOOSE(CONTROL!$C$42, 0.275, 0.275)*CHOOSE(CONTROL!$C$42, 31, 31))/1000000</f>
        <v>4.2625000000000002</v>
      </c>
      <c r="W469" s="57">
        <f>(1000*CHOOSE(CONTROL!$C$42, 0.1146, 0.1146)*CHOOSE(CONTROL!$C$42, 121.5, 121.5)*CHOOSE(CONTROL!$C$42, 31, 31))/1000000</f>
        <v>0.43164089999999994</v>
      </c>
      <c r="X469" s="57">
        <f>(31*0.1790888*100000/1000000)+(31*0.2374*100000/1000000)</f>
        <v>1.2911152800000001</v>
      </c>
      <c r="Y469" s="57"/>
      <c r="Z469" s="14"/>
      <c r="AA469" s="56"/>
      <c r="AB469" s="50">
        <f>(B469*122.58+C469*297.941+D469*89.177+E469*40.302+F469*40+G469*160+H469*0+I469*100+J469*300)/(122.58+297.941+89.177+40.302+0+40+160+100+300)</f>
        <v>24.616080980347828</v>
      </c>
      <c r="AC469" s="45">
        <f>(M469*'RAP TEMPLATE-GAS AVAILABILITY'!O468+N469*'RAP TEMPLATE-GAS AVAILABILITY'!P468+O469*'RAP TEMPLATE-GAS AVAILABILITY'!Q468+P469*'RAP TEMPLATE-GAS AVAILABILITY'!R468)/('RAP TEMPLATE-GAS AVAILABILITY'!O468+'RAP TEMPLATE-GAS AVAILABILITY'!P468+'RAP TEMPLATE-GAS AVAILABILITY'!Q468+'RAP TEMPLATE-GAS AVAILABILITY'!R468)</f>
        <v>24.157402158273385</v>
      </c>
    </row>
    <row r="470" spans="1:29" ht="15.75" x14ac:dyDescent="0.25">
      <c r="A470" s="33">
        <v>55212</v>
      </c>
      <c r="B470" s="14">
        <f>CHOOSE(CONTROL!$C$42, 25.0208, 25.0208) * CHOOSE(CONTROL!$C$21, $C$9, 100%, $E$9)</f>
        <v>25.020800000000001</v>
      </c>
      <c r="C470" s="14">
        <f>CHOOSE(CONTROL!$C$42, 25.0258, 25.0258) * CHOOSE(CONTROL!$C$21, $C$9, 100%, $E$9)</f>
        <v>25.0258</v>
      </c>
      <c r="D470" s="14">
        <f>CHOOSE(CONTROL!$C$42, 25.1026, 25.1026) * CHOOSE(CONTROL!$C$21, $C$9, 100%, $E$9)</f>
        <v>25.102599999999999</v>
      </c>
      <c r="E470" s="14">
        <f>CHOOSE(CONTROL!$C$42, 25.1367, 25.1367) * CHOOSE(CONTROL!$C$21, $C$9, 100%, $E$9)</f>
        <v>25.136700000000001</v>
      </c>
      <c r="F470" s="14">
        <f>CHOOSE(CONTROL!$C$42, 25.0451, 25.0451)*CHOOSE(CONTROL!$C$21, $C$9, 100%, $E$9)</f>
        <v>25.045100000000001</v>
      </c>
      <c r="G470" s="14">
        <f>CHOOSE(CONTROL!$C$42, 25.063, 25.063)*CHOOSE(CONTROL!$C$21, $C$9, 100%, $E$9)</f>
        <v>25.062999999999999</v>
      </c>
      <c r="H470" s="14">
        <f>CHOOSE(CONTROL!$C$42, 25.1259, 25.1259) * CHOOSE(CONTROL!$C$21, $C$9, 100%, $E$9)</f>
        <v>25.125900000000001</v>
      </c>
      <c r="I470" s="14">
        <f>CHOOSE(CONTROL!$C$42, 25.1328, 25.1328)* CHOOSE(CONTROL!$C$21, $C$9, 100%, $E$9)</f>
        <v>25.1328</v>
      </c>
      <c r="J470" s="14">
        <f>CHOOSE(CONTROL!$C$42, 25.0381, 25.0381)* CHOOSE(CONTROL!$C$21, $C$9, 100%, $E$9)</f>
        <v>25.0381</v>
      </c>
      <c r="K470" s="53">
        <f>CHOOSE(CONTROL!$C$42, 25.1289, 25.1289) * CHOOSE(CONTROL!$C$21, $C$9, 100%, $E$9)</f>
        <v>25.128900000000002</v>
      </c>
      <c r="L470" s="14">
        <f>CHOOSE(CONTROL!$C$42, 25.7129, 25.7129) * CHOOSE(CONTROL!$C$21, $C$9, 100%, $E$9)</f>
        <v>25.712900000000001</v>
      </c>
      <c r="M470" s="14">
        <f>CHOOSE(CONTROL!$C$42, 24.5328, 24.5328) * CHOOSE(CONTROL!$C$21, $C$9, 100%, $E$9)</f>
        <v>24.532800000000002</v>
      </c>
      <c r="N470" s="14">
        <f>CHOOSE(CONTROL!$C$42, 24.5503, 24.5503) * CHOOSE(CONTROL!$C$21, $C$9, 100%, $E$9)</f>
        <v>24.5503</v>
      </c>
      <c r="O470" s="14">
        <f>CHOOSE(CONTROL!$C$42, 24.6188, 24.6188) * CHOOSE(CONTROL!$C$21, $C$9, 100%, $E$9)</f>
        <v>24.6188</v>
      </c>
      <c r="P470" s="14">
        <f>CHOOSE(CONTROL!$C$42, 24.6241, 24.6241) * CHOOSE(CONTROL!$C$21, $C$9, 100%, $E$9)</f>
        <v>24.624099999999999</v>
      </c>
      <c r="Q470" s="14">
        <f>CHOOSE(CONTROL!$C$42, 25.2135, 25.2135) * CHOOSE(CONTROL!$C$21, $C$9, 100%, $E$9)</f>
        <v>25.2135</v>
      </c>
      <c r="R470" s="14">
        <f>CHOOSE(CONTROL!$C$42, 25.8636, 25.8636) * CHOOSE(CONTROL!$C$21, $C$9, 100%, $E$9)</f>
        <v>25.863600000000002</v>
      </c>
      <c r="S470" s="14">
        <f>CHOOSE(CONTROL!$C$42, 24.0339, 24.0339) * CHOOSE(CONTROL!$C$21, $C$9, 100%, $E$9)</f>
        <v>24.033899999999999</v>
      </c>
      <c r="T47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70" s="57">
        <f>(1000*CHOOSE(CONTROL!$C$42, 695, 695)*CHOOSE(CONTROL!$C$42, 0.5599, 0.5599)*CHOOSE(CONTROL!$C$42, 28, 28))/1000000</f>
        <v>10.895653999999999</v>
      </c>
      <c r="V470" s="57">
        <f>(1000*CHOOSE(CONTROL!$C$42, 500, 500)*CHOOSE(CONTROL!$C$42, 0.275, 0.275)*CHOOSE(CONTROL!$C$42, 28, 28))/1000000</f>
        <v>3.85</v>
      </c>
      <c r="W470" s="57">
        <f>(1000*CHOOSE(CONTROL!$C$42, 0.1146, 0.1146)*CHOOSE(CONTROL!$C$42, 121.5, 121.5)*CHOOSE(CONTROL!$C$42, 28, 28))/1000000</f>
        <v>0.38986920000000003</v>
      </c>
      <c r="X470" s="57">
        <f>(28*0.1790888*100000/1000000)+(28*0.2374*100000/1000000)</f>
        <v>1.16616864</v>
      </c>
      <c r="Y470" s="57"/>
      <c r="Z470" s="14"/>
      <c r="AA470" s="56"/>
      <c r="AB470" s="50">
        <f>(B470*122.58+C470*297.941+D470*89.177+E470*40.302+F470*40+G470*160+H470*0+I470*100+J470*300)/(122.58+297.941+89.177+40.302+0+40+160+100+300)</f>
        <v>25.053469030782605</v>
      </c>
      <c r="AC470" s="45">
        <f>(M470*'RAP TEMPLATE-GAS AVAILABILITY'!O469+N470*'RAP TEMPLATE-GAS AVAILABILITY'!P469+O470*'RAP TEMPLATE-GAS AVAILABILITY'!Q469+P470*'RAP TEMPLATE-GAS AVAILABILITY'!R469)/('RAP TEMPLATE-GAS AVAILABILITY'!O469+'RAP TEMPLATE-GAS AVAILABILITY'!P469+'RAP TEMPLATE-GAS AVAILABILITY'!Q469+'RAP TEMPLATE-GAS AVAILABILITY'!R469)</f>
        <v>24.585922302158274</v>
      </c>
    </row>
    <row r="471" spans="1:29" ht="15.75" x14ac:dyDescent="0.25">
      <c r="A471" s="33">
        <v>55243</v>
      </c>
      <c r="B471" s="14">
        <f>CHOOSE(CONTROL!$C$42, 24.3107, 24.3107) * CHOOSE(CONTROL!$C$21, $C$9, 100%, $E$9)</f>
        <v>24.310700000000001</v>
      </c>
      <c r="C471" s="14">
        <f>CHOOSE(CONTROL!$C$42, 24.3157, 24.3157) * CHOOSE(CONTROL!$C$21, $C$9, 100%, $E$9)</f>
        <v>24.3157</v>
      </c>
      <c r="D471" s="14">
        <f>CHOOSE(CONTROL!$C$42, 24.3926, 24.3926) * CHOOSE(CONTROL!$C$21, $C$9, 100%, $E$9)</f>
        <v>24.392600000000002</v>
      </c>
      <c r="E471" s="14">
        <f>CHOOSE(CONTROL!$C$42, 24.4267, 24.4267) * CHOOSE(CONTROL!$C$21, $C$9, 100%, $E$9)</f>
        <v>24.4267</v>
      </c>
      <c r="F471" s="14">
        <f>CHOOSE(CONTROL!$C$42, 24.3341, 24.3341)*CHOOSE(CONTROL!$C$21, $C$9, 100%, $E$9)</f>
        <v>24.334099999999999</v>
      </c>
      <c r="G471" s="14">
        <f>CHOOSE(CONTROL!$C$42, 24.3518, 24.3518)*CHOOSE(CONTROL!$C$21, $C$9, 100%, $E$9)</f>
        <v>24.351800000000001</v>
      </c>
      <c r="H471" s="14">
        <f>CHOOSE(CONTROL!$C$42, 24.4159, 24.4159) * CHOOSE(CONTROL!$C$21, $C$9, 100%, $E$9)</f>
        <v>24.415900000000001</v>
      </c>
      <c r="I471" s="14">
        <f>CHOOSE(CONTROL!$C$42, 24.4205, 24.4205)* CHOOSE(CONTROL!$C$21, $C$9, 100%, $E$9)</f>
        <v>24.420500000000001</v>
      </c>
      <c r="J471" s="14">
        <f>CHOOSE(CONTROL!$C$42, 24.3271, 24.3271)* CHOOSE(CONTROL!$C$21, $C$9, 100%, $E$9)</f>
        <v>24.327100000000002</v>
      </c>
      <c r="K471" s="53">
        <f>CHOOSE(CONTROL!$C$42, 24.4166, 24.4166) * CHOOSE(CONTROL!$C$21, $C$9, 100%, $E$9)</f>
        <v>24.416599999999999</v>
      </c>
      <c r="L471" s="14">
        <f>CHOOSE(CONTROL!$C$42, 25.0029, 25.0029) * CHOOSE(CONTROL!$C$21, $C$9, 100%, $E$9)</f>
        <v>25.0029</v>
      </c>
      <c r="M471" s="14">
        <f>CHOOSE(CONTROL!$C$42, 23.8364, 23.8364) * CHOOSE(CONTROL!$C$21, $C$9, 100%, $E$9)</f>
        <v>23.836400000000001</v>
      </c>
      <c r="N471" s="14">
        <f>CHOOSE(CONTROL!$C$42, 23.8537, 23.8537) * CHOOSE(CONTROL!$C$21, $C$9, 100%, $E$9)</f>
        <v>23.8537</v>
      </c>
      <c r="O471" s="14">
        <f>CHOOSE(CONTROL!$C$42, 23.9233, 23.9233) * CHOOSE(CONTROL!$C$21, $C$9, 100%, $E$9)</f>
        <v>23.923300000000001</v>
      </c>
      <c r="P471" s="14">
        <f>CHOOSE(CONTROL!$C$42, 23.9264, 23.9264) * CHOOSE(CONTROL!$C$21, $C$9, 100%, $E$9)</f>
        <v>23.926400000000001</v>
      </c>
      <c r="Q471" s="14">
        <f>CHOOSE(CONTROL!$C$42, 24.518, 24.518) * CHOOSE(CONTROL!$C$21, $C$9, 100%, $E$9)</f>
        <v>24.518000000000001</v>
      </c>
      <c r="R471" s="14">
        <f>CHOOSE(CONTROL!$C$42, 25.1663, 25.1663) * CHOOSE(CONTROL!$C$21, $C$9, 100%, $E$9)</f>
        <v>25.1663</v>
      </c>
      <c r="S471" s="14">
        <f>CHOOSE(CONTROL!$C$42, 23.3516, 23.3516) * CHOOSE(CONTROL!$C$21, $C$9, 100%, $E$9)</f>
        <v>23.351600000000001</v>
      </c>
      <c r="T47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71" s="57">
        <f>(1000*CHOOSE(CONTROL!$C$42, 695, 695)*CHOOSE(CONTROL!$C$42, 0.5599, 0.5599)*CHOOSE(CONTROL!$C$42, 31, 31))/1000000</f>
        <v>12.063045499999998</v>
      </c>
      <c r="V471" s="57">
        <f>(1000*CHOOSE(CONTROL!$C$42, 500, 500)*CHOOSE(CONTROL!$C$42, 0.275, 0.275)*CHOOSE(CONTROL!$C$42, 31, 31))/1000000</f>
        <v>4.2625000000000002</v>
      </c>
      <c r="W471" s="57">
        <f>(1000*CHOOSE(CONTROL!$C$42, 0.1146, 0.1146)*CHOOSE(CONTROL!$C$42, 121.5, 121.5)*CHOOSE(CONTROL!$C$42, 31, 31))/1000000</f>
        <v>0.43164089999999994</v>
      </c>
      <c r="X471" s="57">
        <f>(31*0.1790888*100000/1000000)+(31*0.2374*100000/1000000)</f>
        <v>1.2911152800000001</v>
      </c>
      <c r="Y471" s="57"/>
      <c r="Z471" s="14"/>
      <c r="AA471" s="56"/>
      <c r="AB471" s="50">
        <f>(B471*122.58+C471*297.941+D471*89.177+E471*40.302+F471*40+G471*160+H471*0+I471*100+J471*300)/(122.58+297.941+89.177+40.302+0+40+160+100+300)</f>
        <v>24.342769855043478</v>
      </c>
      <c r="AC471" s="45">
        <f>(M471*'RAP TEMPLATE-GAS AVAILABILITY'!O470+N471*'RAP TEMPLATE-GAS AVAILABILITY'!P470+O471*'RAP TEMPLATE-GAS AVAILABILITY'!Q470+P471*'RAP TEMPLATE-GAS AVAILABILITY'!R470)/('RAP TEMPLATE-GAS AVAILABILITY'!O470+'RAP TEMPLATE-GAS AVAILABILITY'!P470+'RAP TEMPLATE-GAS AVAILABILITY'!Q470+'RAP TEMPLATE-GAS AVAILABILITY'!R470)</f>
        <v>23.889731654676257</v>
      </c>
    </row>
    <row r="472" spans="1:29" ht="15.75" x14ac:dyDescent="0.25">
      <c r="A472" s="33">
        <v>55273</v>
      </c>
      <c r="B472" s="14">
        <f>CHOOSE(CONTROL!$C$42, 24.2389, 24.2389) * CHOOSE(CONTROL!$C$21, $C$9, 100%, $E$9)</f>
        <v>24.238900000000001</v>
      </c>
      <c r="C472" s="14">
        <f>CHOOSE(CONTROL!$C$42, 24.2434, 24.2434) * CHOOSE(CONTROL!$C$21, $C$9, 100%, $E$9)</f>
        <v>24.243400000000001</v>
      </c>
      <c r="D472" s="14">
        <f>CHOOSE(CONTROL!$C$42, 24.4671, 24.4671) * CHOOSE(CONTROL!$C$21, $C$9, 100%, $E$9)</f>
        <v>24.467099999999999</v>
      </c>
      <c r="E472" s="14">
        <f>CHOOSE(CONTROL!$C$42, 24.4992, 24.4992) * CHOOSE(CONTROL!$C$21, $C$9, 100%, $E$9)</f>
        <v>24.499199999999998</v>
      </c>
      <c r="F472" s="14">
        <f>CHOOSE(CONTROL!$C$42, 24.2666, 24.2666)*CHOOSE(CONTROL!$C$21, $C$9, 100%, $E$9)</f>
        <v>24.2666</v>
      </c>
      <c r="G472" s="14">
        <f>CHOOSE(CONTROL!$C$42, 24.2835, 24.2835)*CHOOSE(CONTROL!$C$21, $C$9, 100%, $E$9)</f>
        <v>24.2835</v>
      </c>
      <c r="H472" s="14">
        <f>CHOOSE(CONTROL!$C$42, 24.489, 24.489) * CHOOSE(CONTROL!$C$21, $C$9, 100%, $E$9)</f>
        <v>24.489000000000001</v>
      </c>
      <c r="I472" s="14">
        <f>CHOOSE(CONTROL!$C$42, 24.3441, 24.3441)* CHOOSE(CONTROL!$C$21, $C$9, 100%, $E$9)</f>
        <v>24.344100000000001</v>
      </c>
      <c r="J472" s="14">
        <f>CHOOSE(CONTROL!$C$42, 24.2596, 24.2596)* CHOOSE(CONTROL!$C$21, $C$9, 100%, $E$9)</f>
        <v>24.259599999999999</v>
      </c>
      <c r="K472" s="53">
        <f>CHOOSE(CONTROL!$C$42, 24.3402, 24.3402) * CHOOSE(CONTROL!$C$21, $C$9, 100%, $E$9)</f>
        <v>24.340199999999999</v>
      </c>
      <c r="L472" s="14">
        <f>CHOOSE(CONTROL!$C$42, 25.076, 25.076) * CHOOSE(CONTROL!$C$21, $C$9, 100%, $E$9)</f>
        <v>25.076000000000001</v>
      </c>
      <c r="M472" s="14">
        <f>CHOOSE(CONTROL!$C$42, 23.7702, 23.7702) * CHOOSE(CONTROL!$C$21, $C$9, 100%, $E$9)</f>
        <v>23.770199999999999</v>
      </c>
      <c r="N472" s="14">
        <f>CHOOSE(CONTROL!$C$42, 23.7868, 23.7868) * CHOOSE(CONTROL!$C$21, $C$9, 100%, $E$9)</f>
        <v>23.786799999999999</v>
      </c>
      <c r="O472" s="14">
        <f>CHOOSE(CONTROL!$C$42, 23.9949, 23.9949) * CHOOSE(CONTROL!$C$21, $C$9, 100%, $E$9)</f>
        <v>23.994900000000001</v>
      </c>
      <c r="P472" s="14">
        <f>CHOOSE(CONTROL!$C$42, 23.8516, 23.8516) * CHOOSE(CONTROL!$C$21, $C$9, 100%, $E$9)</f>
        <v>23.851600000000001</v>
      </c>
      <c r="Q472" s="14">
        <f>CHOOSE(CONTROL!$C$42, 24.5896, 24.5896) * CHOOSE(CONTROL!$C$21, $C$9, 100%, $E$9)</f>
        <v>24.589600000000001</v>
      </c>
      <c r="R472" s="14">
        <f>CHOOSE(CONTROL!$C$42, 25.2381, 25.2381) * CHOOSE(CONTROL!$C$21, $C$9, 100%, $E$9)</f>
        <v>25.238099999999999</v>
      </c>
      <c r="S472" s="14">
        <f>CHOOSE(CONTROL!$C$42, 23.2819, 23.2819) * CHOOSE(CONTROL!$C$21, $C$9, 100%, $E$9)</f>
        <v>23.2819</v>
      </c>
      <c r="T47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72" s="57">
        <f>(1000*CHOOSE(CONTROL!$C$42, 695, 695)*CHOOSE(CONTROL!$C$42, 0.5599, 0.5599)*CHOOSE(CONTROL!$C$42, 30, 30))/1000000</f>
        <v>11.673914999999997</v>
      </c>
      <c r="V472" s="57">
        <f>(1000*CHOOSE(CONTROL!$C$42, 500, 500)*CHOOSE(CONTROL!$C$42, 0.275, 0.275)*CHOOSE(CONTROL!$C$42, 30, 30))/1000000</f>
        <v>4.125</v>
      </c>
      <c r="W472" s="57">
        <f>(1000*CHOOSE(CONTROL!$C$42, 0.1146, 0.1146)*CHOOSE(CONTROL!$C$42, 121.5, 121.5)*CHOOSE(CONTROL!$C$42, 30, 30))/1000000</f>
        <v>0.417717</v>
      </c>
      <c r="X472" s="57">
        <f>(30*0.1790888*245000/1000000)+(30*0.2374*100000/1000000)</f>
        <v>2.0285026799999999</v>
      </c>
      <c r="Y472" s="57"/>
      <c r="Z472" s="14"/>
      <c r="AA472" s="56"/>
      <c r="AB472" s="50">
        <f>(B472*141.293+C472*267.993+D472*115.016+E472*89.698+F472*40+G472*185+H472*0+I472*100+J472*300)/(141.293+267.993+115.016+89.698+0+40+185+100+300)</f>
        <v>24.300958118724779</v>
      </c>
      <c r="AC472" s="45">
        <f>(M472*'RAP TEMPLATE-GAS AVAILABILITY'!O471+N472*'RAP TEMPLATE-GAS AVAILABILITY'!P471+O472*'RAP TEMPLATE-GAS AVAILABILITY'!Q471+P472*'RAP TEMPLATE-GAS AVAILABILITY'!R471)/('RAP TEMPLATE-GAS AVAILABILITY'!O471+'RAP TEMPLATE-GAS AVAILABILITY'!P471+'RAP TEMPLATE-GAS AVAILABILITY'!Q471+'RAP TEMPLATE-GAS AVAILABILITY'!R471)</f>
        <v>23.848779136690649</v>
      </c>
    </row>
    <row r="473" spans="1:29" ht="15.75" x14ac:dyDescent="0.25">
      <c r="A473" s="33">
        <v>55304</v>
      </c>
      <c r="B473" s="14">
        <f>CHOOSE(CONTROL!$C$42, 24.4542, 24.4542) * CHOOSE(CONTROL!$C$21, $C$9, 100%, $E$9)</f>
        <v>24.4542</v>
      </c>
      <c r="C473" s="14">
        <f>CHOOSE(CONTROL!$C$42, 24.4622, 24.4622) * CHOOSE(CONTROL!$C$21, $C$9, 100%, $E$9)</f>
        <v>24.462199999999999</v>
      </c>
      <c r="D473" s="14">
        <f>CHOOSE(CONTROL!$C$42, 24.6828, 24.6828) * CHOOSE(CONTROL!$C$21, $C$9, 100%, $E$9)</f>
        <v>24.6828</v>
      </c>
      <c r="E473" s="14">
        <f>CHOOSE(CONTROL!$C$42, 24.7142, 24.7142) * CHOOSE(CONTROL!$C$21, $C$9, 100%, $E$9)</f>
        <v>24.714200000000002</v>
      </c>
      <c r="F473" s="14">
        <f>CHOOSE(CONTROL!$C$42, 24.4804, 24.4804)*CHOOSE(CONTROL!$C$21, $C$9, 100%, $E$9)</f>
        <v>24.480399999999999</v>
      </c>
      <c r="G473" s="14">
        <f>CHOOSE(CONTROL!$C$42, 24.4975, 24.4975)*CHOOSE(CONTROL!$C$21, $C$9, 100%, $E$9)</f>
        <v>24.497499999999999</v>
      </c>
      <c r="H473" s="14">
        <f>CHOOSE(CONTROL!$C$42, 24.7029, 24.7029) * CHOOSE(CONTROL!$C$21, $C$9, 100%, $E$9)</f>
        <v>24.7029</v>
      </c>
      <c r="I473" s="14">
        <f>CHOOSE(CONTROL!$C$42, 24.5586, 24.5586)* CHOOSE(CONTROL!$C$21, $C$9, 100%, $E$9)</f>
        <v>24.558599999999998</v>
      </c>
      <c r="J473" s="14">
        <f>CHOOSE(CONTROL!$C$42, 24.4734, 24.4734)* CHOOSE(CONTROL!$C$21, $C$9, 100%, $E$9)</f>
        <v>24.473400000000002</v>
      </c>
      <c r="K473" s="53">
        <f>CHOOSE(CONTROL!$C$42, 24.5547, 24.5547) * CHOOSE(CONTROL!$C$21, $C$9, 100%, $E$9)</f>
        <v>24.5547</v>
      </c>
      <c r="L473" s="14">
        <f>CHOOSE(CONTROL!$C$42, 25.2899, 25.2899) * CHOOSE(CONTROL!$C$21, $C$9, 100%, $E$9)</f>
        <v>25.289899999999999</v>
      </c>
      <c r="M473" s="14">
        <f>CHOOSE(CONTROL!$C$42, 23.9797, 23.9797) * CHOOSE(CONTROL!$C$21, $C$9, 100%, $E$9)</f>
        <v>23.979700000000001</v>
      </c>
      <c r="N473" s="14">
        <f>CHOOSE(CONTROL!$C$42, 23.9964, 23.9964) * CHOOSE(CONTROL!$C$21, $C$9, 100%, $E$9)</f>
        <v>23.996400000000001</v>
      </c>
      <c r="O473" s="14">
        <f>CHOOSE(CONTROL!$C$42, 24.2044, 24.2044) * CHOOSE(CONTROL!$C$21, $C$9, 100%, $E$9)</f>
        <v>24.2044</v>
      </c>
      <c r="P473" s="14">
        <f>CHOOSE(CONTROL!$C$42, 24.0617, 24.0617) * CHOOSE(CONTROL!$C$21, $C$9, 100%, $E$9)</f>
        <v>24.061699999999998</v>
      </c>
      <c r="Q473" s="14">
        <f>CHOOSE(CONTROL!$C$42, 24.7991, 24.7991) * CHOOSE(CONTROL!$C$21, $C$9, 100%, $E$9)</f>
        <v>24.799099999999999</v>
      </c>
      <c r="R473" s="14">
        <f>CHOOSE(CONTROL!$C$42, 25.4481, 25.4481) * CHOOSE(CONTROL!$C$21, $C$9, 100%, $E$9)</f>
        <v>25.4481</v>
      </c>
      <c r="S473" s="14">
        <f>CHOOSE(CONTROL!$C$42, 23.4874, 23.4874) * CHOOSE(CONTROL!$C$21, $C$9, 100%, $E$9)</f>
        <v>23.487400000000001</v>
      </c>
      <c r="T47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73" s="57">
        <f>(1000*CHOOSE(CONTROL!$C$42, 695, 695)*CHOOSE(CONTROL!$C$42, 0.5599, 0.5599)*CHOOSE(CONTROL!$C$42, 31, 31))/1000000</f>
        <v>12.063045499999998</v>
      </c>
      <c r="V473" s="57">
        <f>(1000*CHOOSE(CONTROL!$C$42, 500, 500)*CHOOSE(CONTROL!$C$42, 0.275, 0.275)*CHOOSE(CONTROL!$C$42, 31, 31))/1000000</f>
        <v>4.2625000000000002</v>
      </c>
      <c r="W473" s="57">
        <f>(1000*CHOOSE(CONTROL!$C$42, 0.1146, 0.1146)*CHOOSE(CONTROL!$C$42, 121.5, 121.5)*CHOOSE(CONTROL!$C$42, 31, 31))/1000000</f>
        <v>0.43164089999999994</v>
      </c>
      <c r="X473" s="57">
        <f>(31*0.1790888*245000/1000000)+(31*0.2374*100000/1000000)</f>
        <v>2.0961194359999999</v>
      </c>
      <c r="Y473" s="57"/>
      <c r="Z473" s="14"/>
      <c r="AA473" s="56"/>
      <c r="AB473" s="50">
        <f>(B473*194.205+C473*267.466+D473*133.845+E473*53.484+F473*40+G473*185+H473*0+I473*100+J473*300)/(194.205+267.466+133.845+53.484+0+40+185+100+300)</f>
        <v>24.510637233124019</v>
      </c>
      <c r="AC473" s="45">
        <f>(M473*'RAP TEMPLATE-GAS AVAILABILITY'!O472+N473*'RAP TEMPLATE-GAS AVAILABILITY'!P472+O473*'RAP TEMPLATE-GAS AVAILABILITY'!Q472+P473*'RAP TEMPLATE-GAS AVAILABILITY'!R472)/('RAP TEMPLATE-GAS AVAILABILITY'!O472+'RAP TEMPLATE-GAS AVAILABILITY'!P472+'RAP TEMPLATE-GAS AVAILABILITY'!Q472+'RAP TEMPLATE-GAS AVAILABILITY'!R472)</f>
        <v>24.058388489208632</v>
      </c>
    </row>
    <row r="474" spans="1:29" ht="15.75" x14ac:dyDescent="0.25">
      <c r="A474" s="33">
        <v>55334</v>
      </c>
      <c r="B474" s="14">
        <f>CHOOSE(CONTROL!$C$42, 25.1475, 25.1475) * CHOOSE(CONTROL!$C$21, $C$9, 100%, $E$9)</f>
        <v>25.147500000000001</v>
      </c>
      <c r="C474" s="14">
        <f>CHOOSE(CONTROL!$C$42, 25.1555, 25.1555) * CHOOSE(CONTROL!$C$21, $C$9, 100%, $E$9)</f>
        <v>25.1555</v>
      </c>
      <c r="D474" s="14">
        <f>CHOOSE(CONTROL!$C$42, 25.3761, 25.3761) * CHOOSE(CONTROL!$C$21, $C$9, 100%, $E$9)</f>
        <v>25.376100000000001</v>
      </c>
      <c r="E474" s="14">
        <f>CHOOSE(CONTROL!$C$42, 25.4076, 25.4076) * CHOOSE(CONTROL!$C$21, $C$9, 100%, $E$9)</f>
        <v>25.407599999999999</v>
      </c>
      <c r="F474" s="14">
        <f>CHOOSE(CONTROL!$C$42, 25.1741, 25.1741)*CHOOSE(CONTROL!$C$21, $C$9, 100%, $E$9)</f>
        <v>25.174099999999999</v>
      </c>
      <c r="G474" s="14">
        <f>CHOOSE(CONTROL!$C$42, 25.1913, 25.1913)*CHOOSE(CONTROL!$C$21, $C$9, 100%, $E$9)</f>
        <v>25.191299999999998</v>
      </c>
      <c r="H474" s="14">
        <f>CHOOSE(CONTROL!$C$42, 25.3962, 25.3962) * CHOOSE(CONTROL!$C$21, $C$9, 100%, $E$9)</f>
        <v>25.3962</v>
      </c>
      <c r="I474" s="14">
        <f>CHOOSE(CONTROL!$C$42, 25.2541, 25.2541)* CHOOSE(CONTROL!$C$21, $C$9, 100%, $E$9)</f>
        <v>25.254100000000001</v>
      </c>
      <c r="J474" s="14">
        <f>CHOOSE(CONTROL!$C$42, 25.1671, 25.1671)* CHOOSE(CONTROL!$C$21, $C$9, 100%, $E$9)</f>
        <v>25.167100000000001</v>
      </c>
      <c r="K474" s="53">
        <f>CHOOSE(CONTROL!$C$42, 25.2502, 25.2502) * CHOOSE(CONTROL!$C$21, $C$9, 100%, $E$9)</f>
        <v>25.2502</v>
      </c>
      <c r="L474" s="14">
        <f>CHOOSE(CONTROL!$C$42, 25.9832, 25.9832) * CHOOSE(CONTROL!$C$21, $C$9, 100%, $E$9)</f>
        <v>25.9832</v>
      </c>
      <c r="M474" s="14">
        <f>CHOOSE(CONTROL!$C$42, 24.6591, 24.6591) * CHOOSE(CONTROL!$C$21, $C$9, 100%, $E$9)</f>
        <v>24.659099999999999</v>
      </c>
      <c r="N474" s="14">
        <f>CHOOSE(CONTROL!$C$42, 24.676, 24.676) * CHOOSE(CONTROL!$C$21, $C$9, 100%, $E$9)</f>
        <v>24.675999999999998</v>
      </c>
      <c r="O474" s="14">
        <f>CHOOSE(CONTROL!$C$42, 24.8835, 24.8835) * CHOOSE(CONTROL!$C$21, $C$9, 100%, $E$9)</f>
        <v>24.883500000000002</v>
      </c>
      <c r="P474" s="14">
        <f>CHOOSE(CONTROL!$C$42, 24.7429, 24.7429) * CHOOSE(CONTROL!$C$21, $C$9, 100%, $E$9)</f>
        <v>24.742899999999999</v>
      </c>
      <c r="Q474" s="14">
        <f>CHOOSE(CONTROL!$C$42, 25.4782, 25.4782) * CHOOSE(CONTROL!$C$21, $C$9, 100%, $E$9)</f>
        <v>25.478200000000001</v>
      </c>
      <c r="R474" s="14">
        <f>CHOOSE(CONTROL!$C$42, 26.1289, 26.1289) * CHOOSE(CONTROL!$C$21, $C$9, 100%, $E$9)</f>
        <v>26.128900000000002</v>
      </c>
      <c r="S474" s="14">
        <f>CHOOSE(CONTROL!$C$42, 24.1536, 24.1536) * CHOOSE(CONTROL!$C$21, $C$9, 100%, $E$9)</f>
        <v>24.153600000000001</v>
      </c>
      <c r="T47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74" s="57">
        <f>(1000*CHOOSE(CONTROL!$C$42, 695, 695)*CHOOSE(CONTROL!$C$42, 0.5599, 0.5599)*CHOOSE(CONTROL!$C$42, 30, 30))/1000000</f>
        <v>11.673914999999997</v>
      </c>
      <c r="V474" s="57">
        <f>(1000*CHOOSE(CONTROL!$C$42, 500, 500)*CHOOSE(CONTROL!$C$42, 0.275, 0.275)*CHOOSE(CONTROL!$C$42, 30, 30))/1000000</f>
        <v>4.125</v>
      </c>
      <c r="W474" s="57">
        <f>(1000*CHOOSE(CONTROL!$C$42, 0.1146, 0.1146)*CHOOSE(CONTROL!$C$42, 121.5, 121.5)*CHOOSE(CONTROL!$C$42, 30, 30))/1000000</f>
        <v>0.417717</v>
      </c>
      <c r="X474" s="57">
        <f>(30*0.1790888*245000/1000000)+(30*0.2374*100000/1000000)</f>
        <v>2.0285026799999999</v>
      </c>
      <c r="Y474" s="57"/>
      <c r="Z474" s="14"/>
      <c r="AA474" s="56"/>
      <c r="AB474" s="50">
        <f>(B474*194.205+C474*267.466+D474*133.845+E474*53.484+F474*40+G474*185+H474*0+I474*100+J474*300)/(194.205+267.466+133.845+53.484+0+40+185+100+300)</f>
        <v>25.204293472056516</v>
      </c>
      <c r="AC474" s="45">
        <f>(M474*'RAP TEMPLATE-GAS AVAILABILITY'!O473+N474*'RAP TEMPLATE-GAS AVAILABILITY'!P473+O474*'RAP TEMPLATE-GAS AVAILABILITY'!Q473+P474*'RAP TEMPLATE-GAS AVAILABILITY'!R473)/('RAP TEMPLATE-GAS AVAILABILITY'!O473+'RAP TEMPLATE-GAS AVAILABILITY'!P473+'RAP TEMPLATE-GAS AVAILABILITY'!Q473+'RAP TEMPLATE-GAS AVAILABILITY'!R473)</f>
        <v>24.738009352517984</v>
      </c>
    </row>
    <row r="475" spans="1:29" ht="15.75" x14ac:dyDescent="0.25">
      <c r="A475" s="33">
        <v>55365</v>
      </c>
      <c r="B475" s="14">
        <f>CHOOSE(CONTROL!$C$42, 24.6653, 24.6653) * CHOOSE(CONTROL!$C$21, $C$9, 100%, $E$9)</f>
        <v>24.665299999999998</v>
      </c>
      <c r="C475" s="14">
        <f>CHOOSE(CONTROL!$C$42, 24.6733, 24.6733) * CHOOSE(CONTROL!$C$21, $C$9, 100%, $E$9)</f>
        <v>24.673300000000001</v>
      </c>
      <c r="D475" s="14">
        <f>CHOOSE(CONTROL!$C$42, 24.8939, 24.8939) * CHOOSE(CONTROL!$C$21, $C$9, 100%, $E$9)</f>
        <v>24.893899999999999</v>
      </c>
      <c r="E475" s="14">
        <f>CHOOSE(CONTROL!$C$42, 24.9253, 24.9253) * CHOOSE(CONTROL!$C$21, $C$9, 100%, $E$9)</f>
        <v>24.9253</v>
      </c>
      <c r="F475" s="14">
        <f>CHOOSE(CONTROL!$C$42, 24.6923, 24.6923)*CHOOSE(CONTROL!$C$21, $C$9, 100%, $E$9)</f>
        <v>24.692299999999999</v>
      </c>
      <c r="G475" s="14">
        <f>CHOOSE(CONTROL!$C$42, 24.7097, 24.7097)*CHOOSE(CONTROL!$C$21, $C$9, 100%, $E$9)</f>
        <v>24.709700000000002</v>
      </c>
      <c r="H475" s="14">
        <f>CHOOSE(CONTROL!$C$42, 24.914, 24.914) * CHOOSE(CONTROL!$C$21, $C$9, 100%, $E$9)</f>
        <v>24.914000000000001</v>
      </c>
      <c r="I475" s="14">
        <f>CHOOSE(CONTROL!$C$42, 24.7704, 24.7704)* CHOOSE(CONTROL!$C$21, $C$9, 100%, $E$9)</f>
        <v>24.770399999999999</v>
      </c>
      <c r="J475" s="14">
        <f>CHOOSE(CONTROL!$C$42, 24.6853, 24.6853)* CHOOSE(CONTROL!$C$21, $C$9, 100%, $E$9)</f>
        <v>24.685300000000002</v>
      </c>
      <c r="K475" s="53">
        <f>CHOOSE(CONTROL!$C$42, 24.7665, 24.7665) * CHOOSE(CONTROL!$C$21, $C$9, 100%, $E$9)</f>
        <v>24.766500000000001</v>
      </c>
      <c r="L475" s="14">
        <f>CHOOSE(CONTROL!$C$42, 25.501, 25.501) * CHOOSE(CONTROL!$C$21, $C$9, 100%, $E$9)</f>
        <v>25.501000000000001</v>
      </c>
      <c r="M475" s="14">
        <f>CHOOSE(CONTROL!$C$42, 24.1872, 24.1872) * CHOOSE(CONTROL!$C$21, $C$9, 100%, $E$9)</f>
        <v>24.187200000000001</v>
      </c>
      <c r="N475" s="14">
        <f>CHOOSE(CONTROL!$C$42, 24.2042, 24.2042) * CHOOSE(CONTROL!$C$21, $C$9, 100%, $E$9)</f>
        <v>24.2042</v>
      </c>
      <c r="O475" s="14">
        <f>CHOOSE(CONTROL!$C$42, 24.4112, 24.4112) * CHOOSE(CONTROL!$C$21, $C$9, 100%, $E$9)</f>
        <v>24.411200000000001</v>
      </c>
      <c r="P475" s="14">
        <f>CHOOSE(CONTROL!$C$42, 24.2691, 24.2691) * CHOOSE(CONTROL!$C$21, $C$9, 100%, $E$9)</f>
        <v>24.269100000000002</v>
      </c>
      <c r="Q475" s="14">
        <f>CHOOSE(CONTROL!$C$42, 25.0059, 25.0059) * CHOOSE(CONTROL!$C$21, $C$9, 100%, $E$9)</f>
        <v>25.0059</v>
      </c>
      <c r="R475" s="14">
        <f>CHOOSE(CONTROL!$C$42, 25.6554, 25.6554) * CHOOSE(CONTROL!$C$21, $C$9, 100%, $E$9)</f>
        <v>25.6554</v>
      </c>
      <c r="S475" s="14">
        <f>CHOOSE(CONTROL!$C$42, 23.6902, 23.6902) * CHOOSE(CONTROL!$C$21, $C$9, 100%, $E$9)</f>
        <v>23.690200000000001</v>
      </c>
      <c r="T47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75" s="57">
        <f>(1000*CHOOSE(CONTROL!$C$42, 695, 695)*CHOOSE(CONTROL!$C$42, 0.5599, 0.5599)*CHOOSE(CONTROL!$C$42, 31, 31))/1000000</f>
        <v>12.063045499999998</v>
      </c>
      <c r="V475" s="57">
        <f>(1000*CHOOSE(CONTROL!$C$42, 500, 500)*CHOOSE(CONTROL!$C$42, 0.275, 0.275)*CHOOSE(CONTROL!$C$42, 31, 31))/1000000</f>
        <v>4.2625000000000002</v>
      </c>
      <c r="W475" s="57">
        <f>(1000*CHOOSE(CONTROL!$C$42, 0.1146, 0.1146)*CHOOSE(CONTROL!$C$42, 121.5, 121.5)*CHOOSE(CONTROL!$C$42, 31, 31))/1000000</f>
        <v>0.43164089999999994</v>
      </c>
      <c r="X475" s="57">
        <f>(31*0.1790888*245000/1000000)+(31*0.2374*100000/1000000)</f>
        <v>2.0961194359999999</v>
      </c>
      <c r="Y475" s="57"/>
      <c r="Z475" s="14"/>
      <c r="AA475" s="56"/>
      <c r="AB475" s="50">
        <f>(B475*194.205+C475*267.466+D475*133.845+E475*53.484+F475*40+G475*185+H475*0+I475*100+J475*300)/(194.205+267.466+133.845+53.484+0+40+185+100+300)</f>
        <v>24.722165412087914</v>
      </c>
      <c r="AC475" s="45">
        <f>(M475*'RAP TEMPLATE-GAS AVAILABILITY'!O474+N475*'RAP TEMPLATE-GAS AVAILABILITY'!P474+O475*'RAP TEMPLATE-GAS AVAILABILITY'!Q474+P475*'RAP TEMPLATE-GAS AVAILABILITY'!R474)/('RAP TEMPLATE-GAS AVAILABILITY'!O474+'RAP TEMPLATE-GAS AVAILABILITY'!P474+'RAP TEMPLATE-GAS AVAILABILITY'!Q474+'RAP TEMPLATE-GAS AVAILABILITY'!R474)</f>
        <v>24.265746762589927</v>
      </c>
    </row>
    <row r="476" spans="1:29" ht="15.75" x14ac:dyDescent="0.25">
      <c r="A476" s="33">
        <v>55396</v>
      </c>
      <c r="B476" s="14">
        <f>CHOOSE(CONTROL!$C$42, 23.4475, 23.4475) * CHOOSE(CONTROL!$C$21, $C$9, 100%, $E$9)</f>
        <v>23.447500000000002</v>
      </c>
      <c r="C476" s="14">
        <f>CHOOSE(CONTROL!$C$42, 23.4555, 23.4555) * CHOOSE(CONTROL!$C$21, $C$9, 100%, $E$9)</f>
        <v>23.455500000000001</v>
      </c>
      <c r="D476" s="14">
        <f>CHOOSE(CONTROL!$C$42, 23.6761, 23.6761) * CHOOSE(CONTROL!$C$21, $C$9, 100%, $E$9)</f>
        <v>23.676100000000002</v>
      </c>
      <c r="E476" s="14">
        <f>CHOOSE(CONTROL!$C$42, 23.7076, 23.7076) * CHOOSE(CONTROL!$C$21, $C$9, 100%, $E$9)</f>
        <v>23.707599999999999</v>
      </c>
      <c r="F476" s="14">
        <f>CHOOSE(CONTROL!$C$42, 23.4749, 23.4749)*CHOOSE(CONTROL!$C$21, $C$9, 100%, $E$9)</f>
        <v>23.474900000000002</v>
      </c>
      <c r="G476" s="14">
        <f>CHOOSE(CONTROL!$C$42, 23.4923, 23.4923)*CHOOSE(CONTROL!$C$21, $C$9, 100%, $E$9)</f>
        <v>23.4923</v>
      </c>
      <c r="H476" s="14">
        <f>CHOOSE(CONTROL!$C$42, 23.6962, 23.6962) * CHOOSE(CONTROL!$C$21, $C$9, 100%, $E$9)</f>
        <v>23.696200000000001</v>
      </c>
      <c r="I476" s="14">
        <f>CHOOSE(CONTROL!$C$42, 23.5488, 23.5488)* CHOOSE(CONTROL!$C$21, $C$9, 100%, $E$9)</f>
        <v>23.5488</v>
      </c>
      <c r="J476" s="14">
        <f>CHOOSE(CONTROL!$C$42, 23.4679, 23.4679)* CHOOSE(CONTROL!$C$21, $C$9, 100%, $E$9)</f>
        <v>23.4679</v>
      </c>
      <c r="K476" s="53">
        <f>CHOOSE(CONTROL!$C$42, 23.5449, 23.5449) * CHOOSE(CONTROL!$C$21, $C$9, 100%, $E$9)</f>
        <v>23.544899999999998</v>
      </c>
      <c r="L476" s="14">
        <f>CHOOSE(CONTROL!$C$42, 24.2832, 24.2832) * CHOOSE(CONTROL!$C$21, $C$9, 100%, $E$9)</f>
        <v>24.283200000000001</v>
      </c>
      <c r="M476" s="14">
        <f>CHOOSE(CONTROL!$C$42, 22.9947, 22.9947) * CHOOSE(CONTROL!$C$21, $C$9, 100%, $E$9)</f>
        <v>22.994700000000002</v>
      </c>
      <c r="N476" s="14">
        <f>CHOOSE(CONTROL!$C$42, 23.0118, 23.0118) * CHOOSE(CONTROL!$C$21, $C$9, 100%, $E$9)</f>
        <v>23.011800000000001</v>
      </c>
      <c r="O476" s="14">
        <f>CHOOSE(CONTROL!$C$42, 23.2184, 23.2184) * CHOOSE(CONTROL!$C$21, $C$9, 100%, $E$9)</f>
        <v>23.218399999999999</v>
      </c>
      <c r="P476" s="14">
        <f>CHOOSE(CONTROL!$C$42, 23.0726, 23.0726) * CHOOSE(CONTROL!$C$21, $C$9, 100%, $E$9)</f>
        <v>23.072600000000001</v>
      </c>
      <c r="Q476" s="14">
        <f>CHOOSE(CONTROL!$C$42, 23.8131, 23.8131) * CHOOSE(CONTROL!$C$21, $C$9, 100%, $E$9)</f>
        <v>23.813099999999999</v>
      </c>
      <c r="R476" s="14">
        <f>CHOOSE(CONTROL!$C$42, 24.4596, 24.4596) * CHOOSE(CONTROL!$C$21, $C$9, 100%, $E$9)</f>
        <v>24.459599999999998</v>
      </c>
      <c r="S476" s="14">
        <f>CHOOSE(CONTROL!$C$42, 22.5201, 22.5201) * CHOOSE(CONTROL!$C$21, $C$9, 100%, $E$9)</f>
        <v>22.520099999999999</v>
      </c>
      <c r="T47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76" s="57">
        <f>(1000*CHOOSE(CONTROL!$C$42, 695, 695)*CHOOSE(CONTROL!$C$42, 0.5599, 0.5599)*CHOOSE(CONTROL!$C$42, 31, 31))/1000000</f>
        <v>12.063045499999998</v>
      </c>
      <c r="V476" s="57">
        <f>(1000*CHOOSE(CONTROL!$C$42, 500, 500)*CHOOSE(CONTROL!$C$42, 0.275, 0.275)*CHOOSE(CONTROL!$C$42, 31, 31))/1000000</f>
        <v>4.2625000000000002</v>
      </c>
      <c r="W476" s="57">
        <f>(1000*CHOOSE(CONTROL!$C$42, 0.1146, 0.1146)*CHOOSE(CONTROL!$C$42, 121.5, 121.5)*CHOOSE(CONTROL!$C$42, 31, 31))/1000000</f>
        <v>0.43164089999999994</v>
      </c>
      <c r="X476" s="57">
        <f>(31*0.1790888*245000/1000000)+(31*0.2374*100000/1000000)</f>
        <v>2.0961194359999999</v>
      </c>
      <c r="Y476" s="57"/>
      <c r="Z476" s="14"/>
      <c r="AA476" s="56"/>
      <c r="AB476" s="50">
        <f>(B476*194.205+C476*267.466+D476*133.845+E476*53.484+F476*40+G476*185+H476*0+I476*100+J476*300)/(194.205+267.466+133.845+53.484+0+40+185+100+300)</f>
        <v>23.504236172213503</v>
      </c>
      <c r="AC476" s="45">
        <f>(M476*'RAP TEMPLATE-GAS AVAILABILITY'!O475+N476*'RAP TEMPLATE-GAS AVAILABILITY'!P475+O476*'RAP TEMPLATE-GAS AVAILABILITY'!Q475+P476*'RAP TEMPLATE-GAS AVAILABILITY'!R475)/('RAP TEMPLATE-GAS AVAILABILITY'!O475+'RAP TEMPLATE-GAS AVAILABILITY'!P475+'RAP TEMPLATE-GAS AVAILABILITY'!Q475+'RAP TEMPLATE-GAS AVAILABILITY'!R475)</f>
        <v>23.072610071942446</v>
      </c>
    </row>
    <row r="477" spans="1:29" ht="15.75" x14ac:dyDescent="0.25">
      <c r="A477" s="33">
        <v>55426</v>
      </c>
      <c r="B477" s="14">
        <f>CHOOSE(CONTROL!$C$42, 21.9594, 21.9594) * CHOOSE(CONTROL!$C$21, $C$9, 100%, $E$9)</f>
        <v>21.959399999999999</v>
      </c>
      <c r="C477" s="14">
        <f>CHOOSE(CONTROL!$C$42, 21.9674, 21.9674) * CHOOSE(CONTROL!$C$21, $C$9, 100%, $E$9)</f>
        <v>21.967400000000001</v>
      </c>
      <c r="D477" s="14">
        <f>CHOOSE(CONTROL!$C$42, 22.188, 22.188) * CHOOSE(CONTROL!$C$21, $C$9, 100%, $E$9)</f>
        <v>22.187999999999999</v>
      </c>
      <c r="E477" s="14">
        <f>CHOOSE(CONTROL!$C$42, 22.2195, 22.2195) * CHOOSE(CONTROL!$C$21, $C$9, 100%, $E$9)</f>
        <v>22.2195</v>
      </c>
      <c r="F477" s="14">
        <f>CHOOSE(CONTROL!$C$42, 21.9868, 21.9868)*CHOOSE(CONTROL!$C$21, $C$9, 100%, $E$9)</f>
        <v>21.986799999999999</v>
      </c>
      <c r="G477" s="14">
        <f>CHOOSE(CONTROL!$C$42, 22.0042, 22.0042)*CHOOSE(CONTROL!$C$21, $C$9, 100%, $E$9)</f>
        <v>22.004200000000001</v>
      </c>
      <c r="H477" s="14">
        <f>CHOOSE(CONTROL!$C$42, 22.2081, 22.2081) * CHOOSE(CONTROL!$C$21, $C$9, 100%, $E$9)</f>
        <v>22.208100000000002</v>
      </c>
      <c r="I477" s="14">
        <f>CHOOSE(CONTROL!$C$42, 22.0561, 22.0561)* CHOOSE(CONTROL!$C$21, $C$9, 100%, $E$9)</f>
        <v>22.056100000000001</v>
      </c>
      <c r="J477" s="14">
        <f>CHOOSE(CONTROL!$C$42, 21.9798, 21.9798)* CHOOSE(CONTROL!$C$21, $C$9, 100%, $E$9)</f>
        <v>21.979800000000001</v>
      </c>
      <c r="K477" s="53">
        <f>CHOOSE(CONTROL!$C$42, 22.0522, 22.0522) * CHOOSE(CONTROL!$C$21, $C$9, 100%, $E$9)</f>
        <v>22.052199999999999</v>
      </c>
      <c r="L477" s="14">
        <f>CHOOSE(CONTROL!$C$42, 22.7951, 22.7951) * CHOOSE(CONTROL!$C$21, $C$9, 100%, $E$9)</f>
        <v>22.795100000000001</v>
      </c>
      <c r="M477" s="14">
        <f>CHOOSE(CONTROL!$C$42, 21.5371, 21.5371) * CHOOSE(CONTROL!$C$21, $C$9, 100%, $E$9)</f>
        <v>21.537099999999999</v>
      </c>
      <c r="N477" s="14">
        <f>CHOOSE(CONTROL!$C$42, 21.5542, 21.5542) * CHOOSE(CONTROL!$C$21, $C$9, 100%, $E$9)</f>
        <v>21.554200000000002</v>
      </c>
      <c r="O477" s="14">
        <f>CHOOSE(CONTROL!$C$42, 21.7608, 21.7608) * CHOOSE(CONTROL!$C$21, $C$9, 100%, $E$9)</f>
        <v>21.7608</v>
      </c>
      <c r="P477" s="14">
        <f>CHOOSE(CONTROL!$C$42, 21.6105, 21.6105) * CHOOSE(CONTROL!$C$21, $C$9, 100%, $E$9)</f>
        <v>21.610499999999998</v>
      </c>
      <c r="Q477" s="14">
        <f>CHOOSE(CONTROL!$C$42, 22.3555, 22.3555) * CHOOSE(CONTROL!$C$21, $C$9, 100%, $E$9)</f>
        <v>22.355499999999999</v>
      </c>
      <c r="R477" s="14">
        <f>CHOOSE(CONTROL!$C$42, 22.9984, 22.9984) * CHOOSE(CONTROL!$C$21, $C$9, 100%, $E$9)</f>
        <v>22.9984</v>
      </c>
      <c r="S477" s="14">
        <f>CHOOSE(CONTROL!$C$42, 21.0902, 21.0902) * CHOOSE(CONTROL!$C$21, $C$9, 100%, $E$9)</f>
        <v>21.090199999999999</v>
      </c>
      <c r="T47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77" s="57">
        <f>(1000*CHOOSE(CONTROL!$C$42, 695, 695)*CHOOSE(CONTROL!$C$42, 0.5599, 0.5599)*CHOOSE(CONTROL!$C$42, 30, 30))/1000000</f>
        <v>11.673914999999997</v>
      </c>
      <c r="V477" s="57">
        <f>(1000*CHOOSE(CONTROL!$C$42, 500, 500)*CHOOSE(CONTROL!$C$42, 0.275, 0.275)*CHOOSE(CONTROL!$C$42, 30, 30))/1000000</f>
        <v>4.125</v>
      </c>
      <c r="W477" s="57">
        <f>(1000*CHOOSE(CONTROL!$C$42, 0.1146, 0.1146)*CHOOSE(CONTROL!$C$42, 121.5, 121.5)*CHOOSE(CONTROL!$C$42, 30, 30))/1000000</f>
        <v>0.417717</v>
      </c>
      <c r="X477" s="57">
        <f>(30*0.1790888*245000/1000000)+(30*0.2374*100000/1000000)</f>
        <v>2.0285026799999999</v>
      </c>
      <c r="Y477" s="57"/>
      <c r="Z477" s="14"/>
      <c r="AA477" s="56"/>
      <c r="AB477" s="50">
        <f>(B477*194.205+C477*267.466+D477*133.845+E477*53.484+F477*40+G477*185+H477*0+I477*100+J477*300)/(194.205+267.466+133.845+53.484+0+40+185+100+300)</f>
        <v>22.015775104709576</v>
      </c>
      <c r="AC477" s="45">
        <f>(M477*'RAP TEMPLATE-GAS AVAILABILITY'!O476+N477*'RAP TEMPLATE-GAS AVAILABILITY'!P476+O477*'RAP TEMPLATE-GAS AVAILABILITY'!Q476+P477*'RAP TEMPLATE-GAS AVAILABILITY'!R476)/('RAP TEMPLATE-GAS AVAILABILITY'!O476+'RAP TEMPLATE-GAS AVAILABILITY'!P476+'RAP TEMPLATE-GAS AVAILABILITY'!Q476+'RAP TEMPLATE-GAS AVAILABILITY'!R476)</f>
        <v>21.614362589928056</v>
      </c>
    </row>
    <row r="478" spans="1:29" ht="15.75" x14ac:dyDescent="0.25">
      <c r="A478" s="33">
        <v>55457</v>
      </c>
      <c r="B478" s="14">
        <f>CHOOSE(CONTROL!$C$42, 21.512, 21.512) * CHOOSE(CONTROL!$C$21, $C$9, 100%, $E$9)</f>
        <v>21.512</v>
      </c>
      <c r="C478" s="14">
        <f>CHOOSE(CONTROL!$C$42, 21.5173, 21.5173) * CHOOSE(CONTROL!$C$21, $C$9, 100%, $E$9)</f>
        <v>21.517299999999999</v>
      </c>
      <c r="D478" s="14">
        <f>CHOOSE(CONTROL!$C$42, 21.7429, 21.7429) * CHOOSE(CONTROL!$C$21, $C$9, 100%, $E$9)</f>
        <v>21.742899999999999</v>
      </c>
      <c r="E478" s="14">
        <f>CHOOSE(CONTROL!$C$42, 21.772, 21.772) * CHOOSE(CONTROL!$C$21, $C$9, 100%, $E$9)</f>
        <v>21.771999999999998</v>
      </c>
      <c r="F478" s="14">
        <f>CHOOSE(CONTROL!$C$42, 21.5414, 21.5414)*CHOOSE(CONTROL!$C$21, $C$9, 100%, $E$9)</f>
        <v>21.541399999999999</v>
      </c>
      <c r="G478" s="14">
        <f>CHOOSE(CONTROL!$C$42, 21.5586, 21.5586)*CHOOSE(CONTROL!$C$21, $C$9, 100%, $E$9)</f>
        <v>21.558599999999998</v>
      </c>
      <c r="H478" s="14">
        <f>CHOOSE(CONTROL!$C$42, 21.7625, 21.7625) * CHOOSE(CONTROL!$C$21, $C$9, 100%, $E$9)</f>
        <v>21.762499999999999</v>
      </c>
      <c r="I478" s="14">
        <f>CHOOSE(CONTROL!$C$42, 21.609, 21.609)* CHOOSE(CONTROL!$C$21, $C$9, 100%, $E$9)</f>
        <v>21.609000000000002</v>
      </c>
      <c r="J478" s="14">
        <f>CHOOSE(CONTROL!$C$42, 21.5344, 21.5344)* CHOOSE(CONTROL!$C$21, $C$9, 100%, $E$9)</f>
        <v>21.534400000000002</v>
      </c>
      <c r="K478" s="53">
        <f>CHOOSE(CONTROL!$C$42, 21.6052, 21.6052) * CHOOSE(CONTROL!$C$21, $C$9, 100%, $E$9)</f>
        <v>21.6052</v>
      </c>
      <c r="L478" s="14">
        <f>CHOOSE(CONTROL!$C$42, 22.3495, 22.3495) * CHOOSE(CONTROL!$C$21, $C$9, 100%, $E$9)</f>
        <v>22.349499999999999</v>
      </c>
      <c r="M478" s="14">
        <f>CHOOSE(CONTROL!$C$42, 21.1009, 21.1009) * CHOOSE(CONTROL!$C$21, $C$9, 100%, $E$9)</f>
        <v>21.100899999999999</v>
      </c>
      <c r="N478" s="14">
        <f>CHOOSE(CONTROL!$C$42, 21.1177, 21.1177) * CHOOSE(CONTROL!$C$21, $C$9, 100%, $E$9)</f>
        <v>21.117699999999999</v>
      </c>
      <c r="O478" s="14">
        <f>CHOOSE(CONTROL!$C$42, 21.3243, 21.3243) * CHOOSE(CONTROL!$C$21, $C$9, 100%, $E$9)</f>
        <v>21.324300000000001</v>
      </c>
      <c r="P478" s="14">
        <f>CHOOSE(CONTROL!$C$42, 21.1727, 21.1727) * CHOOSE(CONTROL!$C$21, $C$9, 100%, $E$9)</f>
        <v>21.172699999999999</v>
      </c>
      <c r="Q478" s="14">
        <f>CHOOSE(CONTROL!$C$42, 21.919, 21.919) * CHOOSE(CONTROL!$C$21, $C$9, 100%, $E$9)</f>
        <v>21.919</v>
      </c>
      <c r="R478" s="14">
        <f>CHOOSE(CONTROL!$C$42, 22.5608, 22.5608) * CHOOSE(CONTROL!$C$21, $C$9, 100%, $E$9)</f>
        <v>22.5608</v>
      </c>
      <c r="S478" s="14">
        <f>CHOOSE(CONTROL!$C$42, 20.662, 20.662) * CHOOSE(CONTROL!$C$21, $C$9, 100%, $E$9)</f>
        <v>20.661999999999999</v>
      </c>
      <c r="T47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78" s="57">
        <f>(1000*CHOOSE(CONTROL!$C$42, 695, 695)*CHOOSE(CONTROL!$C$42, 0.5599, 0.5599)*CHOOSE(CONTROL!$C$42, 31, 31))/1000000</f>
        <v>12.063045499999998</v>
      </c>
      <c r="V478" s="57">
        <f>(1000*CHOOSE(CONTROL!$C$42, 500, 500)*CHOOSE(CONTROL!$C$42, 0.275, 0.275)*CHOOSE(CONTROL!$C$42, 31, 31))/1000000</f>
        <v>4.2625000000000002</v>
      </c>
      <c r="W478" s="57">
        <f>(1000*CHOOSE(CONTROL!$C$42, 0.1146, 0.1146)*CHOOSE(CONTROL!$C$42, 121.5, 121.5)*CHOOSE(CONTROL!$C$42, 31, 31))/1000000</f>
        <v>0.43164089999999994</v>
      </c>
      <c r="X478" s="57">
        <f>(31*0.1790888*245000/1000000)+(31*0.2374*100000/1000000)</f>
        <v>2.0961194359999999</v>
      </c>
      <c r="Y478" s="57"/>
      <c r="Z478" s="14"/>
      <c r="AA478" s="56"/>
      <c r="AB478" s="50">
        <f>(B478*131.881+C478*277.167+D478*79.08+E478*125.872+F478*40+G478*185+H478*0+I478*100+J478*300)/(131.881+277.167+79.08+125.872+0+40+185+100+300)</f>
        <v>21.575496591686846</v>
      </c>
      <c r="AC478" s="45">
        <f>(M478*'RAP TEMPLATE-GAS AVAILABILITY'!O477+N478*'RAP TEMPLATE-GAS AVAILABILITY'!P477+O478*'RAP TEMPLATE-GAS AVAILABILITY'!Q477+P478*'RAP TEMPLATE-GAS AVAILABILITY'!R477)/('RAP TEMPLATE-GAS AVAILABILITY'!O477+'RAP TEMPLATE-GAS AVAILABILITY'!P477+'RAP TEMPLATE-GAS AVAILABILITY'!Q477+'RAP TEMPLATE-GAS AVAILABILITY'!R477)</f>
        <v>21.177779136690646</v>
      </c>
    </row>
    <row r="479" spans="1:29" ht="15.75" x14ac:dyDescent="0.25">
      <c r="A479" s="33">
        <v>55487</v>
      </c>
      <c r="B479" s="14">
        <f>CHOOSE(CONTROL!$C$42, 22.0781, 22.0781) * CHOOSE(CONTROL!$C$21, $C$9, 100%, $E$9)</f>
        <v>22.078099999999999</v>
      </c>
      <c r="C479" s="14">
        <f>CHOOSE(CONTROL!$C$42, 22.0831, 22.0831) * CHOOSE(CONTROL!$C$21, $C$9, 100%, $E$9)</f>
        <v>22.083100000000002</v>
      </c>
      <c r="D479" s="14">
        <f>CHOOSE(CONTROL!$C$42, 22.1574, 22.1574) * CHOOSE(CONTROL!$C$21, $C$9, 100%, $E$9)</f>
        <v>22.157399999999999</v>
      </c>
      <c r="E479" s="14">
        <f>CHOOSE(CONTROL!$C$42, 22.1915, 22.1915) * CHOOSE(CONTROL!$C$21, $C$9, 100%, $E$9)</f>
        <v>22.191500000000001</v>
      </c>
      <c r="F479" s="14">
        <f>CHOOSE(CONTROL!$C$42, 22.1141, 22.1141)*CHOOSE(CONTROL!$C$21, $C$9, 100%, $E$9)</f>
        <v>22.114100000000001</v>
      </c>
      <c r="G479" s="14">
        <f>CHOOSE(CONTROL!$C$42, 22.1317, 22.1317)*CHOOSE(CONTROL!$C$21, $C$9, 100%, $E$9)</f>
        <v>22.131699999999999</v>
      </c>
      <c r="H479" s="14">
        <f>CHOOSE(CONTROL!$C$42, 22.1807, 22.1807) * CHOOSE(CONTROL!$C$21, $C$9, 100%, $E$9)</f>
        <v>22.180700000000002</v>
      </c>
      <c r="I479" s="14">
        <f>CHOOSE(CONTROL!$C$42, 22.1747, 22.1747)* CHOOSE(CONTROL!$C$21, $C$9, 100%, $E$9)</f>
        <v>22.174700000000001</v>
      </c>
      <c r="J479" s="14">
        <f>CHOOSE(CONTROL!$C$42, 22.1071, 22.1071)* CHOOSE(CONTROL!$C$21, $C$9, 100%, $E$9)</f>
        <v>22.107099999999999</v>
      </c>
      <c r="K479" s="53">
        <f>CHOOSE(CONTROL!$C$42, 22.1708, 22.1708) * CHOOSE(CONTROL!$C$21, $C$9, 100%, $E$9)</f>
        <v>22.1708</v>
      </c>
      <c r="L479" s="14">
        <f>CHOOSE(CONTROL!$C$42, 22.7677, 22.7677) * CHOOSE(CONTROL!$C$21, $C$9, 100%, $E$9)</f>
        <v>22.767700000000001</v>
      </c>
      <c r="M479" s="14">
        <f>CHOOSE(CONTROL!$C$42, 21.6619, 21.6619) * CHOOSE(CONTROL!$C$21, $C$9, 100%, $E$9)</f>
        <v>21.661899999999999</v>
      </c>
      <c r="N479" s="14">
        <f>CHOOSE(CONTROL!$C$42, 21.679, 21.679) * CHOOSE(CONTROL!$C$21, $C$9, 100%, $E$9)</f>
        <v>21.678999999999998</v>
      </c>
      <c r="O479" s="14">
        <f>CHOOSE(CONTROL!$C$42, 21.7339, 21.7339) * CHOOSE(CONTROL!$C$21, $C$9, 100%, $E$9)</f>
        <v>21.733899999999998</v>
      </c>
      <c r="P479" s="14">
        <f>CHOOSE(CONTROL!$C$42, 21.7267, 21.7267) * CHOOSE(CONTROL!$C$21, $C$9, 100%, $E$9)</f>
        <v>21.726700000000001</v>
      </c>
      <c r="Q479" s="14">
        <f>CHOOSE(CONTROL!$C$42, 22.3286, 22.3286) * CHOOSE(CONTROL!$C$21, $C$9, 100%, $E$9)</f>
        <v>22.328600000000002</v>
      </c>
      <c r="R479" s="14">
        <f>CHOOSE(CONTROL!$C$42, 22.9714, 22.9714) * CHOOSE(CONTROL!$C$21, $C$9, 100%, $E$9)</f>
        <v>22.971399999999999</v>
      </c>
      <c r="S479" s="14">
        <f>CHOOSE(CONTROL!$C$42, 21.2063, 21.2063) * CHOOSE(CONTROL!$C$21, $C$9, 100%, $E$9)</f>
        <v>21.206299999999999</v>
      </c>
      <c r="T47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9" s="57">
        <f>(1000*CHOOSE(CONTROL!$C$42, 695, 695)*CHOOSE(CONTROL!$C$42, 0.5599, 0.5599)*CHOOSE(CONTROL!$C$42, 30, 30))/1000000</f>
        <v>11.673914999999997</v>
      </c>
      <c r="V479" s="57">
        <f>(1000*CHOOSE(CONTROL!$C$42, 500, 500)*CHOOSE(CONTROL!$C$42, 0.275, 0.275)*CHOOSE(CONTROL!$C$42, 30, 30))/1000000</f>
        <v>4.125</v>
      </c>
      <c r="W479" s="57">
        <f>(1000*CHOOSE(CONTROL!$C$42, 0.1146, 0.1146)*CHOOSE(CONTROL!$C$42, 121.5, 121.5)*CHOOSE(CONTROL!$C$42, 30, 30))/1000000</f>
        <v>0.417717</v>
      </c>
      <c r="X479" s="57">
        <f>(30*0.1790888*100000/1000000)+(30*0.2374*100000/1000000)</f>
        <v>1.2494664</v>
      </c>
      <c r="Y479" s="57"/>
      <c r="Z479" s="14"/>
      <c r="AA479" s="56"/>
      <c r="AB479" s="50">
        <f>(B479*122.58+C479*297.941+D479*89.177+E479*40.302+F479*40+G479*160+H479*0+I479*100+J479*300)/(122.58+297.941+89.177+40.302+0+40+160+100+300)</f>
        <v>22.114193641652175</v>
      </c>
      <c r="AC479" s="45">
        <f>(M479*'RAP TEMPLATE-GAS AVAILABILITY'!O478+N479*'RAP TEMPLATE-GAS AVAILABILITY'!P478+O479*'RAP TEMPLATE-GAS AVAILABILITY'!Q478+P479*'RAP TEMPLATE-GAS AVAILABILITY'!R478)/('RAP TEMPLATE-GAS AVAILABILITY'!O478+'RAP TEMPLATE-GAS AVAILABILITY'!P478+'RAP TEMPLATE-GAS AVAILABILITY'!Q478+'RAP TEMPLATE-GAS AVAILABILITY'!R478)</f>
        <v>21.70484100719424</v>
      </c>
    </row>
    <row r="480" spans="1:29" ht="15.75" x14ac:dyDescent="0.25">
      <c r="A480" s="33">
        <v>55518</v>
      </c>
      <c r="B480" s="14">
        <f>CHOOSE(CONTROL!$C$42, 23.5827, 23.5827) * CHOOSE(CONTROL!$C$21, $C$9, 100%, $E$9)</f>
        <v>23.582699999999999</v>
      </c>
      <c r="C480" s="14">
        <f>CHOOSE(CONTROL!$C$42, 23.5878, 23.5878) * CHOOSE(CONTROL!$C$21, $C$9, 100%, $E$9)</f>
        <v>23.587800000000001</v>
      </c>
      <c r="D480" s="14">
        <f>CHOOSE(CONTROL!$C$42, 23.662, 23.662) * CHOOSE(CONTROL!$C$21, $C$9, 100%, $E$9)</f>
        <v>23.661999999999999</v>
      </c>
      <c r="E480" s="14">
        <f>CHOOSE(CONTROL!$C$42, 23.6961, 23.6961) * CHOOSE(CONTROL!$C$21, $C$9, 100%, $E$9)</f>
        <v>23.696100000000001</v>
      </c>
      <c r="F480" s="14">
        <f>CHOOSE(CONTROL!$C$42, 23.6211, 23.6211)*CHOOSE(CONTROL!$C$21, $C$9, 100%, $E$9)</f>
        <v>23.621099999999998</v>
      </c>
      <c r="G480" s="14">
        <f>CHOOSE(CONTROL!$C$42, 23.6393, 23.6393)*CHOOSE(CONTROL!$C$21, $C$9, 100%, $E$9)</f>
        <v>23.639299999999999</v>
      </c>
      <c r="H480" s="14">
        <f>CHOOSE(CONTROL!$C$42, 23.6853, 23.6853) * CHOOSE(CONTROL!$C$21, $C$9, 100%, $E$9)</f>
        <v>23.685300000000002</v>
      </c>
      <c r="I480" s="14">
        <f>CHOOSE(CONTROL!$C$42, 23.684, 23.684)* CHOOSE(CONTROL!$C$21, $C$9, 100%, $E$9)</f>
        <v>23.684000000000001</v>
      </c>
      <c r="J480" s="14">
        <f>CHOOSE(CONTROL!$C$42, 23.6141, 23.6141)* CHOOSE(CONTROL!$C$21, $C$9, 100%, $E$9)</f>
        <v>23.614100000000001</v>
      </c>
      <c r="K480" s="53">
        <f>CHOOSE(CONTROL!$C$42, 23.6801, 23.6801) * CHOOSE(CONTROL!$C$21, $C$9, 100%, $E$9)</f>
        <v>23.680099999999999</v>
      </c>
      <c r="L480" s="14">
        <f>CHOOSE(CONTROL!$C$42, 24.2723, 24.2723) * CHOOSE(CONTROL!$C$21, $C$9, 100%, $E$9)</f>
        <v>24.272300000000001</v>
      </c>
      <c r="M480" s="14">
        <f>CHOOSE(CONTROL!$C$42, 23.138, 23.138) * CHOOSE(CONTROL!$C$21, $C$9, 100%, $E$9)</f>
        <v>23.138000000000002</v>
      </c>
      <c r="N480" s="14">
        <f>CHOOSE(CONTROL!$C$42, 23.1557, 23.1557) * CHOOSE(CONTROL!$C$21, $C$9, 100%, $E$9)</f>
        <v>23.1557</v>
      </c>
      <c r="O480" s="14">
        <f>CHOOSE(CONTROL!$C$42, 23.2077, 23.2077) * CHOOSE(CONTROL!$C$21, $C$9, 100%, $E$9)</f>
        <v>23.207699999999999</v>
      </c>
      <c r="P480" s="14">
        <f>CHOOSE(CONTROL!$C$42, 23.205, 23.205) * CHOOSE(CONTROL!$C$21, $C$9, 100%, $E$9)</f>
        <v>23.204999999999998</v>
      </c>
      <c r="Q480" s="14">
        <f>CHOOSE(CONTROL!$C$42, 23.8024, 23.8024) * CHOOSE(CONTROL!$C$21, $C$9, 100%, $E$9)</f>
        <v>23.802399999999999</v>
      </c>
      <c r="R480" s="14">
        <f>CHOOSE(CONTROL!$C$42, 24.4489, 24.4489) * CHOOSE(CONTROL!$C$21, $C$9, 100%, $E$9)</f>
        <v>24.448899999999998</v>
      </c>
      <c r="S480" s="14">
        <f>CHOOSE(CONTROL!$C$42, 22.6521, 22.6521) * CHOOSE(CONTROL!$C$21, $C$9, 100%, $E$9)</f>
        <v>22.652100000000001</v>
      </c>
      <c r="T48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0" s="57">
        <f>(1000*CHOOSE(CONTROL!$C$42, 695, 695)*CHOOSE(CONTROL!$C$42, 0.5599, 0.5599)*CHOOSE(CONTROL!$C$42, 31, 31))/1000000</f>
        <v>12.063045499999998</v>
      </c>
      <c r="V480" s="57">
        <f>(1000*CHOOSE(CONTROL!$C$42, 500, 500)*CHOOSE(CONTROL!$C$42, 0.275, 0.275)*CHOOSE(CONTROL!$C$42, 31, 31))/1000000</f>
        <v>4.2625000000000002</v>
      </c>
      <c r="W480" s="57">
        <f>(1000*CHOOSE(CONTROL!$C$42, 0.1146, 0.1146)*CHOOSE(CONTROL!$C$42, 121.5, 121.5)*CHOOSE(CONTROL!$C$42, 31, 31))/1000000</f>
        <v>0.43164089999999994</v>
      </c>
      <c r="X480" s="57">
        <f>(31*0.1790888*100000/1000000)+(31*0.2374*100000/1000000)</f>
        <v>1.2911152800000001</v>
      </c>
      <c r="Y480" s="57"/>
      <c r="Z480" s="14"/>
      <c r="AA480" s="56"/>
      <c r="AB480" s="50">
        <f>(B480*122.58+C480*297.941+D480*89.177+E480*40.302+F480*40+G480*160+H480*0+I480*100+J480*300)/(122.58+297.941+89.177+40.302+0+40+160+100+300)</f>
        <v>23.62035520173913</v>
      </c>
      <c r="AC480" s="45">
        <f>(M480*'RAP TEMPLATE-GAS AVAILABILITY'!O479+N480*'RAP TEMPLATE-GAS AVAILABILITY'!P479+O480*'RAP TEMPLATE-GAS AVAILABILITY'!Q479+P480*'RAP TEMPLATE-GAS AVAILABILITY'!R479)/('RAP TEMPLATE-GAS AVAILABILITY'!O479+'RAP TEMPLATE-GAS AVAILABILITY'!P479+'RAP TEMPLATE-GAS AVAILABILITY'!Q479+'RAP TEMPLATE-GAS AVAILABILITY'!R479)</f>
        <v>23.180249640287769</v>
      </c>
    </row>
    <row r="481" spans="1:29" ht="15.75" x14ac:dyDescent="0.25">
      <c r="A481" s="33">
        <v>55549</v>
      </c>
      <c r="B481" s="14">
        <f>CHOOSE(CONTROL!$C$42, 25.5369, 25.5369) * CHOOSE(CONTROL!$C$21, $C$9, 100%, $E$9)</f>
        <v>25.536899999999999</v>
      </c>
      <c r="C481" s="14">
        <f>CHOOSE(CONTROL!$C$42, 25.542, 25.542) * CHOOSE(CONTROL!$C$21, $C$9, 100%, $E$9)</f>
        <v>25.542000000000002</v>
      </c>
      <c r="D481" s="14">
        <f>CHOOSE(CONTROL!$C$42, 25.6188, 25.6188) * CHOOSE(CONTROL!$C$21, $C$9, 100%, $E$9)</f>
        <v>25.6188</v>
      </c>
      <c r="E481" s="14">
        <f>CHOOSE(CONTROL!$C$42, 25.6529, 25.6529) * CHOOSE(CONTROL!$C$21, $C$9, 100%, $E$9)</f>
        <v>25.652899999999999</v>
      </c>
      <c r="F481" s="14">
        <f>CHOOSE(CONTROL!$C$42, 25.5617, 25.5617)*CHOOSE(CONTROL!$C$21, $C$9, 100%, $E$9)</f>
        <v>25.561699999999998</v>
      </c>
      <c r="G481" s="14">
        <f>CHOOSE(CONTROL!$C$42, 25.5796, 25.5796)*CHOOSE(CONTROL!$C$21, $C$9, 100%, $E$9)</f>
        <v>25.579599999999999</v>
      </c>
      <c r="H481" s="14">
        <f>CHOOSE(CONTROL!$C$42, 25.6421, 25.6421) * CHOOSE(CONTROL!$C$21, $C$9, 100%, $E$9)</f>
        <v>25.642099999999999</v>
      </c>
      <c r="I481" s="14">
        <f>CHOOSE(CONTROL!$C$42, 25.6506, 25.6506)* CHOOSE(CONTROL!$C$21, $C$9, 100%, $E$9)</f>
        <v>25.650600000000001</v>
      </c>
      <c r="J481" s="14">
        <f>CHOOSE(CONTROL!$C$42, 25.5547, 25.5547)* CHOOSE(CONTROL!$C$21, $C$9, 100%, $E$9)</f>
        <v>25.5547</v>
      </c>
      <c r="K481" s="53">
        <f>CHOOSE(CONTROL!$C$42, 25.6467, 25.6467) * CHOOSE(CONTROL!$C$21, $C$9, 100%, $E$9)</f>
        <v>25.646699999999999</v>
      </c>
      <c r="L481" s="14">
        <f>CHOOSE(CONTROL!$C$42, 26.2291, 26.2291) * CHOOSE(CONTROL!$C$21, $C$9, 100%, $E$9)</f>
        <v>26.229099999999999</v>
      </c>
      <c r="M481" s="14">
        <f>CHOOSE(CONTROL!$C$42, 25.0388, 25.0388) * CHOOSE(CONTROL!$C$21, $C$9, 100%, $E$9)</f>
        <v>25.038799999999998</v>
      </c>
      <c r="N481" s="14">
        <f>CHOOSE(CONTROL!$C$42, 25.0564, 25.0564) * CHOOSE(CONTROL!$C$21, $C$9, 100%, $E$9)</f>
        <v>25.0564</v>
      </c>
      <c r="O481" s="14">
        <f>CHOOSE(CONTROL!$C$42, 25.1244, 25.1244) * CHOOSE(CONTROL!$C$21, $C$9, 100%, $E$9)</f>
        <v>25.124400000000001</v>
      </c>
      <c r="P481" s="14">
        <f>CHOOSE(CONTROL!$C$42, 25.1312, 25.1312) * CHOOSE(CONTROL!$C$21, $C$9, 100%, $E$9)</f>
        <v>25.1312</v>
      </c>
      <c r="Q481" s="14">
        <f>CHOOSE(CONTROL!$C$42, 25.7191, 25.7191) * CHOOSE(CONTROL!$C$21, $C$9, 100%, $E$9)</f>
        <v>25.719100000000001</v>
      </c>
      <c r="R481" s="14">
        <f>CHOOSE(CONTROL!$C$42, 26.3704, 26.3704) * CHOOSE(CONTROL!$C$21, $C$9, 100%, $E$9)</f>
        <v>26.3704</v>
      </c>
      <c r="S481" s="14">
        <f>CHOOSE(CONTROL!$C$42, 24.5299, 24.5299) * CHOOSE(CONTROL!$C$21, $C$9, 100%, $E$9)</f>
        <v>24.529900000000001</v>
      </c>
      <c r="T48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81" s="57">
        <f>(1000*CHOOSE(CONTROL!$C$42, 695, 695)*CHOOSE(CONTROL!$C$42, 0.5599, 0.5599)*CHOOSE(CONTROL!$C$42, 31, 31))/1000000</f>
        <v>12.063045499999998</v>
      </c>
      <c r="V481" s="57">
        <f>(1000*CHOOSE(CONTROL!$C$42, 500, 500)*CHOOSE(CONTROL!$C$42, 0.275, 0.275)*CHOOSE(CONTROL!$C$42, 31, 31))/1000000</f>
        <v>4.2625000000000002</v>
      </c>
      <c r="W481" s="57">
        <f>(1000*CHOOSE(CONTROL!$C$42, 0.1146, 0.1146)*CHOOSE(CONTROL!$C$42, 121.5, 121.5)*CHOOSE(CONTROL!$C$42, 31, 31))/1000000</f>
        <v>0.43164089999999994</v>
      </c>
      <c r="X481" s="57">
        <f>(31*0.1790888*100000/1000000)+(31*0.2374*100000/1000000)</f>
        <v>1.2911152800000001</v>
      </c>
      <c r="Y481" s="57"/>
      <c r="Z481" s="14"/>
      <c r="AA481" s="56"/>
      <c r="AB481" s="50">
        <f>(B481*122.58+C481*297.941+D481*89.177+E481*40.302+F481*40+G481*160+H481*0+I481*100+J481*300)/(122.58+297.941+89.177+40.302+0+40+160+100+300)</f>
        <v>25.569971415130436</v>
      </c>
      <c r="AC481" s="45">
        <f>(M481*'RAP TEMPLATE-GAS AVAILABILITY'!O480+N481*'RAP TEMPLATE-GAS AVAILABILITY'!P480+O481*'RAP TEMPLATE-GAS AVAILABILITY'!Q480+P481*'RAP TEMPLATE-GAS AVAILABILITY'!R480)/('RAP TEMPLATE-GAS AVAILABILITY'!O480+'RAP TEMPLATE-GAS AVAILABILITY'!P480+'RAP TEMPLATE-GAS AVAILABILITY'!Q480+'RAP TEMPLATE-GAS AVAILABILITY'!R480)</f>
        <v>25.091905035971223</v>
      </c>
    </row>
    <row r="482" spans="1:29" ht="15.75" x14ac:dyDescent="0.25">
      <c r="A482" s="33">
        <v>55577</v>
      </c>
      <c r="B482" s="14">
        <f>CHOOSE(CONTROL!$C$42, 25.9913, 25.9913) * CHOOSE(CONTROL!$C$21, $C$9, 100%, $E$9)</f>
        <v>25.991299999999999</v>
      </c>
      <c r="C482" s="14">
        <f>CHOOSE(CONTROL!$C$42, 25.9964, 25.9964) * CHOOSE(CONTROL!$C$21, $C$9, 100%, $E$9)</f>
        <v>25.996400000000001</v>
      </c>
      <c r="D482" s="14">
        <f>CHOOSE(CONTROL!$C$42, 26.0732, 26.0732) * CHOOSE(CONTROL!$C$21, $C$9, 100%, $E$9)</f>
        <v>26.0732</v>
      </c>
      <c r="E482" s="14">
        <f>CHOOSE(CONTROL!$C$42, 26.1073, 26.1073) * CHOOSE(CONTROL!$C$21, $C$9, 100%, $E$9)</f>
        <v>26.107299999999999</v>
      </c>
      <c r="F482" s="14">
        <f>CHOOSE(CONTROL!$C$42, 26.0157, 26.0157)*CHOOSE(CONTROL!$C$21, $C$9, 100%, $E$9)</f>
        <v>26.015699999999999</v>
      </c>
      <c r="G482" s="14">
        <f>CHOOSE(CONTROL!$C$42, 26.0335, 26.0335)*CHOOSE(CONTROL!$C$21, $C$9, 100%, $E$9)</f>
        <v>26.0335</v>
      </c>
      <c r="H482" s="14">
        <f>CHOOSE(CONTROL!$C$42, 26.0965, 26.0965) * CHOOSE(CONTROL!$C$21, $C$9, 100%, $E$9)</f>
        <v>26.096499999999999</v>
      </c>
      <c r="I482" s="14">
        <f>CHOOSE(CONTROL!$C$42, 26.1065, 26.1065)* CHOOSE(CONTROL!$C$21, $C$9, 100%, $E$9)</f>
        <v>26.1065</v>
      </c>
      <c r="J482" s="14">
        <f>CHOOSE(CONTROL!$C$42, 26.0087, 26.0087)* CHOOSE(CONTROL!$C$21, $C$9, 100%, $E$9)</f>
        <v>26.008700000000001</v>
      </c>
      <c r="K482" s="53">
        <f>CHOOSE(CONTROL!$C$42, 26.1026, 26.1026) * CHOOSE(CONTROL!$C$21, $C$9, 100%, $E$9)</f>
        <v>26.102599999999999</v>
      </c>
      <c r="L482" s="14">
        <f>CHOOSE(CONTROL!$C$42, 26.6835, 26.6835) * CHOOSE(CONTROL!$C$21, $C$9, 100%, $E$9)</f>
        <v>26.683499999999999</v>
      </c>
      <c r="M482" s="14">
        <f>CHOOSE(CONTROL!$C$42, 25.4835, 25.4835) * CHOOSE(CONTROL!$C$21, $C$9, 100%, $E$9)</f>
        <v>25.483499999999999</v>
      </c>
      <c r="N482" s="14">
        <f>CHOOSE(CONTROL!$C$42, 25.501, 25.501) * CHOOSE(CONTROL!$C$21, $C$9, 100%, $E$9)</f>
        <v>25.501000000000001</v>
      </c>
      <c r="O482" s="14">
        <f>CHOOSE(CONTROL!$C$42, 25.5695, 25.5695) * CHOOSE(CONTROL!$C$21, $C$9, 100%, $E$9)</f>
        <v>25.569500000000001</v>
      </c>
      <c r="P482" s="14">
        <f>CHOOSE(CONTROL!$C$42, 25.5777, 25.5777) * CHOOSE(CONTROL!$C$21, $C$9, 100%, $E$9)</f>
        <v>25.5777</v>
      </c>
      <c r="Q482" s="14">
        <f>CHOOSE(CONTROL!$C$42, 26.1642, 26.1642) * CHOOSE(CONTROL!$C$21, $C$9, 100%, $E$9)</f>
        <v>26.164200000000001</v>
      </c>
      <c r="R482" s="14">
        <f>CHOOSE(CONTROL!$C$42, 26.8166, 26.8166) * CHOOSE(CONTROL!$C$21, $C$9, 100%, $E$9)</f>
        <v>26.816600000000001</v>
      </c>
      <c r="S482" s="14">
        <f>CHOOSE(CONTROL!$C$42, 24.9665, 24.9665) * CHOOSE(CONTROL!$C$21, $C$9, 100%, $E$9)</f>
        <v>24.9665</v>
      </c>
      <c r="T48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82" s="57">
        <f>(1000*CHOOSE(CONTROL!$C$42, 695, 695)*CHOOSE(CONTROL!$C$42, 0.5599, 0.5599)*CHOOSE(CONTROL!$C$42, 29, 29))/1000000</f>
        <v>11.284784499999999</v>
      </c>
      <c r="V482" s="57">
        <f>(1000*CHOOSE(CONTROL!$C$42, 500, 500)*CHOOSE(CONTROL!$C$42, 0.275, 0.275)*CHOOSE(CONTROL!$C$42, 29, 29))/1000000</f>
        <v>3.9874999999999998</v>
      </c>
      <c r="W482" s="57">
        <f>(1000*CHOOSE(CONTROL!$C$42, 0.1146, 0.1146)*CHOOSE(CONTROL!$C$42, 121.5, 121.5)*CHOOSE(CONTROL!$C$42, 29, 29))/1000000</f>
        <v>0.40379309999999996</v>
      </c>
      <c r="X482" s="57">
        <f>(29*0.1790888*100000/1000000)+(29*0.2374*100000/1000000)</f>
        <v>1.2078175199999999</v>
      </c>
      <c r="Y482" s="57"/>
      <c r="Z482" s="14"/>
      <c r="AA482" s="56"/>
      <c r="AB482" s="50">
        <f>(B482*122.58+C482*297.941+D482*89.177+E482*40.302+F482*40+G482*160+H482*0+I482*100+J482*300)/(122.58+297.941+89.177+40.302+0+40+160+100+300)</f>
        <v>26.02431402382609</v>
      </c>
      <c r="AC482" s="45">
        <f>(M482*'RAP TEMPLATE-GAS AVAILABILITY'!O481+N482*'RAP TEMPLATE-GAS AVAILABILITY'!P481+O482*'RAP TEMPLATE-GAS AVAILABILITY'!Q481+P482*'RAP TEMPLATE-GAS AVAILABILITY'!R481)/('RAP TEMPLATE-GAS AVAILABILITY'!O481+'RAP TEMPLATE-GAS AVAILABILITY'!P481+'RAP TEMPLATE-GAS AVAILABILITY'!Q481+'RAP TEMPLATE-GAS AVAILABILITY'!R481)</f>
        <v>25.537039568345325</v>
      </c>
    </row>
    <row r="483" spans="1:29" ht="15.75" x14ac:dyDescent="0.25">
      <c r="A483" s="33">
        <v>55609</v>
      </c>
      <c r="B483" s="14">
        <f>CHOOSE(CONTROL!$C$42, 25.2537, 25.2537) * CHOOSE(CONTROL!$C$21, $C$9, 100%, $E$9)</f>
        <v>25.253699999999998</v>
      </c>
      <c r="C483" s="14">
        <f>CHOOSE(CONTROL!$C$42, 25.2588, 25.2588) * CHOOSE(CONTROL!$C$21, $C$9, 100%, $E$9)</f>
        <v>25.258800000000001</v>
      </c>
      <c r="D483" s="14">
        <f>CHOOSE(CONTROL!$C$42, 25.3356, 25.3356) * CHOOSE(CONTROL!$C$21, $C$9, 100%, $E$9)</f>
        <v>25.335599999999999</v>
      </c>
      <c r="E483" s="14">
        <f>CHOOSE(CONTROL!$C$42, 25.3697, 25.3697) * CHOOSE(CONTROL!$C$21, $C$9, 100%, $E$9)</f>
        <v>25.369700000000002</v>
      </c>
      <c r="F483" s="14">
        <f>CHOOSE(CONTROL!$C$42, 25.2772, 25.2772)*CHOOSE(CONTROL!$C$21, $C$9, 100%, $E$9)</f>
        <v>25.277200000000001</v>
      </c>
      <c r="G483" s="14">
        <f>CHOOSE(CONTROL!$C$42, 25.2948, 25.2948)*CHOOSE(CONTROL!$C$21, $C$9, 100%, $E$9)</f>
        <v>25.294799999999999</v>
      </c>
      <c r="H483" s="14">
        <f>CHOOSE(CONTROL!$C$42, 25.3589, 25.3589) * CHOOSE(CONTROL!$C$21, $C$9, 100%, $E$9)</f>
        <v>25.358899999999998</v>
      </c>
      <c r="I483" s="14">
        <f>CHOOSE(CONTROL!$C$42, 25.3665, 25.3665)* CHOOSE(CONTROL!$C$21, $C$9, 100%, $E$9)</f>
        <v>25.366499999999998</v>
      </c>
      <c r="J483" s="14">
        <f>CHOOSE(CONTROL!$C$42, 25.2702, 25.2702)* CHOOSE(CONTROL!$C$21, $C$9, 100%, $E$9)</f>
        <v>25.270199999999999</v>
      </c>
      <c r="K483" s="53">
        <f>CHOOSE(CONTROL!$C$42, 25.3626, 25.3626) * CHOOSE(CONTROL!$C$21, $C$9, 100%, $E$9)</f>
        <v>25.3626</v>
      </c>
      <c r="L483" s="14">
        <f>CHOOSE(CONTROL!$C$42, 25.9459, 25.9459) * CHOOSE(CONTROL!$C$21, $C$9, 100%, $E$9)</f>
        <v>25.945900000000002</v>
      </c>
      <c r="M483" s="14">
        <f>CHOOSE(CONTROL!$C$42, 24.7601, 24.7601) * CHOOSE(CONTROL!$C$21, $C$9, 100%, $E$9)</f>
        <v>24.760100000000001</v>
      </c>
      <c r="N483" s="14">
        <f>CHOOSE(CONTROL!$C$42, 24.7774, 24.7774) * CHOOSE(CONTROL!$C$21, $C$9, 100%, $E$9)</f>
        <v>24.7774</v>
      </c>
      <c r="O483" s="14">
        <f>CHOOSE(CONTROL!$C$42, 24.847, 24.847) * CHOOSE(CONTROL!$C$21, $C$9, 100%, $E$9)</f>
        <v>24.847000000000001</v>
      </c>
      <c r="P483" s="14">
        <f>CHOOSE(CONTROL!$C$42, 24.853, 24.853) * CHOOSE(CONTROL!$C$21, $C$9, 100%, $E$9)</f>
        <v>24.853000000000002</v>
      </c>
      <c r="Q483" s="14">
        <f>CHOOSE(CONTROL!$C$42, 25.4417, 25.4417) * CHOOSE(CONTROL!$C$21, $C$9, 100%, $E$9)</f>
        <v>25.441700000000001</v>
      </c>
      <c r="R483" s="14">
        <f>CHOOSE(CONTROL!$C$42, 26.0923, 26.0923) * CHOOSE(CONTROL!$C$21, $C$9, 100%, $E$9)</f>
        <v>26.092300000000002</v>
      </c>
      <c r="S483" s="14">
        <f>CHOOSE(CONTROL!$C$42, 24.2577, 24.2577) * CHOOSE(CONTROL!$C$21, $C$9, 100%, $E$9)</f>
        <v>24.2577</v>
      </c>
      <c r="T48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83" s="57">
        <f>(1000*CHOOSE(CONTROL!$C$42, 695, 695)*CHOOSE(CONTROL!$C$42, 0.5599, 0.5599)*CHOOSE(CONTROL!$C$42, 31, 31))/1000000</f>
        <v>12.063045499999998</v>
      </c>
      <c r="V483" s="57">
        <f>(1000*CHOOSE(CONTROL!$C$42, 500, 500)*CHOOSE(CONTROL!$C$42, 0.275, 0.275)*CHOOSE(CONTROL!$C$42, 31, 31))/1000000</f>
        <v>4.2625000000000002</v>
      </c>
      <c r="W483" s="57">
        <f>(1000*CHOOSE(CONTROL!$C$42, 0.1146, 0.1146)*CHOOSE(CONTROL!$C$42, 121.5, 121.5)*CHOOSE(CONTROL!$C$42, 31, 31))/1000000</f>
        <v>0.43164089999999994</v>
      </c>
      <c r="X483" s="57">
        <f>(31*0.1790888*100000/1000000)+(31*0.2374*100000/1000000)</f>
        <v>1.2911152800000001</v>
      </c>
      <c r="Y483" s="57"/>
      <c r="Z483" s="14"/>
      <c r="AA483" s="56"/>
      <c r="AB483" s="50">
        <f>(B483*122.58+C483*297.941+D483*89.177+E483*40.302+F483*40+G483*160+H483*0+I483*100+J483*300)/(122.58+297.941+89.177+40.302+0+40+160+100+300)</f>
        <v>25.286086197739131</v>
      </c>
      <c r="AC483" s="45">
        <f>(M483*'RAP TEMPLATE-GAS AVAILABILITY'!O482+N483*'RAP TEMPLATE-GAS AVAILABILITY'!P482+O483*'RAP TEMPLATE-GAS AVAILABILITY'!Q482+P483*'RAP TEMPLATE-GAS AVAILABILITY'!R482)/('RAP TEMPLATE-GAS AVAILABILITY'!O482+'RAP TEMPLATE-GAS AVAILABILITY'!P482+'RAP TEMPLATE-GAS AVAILABILITY'!Q482+'RAP TEMPLATE-GAS AVAILABILITY'!R482)</f>
        <v>24.813848920863311</v>
      </c>
    </row>
    <row r="484" spans="1:29" ht="15.75" x14ac:dyDescent="0.25">
      <c r="A484" s="33">
        <v>55639</v>
      </c>
      <c r="B484" s="14">
        <f>CHOOSE(CONTROL!$C$42, 25.1791, 25.1791) * CHOOSE(CONTROL!$C$21, $C$9, 100%, $E$9)</f>
        <v>25.179099999999998</v>
      </c>
      <c r="C484" s="14">
        <f>CHOOSE(CONTROL!$C$42, 25.1836, 25.1836) * CHOOSE(CONTROL!$C$21, $C$9, 100%, $E$9)</f>
        <v>25.183599999999998</v>
      </c>
      <c r="D484" s="14">
        <f>CHOOSE(CONTROL!$C$42, 25.4073, 25.4073) * CHOOSE(CONTROL!$C$21, $C$9, 100%, $E$9)</f>
        <v>25.407299999999999</v>
      </c>
      <c r="E484" s="14">
        <f>CHOOSE(CONTROL!$C$42, 25.4394, 25.4394) * CHOOSE(CONTROL!$C$21, $C$9, 100%, $E$9)</f>
        <v>25.439399999999999</v>
      </c>
      <c r="F484" s="14">
        <f>CHOOSE(CONTROL!$C$42, 25.2068, 25.2068)*CHOOSE(CONTROL!$C$21, $C$9, 100%, $E$9)</f>
        <v>25.206800000000001</v>
      </c>
      <c r="G484" s="14">
        <f>CHOOSE(CONTROL!$C$42, 25.2237, 25.2237)*CHOOSE(CONTROL!$C$21, $C$9, 100%, $E$9)</f>
        <v>25.223700000000001</v>
      </c>
      <c r="H484" s="14">
        <f>CHOOSE(CONTROL!$C$42, 25.4292, 25.4292) * CHOOSE(CONTROL!$C$21, $C$9, 100%, $E$9)</f>
        <v>25.429200000000002</v>
      </c>
      <c r="I484" s="14">
        <f>CHOOSE(CONTROL!$C$42, 25.2873, 25.2873)* CHOOSE(CONTROL!$C$21, $C$9, 100%, $E$9)</f>
        <v>25.287299999999998</v>
      </c>
      <c r="J484" s="14">
        <f>CHOOSE(CONTROL!$C$42, 25.1998, 25.1998)* CHOOSE(CONTROL!$C$21, $C$9, 100%, $E$9)</f>
        <v>25.1998</v>
      </c>
      <c r="K484" s="53">
        <f>CHOOSE(CONTROL!$C$42, 25.2834, 25.2834) * CHOOSE(CONTROL!$C$21, $C$9, 100%, $E$9)</f>
        <v>25.2834</v>
      </c>
      <c r="L484" s="14">
        <f>CHOOSE(CONTROL!$C$42, 26.0162, 26.0162) * CHOOSE(CONTROL!$C$21, $C$9, 100%, $E$9)</f>
        <v>26.016200000000001</v>
      </c>
      <c r="M484" s="14">
        <f>CHOOSE(CONTROL!$C$42, 24.6912, 24.6912) * CHOOSE(CONTROL!$C$21, $C$9, 100%, $E$9)</f>
        <v>24.691199999999998</v>
      </c>
      <c r="N484" s="14">
        <f>CHOOSE(CONTROL!$C$42, 24.7077, 24.7077) * CHOOSE(CONTROL!$C$21, $C$9, 100%, $E$9)</f>
        <v>24.707699999999999</v>
      </c>
      <c r="O484" s="14">
        <f>CHOOSE(CONTROL!$C$42, 24.9159, 24.9159) * CHOOSE(CONTROL!$C$21, $C$9, 100%, $E$9)</f>
        <v>24.915900000000001</v>
      </c>
      <c r="P484" s="14">
        <f>CHOOSE(CONTROL!$C$42, 24.7753, 24.7753) * CHOOSE(CONTROL!$C$21, $C$9, 100%, $E$9)</f>
        <v>24.775300000000001</v>
      </c>
      <c r="Q484" s="14">
        <f>CHOOSE(CONTROL!$C$42, 25.5106, 25.5106) * CHOOSE(CONTROL!$C$21, $C$9, 100%, $E$9)</f>
        <v>25.5106</v>
      </c>
      <c r="R484" s="14">
        <f>CHOOSE(CONTROL!$C$42, 26.1614, 26.1614) * CHOOSE(CONTROL!$C$21, $C$9, 100%, $E$9)</f>
        <v>26.1614</v>
      </c>
      <c r="S484" s="14">
        <f>CHOOSE(CONTROL!$C$42, 24.1853, 24.1853) * CHOOSE(CONTROL!$C$21, $C$9, 100%, $E$9)</f>
        <v>24.185300000000002</v>
      </c>
      <c r="T48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84" s="57">
        <f>(1000*CHOOSE(CONTROL!$C$42, 695, 695)*CHOOSE(CONTROL!$C$42, 0.5599, 0.5599)*CHOOSE(CONTROL!$C$42, 30, 30))/1000000</f>
        <v>11.673914999999997</v>
      </c>
      <c r="V484" s="57">
        <f>(1000*CHOOSE(CONTROL!$C$42, 500, 500)*CHOOSE(CONTROL!$C$42, 0.275, 0.275)*CHOOSE(CONTROL!$C$42, 30, 30))/1000000</f>
        <v>4.125</v>
      </c>
      <c r="W484" s="57">
        <f>(1000*CHOOSE(CONTROL!$C$42, 0.1146, 0.1146)*CHOOSE(CONTROL!$C$42, 121.5, 121.5)*CHOOSE(CONTROL!$C$42, 30, 30))/1000000</f>
        <v>0.417717</v>
      </c>
      <c r="X484" s="57">
        <f>(30*0.1790888*245000/1000000)+(30*0.2374*100000/1000000)</f>
        <v>2.0285026799999999</v>
      </c>
      <c r="Y484" s="57"/>
      <c r="Z484" s="14"/>
      <c r="AA484" s="56"/>
      <c r="AB484" s="50">
        <f>(B484*141.293+C484*267.993+D484*115.016+E484*89.698+F484*40+G484*185+H484*0+I484*100+J484*300)/(141.293+267.993+115.016+89.698+0+40+185+100+300)</f>
        <v>25.24140024947538</v>
      </c>
      <c r="AC484" s="45">
        <f>(M484*'RAP TEMPLATE-GAS AVAILABILITY'!O483+N484*'RAP TEMPLATE-GAS AVAILABILITY'!P483+O484*'RAP TEMPLATE-GAS AVAILABILITY'!Q483+P484*'RAP TEMPLATE-GAS AVAILABILITY'!R483)/('RAP TEMPLATE-GAS AVAILABILITY'!O483+'RAP TEMPLATE-GAS AVAILABILITY'!P483+'RAP TEMPLATE-GAS AVAILABILITY'!Q483+'RAP TEMPLATE-GAS AVAILABILITY'!R483)</f>
        <v>24.770144604316545</v>
      </c>
    </row>
    <row r="485" spans="1:29" ht="15.75" x14ac:dyDescent="0.25">
      <c r="A485" s="33">
        <v>55670</v>
      </c>
      <c r="B485" s="14">
        <f>CHOOSE(CONTROL!$C$42, 25.4027, 25.4027) * CHOOSE(CONTROL!$C$21, $C$9, 100%, $E$9)</f>
        <v>25.402699999999999</v>
      </c>
      <c r="C485" s="14">
        <f>CHOOSE(CONTROL!$C$42, 25.4107, 25.4107) * CHOOSE(CONTROL!$C$21, $C$9, 100%, $E$9)</f>
        <v>25.410699999999999</v>
      </c>
      <c r="D485" s="14">
        <f>CHOOSE(CONTROL!$C$42, 25.6313, 25.6313) * CHOOSE(CONTROL!$C$21, $C$9, 100%, $E$9)</f>
        <v>25.6313</v>
      </c>
      <c r="E485" s="14">
        <f>CHOOSE(CONTROL!$C$42, 25.6627, 25.6627) * CHOOSE(CONTROL!$C$21, $C$9, 100%, $E$9)</f>
        <v>25.662700000000001</v>
      </c>
      <c r="F485" s="14">
        <f>CHOOSE(CONTROL!$C$42, 25.4289, 25.4289)*CHOOSE(CONTROL!$C$21, $C$9, 100%, $E$9)</f>
        <v>25.428899999999999</v>
      </c>
      <c r="G485" s="14">
        <f>CHOOSE(CONTROL!$C$42, 25.4461, 25.4461)*CHOOSE(CONTROL!$C$21, $C$9, 100%, $E$9)</f>
        <v>25.446100000000001</v>
      </c>
      <c r="H485" s="14">
        <f>CHOOSE(CONTROL!$C$42, 25.6514, 25.6514) * CHOOSE(CONTROL!$C$21, $C$9, 100%, $E$9)</f>
        <v>25.651399999999999</v>
      </c>
      <c r="I485" s="14">
        <f>CHOOSE(CONTROL!$C$42, 25.5101, 25.5101)* CHOOSE(CONTROL!$C$21, $C$9, 100%, $E$9)</f>
        <v>25.510100000000001</v>
      </c>
      <c r="J485" s="14">
        <f>CHOOSE(CONTROL!$C$42, 25.4219, 25.4219)* CHOOSE(CONTROL!$C$21, $C$9, 100%, $E$9)</f>
        <v>25.421900000000001</v>
      </c>
      <c r="K485" s="53">
        <f>CHOOSE(CONTROL!$C$42, 25.5062, 25.5062) * CHOOSE(CONTROL!$C$21, $C$9, 100%, $E$9)</f>
        <v>25.5062</v>
      </c>
      <c r="L485" s="14">
        <f>CHOOSE(CONTROL!$C$42, 26.2384, 26.2384) * CHOOSE(CONTROL!$C$21, $C$9, 100%, $E$9)</f>
        <v>26.238399999999999</v>
      </c>
      <c r="M485" s="14">
        <f>CHOOSE(CONTROL!$C$42, 24.9087, 24.9087) * CHOOSE(CONTROL!$C$21, $C$9, 100%, $E$9)</f>
        <v>24.9087</v>
      </c>
      <c r="N485" s="14">
        <f>CHOOSE(CONTROL!$C$42, 24.9255, 24.9255) * CHOOSE(CONTROL!$C$21, $C$9, 100%, $E$9)</f>
        <v>24.9255</v>
      </c>
      <c r="O485" s="14">
        <f>CHOOSE(CONTROL!$C$42, 25.1335, 25.1335) * CHOOSE(CONTROL!$C$21, $C$9, 100%, $E$9)</f>
        <v>25.133500000000002</v>
      </c>
      <c r="P485" s="14">
        <f>CHOOSE(CONTROL!$C$42, 24.9936, 24.9936) * CHOOSE(CONTROL!$C$21, $C$9, 100%, $E$9)</f>
        <v>24.993600000000001</v>
      </c>
      <c r="Q485" s="14">
        <f>CHOOSE(CONTROL!$C$42, 25.7282, 25.7282) * CHOOSE(CONTROL!$C$21, $C$9, 100%, $E$9)</f>
        <v>25.728200000000001</v>
      </c>
      <c r="R485" s="14">
        <f>CHOOSE(CONTROL!$C$42, 26.3795, 26.3795) * CHOOSE(CONTROL!$C$21, $C$9, 100%, $E$9)</f>
        <v>26.3795</v>
      </c>
      <c r="S485" s="14">
        <f>CHOOSE(CONTROL!$C$42, 24.3988, 24.3988) * CHOOSE(CONTROL!$C$21, $C$9, 100%, $E$9)</f>
        <v>24.398800000000001</v>
      </c>
      <c r="T48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85" s="57">
        <f>(1000*CHOOSE(CONTROL!$C$42, 695, 695)*CHOOSE(CONTROL!$C$42, 0.5599, 0.5599)*CHOOSE(CONTROL!$C$42, 31, 31))/1000000</f>
        <v>12.063045499999998</v>
      </c>
      <c r="V485" s="57">
        <f>(1000*CHOOSE(CONTROL!$C$42, 500, 500)*CHOOSE(CONTROL!$C$42, 0.275, 0.275)*CHOOSE(CONTROL!$C$42, 31, 31))/1000000</f>
        <v>4.2625000000000002</v>
      </c>
      <c r="W485" s="57">
        <f>(1000*CHOOSE(CONTROL!$C$42, 0.1146, 0.1146)*CHOOSE(CONTROL!$C$42, 121.5, 121.5)*CHOOSE(CONTROL!$C$42, 31, 31))/1000000</f>
        <v>0.43164089999999994</v>
      </c>
      <c r="X485" s="57">
        <f>(31*0.1790888*245000/1000000)+(31*0.2374*100000/1000000)</f>
        <v>2.0961194359999999</v>
      </c>
      <c r="Y485" s="57"/>
      <c r="Z485" s="14"/>
      <c r="AA485" s="56"/>
      <c r="AB485" s="50">
        <f>(B485*194.205+C485*267.466+D485*133.845+E485*53.484+F485*40+G485*185+H485*0+I485*100+J485*300)/(194.205+267.466+133.845+53.484+0+40+185+100+300)</f>
        <v>25.459387233124016</v>
      </c>
      <c r="AC485" s="45">
        <f>(M485*'RAP TEMPLATE-GAS AVAILABILITY'!O484+N485*'RAP TEMPLATE-GAS AVAILABILITY'!P484+O485*'RAP TEMPLATE-GAS AVAILABILITY'!Q484+P485*'RAP TEMPLATE-GAS AVAILABILITY'!R484)/('RAP TEMPLATE-GAS AVAILABILITY'!O484+'RAP TEMPLATE-GAS AVAILABILITY'!P484+'RAP TEMPLATE-GAS AVAILABILITY'!Q484+'RAP TEMPLATE-GAS AVAILABILITY'!R484)</f>
        <v>24.987856834532373</v>
      </c>
    </row>
    <row r="486" spans="1:29" ht="15.75" x14ac:dyDescent="0.25">
      <c r="A486" s="33">
        <v>55700</v>
      </c>
      <c r="B486" s="14">
        <f>CHOOSE(CONTROL!$C$42, 26.1229, 26.1229) * CHOOSE(CONTROL!$C$21, $C$9, 100%, $E$9)</f>
        <v>26.122900000000001</v>
      </c>
      <c r="C486" s="14">
        <f>CHOOSE(CONTROL!$C$42, 26.1309, 26.1309) * CHOOSE(CONTROL!$C$21, $C$9, 100%, $E$9)</f>
        <v>26.1309</v>
      </c>
      <c r="D486" s="14">
        <f>CHOOSE(CONTROL!$C$42, 26.3515, 26.3515) * CHOOSE(CONTROL!$C$21, $C$9, 100%, $E$9)</f>
        <v>26.351500000000001</v>
      </c>
      <c r="E486" s="14">
        <f>CHOOSE(CONTROL!$C$42, 26.383, 26.383) * CHOOSE(CONTROL!$C$21, $C$9, 100%, $E$9)</f>
        <v>26.382999999999999</v>
      </c>
      <c r="F486" s="14">
        <f>CHOOSE(CONTROL!$C$42, 26.1495, 26.1495)*CHOOSE(CONTROL!$C$21, $C$9, 100%, $E$9)</f>
        <v>26.1495</v>
      </c>
      <c r="G486" s="14">
        <f>CHOOSE(CONTROL!$C$42, 26.1667, 26.1667)*CHOOSE(CONTROL!$C$21, $C$9, 100%, $E$9)</f>
        <v>26.166699999999999</v>
      </c>
      <c r="H486" s="14">
        <f>CHOOSE(CONTROL!$C$42, 26.3716, 26.3716) * CHOOSE(CONTROL!$C$21, $C$9, 100%, $E$9)</f>
        <v>26.371600000000001</v>
      </c>
      <c r="I486" s="14">
        <f>CHOOSE(CONTROL!$C$42, 26.2326, 26.2326)* CHOOSE(CONTROL!$C$21, $C$9, 100%, $E$9)</f>
        <v>26.232600000000001</v>
      </c>
      <c r="J486" s="14">
        <f>CHOOSE(CONTROL!$C$42, 26.1425, 26.1425)* CHOOSE(CONTROL!$C$21, $C$9, 100%, $E$9)</f>
        <v>26.142499999999998</v>
      </c>
      <c r="K486" s="53">
        <f>CHOOSE(CONTROL!$C$42, 26.2287, 26.2287) * CHOOSE(CONTROL!$C$21, $C$9, 100%, $E$9)</f>
        <v>26.2287</v>
      </c>
      <c r="L486" s="14">
        <f>CHOOSE(CONTROL!$C$42, 26.9586, 26.9586) * CHOOSE(CONTROL!$C$21, $C$9, 100%, $E$9)</f>
        <v>26.958600000000001</v>
      </c>
      <c r="M486" s="14">
        <f>CHOOSE(CONTROL!$C$42, 25.6146, 25.6146) * CHOOSE(CONTROL!$C$21, $C$9, 100%, $E$9)</f>
        <v>25.614599999999999</v>
      </c>
      <c r="N486" s="14">
        <f>CHOOSE(CONTROL!$C$42, 25.6314, 25.6314) * CHOOSE(CONTROL!$C$21, $C$9, 100%, $E$9)</f>
        <v>25.631399999999999</v>
      </c>
      <c r="O486" s="14">
        <f>CHOOSE(CONTROL!$C$42, 25.839, 25.839) * CHOOSE(CONTROL!$C$21, $C$9, 100%, $E$9)</f>
        <v>25.838999999999999</v>
      </c>
      <c r="P486" s="14">
        <f>CHOOSE(CONTROL!$C$42, 25.7012, 25.7012) * CHOOSE(CONTROL!$C$21, $C$9, 100%, $E$9)</f>
        <v>25.7012</v>
      </c>
      <c r="Q486" s="14">
        <f>CHOOSE(CONTROL!$C$42, 26.4337, 26.4337) * CHOOSE(CONTROL!$C$21, $C$9, 100%, $E$9)</f>
        <v>26.433700000000002</v>
      </c>
      <c r="R486" s="14">
        <f>CHOOSE(CONTROL!$C$42, 27.0868, 27.0868) * CHOOSE(CONTROL!$C$21, $C$9, 100%, $E$9)</f>
        <v>27.0868</v>
      </c>
      <c r="S486" s="14">
        <f>CHOOSE(CONTROL!$C$42, 25.0909, 25.0909) * CHOOSE(CONTROL!$C$21, $C$9, 100%, $E$9)</f>
        <v>25.090900000000001</v>
      </c>
      <c r="T48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86" s="57">
        <f>(1000*CHOOSE(CONTROL!$C$42, 695, 695)*CHOOSE(CONTROL!$C$42, 0.5599, 0.5599)*CHOOSE(CONTROL!$C$42, 30, 30))/1000000</f>
        <v>11.673914999999997</v>
      </c>
      <c r="V486" s="57">
        <f>(1000*CHOOSE(CONTROL!$C$42, 500, 500)*CHOOSE(CONTROL!$C$42, 0.275, 0.275)*CHOOSE(CONTROL!$C$42, 30, 30))/1000000</f>
        <v>4.125</v>
      </c>
      <c r="W486" s="57">
        <f>(1000*CHOOSE(CONTROL!$C$42, 0.1146, 0.1146)*CHOOSE(CONTROL!$C$42, 121.5, 121.5)*CHOOSE(CONTROL!$C$42, 30, 30))/1000000</f>
        <v>0.417717</v>
      </c>
      <c r="X486" s="57">
        <f>(30*0.1790888*245000/1000000)+(30*0.2374*100000/1000000)</f>
        <v>2.0285026799999999</v>
      </c>
      <c r="Y486" s="57"/>
      <c r="Z486" s="14"/>
      <c r="AA486" s="56"/>
      <c r="AB486" s="50">
        <f>(B486*194.205+C486*267.466+D486*133.845+E486*53.484+F486*40+G486*185+H486*0+I486*100+J486*300)/(194.205+267.466+133.845+53.484+0+40+185+100+300)</f>
        <v>26.179936800156987</v>
      </c>
      <c r="AC486" s="45">
        <f>(M486*'RAP TEMPLATE-GAS AVAILABILITY'!O485+N486*'RAP TEMPLATE-GAS AVAILABILITY'!P485+O486*'RAP TEMPLATE-GAS AVAILABILITY'!Q485+P486*'RAP TEMPLATE-GAS AVAILABILITY'!R485)/('RAP TEMPLATE-GAS AVAILABILITY'!O485+'RAP TEMPLATE-GAS AVAILABILITY'!P485+'RAP TEMPLATE-GAS AVAILABILITY'!Q485+'RAP TEMPLATE-GAS AVAILABILITY'!R485)</f>
        <v>25.693889208633088</v>
      </c>
    </row>
    <row r="487" spans="1:29" ht="15.75" x14ac:dyDescent="0.25">
      <c r="A487" s="33">
        <v>55731</v>
      </c>
      <c r="B487" s="14">
        <f>CHOOSE(CONTROL!$C$42, 25.622, 25.622) * CHOOSE(CONTROL!$C$21, $C$9, 100%, $E$9)</f>
        <v>25.622</v>
      </c>
      <c r="C487" s="14">
        <f>CHOOSE(CONTROL!$C$42, 25.63, 25.63) * CHOOSE(CONTROL!$C$21, $C$9, 100%, $E$9)</f>
        <v>25.63</v>
      </c>
      <c r="D487" s="14">
        <f>CHOOSE(CONTROL!$C$42, 25.8506, 25.8506) * CHOOSE(CONTROL!$C$21, $C$9, 100%, $E$9)</f>
        <v>25.8506</v>
      </c>
      <c r="E487" s="14">
        <f>CHOOSE(CONTROL!$C$42, 25.8821, 25.8821) * CHOOSE(CONTROL!$C$21, $C$9, 100%, $E$9)</f>
        <v>25.882100000000001</v>
      </c>
      <c r="F487" s="14">
        <f>CHOOSE(CONTROL!$C$42, 25.649, 25.649)*CHOOSE(CONTROL!$C$21, $C$9, 100%, $E$9)</f>
        <v>25.649000000000001</v>
      </c>
      <c r="G487" s="14">
        <f>CHOOSE(CONTROL!$C$42, 25.6664, 25.6664)*CHOOSE(CONTROL!$C$21, $C$9, 100%, $E$9)</f>
        <v>25.666399999999999</v>
      </c>
      <c r="H487" s="14">
        <f>CHOOSE(CONTROL!$C$42, 25.8707, 25.8707) * CHOOSE(CONTROL!$C$21, $C$9, 100%, $E$9)</f>
        <v>25.870699999999999</v>
      </c>
      <c r="I487" s="14">
        <f>CHOOSE(CONTROL!$C$42, 25.7301, 25.7301)* CHOOSE(CONTROL!$C$21, $C$9, 100%, $E$9)</f>
        <v>25.7301</v>
      </c>
      <c r="J487" s="14">
        <f>CHOOSE(CONTROL!$C$42, 25.642, 25.642)* CHOOSE(CONTROL!$C$21, $C$9, 100%, $E$9)</f>
        <v>25.641999999999999</v>
      </c>
      <c r="K487" s="53">
        <f>CHOOSE(CONTROL!$C$42, 25.7262, 25.7262) * CHOOSE(CONTROL!$C$21, $C$9, 100%, $E$9)</f>
        <v>25.726199999999999</v>
      </c>
      <c r="L487" s="14">
        <f>CHOOSE(CONTROL!$C$42, 26.4577, 26.4577) * CHOOSE(CONTROL!$C$21, $C$9, 100%, $E$9)</f>
        <v>26.457699999999999</v>
      </c>
      <c r="M487" s="14">
        <f>CHOOSE(CONTROL!$C$42, 25.1243, 25.1243) * CHOOSE(CONTROL!$C$21, $C$9, 100%, $E$9)</f>
        <v>25.124300000000002</v>
      </c>
      <c r="N487" s="14">
        <f>CHOOSE(CONTROL!$C$42, 25.1413, 25.1413) * CHOOSE(CONTROL!$C$21, $C$9, 100%, $E$9)</f>
        <v>25.141300000000001</v>
      </c>
      <c r="O487" s="14">
        <f>CHOOSE(CONTROL!$C$42, 25.3483, 25.3483) * CHOOSE(CONTROL!$C$21, $C$9, 100%, $E$9)</f>
        <v>25.348299999999998</v>
      </c>
      <c r="P487" s="14">
        <f>CHOOSE(CONTROL!$C$42, 25.2091, 25.2091) * CHOOSE(CONTROL!$C$21, $C$9, 100%, $E$9)</f>
        <v>25.209099999999999</v>
      </c>
      <c r="Q487" s="14">
        <f>CHOOSE(CONTROL!$C$42, 25.943, 25.943) * CHOOSE(CONTROL!$C$21, $C$9, 100%, $E$9)</f>
        <v>25.943000000000001</v>
      </c>
      <c r="R487" s="14">
        <f>CHOOSE(CONTROL!$C$42, 26.5949, 26.5949) * CHOOSE(CONTROL!$C$21, $C$9, 100%, $E$9)</f>
        <v>26.594899999999999</v>
      </c>
      <c r="S487" s="14">
        <f>CHOOSE(CONTROL!$C$42, 24.6095, 24.6095) * CHOOSE(CONTROL!$C$21, $C$9, 100%, $E$9)</f>
        <v>24.609500000000001</v>
      </c>
      <c r="T48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87" s="57">
        <f>(1000*CHOOSE(CONTROL!$C$42, 695, 695)*CHOOSE(CONTROL!$C$42, 0.5599, 0.5599)*CHOOSE(CONTROL!$C$42, 31, 31))/1000000</f>
        <v>12.063045499999998</v>
      </c>
      <c r="V487" s="57">
        <f>(1000*CHOOSE(CONTROL!$C$42, 500, 500)*CHOOSE(CONTROL!$C$42, 0.275, 0.275)*CHOOSE(CONTROL!$C$42, 31, 31))/1000000</f>
        <v>4.2625000000000002</v>
      </c>
      <c r="W487" s="57">
        <f>(1000*CHOOSE(CONTROL!$C$42, 0.1146, 0.1146)*CHOOSE(CONTROL!$C$42, 121.5, 121.5)*CHOOSE(CONTROL!$C$42, 31, 31))/1000000</f>
        <v>0.43164089999999994</v>
      </c>
      <c r="X487" s="57">
        <f>(31*0.1790888*245000/1000000)+(31*0.2374*100000/1000000)</f>
        <v>2.0961194359999999</v>
      </c>
      <c r="Y487" s="57"/>
      <c r="Z487" s="14"/>
      <c r="AA487" s="56"/>
      <c r="AB487" s="50">
        <f>(B487*194.205+C487*267.466+D487*133.845+E487*53.484+F487*40+G487*185+H487*0+I487*100+J487*300)/(194.205+267.466+133.845+53.484+0+40+185+100+300)</f>
        <v>25.679105089010989</v>
      </c>
      <c r="AC487" s="45">
        <f>(M487*'RAP TEMPLATE-GAS AVAILABILITY'!O486+N487*'RAP TEMPLATE-GAS AVAILABILITY'!P486+O487*'RAP TEMPLATE-GAS AVAILABILITY'!Q486+P487*'RAP TEMPLATE-GAS AVAILABILITY'!R486)/('RAP TEMPLATE-GAS AVAILABILITY'!O486+'RAP TEMPLATE-GAS AVAILABILITY'!P486+'RAP TEMPLATE-GAS AVAILABILITY'!Q486+'RAP TEMPLATE-GAS AVAILABILITY'!R486)</f>
        <v>25.203264028776974</v>
      </c>
    </row>
    <row r="488" spans="1:29" ht="15.75" x14ac:dyDescent="0.25">
      <c r="A488" s="33">
        <v>55762</v>
      </c>
      <c r="B488" s="14">
        <f>CHOOSE(CONTROL!$C$42, 24.357, 24.357) * CHOOSE(CONTROL!$C$21, $C$9, 100%, $E$9)</f>
        <v>24.356999999999999</v>
      </c>
      <c r="C488" s="14">
        <f>CHOOSE(CONTROL!$C$42, 24.365, 24.365) * CHOOSE(CONTROL!$C$21, $C$9, 100%, $E$9)</f>
        <v>24.364999999999998</v>
      </c>
      <c r="D488" s="14">
        <f>CHOOSE(CONTROL!$C$42, 24.5856, 24.5856) * CHOOSE(CONTROL!$C$21, $C$9, 100%, $E$9)</f>
        <v>24.585599999999999</v>
      </c>
      <c r="E488" s="14">
        <f>CHOOSE(CONTROL!$C$42, 24.617, 24.617) * CHOOSE(CONTROL!$C$21, $C$9, 100%, $E$9)</f>
        <v>24.617000000000001</v>
      </c>
      <c r="F488" s="14">
        <f>CHOOSE(CONTROL!$C$42, 24.3843, 24.3843)*CHOOSE(CONTROL!$C$21, $C$9, 100%, $E$9)</f>
        <v>24.3843</v>
      </c>
      <c r="G488" s="14">
        <f>CHOOSE(CONTROL!$C$42, 24.4017, 24.4017)*CHOOSE(CONTROL!$C$21, $C$9, 100%, $E$9)</f>
        <v>24.401700000000002</v>
      </c>
      <c r="H488" s="14">
        <f>CHOOSE(CONTROL!$C$42, 24.6057, 24.6057) * CHOOSE(CONTROL!$C$21, $C$9, 100%, $E$9)</f>
        <v>24.605699999999999</v>
      </c>
      <c r="I488" s="14">
        <f>CHOOSE(CONTROL!$C$42, 24.4611, 24.4611)* CHOOSE(CONTROL!$C$21, $C$9, 100%, $E$9)</f>
        <v>24.461099999999998</v>
      </c>
      <c r="J488" s="14">
        <f>CHOOSE(CONTROL!$C$42, 24.3773, 24.3773)* CHOOSE(CONTROL!$C$21, $C$9, 100%, $E$9)</f>
        <v>24.377300000000002</v>
      </c>
      <c r="K488" s="53">
        <f>CHOOSE(CONTROL!$C$42, 24.4572, 24.4572) * CHOOSE(CONTROL!$C$21, $C$9, 100%, $E$9)</f>
        <v>24.4572</v>
      </c>
      <c r="L488" s="14">
        <f>CHOOSE(CONTROL!$C$42, 25.1927, 25.1927) * CHOOSE(CONTROL!$C$21, $C$9, 100%, $E$9)</f>
        <v>25.192699999999999</v>
      </c>
      <c r="M488" s="14">
        <f>CHOOSE(CONTROL!$C$42, 23.8855, 23.8855) * CHOOSE(CONTROL!$C$21, $C$9, 100%, $E$9)</f>
        <v>23.8855</v>
      </c>
      <c r="N488" s="14">
        <f>CHOOSE(CONTROL!$C$42, 23.9026, 23.9026) * CHOOSE(CONTROL!$C$21, $C$9, 100%, $E$9)</f>
        <v>23.9026</v>
      </c>
      <c r="O488" s="14">
        <f>CHOOSE(CONTROL!$C$42, 24.1092, 24.1092) * CHOOSE(CONTROL!$C$21, $C$9, 100%, $E$9)</f>
        <v>24.109200000000001</v>
      </c>
      <c r="P488" s="14">
        <f>CHOOSE(CONTROL!$C$42, 23.9662, 23.9662) * CHOOSE(CONTROL!$C$21, $C$9, 100%, $E$9)</f>
        <v>23.966200000000001</v>
      </c>
      <c r="Q488" s="14">
        <f>CHOOSE(CONTROL!$C$42, 24.7039, 24.7039) * CHOOSE(CONTROL!$C$21, $C$9, 100%, $E$9)</f>
        <v>24.703900000000001</v>
      </c>
      <c r="R488" s="14">
        <f>CHOOSE(CONTROL!$C$42, 25.3527, 25.3527) * CHOOSE(CONTROL!$C$21, $C$9, 100%, $E$9)</f>
        <v>25.352699999999999</v>
      </c>
      <c r="S488" s="14">
        <f>CHOOSE(CONTROL!$C$42, 23.394, 23.394) * CHOOSE(CONTROL!$C$21, $C$9, 100%, $E$9)</f>
        <v>23.393999999999998</v>
      </c>
      <c r="T48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88" s="57">
        <f>(1000*CHOOSE(CONTROL!$C$42, 695, 695)*CHOOSE(CONTROL!$C$42, 0.5599, 0.5599)*CHOOSE(CONTROL!$C$42, 31, 31))/1000000</f>
        <v>12.063045499999998</v>
      </c>
      <c r="V488" s="57">
        <f>(1000*CHOOSE(CONTROL!$C$42, 500, 500)*CHOOSE(CONTROL!$C$42, 0.275, 0.275)*CHOOSE(CONTROL!$C$42, 31, 31))/1000000</f>
        <v>4.2625000000000002</v>
      </c>
      <c r="W488" s="57">
        <f>(1000*CHOOSE(CONTROL!$C$42, 0.1146, 0.1146)*CHOOSE(CONTROL!$C$42, 121.5, 121.5)*CHOOSE(CONTROL!$C$42, 31, 31))/1000000</f>
        <v>0.43164089999999994</v>
      </c>
      <c r="X488" s="57">
        <f>(31*0.1790888*245000/1000000)+(31*0.2374*100000/1000000)</f>
        <v>2.0961194359999999</v>
      </c>
      <c r="Y488" s="57"/>
      <c r="Z488" s="14"/>
      <c r="AA488" s="56"/>
      <c r="AB488" s="50">
        <f>(B488*194.205+C488*267.466+D488*133.845+E488*53.484+F488*40+G488*185+H488*0+I488*100+J488*300)/(194.205+267.466+133.845+53.484+0+40+185+100+300)</f>
        <v>24.413910545525901</v>
      </c>
      <c r="AC488" s="45">
        <f>(M488*'RAP TEMPLATE-GAS AVAILABILITY'!O487+N488*'RAP TEMPLATE-GAS AVAILABILITY'!P487+O488*'RAP TEMPLATE-GAS AVAILABILITY'!Q487+P488*'RAP TEMPLATE-GAS AVAILABILITY'!R487)/('RAP TEMPLATE-GAS AVAILABILITY'!O487+'RAP TEMPLATE-GAS AVAILABILITY'!P487+'RAP TEMPLATE-GAS AVAILABILITY'!Q487+'RAP TEMPLATE-GAS AVAILABILITY'!R487)</f>
        <v>23.963812949640293</v>
      </c>
    </row>
    <row r="489" spans="1:29" ht="15.75" x14ac:dyDescent="0.25">
      <c r="A489" s="33">
        <v>55792</v>
      </c>
      <c r="B489" s="14">
        <f>CHOOSE(CONTROL!$C$42, 22.8111, 22.8111) * CHOOSE(CONTROL!$C$21, $C$9, 100%, $E$9)</f>
        <v>22.8111</v>
      </c>
      <c r="C489" s="14">
        <f>CHOOSE(CONTROL!$C$42, 22.8191, 22.8191) * CHOOSE(CONTROL!$C$21, $C$9, 100%, $E$9)</f>
        <v>22.819099999999999</v>
      </c>
      <c r="D489" s="14">
        <f>CHOOSE(CONTROL!$C$42, 23.0397, 23.0397) * CHOOSE(CONTROL!$C$21, $C$9, 100%, $E$9)</f>
        <v>23.0397</v>
      </c>
      <c r="E489" s="14">
        <f>CHOOSE(CONTROL!$C$42, 23.0712, 23.0712) * CHOOSE(CONTROL!$C$21, $C$9, 100%, $E$9)</f>
        <v>23.071200000000001</v>
      </c>
      <c r="F489" s="14">
        <f>CHOOSE(CONTROL!$C$42, 22.8385, 22.8385)*CHOOSE(CONTROL!$C$21, $C$9, 100%, $E$9)</f>
        <v>22.8385</v>
      </c>
      <c r="G489" s="14">
        <f>CHOOSE(CONTROL!$C$42, 22.8559, 22.8559)*CHOOSE(CONTROL!$C$21, $C$9, 100%, $E$9)</f>
        <v>22.855899999999998</v>
      </c>
      <c r="H489" s="14">
        <f>CHOOSE(CONTROL!$C$42, 23.0598, 23.0598) * CHOOSE(CONTROL!$C$21, $C$9, 100%, $E$9)</f>
        <v>23.059799999999999</v>
      </c>
      <c r="I489" s="14">
        <f>CHOOSE(CONTROL!$C$42, 22.9104, 22.9104)* CHOOSE(CONTROL!$C$21, $C$9, 100%, $E$9)</f>
        <v>22.910399999999999</v>
      </c>
      <c r="J489" s="14">
        <f>CHOOSE(CONTROL!$C$42, 22.8315, 22.8315)* CHOOSE(CONTROL!$C$21, $C$9, 100%, $E$9)</f>
        <v>22.831499999999998</v>
      </c>
      <c r="K489" s="53">
        <f>CHOOSE(CONTROL!$C$42, 22.9066, 22.9066) * CHOOSE(CONTROL!$C$21, $C$9, 100%, $E$9)</f>
        <v>22.906600000000001</v>
      </c>
      <c r="L489" s="14">
        <f>CHOOSE(CONTROL!$C$42, 23.6468, 23.6468) * CHOOSE(CONTROL!$C$21, $C$9, 100%, $E$9)</f>
        <v>23.646799999999999</v>
      </c>
      <c r="M489" s="14">
        <f>CHOOSE(CONTROL!$C$42, 22.3714, 22.3714) * CHOOSE(CONTROL!$C$21, $C$9, 100%, $E$9)</f>
        <v>22.371400000000001</v>
      </c>
      <c r="N489" s="14">
        <f>CHOOSE(CONTROL!$C$42, 22.3884, 22.3884) * CHOOSE(CONTROL!$C$21, $C$9, 100%, $E$9)</f>
        <v>22.388400000000001</v>
      </c>
      <c r="O489" s="14">
        <f>CHOOSE(CONTROL!$C$42, 22.595, 22.595) * CHOOSE(CONTROL!$C$21, $C$9, 100%, $E$9)</f>
        <v>22.594999999999999</v>
      </c>
      <c r="P489" s="14">
        <f>CHOOSE(CONTROL!$C$42, 22.4474, 22.4474) * CHOOSE(CONTROL!$C$21, $C$9, 100%, $E$9)</f>
        <v>22.447399999999998</v>
      </c>
      <c r="Q489" s="14">
        <f>CHOOSE(CONTROL!$C$42, 23.1897, 23.1897) * CHOOSE(CONTROL!$C$21, $C$9, 100%, $E$9)</f>
        <v>23.189699999999998</v>
      </c>
      <c r="R489" s="14">
        <f>CHOOSE(CONTROL!$C$42, 23.8347, 23.8347) * CHOOSE(CONTROL!$C$21, $C$9, 100%, $E$9)</f>
        <v>23.834700000000002</v>
      </c>
      <c r="S489" s="14">
        <f>CHOOSE(CONTROL!$C$42, 21.9086, 21.9086) * CHOOSE(CONTROL!$C$21, $C$9, 100%, $E$9)</f>
        <v>21.9086</v>
      </c>
      <c r="T48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89" s="57">
        <f>(1000*CHOOSE(CONTROL!$C$42, 695, 695)*CHOOSE(CONTROL!$C$42, 0.5599, 0.5599)*CHOOSE(CONTROL!$C$42, 30, 30))/1000000</f>
        <v>11.673914999999997</v>
      </c>
      <c r="V489" s="57">
        <f>(1000*CHOOSE(CONTROL!$C$42, 500, 500)*CHOOSE(CONTROL!$C$42, 0.275, 0.275)*CHOOSE(CONTROL!$C$42, 30, 30))/1000000</f>
        <v>4.125</v>
      </c>
      <c r="W489" s="57">
        <f>(1000*CHOOSE(CONTROL!$C$42, 0.1146, 0.1146)*CHOOSE(CONTROL!$C$42, 121.5, 121.5)*CHOOSE(CONTROL!$C$42, 30, 30))/1000000</f>
        <v>0.417717</v>
      </c>
      <c r="X489" s="57">
        <f>(30*0.1790888*245000/1000000)+(30*0.2374*100000/1000000)</f>
        <v>2.0285026799999999</v>
      </c>
      <c r="Y489" s="57"/>
      <c r="Z489" s="14"/>
      <c r="AA489" s="56"/>
      <c r="AB489" s="50">
        <f>(B489*194.205+C489*267.466+D489*133.845+E489*53.484+F489*40+G489*185+H489*0+I489*100+J489*300)/(194.205+267.466+133.845+53.484+0+40+185+100+300)</f>
        <v>22.86767918634223</v>
      </c>
      <c r="AC489" s="45">
        <f>(M489*'RAP TEMPLATE-GAS AVAILABILITY'!O488+N489*'RAP TEMPLATE-GAS AVAILABILITY'!P488+O489*'RAP TEMPLATE-GAS AVAILABILITY'!Q488+P489*'RAP TEMPLATE-GAS AVAILABILITY'!R488)/('RAP TEMPLATE-GAS AVAILABILITY'!O488+'RAP TEMPLATE-GAS AVAILABILITY'!P488+'RAP TEMPLATE-GAS AVAILABILITY'!Q488+'RAP TEMPLATE-GAS AVAILABILITY'!R488)</f>
        <v>22.448985611510793</v>
      </c>
    </row>
    <row r="490" spans="1:29" ht="15.75" x14ac:dyDescent="0.25">
      <c r="A490" s="33">
        <v>55823</v>
      </c>
      <c r="B490" s="14">
        <f>CHOOSE(CONTROL!$C$42, 22.3464, 22.3464) * CHOOSE(CONTROL!$C$21, $C$9, 100%, $E$9)</f>
        <v>22.346399999999999</v>
      </c>
      <c r="C490" s="14">
        <f>CHOOSE(CONTROL!$C$42, 22.3518, 22.3518) * CHOOSE(CONTROL!$C$21, $C$9, 100%, $E$9)</f>
        <v>22.351800000000001</v>
      </c>
      <c r="D490" s="14">
        <f>CHOOSE(CONTROL!$C$42, 22.5773, 22.5773) * CHOOSE(CONTROL!$C$21, $C$9, 100%, $E$9)</f>
        <v>22.577300000000001</v>
      </c>
      <c r="E490" s="14">
        <f>CHOOSE(CONTROL!$C$42, 22.6064, 22.6064) * CHOOSE(CONTROL!$C$21, $C$9, 100%, $E$9)</f>
        <v>22.606400000000001</v>
      </c>
      <c r="F490" s="14">
        <f>CHOOSE(CONTROL!$C$42, 22.3758, 22.3758)*CHOOSE(CONTROL!$C$21, $C$9, 100%, $E$9)</f>
        <v>22.375800000000002</v>
      </c>
      <c r="G490" s="14">
        <f>CHOOSE(CONTROL!$C$42, 22.393, 22.393)*CHOOSE(CONTROL!$C$21, $C$9, 100%, $E$9)</f>
        <v>22.393000000000001</v>
      </c>
      <c r="H490" s="14">
        <f>CHOOSE(CONTROL!$C$42, 22.5969, 22.5969) * CHOOSE(CONTROL!$C$21, $C$9, 100%, $E$9)</f>
        <v>22.596900000000002</v>
      </c>
      <c r="I490" s="14">
        <f>CHOOSE(CONTROL!$C$42, 22.4461, 22.4461)* CHOOSE(CONTROL!$C$21, $C$9, 100%, $E$9)</f>
        <v>22.446100000000001</v>
      </c>
      <c r="J490" s="14">
        <f>CHOOSE(CONTROL!$C$42, 22.3688, 22.3688)* CHOOSE(CONTROL!$C$21, $C$9, 100%, $E$9)</f>
        <v>22.3688</v>
      </c>
      <c r="K490" s="53">
        <f>CHOOSE(CONTROL!$C$42, 22.4422, 22.4422) * CHOOSE(CONTROL!$C$21, $C$9, 100%, $E$9)</f>
        <v>22.4422</v>
      </c>
      <c r="L490" s="14">
        <f>CHOOSE(CONTROL!$C$42, 23.1839, 23.1839) * CHOOSE(CONTROL!$C$21, $C$9, 100%, $E$9)</f>
        <v>23.183900000000001</v>
      </c>
      <c r="M490" s="14">
        <f>CHOOSE(CONTROL!$C$42, 21.9182, 21.9182) * CHOOSE(CONTROL!$C$21, $C$9, 100%, $E$9)</f>
        <v>21.918199999999999</v>
      </c>
      <c r="N490" s="14">
        <f>CHOOSE(CONTROL!$C$42, 21.9351, 21.9351) * CHOOSE(CONTROL!$C$21, $C$9, 100%, $E$9)</f>
        <v>21.935099999999998</v>
      </c>
      <c r="O490" s="14">
        <f>CHOOSE(CONTROL!$C$42, 22.1416, 22.1416) * CHOOSE(CONTROL!$C$21, $C$9, 100%, $E$9)</f>
        <v>22.1416</v>
      </c>
      <c r="P490" s="14">
        <f>CHOOSE(CONTROL!$C$42, 21.9925, 21.9925) * CHOOSE(CONTROL!$C$21, $C$9, 100%, $E$9)</f>
        <v>21.9925</v>
      </c>
      <c r="Q490" s="14">
        <f>CHOOSE(CONTROL!$C$42, 22.7363, 22.7363) * CHOOSE(CONTROL!$C$21, $C$9, 100%, $E$9)</f>
        <v>22.7363</v>
      </c>
      <c r="R490" s="14">
        <f>CHOOSE(CONTROL!$C$42, 23.3801, 23.3801) * CHOOSE(CONTROL!$C$21, $C$9, 100%, $E$9)</f>
        <v>23.380099999999999</v>
      </c>
      <c r="S490" s="14">
        <f>CHOOSE(CONTROL!$C$42, 21.4638, 21.4638) * CHOOSE(CONTROL!$C$21, $C$9, 100%, $E$9)</f>
        <v>21.463799999999999</v>
      </c>
      <c r="T49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90" s="57">
        <f>(1000*CHOOSE(CONTROL!$C$42, 695, 695)*CHOOSE(CONTROL!$C$42, 0.5599, 0.5599)*CHOOSE(CONTROL!$C$42, 31, 31))/1000000</f>
        <v>12.063045499999998</v>
      </c>
      <c r="V490" s="57">
        <f>(1000*CHOOSE(CONTROL!$C$42, 500, 500)*CHOOSE(CONTROL!$C$42, 0.275, 0.275)*CHOOSE(CONTROL!$C$42, 31, 31))/1000000</f>
        <v>4.2625000000000002</v>
      </c>
      <c r="W490" s="57">
        <f>(1000*CHOOSE(CONTROL!$C$42, 0.1146, 0.1146)*CHOOSE(CONTROL!$C$42, 121.5, 121.5)*CHOOSE(CONTROL!$C$42, 31, 31))/1000000</f>
        <v>0.43164089999999994</v>
      </c>
      <c r="X490" s="57">
        <f>(31*0.1790888*245000/1000000)+(31*0.2374*100000/1000000)</f>
        <v>2.0961194359999999</v>
      </c>
      <c r="Y490" s="57"/>
      <c r="Z490" s="14"/>
      <c r="AA490" s="56"/>
      <c r="AB490" s="50">
        <f>(B490*131.881+C490*277.167+D490*79.08+E490*125.872+F490*40+G490*185+H490*0+I490*100+J490*300)/(131.881+277.167+79.08+125.872+0+40+185+100+300)</f>
        <v>22.410136879580307</v>
      </c>
      <c r="AC490" s="45">
        <f>(M490*'RAP TEMPLATE-GAS AVAILABILITY'!O489+N490*'RAP TEMPLATE-GAS AVAILABILITY'!P489+O490*'RAP TEMPLATE-GAS AVAILABILITY'!Q489+P490*'RAP TEMPLATE-GAS AVAILABILITY'!R489)/('RAP TEMPLATE-GAS AVAILABILITY'!O489+'RAP TEMPLATE-GAS AVAILABILITY'!P489+'RAP TEMPLATE-GAS AVAILABILITY'!Q489+'RAP TEMPLATE-GAS AVAILABILITY'!R489)</f>
        <v>21.9954618705036</v>
      </c>
    </row>
    <row r="491" spans="1:29" ht="15.75" x14ac:dyDescent="0.25">
      <c r="A491" s="33">
        <v>55853</v>
      </c>
      <c r="B491" s="14">
        <f>CHOOSE(CONTROL!$C$42, 22.9345, 22.9345) * CHOOSE(CONTROL!$C$21, $C$9, 100%, $E$9)</f>
        <v>22.9345</v>
      </c>
      <c r="C491" s="14">
        <f>CHOOSE(CONTROL!$C$42, 22.9395, 22.9395) * CHOOSE(CONTROL!$C$21, $C$9, 100%, $E$9)</f>
        <v>22.939499999999999</v>
      </c>
      <c r="D491" s="14">
        <f>CHOOSE(CONTROL!$C$42, 23.0138, 23.0138) * CHOOSE(CONTROL!$C$21, $C$9, 100%, $E$9)</f>
        <v>23.0138</v>
      </c>
      <c r="E491" s="14">
        <f>CHOOSE(CONTROL!$C$42, 23.0479, 23.0479) * CHOOSE(CONTROL!$C$21, $C$9, 100%, $E$9)</f>
        <v>23.047899999999998</v>
      </c>
      <c r="F491" s="14">
        <f>CHOOSE(CONTROL!$C$42, 22.9705, 22.9705)*CHOOSE(CONTROL!$C$21, $C$9, 100%, $E$9)</f>
        <v>22.970500000000001</v>
      </c>
      <c r="G491" s="14">
        <f>CHOOSE(CONTROL!$C$42, 22.9881, 22.9881)*CHOOSE(CONTROL!$C$21, $C$9, 100%, $E$9)</f>
        <v>22.988099999999999</v>
      </c>
      <c r="H491" s="14">
        <f>CHOOSE(CONTROL!$C$42, 23.0371, 23.0371) * CHOOSE(CONTROL!$C$21, $C$9, 100%, $E$9)</f>
        <v>23.037099999999999</v>
      </c>
      <c r="I491" s="14">
        <f>CHOOSE(CONTROL!$C$42, 23.0338, 23.0338)* CHOOSE(CONTROL!$C$21, $C$9, 100%, $E$9)</f>
        <v>23.033799999999999</v>
      </c>
      <c r="J491" s="14">
        <f>CHOOSE(CONTROL!$C$42, 22.9635, 22.9635)* CHOOSE(CONTROL!$C$21, $C$9, 100%, $E$9)</f>
        <v>22.9635</v>
      </c>
      <c r="K491" s="53">
        <f>CHOOSE(CONTROL!$C$42, 23.0299, 23.0299) * CHOOSE(CONTROL!$C$21, $C$9, 100%, $E$9)</f>
        <v>23.029900000000001</v>
      </c>
      <c r="L491" s="14">
        <f>CHOOSE(CONTROL!$C$42, 23.6241, 23.6241) * CHOOSE(CONTROL!$C$21, $C$9, 100%, $E$9)</f>
        <v>23.624099999999999</v>
      </c>
      <c r="M491" s="14">
        <f>CHOOSE(CONTROL!$C$42, 22.5007, 22.5007) * CHOOSE(CONTROL!$C$21, $C$9, 100%, $E$9)</f>
        <v>22.500699999999998</v>
      </c>
      <c r="N491" s="14">
        <f>CHOOSE(CONTROL!$C$42, 22.5179, 22.5179) * CHOOSE(CONTROL!$C$21, $C$9, 100%, $E$9)</f>
        <v>22.517900000000001</v>
      </c>
      <c r="O491" s="14">
        <f>CHOOSE(CONTROL!$C$42, 22.5727, 22.5727) * CHOOSE(CONTROL!$C$21, $C$9, 100%, $E$9)</f>
        <v>22.572700000000001</v>
      </c>
      <c r="P491" s="14">
        <f>CHOOSE(CONTROL!$C$42, 22.5681, 22.5681) * CHOOSE(CONTROL!$C$21, $C$9, 100%, $E$9)</f>
        <v>22.568100000000001</v>
      </c>
      <c r="Q491" s="14">
        <f>CHOOSE(CONTROL!$C$42, 23.1674, 23.1674) * CHOOSE(CONTROL!$C$21, $C$9, 100%, $E$9)</f>
        <v>23.167400000000001</v>
      </c>
      <c r="R491" s="14">
        <f>CHOOSE(CONTROL!$C$42, 23.8124, 23.8124) * CHOOSE(CONTROL!$C$21, $C$9, 100%, $E$9)</f>
        <v>23.8124</v>
      </c>
      <c r="S491" s="14">
        <f>CHOOSE(CONTROL!$C$42, 22.0292, 22.0292) * CHOOSE(CONTROL!$C$21, $C$9, 100%, $E$9)</f>
        <v>22.029199999999999</v>
      </c>
      <c r="T49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91" s="57">
        <f>(1000*CHOOSE(CONTROL!$C$42, 695, 695)*CHOOSE(CONTROL!$C$42, 0.5599, 0.5599)*CHOOSE(CONTROL!$C$42, 30, 30))/1000000</f>
        <v>11.673914999999997</v>
      </c>
      <c r="V491" s="57">
        <f>(1000*CHOOSE(CONTROL!$C$42, 500, 500)*CHOOSE(CONTROL!$C$42, 0.275, 0.275)*CHOOSE(CONTROL!$C$42, 30, 30))/1000000</f>
        <v>4.125</v>
      </c>
      <c r="W491" s="57">
        <f>(1000*CHOOSE(CONTROL!$C$42, 0.1146, 0.1146)*CHOOSE(CONTROL!$C$42, 121.5, 121.5)*CHOOSE(CONTROL!$C$42, 30, 30))/1000000</f>
        <v>0.417717</v>
      </c>
      <c r="X491" s="57">
        <f>(30*0.1790888*100000/1000000)+(30*0.2374*100000/1000000)</f>
        <v>1.2494664</v>
      </c>
      <c r="Y491" s="57"/>
      <c r="Z491" s="14"/>
      <c r="AA491" s="56"/>
      <c r="AB491" s="50">
        <f>(B491*122.58+C491*297.941+D491*89.177+E491*40.302+F491*40+G491*160+H491*0+I491*100+J491*300)/(122.58+297.941+89.177+40.302+0+40+160+100+300)</f>
        <v>22.970828424260869</v>
      </c>
      <c r="AC491" s="45">
        <f>(M491*'RAP TEMPLATE-GAS AVAILABILITY'!O490+N491*'RAP TEMPLATE-GAS AVAILABILITY'!P490+O491*'RAP TEMPLATE-GAS AVAILABILITY'!Q490+P491*'RAP TEMPLATE-GAS AVAILABILITY'!R490)/('RAP TEMPLATE-GAS AVAILABILITY'!O490+'RAP TEMPLATE-GAS AVAILABILITY'!P490+'RAP TEMPLATE-GAS AVAILABILITY'!Q490+'RAP TEMPLATE-GAS AVAILABILITY'!R490)</f>
        <v>22.544020863309353</v>
      </c>
    </row>
    <row r="492" spans="1:29" ht="15.75" x14ac:dyDescent="0.25">
      <c r="A492" s="33">
        <v>55884</v>
      </c>
      <c r="B492" s="14">
        <f>CHOOSE(CONTROL!$C$42, 24.4975, 24.4975) * CHOOSE(CONTROL!$C$21, $C$9, 100%, $E$9)</f>
        <v>24.497499999999999</v>
      </c>
      <c r="C492" s="14">
        <f>CHOOSE(CONTROL!$C$42, 24.5025, 24.5025) * CHOOSE(CONTROL!$C$21, $C$9, 100%, $E$9)</f>
        <v>24.502500000000001</v>
      </c>
      <c r="D492" s="14">
        <f>CHOOSE(CONTROL!$C$42, 24.5768, 24.5768) * CHOOSE(CONTROL!$C$21, $C$9, 100%, $E$9)</f>
        <v>24.576799999999999</v>
      </c>
      <c r="E492" s="14">
        <f>CHOOSE(CONTROL!$C$42, 24.6109, 24.6109) * CHOOSE(CONTROL!$C$21, $C$9, 100%, $E$9)</f>
        <v>24.610900000000001</v>
      </c>
      <c r="F492" s="14">
        <f>CHOOSE(CONTROL!$C$42, 24.5359, 24.5359)*CHOOSE(CONTROL!$C$21, $C$9, 100%, $E$9)</f>
        <v>24.535900000000002</v>
      </c>
      <c r="G492" s="14">
        <f>CHOOSE(CONTROL!$C$42, 24.554, 24.554)*CHOOSE(CONTROL!$C$21, $C$9, 100%, $E$9)</f>
        <v>24.553999999999998</v>
      </c>
      <c r="H492" s="14">
        <f>CHOOSE(CONTROL!$C$42, 24.6001, 24.6001) * CHOOSE(CONTROL!$C$21, $C$9, 100%, $E$9)</f>
        <v>24.600100000000001</v>
      </c>
      <c r="I492" s="14">
        <f>CHOOSE(CONTROL!$C$42, 24.6017, 24.6017)* CHOOSE(CONTROL!$C$21, $C$9, 100%, $E$9)</f>
        <v>24.601700000000001</v>
      </c>
      <c r="J492" s="14">
        <f>CHOOSE(CONTROL!$C$42, 24.5289, 24.5289)* CHOOSE(CONTROL!$C$21, $C$9, 100%, $E$9)</f>
        <v>24.5289</v>
      </c>
      <c r="K492" s="53">
        <f>CHOOSE(CONTROL!$C$42, 24.5978, 24.5978) * CHOOSE(CONTROL!$C$21, $C$9, 100%, $E$9)</f>
        <v>24.597799999999999</v>
      </c>
      <c r="L492" s="14">
        <f>CHOOSE(CONTROL!$C$42, 25.1871, 25.1871) * CHOOSE(CONTROL!$C$21, $C$9, 100%, $E$9)</f>
        <v>25.187100000000001</v>
      </c>
      <c r="M492" s="14">
        <f>CHOOSE(CONTROL!$C$42, 24.034, 24.034) * CHOOSE(CONTROL!$C$21, $C$9, 100%, $E$9)</f>
        <v>24.033999999999999</v>
      </c>
      <c r="N492" s="14">
        <f>CHOOSE(CONTROL!$C$42, 24.0518, 24.0518) * CHOOSE(CONTROL!$C$21, $C$9, 100%, $E$9)</f>
        <v>24.0518</v>
      </c>
      <c r="O492" s="14">
        <f>CHOOSE(CONTROL!$C$42, 24.1037, 24.1037) * CHOOSE(CONTROL!$C$21, $C$9, 100%, $E$9)</f>
        <v>24.1037</v>
      </c>
      <c r="P492" s="14">
        <f>CHOOSE(CONTROL!$C$42, 24.1038, 24.1038) * CHOOSE(CONTROL!$C$21, $C$9, 100%, $E$9)</f>
        <v>24.1038</v>
      </c>
      <c r="Q492" s="14">
        <f>CHOOSE(CONTROL!$C$42, 24.6984, 24.6984) * CHOOSE(CONTROL!$C$21, $C$9, 100%, $E$9)</f>
        <v>24.698399999999999</v>
      </c>
      <c r="R492" s="14">
        <f>CHOOSE(CONTROL!$C$42, 25.3472, 25.3472) * CHOOSE(CONTROL!$C$21, $C$9, 100%, $E$9)</f>
        <v>25.347200000000001</v>
      </c>
      <c r="S492" s="14">
        <f>CHOOSE(CONTROL!$C$42, 23.5311, 23.5311) * CHOOSE(CONTROL!$C$21, $C$9, 100%, $E$9)</f>
        <v>23.531099999999999</v>
      </c>
      <c r="T49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92" s="57">
        <f>(1000*CHOOSE(CONTROL!$C$42, 695, 695)*CHOOSE(CONTROL!$C$42, 0.5599, 0.5599)*CHOOSE(CONTROL!$C$42, 31, 31))/1000000</f>
        <v>12.063045499999998</v>
      </c>
      <c r="V492" s="57">
        <f>(1000*CHOOSE(CONTROL!$C$42, 500, 500)*CHOOSE(CONTROL!$C$42, 0.275, 0.275)*CHOOSE(CONTROL!$C$42, 31, 31))/1000000</f>
        <v>4.2625000000000002</v>
      </c>
      <c r="W492" s="57">
        <f>(1000*CHOOSE(CONTROL!$C$42, 0.1146, 0.1146)*CHOOSE(CONTROL!$C$42, 121.5, 121.5)*CHOOSE(CONTROL!$C$42, 31, 31))/1000000</f>
        <v>0.43164089999999994</v>
      </c>
      <c r="X492" s="57">
        <f>(31*0.1790888*100000/1000000)+(31*0.2374*100000/1000000)</f>
        <v>1.2911152800000001</v>
      </c>
      <c r="Y492" s="57"/>
      <c r="Z492" s="14"/>
      <c r="AA492" s="56"/>
      <c r="AB492" s="50">
        <f>(B492*122.58+C492*297.941+D492*89.177+E492*40.302+F492*40+G492*160+H492*0+I492*100+J492*300)/(122.58+297.941+89.177+40.302+0+40+160+100+300)</f>
        <v>24.53536755469565</v>
      </c>
      <c r="AC492" s="45">
        <f>(M492*'RAP TEMPLATE-GAS AVAILABILITY'!O491+N492*'RAP TEMPLATE-GAS AVAILABILITY'!P491+O492*'RAP TEMPLATE-GAS AVAILABILITY'!Q491+P492*'RAP TEMPLATE-GAS AVAILABILITY'!R491)/('RAP TEMPLATE-GAS AVAILABILITY'!O491+'RAP TEMPLATE-GAS AVAILABILITY'!P491+'RAP TEMPLATE-GAS AVAILABILITY'!Q491+'RAP TEMPLATE-GAS AVAILABILITY'!R491)</f>
        <v>24.076658273381295</v>
      </c>
    </row>
    <row r="493" spans="1:29" ht="15.75" x14ac:dyDescent="0.25">
      <c r="A493" s="33">
        <v>55915</v>
      </c>
      <c r="B493" s="14">
        <f>CHOOSE(CONTROL!$C$42, 26.5275, 26.5275) * CHOOSE(CONTROL!$C$21, $C$9, 100%, $E$9)</f>
        <v>26.5275</v>
      </c>
      <c r="C493" s="14">
        <f>CHOOSE(CONTROL!$C$42, 26.5326, 26.5326) * CHOOSE(CONTROL!$C$21, $C$9, 100%, $E$9)</f>
        <v>26.532599999999999</v>
      </c>
      <c r="D493" s="14">
        <f>CHOOSE(CONTROL!$C$42, 26.6094, 26.6094) * CHOOSE(CONTROL!$C$21, $C$9, 100%, $E$9)</f>
        <v>26.609400000000001</v>
      </c>
      <c r="E493" s="14">
        <f>CHOOSE(CONTROL!$C$42, 26.6435, 26.6435) * CHOOSE(CONTROL!$C$21, $C$9, 100%, $E$9)</f>
        <v>26.6435</v>
      </c>
      <c r="F493" s="14">
        <f>CHOOSE(CONTROL!$C$42, 26.5523, 26.5523)*CHOOSE(CONTROL!$C$21, $C$9, 100%, $E$9)</f>
        <v>26.552299999999999</v>
      </c>
      <c r="G493" s="14">
        <f>CHOOSE(CONTROL!$C$42, 26.5703, 26.5703)*CHOOSE(CONTROL!$C$21, $C$9, 100%, $E$9)</f>
        <v>26.5703</v>
      </c>
      <c r="H493" s="14">
        <f>CHOOSE(CONTROL!$C$42, 26.6327, 26.6327) * CHOOSE(CONTROL!$C$21, $C$9, 100%, $E$9)</f>
        <v>26.6327</v>
      </c>
      <c r="I493" s="14">
        <f>CHOOSE(CONTROL!$C$42, 26.6443, 26.6443)* CHOOSE(CONTROL!$C$21, $C$9, 100%, $E$9)</f>
        <v>26.644300000000001</v>
      </c>
      <c r="J493" s="14">
        <f>CHOOSE(CONTROL!$C$42, 26.5453, 26.5453)* CHOOSE(CONTROL!$C$21, $C$9, 100%, $E$9)</f>
        <v>26.545300000000001</v>
      </c>
      <c r="K493" s="53">
        <f>CHOOSE(CONTROL!$C$42, 26.6405, 26.6405) * CHOOSE(CONTROL!$C$21, $C$9, 100%, $E$9)</f>
        <v>26.640499999999999</v>
      </c>
      <c r="L493" s="14">
        <f>CHOOSE(CONTROL!$C$42, 27.2197, 27.2197) * CHOOSE(CONTROL!$C$21, $C$9, 100%, $E$9)</f>
        <v>27.2197</v>
      </c>
      <c r="M493" s="14">
        <f>CHOOSE(CONTROL!$C$42, 26.0091, 26.0091) * CHOOSE(CONTROL!$C$21, $C$9, 100%, $E$9)</f>
        <v>26.0091</v>
      </c>
      <c r="N493" s="14">
        <f>CHOOSE(CONTROL!$C$42, 26.0267, 26.0267) * CHOOSE(CONTROL!$C$21, $C$9, 100%, $E$9)</f>
        <v>26.026700000000002</v>
      </c>
      <c r="O493" s="14">
        <f>CHOOSE(CONTROL!$C$42, 26.0947, 26.0947) * CHOOSE(CONTROL!$C$21, $C$9, 100%, $E$9)</f>
        <v>26.0947</v>
      </c>
      <c r="P493" s="14">
        <f>CHOOSE(CONTROL!$C$42, 26.1045, 26.1045) * CHOOSE(CONTROL!$C$21, $C$9, 100%, $E$9)</f>
        <v>26.104500000000002</v>
      </c>
      <c r="Q493" s="14">
        <f>CHOOSE(CONTROL!$C$42, 26.6894, 26.6894) * CHOOSE(CONTROL!$C$21, $C$9, 100%, $E$9)</f>
        <v>26.689399999999999</v>
      </c>
      <c r="R493" s="14">
        <f>CHOOSE(CONTROL!$C$42, 27.3432, 27.3432) * CHOOSE(CONTROL!$C$21, $C$9, 100%, $E$9)</f>
        <v>27.3432</v>
      </c>
      <c r="S493" s="14">
        <f>CHOOSE(CONTROL!$C$42, 25.4818, 25.4818) * CHOOSE(CONTROL!$C$21, $C$9, 100%, $E$9)</f>
        <v>25.4818</v>
      </c>
      <c r="T49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3" s="57">
        <f>(1000*CHOOSE(CONTROL!$C$42, 695, 695)*CHOOSE(CONTROL!$C$42, 0.5599, 0.5599)*CHOOSE(CONTROL!$C$42, 31, 31))/1000000</f>
        <v>12.063045499999998</v>
      </c>
      <c r="V493" s="57">
        <f>(1000*CHOOSE(CONTROL!$C$42, 500, 500)*CHOOSE(CONTROL!$C$42, 0.275, 0.275)*CHOOSE(CONTROL!$C$42, 31, 31))/1000000</f>
        <v>4.2625000000000002</v>
      </c>
      <c r="W493" s="57">
        <f>(1000*CHOOSE(CONTROL!$C$42, 0.1146, 0.1146)*CHOOSE(CONTROL!$C$42, 121.5, 121.5)*CHOOSE(CONTROL!$C$42, 31, 31))/1000000</f>
        <v>0.43164089999999994</v>
      </c>
      <c r="X493" s="57">
        <f>(31*0.1790888*100000/1000000)+(31*0.2374*100000/1000000)</f>
        <v>1.2911152800000001</v>
      </c>
      <c r="Y493" s="57"/>
      <c r="Z493" s="14"/>
      <c r="AA493" s="56"/>
      <c r="AB493" s="50">
        <f>(B493*122.58+C493*297.941+D493*89.177+E493*40.302+F493*40+G493*160+H493*0+I493*100+J493*300)/(122.58+297.941+89.177+40.302+0+40+160+100+300)</f>
        <v>26.560854893391305</v>
      </c>
      <c r="AC493" s="45">
        <f>(M493*'RAP TEMPLATE-GAS AVAILABILITY'!O492+N493*'RAP TEMPLATE-GAS AVAILABILITY'!P492+O493*'RAP TEMPLATE-GAS AVAILABILITY'!Q492+P493*'RAP TEMPLATE-GAS AVAILABILITY'!R492)/('RAP TEMPLATE-GAS AVAILABILITY'!O492+'RAP TEMPLATE-GAS AVAILABILITY'!P492+'RAP TEMPLATE-GAS AVAILABILITY'!Q492+'RAP TEMPLATE-GAS AVAILABILITY'!R492)</f>
        <v>26.062636690647484</v>
      </c>
    </row>
    <row r="494" spans="1:29" ht="15.75" x14ac:dyDescent="0.25">
      <c r="A494" s="33">
        <v>55943</v>
      </c>
      <c r="B494" s="14">
        <f>CHOOSE(CONTROL!$C$42, 26.9996, 26.9996) * CHOOSE(CONTROL!$C$21, $C$9, 100%, $E$9)</f>
        <v>26.999600000000001</v>
      </c>
      <c r="C494" s="14">
        <f>CHOOSE(CONTROL!$C$42, 27.0047, 27.0047) * CHOOSE(CONTROL!$C$21, $C$9, 100%, $E$9)</f>
        <v>27.0047</v>
      </c>
      <c r="D494" s="14">
        <f>CHOOSE(CONTROL!$C$42, 27.0815, 27.0815) * CHOOSE(CONTROL!$C$21, $C$9, 100%, $E$9)</f>
        <v>27.081499999999998</v>
      </c>
      <c r="E494" s="14">
        <f>CHOOSE(CONTROL!$C$42, 27.1156, 27.1156) * CHOOSE(CONTROL!$C$21, $C$9, 100%, $E$9)</f>
        <v>27.115600000000001</v>
      </c>
      <c r="F494" s="14">
        <f>CHOOSE(CONTROL!$C$42, 27.0239, 27.0239)*CHOOSE(CONTROL!$C$21, $C$9, 100%, $E$9)</f>
        <v>27.023900000000001</v>
      </c>
      <c r="G494" s="14">
        <f>CHOOSE(CONTROL!$C$42, 27.0418, 27.0418)*CHOOSE(CONTROL!$C$21, $C$9, 100%, $E$9)</f>
        <v>27.041799999999999</v>
      </c>
      <c r="H494" s="14">
        <f>CHOOSE(CONTROL!$C$42, 27.1048, 27.1048) * CHOOSE(CONTROL!$C$21, $C$9, 100%, $E$9)</f>
        <v>27.104800000000001</v>
      </c>
      <c r="I494" s="14">
        <f>CHOOSE(CONTROL!$C$42, 27.1179, 27.1179)* CHOOSE(CONTROL!$C$21, $C$9, 100%, $E$9)</f>
        <v>27.117899999999999</v>
      </c>
      <c r="J494" s="14">
        <f>CHOOSE(CONTROL!$C$42, 27.0169, 27.0169)* CHOOSE(CONTROL!$C$21, $C$9, 100%, $E$9)</f>
        <v>27.0169</v>
      </c>
      <c r="K494" s="53">
        <f>CHOOSE(CONTROL!$C$42, 27.114, 27.114) * CHOOSE(CONTROL!$C$21, $C$9, 100%, $E$9)</f>
        <v>27.114000000000001</v>
      </c>
      <c r="L494" s="14">
        <f>CHOOSE(CONTROL!$C$42, 27.6918, 27.6918) * CHOOSE(CONTROL!$C$21, $C$9, 100%, $E$9)</f>
        <v>27.691800000000001</v>
      </c>
      <c r="M494" s="14">
        <f>CHOOSE(CONTROL!$C$42, 26.4711, 26.4711) * CHOOSE(CONTROL!$C$21, $C$9, 100%, $E$9)</f>
        <v>26.4711</v>
      </c>
      <c r="N494" s="14">
        <f>CHOOSE(CONTROL!$C$42, 26.4886, 26.4886) * CHOOSE(CONTROL!$C$21, $C$9, 100%, $E$9)</f>
        <v>26.488600000000002</v>
      </c>
      <c r="O494" s="14">
        <f>CHOOSE(CONTROL!$C$42, 26.5571, 26.5571) * CHOOSE(CONTROL!$C$21, $C$9, 100%, $E$9)</f>
        <v>26.557099999999998</v>
      </c>
      <c r="P494" s="14">
        <f>CHOOSE(CONTROL!$C$42, 26.5683, 26.5683) * CHOOSE(CONTROL!$C$21, $C$9, 100%, $E$9)</f>
        <v>26.568300000000001</v>
      </c>
      <c r="Q494" s="14">
        <f>CHOOSE(CONTROL!$C$42, 27.1518, 27.1518) * CHOOSE(CONTROL!$C$21, $C$9, 100%, $E$9)</f>
        <v>27.151800000000001</v>
      </c>
      <c r="R494" s="14">
        <f>CHOOSE(CONTROL!$C$42, 27.8067, 27.8067) * CHOOSE(CONTROL!$C$21, $C$9, 100%, $E$9)</f>
        <v>27.806699999999999</v>
      </c>
      <c r="S494" s="14">
        <f>CHOOSE(CONTROL!$C$42, 25.9354, 25.9354) * CHOOSE(CONTROL!$C$21, $C$9, 100%, $E$9)</f>
        <v>25.935400000000001</v>
      </c>
      <c r="T49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94" s="57">
        <f>(1000*CHOOSE(CONTROL!$C$42, 695, 695)*CHOOSE(CONTROL!$C$42, 0.5599, 0.5599)*CHOOSE(CONTROL!$C$42, 28, 28))/1000000</f>
        <v>10.895653999999999</v>
      </c>
      <c r="V494" s="57">
        <f>(1000*CHOOSE(CONTROL!$C$42, 500, 500)*CHOOSE(CONTROL!$C$42, 0.275, 0.275)*CHOOSE(CONTROL!$C$42, 28, 28))/1000000</f>
        <v>3.85</v>
      </c>
      <c r="W494" s="57">
        <f>(1000*CHOOSE(CONTROL!$C$42, 0.1146, 0.1146)*CHOOSE(CONTROL!$C$42, 121.5, 121.5)*CHOOSE(CONTROL!$C$42, 28, 28))/1000000</f>
        <v>0.38986920000000003</v>
      </c>
      <c r="X494" s="57">
        <f>(28*0.1790888*100000/1000000)+(28*0.2374*100000/1000000)</f>
        <v>1.16616864</v>
      </c>
      <c r="Y494" s="57"/>
      <c r="Z494" s="14"/>
      <c r="AA494" s="56"/>
      <c r="AB494" s="50">
        <f>(B494*122.58+C494*297.941+D494*89.177+E494*40.302+F494*40+G494*160+H494*0+I494*100+J494*300)/(122.58+297.941+89.177+40.302+0+40+160+100+300)</f>
        <v>27.03285402382609</v>
      </c>
      <c r="AC494" s="45">
        <f>(M494*'RAP TEMPLATE-GAS AVAILABILITY'!O493+N494*'RAP TEMPLATE-GAS AVAILABILITY'!P493+O494*'RAP TEMPLATE-GAS AVAILABILITY'!Q493+P494*'RAP TEMPLATE-GAS AVAILABILITY'!R493)/('RAP TEMPLATE-GAS AVAILABILITY'!O493+'RAP TEMPLATE-GAS AVAILABILITY'!P493+'RAP TEMPLATE-GAS AVAILABILITY'!Q493+'RAP TEMPLATE-GAS AVAILABILITY'!R493)</f>
        <v>26.525071223021584</v>
      </c>
    </row>
    <row r="495" spans="1:29" ht="15.75" x14ac:dyDescent="0.25">
      <c r="A495" s="33">
        <v>55974</v>
      </c>
      <c r="B495" s="14">
        <f>CHOOSE(CONTROL!$C$42, 26.2333, 26.2333) * CHOOSE(CONTROL!$C$21, $C$9, 100%, $E$9)</f>
        <v>26.2333</v>
      </c>
      <c r="C495" s="14">
        <f>CHOOSE(CONTROL!$C$42, 26.2384, 26.2384) * CHOOSE(CONTROL!$C$21, $C$9, 100%, $E$9)</f>
        <v>26.238399999999999</v>
      </c>
      <c r="D495" s="14">
        <f>CHOOSE(CONTROL!$C$42, 26.3152, 26.3152) * CHOOSE(CONTROL!$C$21, $C$9, 100%, $E$9)</f>
        <v>26.315200000000001</v>
      </c>
      <c r="E495" s="14">
        <f>CHOOSE(CONTROL!$C$42, 26.3493, 26.3493) * CHOOSE(CONTROL!$C$21, $C$9, 100%, $E$9)</f>
        <v>26.349299999999999</v>
      </c>
      <c r="F495" s="14">
        <f>CHOOSE(CONTROL!$C$42, 26.2568, 26.2568)*CHOOSE(CONTROL!$C$21, $C$9, 100%, $E$9)</f>
        <v>26.256799999999998</v>
      </c>
      <c r="G495" s="14">
        <f>CHOOSE(CONTROL!$C$42, 26.2744, 26.2744)*CHOOSE(CONTROL!$C$21, $C$9, 100%, $E$9)</f>
        <v>26.2744</v>
      </c>
      <c r="H495" s="14">
        <f>CHOOSE(CONTROL!$C$42, 26.3385, 26.3385) * CHOOSE(CONTROL!$C$21, $C$9, 100%, $E$9)</f>
        <v>26.3385</v>
      </c>
      <c r="I495" s="14">
        <f>CHOOSE(CONTROL!$C$42, 26.3492, 26.3492)* CHOOSE(CONTROL!$C$21, $C$9, 100%, $E$9)</f>
        <v>26.3492</v>
      </c>
      <c r="J495" s="14">
        <f>CHOOSE(CONTROL!$C$42, 26.2498, 26.2498)* CHOOSE(CONTROL!$C$21, $C$9, 100%, $E$9)</f>
        <v>26.2498</v>
      </c>
      <c r="K495" s="53">
        <f>CHOOSE(CONTROL!$C$42, 26.3453, 26.3453) * CHOOSE(CONTROL!$C$21, $C$9, 100%, $E$9)</f>
        <v>26.345300000000002</v>
      </c>
      <c r="L495" s="14">
        <f>CHOOSE(CONTROL!$C$42, 26.9255, 26.9255) * CHOOSE(CONTROL!$C$21, $C$9, 100%, $E$9)</f>
        <v>26.9255</v>
      </c>
      <c r="M495" s="14">
        <f>CHOOSE(CONTROL!$C$42, 25.7197, 25.7197) * CHOOSE(CONTROL!$C$21, $C$9, 100%, $E$9)</f>
        <v>25.7197</v>
      </c>
      <c r="N495" s="14">
        <f>CHOOSE(CONTROL!$C$42, 25.7369, 25.7369) * CHOOSE(CONTROL!$C$21, $C$9, 100%, $E$9)</f>
        <v>25.736899999999999</v>
      </c>
      <c r="O495" s="14">
        <f>CHOOSE(CONTROL!$C$42, 25.8066, 25.8066) * CHOOSE(CONTROL!$C$21, $C$9, 100%, $E$9)</f>
        <v>25.8066</v>
      </c>
      <c r="P495" s="14">
        <f>CHOOSE(CONTROL!$C$42, 25.8155, 25.8155) * CHOOSE(CONTROL!$C$21, $C$9, 100%, $E$9)</f>
        <v>25.8155</v>
      </c>
      <c r="Q495" s="14">
        <f>CHOOSE(CONTROL!$C$42, 26.4013, 26.4013) * CHOOSE(CONTROL!$C$21, $C$9, 100%, $E$9)</f>
        <v>26.401299999999999</v>
      </c>
      <c r="R495" s="14">
        <f>CHOOSE(CONTROL!$C$42, 27.0543, 27.0543) * CHOOSE(CONTROL!$C$21, $C$9, 100%, $E$9)</f>
        <v>27.054300000000001</v>
      </c>
      <c r="S495" s="14">
        <f>CHOOSE(CONTROL!$C$42, 25.1991, 25.1991) * CHOOSE(CONTROL!$C$21, $C$9, 100%, $E$9)</f>
        <v>25.199100000000001</v>
      </c>
      <c r="T49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95" s="57">
        <f>(1000*CHOOSE(CONTROL!$C$42, 695, 695)*CHOOSE(CONTROL!$C$42, 0.5599, 0.5599)*CHOOSE(CONTROL!$C$42, 31, 31))/1000000</f>
        <v>12.063045499999998</v>
      </c>
      <c r="V495" s="57">
        <f>(1000*CHOOSE(CONTROL!$C$42, 500, 500)*CHOOSE(CONTROL!$C$42, 0.275, 0.275)*CHOOSE(CONTROL!$C$42, 31, 31))/1000000</f>
        <v>4.2625000000000002</v>
      </c>
      <c r="W495" s="57">
        <f>(1000*CHOOSE(CONTROL!$C$42, 0.1146, 0.1146)*CHOOSE(CONTROL!$C$42, 121.5, 121.5)*CHOOSE(CONTROL!$C$42, 31, 31))/1000000</f>
        <v>0.43164089999999994</v>
      </c>
      <c r="X495" s="57">
        <f>(31*0.1790888*100000/1000000)+(31*0.2374*100000/1000000)</f>
        <v>1.2911152800000001</v>
      </c>
      <c r="Y495" s="57"/>
      <c r="Z495" s="14"/>
      <c r="AA495" s="56"/>
      <c r="AB495" s="50">
        <f>(B495*122.58+C495*297.941+D495*89.177+E495*40.302+F495*40+G495*160+H495*0+I495*100+J495*300)/(122.58+297.941+89.177+40.302+0+40+160+100+300)</f>
        <v>26.265955762956526</v>
      </c>
      <c r="AC495" s="45">
        <f>(M495*'RAP TEMPLATE-GAS AVAILABILITY'!O494+N495*'RAP TEMPLATE-GAS AVAILABILITY'!P494+O495*'RAP TEMPLATE-GAS AVAILABILITY'!Q494+P495*'RAP TEMPLATE-GAS AVAILABILITY'!R494)/('RAP TEMPLATE-GAS AVAILABILITY'!O494+'RAP TEMPLATE-GAS AVAILABILITY'!P494+'RAP TEMPLATE-GAS AVAILABILITY'!Q494+'RAP TEMPLATE-GAS AVAILABILITY'!R494)</f>
        <v>25.773860431654676</v>
      </c>
    </row>
    <row r="496" spans="1:29" ht="15.75" x14ac:dyDescent="0.25">
      <c r="A496" s="33">
        <v>56004</v>
      </c>
      <c r="B496" s="14">
        <f>CHOOSE(CONTROL!$C$42, 26.1558, 26.1558) * CHOOSE(CONTROL!$C$21, $C$9, 100%, $E$9)</f>
        <v>26.155799999999999</v>
      </c>
      <c r="C496" s="14">
        <f>CHOOSE(CONTROL!$C$42, 26.1603, 26.1603) * CHOOSE(CONTROL!$C$21, $C$9, 100%, $E$9)</f>
        <v>26.160299999999999</v>
      </c>
      <c r="D496" s="14">
        <f>CHOOSE(CONTROL!$C$42, 26.384, 26.384) * CHOOSE(CONTROL!$C$21, $C$9, 100%, $E$9)</f>
        <v>26.384</v>
      </c>
      <c r="E496" s="14">
        <f>CHOOSE(CONTROL!$C$42, 26.4161, 26.4161) * CHOOSE(CONTROL!$C$21, $C$9, 100%, $E$9)</f>
        <v>26.4161</v>
      </c>
      <c r="F496" s="14">
        <f>CHOOSE(CONTROL!$C$42, 26.1835, 26.1835)*CHOOSE(CONTROL!$C$21, $C$9, 100%, $E$9)</f>
        <v>26.183499999999999</v>
      </c>
      <c r="G496" s="14">
        <f>CHOOSE(CONTROL!$C$42, 26.2004, 26.2004)*CHOOSE(CONTROL!$C$21, $C$9, 100%, $E$9)</f>
        <v>26.200399999999998</v>
      </c>
      <c r="H496" s="14">
        <f>CHOOSE(CONTROL!$C$42, 26.4059, 26.4059) * CHOOSE(CONTROL!$C$21, $C$9, 100%, $E$9)</f>
        <v>26.405899999999999</v>
      </c>
      <c r="I496" s="14">
        <f>CHOOSE(CONTROL!$C$42, 26.267, 26.267)* CHOOSE(CONTROL!$C$21, $C$9, 100%, $E$9)</f>
        <v>26.266999999999999</v>
      </c>
      <c r="J496" s="14">
        <f>CHOOSE(CONTROL!$C$42, 26.1765, 26.1765)* CHOOSE(CONTROL!$C$21, $C$9, 100%, $E$9)</f>
        <v>26.176500000000001</v>
      </c>
      <c r="K496" s="53">
        <f>CHOOSE(CONTROL!$C$42, 26.2631, 26.2631) * CHOOSE(CONTROL!$C$21, $C$9, 100%, $E$9)</f>
        <v>26.263100000000001</v>
      </c>
      <c r="L496" s="14">
        <f>CHOOSE(CONTROL!$C$42, 26.9929, 26.9929) * CHOOSE(CONTROL!$C$21, $C$9, 100%, $E$9)</f>
        <v>26.992899999999999</v>
      </c>
      <c r="M496" s="14">
        <f>CHOOSE(CONTROL!$C$42, 25.6479, 25.6479) * CHOOSE(CONTROL!$C$21, $C$9, 100%, $E$9)</f>
        <v>25.6479</v>
      </c>
      <c r="N496" s="14">
        <f>CHOOSE(CONTROL!$C$42, 25.6644, 25.6644) * CHOOSE(CONTROL!$C$21, $C$9, 100%, $E$9)</f>
        <v>25.664400000000001</v>
      </c>
      <c r="O496" s="14">
        <f>CHOOSE(CONTROL!$C$42, 25.8726, 25.8726) * CHOOSE(CONTROL!$C$21, $C$9, 100%, $E$9)</f>
        <v>25.872599999999998</v>
      </c>
      <c r="P496" s="14">
        <f>CHOOSE(CONTROL!$C$42, 25.735, 25.735) * CHOOSE(CONTROL!$C$21, $C$9, 100%, $E$9)</f>
        <v>25.734999999999999</v>
      </c>
      <c r="Q496" s="14">
        <f>CHOOSE(CONTROL!$C$42, 26.4673, 26.4673) * CHOOSE(CONTROL!$C$21, $C$9, 100%, $E$9)</f>
        <v>26.467300000000002</v>
      </c>
      <c r="R496" s="14">
        <f>CHOOSE(CONTROL!$C$42, 27.1205, 27.1205) * CHOOSE(CONTROL!$C$21, $C$9, 100%, $E$9)</f>
        <v>27.1205</v>
      </c>
      <c r="S496" s="14">
        <f>CHOOSE(CONTROL!$C$42, 25.1238, 25.1238) * CHOOSE(CONTROL!$C$21, $C$9, 100%, $E$9)</f>
        <v>25.123799999999999</v>
      </c>
      <c r="T49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96" s="57">
        <f>(1000*CHOOSE(CONTROL!$C$42, 695, 695)*CHOOSE(CONTROL!$C$42, 0.5599, 0.5599)*CHOOSE(CONTROL!$C$42, 30, 30))/1000000</f>
        <v>11.673914999999997</v>
      </c>
      <c r="V496" s="57">
        <f>(1000*CHOOSE(CONTROL!$C$42, 500, 500)*CHOOSE(CONTROL!$C$42, 0.275, 0.275)*CHOOSE(CONTROL!$C$42, 30, 30))/1000000</f>
        <v>4.125</v>
      </c>
      <c r="W496" s="57">
        <f>(1000*CHOOSE(CONTROL!$C$42, 0.1146, 0.1146)*CHOOSE(CONTROL!$C$42, 121.5, 121.5)*CHOOSE(CONTROL!$C$42, 30, 30))/1000000</f>
        <v>0.417717</v>
      </c>
      <c r="X496" s="57">
        <f>(30*0.1790888*245000/1000000)+(30*0.2374*100000/1000000)</f>
        <v>2.0285026799999999</v>
      </c>
      <c r="Y496" s="57"/>
      <c r="Z496" s="14"/>
      <c r="AA496" s="56"/>
      <c r="AB496" s="50">
        <f>(B496*141.293+C496*267.993+D496*115.016+E496*89.698+F496*40+G496*185+H496*0+I496*100+J496*300)/(141.293+267.993+115.016+89.698+0+40+185+100+300)</f>
        <v>26.218342380225987</v>
      </c>
      <c r="AC496" s="45">
        <f>(M496*'RAP TEMPLATE-GAS AVAILABILITY'!O495+N496*'RAP TEMPLATE-GAS AVAILABILITY'!P495+O496*'RAP TEMPLATE-GAS AVAILABILITY'!Q495+P496*'RAP TEMPLATE-GAS AVAILABILITY'!R495)/('RAP TEMPLATE-GAS AVAILABILITY'!O495+'RAP TEMPLATE-GAS AVAILABILITY'!P495+'RAP TEMPLATE-GAS AVAILABILITY'!Q495+'RAP TEMPLATE-GAS AVAILABILITY'!R495)</f>
        <v>25.727276258992802</v>
      </c>
    </row>
    <row r="497" spans="1:29" ht="15.75" x14ac:dyDescent="0.25">
      <c r="A497" s="33">
        <v>56035</v>
      </c>
      <c r="B497" s="14">
        <f>CHOOSE(CONTROL!$C$42, 26.388, 26.388) * CHOOSE(CONTROL!$C$21, $C$9, 100%, $E$9)</f>
        <v>26.388000000000002</v>
      </c>
      <c r="C497" s="14">
        <f>CHOOSE(CONTROL!$C$42, 26.396, 26.396) * CHOOSE(CONTROL!$C$21, $C$9, 100%, $E$9)</f>
        <v>26.396000000000001</v>
      </c>
      <c r="D497" s="14">
        <f>CHOOSE(CONTROL!$C$42, 26.6166, 26.6166) * CHOOSE(CONTROL!$C$21, $C$9, 100%, $E$9)</f>
        <v>26.616599999999998</v>
      </c>
      <c r="E497" s="14">
        <f>CHOOSE(CONTROL!$C$42, 26.6481, 26.6481) * CHOOSE(CONTROL!$C$21, $C$9, 100%, $E$9)</f>
        <v>26.648099999999999</v>
      </c>
      <c r="F497" s="14">
        <f>CHOOSE(CONTROL!$C$42, 26.4143, 26.4143)*CHOOSE(CONTROL!$C$21, $C$9, 100%, $E$9)</f>
        <v>26.414300000000001</v>
      </c>
      <c r="G497" s="14">
        <f>CHOOSE(CONTROL!$C$42, 26.4314, 26.4314)*CHOOSE(CONTROL!$C$21, $C$9, 100%, $E$9)</f>
        <v>26.4314</v>
      </c>
      <c r="H497" s="14">
        <f>CHOOSE(CONTROL!$C$42, 26.6367, 26.6367) * CHOOSE(CONTROL!$C$21, $C$9, 100%, $E$9)</f>
        <v>26.636700000000001</v>
      </c>
      <c r="I497" s="14">
        <f>CHOOSE(CONTROL!$C$42, 26.4985, 26.4985)* CHOOSE(CONTROL!$C$21, $C$9, 100%, $E$9)</f>
        <v>26.4985</v>
      </c>
      <c r="J497" s="14">
        <f>CHOOSE(CONTROL!$C$42, 26.4073, 26.4073)* CHOOSE(CONTROL!$C$21, $C$9, 100%, $E$9)</f>
        <v>26.407299999999999</v>
      </c>
      <c r="K497" s="53">
        <f>CHOOSE(CONTROL!$C$42, 26.4946, 26.4946) * CHOOSE(CONTROL!$C$21, $C$9, 100%, $E$9)</f>
        <v>26.494599999999998</v>
      </c>
      <c r="L497" s="14">
        <f>CHOOSE(CONTROL!$C$42, 27.2237, 27.2237) * CHOOSE(CONTROL!$C$21, $C$9, 100%, $E$9)</f>
        <v>27.223700000000001</v>
      </c>
      <c r="M497" s="14">
        <f>CHOOSE(CONTROL!$C$42, 25.8739, 25.8739) * CHOOSE(CONTROL!$C$21, $C$9, 100%, $E$9)</f>
        <v>25.873899999999999</v>
      </c>
      <c r="N497" s="14">
        <f>CHOOSE(CONTROL!$C$42, 25.8906, 25.8906) * CHOOSE(CONTROL!$C$21, $C$9, 100%, $E$9)</f>
        <v>25.890599999999999</v>
      </c>
      <c r="O497" s="14">
        <f>CHOOSE(CONTROL!$C$42, 26.0986, 26.0986) * CHOOSE(CONTROL!$C$21, $C$9, 100%, $E$9)</f>
        <v>26.098600000000001</v>
      </c>
      <c r="P497" s="14">
        <f>CHOOSE(CONTROL!$C$42, 25.9617, 25.9617) * CHOOSE(CONTROL!$C$21, $C$9, 100%, $E$9)</f>
        <v>25.9617</v>
      </c>
      <c r="Q497" s="14">
        <f>CHOOSE(CONTROL!$C$42, 26.6933, 26.6933) * CHOOSE(CONTROL!$C$21, $C$9, 100%, $E$9)</f>
        <v>26.693300000000001</v>
      </c>
      <c r="R497" s="14">
        <f>CHOOSE(CONTROL!$C$42, 27.3471, 27.3471) * CHOOSE(CONTROL!$C$21, $C$9, 100%, $E$9)</f>
        <v>27.347100000000001</v>
      </c>
      <c r="S497" s="14">
        <f>CHOOSE(CONTROL!$C$42, 25.3456, 25.3456) * CHOOSE(CONTROL!$C$21, $C$9, 100%, $E$9)</f>
        <v>25.345600000000001</v>
      </c>
      <c r="T49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97" s="57">
        <f>(1000*CHOOSE(CONTROL!$C$42, 695, 695)*CHOOSE(CONTROL!$C$42, 0.5599, 0.5599)*CHOOSE(CONTROL!$C$42, 31, 31))/1000000</f>
        <v>12.063045499999998</v>
      </c>
      <c r="V497" s="57">
        <f>(1000*CHOOSE(CONTROL!$C$42, 500, 500)*CHOOSE(CONTROL!$C$42, 0.275, 0.275)*CHOOSE(CONTROL!$C$42, 31, 31))/1000000</f>
        <v>4.2625000000000002</v>
      </c>
      <c r="W497" s="57">
        <f>(1000*CHOOSE(CONTROL!$C$42, 0.1146, 0.1146)*CHOOSE(CONTROL!$C$42, 121.5, 121.5)*CHOOSE(CONTROL!$C$42, 31, 31))/1000000</f>
        <v>0.43164089999999994</v>
      </c>
      <c r="X497" s="57">
        <f>(31*0.1790888*245000/1000000)+(31*0.2374*100000/1000000)</f>
        <v>2.0961194359999999</v>
      </c>
      <c r="Y497" s="57"/>
      <c r="Z497" s="14"/>
      <c r="AA497" s="56"/>
      <c r="AB497" s="50">
        <f>(B497*194.205+C497*267.466+D497*133.845+E497*53.484+F497*40+G497*185+H497*0+I497*100+J497*300)/(194.205+267.466+133.845+53.484+0+40+185+100+300)</f>
        <v>26.444961446938777</v>
      </c>
      <c r="AC497" s="45">
        <f>(M497*'RAP TEMPLATE-GAS AVAILABILITY'!O496+N497*'RAP TEMPLATE-GAS AVAILABILITY'!P496+O497*'RAP TEMPLATE-GAS AVAILABILITY'!Q496+P497*'RAP TEMPLATE-GAS AVAILABILITY'!R496)/('RAP TEMPLATE-GAS AVAILABILITY'!O496+'RAP TEMPLATE-GAS AVAILABILITY'!P496+'RAP TEMPLATE-GAS AVAILABILITY'!Q496+'RAP TEMPLATE-GAS AVAILABILITY'!R496)</f>
        <v>25.953423021582736</v>
      </c>
    </row>
    <row r="498" spans="1:29" ht="15.75" x14ac:dyDescent="0.25">
      <c r="A498" s="33">
        <v>56065</v>
      </c>
      <c r="B498" s="14">
        <f>CHOOSE(CONTROL!$C$42, 27.1362, 27.1362) * CHOOSE(CONTROL!$C$21, $C$9, 100%, $E$9)</f>
        <v>27.136199999999999</v>
      </c>
      <c r="C498" s="14">
        <f>CHOOSE(CONTROL!$C$42, 27.1442, 27.1442) * CHOOSE(CONTROL!$C$21, $C$9, 100%, $E$9)</f>
        <v>27.144200000000001</v>
      </c>
      <c r="D498" s="14">
        <f>CHOOSE(CONTROL!$C$42, 27.3648, 27.3648) * CHOOSE(CONTROL!$C$21, $C$9, 100%, $E$9)</f>
        <v>27.364799999999999</v>
      </c>
      <c r="E498" s="14">
        <f>CHOOSE(CONTROL!$C$42, 27.3963, 27.3963) * CHOOSE(CONTROL!$C$21, $C$9, 100%, $E$9)</f>
        <v>27.3963</v>
      </c>
      <c r="F498" s="14">
        <f>CHOOSE(CONTROL!$C$42, 27.1628, 27.1628)*CHOOSE(CONTROL!$C$21, $C$9, 100%, $E$9)</f>
        <v>27.162800000000001</v>
      </c>
      <c r="G498" s="14">
        <f>CHOOSE(CONTROL!$C$42, 27.18, 27.18)*CHOOSE(CONTROL!$C$21, $C$9, 100%, $E$9)</f>
        <v>27.18</v>
      </c>
      <c r="H498" s="14">
        <f>CHOOSE(CONTROL!$C$42, 27.3849, 27.3849) * CHOOSE(CONTROL!$C$21, $C$9, 100%, $E$9)</f>
        <v>27.384899999999998</v>
      </c>
      <c r="I498" s="14">
        <f>CHOOSE(CONTROL!$C$42, 27.2491, 27.2491)* CHOOSE(CONTROL!$C$21, $C$9, 100%, $E$9)</f>
        <v>27.249099999999999</v>
      </c>
      <c r="J498" s="14">
        <f>CHOOSE(CONTROL!$C$42, 27.1558, 27.1558)* CHOOSE(CONTROL!$C$21, $C$9, 100%, $E$9)</f>
        <v>27.155799999999999</v>
      </c>
      <c r="K498" s="53">
        <f>CHOOSE(CONTROL!$C$42, 27.2452, 27.2452) * CHOOSE(CONTROL!$C$21, $C$9, 100%, $E$9)</f>
        <v>27.245200000000001</v>
      </c>
      <c r="L498" s="14">
        <f>CHOOSE(CONTROL!$C$42, 27.9719, 27.9719) * CHOOSE(CONTROL!$C$21, $C$9, 100%, $E$9)</f>
        <v>27.971900000000002</v>
      </c>
      <c r="M498" s="14">
        <f>CHOOSE(CONTROL!$C$42, 26.6071, 26.6071) * CHOOSE(CONTROL!$C$21, $C$9, 100%, $E$9)</f>
        <v>26.607099999999999</v>
      </c>
      <c r="N498" s="14">
        <f>CHOOSE(CONTROL!$C$42, 26.6239, 26.6239) * CHOOSE(CONTROL!$C$21, $C$9, 100%, $E$9)</f>
        <v>26.623899999999999</v>
      </c>
      <c r="O498" s="14">
        <f>CHOOSE(CONTROL!$C$42, 26.8315, 26.8315) * CHOOSE(CONTROL!$C$21, $C$9, 100%, $E$9)</f>
        <v>26.831499999999998</v>
      </c>
      <c r="P498" s="14">
        <f>CHOOSE(CONTROL!$C$42, 26.6968, 26.6968) * CHOOSE(CONTROL!$C$21, $C$9, 100%, $E$9)</f>
        <v>26.6968</v>
      </c>
      <c r="Q498" s="14">
        <f>CHOOSE(CONTROL!$C$42, 27.4262, 27.4262) * CHOOSE(CONTROL!$C$21, $C$9, 100%, $E$9)</f>
        <v>27.426200000000001</v>
      </c>
      <c r="R498" s="14">
        <f>CHOOSE(CONTROL!$C$42, 28.0817, 28.0817) * CHOOSE(CONTROL!$C$21, $C$9, 100%, $E$9)</f>
        <v>28.081700000000001</v>
      </c>
      <c r="S498" s="14">
        <f>CHOOSE(CONTROL!$C$42, 26.0645, 26.0645) * CHOOSE(CONTROL!$C$21, $C$9, 100%, $E$9)</f>
        <v>26.064499999999999</v>
      </c>
      <c r="T49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98" s="57">
        <f>(1000*CHOOSE(CONTROL!$C$42, 695, 695)*CHOOSE(CONTROL!$C$42, 0.5599, 0.5599)*CHOOSE(CONTROL!$C$42, 30, 30))/1000000</f>
        <v>11.673914999999997</v>
      </c>
      <c r="V498" s="57">
        <f>(1000*CHOOSE(CONTROL!$C$42, 500, 500)*CHOOSE(CONTROL!$C$42, 0.275, 0.275)*CHOOSE(CONTROL!$C$42, 30, 30))/1000000</f>
        <v>4.125</v>
      </c>
      <c r="W498" s="57">
        <f>(1000*CHOOSE(CONTROL!$C$42, 0.1146, 0.1146)*CHOOSE(CONTROL!$C$42, 121.5, 121.5)*CHOOSE(CONTROL!$C$42, 30, 30))/1000000</f>
        <v>0.417717</v>
      </c>
      <c r="X498" s="57">
        <f>(30*0.1790888*245000/1000000)+(30*0.2374*100000/1000000)</f>
        <v>2.0285026799999999</v>
      </c>
      <c r="Y498" s="57"/>
      <c r="Z498" s="14"/>
      <c r="AA498" s="56"/>
      <c r="AB498" s="50">
        <f>(B498*194.205+C498*267.466+D498*133.845+E498*53.484+F498*40+G498*185+H498*0+I498*100+J498*300)/(194.205+267.466+133.845+53.484+0+40+185+100+300)</f>
        <v>27.193487977551019</v>
      </c>
      <c r="AC498" s="45">
        <f>(M498*'RAP TEMPLATE-GAS AVAILABILITY'!O497+N498*'RAP TEMPLATE-GAS AVAILABILITY'!P497+O498*'RAP TEMPLATE-GAS AVAILABILITY'!Q497+P498*'RAP TEMPLATE-GAS AVAILABILITY'!R497)/('RAP TEMPLATE-GAS AVAILABILITY'!O497+'RAP TEMPLATE-GAS AVAILABILITY'!P497+'RAP TEMPLATE-GAS AVAILABILITY'!Q497+'RAP TEMPLATE-GAS AVAILABILITY'!R497)</f>
        <v>26.686835251798556</v>
      </c>
    </row>
    <row r="499" spans="1:29" ht="15.75" x14ac:dyDescent="0.25">
      <c r="A499" s="33">
        <v>56096</v>
      </c>
      <c r="B499" s="14">
        <f>CHOOSE(CONTROL!$C$42, 26.6158, 26.6158) * CHOOSE(CONTROL!$C$21, $C$9, 100%, $E$9)</f>
        <v>26.6158</v>
      </c>
      <c r="C499" s="14">
        <f>CHOOSE(CONTROL!$C$42, 26.6238, 26.6238) * CHOOSE(CONTROL!$C$21, $C$9, 100%, $E$9)</f>
        <v>26.623799999999999</v>
      </c>
      <c r="D499" s="14">
        <f>CHOOSE(CONTROL!$C$42, 26.8444, 26.8444) * CHOOSE(CONTROL!$C$21, $C$9, 100%, $E$9)</f>
        <v>26.8444</v>
      </c>
      <c r="E499" s="14">
        <f>CHOOSE(CONTROL!$C$42, 26.8759, 26.8759) * CHOOSE(CONTROL!$C$21, $C$9, 100%, $E$9)</f>
        <v>26.875900000000001</v>
      </c>
      <c r="F499" s="14">
        <f>CHOOSE(CONTROL!$C$42, 26.6429, 26.6429)*CHOOSE(CONTROL!$C$21, $C$9, 100%, $E$9)</f>
        <v>26.642900000000001</v>
      </c>
      <c r="G499" s="14">
        <f>CHOOSE(CONTROL!$C$42, 26.6602, 26.6602)*CHOOSE(CONTROL!$C$21, $C$9, 100%, $E$9)</f>
        <v>26.6602</v>
      </c>
      <c r="H499" s="14">
        <f>CHOOSE(CONTROL!$C$42, 26.8645, 26.8645) * CHOOSE(CONTROL!$C$21, $C$9, 100%, $E$9)</f>
        <v>26.8645</v>
      </c>
      <c r="I499" s="14">
        <f>CHOOSE(CONTROL!$C$42, 26.727, 26.727)* CHOOSE(CONTROL!$C$21, $C$9, 100%, $E$9)</f>
        <v>26.727</v>
      </c>
      <c r="J499" s="14">
        <f>CHOOSE(CONTROL!$C$42, 26.6359, 26.6359)* CHOOSE(CONTROL!$C$21, $C$9, 100%, $E$9)</f>
        <v>26.635899999999999</v>
      </c>
      <c r="K499" s="53">
        <f>CHOOSE(CONTROL!$C$42, 26.7232, 26.7232) * CHOOSE(CONTROL!$C$21, $C$9, 100%, $E$9)</f>
        <v>26.723199999999999</v>
      </c>
      <c r="L499" s="14">
        <f>CHOOSE(CONTROL!$C$42, 27.4515, 27.4515) * CHOOSE(CONTROL!$C$21, $C$9, 100%, $E$9)</f>
        <v>27.451499999999999</v>
      </c>
      <c r="M499" s="14">
        <f>CHOOSE(CONTROL!$C$42, 26.0978, 26.0978) * CHOOSE(CONTROL!$C$21, $C$9, 100%, $E$9)</f>
        <v>26.097799999999999</v>
      </c>
      <c r="N499" s="14">
        <f>CHOOSE(CONTROL!$C$42, 26.1148, 26.1148) * CHOOSE(CONTROL!$C$21, $C$9, 100%, $E$9)</f>
        <v>26.114799999999999</v>
      </c>
      <c r="O499" s="14">
        <f>CHOOSE(CONTROL!$C$42, 26.3218, 26.3218) * CHOOSE(CONTROL!$C$21, $C$9, 100%, $E$9)</f>
        <v>26.3218</v>
      </c>
      <c r="P499" s="14">
        <f>CHOOSE(CONTROL!$C$42, 26.1855, 26.1855) * CHOOSE(CONTROL!$C$21, $C$9, 100%, $E$9)</f>
        <v>26.185500000000001</v>
      </c>
      <c r="Q499" s="14">
        <f>CHOOSE(CONTROL!$C$42, 26.9165, 26.9165) * CHOOSE(CONTROL!$C$21, $C$9, 100%, $E$9)</f>
        <v>26.916499999999999</v>
      </c>
      <c r="R499" s="14">
        <f>CHOOSE(CONTROL!$C$42, 27.5708, 27.5708) * CHOOSE(CONTROL!$C$21, $C$9, 100%, $E$9)</f>
        <v>27.570799999999998</v>
      </c>
      <c r="S499" s="14">
        <f>CHOOSE(CONTROL!$C$42, 25.5645, 25.5645) * CHOOSE(CONTROL!$C$21, $C$9, 100%, $E$9)</f>
        <v>25.564499999999999</v>
      </c>
      <c r="T49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99" s="57">
        <f>(1000*CHOOSE(CONTROL!$C$42, 695, 695)*CHOOSE(CONTROL!$C$42, 0.5599, 0.5599)*CHOOSE(CONTROL!$C$42, 31, 31))/1000000</f>
        <v>12.063045499999998</v>
      </c>
      <c r="V499" s="57">
        <f>(1000*CHOOSE(CONTROL!$C$42, 500, 500)*CHOOSE(CONTROL!$C$42, 0.275, 0.275)*CHOOSE(CONTROL!$C$42, 31, 31))/1000000</f>
        <v>4.2625000000000002</v>
      </c>
      <c r="W499" s="57">
        <f>(1000*CHOOSE(CONTROL!$C$42, 0.1146, 0.1146)*CHOOSE(CONTROL!$C$42, 121.5, 121.5)*CHOOSE(CONTROL!$C$42, 31, 31))/1000000</f>
        <v>0.43164089999999994</v>
      </c>
      <c r="X499" s="57">
        <f>(31*0.1790888*245000/1000000)+(31*0.2374*100000/1000000)</f>
        <v>2.0961194359999999</v>
      </c>
      <c r="Y499" s="57"/>
      <c r="Z499" s="14"/>
      <c r="AA499" s="56"/>
      <c r="AB499" s="50">
        <f>(B499*194.205+C499*267.466+D499*133.845+E499*53.484+F499*40+G499*185+H499*0+I499*100+J499*300)/(194.205+267.466+133.845+53.484+0+40+185+100+300)</f>
        <v>26.673175104709578</v>
      </c>
      <c r="AC499" s="45">
        <f>(M499*'RAP TEMPLATE-GAS AVAILABILITY'!O498+N499*'RAP TEMPLATE-GAS AVAILABILITY'!P498+O499*'RAP TEMPLATE-GAS AVAILABILITY'!Q498+P499*'RAP TEMPLATE-GAS AVAILABILITY'!R498)/('RAP TEMPLATE-GAS AVAILABILITY'!O498+'RAP TEMPLATE-GAS AVAILABILITY'!P498+'RAP TEMPLATE-GAS AVAILABILITY'!Q498+'RAP TEMPLATE-GAS AVAILABILITY'!R498)</f>
        <v>26.177181294964029</v>
      </c>
    </row>
    <row r="500" spans="1:29" ht="15.75" x14ac:dyDescent="0.25">
      <c r="A500" s="33">
        <v>56127</v>
      </c>
      <c r="B500" s="14">
        <f>CHOOSE(CONTROL!$C$42, 25.3017, 25.3017) * CHOOSE(CONTROL!$C$21, $C$9, 100%, $E$9)</f>
        <v>25.3017</v>
      </c>
      <c r="C500" s="14">
        <f>CHOOSE(CONTROL!$C$42, 25.3097, 25.3097) * CHOOSE(CONTROL!$C$21, $C$9, 100%, $E$9)</f>
        <v>25.309699999999999</v>
      </c>
      <c r="D500" s="14">
        <f>CHOOSE(CONTROL!$C$42, 25.5303, 25.5303) * CHOOSE(CONTROL!$C$21, $C$9, 100%, $E$9)</f>
        <v>25.5303</v>
      </c>
      <c r="E500" s="14">
        <f>CHOOSE(CONTROL!$C$42, 25.5618, 25.5618) * CHOOSE(CONTROL!$C$21, $C$9, 100%, $E$9)</f>
        <v>25.561800000000002</v>
      </c>
      <c r="F500" s="14">
        <f>CHOOSE(CONTROL!$C$42, 25.3291, 25.3291)*CHOOSE(CONTROL!$C$21, $C$9, 100%, $E$9)</f>
        <v>25.3291</v>
      </c>
      <c r="G500" s="14">
        <f>CHOOSE(CONTROL!$C$42, 25.3465, 25.3465)*CHOOSE(CONTROL!$C$21, $C$9, 100%, $E$9)</f>
        <v>25.346499999999999</v>
      </c>
      <c r="H500" s="14">
        <f>CHOOSE(CONTROL!$C$42, 25.5504, 25.5504) * CHOOSE(CONTROL!$C$21, $C$9, 100%, $E$9)</f>
        <v>25.5504</v>
      </c>
      <c r="I500" s="14">
        <f>CHOOSE(CONTROL!$C$42, 25.4088, 25.4088)* CHOOSE(CONTROL!$C$21, $C$9, 100%, $E$9)</f>
        <v>25.408799999999999</v>
      </c>
      <c r="J500" s="14">
        <f>CHOOSE(CONTROL!$C$42, 25.3221, 25.3221)* CHOOSE(CONTROL!$C$21, $C$9, 100%, $E$9)</f>
        <v>25.322099999999999</v>
      </c>
      <c r="K500" s="53">
        <f>CHOOSE(CONTROL!$C$42, 25.4049, 25.4049) * CHOOSE(CONTROL!$C$21, $C$9, 100%, $E$9)</f>
        <v>25.404900000000001</v>
      </c>
      <c r="L500" s="14">
        <f>CHOOSE(CONTROL!$C$42, 26.1374, 26.1374) * CHOOSE(CONTROL!$C$21, $C$9, 100%, $E$9)</f>
        <v>26.1374</v>
      </c>
      <c r="M500" s="14">
        <f>CHOOSE(CONTROL!$C$42, 24.8109, 24.8109) * CHOOSE(CONTROL!$C$21, $C$9, 100%, $E$9)</f>
        <v>24.8109</v>
      </c>
      <c r="N500" s="14">
        <f>CHOOSE(CONTROL!$C$42, 24.828, 24.828) * CHOOSE(CONTROL!$C$21, $C$9, 100%, $E$9)</f>
        <v>24.827999999999999</v>
      </c>
      <c r="O500" s="14">
        <f>CHOOSE(CONTROL!$C$42, 25.0346, 25.0346) * CHOOSE(CONTROL!$C$21, $C$9, 100%, $E$9)</f>
        <v>25.034600000000001</v>
      </c>
      <c r="P500" s="14">
        <f>CHOOSE(CONTROL!$C$42, 24.8944, 24.8944) * CHOOSE(CONTROL!$C$21, $C$9, 100%, $E$9)</f>
        <v>24.894400000000001</v>
      </c>
      <c r="Q500" s="14">
        <f>CHOOSE(CONTROL!$C$42, 25.6293, 25.6293) * CHOOSE(CONTROL!$C$21, $C$9, 100%, $E$9)</f>
        <v>25.629300000000001</v>
      </c>
      <c r="R500" s="14">
        <f>CHOOSE(CONTROL!$C$42, 26.2804, 26.2804) * CHOOSE(CONTROL!$C$21, $C$9, 100%, $E$9)</f>
        <v>26.2804</v>
      </c>
      <c r="S500" s="14">
        <f>CHOOSE(CONTROL!$C$42, 24.3018, 24.3018) * CHOOSE(CONTROL!$C$21, $C$9, 100%, $E$9)</f>
        <v>24.3018</v>
      </c>
      <c r="T50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00" s="57">
        <f>(1000*CHOOSE(CONTROL!$C$42, 695, 695)*CHOOSE(CONTROL!$C$42, 0.5599, 0.5599)*CHOOSE(CONTROL!$C$42, 31, 31))/1000000</f>
        <v>12.063045499999998</v>
      </c>
      <c r="V500" s="57">
        <f>(1000*CHOOSE(CONTROL!$C$42, 500, 500)*CHOOSE(CONTROL!$C$42, 0.275, 0.275)*CHOOSE(CONTROL!$C$42, 31, 31))/1000000</f>
        <v>4.2625000000000002</v>
      </c>
      <c r="W500" s="57">
        <f>(1000*CHOOSE(CONTROL!$C$42, 0.1146, 0.1146)*CHOOSE(CONTROL!$C$42, 121.5, 121.5)*CHOOSE(CONTROL!$C$42, 31, 31))/1000000</f>
        <v>0.43164089999999994</v>
      </c>
      <c r="X500" s="57">
        <f>(31*0.1790888*245000/1000000)+(31*0.2374*100000/1000000)</f>
        <v>2.0961194359999999</v>
      </c>
      <c r="Y500" s="57"/>
      <c r="Z500" s="14"/>
      <c r="AA500" s="56"/>
      <c r="AB500" s="50">
        <f>(B500*194.205+C500*267.466+D500*133.845+E500*53.484+F500*40+G500*185+H500*0+I500*100+J500*300)/(194.205+267.466+133.845+53.484+0+40+185+100+300)</f>
        <v>25.358891431240192</v>
      </c>
      <c r="AC500" s="45">
        <f>(M500*'RAP TEMPLATE-GAS AVAILABILITY'!O499+N500*'RAP TEMPLATE-GAS AVAILABILITY'!P499+O500*'RAP TEMPLATE-GAS AVAILABILITY'!Q499+P500*'RAP TEMPLATE-GAS AVAILABILITY'!R499)/('RAP TEMPLATE-GAS AVAILABILITY'!O499+'RAP TEMPLATE-GAS AVAILABILITY'!P499+'RAP TEMPLATE-GAS AVAILABILITY'!Q499+'RAP TEMPLATE-GAS AVAILABILITY'!R499)</f>
        <v>24.88961582733813</v>
      </c>
    </row>
    <row r="501" spans="1:29" ht="15.75" x14ac:dyDescent="0.25">
      <c r="A501" s="33">
        <v>56157</v>
      </c>
      <c r="B501" s="14">
        <f>CHOOSE(CONTROL!$C$42, 23.6959, 23.6959) * CHOOSE(CONTROL!$C$21, $C$9, 100%, $E$9)</f>
        <v>23.695900000000002</v>
      </c>
      <c r="C501" s="14">
        <f>CHOOSE(CONTROL!$C$42, 23.7039, 23.7039) * CHOOSE(CONTROL!$C$21, $C$9, 100%, $E$9)</f>
        <v>23.703900000000001</v>
      </c>
      <c r="D501" s="14">
        <f>CHOOSE(CONTROL!$C$42, 23.9245, 23.9245) * CHOOSE(CONTROL!$C$21, $C$9, 100%, $E$9)</f>
        <v>23.924499999999998</v>
      </c>
      <c r="E501" s="14">
        <f>CHOOSE(CONTROL!$C$42, 23.956, 23.956) * CHOOSE(CONTROL!$C$21, $C$9, 100%, $E$9)</f>
        <v>23.956</v>
      </c>
      <c r="F501" s="14">
        <f>CHOOSE(CONTROL!$C$42, 23.7232, 23.7232)*CHOOSE(CONTROL!$C$21, $C$9, 100%, $E$9)</f>
        <v>23.723199999999999</v>
      </c>
      <c r="G501" s="14">
        <f>CHOOSE(CONTROL!$C$42, 23.7406, 23.7406)*CHOOSE(CONTROL!$C$21, $C$9, 100%, $E$9)</f>
        <v>23.740600000000001</v>
      </c>
      <c r="H501" s="14">
        <f>CHOOSE(CONTROL!$C$42, 23.9446, 23.9446) * CHOOSE(CONTROL!$C$21, $C$9, 100%, $E$9)</f>
        <v>23.944600000000001</v>
      </c>
      <c r="I501" s="14">
        <f>CHOOSE(CONTROL!$C$42, 23.798, 23.798)* CHOOSE(CONTROL!$C$21, $C$9, 100%, $E$9)</f>
        <v>23.797999999999998</v>
      </c>
      <c r="J501" s="14">
        <f>CHOOSE(CONTROL!$C$42, 23.7162, 23.7162)* CHOOSE(CONTROL!$C$21, $C$9, 100%, $E$9)</f>
        <v>23.716200000000001</v>
      </c>
      <c r="K501" s="53">
        <f>CHOOSE(CONTROL!$C$42, 23.7941, 23.7941) * CHOOSE(CONTROL!$C$21, $C$9, 100%, $E$9)</f>
        <v>23.7941</v>
      </c>
      <c r="L501" s="14">
        <f>CHOOSE(CONTROL!$C$42, 24.5316, 24.5316) * CHOOSE(CONTROL!$C$21, $C$9, 100%, $E$9)</f>
        <v>24.531600000000001</v>
      </c>
      <c r="M501" s="14">
        <f>CHOOSE(CONTROL!$C$42, 23.238, 23.238) * CHOOSE(CONTROL!$C$21, $C$9, 100%, $E$9)</f>
        <v>23.238</v>
      </c>
      <c r="N501" s="14">
        <f>CHOOSE(CONTROL!$C$42, 23.255, 23.255) * CHOOSE(CONTROL!$C$21, $C$9, 100%, $E$9)</f>
        <v>23.254999999999999</v>
      </c>
      <c r="O501" s="14">
        <f>CHOOSE(CONTROL!$C$42, 23.4617, 23.4617) * CHOOSE(CONTROL!$C$21, $C$9, 100%, $E$9)</f>
        <v>23.4617</v>
      </c>
      <c r="P501" s="14">
        <f>CHOOSE(CONTROL!$C$42, 23.3167, 23.3167) * CHOOSE(CONTROL!$C$21, $C$9, 100%, $E$9)</f>
        <v>23.316700000000001</v>
      </c>
      <c r="Q501" s="14">
        <f>CHOOSE(CONTROL!$C$42, 24.0564, 24.0564) * CHOOSE(CONTROL!$C$21, $C$9, 100%, $E$9)</f>
        <v>24.0564</v>
      </c>
      <c r="R501" s="14">
        <f>CHOOSE(CONTROL!$C$42, 24.7035, 24.7035) * CHOOSE(CONTROL!$C$21, $C$9, 100%, $E$9)</f>
        <v>24.703499999999998</v>
      </c>
      <c r="S501" s="14">
        <f>CHOOSE(CONTROL!$C$42, 22.7587, 22.7587) * CHOOSE(CONTROL!$C$21, $C$9, 100%, $E$9)</f>
        <v>22.758700000000001</v>
      </c>
      <c r="T50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01" s="57">
        <f>(1000*CHOOSE(CONTROL!$C$42, 695, 695)*CHOOSE(CONTROL!$C$42, 0.5599, 0.5599)*CHOOSE(CONTROL!$C$42, 30, 30))/1000000</f>
        <v>11.673914999999997</v>
      </c>
      <c r="V501" s="57">
        <f>(1000*CHOOSE(CONTROL!$C$42, 500, 500)*CHOOSE(CONTROL!$C$42, 0.275, 0.275)*CHOOSE(CONTROL!$C$42, 30, 30))/1000000</f>
        <v>4.125</v>
      </c>
      <c r="W501" s="57">
        <f>(1000*CHOOSE(CONTROL!$C$42, 0.1146, 0.1146)*CHOOSE(CONTROL!$C$42, 121.5, 121.5)*CHOOSE(CONTROL!$C$42, 30, 30))/1000000</f>
        <v>0.417717</v>
      </c>
      <c r="X501" s="57">
        <f>(30*0.1790888*245000/1000000)+(30*0.2374*100000/1000000)</f>
        <v>2.0285026799999999</v>
      </c>
      <c r="Y501" s="57"/>
      <c r="Z501" s="14"/>
      <c r="AA501" s="56"/>
      <c r="AB501" s="50">
        <f>(B501*194.205+C501*267.466+D501*133.845+E501*53.484+F501*40+G501*185+H501*0+I501*100+J501*300)/(194.205+267.466+133.845+53.484+0+40+185+100+300)</f>
        <v>23.752657757770802</v>
      </c>
      <c r="AC501" s="45">
        <f>(M501*'RAP TEMPLATE-GAS AVAILABILITY'!O500+N501*'RAP TEMPLATE-GAS AVAILABILITY'!P500+O501*'RAP TEMPLATE-GAS AVAILABILITY'!Q500+P501*'RAP TEMPLATE-GAS AVAILABILITY'!R500)/('RAP TEMPLATE-GAS AVAILABILITY'!O500+'RAP TEMPLATE-GAS AVAILABILITY'!P500+'RAP TEMPLATE-GAS AVAILABILITY'!Q500+'RAP TEMPLATE-GAS AVAILABILITY'!R500)</f>
        <v>23.316002158273381</v>
      </c>
    </row>
    <row r="502" spans="1:29" ht="15.75" x14ac:dyDescent="0.25">
      <c r="A502" s="33">
        <v>56188</v>
      </c>
      <c r="B502" s="14">
        <f>CHOOSE(CONTROL!$C$42, 23.2132, 23.2132) * CHOOSE(CONTROL!$C$21, $C$9, 100%, $E$9)</f>
        <v>23.213200000000001</v>
      </c>
      <c r="C502" s="14">
        <f>CHOOSE(CONTROL!$C$42, 23.2186, 23.2186) * CHOOSE(CONTROL!$C$21, $C$9, 100%, $E$9)</f>
        <v>23.218599999999999</v>
      </c>
      <c r="D502" s="14">
        <f>CHOOSE(CONTROL!$C$42, 23.4441, 23.4441) * CHOOSE(CONTROL!$C$21, $C$9, 100%, $E$9)</f>
        <v>23.444099999999999</v>
      </c>
      <c r="E502" s="14">
        <f>CHOOSE(CONTROL!$C$42, 23.4732, 23.4732) * CHOOSE(CONTROL!$C$21, $C$9, 100%, $E$9)</f>
        <v>23.473199999999999</v>
      </c>
      <c r="F502" s="14">
        <f>CHOOSE(CONTROL!$C$42, 23.2426, 23.2426)*CHOOSE(CONTROL!$C$21, $C$9, 100%, $E$9)</f>
        <v>23.242599999999999</v>
      </c>
      <c r="G502" s="14">
        <f>CHOOSE(CONTROL!$C$42, 23.2598, 23.2598)*CHOOSE(CONTROL!$C$21, $C$9, 100%, $E$9)</f>
        <v>23.259799999999998</v>
      </c>
      <c r="H502" s="14">
        <f>CHOOSE(CONTROL!$C$42, 23.4637, 23.4637) * CHOOSE(CONTROL!$C$21, $C$9, 100%, $E$9)</f>
        <v>23.463699999999999</v>
      </c>
      <c r="I502" s="14">
        <f>CHOOSE(CONTROL!$C$42, 23.3156, 23.3156)* CHOOSE(CONTROL!$C$21, $C$9, 100%, $E$9)</f>
        <v>23.3156</v>
      </c>
      <c r="J502" s="14">
        <f>CHOOSE(CONTROL!$C$42, 23.2356, 23.2356)* CHOOSE(CONTROL!$C$21, $C$9, 100%, $E$9)</f>
        <v>23.235600000000002</v>
      </c>
      <c r="K502" s="53">
        <f>CHOOSE(CONTROL!$C$42, 23.3117, 23.3117) * CHOOSE(CONTROL!$C$21, $C$9, 100%, $E$9)</f>
        <v>23.311699999999998</v>
      </c>
      <c r="L502" s="14">
        <f>CHOOSE(CONTROL!$C$42, 24.0507, 24.0507) * CHOOSE(CONTROL!$C$21, $C$9, 100%, $E$9)</f>
        <v>24.050699999999999</v>
      </c>
      <c r="M502" s="14">
        <f>CHOOSE(CONTROL!$C$42, 22.7672, 22.7672) * CHOOSE(CONTROL!$C$21, $C$9, 100%, $E$9)</f>
        <v>22.767199999999999</v>
      </c>
      <c r="N502" s="14">
        <f>CHOOSE(CONTROL!$C$42, 22.7841, 22.7841) * CHOOSE(CONTROL!$C$21, $C$9, 100%, $E$9)</f>
        <v>22.784099999999999</v>
      </c>
      <c r="O502" s="14">
        <f>CHOOSE(CONTROL!$C$42, 22.9906, 22.9906) * CHOOSE(CONTROL!$C$21, $C$9, 100%, $E$9)</f>
        <v>22.990600000000001</v>
      </c>
      <c r="P502" s="14">
        <f>CHOOSE(CONTROL!$C$42, 22.8442, 22.8442) * CHOOSE(CONTROL!$C$21, $C$9, 100%, $E$9)</f>
        <v>22.844200000000001</v>
      </c>
      <c r="Q502" s="14">
        <f>CHOOSE(CONTROL!$C$42, 23.5853, 23.5853) * CHOOSE(CONTROL!$C$21, $C$9, 100%, $E$9)</f>
        <v>23.5853</v>
      </c>
      <c r="R502" s="14">
        <f>CHOOSE(CONTROL!$C$42, 24.2313, 24.2313) * CHOOSE(CONTROL!$C$21, $C$9, 100%, $E$9)</f>
        <v>24.231300000000001</v>
      </c>
      <c r="S502" s="14">
        <f>CHOOSE(CONTROL!$C$42, 22.2967, 22.2967) * CHOOSE(CONTROL!$C$21, $C$9, 100%, $E$9)</f>
        <v>22.296700000000001</v>
      </c>
      <c r="T50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02" s="57">
        <f>(1000*CHOOSE(CONTROL!$C$42, 695, 695)*CHOOSE(CONTROL!$C$42, 0.5599, 0.5599)*CHOOSE(CONTROL!$C$42, 31, 31))/1000000</f>
        <v>12.063045499999998</v>
      </c>
      <c r="V502" s="57">
        <f>(1000*CHOOSE(CONTROL!$C$42, 500, 500)*CHOOSE(CONTROL!$C$42, 0.275, 0.275)*CHOOSE(CONTROL!$C$42, 31, 31))/1000000</f>
        <v>4.2625000000000002</v>
      </c>
      <c r="W502" s="57">
        <f>(1000*CHOOSE(CONTROL!$C$42, 0.1146, 0.1146)*CHOOSE(CONTROL!$C$42, 121.5, 121.5)*CHOOSE(CONTROL!$C$42, 31, 31))/1000000</f>
        <v>0.43164089999999994</v>
      </c>
      <c r="X502" s="57">
        <f>(31*0.1790888*245000/1000000)+(31*0.2374*100000/1000000)</f>
        <v>2.0961194359999999</v>
      </c>
      <c r="Y502" s="57"/>
      <c r="Z502" s="14"/>
      <c r="AA502" s="56"/>
      <c r="AB502" s="50">
        <f>(B502*131.881+C502*277.167+D502*79.08+E502*125.872+F502*40+G502*185+H502*0+I502*100+J502*300)/(131.881+277.167+79.08+125.872+0+40+185+100+300)</f>
        <v>23.277154797255854</v>
      </c>
      <c r="AC502" s="45">
        <f>(M502*'RAP TEMPLATE-GAS AVAILABILITY'!O501+N502*'RAP TEMPLATE-GAS AVAILABILITY'!P501+O502*'RAP TEMPLATE-GAS AVAILABILITY'!Q501+P502*'RAP TEMPLATE-GAS AVAILABILITY'!R501)/('RAP TEMPLATE-GAS AVAILABILITY'!O501+'RAP TEMPLATE-GAS AVAILABILITY'!P501+'RAP TEMPLATE-GAS AVAILABILITY'!Q501+'RAP TEMPLATE-GAS AVAILABILITY'!R501)</f>
        <v>22.844850359712229</v>
      </c>
    </row>
    <row r="503" spans="1:29" ht="15.75" x14ac:dyDescent="0.25">
      <c r="A503" s="33">
        <v>56218</v>
      </c>
      <c r="B503" s="14">
        <f>CHOOSE(CONTROL!$C$42, 23.8241, 23.8241) * CHOOSE(CONTROL!$C$21, $C$9, 100%, $E$9)</f>
        <v>23.824100000000001</v>
      </c>
      <c r="C503" s="14">
        <f>CHOOSE(CONTROL!$C$42, 23.8292, 23.8292) * CHOOSE(CONTROL!$C$21, $C$9, 100%, $E$9)</f>
        <v>23.8292</v>
      </c>
      <c r="D503" s="14">
        <f>CHOOSE(CONTROL!$C$42, 23.9034, 23.9034) * CHOOSE(CONTROL!$C$21, $C$9, 100%, $E$9)</f>
        <v>23.903400000000001</v>
      </c>
      <c r="E503" s="14">
        <f>CHOOSE(CONTROL!$C$42, 23.9375, 23.9375) * CHOOSE(CONTROL!$C$21, $C$9, 100%, $E$9)</f>
        <v>23.9375</v>
      </c>
      <c r="F503" s="14">
        <f>CHOOSE(CONTROL!$C$42, 23.8602, 23.8602)*CHOOSE(CONTROL!$C$21, $C$9, 100%, $E$9)</f>
        <v>23.860199999999999</v>
      </c>
      <c r="G503" s="14">
        <f>CHOOSE(CONTROL!$C$42, 23.8777, 23.8777)*CHOOSE(CONTROL!$C$21, $C$9, 100%, $E$9)</f>
        <v>23.877700000000001</v>
      </c>
      <c r="H503" s="14">
        <f>CHOOSE(CONTROL!$C$42, 23.9267, 23.9267) * CHOOSE(CONTROL!$C$21, $C$9, 100%, $E$9)</f>
        <v>23.9267</v>
      </c>
      <c r="I503" s="14">
        <f>CHOOSE(CONTROL!$C$42, 23.9262, 23.9262)* CHOOSE(CONTROL!$C$21, $C$9, 100%, $E$9)</f>
        <v>23.926200000000001</v>
      </c>
      <c r="J503" s="14">
        <f>CHOOSE(CONTROL!$C$42, 23.8532, 23.8532)* CHOOSE(CONTROL!$C$21, $C$9, 100%, $E$9)</f>
        <v>23.853200000000001</v>
      </c>
      <c r="K503" s="53">
        <f>CHOOSE(CONTROL!$C$42, 23.9223, 23.9223) * CHOOSE(CONTROL!$C$21, $C$9, 100%, $E$9)</f>
        <v>23.9223</v>
      </c>
      <c r="L503" s="14">
        <f>CHOOSE(CONTROL!$C$42, 24.5137, 24.5137) * CHOOSE(CONTROL!$C$21, $C$9, 100%, $E$9)</f>
        <v>24.5137</v>
      </c>
      <c r="M503" s="14">
        <f>CHOOSE(CONTROL!$C$42, 23.3721, 23.3721) * CHOOSE(CONTROL!$C$21, $C$9, 100%, $E$9)</f>
        <v>23.3721</v>
      </c>
      <c r="N503" s="14">
        <f>CHOOSE(CONTROL!$C$42, 23.3893, 23.3893) * CHOOSE(CONTROL!$C$21, $C$9, 100%, $E$9)</f>
        <v>23.389299999999999</v>
      </c>
      <c r="O503" s="14">
        <f>CHOOSE(CONTROL!$C$42, 23.4441, 23.4441) * CHOOSE(CONTROL!$C$21, $C$9, 100%, $E$9)</f>
        <v>23.444099999999999</v>
      </c>
      <c r="P503" s="14">
        <f>CHOOSE(CONTROL!$C$42, 23.4422, 23.4422) * CHOOSE(CONTROL!$C$21, $C$9, 100%, $E$9)</f>
        <v>23.4422</v>
      </c>
      <c r="Q503" s="14">
        <f>CHOOSE(CONTROL!$C$42, 24.0388, 24.0388) * CHOOSE(CONTROL!$C$21, $C$9, 100%, $E$9)</f>
        <v>24.038799999999998</v>
      </c>
      <c r="R503" s="14">
        <f>CHOOSE(CONTROL!$C$42, 24.6859, 24.6859) * CHOOSE(CONTROL!$C$21, $C$9, 100%, $E$9)</f>
        <v>24.6859</v>
      </c>
      <c r="S503" s="14">
        <f>CHOOSE(CONTROL!$C$42, 22.884, 22.884) * CHOOSE(CONTROL!$C$21, $C$9, 100%, $E$9)</f>
        <v>22.884</v>
      </c>
      <c r="T50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03" s="57">
        <f>(1000*CHOOSE(CONTROL!$C$42, 695, 695)*CHOOSE(CONTROL!$C$42, 0.5599, 0.5599)*CHOOSE(CONTROL!$C$42, 30, 30))/1000000</f>
        <v>11.673914999999997</v>
      </c>
      <c r="V503" s="57">
        <f>(1000*CHOOSE(CONTROL!$C$42, 500, 500)*CHOOSE(CONTROL!$C$42, 0.275, 0.275)*CHOOSE(CONTROL!$C$42, 30, 30))/1000000</f>
        <v>4.125</v>
      </c>
      <c r="W503" s="57">
        <f>(1000*CHOOSE(CONTROL!$C$42, 0.1146, 0.1146)*CHOOSE(CONTROL!$C$42, 121.5, 121.5)*CHOOSE(CONTROL!$C$42, 30, 30))/1000000</f>
        <v>0.417717</v>
      </c>
      <c r="X503" s="57">
        <f>(30*0.1790888*100000/1000000)+(30*0.2374*100000/1000000)</f>
        <v>1.2494664</v>
      </c>
      <c r="Y503" s="57"/>
      <c r="Z503" s="14"/>
      <c r="AA503" s="56"/>
      <c r="AB503" s="50">
        <f>(B503*122.58+C503*297.941+D503*89.177+E503*40.302+F503*40+G503*160+H503*0+I503*100+J503*300)/(122.58+297.941+89.177+40.302+0+40+160+100+300)</f>
        <v>23.860727375652171</v>
      </c>
      <c r="AC503" s="45">
        <f>(M503*'RAP TEMPLATE-GAS AVAILABILITY'!O502+N503*'RAP TEMPLATE-GAS AVAILABILITY'!P502+O503*'RAP TEMPLATE-GAS AVAILABILITY'!Q502+P503*'RAP TEMPLATE-GAS AVAILABILITY'!R502)/('RAP TEMPLATE-GAS AVAILABILITY'!O502+'RAP TEMPLATE-GAS AVAILABILITY'!P502+'RAP TEMPLATE-GAS AVAILABILITY'!Q502+'RAP TEMPLATE-GAS AVAILABILITY'!R502)</f>
        <v>23.415809352517986</v>
      </c>
    </row>
    <row r="504" spans="1:29" ht="15.75" x14ac:dyDescent="0.25">
      <c r="A504" s="33">
        <v>56249</v>
      </c>
      <c r="B504" s="14">
        <f>CHOOSE(CONTROL!$C$42, 25.4478, 25.4478) * CHOOSE(CONTROL!$C$21, $C$9, 100%, $E$9)</f>
        <v>25.447800000000001</v>
      </c>
      <c r="C504" s="14">
        <f>CHOOSE(CONTROL!$C$42, 25.4528, 25.4528) * CHOOSE(CONTROL!$C$21, $C$9, 100%, $E$9)</f>
        <v>25.4528</v>
      </c>
      <c r="D504" s="14">
        <f>CHOOSE(CONTROL!$C$42, 25.5271, 25.5271) * CHOOSE(CONTROL!$C$21, $C$9, 100%, $E$9)</f>
        <v>25.527100000000001</v>
      </c>
      <c r="E504" s="14">
        <f>CHOOSE(CONTROL!$C$42, 25.5612, 25.5612) * CHOOSE(CONTROL!$C$21, $C$9, 100%, $E$9)</f>
        <v>25.561199999999999</v>
      </c>
      <c r="F504" s="14">
        <f>CHOOSE(CONTROL!$C$42, 25.4862, 25.4862)*CHOOSE(CONTROL!$C$21, $C$9, 100%, $E$9)</f>
        <v>25.4862</v>
      </c>
      <c r="G504" s="14">
        <f>CHOOSE(CONTROL!$C$42, 25.5043, 25.5043)*CHOOSE(CONTROL!$C$21, $C$9, 100%, $E$9)</f>
        <v>25.504300000000001</v>
      </c>
      <c r="H504" s="14">
        <f>CHOOSE(CONTROL!$C$42, 25.5504, 25.5504) * CHOOSE(CONTROL!$C$21, $C$9, 100%, $E$9)</f>
        <v>25.5504</v>
      </c>
      <c r="I504" s="14">
        <f>CHOOSE(CONTROL!$C$42, 25.5549, 25.5549)* CHOOSE(CONTROL!$C$21, $C$9, 100%, $E$9)</f>
        <v>25.5549</v>
      </c>
      <c r="J504" s="14">
        <f>CHOOSE(CONTROL!$C$42, 25.4792, 25.4792)* CHOOSE(CONTROL!$C$21, $C$9, 100%, $E$9)</f>
        <v>25.479199999999999</v>
      </c>
      <c r="K504" s="53">
        <f>CHOOSE(CONTROL!$C$42, 25.551, 25.551) * CHOOSE(CONTROL!$C$21, $C$9, 100%, $E$9)</f>
        <v>25.550999999999998</v>
      </c>
      <c r="L504" s="14">
        <f>CHOOSE(CONTROL!$C$42, 26.1374, 26.1374) * CHOOSE(CONTROL!$C$21, $C$9, 100%, $E$9)</f>
        <v>26.1374</v>
      </c>
      <c r="M504" s="14">
        <f>CHOOSE(CONTROL!$C$42, 24.9648, 24.9648) * CHOOSE(CONTROL!$C$21, $C$9, 100%, $E$9)</f>
        <v>24.9648</v>
      </c>
      <c r="N504" s="14">
        <f>CHOOSE(CONTROL!$C$42, 24.9826, 24.9826) * CHOOSE(CONTROL!$C$21, $C$9, 100%, $E$9)</f>
        <v>24.982600000000001</v>
      </c>
      <c r="O504" s="14">
        <f>CHOOSE(CONTROL!$C$42, 25.0345, 25.0345) * CHOOSE(CONTROL!$C$21, $C$9, 100%, $E$9)</f>
        <v>25.034500000000001</v>
      </c>
      <c r="P504" s="14">
        <f>CHOOSE(CONTROL!$C$42, 25.0375, 25.0375) * CHOOSE(CONTROL!$C$21, $C$9, 100%, $E$9)</f>
        <v>25.037500000000001</v>
      </c>
      <c r="Q504" s="14">
        <f>CHOOSE(CONTROL!$C$42, 25.6292, 25.6292) * CHOOSE(CONTROL!$C$21, $C$9, 100%, $E$9)</f>
        <v>25.629200000000001</v>
      </c>
      <c r="R504" s="14">
        <f>CHOOSE(CONTROL!$C$42, 26.2803, 26.2803) * CHOOSE(CONTROL!$C$21, $C$9, 100%, $E$9)</f>
        <v>26.2803</v>
      </c>
      <c r="S504" s="14">
        <f>CHOOSE(CONTROL!$C$42, 24.4442, 24.4442) * CHOOSE(CONTROL!$C$21, $C$9, 100%, $E$9)</f>
        <v>24.444199999999999</v>
      </c>
      <c r="T50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04" s="57">
        <f>(1000*CHOOSE(CONTROL!$C$42, 695, 695)*CHOOSE(CONTROL!$C$42, 0.5599, 0.5599)*CHOOSE(CONTROL!$C$42, 31, 31))/1000000</f>
        <v>12.063045499999998</v>
      </c>
      <c r="V504" s="57">
        <f>(1000*CHOOSE(CONTROL!$C$42, 500, 500)*CHOOSE(CONTROL!$C$42, 0.275, 0.275)*CHOOSE(CONTROL!$C$42, 31, 31))/1000000</f>
        <v>4.2625000000000002</v>
      </c>
      <c r="W504" s="57">
        <f>(1000*CHOOSE(CONTROL!$C$42, 0.1146, 0.1146)*CHOOSE(CONTROL!$C$42, 121.5, 121.5)*CHOOSE(CONTROL!$C$42, 31, 31))/1000000</f>
        <v>0.43164089999999994</v>
      </c>
      <c r="X504" s="57">
        <f>(31*0.1790888*100000/1000000)+(31*0.2374*100000/1000000)</f>
        <v>1.2911152800000001</v>
      </c>
      <c r="Y504" s="57"/>
      <c r="Z504" s="14"/>
      <c r="AA504" s="56"/>
      <c r="AB504" s="50">
        <f>(B504*122.58+C504*297.941+D504*89.177+E504*40.302+F504*40+G504*160+H504*0+I504*100+J504*300)/(122.58+297.941+89.177+40.302+0+40+160+100+300)</f>
        <v>25.485919728608692</v>
      </c>
      <c r="AC504" s="45">
        <f>(M504*'RAP TEMPLATE-GAS AVAILABILITY'!O503+N504*'RAP TEMPLATE-GAS AVAILABILITY'!P503+O504*'RAP TEMPLATE-GAS AVAILABILITY'!Q503+P504*'RAP TEMPLATE-GAS AVAILABILITY'!R503)/('RAP TEMPLATE-GAS AVAILABILITY'!O503+'RAP TEMPLATE-GAS AVAILABILITY'!P503+'RAP TEMPLATE-GAS AVAILABILITY'!Q503+'RAP TEMPLATE-GAS AVAILABILITY'!R503)</f>
        <v>25.007875539568346</v>
      </c>
    </row>
    <row r="505" spans="1:29" ht="15.75" x14ac:dyDescent="0.25">
      <c r="A505" s="33">
        <v>56280</v>
      </c>
      <c r="B505" s="14">
        <f>CHOOSE(CONTROL!$C$42, 27.5566, 27.5566) * CHOOSE(CONTROL!$C$21, $C$9, 100%, $E$9)</f>
        <v>27.5566</v>
      </c>
      <c r="C505" s="14">
        <f>CHOOSE(CONTROL!$C$42, 27.5617, 27.5617) * CHOOSE(CONTROL!$C$21, $C$9, 100%, $E$9)</f>
        <v>27.561699999999998</v>
      </c>
      <c r="D505" s="14">
        <f>CHOOSE(CONTROL!$C$42, 27.6385, 27.6385) * CHOOSE(CONTROL!$C$21, $C$9, 100%, $E$9)</f>
        <v>27.638500000000001</v>
      </c>
      <c r="E505" s="14">
        <f>CHOOSE(CONTROL!$C$42, 27.6726, 27.6726) * CHOOSE(CONTROL!$C$21, $C$9, 100%, $E$9)</f>
        <v>27.672599999999999</v>
      </c>
      <c r="F505" s="14">
        <f>CHOOSE(CONTROL!$C$42, 27.5814, 27.5814)*CHOOSE(CONTROL!$C$21, $C$9, 100%, $E$9)</f>
        <v>27.581399999999999</v>
      </c>
      <c r="G505" s="14">
        <f>CHOOSE(CONTROL!$C$42, 27.5993, 27.5993)*CHOOSE(CONTROL!$C$21, $C$9, 100%, $E$9)</f>
        <v>27.599299999999999</v>
      </c>
      <c r="H505" s="14">
        <f>CHOOSE(CONTROL!$C$42, 27.6618, 27.6618) * CHOOSE(CONTROL!$C$21, $C$9, 100%, $E$9)</f>
        <v>27.661799999999999</v>
      </c>
      <c r="I505" s="14">
        <f>CHOOSE(CONTROL!$C$42, 27.6766, 27.6766)* CHOOSE(CONTROL!$C$21, $C$9, 100%, $E$9)</f>
        <v>27.676600000000001</v>
      </c>
      <c r="J505" s="14">
        <f>CHOOSE(CONTROL!$C$42, 27.5744, 27.5744)* CHOOSE(CONTROL!$C$21, $C$9, 100%, $E$9)</f>
        <v>27.574400000000001</v>
      </c>
      <c r="K505" s="53">
        <f>CHOOSE(CONTROL!$C$42, 27.6727, 27.6727) * CHOOSE(CONTROL!$C$21, $C$9, 100%, $E$9)</f>
        <v>27.672699999999999</v>
      </c>
      <c r="L505" s="14">
        <f>CHOOSE(CONTROL!$C$42, 28.2488, 28.2488) * CHOOSE(CONTROL!$C$21, $C$9, 100%, $E$9)</f>
        <v>28.248799999999999</v>
      </c>
      <c r="M505" s="14">
        <f>CHOOSE(CONTROL!$C$42, 27.0171, 27.0171) * CHOOSE(CONTROL!$C$21, $C$9, 100%, $E$9)</f>
        <v>27.017099999999999</v>
      </c>
      <c r="N505" s="14">
        <f>CHOOSE(CONTROL!$C$42, 27.0347, 27.0347) * CHOOSE(CONTROL!$C$21, $C$9, 100%, $E$9)</f>
        <v>27.034700000000001</v>
      </c>
      <c r="O505" s="14">
        <f>CHOOSE(CONTROL!$C$42, 27.1027, 27.1027) * CHOOSE(CONTROL!$C$21, $C$9, 100%, $E$9)</f>
        <v>27.102699999999999</v>
      </c>
      <c r="P505" s="14">
        <f>CHOOSE(CONTROL!$C$42, 27.1156, 27.1156) * CHOOSE(CONTROL!$C$21, $C$9, 100%, $E$9)</f>
        <v>27.115600000000001</v>
      </c>
      <c r="Q505" s="14">
        <f>CHOOSE(CONTROL!$C$42, 27.6974, 27.6974) * CHOOSE(CONTROL!$C$21, $C$9, 100%, $E$9)</f>
        <v>27.697399999999998</v>
      </c>
      <c r="R505" s="14">
        <f>CHOOSE(CONTROL!$C$42, 28.3537, 28.3537) * CHOOSE(CONTROL!$C$21, $C$9, 100%, $E$9)</f>
        <v>28.3537</v>
      </c>
      <c r="S505" s="14">
        <f>CHOOSE(CONTROL!$C$42, 26.4706, 26.4706) * CHOOSE(CONTROL!$C$21, $C$9, 100%, $E$9)</f>
        <v>26.470600000000001</v>
      </c>
      <c r="T50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05" s="57">
        <f>(1000*CHOOSE(CONTROL!$C$42, 695, 695)*CHOOSE(CONTROL!$C$42, 0.5599, 0.5599)*CHOOSE(CONTROL!$C$42, 31, 31))/1000000</f>
        <v>12.063045499999998</v>
      </c>
      <c r="V505" s="57">
        <f>(1000*CHOOSE(CONTROL!$C$42, 500, 500)*CHOOSE(CONTROL!$C$42, 0.275, 0.275)*CHOOSE(CONTROL!$C$42, 31, 31))/1000000</f>
        <v>4.2625000000000002</v>
      </c>
      <c r="W505" s="57">
        <f>(1000*CHOOSE(CONTROL!$C$42, 0.1146, 0.1146)*CHOOSE(CONTROL!$C$42, 121.5, 121.5)*CHOOSE(CONTROL!$C$42, 31, 31))/1000000</f>
        <v>0.43164089999999994</v>
      </c>
      <c r="X505" s="57">
        <f>(31*0.1790888*100000/1000000)+(31*0.2374*100000/1000000)</f>
        <v>1.2911152800000001</v>
      </c>
      <c r="Y505" s="57"/>
      <c r="Z505" s="14"/>
      <c r="AA505" s="56"/>
      <c r="AB505" s="50">
        <f>(B505*122.58+C505*297.941+D505*89.177+E505*40.302+F505*40+G505*160+H505*0+I505*100+J505*300)/(122.58+297.941+89.177+40.302+0+40+160+100+300)</f>
        <v>27.59021924121739</v>
      </c>
      <c r="AC505" s="45">
        <f>(M505*'RAP TEMPLATE-GAS AVAILABILITY'!O504+N505*'RAP TEMPLATE-GAS AVAILABILITY'!P504+O505*'RAP TEMPLATE-GAS AVAILABILITY'!Q504+P505*'RAP TEMPLATE-GAS AVAILABILITY'!R504)/('RAP TEMPLATE-GAS AVAILABILITY'!O504+'RAP TEMPLATE-GAS AVAILABILITY'!P504+'RAP TEMPLATE-GAS AVAILABILITY'!Q504+'RAP TEMPLATE-GAS AVAILABILITY'!R504)</f>
        <v>27.07108273381295</v>
      </c>
    </row>
    <row r="506" spans="1:29" ht="15.75" x14ac:dyDescent="0.25">
      <c r="A506" s="33">
        <v>56308</v>
      </c>
      <c r="B506" s="14">
        <f>CHOOSE(CONTROL!$C$42, 28.047, 28.047) * CHOOSE(CONTROL!$C$21, $C$9, 100%, $E$9)</f>
        <v>28.047000000000001</v>
      </c>
      <c r="C506" s="14">
        <f>CHOOSE(CONTROL!$C$42, 28.0521, 28.0521) * CHOOSE(CONTROL!$C$21, $C$9, 100%, $E$9)</f>
        <v>28.052099999999999</v>
      </c>
      <c r="D506" s="14">
        <f>CHOOSE(CONTROL!$C$42, 28.1289, 28.1289) * CHOOSE(CONTROL!$C$21, $C$9, 100%, $E$9)</f>
        <v>28.128900000000002</v>
      </c>
      <c r="E506" s="14">
        <f>CHOOSE(CONTROL!$C$42, 28.163, 28.163) * CHOOSE(CONTROL!$C$21, $C$9, 100%, $E$9)</f>
        <v>28.163</v>
      </c>
      <c r="F506" s="14">
        <f>CHOOSE(CONTROL!$C$42, 28.0713, 28.0713)*CHOOSE(CONTROL!$C$21, $C$9, 100%, $E$9)</f>
        <v>28.071300000000001</v>
      </c>
      <c r="G506" s="14">
        <f>CHOOSE(CONTROL!$C$42, 28.0892, 28.0892)*CHOOSE(CONTROL!$C$21, $C$9, 100%, $E$9)</f>
        <v>28.089200000000002</v>
      </c>
      <c r="H506" s="14">
        <f>CHOOSE(CONTROL!$C$42, 28.1522, 28.1522) * CHOOSE(CONTROL!$C$21, $C$9, 100%, $E$9)</f>
        <v>28.152200000000001</v>
      </c>
      <c r="I506" s="14">
        <f>CHOOSE(CONTROL!$C$42, 28.1686, 28.1686)* CHOOSE(CONTROL!$C$21, $C$9, 100%, $E$9)</f>
        <v>28.168600000000001</v>
      </c>
      <c r="J506" s="14">
        <f>CHOOSE(CONTROL!$C$42, 28.0643, 28.0643)* CHOOSE(CONTROL!$C$21, $C$9, 100%, $E$9)</f>
        <v>28.064299999999999</v>
      </c>
      <c r="K506" s="53">
        <f>CHOOSE(CONTROL!$C$42, 28.1647, 28.1647) * CHOOSE(CONTROL!$C$21, $C$9, 100%, $E$9)</f>
        <v>28.1647</v>
      </c>
      <c r="L506" s="14">
        <f>CHOOSE(CONTROL!$C$42, 28.7392, 28.7392) * CHOOSE(CONTROL!$C$21, $C$9, 100%, $E$9)</f>
        <v>28.7392</v>
      </c>
      <c r="M506" s="14">
        <f>CHOOSE(CONTROL!$C$42, 27.497, 27.497) * CHOOSE(CONTROL!$C$21, $C$9, 100%, $E$9)</f>
        <v>27.497</v>
      </c>
      <c r="N506" s="14">
        <f>CHOOSE(CONTROL!$C$42, 27.5145, 27.5145) * CHOOSE(CONTROL!$C$21, $C$9, 100%, $E$9)</f>
        <v>27.514500000000002</v>
      </c>
      <c r="O506" s="14">
        <f>CHOOSE(CONTROL!$C$42, 27.5831, 27.5831) * CHOOSE(CONTROL!$C$21, $C$9, 100%, $E$9)</f>
        <v>27.583100000000002</v>
      </c>
      <c r="P506" s="14">
        <f>CHOOSE(CONTROL!$C$42, 27.5974, 27.5974) * CHOOSE(CONTROL!$C$21, $C$9, 100%, $E$9)</f>
        <v>27.5974</v>
      </c>
      <c r="Q506" s="14">
        <f>CHOOSE(CONTROL!$C$42, 28.1778, 28.1778) * CHOOSE(CONTROL!$C$21, $C$9, 100%, $E$9)</f>
        <v>28.177800000000001</v>
      </c>
      <c r="R506" s="14">
        <f>CHOOSE(CONTROL!$C$42, 28.8352, 28.8352) * CHOOSE(CONTROL!$C$21, $C$9, 100%, $E$9)</f>
        <v>28.8352</v>
      </c>
      <c r="S506" s="14">
        <f>CHOOSE(CONTROL!$C$42, 26.9418, 26.9418) * CHOOSE(CONTROL!$C$21, $C$9, 100%, $E$9)</f>
        <v>26.941800000000001</v>
      </c>
      <c r="T50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06" s="57">
        <f>(1000*CHOOSE(CONTROL!$C$42, 695, 695)*CHOOSE(CONTROL!$C$42, 0.5599, 0.5599)*CHOOSE(CONTROL!$C$42, 28, 28))/1000000</f>
        <v>10.895653999999999</v>
      </c>
      <c r="V506" s="57">
        <f>(1000*CHOOSE(CONTROL!$C$42, 500, 500)*CHOOSE(CONTROL!$C$42, 0.275, 0.275)*CHOOSE(CONTROL!$C$42, 28, 28))/1000000</f>
        <v>3.85</v>
      </c>
      <c r="W506" s="57">
        <f>(1000*CHOOSE(CONTROL!$C$42, 0.1146, 0.1146)*CHOOSE(CONTROL!$C$42, 121.5, 121.5)*CHOOSE(CONTROL!$C$42, 28, 28))/1000000</f>
        <v>0.38986920000000003</v>
      </c>
      <c r="X506" s="57">
        <f>(28*0.1790888*100000/1000000)+(28*0.2374*100000/1000000)</f>
        <v>1.16616864</v>
      </c>
      <c r="Y506" s="57"/>
      <c r="Z506" s="14"/>
      <c r="AA506" s="56"/>
      <c r="AB506" s="50">
        <f>(B506*122.58+C506*297.941+D506*89.177+E506*40.302+F506*40+G506*160+H506*0+I506*100+J506*300)/(122.58+297.941+89.177+40.302+0+40+160+100+300)</f>
        <v>28.080540980347823</v>
      </c>
      <c r="AC506" s="45">
        <f>(M506*'RAP TEMPLATE-GAS AVAILABILITY'!O505+N506*'RAP TEMPLATE-GAS AVAILABILITY'!P505+O506*'RAP TEMPLATE-GAS AVAILABILITY'!Q505+P506*'RAP TEMPLATE-GAS AVAILABILITY'!R505)/('RAP TEMPLATE-GAS AVAILABILITY'!O505+'RAP TEMPLATE-GAS AVAILABILITY'!P505+'RAP TEMPLATE-GAS AVAILABILITY'!Q505+'RAP TEMPLATE-GAS AVAILABILITY'!R505)</f>
        <v>27.55147697841727</v>
      </c>
    </row>
    <row r="507" spans="1:29" ht="15.75" x14ac:dyDescent="0.25">
      <c r="A507" s="33">
        <v>56339</v>
      </c>
      <c r="B507" s="14">
        <f>CHOOSE(CONTROL!$C$42, 27.251, 27.251) * CHOOSE(CONTROL!$C$21, $C$9, 100%, $E$9)</f>
        <v>27.251000000000001</v>
      </c>
      <c r="C507" s="14">
        <f>CHOOSE(CONTROL!$C$42, 27.2561, 27.2561) * CHOOSE(CONTROL!$C$21, $C$9, 100%, $E$9)</f>
        <v>27.2561</v>
      </c>
      <c r="D507" s="14">
        <f>CHOOSE(CONTROL!$C$42, 27.3329, 27.3329) * CHOOSE(CONTROL!$C$21, $C$9, 100%, $E$9)</f>
        <v>27.332899999999999</v>
      </c>
      <c r="E507" s="14">
        <f>CHOOSE(CONTROL!$C$42, 27.367, 27.367) * CHOOSE(CONTROL!$C$21, $C$9, 100%, $E$9)</f>
        <v>27.367000000000001</v>
      </c>
      <c r="F507" s="14">
        <f>CHOOSE(CONTROL!$C$42, 27.2745, 27.2745)*CHOOSE(CONTROL!$C$21, $C$9, 100%, $E$9)</f>
        <v>27.2745</v>
      </c>
      <c r="G507" s="14">
        <f>CHOOSE(CONTROL!$C$42, 27.2921, 27.2921)*CHOOSE(CONTROL!$C$21, $C$9, 100%, $E$9)</f>
        <v>27.292100000000001</v>
      </c>
      <c r="H507" s="14">
        <f>CHOOSE(CONTROL!$C$42, 27.3562, 27.3562) * CHOOSE(CONTROL!$C$21, $C$9, 100%, $E$9)</f>
        <v>27.356200000000001</v>
      </c>
      <c r="I507" s="14">
        <f>CHOOSE(CONTROL!$C$42, 27.3701, 27.3701)* CHOOSE(CONTROL!$C$21, $C$9, 100%, $E$9)</f>
        <v>27.370100000000001</v>
      </c>
      <c r="J507" s="14">
        <f>CHOOSE(CONTROL!$C$42, 27.2675, 27.2675)* CHOOSE(CONTROL!$C$21, $C$9, 100%, $E$9)</f>
        <v>27.267499999999998</v>
      </c>
      <c r="K507" s="53">
        <f>CHOOSE(CONTROL!$C$42, 27.3662, 27.3662) * CHOOSE(CONTROL!$C$21, $C$9, 100%, $E$9)</f>
        <v>27.366199999999999</v>
      </c>
      <c r="L507" s="14">
        <f>CHOOSE(CONTROL!$C$42, 27.9432, 27.9432) * CHOOSE(CONTROL!$C$21, $C$9, 100%, $E$9)</f>
        <v>27.943200000000001</v>
      </c>
      <c r="M507" s="14">
        <f>CHOOSE(CONTROL!$C$42, 26.7165, 26.7165) * CHOOSE(CONTROL!$C$21, $C$9, 100%, $E$9)</f>
        <v>26.7165</v>
      </c>
      <c r="N507" s="14">
        <f>CHOOSE(CONTROL!$C$42, 26.7337, 26.7337) * CHOOSE(CONTROL!$C$21, $C$9, 100%, $E$9)</f>
        <v>26.733699999999999</v>
      </c>
      <c r="O507" s="14">
        <f>CHOOSE(CONTROL!$C$42, 26.8034, 26.8034) * CHOOSE(CONTROL!$C$21, $C$9, 100%, $E$9)</f>
        <v>26.8034</v>
      </c>
      <c r="P507" s="14">
        <f>CHOOSE(CONTROL!$C$42, 26.8153, 26.8153) * CHOOSE(CONTROL!$C$21, $C$9, 100%, $E$9)</f>
        <v>26.815300000000001</v>
      </c>
      <c r="Q507" s="14">
        <f>CHOOSE(CONTROL!$C$42, 27.3981, 27.3981) * CHOOSE(CONTROL!$C$21, $C$9, 100%, $E$9)</f>
        <v>27.398099999999999</v>
      </c>
      <c r="R507" s="14">
        <f>CHOOSE(CONTROL!$C$42, 28.0536, 28.0536) * CHOOSE(CONTROL!$C$21, $C$9, 100%, $E$9)</f>
        <v>28.053599999999999</v>
      </c>
      <c r="S507" s="14">
        <f>CHOOSE(CONTROL!$C$42, 26.1769, 26.1769) * CHOOSE(CONTROL!$C$21, $C$9, 100%, $E$9)</f>
        <v>26.1769</v>
      </c>
      <c r="T50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07" s="57">
        <f>(1000*CHOOSE(CONTROL!$C$42, 695, 695)*CHOOSE(CONTROL!$C$42, 0.5599, 0.5599)*CHOOSE(CONTROL!$C$42, 31, 31))/1000000</f>
        <v>12.063045499999998</v>
      </c>
      <c r="V507" s="57">
        <f>(1000*CHOOSE(CONTROL!$C$42, 500, 500)*CHOOSE(CONTROL!$C$42, 0.275, 0.275)*CHOOSE(CONTROL!$C$42, 31, 31))/1000000</f>
        <v>4.2625000000000002</v>
      </c>
      <c r="W507" s="57">
        <f>(1000*CHOOSE(CONTROL!$C$42, 0.1146, 0.1146)*CHOOSE(CONTROL!$C$42, 121.5, 121.5)*CHOOSE(CONTROL!$C$42, 31, 31))/1000000</f>
        <v>0.43164089999999994</v>
      </c>
      <c r="X507" s="57">
        <f>(31*0.1790888*100000/1000000)+(31*0.2374*100000/1000000)</f>
        <v>1.2911152800000001</v>
      </c>
      <c r="Y507" s="57"/>
      <c r="Z507" s="14"/>
      <c r="AA507" s="56"/>
      <c r="AB507" s="50">
        <f>(B507*122.58+C507*297.941+D507*89.177+E507*40.302+F507*40+G507*160+H507*0+I507*100+J507*300)/(122.58+297.941+89.177+40.302+0+40+160+100+300)</f>
        <v>27.283934023826088</v>
      </c>
      <c r="AC507" s="45">
        <f>(M507*'RAP TEMPLATE-GAS AVAILABILITY'!O506+N507*'RAP TEMPLATE-GAS AVAILABILITY'!P506+O507*'RAP TEMPLATE-GAS AVAILABILITY'!Q506+P507*'RAP TEMPLATE-GAS AVAILABILITY'!R506)/('RAP TEMPLATE-GAS AVAILABILITY'!O506+'RAP TEMPLATE-GAS AVAILABILITY'!P506+'RAP TEMPLATE-GAS AVAILABILITY'!Q506+'RAP TEMPLATE-GAS AVAILABILITY'!R506)</f>
        <v>26.771092086330935</v>
      </c>
    </row>
    <row r="508" spans="1:29" ht="15.75" x14ac:dyDescent="0.25">
      <c r="A508" s="33">
        <v>56369</v>
      </c>
      <c r="B508" s="14">
        <f>CHOOSE(CONTROL!$C$42, 27.1704, 27.1704) * CHOOSE(CONTROL!$C$21, $C$9, 100%, $E$9)</f>
        <v>27.170400000000001</v>
      </c>
      <c r="C508" s="14">
        <f>CHOOSE(CONTROL!$C$42, 27.1749, 27.1749) * CHOOSE(CONTROL!$C$21, $C$9, 100%, $E$9)</f>
        <v>27.174900000000001</v>
      </c>
      <c r="D508" s="14">
        <f>CHOOSE(CONTROL!$C$42, 27.3986, 27.3986) * CHOOSE(CONTROL!$C$21, $C$9, 100%, $E$9)</f>
        <v>27.398599999999998</v>
      </c>
      <c r="E508" s="14">
        <f>CHOOSE(CONTROL!$C$42, 27.4308, 27.4308) * CHOOSE(CONTROL!$C$21, $C$9, 100%, $E$9)</f>
        <v>27.430800000000001</v>
      </c>
      <c r="F508" s="14">
        <f>CHOOSE(CONTROL!$C$42, 27.1981, 27.1981)*CHOOSE(CONTROL!$C$21, $C$9, 100%, $E$9)</f>
        <v>27.1981</v>
      </c>
      <c r="G508" s="14">
        <f>CHOOSE(CONTROL!$C$42, 27.215, 27.215)*CHOOSE(CONTROL!$C$21, $C$9, 100%, $E$9)</f>
        <v>27.215</v>
      </c>
      <c r="H508" s="14">
        <f>CHOOSE(CONTROL!$C$42, 27.4205, 27.4205) * CHOOSE(CONTROL!$C$21, $C$9, 100%, $E$9)</f>
        <v>27.420500000000001</v>
      </c>
      <c r="I508" s="14">
        <f>CHOOSE(CONTROL!$C$42, 27.2848, 27.2848)* CHOOSE(CONTROL!$C$21, $C$9, 100%, $E$9)</f>
        <v>27.284800000000001</v>
      </c>
      <c r="J508" s="14">
        <f>CHOOSE(CONTROL!$C$42, 27.1911, 27.1911)* CHOOSE(CONTROL!$C$21, $C$9, 100%, $E$9)</f>
        <v>27.191099999999999</v>
      </c>
      <c r="K508" s="53">
        <f>CHOOSE(CONTROL!$C$42, 27.2809, 27.2809) * CHOOSE(CONTROL!$C$21, $C$9, 100%, $E$9)</f>
        <v>27.280899999999999</v>
      </c>
      <c r="L508" s="14">
        <f>CHOOSE(CONTROL!$C$42, 28.0075, 28.0075) * CHOOSE(CONTROL!$C$21, $C$9, 100%, $E$9)</f>
        <v>28.0075</v>
      </c>
      <c r="M508" s="14">
        <f>CHOOSE(CONTROL!$C$42, 26.6417, 26.6417) * CHOOSE(CONTROL!$C$21, $C$9, 100%, $E$9)</f>
        <v>26.6417</v>
      </c>
      <c r="N508" s="14">
        <f>CHOOSE(CONTROL!$C$42, 26.6582, 26.6582) * CHOOSE(CONTROL!$C$21, $C$9, 100%, $E$9)</f>
        <v>26.658200000000001</v>
      </c>
      <c r="O508" s="14">
        <f>CHOOSE(CONTROL!$C$42, 26.8664, 26.8664) * CHOOSE(CONTROL!$C$21, $C$9, 100%, $E$9)</f>
        <v>26.866399999999999</v>
      </c>
      <c r="P508" s="14">
        <f>CHOOSE(CONTROL!$C$42, 26.7318, 26.7318) * CHOOSE(CONTROL!$C$21, $C$9, 100%, $E$9)</f>
        <v>26.7318</v>
      </c>
      <c r="Q508" s="14">
        <f>CHOOSE(CONTROL!$C$42, 27.4611, 27.4611) * CHOOSE(CONTROL!$C$21, $C$9, 100%, $E$9)</f>
        <v>27.461099999999998</v>
      </c>
      <c r="R508" s="14">
        <f>CHOOSE(CONTROL!$C$42, 28.1168, 28.1168) * CHOOSE(CONTROL!$C$21, $C$9, 100%, $E$9)</f>
        <v>28.116800000000001</v>
      </c>
      <c r="S508" s="14">
        <f>CHOOSE(CONTROL!$C$42, 26.0988, 26.0988) * CHOOSE(CONTROL!$C$21, $C$9, 100%, $E$9)</f>
        <v>26.098800000000001</v>
      </c>
      <c r="T50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08" s="57">
        <f>(1000*CHOOSE(CONTROL!$C$42, 695, 695)*CHOOSE(CONTROL!$C$42, 0.5599, 0.5599)*CHOOSE(CONTROL!$C$42, 30, 30))/1000000</f>
        <v>11.673914999999997</v>
      </c>
      <c r="V508" s="57">
        <f>(1000*CHOOSE(CONTROL!$C$42, 500, 500)*CHOOSE(CONTROL!$C$42, 0.275, 0.275)*CHOOSE(CONTROL!$C$42, 30, 30))/1000000</f>
        <v>4.125</v>
      </c>
      <c r="W508" s="57">
        <f>(1000*CHOOSE(CONTROL!$C$42, 0.1146, 0.1146)*CHOOSE(CONTROL!$C$42, 121.5, 121.5)*CHOOSE(CONTROL!$C$42, 30, 30))/1000000</f>
        <v>0.417717</v>
      </c>
      <c r="X508" s="57">
        <f>(30*0.1790888*245000/1000000)+(30*0.2374*100000/1000000)</f>
        <v>2.0285026799999999</v>
      </c>
      <c r="Y508" s="57"/>
      <c r="Z508" s="14"/>
      <c r="AA508" s="56"/>
      <c r="AB508" s="50">
        <f>(B508*141.293+C508*267.993+D508*115.016+E508*89.698+F508*40+G508*185+H508*0+I508*100+J508*300)/(141.293+267.993+115.016+89.698+0+40+185+100+300)</f>
        <v>27.233207892574654</v>
      </c>
      <c r="AC508" s="45">
        <f>(M508*'RAP TEMPLATE-GAS AVAILABILITY'!O507+N508*'RAP TEMPLATE-GAS AVAILABILITY'!P507+O508*'RAP TEMPLATE-GAS AVAILABILITY'!Q507+P508*'RAP TEMPLATE-GAS AVAILABILITY'!R507)/('RAP TEMPLATE-GAS AVAILABILITY'!O507+'RAP TEMPLATE-GAS AVAILABILITY'!P507+'RAP TEMPLATE-GAS AVAILABILITY'!Q507+'RAP TEMPLATE-GAS AVAILABILITY'!R507)</f>
        <v>26.721507913669065</v>
      </c>
    </row>
    <row r="509" spans="1:29" ht="15.75" x14ac:dyDescent="0.25">
      <c r="A509" s="33">
        <v>56400</v>
      </c>
      <c r="B509" s="14">
        <f>CHOOSE(CONTROL!$C$42, 27.4115, 27.4115) * CHOOSE(CONTROL!$C$21, $C$9, 100%, $E$9)</f>
        <v>27.4115</v>
      </c>
      <c r="C509" s="14">
        <f>CHOOSE(CONTROL!$C$42, 27.4196, 27.4196) * CHOOSE(CONTROL!$C$21, $C$9, 100%, $E$9)</f>
        <v>27.419599999999999</v>
      </c>
      <c r="D509" s="14">
        <f>CHOOSE(CONTROL!$C$42, 27.6402, 27.6402) * CHOOSE(CONTROL!$C$21, $C$9, 100%, $E$9)</f>
        <v>27.6402</v>
      </c>
      <c r="E509" s="14">
        <f>CHOOSE(CONTROL!$C$42, 27.6716, 27.6716) * CHOOSE(CONTROL!$C$21, $C$9, 100%, $E$9)</f>
        <v>27.671600000000002</v>
      </c>
      <c r="F509" s="14">
        <f>CHOOSE(CONTROL!$C$42, 27.4378, 27.4378)*CHOOSE(CONTROL!$C$21, $C$9, 100%, $E$9)</f>
        <v>27.437799999999999</v>
      </c>
      <c r="G509" s="14">
        <f>CHOOSE(CONTROL!$C$42, 27.4549, 27.4549)*CHOOSE(CONTROL!$C$21, $C$9, 100%, $E$9)</f>
        <v>27.454899999999999</v>
      </c>
      <c r="H509" s="14">
        <f>CHOOSE(CONTROL!$C$42, 27.6603, 27.6603) * CHOOSE(CONTROL!$C$21, $C$9, 100%, $E$9)</f>
        <v>27.660299999999999</v>
      </c>
      <c r="I509" s="14">
        <f>CHOOSE(CONTROL!$C$42, 27.5253, 27.5253)* CHOOSE(CONTROL!$C$21, $C$9, 100%, $E$9)</f>
        <v>27.525300000000001</v>
      </c>
      <c r="J509" s="14">
        <f>CHOOSE(CONTROL!$C$42, 27.4308, 27.4308)* CHOOSE(CONTROL!$C$21, $C$9, 100%, $E$9)</f>
        <v>27.430800000000001</v>
      </c>
      <c r="K509" s="53">
        <f>CHOOSE(CONTROL!$C$42, 27.5214, 27.5214) * CHOOSE(CONTROL!$C$21, $C$9, 100%, $E$9)</f>
        <v>27.5214</v>
      </c>
      <c r="L509" s="14">
        <f>CHOOSE(CONTROL!$C$42, 28.2473, 28.2473) * CHOOSE(CONTROL!$C$21, $C$9, 100%, $E$9)</f>
        <v>28.247299999999999</v>
      </c>
      <c r="M509" s="14">
        <f>CHOOSE(CONTROL!$C$42, 26.8765, 26.8765) * CHOOSE(CONTROL!$C$21, $C$9, 100%, $E$9)</f>
        <v>26.8765</v>
      </c>
      <c r="N509" s="14">
        <f>CHOOSE(CONTROL!$C$42, 26.8932, 26.8932) * CHOOSE(CONTROL!$C$21, $C$9, 100%, $E$9)</f>
        <v>26.8932</v>
      </c>
      <c r="O509" s="14">
        <f>CHOOSE(CONTROL!$C$42, 27.1012, 27.1012) * CHOOSE(CONTROL!$C$21, $C$9, 100%, $E$9)</f>
        <v>27.101199999999999</v>
      </c>
      <c r="P509" s="14">
        <f>CHOOSE(CONTROL!$C$42, 26.9673, 26.9673) * CHOOSE(CONTROL!$C$21, $C$9, 100%, $E$9)</f>
        <v>26.967300000000002</v>
      </c>
      <c r="Q509" s="14">
        <f>CHOOSE(CONTROL!$C$42, 27.6959, 27.6959) * CHOOSE(CONTROL!$C$21, $C$9, 100%, $E$9)</f>
        <v>27.695900000000002</v>
      </c>
      <c r="R509" s="14">
        <f>CHOOSE(CONTROL!$C$42, 28.3521, 28.3521) * CHOOSE(CONTROL!$C$21, $C$9, 100%, $E$9)</f>
        <v>28.3521</v>
      </c>
      <c r="S509" s="14">
        <f>CHOOSE(CONTROL!$C$42, 26.3291, 26.3291) * CHOOSE(CONTROL!$C$21, $C$9, 100%, $E$9)</f>
        <v>26.3291</v>
      </c>
      <c r="T50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09" s="57">
        <f>(1000*CHOOSE(CONTROL!$C$42, 695, 695)*CHOOSE(CONTROL!$C$42, 0.5599, 0.5599)*CHOOSE(CONTROL!$C$42, 31, 31))/1000000</f>
        <v>12.063045499999998</v>
      </c>
      <c r="V509" s="57">
        <f>(1000*CHOOSE(CONTROL!$C$42, 500, 500)*CHOOSE(CONTROL!$C$42, 0.275, 0.275)*CHOOSE(CONTROL!$C$42, 31, 31))/1000000</f>
        <v>4.2625000000000002</v>
      </c>
      <c r="W509" s="57">
        <f>(1000*CHOOSE(CONTROL!$C$42, 0.1146, 0.1146)*CHOOSE(CONTROL!$C$42, 121.5, 121.5)*CHOOSE(CONTROL!$C$42, 31, 31))/1000000</f>
        <v>0.43164089999999994</v>
      </c>
      <c r="X509" s="57">
        <f>(31*0.1790888*245000/1000000)+(31*0.2374*100000/1000000)</f>
        <v>2.0961194359999999</v>
      </c>
      <c r="Y509" s="57"/>
      <c r="Z509" s="14"/>
      <c r="AA509" s="56"/>
      <c r="AB509" s="50">
        <f>(B509*194.205+C509*267.466+D509*133.845+E509*53.484+F509*40+G509*185+H509*0+I509*100+J509*300)/(194.205+267.466+133.845+53.484+0+40+185+100+300)</f>
        <v>27.468751973704865</v>
      </c>
      <c r="AC509" s="45">
        <f>(M509*'RAP TEMPLATE-GAS AVAILABILITY'!O508+N509*'RAP TEMPLATE-GAS AVAILABILITY'!P508+O509*'RAP TEMPLATE-GAS AVAILABILITY'!Q508+P509*'RAP TEMPLATE-GAS AVAILABILITY'!R508)/('RAP TEMPLATE-GAS AVAILABILITY'!O508+'RAP TEMPLATE-GAS AVAILABILITY'!P508+'RAP TEMPLATE-GAS AVAILABILITY'!Q508+'RAP TEMPLATE-GAS AVAILABILITY'!R508)</f>
        <v>26.956454676258993</v>
      </c>
    </row>
    <row r="510" spans="1:29" ht="15.75" x14ac:dyDescent="0.25">
      <c r="A510" s="33">
        <v>56430</v>
      </c>
      <c r="B510" s="14">
        <f>CHOOSE(CONTROL!$C$42, 28.1888, 28.1888) * CHOOSE(CONTROL!$C$21, $C$9, 100%, $E$9)</f>
        <v>28.188800000000001</v>
      </c>
      <c r="C510" s="14">
        <f>CHOOSE(CONTROL!$C$42, 28.1968, 28.1968) * CHOOSE(CONTROL!$C$21, $C$9, 100%, $E$9)</f>
        <v>28.1968</v>
      </c>
      <c r="D510" s="14">
        <f>CHOOSE(CONTROL!$C$42, 28.4174, 28.4174) * CHOOSE(CONTROL!$C$21, $C$9, 100%, $E$9)</f>
        <v>28.417400000000001</v>
      </c>
      <c r="E510" s="14">
        <f>CHOOSE(CONTROL!$C$42, 28.4488, 28.4488) * CHOOSE(CONTROL!$C$21, $C$9, 100%, $E$9)</f>
        <v>28.448799999999999</v>
      </c>
      <c r="F510" s="14">
        <f>CHOOSE(CONTROL!$C$42, 28.2154, 28.2154)*CHOOSE(CONTROL!$C$21, $C$9, 100%, $E$9)</f>
        <v>28.215399999999999</v>
      </c>
      <c r="G510" s="14">
        <f>CHOOSE(CONTROL!$C$42, 28.2326, 28.2326)*CHOOSE(CONTROL!$C$21, $C$9, 100%, $E$9)</f>
        <v>28.232600000000001</v>
      </c>
      <c r="H510" s="14">
        <f>CHOOSE(CONTROL!$C$42, 28.4375, 28.4375) * CHOOSE(CONTROL!$C$21, $C$9, 100%, $E$9)</f>
        <v>28.4375</v>
      </c>
      <c r="I510" s="14">
        <f>CHOOSE(CONTROL!$C$42, 28.3049, 28.3049)* CHOOSE(CONTROL!$C$21, $C$9, 100%, $E$9)</f>
        <v>28.3049</v>
      </c>
      <c r="J510" s="14">
        <f>CHOOSE(CONTROL!$C$42, 28.2084, 28.2084)* CHOOSE(CONTROL!$C$21, $C$9, 100%, $E$9)</f>
        <v>28.208400000000001</v>
      </c>
      <c r="K510" s="53">
        <f>CHOOSE(CONTROL!$C$42, 28.3011, 28.3011) * CHOOSE(CONTROL!$C$21, $C$9, 100%, $E$9)</f>
        <v>28.301100000000002</v>
      </c>
      <c r="L510" s="14">
        <f>CHOOSE(CONTROL!$C$42, 29.0245, 29.0245) * CHOOSE(CONTROL!$C$21, $C$9, 100%, $E$9)</f>
        <v>29.0245</v>
      </c>
      <c r="M510" s="14">
        <f>CHOOSE(CONTROL!$C$42, 27.6381, 27.6381) * CHOOSE(CONTROL!$C$21, $C$9, 100%, $E$9)</f>
        <v>27.638100000000001</v>
      </c>
      <c r="N510" s="14">
        <f>CHOOSE(CONTROL!$C$42, 27.655, 27.655) * CHOOSE(CONTROL!$C$21, $C$9, 100%, $E$9)</f>
        <v>27.655000000000001</v>
      </c>
      <c r="O510" s="14">
        <f>CHOOSE(CONTROL!$C$42, 27.8625, 27.8625) * CHOOSE(CONTROL!$C$21, $C$9, 100%, $E$9)</f>
        <v>27.862500000000001</v>
      </c>
      <c r="P510" s="14">
        <f>CHOOSE(CONTROL!$C$42, 27.731, 27.731) * CHOOSE(CONTROL!$C$21, $C$9, 100%, $E$9)</f>
        <v>27.731000000000002</v>
      </c>
      <c r="Q510" s="14">
        <f>CHOOSE(CONTROL!$C$42, 28.4572, 28.4572) * CHOOSE(CONTROL!$C$21, $C$9, 100%, $E$9)</f>
        <v>28.4572</v>
      </c>
      <c r="R510" s="14">
        <f>CHOOSE(CONTROL!$C$42, 29.1154, 29.1154) * CHOOSE(CONTROL!$C$21, $C$9, 100%, $E$9)</f>
        <v>29.115400000000001</v>
      </c>
      <c r="S510" s="14">
        <f>CHOOSE(CONTROL!$C$42, 27.076, 27.076) * CHOOSE(CONTROL!$C$21, $C$9, 100%, $E$9)</f>
        <v>27.076000000000001</v>
      </c>
      <c r="T51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10" s="57">
        <f>(1000*CHOOSE(CONTROL!$C$42, 695, 695)*CHOOSE(CONTROL!$C$42, 0.5599, 0.5599)*CHOOSE(CONTROL!$C$42, 30, 30))/1000000</f>
        <v>11.673914999999997</v>
      </c>
      <c r="V510" s="57">
        <f>(1000*CHOOSE(CONTROL!$C$42, 500, 500)*CHOOSE(CONTROL!$C$42, 0.275, 0.275)*CHOOSE(CONTROL!$C$42, 30, 30))/1000000</f>
        <v>4.125</v>
      </c>
      <c r="W510" s="57">
        <f>(1000*CHOOSE(CONTROL!$C$42, 0.1146, 0.1146)*CHOOSE(CONTROL!$C$42, 121.5, 121.5)*CHOOSE(CONTROL!$C$42, 30, 30))/1000000</f>
        <v>0.417717</v>
      </c>
      <c r="X510" s="57">
        <f>(30*0.1790888*245000/1000000)+(30*0.2374*100000/1000000)</f>
        <v>2.0285026799999999</v>
      </c>
      <c r="Y510" s="57"/>
      <c r="Z510" s="14"/>
      <c r="AA510" s="56"/>
      <c r="AB510" s="50">
        <f>(B510*194.205+C510*267.466+D510*133.845+E510*53.484+F510*40+G510*185+H510*0+I510*100+J510*300)/(194.205+267.466+133.845+53.484+0+40+185+100+300)</f>
        <v>28.246334956828882</v>
      </c>
      <c r="AC510" s="45">
        <f>(M510*'RAP TEMPLATE-GAS AVAILABILITY'!O509+N510*'RAP TEMPLATE-GAS AVAILABILITY'!P509+O510*'RAP TEMPLATE-GAS AVAILABILITY'!Q509+P510*'RAP TEMPLATE-GAS AVAILABILITY'!R509)/('RAP TEMPLATE-GAS AVAILABILITY'!O509+'RAP TEMPLATE-GAS AVAILABILITY'!P509+'RAP TEMPLATE-GAS AVAILABILITY'!Q509+'RAP TEMPLATE-GAS AVAILABILITY'!R509)</f>
        <v>27.718318705035973</v>
      </c>
    </row>
    <row r="511" spans="1:29" ht="15.75" x14ac:dyDescent="0.25">
      <c r="A511" s="33">
        <v>56461</v>
      </c>
      <c r="B511" s="14">
        <f>CHOOSE(CONTROL!$C$42, 27.6482, 27.6482) * CHOOSE(CONTROL!$C$21, $C$9, 100%, $E$9)</f>
        <v>27.648199999999999</v>
      </c>
      <c r="C511" s="14">
        <f>CHOOSE(CONTROL!$C$42, 27.6562, 27.6562) * CHOOSE(CONTROL!$C$21, $C$9, 100%, $E$9)</f>
        <v>27.656199999999998</v>
      </c>
      <c r="D511" s="14">
        <f>CHOOSE(CONTROL!$C$42, 27.8768, 27.8768) * CHOOSE(CONTROL!$C$21, $C$9, 100%, $E$9)</f>
        <v>27.876799999999999</v>
      </c>
      <c r="E511" s="14">
        <f>CHOOSE(CONTROL!$C$42, 27.9083, 27.9083) * CHOOSE(CONTROL!$C$21, $C$9, 100%, $E$9)</f>
        <v>27.908300000000001</v>
      </c>
      <c r="F511" s="14">
        <f>CHOOSE(CONTROL!$C$42, 27.6753, 27.6753)*CHOOSE(CONTROL!$C$21, $C$9, 100%, $E$9)</f>
        <v>27.6753</v>
      </c>
      <c r="G511" s="14">
        <f>CHOOSE(CONTROL!$C$42, 27.6926, 27.6926)*CHOOSE(CONTROL!$C$21, $C$9, 100%, $E$9)</f>
        <v>27.692599999999999</v>
      </c>
      <c r="H511" s="14">
        <f>CHOOSE(CONTROL!$C$42, 27.8969, 27.8969) * CHOOSE(CONTROL!$C$21, $C$9, 100%, $E$9)</f>
        <v>27.896899999999999</v>
      </c>
      <c r="I511" s="14">
        <f>CHOOSE(CONTROL!$C$42, 27.7627, 27.7627)* CHOOSE(CONTROL!$C$21, $C$9, 100%, $E$9)</f>
        <v>27.762699999999999</v>
      </c>
      <c r="J511" s="14">
        <f>CHOOSE(CONTROL!$C$42, 27.6683, 27.6683)* CHOOSE(CONTROL!$C$21, $C$9, 100%, $E$9)</f>
        <v>27.668299999999999</v>
      </c>
      <c r="K511" s="53">
        <f>CHOOSE(CONTROL!$C$42, 27.7588, 27.7588) * CHOOSE(CONTROL!$C$21, $C$9, 100%, $E$9)</f>
        <v>27.758800000000001</v>
      </c>
      <c r="L511" s="14">
        <f>CHOOSE(CONTROL!$C$42, 28.4839, 28.4839) * CHOOSE(CONTROL!$C$21, $C$9, 100%, $E$9)</f>
        <v>28.483899999999998</v>
      </c>
      <c r="M511" s="14">
        <f>CHOOSE(CONTROL!$C$42, 27.1091, 27.1091) * CHOOSE(CONTROL!$C$21, $C$9, 100%, $E$9)</f>
        <v>27.109100000000002</v>
      </c>
      <c r="N511" s="14">
        <f>CHOOSE(CONTROL!$C$42, 27.126, 27.126) * CHOOSE(CONTROL!$C$21, $C$9, 100%, $E$9)</f>
        <v>27.126000000000001</v>
      </c>
      <c r="O511" s="14">
        <f>CHOOSE(CONTROL!$C$42, 27.333, 27.333) * CHOOSE(CONTROL!$C$21, $C$9, 100%, $E$9)</f>
        <v>27.332999999999998</v>
      </c>
      <c r="P511" s="14">
        <f>CHOOSE(CONTROL!$C$42, 27.1999, 27.1999) * CHOOSE(CONTROL!$C$21, $C$9, 100%, $E$9)</f>
        <v>27.1999</v>
      </c>
      <c r="Q511" s="14">
        <f>CHOOSE(CONTROL!$C$42, 27.9277, 27.9277) * CHOOSE(CONTROL!$C$21, $C$9, 100%, $E$9)</f>
        <v>27.927700000000002</v>
      </c>
      <c r="R511" s="14">
        <f>CHOOSE(CONTROL!$C$42, 28.5845, 28.5845) * CHOOSE(CONTROL!$C$21, $C$9, 100%, $E$9)</f>
        <v>28.584499999999998</v>
      </c>
      <c r="S511" s="14">
        <f>CHOOSE(CONTROL!$C$42, 26.5565, 26.5565) * CHOOSE(CONTROL!$C$21, $C$9, 100%, $E$9)</f>
        <v>26.5565</v>
      </c>
      <c r="T51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11" s="57">
        <f>(1000*CHOOSE(CONTROL!$C$42, 695, 695)*CHOOSE(CONTROL!$C$42, 0.5599, 0.5599)*CHOOSE(CONTROL!$C$42, 31, 31))/1000000</f>
        <v>12.063045499999998</v>
      </c>
      <c r="V511" s="57">
        <f>(1000*CHOOSE(CONTROL!$C$42, 500, 500)*CHOOSE(CONTROL!$C$42, 0.275, 0.275)*CHOOSE(CONTROL!$C$42, 31, 31))/1000000</f>
        <v>4.2625000000000002</v>
      </c>
      <c r="W511" s="57">
        <f>(1000*CHOOSE(CONTROL!$C$42, 0.1146, 0.1146)*CHOOSE(CONTROL!$C$42, 121.5, 121.5)*CHOOSE(CONTROL!$C$42, 31, 31))/1000000</f>
        <v>0.43164089999999994</v>
      </c>
      <c r="X511" s="57">
        <f>(31*0.1790888*245000/1000000)+(31*0.2374*100000/1000000)</f>
        <v>2.0961194359999999</v>
      </c>
      <c r="Y511" s="57"/>
      <c r="Z511" s="14"/>
      <c r="AA511" s="56"/>
      <c r="AB511" s="50">
        <f>(B511*194.205+C511*267.466+D511*133.845+E511*53.484+F511*40+G511*185+H511*0+I511*100+J511*300)/(194.205+267.466+133.845+53.484+0+40+185+100+300)</f>
        <v>27.705834131397172</v>
      </c>
      <c r="AC511" s="45">
        <f>(M511*'RAP TEMPLATE-GAS AVAILABILITY'!O510+N511*'RAP TEMPLATE-GAS AVAILABILITY'!P510+O511*'RAP TEMPLATE-GAS AVAILABILITY'!Q510+P511*'RAP TEMPLATE-GAS AVAILABILITY'!R510)/('RAP TEMPLATE-GAS AVAILABILITY'!O510+'RAP TEMPLATE-GAS AVAILABILITY'!P510+'RAP TEMPLATE-GAS AVAILABILITY'!Q510+'RAP TEMPLATE-GAS AVAILABILITY'!R510)</f>
        <v>27.188876258992806</v>
      </c>
    </row>
    <row r="512" spans="1:29" ht="15.75" x14ac:dyDescent="0.25">
      <c r="A512" s="33">
        <v>56492</v>
      </c>
      <c r="B512" s="14">
        <f>CHOOSE(CONTROL!$C$42, 26.2831, 26.2831) * CHOOSE(CONTROL!$C$21, $C$9, 100%, $E$9)</f>
        <v>26.283100000000001</v>
      </c>
      <c r="C512" s="14">
        <f>CHOOSE(CONTROL!$C$42, 26.2911, 26.2911) * CHOOSE(CONTROL!$C$21, $C$9, 100%, $E$9)</f>
        <v>26.2911</v>
      </c>
      <c r="D512" s="14">
        <f>CHOOSE(CONTROL!$C$42, 26.5117, 26.5117) * CHOOSE(CONTROL!$C$21, $C$9, 100%, $E$9)</f>
        <v>26.511700000000001</v>
      </c>
      <c r="E512" s="14">
        <f>CHOOSE(CONTROL!$C$42, 26.5432, 26.5432) * CHOOSE(CONTROL!$C$21, $C$9, 100%, $E$9)</f>
        <v>26.543199999999999</v>
      </c>
      <c r="F512" s="14">
        <f>CHOOSE(CONTROL!$C$42, 26.3105, 26.3105)*CHOOSE(CONTROL!$C$21, $C$9, 100%, $E$9)</f>
        <v>26.310500000000001</v>
      </c>
      <c r="G512" s="14">
        <f>CHOOSE(CONTROL!$C$42, 26.3279, 26.3279)*CHOOSE(CONTROL!$C$21, $C$9, 100%, $E$9)</f>
        <v>26.3279</v>
      </c>
      <c r="H512" s="14">
        <f>CHOOSE(CONTROL!$C$42, 26.5318, 26.5318) * CHOOSE(CONTROL!$C$21, $C$9, 100%, $E$9)</f>
        <v>26.5318</v>
      </c>
      <c r="I512" s="14">
        <f>CHOOSE(CONTROL!$C$42, 26.3933, 26.3933)* CHOOSE(CONTROL!$C$21, $C$9, 100%, $E$9)</f>
        <v>26.3933</v>
      </c>
      <c r="J512" s="14">
        <f>CHOOSE(CONTROL!$C$42, 26.3035, 26.3035)* CHOOSE(CONTROL!$C$21, $C$9, 100%, $E$9)</f>
        <v>26.3035</v>
      </c>
      <c r="K512" s="53">
        <f>CHOOSE(CONTROL!$C$42, 26.3894, 26.3894) * CHOOSE(CONTROL!$C$21, $C$9, 100%, $E$9)</f>
        <v>26.389399999999998</v>
      </c>
      <c r="L512" s="14">
        <f>CHOOSE(CONTROL!$C$42, 27.1188, 27.1188) * CHOOSE(CONTROL!$C$21, $C$9, 100%, $E$9)</f>
        <v>27.1188</v>
      </c>
      <c r="M512" s="14">
        <f>CHOOSE(CONTROL!$C$42, 25.7722, 25.7722) * CHOOSE(CONTROL!$C$21, $C$9, 100%, $E$9)</f>
        <v>25.772200000000002</v>
      </c>
      <c r="N512" s="14">
        <f>CHOOSE(CONTROL!$C$42, 25.7893, 25.7893) * CHOOSE(CONTROL!$C$21, $C$9, 100%, $E$9)</f>
        <v>25.789300000000001</v>
      </c>
      <c r="O512" s="14">
        <f>CHOOSE(CONTROL!$C$42, 25.9959, 25.9959) * CHOOSE(CONTROL!$C$21, $C$9, 100%, $E$9)</f>
        <v>25.995899999999999</v>
      </c>
      <c r="P512" s="14">
        <f>CHOOSE(CONTROL!$C$42, 25.8586, 25.8586) * CHOOSE(CONTROL!$C$21, $C$9, 100%, $E$9)</f>
        <v>25.858599999999999</v>
      </c>
      <c r="Q512" s="14">
        <f>CHOOSE(CONTROL!$C$42, 26.5906, 26.5906) * CHOOSE(CONTROL!$C$21, $C$9, 100%, $E$9)</f>
        <v>26.590599999999998</v>
      </c>
      <c r="R512" s="14">
        <f>CHOOSE(CONTROL!$C$42, 27.2441, 27.2441) * CHOOSE(CONTROL!$C$21, $C$9, 100%, $E$9)</f>
        <v>27.2441</v>
      </c>
      <c r="S512" s="14">
        <f>CHOOSE(CONTROL!$C$42, 25.2448, 25.2448) * CHOOSE(CONTROL!$C$21, $C$9, 100%, $E$9)</f>
        <v>25.244800000000001</v>
      </c>
      <c r="T51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12" s="57">
        <f>(1000*CHOOSE(CONTROL!$C$42, 695, 695)*CHOOSE(CONTROL!$C$42, 0.5599, 0.5599)*CHOOSE(CONTROL!$C$42, 31, 31))/1000000</f>
        <v>12.063045499999998</v>
      </c>
      <c r="V512" s="57">
        <f>(1000*CHOOSE(CONTROL!$C$42, 500, 500)*CHOOSE(CONTROL!$C$42, 0.275, 0.275)*CHOOSE(CONTROL!$C$42, 31, 31))/1000000</f>
        <v>4.2625000000000002</v>
      </c>
      <c r="W512" s="57">
        <f>(1000*CHOOSE(CONTROL!$C$42, 0.1146, 0.1146)*CHOOSE(CONTROL!$C$42, 121.5, 121.5)*CHOOSE(CONTROL!$C$42, 31, 31))/1000000</f>
        <v>0.43164089999999994</v>
      </c>
      <c r="X512" s="57">
        <f>(31*0.1790888*245000/1000000)+(31*0.2374*100000/1000000)</f>
        <v>2.0961194359999999</v>
      </c>
      <c r="Y512" s="57"/>
      <c r="Z512" s="14"/>
      <c r="AA512" s="56"/>
      <c r="AB512" s="50">
        <f>(B512*194.205+C512*267.466+D512*133.845+E512*53.484+F512*40+G512*185+H512*0+I512*100+J512*300)/(194.205+267.466+133.845+53.484+0+40+185+100+300)</f>
        <v>26.340534759340663</v>
      </c>
      <c r="AC512" s="45">
        <f>(M512*'RAP TEMPLATE-GAS AVAILABILITY'!O511+N512*'RAP TEMPLATE-GAS AVAILABILITY'!P511+O512*'RAP TEMPLATE-GAS AVAILABILITY'!Q511+P512*'RAP TEMPLATE-GAS AVAILABILITY'!R511)/('RAP TEMPLATE-GAS AVAILABILITY'!O511+'RAP TEMPLATE-GAS AVAILABILITY'!P511+'RAP TEMPLATE-GAS AVAILABILITY'!Q511+'RAP TEMPLATE-GAS AVAILABILITY'!R511)</f>
        <v>25.851333093525181</v>
      </c>
    </row>
    <row r="513" spans="1:29" ht="15.75" x14ac:dyDescent="0.25">
      <c r="A513" s="33">
        <v>56522</v>
      </c>
      <c r="B513" s="14">
        <f>CHOOSE(CONTROL!$C$42, 24.615, 24.615) * CHOOSE(CONTROL!$C$21, $C$9, 100%, $E$9)</f>
        <v>24.614999999999998</v>
      </c>
      <c r="C513" s="14">
        <f>CHOOSE(CONTROL!$C$42, 24.623, 24.623) * CHOOSE(CONTROL!$C$21, $C$9, 100%, $E$9)</f>
        <v>24.623000000000001</v>
      </c>
      <c r="D513" s="14">
        <f>CHOOSE(CONTROL!$C$42, 24.8436, 24.8436) * CHOOSE(CONTROL!$C$21, $C$9, 100%, $E$9)</f>
        <v>24.843599999999999</v>
      </c>
      <c r="E513" s="14">
        <f>CHOOSE(CONTROL!$C$42, 24.8751, 24.8751) * CHOOSE(CONTROL!$C$21, $C$9, 100%, $E$9)</f>
        <v>24.8751</v>
      </c>
      <c r="F513" s="14">
        <f>CHOOSE(CONTROL!$C$42, 24.6423, 24.6423)*CHOOSE(CONTROL!$C$21, $C$9, 100%, $E$9)</f>
        <v>24.642299999999999</v>
      </c>
      <c r="G513" s="14">
        <f>CHOOSE(CONTROL!$C$42, 24.6597, 24.6597)*CHOOSE(CONTROL!$C$21, $C$9, 100%, $E$9)</f>
        <v>24.659700000000001</v>
      </c>
      <c r="H513" s="14">
        <f>CHOOSE(CONTROL!$C$42, 24.8637, 24.8637) * CHOOSE(CONTROL!$C$21, $C$9, 100%, $E$9)</f>
        <v>24.863700000000001</v>
      </c>
      <c r="I513" s="14">
        <f>CHOOSE(CONTROL!$C$42, 24.72, 24.72)* CHOOSE(CONTROL!$C$21, $C$9, 100%, $E$9)</f>
        <v>24.72</v>
      </c>
      <c r="J513" s="14">
        <f>CHOOSE(CONTROL!$C$42, 24.6353, 24.6353)* CHOOSE(CONTROL!$C$21, $C$9, 100%, $E$9)</f>
        <v>24.635300000000001</v>
      </c>
      <c r="K513" s="53">
        <f>CHOOSE(CONTROL!$C$42, 24.7161, 24.7161) * CHOOSE(CONTROL!$C$21, $C$9, 100%, $E$9)</f>
        <v>24.716100000000001</v>
      </c>
      <c r="L513" s="14">
        <f>CHOOSE(CONTROL!$C$42, 25.4507, 25.4507) * CHOOSE(CONTROL!$C$21, $C$9, 100%, $E$9)</f>
        <v>25.450700000000001</v>
      </c>
      <c r="M513" s="14">
        <f>CHOOSE(CONTROL!$C$42, 24.1383, 24.1383) * CHOOSE(CONTROL!$C$21, $C$9, 100%, $E$9)</f>
        <v>24.138300000000001</v>
      </c>
      <c r="N513" s="14">
        <f>CHOOSE(CONTROL!$C$42, 24.1553, 24.1553) * CHOOSE(CONTROL!$C$21, $C$9, 100%, $E$9)</f>
        <v>24.1553</v>
      </c>
      <c r="O513" s="14">
        <f>CHOOSE(CONTROL!$C$42, 24.3619, 24.3619) * CHOOSE(CONTROL!$C$21, $C$9, 100%, $E$9)</f>
        <v>24.361899999999999</v>
      </c>
      <c r="P513" s="14">
        <f>CHOOSE(CONTROL!$C$42, 24.2197, 24.2197) * CHOOSE(CONTROL!$C$21, $C$9, 100%, $E$9)</f>
        <v>24.2197</v>
      </c>
      <c r="Q513" s="14">
        <f>CHOOSE(CONTROL!$C$42, 24.9566, 24.9566) * CHOOSE(CONTROL!$C$21, $C$9, 100%, $E$9)</f>
        <v>24.956600000000002</v>
      </c>
      <c r="R513" s="14">
        <f>CHOOSE(CONTROL!$C$42, 25.606, 25.606) * CHOOSE(CONTROL!$C$21, $C$9, 100%, $E$9)</f>
        <v>25.606000000000002</v>
      </c>
      <c r="S513" s="14">
        <f>CHOOSE(CONTROL!$C$42, 23.6419, 23.6419) * CHOOSE(CONTROL!$C$21, $C$9, 100%, $E$9)</f>
        <v>23.6419</v>
      </c>
      <c r="T51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13" s="57">
        <f>(1000*CHOOSE(CONTROL!$C$42, 695, 695)*CHOOSE(CONTROL!$C$42, 0.5599, 0.5599)*CHOOSE(CONTROL!$C$42, 30, 30))/1000000</f>
        <v>11.673914999999997</v>
      </c>
      <c r="V513" s="57">
        <f>(1000*CHOOSE(CONTROL!$C$42, 500, 500)*CHOOSE(CONTROL!$C$42, 0.275, 0.275)*CHOOSE(CONTROL!$C$42, 30, 30))/1000000</f>
        <v>4.125</v>
      </c>
      <c r="W513" s="57">
        <f>(1000*CHOOSE(CONTROL!$C$42, 0.1146, 0.1146)*CHOOSE(CONTROL!$C$42, 121.5, 121.5)*CHOOSE(CONTROL!$C$42, 30, 30))/1000000</f>
        <v>0.417717</v>
      </c>
      <c r="X513" s="57">
        <f>(30*0.1790888*245000/1000000)+(30*0.2374*100000/1000000)</f>
        <v>2.0285026799999999</v>
      </c>
      <c r="Y513" s="57"/>
      <c r="Z513" s="14"/>
      <c r="AA513" s="56"/>
      <c r="AB513" s="50">
        <f>(B513*194.205+C513*267.466+D513*133.845+E513*53.484+F513*40+G513*185+H513*0+I513*100+J513*300)/(194.205+267.466+133.845+53.484+0+40+185+100+300)</f>
        <v>24.671985387284145</v>
      </c>
      <c r="AC513" s="45">
        <f>(M513*'RAP TEMPLATE-GAS AVAILABILITY'!O512+N513*'RAP TEMPLATE-GAS AVAILABILITY'!P512+O513*'RAP TEMPLATE-GAS AVAILABILITY'!Q512+P513*'RAP TEMPLATE-GAS AVAILABILITY'!R512)/('RAP TEMPLATE-GAS AVAILABILITY'!O512+'RAP TEMPLATE-GAS AVAILABILITY'!P512+'RAP TEMPLATE-GAS AVAILABILITY'!Q512+'RAP TEMPLATE-GAS AVAILABILITY'!R512)</f>
        <v>24.216662589928056</v>
      </c>
    </row>
    <row r="514" spans="1:29" ht="15.75" x14ac:dyDescent="0.25">
      <c r="A514" s="33">
        <v>56553</v>
      </c>
      <c r="B514" s="14">
        <f>CHOOSE(CONTROL!$C$42, 24.1137, 24.1137) * CHOOSE(CONTROL!$C$21, $C$9, 100%, $E$9)</f>
        <v>24.113700000000001</v>
      </c>
      <c r="C514" s="14">
        <f>CHOOSE(CONTROL!$C$42, 24.119, 24.119) * CHOOSE(CONTROL!$C$21, $C$9, 100%, $E$9)</f>
        <v>24.119</v>
      </c>
      <c r="D514" s="14">
        <f>CHOOSE(CONTROL!$C$42, 24.3446, 24.3446) * CHOOSE(CONTROL!$C$21, $C$9, 100%, $E$9)</f>
        <v>24.3446</v>
      </c>
      <c r="E514" s="14">
        <f>CHOOSE(CONTROL!$C$42, 24.3737, 24.3737) * CHOOSE(CONTROL!$C$21, $C$9, 100%, $E$9)</f>
        <v>24.373699999999999</v>
      </c>
      <c r="F514" s="14">
        <f>CHOOSE(CONTROL!$C$42, 24.143, 24.143)*CHOOSE(CONTROL!$C$21, $C$9, 100%, $E$9)</f>
        <v>24.143000000000001</v>
      </c>
      <c r="G514" s="14">
        <f>CHOOSE(CONTROL!$C$42, 24.1603, 24.1603)*CHOOSE(CONTROL!$C$21, $C$9, 100%, $E$9)</f>
        <v>24.160299999999999</v>
      </c>
      <c r="H514" s="14">
        <f>CHOOSE(CONTROL!$C$42, 24.3641, 24.3641) * CHOOSE(CONTROL!$C$21, $C$9, 100%, $E$9)</f>
        <v>24.364100000000001</v>
      </c>
      <c r="I514" s="14">
        <f>CHOOSE(CONTROL!$C$42, 24.2188, 24.2188)* CHOOSE(CONTROL!$C$21, $C$9, 100%, $E$9)</f>
        <v>24.218800000000002</v>
      </c>
      <c r="J514" s="14">
        <f>CHOOSE(CONTROL!$C$42, 24.136, 24.136)* CHOOSE(CONTROL!$C$21, $C$9, 100%, $E$9)</f>
        <v>24.135999999999999</v>
      </c>
      <c r="K514" s="53">
        <f>CHOOSE(CONTROL!$C$42, 24.215, 24.215) * CHOOSE(CONTROL!$C$21, $C$9, 100%, $E$9)</f>
        <v>24.215</v>
      </c>
      <c r="L514" s="14">
        <f>CHOOSE(CONTROL!$C$42, 24.9511, 24.9511) * CHOOSE(CONTROL!$C$21, $C$9, 100%, $E$9)</f>
        <v>24.9511</v>
      </c>
      <c r="M514" s="14">
        <f>CHOOSE(CONTROL!$C$42, 23.6492, 23.6492) * CHOOSE(CONTROL!$C$21, $C$9, 100%, $E$9)</f>
        <v>23.6492</v>
      </c>
      <c r="N514" s="14">
        <f>CHOOSE(CONTROL!$C$42, 23.6661, 23.6661) * CHOOSE(CONTROL!$C$21, $C$9, 100%, $E$9)</f>
        <v>23.6661</v>
      </c>
      <c r="O514" s="14">
        <f>CHOOSE(CONTROL!$C$42, 23.8726, 23.8726) * CHOOSE(CONTROL!$C$21, $C$9, 100%, $E$9)</f>
        <v>23.872599999999998</v>
      </c>
      <c r="P514" s="14">
        <f>CHOOSE(CONTROL!$C$42, 23.7289, 23.7289) * CHOOSE(CONTROL!$C$21, $C$9, 100%, $E$9)</f>
        <v>23.728899999999999</v>
      </c>
      <c r="Q514" s="14">
        <f>CHOOSE(CONTROL!$C$42, 24.4673, 24.4673) * CHOOSE(CONTROL!$C$21, $C$9, 100%, $E$9)</f>
        <v>24.467300000000002</v>
      </c>
      <c r="R514" s="14">
        <f>CHOOSE(CONTROL!$C$42, 25.1155, 25.1155) * CHOOSE(CONTROL!$C$21, $C$9, 100%, $E$9)</f>
        <v>25.115500000000001</v>
      </c>
      <c r="S514" s="14">
        <f>CHOOSE(CONTROL!$C$42, 23.1619, 23.1619) * CHOOSE(CONTROL!$C$21, $C$9, 100%, $E$9)</f>
        <v>23.161899999999999</v>
      </c>
      <c r="T51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14" s="57">
        <f>(1000*CHOOSE(CONTROL!$C$42, 695, 695)*CHOOSE(CONTROL!$C$42, 0.5599, 0.5599)*CHOOSE(CONTROL!$C$42, 31, 31))/1000000</f>
        <v>12.063045499999998</v>
      </c>
      <c r="V514" s="57">
        <f>(1000*CHOOSE(CONTROL!$C$42, 500, 500)*CHOOSE(CONTROL!$C$42, 0.275, 0.275)*CHOOSE(CONTROL!$C$42, 31, 31))/1000000</f>
        <v>4.2625000000000002</v>
      </c>
      <c r="W514" s="57">
        <f>(1000*CHOOSE(CONTROL!$C$42, 0.1146, 0.1146)*CHOOSE(CONTROL!$C$42, 121.5, 121.5)*CHOOSE(CONTROL!$C$42, 31, 31))/1000000</f>
        <v>0.43164089999999994</v>
      </c>
      <c r="X514" s="57">
        <f>(31*0.1790888*245000/1000000)+(31*0.2374*100000/1000000)</f>
        <v>2.0961194359999999</v>
      </c>
      <c r="Y514" s="57"/>
      <c r="Z514" s="14"/>
      <c r="AA514" s="56"/>
      <c r="AB514" s="50">
        <f>(B514*131.881+C514*277.167+D514*79.08+E514*125.872+F514*40+G514*185+H514*0+I514*100+J514*300)/(131.881+277.167+79.08+125.872+0+40+185+100+300)</f>
        <v>24.17782290322841</v>
      </c>
      <c r="AC514" s="45">
        <f>(M514*'RAP TEMPLATE-GAS AVAILABILITY'!O513+N514*'RAP TEMPLATE-GAS AVAILABILITY'!P513+O514*'RAP TEMPLATE-GAS AVAILABILITY'!Q513+P514*'RAP TEMPLATE-GAS AVAILABILITY'!R513)/('RAP TEMPLATE-GAS AVAILABILITY'!O513+'RAP TEMPLATE-GAS AVAILABILITY'!P513+'RAP TEMPLATE-GAS AVAILABILITY'!Q513+'RAP TEMPLATE-GAS AVAILABILITY'!R513)</f>
        <v>23.727238848920862</v>
      </c>
    </row>
    <row r="515" spans="1:29" ht="15.75" x14ac:dyDescent="0.25">
      <c r="A515" s="33">
        <v>56583</v>
      </c>
      <c r="B515" s="14">
        <f>CHOOSE(CONTROL!$C$42, 24.7483, 24.7483) * CHOOSE(CONTROL!$C$21, $C$9, 100%, $E$9)</f>
        <v>24.7483</v>
      </c>
      <c r="C515" s="14">
        <f>CHOOSE(CONTROL!$C$42, 24.7533, 24.7533) * CHOOSE(CONTROL!$C$21, $C$9, 100%, $E$9)</f>
        <v>24.753299999999999</v>
      </c>
      <c r="D515" s="14">
        <f>CHOOSE(CONTROL!$C$42, 24.8275, 24.8275) * CHOOSE(CONTROL!$C$21, $C$9, 100%, $E$9)</f>
        <v>24.827500000000001</v>
      </c>
      <c r="E515" s="14">
        <f>CHOOSE(CONTROL!$C$42, 24.8617, 24.8617) * CHOOSE(CONTROL!$C$21, $C$9, 100%, $E$9)</f>
        <v>24.861699999999999</v>
      </c>
      <c r="F515" s="14">
        <f>CHOOSE(CONTROL!$C$42, 24.7843, 24.7843)*CHOOSE(CONTROL!$C$21, $C$9, 100%, $E$9)</f>
        <v>24.784300000000002</v>
      </c>
      <c r="G515" s="14">
        <f>CHOOSE(CONTROL!$C$42, 24.8018, 24.8018)*CHOOSE(CONTROL!$C$21, $C$9, 100%, $E$9)</f>
        <v>24.8018</v>
      </c>
      <c r="H515" s="14">
        <f>CHOOSE(CONTROL!$C$42, 24.8509, 24.8509) * CHOOSE(CONTROL!$C$21, $C$9, 100%, $E$9)</f>
        <v>24.850899999999999</v>
      </c>
      <c r="I515" s="14">
        <f>CHOOSE(CONTROL!$C$42, 24.8532, 24.8532)* CHOOSE(CONTROL!$C$21, $C$9, 100%, $E$9)</f>
        <v>24.853200000000001</v>
      </c>
      <c r="J515" s="14">
        <f>CHOOSE(CONTROL!$C$42, 24.7773, 24.7773)* CHOOSE(CONTROL!$C$21, $C$9, 100%, $E$9)</f>
        <v>24.7773</v>
      </c>
      <c r="K515" s="53">
        <f>CHOOSE(CONTROL!$C$42, 24.8493, 24.8493) * CHOOSE(CONTROL!$C$21, $C$9, 100%, $E$9)</f>
        <v>24.849299999999999</v>
      </c>
      <c r="L515" s="14">
        <f>CHOOSE(CONTROL!$C$42, 25.4379, 25.4379) * CHOOSE(CONTROL!$C$21, $C$9, 100%, $E$9)</f>
        <v>25.437899999999999</v>
      </c>
      <c r="M515" s="14">
        <f>CHOOSE(CONTROL!$C$42, 24.2773, 24.2773) * CHOOSE(CONTROL!$C$21, $C$9, 100%, $E$9)</f>
        <v>24.2773</v>
      </c>
      <c r="N515" s="14">
        <f>CHOOSE(CONTROL!$C$42, 24.2945, 24.2945) * CHOOSE(CONTROL!$C$21, $C$9, 100%, $E$9)</f>
        <v>24.294499999999999</v>
      </c>
      <c r="O515" s="14">
        <f>CHOOSE(CONTROL!$C$42, 24.3494, 24.3494) * CHOOSE(CONTROL!$C$21, $C$9, 100%, $E$9)</f>
        <v>24.349399999999999</v>
      </c>
      <c r="P515" s="14">
        <f>CHOOSE(CONTROL!$C$42, 24.3502, 24.3502) * CHOOSE(CONTROL!$C$21, $C$9, 100%, $E$9)</f>
        <v>24.350200000000001</v>
      </c>
      <c r="Q515" s="14">
        <f>CHOOSE(CONTROL!$C$42, 24.9441, 24.9441) * CHOOSE(CONTROL!$C$21, $C$9, 100%, $E$9)</f>
        <v>24.944099999999999</v>
      </c>
      <c r="R515" s="14">
        <f>CHOOSE(CONTROL!$C$42, 25.5934, 25.5934) * CHOOSE(CONTROL!$C$21, $C$9, 100%, $E$9)</f>
        <v>25.593399999999999</v>
      </c>
      <c r="S515" s="14">
        <f>CHOOSE(CONTROL!$C$42, 23.7721, 23.7721) * CHOOSE(CONTROL!$C$21, $C$9, 100%, $E$9)</f>
        <v>23.772099999999998</v>
      </c>
      <c r="T51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15" s="57">
        <f>(1000*CHOOSE(CONTROL!$C$42, 695, 695)*CHOOSE(CONTROL!$C$42, 0.5599, 0.5599)*CHOOSE(CONTROL!$C$42, 30, 30))/1000000</f>
        <v>11.673914999999997</v>
      </c>
      <c r="V515" s="57">
        <f>(1000*CHOOSE(CONTROL!$C$42, 500, 500)*CHOOSE(CONTROL!$C$42, 0.275, 0.275)*CHOOSE(CONTROL!$C$42, 30, 30))/1000000</f>
        <v>4.125</v>
      </c>
      <c r="W515" s="57">
        <f>(1000*CHOOSE(CONTROL!$C$42, 0.1146, 0.1146)*CHOOSE(CONTROL!$C$42, 121.5, 121.5)*CHOOSE(CONTROL!$C$42, 30, 30))/1000000</f>
        <v>0.417717</v>
      </c>
      <c r="X515" s="57">
        <f>(30*0.1790888*100000/1000000)+(30*0.2374*100000/1000000)</f>
        <v>1.2494664</v>
      </c>
      <c r="Y515" s="57"/>
      <c r="Z515" s="14"/>
      <c r="AA515" s="56"/>
      <c r="AB515" s="50">
        <f>(B515*122.58+C515*297.941+D515*89.177+E515*40.302+F515*40+G515*160+H515*0+I515*100+J515*300)/(122.58+297.941+89.177+40.302+0+40+160+100+300)</f>
        <v>24.785093713217396</v>
      </c>
      <c r="AC515" s="45">
        <f>(M515*'RAP TEMPLATE-GAS AVAILABILITY'!O514+N515*'RAP TEMPLATE-GAS AVAILABILITY'!P514+O515*'RAP TEMPLATE-GAS AVAILABILITY'!Q514+P515*'RAP TEMPLATE-GAS AVAILABILITY'!R514)/('RAP TEMPLATE-GAS AVAILABILITY'!O514+'RAP TEMPLATE-GAS AVAILABILITY'!P514+'RAP TEMPLATE-GAS AVAILABILITY'!Q514+'RAP TEMPLATE-GAS AVAILABILITY'!R514)</f>
        <v>24.321457553956837</v>
      </c>
    </row>
    <row r="516" spans="1:29" ht="15.75" x14ac:dyDescent="0.25">
      <c r="A516" s="33">
        <v>56614</v>
      </c>
      <c r="B516" s="14">
        <f>CHOOSE(CONTROL!$C$42, 26.4349, 26.4349) * CHOOSE(CONTROL!$C$21, $C$9, 100%, $E$9)</f>
        <v>26.434899999999999</v>
      </c>
      <c r="C516" s="14">
        <f>CHOOSE(CONTROL!$C$42, 26.44, 26.44) * CHOOSE(CONTROL!$C$21, $C$9, 100%, $E$9)</f>
        <v>26.44</v>
      </c>
      <c r="D516" s="14">
        <f>CHOOSE(CONTROL!$C$42, 26.5142, 26.5142) * CHOOSE(CONTROL!$C$21, $C$9, 100%, $E$9)</f>
        <v>26.514199999999999</v>
      </c>
      <c r="E516" s="14">
        <f>CHOOSE(CONTROL!$C$42, 26.5483, 26.5483) * CHOOSE(CONTROL!$C$21, $C$9, 100%, $E$9)</f>
        <v>26.548300000000001</v>
      </c>
      <c r="F516" s="14">
        <f>CHOOSE(CONTROL!$C$42, 26.4733, 26.4733)*CHOOSE(CONTROL!$C$21, $C$9, 100%, $E$9)</f>
        <v>26.473299999999998</v>
      </c>
      <c r="G516" s="14">
        <f>CHOOSE(CONTROL!$C$42, 26.4915, 26.4915)*CHOOSE(CONTROL!$C$21, $C$9, 100%, $E$9)</f>
        <v>26.491499999999998</v>
      </c>
      <c r="H516" s="14">
        <f>CHOOSE(CONTROL!$C$42, 26.5375, 26.5375) * CHOOSE(CONTROL!$C$21, $C$9, 100%, $E$9)</f>
        <v>26.537500000000001</v>
      </c>
      <c r="I516" s="14">
        <f>CHOOSE(CONTROL!$C$42, 26.5452, 26.5452)* CHOOSE(CONTROL!$C$21, $C$9, 100%, $E$9)</f>
        <v>26.545200000000001</v>
      </c>
      <c r="J516" s="14">
        <f>CHOOSE(CONTROL!$C$42, 26.4663, 26.4663)* CHOOSE(CONTROL!$C$21, $C$9, 100%, $E$9)</f>
        <v>26.4663</v>
      </c>
      <c r="K516" s="53">
        <f>CHOOSE(CONTROL!$C$42, 26.5413, 26.5413) * CHOOSE(CONTROL!$C$21, $C$9, 100%, $E$9)</f>
        <v>26.5413</v>
      </c>
      <c r="L516" s="14">
        <f>CHOOSE(CONTROL!$C$42, 27.1245, 27.1245) * CHOOSE(CONTROL!$C$21, $C$9, 100%, $E$9)</f>
        <v>27.124500000000001</v>
      </c>
      <c r="M516" s="14">
        <f>CHOOSE(CONTROL!$C$42, 25.9318, 25.9318) * CHOOSE(CONTROL!$C$21, $C$9, 100%, $E$9)</f>
        <v>25.931799999999999</v>
      </c>
      <c r="N516" s="14">
        <f>CHOOSE(CONTROL!$C$42, 25.9495, 25.9495) * CHOOSE(CONTROL!$C$21, $C$9, 100%, $E$9)</f>
        <v>25.9495</v>
      </c>
      <c r="O516" s="14">
        <f>CHOOSE(CONTROL!$C$42, 26.0015, 26.0015) * CHOOSE(CONTROL!$C$21, $C$9, 100%, $E$9)</f>
        <v>26.0015</v>
      </c>
      <c r="P516" s="14">
        <f>CHOOSE(CONTROL!$C$42, 26.0074, 26.0074) * CHOOSE(CONTROL!$C$21, $C$9, 100%, $E$9)</f>
        <v>26.007400000000001</v>
      </c>
      <c r="Q516" s="14">
        <f>CHOOSE(CONTROL!$C$42, 26.5962, 26.5962) * CHOOSE(CONTROL!$C$21, $C$9, 100%, $E$9)</f>
        <v>26.5962</v>
      </c>
      <c r="R516" s="14">
        <f>CHOOSE(CONTROL!$C$42, 27.2497, 27.2497) * CHOOSE(CONTROL!$C$21, $C$9, 100%, $E$9)</f>
        <v>27.249700000000001</v>
      </c>
      <c r="S516" s="14">
        <f>CHOOSE(CONTROL!$C$42, 25.3928, 25.3928) * CHOOSE(CONTROL!$C$21, $C$9, 100%, $E$9)</f>
        <v>25.392800000000001</v>
      </c>
      <c r="T51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16" s="57">
        <f>(1000*CHOOSE(CONTROL!$C$42, 695, 695)*CHOOSE(CONTROL!$C$42, 0.5599, 0.5599)*CHOOSE(CONTROL!$C$42, 31, 31))/1000000</f>
        <v>12.063045499999998</v>
      </c>
      <c r="V516" s="57">
        <f>(1000*CHOOSE(CONTROL!$C$42, 500, 500)*CHOOSE(CONTROL!$C$42, 0.275, 0.275)*CHOOSE(CONTROL!$C$42, 31, 31))/1000000</f>
        <v>4.2625000000000002</v>
      </c>
      <c r="W516" s="57">
        <f>(1000*CHOOSE(CONTROL!$C$42, 0.1146, 0.1146)*CHOOSE(CONTROL!$C$42, 121.5, 121.5)*CHOOSE(CONTROL!$C$42, 31, 31))/1000000</f>
        <v>0.43164089999999994</v>
      </c>
      <c r="X516" s="57">
        <f>(31*0.1790888*100000/1000000)+(31*0.2374*100000/1000000)</f>
        <v>1.2911152800000001</v>
      </c>
      <c r="Y516" s="57"/>
      <c r="Z516" s="14"/>
      <c r="AA516" s="56"/>
      <c r="AB516" s="50">
        <f>(B516*122.58+C516*297.941+D516*89.177+E516*40.302+F516*40+G516*160+H516*0+I516*100+J516*300)/(122.58+297.941+89.177+40.302+0+40+160+100+300)</f>
        <v>26.473337810434781</v>
      </c>
      <c r="AC516" s="45">
        <f>(M516*'RAP TEMPLATE-GAS AVAILABILITY'!O515+N516*'RAP TEMPLATE-GAS AVAILABILITY'!P515+O516*'RAP TEMPLATE-GAS AVAILABILITY'!Q515+P516*'RAP TEMPLATE-GAS AVAILABILITY'!R515)/('RAP TEMPLATE-GAS AVAILABILITY'!O515+'RAP TEMPLATE-GAS AVAILABILITY'!P515+'RAP TEMPLATE-GAS AVAILABILITY'!Q515+'RAP TEMPLATE-GAS AVAILABILITY'!R515)</f>
        <v>25.975287050359711</v>
      </c>
    </row>
    <row r="517" spans="1:29" ht="15.75" x14ac:dyDescent="0.25">
      <c r="A517" s="32">
        <v>56645</v>
      </c>
      <c r="B517" s="14">
        <f>CHOOSE(CONTROL!$C$42, 28.6256, 28.6256) * CHOOSE(CONTROL!$C$21, $C$9, 100%, $E$9)</f>
        <v>28.625599999999999</v>
      </c>
      <c r="C517" s="14">
        <f>CHOOSE(CONTROL!$C$42, 28.6307, 28.6307) * CHOOSE(CONTROL!$C$21, $C$9, 100%, $E$9)</f>
        <v>28.630700000000001</v>
      </c>
      <c r="D517" s="14">
        <f>CHOOSE(CONTROL!$C$42, 28.7075, 28.7075) * CHOOSE(CONTROL!$C$21, $C$9, 100%, $E$9)</f>
        <v>28.7075</v>
      </c>
      <c r="E517" s="14">
        <f>CHOOSE(CONTROL!$C$42, 28.7416, 28.7416) * CHOOSE(CONTROL!$C$21, $C$9, 100%, $E$9)</f>
        <v>28.741599999999998</v>
      </c>
      <c r="F517" s="14">
        <f>CHOOSE(CONTROL!$C$42, 28.6504, 28.6504)*CHOOSE(CONTROL!$C$21, $C$9, 100%, $E$9)</f>
        <v>28.650400000000001</v>
      </c>
      <c r="G517" s="14">
        <f>CHOOSE(CONTROL!$C$42, 28.6683, 28.6683)*CHOOSE(CONTROL!$C$21, $C$9, 100%, $E$9)</f>
        <v>28.668299999999999</v>
      </c>
      <c r="H517" s="14">
        <f>CHOOSE(CONTROL!$C$42, 28.7308, 28.7308) * CHOOSE(CONTROL!$C$21, $C$9, 100%, $E$9)</f>
        <v>28.730799999999999</v>
      </c>
      <c r="I517" s="14">
        <f>CHOOSE(CONTROL!$C$42, 28.749, 28.749)* CHOOSE(CONTROL!$C$21, $C$9, 100%, $E$9)</f>
        <v>28.748999999999999</v>
      </c>
      <c r="J517" s="14">
        <f>CHOOSE(CONTROL!$C$42, 28.6434, 28.6434)* CHOOSE(CONTROL!$C$21, $C$9, 100%, $E$9)</f>
        <v>28.6434</v>
      </c>
      <c r="K517" s="53">
        <f>CHOOSE(CONTROL!$C$42, 28.7451, 28.7451) * CHOOSE(CONTROL!$C$21, $C$9, 100%, $E$9)</f>
        <v>28.745100000000001</v>
      </c>
      <c r="L517" s="14">
        <f>CHOOSE(CONTROL!$C$42, 29.3178, 29.3178) * CHOOSE(CONTROL!$C$21, $C$9, 100%, $E$9)</f>
        <v>29.317799999999998</v>
      </c>
      <c r="M517" s="14">
        <f>CHOOSE(CONTROL!$C$42, 28.0642, 28.0642) * CHOOSE(CONTROL!$C$21, $C$9, 100%, $E$9)</f>
        <v>28.0642</v>
      </c>
      <c r="N517" s="14">
        <f>CHOOSE(CONTROL!$C$42, 28.0818, 28.0818) * CHOOSE(CONTROL!$C$21, $C$9, 100%, $E$9)</f>
        <v>28.081800000000001</v>
      </c>
      <c r="O517" s="14">
        <f>CHOOSE(CONTROL!$C$42, 28.1498, 28.1498) * CHOOSE(CONTROL!$C$21, $C$9, 100%, $E$9)</f>
        <v>28.149799999999999</v>
      </c>
      <c r="P517" s="14">
        <f>CHOOSE(CONTROL!$C$42, 28.1659, 28.1659) * CHOOSE(CONTROL!$C$21, $C$9, 100%, $E$9)</f>
        <v>28.165900000000001</v>
      </c>
      <c r="Q517" s="14">
        <f>CHOOSE(CONTROL!$C$42, 28.7445, 28.7445) * CHOOSE(CONTROL!$C$21, $C$9, 100%, $E$9)</f>
        <v>28.744499999999999</v>
      </c>
      <c r="R517" s="14">
        <f>CHOOSE(CONTROL!$C$42, 29.4034, 29.4034) * CHOOSE(CONTROL!$C$21, $C$9, 100%, $E$9)</f>
        <v>29.403400000000001</v>
      </c>
      <c r="S517" s="14">
        <f>CHOOSE(CONTROL!$C$42, 27.4978, 27.4978) * CHOOSE(CONTROL!$C$21, $C$9, 100%, $E$9)</f>
        <v>27.497800000000002</v>
      </c>
      <c r="T51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17" s="57">
        <f>(1000*CHOOSE(CONTROL!$C$42, 695, 695)*CHOOSE(CONTROL!$C$42, 0.5599, 0.5599)*CHOOSE(CONTROL!$C$42, 31, 31))/1000000</f>
        <v>12.063045499999998</v>
      </c>
      <c r="V517" s="57">
        <f>(1000*CHOOSE(CONTROL!$C$42, 500, 500)*CHOOSE(CONTROL!$C$42, 0.275, 0.275)*CHOOSE(CONTROL!$C$42, 31, 31))/1000000</f>
        <v>4.2625000000000002</v>
      </c>
      <c r="W517" s="57">
        <f>(1000*CHOOSE(CONTROL!$C$42, 0.1146, 0.1146)*CHOOSE(CONTROL!$C$42, 121.5, 121.5)*CHOOSE(CONTROL!$C$42, 31, 31))/1000000</f>
        <v>0.43164089999999994</v>
      </c>
      <c r="X517" s="57">
        <f>(31*0.1790888*100000/1000000)+(31*0.2374*100000/1000000)</f>
        <v>1.2911152800000001</v>
      </c>
      <c r="Y517" s="57"/>
      <c r="Z517" s="14"/>
      <c r="AA517" s="56"/>
      <c r="AB517" s="50">
        <f>(B517*122.58+C517*297.941+D517*89.177+E517*40.302+F517*40+G517*160+H517*0+I517*100+J517*300)/(122.58+297.941+89.177+40.302+0+40+160+100+300)</f>
        <v>28.659514893391307</v>
      </c>
      <c r="AC517" s="45">
        <f>(M517*'RAP TEMPLATE-GAS AVAILABILITY'!O516+N517*'RAP TEMPLATE-GAS AVAILABILITY'!P516+O517*'RAP TEMPLATE-GAS AVAILABILITY'!Q516+P517*'RAP TEMPLATE-GAS AVAILABILITY'!R516)/('RAP TEMPLATE-GAS AVAILABILITY'!O516+'RAP TEMPLATE-GAS AVAILABILITY'!P516+'RAP TEMPLATE-GAS AVAILABILITY'!Q516+'RAP TEMPLATE-GAS AVAILABILITY'!R516)</f>
        <v>28.118643165467624</v>
      </c>
    </row>
    <row r="518" spans="1:29" ht="15.75" x14ac:dyDescent="0.25">
      <c r="A518" s="32">
        <v>56673</v>
      </c>
      <c r="B518" s="14">
        <f>CHOOSE(CONTROL!$C$42, 29.135, 29.135) * CHOOSE(CONTROL!$C$21, $C$9, 100%, $E$9)</f>
        <v>29.135000000000002</v>
      </c>
      <c r="C518" s="14">
        <f>CHOOSE(CONTROL!$C$42, 29.1401, 29.1401) * CHOOSE(CONTROL!$C$21, $C$9, 100%, $E$9)</f>
        <v>29.1401</v>
      </c>
      <c r="D518" s="14">
        <f>CHOOSE(CONTROL!$C$42, 29.2169, 29.2169) * CHOOSE(CONTROL!$C$21, $C$9, 100%, $E$9)</f>
        <v>29.216899999999999</v>
      </c>
      <c r="E518" s="14">
        <f>CHOOSE(CONTROL!$C$42, 29.251, 29.251) * CHOOSE(CONTROL!$C$21, $C$9, 100%, $E$9)</f>
        <v>29.251000000000001</v>
      </c>
      <c r="F518" s="14">
        <f>CHOOSE(CONTROL!$C$42, 29.1594, 29.1594)*CHOOSE(CONTROL!$C$21, $C$9, 100%, $E$9)</f>
        <v>29.159400000000002</v>
      </c>
      <c r="G518" s="14">
        <f>CHOOSE(CONTROL!$C$42, 29.1772, 29.1772)*CHOOSE(CONTROL!$C$21, $C$9, 100%, $E$9)</f>
        <v>29.177199999999999</v>
      </c>
      <c r="H518" s="14">
        <f>CHOOSE(CONTROL!$C$42, 29.2402, 29.2402) * CHOOSE(CONTROL!$C$21, $C$9, 100%, $E$9)</f>
        <v>29.240200000000002</v>
      </c>
      <c r="I518" s="14">
        <f>CHOOSE(CONTROL!$C$42, 29.26, 29.26)* CHOOSE(CONTROL!$C$21, $C$9, 100%, $E$9)</f>
        <v>29.26</v>
      </c>
      <c r="J518" s="14">
        <f>CHOOSE(CONTROL!$C$42, 29.1524, 29.1524)* CHOOSE(CONTROL!$C$21, $C$9, 100%, $E$9)</f>
        <v>29.1524</v>
      </c>
      <c r="K518" s="53">
        <f>CHOOSE(CONTROL!$C$42, 29.2561, 29.2561) * CHOOSE(CONTROL!$C$21, $C$9, 100%, $E$9)</f>
        <v>29.2561</v>
      </c>
      <c r="L518" s="14">
        <f>CHOOSE(CONTROL!$C$42, 29.8272, 29.8272) * CHOOSE(CONTROL!$C$21, $C$9, 100%, $E$9)</f>
        <v>29.827200000000001</v>
      </c>
      <c r="M518" s="14">
        <f>CHOOSE(CONTROL!$C$42, 28.5627, 28.5627) * CHOOSE(CONTROL!$C$21, $C$9, 100%, $E$9)</f>
        <v>28.5627</v>
      </c>
      <c r="N518" s="14">
        <f>CHOOSE(CONTROL!$C$42, 28.5802, 28.5802) * CHOOSE(CONTROL!$C$21, $C$9, 100%, $E$9)</f>
        <v>28.580200000000001</v>
      </c>
      <c r="O518" s="14">
        <f>CHOOSE(CONTROL!$C$42, 28.6488, 28.6488) * CHOOSE(CONTROL!$C$21, $C$9, 100%, $E$9)</f>
        <v>28.648800000000001</v>
      </c>
      <c r="P518" s="14">
        <f>CHOOSE(CONTROL!$C$42, 28.6664, 28.6664) * CHOOSE(CONTROL!$C$21, $C$9, 100%, $E$9)</f>
        <v>28.666399999999999</v>
      </c>
      <c r="Q518" s="14">
        <f>CHOOSE(CONTROL!$C$42, 29.2435, 29.2435) * CHOOSE(CONTROL!$C$21, $C$9, 100%, $E$9)</f>
        <v>29.243500000000001</v>
      </c>
      <c r="R518" s="14">
        <f>CHOOSE(CONTROL!$C$42, 29.9036, 29.9036) * CHOOSE(CONTROL!$C$21, $C$9, 100%, $E$9)</f>
        <v>29.903600000000001</v>
      </c>
      <c r="S518" s="14">
        <f>CHOOSE(CONTROL!$C$42, 27.9873, 27.9873) * CHOOSE(CONTROL!$C$21, $C$9, 100%, $E$9)</f>
        <v>27.987300000000001</v>
      </c>
      <c r="T51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18" s="57">
        <f>(1000*CHOOSE(CONTROL!$C$42, 695, 695)*CHOOSE(CONTROL!$C$42, 0.5599, 0.5599)*CHOOSE(CONTROL!$C$42, 28, 28))/1000000</f>
        <v>10.895653999999999</v>
      </c>
      <c r="V518" s="57">
        <f>(1000*CHOOSE(CONTROL!$C$42, 500, 500)*CHOOSE(CONTROL!$C$42, 0.275, 0.275)*CHOOSE(CONTROL!$C$42, 28, 28))/1000000</f>
        <v>3.85</v>
      </c>
      <c r="W518" s="57">
        <f>(1000*CHOOSE(CONTROL!$C$42, 0.1146, 0.1146)*CHOOSE(CONTROL!$C$42, 121.5, 121.5)*CHOOSE(CONTROL!$C$42, 28, 28))/1000000</f>
        <v>0.38986920000000003</v>
      </c>
      <c r="X518" s="57">
        <f>(28*0.1790888*100000/1000000)+(28*0.2374*100000/1000000)</f>
        <v>1.16616864</v>
      </c>
      <c r="Y518" s="57"/>
      <c r="Z518" s="14"/>
      <c r="AA518" s="56"/>
      <c r="AB518" s="50">
        <f>(B518*122.58+C518*297.941+D518*89.177+E518*40.302+F518*40+G518*160+H518*0+I518*100+J518*300)/(122.58+297.941+89.177+40.302+0+40+160+100+300)</f>
        <v>29.168866197739128</v>
      </c>
      <c r="AC518" s="45">
        <f>(M518*'RAP TEMPLATE-GAS AVAILABILITY'!O517+N518*'RAP TEMPLATE-GAS AVAILABILITY'!P517+O518*'RAP TEMPLATE-GAS AVAILABILITY'!Q517+P518*'RAP TEMPLATE-GAS AVAILABILITY'!R517)/('RAP TEMPLATE-GAS AVAILABILITY'!O517+'RAP TEMPLATE-GAS AVAILABILITY'!P517+'RAP TEMPLATE-GAS AVAILABILITY'!Q517+'RAP TEMPLATE-GAS AVAILABILITY'!R517)</f>
        <v>28.617651798561152</v>
      </c>
    </row>
    <row r="519" spans="1:29" ht="15.75" x14ac:dyDescent="0.25">
      <c r="A519" s="32">
        <v>56704</v>
      </c>
      <c r="B519" s="14">
        <f>CHOOSE(CONTROL!$C$42, 28.3081, 28.3081) * CHOOSE(CONTROL!$C$21, $C$9, 100%, $E$9)</f>
        <v>28.3081</v>
      </c>
      <c r="C519" s="14">
        <f>CHOOSE(CONTROL!$C$42, 28.3132, 28.3132) * CHOOSE(CONTROL!$C$21, $C$9, 100%, $E$9)</f>
        <v>28.313199999999998</v>
      </c>
      <c r="D519" s="14">
        <f>CHOOSE(CONTROL!$C$42, 28.39, 28.39) * CHOOSE(CONTROL!$C$21, $C$9, 100%, $E$9)</f>
        <v>28.39</v>
      </c>
      <c r="E519" s="14">
        <f>CHOOSE(CONTROL!$C$42, 28.4241, 28.4241) * CHOOSE(CONTROL!$C$21, $C$9, 100%, $E$9)</f>
        <v>28.424099999999999</v>
      </c>
      <c r="F519" s="14">
        <f>CHOOSE(CONTROL!$C$42, 28.3316, 28.3316)*CHOOSE(CONTROL!$C$21, $C$9, 100%, $E$9)</f>
        <v>28.331600000000002</v>
      </c>
      <c r="G519" s="14">
        <f>CHOOSE(CONTROL!$C$42, 28.3492, 28.3492)*CHOOSE(CONTROL!$C$21, $C$9, 100%, $E$9)</f>
        <v>28.3492</v>
      </c>
      <c r="H519" s="14">
        <f>CHOOSE(CONTROL!$C$42, 28.4133, 28.4133) * CHOOSE(CONTROL!$C$21, $C$9, 100%, $E$9)</f>
        <v>28.4133</v>
      </c>
      <c r="I519" s="14">
        <f>CHOOSE(CONTROL!$C$42, 28.4305, 28.4305)* CHOOSE(CONTROL!$C$21, $C$9, 100%, $E$9)</f>
        <v>28.430499999999999</v>
      </c>
      <c r="J519" s="14">
        <f>CHOOSE(CONTROL!$C$42, 28.3246, 28.3246)* CHOOSE(CONTROL!$C$21, $C$9, 100%, $E$9)</f>
        <v>28.3246</v>
      </c>
      <c r="K519" s="53">
        <f>CHOOSE(CONTROL!$C$42, 28.4266, 28.4266) * CHOOSE(CONTROL!$C$21, $C$9, 100%, $E$9)</f>
        <v>28.426600000000001</v>
      </c>
      <c r="L519" s="14">
        <f>CHOOSE(CONTROL!$C$42, 29.0003, 29.0003) * CHOOSE(CONTROL!$C$21, $C$9, 100%, $E$9)</f>
        <v>29.000299999999999</v>
      </c>
      <c r="M519" s="14">
        <f>CHOOSE(CONTROL!$C$42, 27.7519, 27.7519) * CHOOSE(CONTROL!$C$21, $C$9, 100%, $E$9)</f>
        <v>27.751899999999999</v>
      </c>
      <c r="N519" s="14">
        <f>CHOOSE(CONTROL!$C$42, 27.7692, 27.7692) * CHOOSE(CONTROL!$C$21, $C$9, 100%, $E$9)</f>
        <v>27.769200000000001</v>
      </c>
      <c r="O519" s="14">
        <f>CHOOSE(CONTROL!$C$42, 27.8388, 27.8388) * CHOOSE(CONTROL!$C$21, $C$9, 100%, $E$9)</f>
        <v>27.838799999999999</v>
      </c>
      <c r="P519" s="14">
        <f>CHOOSE(CONTROL!$C$42, 27.854, 27.854) * CHOOSE(CONTROL!$C$21, $C$9, 100%, $E$9)</f>
        <v>27.853999999999999</v>
      </c>
      <c r="Q519" s="14">
        <f>CHOOSE(CONTROL!$C$42, 28.4335, 28.4335) * CHOOSE(CONTROL!$C$21, $C$9, 100%, $E$9)</f>
        <v>28.433499999999999</v>
      </c>
      <c r="R519" s="14">
        <f>CHOOSE(CONTROL!$C$42, 29.0916, 29.0916) * CHOOSE(CONTROL!$C$21, $C$9, 100%, $E$9)</f>
        <v>29.0916</v>
      </c>
      <c r="S519" s="14">
        <f>CHOOSE(CONTROL!$C$42, 27.1927, 27.1927) * CHOOSE(CONTROL!$C$21, $C$9, 100%, $E$9)</f>
        <v>27.192699999999999</v>
      </c>
      <c r="T51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9" s="57">
        <f>(1000*CHOOSE(CONTROL!$C$42, 695, 695)*CHOOSE(CONTROL!$C$42, 0.5599, 0.5599)*CHOOSE(CONTROL!$C$42, 31, 31))/1000000</f>
        <v>12.063045499999998</v>
      </c>
      <c r="V519" s="57">
        <f>(1000*CHOOSE(CONTROL!$C$42, 500, 500)*CHOOSE(CONTROL!$C$42, 0.275, 0.275)*CHOOSE(CONTROL!$C$42, 31, 31))/1000000</f>
        <v>4.2625000000000002</v>
      </c>
      <c r="W519" s="57">
        <f>(1000*CHOOSE(CONTROL!$C$42, 0.1146, 0.1146)*CHOOSE(CONTROL!$C$42, 121.5, 121.5)*CHOOSE(CONTROL!$C$42, 31, 31))/1000000</f>
        <v>0.43164089999999994</v>
      </c>
      <c r="X519" s="57">
        <f>(31*0.1790888*100000/1000000)+(31*0.2374*100000/1000000)</f>
        <v>1.2911152800000001</v>
      </c>
      <c r="Y519" s="57"/>
      <c r="Z519" s="14"/>
      <c r="AA519" s="56"/>
      <c r="AB519" s="50">
        <f>(B519*122.58+C519*297.941+D519*89.177+E519*40.302+F519*40+G519*160+H519*0+I519*100+J519*300)/(122.58+297.941+89.177+40.302+0+40+160+100+300)</f>
        <v>28.34132098034782</v>
      </c>
      <c r="AC519" s="45">
        <f>(M519*'RAP TEMPLATE-GAS AVAILABILITY'!O518+N519*'RAP TEMPLATE-GAS AVAILABILITY'!P518+O519*'RAP TEMPLATE-GAS AVAILABILITY'!Q518+P519*'RAP TEMPLATE-GAS AVAILABILITY'!R518)/('RAP TEMPLATE-GAS AVAILABILITY'!O518+'RAP TEMPLATE-GAS AVAILABILITY'!P518+'RAP TEMPLATE-GAS AVAILABILITY'!Q518+'RAP TEMPLATE-GAS AVAILABILITY'!R518)</f>
        <v>27.806972661870507</v>
      </c>
    </row>
    <row r="520" spans="1:29" ht="15.75" x14ac:dyDescent="0.25">
      <c r="A520" s="32">
        <v>56734</v>
      </c>
      <c r="B520" s="14">
        <f>CHOOSE(CONTROL!$C$42, 28.2244, 28.2244) * CHOOSE(CONTROL!$C$21, $C$9, 100%, $E$9)</f>
        <v>28.224399999999999</v>
      </c>
      <c r="C520" s="14">
        <f>CHOOSE(CONTROL!$C$42, 28.2289, 28.2289) * CHOOSE(CONTROL!$C$21, $C$9, 100%, $E$9)</f>
        <v>28.228899999999999</v>
      </c>
      <c r="D520" s="14">
        <f>CHOOSE(CONTROL!$C$42, 28.4526, 28.4526) * CHOOSE(CONTROL!$C$21, $C$9, 100%, $E$9)</f>
        <v>28.4526</v>
      </c>
      <c r="E520" s="14">
        <f>CHOOSE(CONTROL!$C$42, 28.4847, 28.4847) * CHOOSE(CONTROL!$C$21, $C$9, 100%, $E$9)</f>
        <v>28.4847</v>
      </c>
      <c r="F520" s="14">
        <f>CHOOSE(CONTROL!$C$42, 28.2521, 28.2521)*CHOOSE(CONTROL!$C$21, $C$9, 100%, $E$9)</f>
        <v>28.252099999999999</v>
      </c>
      <c r="G520" s="14">
        <f>CHOOSE(CONTROL!$C$42, 28.269, 28.269)*CHOOSE(CONTROL!$C$21, $C$9, 100%, $E$9)</f>
        <v>28.268999999999998</v>
      </c>
      <c r="H520" s="14">
        <f>CHOOSE(CONTROL!$C$42, 28.4745, 28.4745) * CHOOSE(CONTROL!$C$21, $C$9, 100%, $E$9)</f>
        <v>28.474499999999999</v>
      </c>
      <c r="I520" s="14">
        <f>CHOOSE(CONTROL!$C$42, 28.3421, 28.3421)* CHOOSE(CONTROL!$C$21, $C$9, 100%, $E$9)</f>
        <v>28.342099999999999</v>
      </c>
      <c r="J520" s="14">
        <f>CHOOSE(CONTROL!$C$42, 28.2451, 28.2451)* CHOOSE(CONTROL!$C$21, $C$9, 100%, $E$9)</f>
        <v>28.245100000000001</v>
      </c>
      <c r="K520" s="53">
        <f>CHOOSE(CONTROL!$C$42, 28.3382, 28.3382) * CHOOSE(CONTROL!$C$21, $C$9, 100%, $E$9)</f>
        <v>28.338200000000001</v>
      </c>
      <c r="L520" s="14">
        <f>CHOOSE(CONTROL!$C$42, 29.0615, 29.0615) * CHOOSE(CONTROL!$C$21, $C$9, 100%, $E$9)</f>
        <v>29.061499999999999</v>
      </c>
      <c r="M520" s="14">
        <f>CHOOSE(CONTROL!$C$42, 27.6741, 27.6741) * CHOOSE(CONTROL!$C$21, $C$9, 100%, $E$9)</f>
        <v>27.674099999999999</v>
      </c>
      <c r="N520" s="14">
        <f>CHOOSE(CONTROL!$C$42, 27.6906, 27.6906) * CHOOSE(CONTROL!$C$21, $C$9, 100%, $E$9)</f>
        <v>27.6906</v>
      </c>
      <c r="O520" s="14">
        <f>CHOOSE(CONTROL!$C$42, 27.8988, 27.8988) * CHOOSE(CONTROL!$C$21, $C$9, 100%, $E$9)</f>
        <v>27.898800000000001</v>
      </c>
      <c r="P520" s="14">
        <f>CHOOSE(CONTROL!$C$42, 27.7674, 27.7674) * CHOOSE(CONTROL!$C$21, $C$9, 100%, $E$9)</f>
        <v>27.767399999999999</v>
      </c>
      <c r="Q520" s="14">
        <f>CHOOSE(CONTROL!$C$42, 28.4935, 28.4935) * CHOOSE(CONTROL!$C$21, $C$9, 100%, $E$9)</f>
        <v>28.493500000000001</v>
      </c>
      <c r="R520" s="14">
        <f>CHOOSE(CONTROL!$C$42, 29.1517, 29.1517) * CHOOSE(CONTROL!$C$21, $C$9, 100%, $E$9)</f>
        <v>29.151700000000002</v>
      </c>
      <c r="S520" s="14">
        <f>CHOOSE(CONTROL!$C$42, 27.1115, 27.1115) * CHOOSE(CONTROL!$C$21, $C$9, 100%, $E$9)</f>
        <v>27.111499999999999</v>
      </c>
      <c r="T52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0" s="57">
        <f>(1000*CHOOSE(CONTROL!$C$42, 695, 695)*CHOOSE(CONTROL!$C$42, 0.5599, 0.5599)*CHOOSE(CONTROL!$C$42, 30, 30))/1000000</f>
        <v>11.673914999999997</v>
      </c>
      <c r="V520" s="57">
        <f>(1000*CHOOSE(CONTROL!$C$42, 500, 500)*CHOOSE(CONTROL!$C$42, 0.275, 0.275)*CHOOSE(CONTROL!$C$42, 30, 30))/1000000</f>
        <v>4.125</v>
      </c>
      <c r="W520" s="57">
        <f>(1000*CHOOSE(CONTROL!$C$42, 0.1146, 0.1146)*CHOOSE(CONTROL!$C$42, 121.5, 121.5)*CHOOSE(CONTROL!$C$42, 30, 30))/1000000</f>
        <v>0.417717</v>
      </c>
      <c r="X520" s="57">
        <f>(30*0.1790888*245000/1000000)+(30*0.2374*100000/1000000)</f>
        <v>2.0285026799999999</v>
      </c>
      <c r="Y520" s="57"/>
      <c r="Z520" s="14"/>
      <c r="AA520" s="56"/>
      <c r="AB520" s="50">
        <f>(B520*141.293+C520*267.993+D520*115.016+E520*89.698+F520*40+G520*185+H520*0+I520*100+J520*300)/(141.293+267.993+115.016+89.698+0+40+185+100+300)</f>
        <v>28.287466996852299</v>
      </c>
      <c r="AC520" s="45">
        <f>(M520*'RAP TEMPLATE-GAS AVAILABILITY'!O519+N520*'RAP TEMPLATE-GAS AVAILABILITY'!P519+O520*'RAP TEMPLATE-GAS AVAILABILITY'!Q519+P520*'RAP TEMPLATE-GAS AVAILABILITY'!R519)/('RAP TEMPLATE-GAS AVAILABILITY'!O519+'RAP TEMPLATE-GAS AVAILABILITY'!P519+'RAP TEMPLATE-GAS AVAILABILITY'!Q519+'RAP TEMPLATE-GAS AVAILABILITY'!R519)</f>
        <v>27.754368345323741</v>
      </c>
    </row>
    <row r="521" spans="1:29" ht="15.75" x14ac:dyDescent="0.25">
      <c r="A521" s="32">
        <v>56765</v>
      </c>
      <c r="B521" s="14">
        <f>CHOOSE(CONTROL!$C$42, 28.4748, 28.4748) * CHOOSE(CONTROL!$C$21, $C$9, 100%, $E$9)</f>
        <v>28.474799999999998</v>
      </c>
      <c r="C521" s="14">
        <f>CHOOSE(CONTROL!$C$42, 28.4829, 28.4829) * CHOOSE(CONTROL!$C$21, $C$9, 100%, $E$9)</f>
        <v>28.482900000000001</v>
      </c>
      <c r="D521" s="14">
        <f>CHOOSE(CONTROL!$C$42, 28.7034, 28.7034) * CHOOSE(CONTROL!$C$21, $C$9, 100%, $E$9)</f>
        <v>28.703399999999998</v>
      </c>
      <c r="E521" s="14">
        <f>CHOOSE(CONTROL!$C$42, 28.7349, 28.7349) * CHOOSE(CONTROL!$C$21, $C$9, 100%, $E$9)</f>
        <v>28.7349</v>
      </c>
      <c r="F521" s="14">
        <f>CHOOSE(CONTROL!$C$42, 28.5011, 28.5011)*CHOOSE(CONTROL!$C$21, $C$9, 100%, $E$9)</f>
        <v>28.501100000000001</v>
      </c>
      <c r="G521" s="14">
        <f>CHOOSE(CONTROL!$C$42, 28.5182, 28.5182)*CHOOSE(CONTROL!$C$21, $C$9, 100%, $E$9)</f>
        <v>28.5182</v>
      </c>
      <c r="H521" s="14">
        <f>CHOOSE(CONTROL!$C$42, 28.7235, 28.7235) * CHOOSE(CONTROL!$C$21, $C$9, 100%, $E$9)</f>
        <v>28.723500000000001</v>
      </c>
      <c r="I521" s="14">
        <f>CHOOSE(CONTROL!$C$42, 28.5919, 28.5919)* CHOOSE(CONTROL!$C$21, $C$9, 100%, $E$9)</f>
        <v>28.591899999999999</v>
      </c>
      <c r="J521" s="14">
        <f>CHOOSE(CONTROL!$C$42, 28.4941, 28.4941)* CHOOSE(CONTROL!$C$21, $C$9, 100%, $E$9)</f>
        <v>28.4941</v>
      </c>
      <c r="K521" s="53">
        <f>CHOOSE(CONTROL!$C$42, 28.588, 28.588) * CHOOSE(CONTROL!$C$21, $C$9, 100%, $E$9)</f>
        <v>28.588000000000001</v>
      </c>
      <c r="L521" s="14">
        <f>CHOOSE(CONTROL!$C$42, 29.3105, 29.3105) * CHOOSE(CONTROL!$C$21, $C$9, 100%, $E$9)</f>
        <v>29.310500000000001</v>
      </c>
      <c r="M521" s="14">
        <f>CHOOSE(CONTROL!$C$42, 27.918, 27.918) * CHOOSE(CONTROL!$C$21, $C$9, 100%, $E$9)</f>
        <v>27.917999999999999</v>
      </c>
      <c r="N521" s="14">
        <f>CHOOSE(CONTROL!$C$42, 27.9347, 27.9347) * CHOOSE(CONTROL!$C$21, $C$9, 100%, $E$9)</f>
        <v>27.934699999999999</v>
      </c>
      <c r="O521" s="14">
        <f>CHOOSE(CONTROL!$C$42, 28.1427, 28.1427) * CHOOSE(CONTROL!$C$21, $C$9, 100%, $E$9)</f>
        <v>28.142700000000001</v>
      </c>
      <c r="P521" s="14">
        <f>CHOOSE(CONTROL!$C$42, 28.012, 28.012) * CHOOSE(CONTROL!$C$21, $C$9, 100%, $E$9)</f>
        <v>28.012</v>
      </c>
      <c r="Q521" s="14">
        <f>CHOOSE(CONTROL!$C$42, 28.7374, 28.7374) * CHOOSE(CONTROL!$C$21, $C$9, 100%, $E$9)</f>
        <v>28.737400000000001</v>
      </c>
      <c r="R521" s="14">
        <f>CHOOSE(CONTROL!$C$42, 29.3962, 29.3962) * CHOOSE(CONTROL!$C$21, $C$9, 100%, $E$9)</f>
        <v>29.3962</v>
      </c>
      <c r="S521" s="14">
        <f>CHOOSE(CONTROL!$C$42, 27.3508, 27.3508) * CHOOSE(CONTROL!$C$21, $C$9, 100%, $E$9)</f>
        <v>27.3508</v>
      </c>
      <c r="T52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21" s="57">
        <f>(1000*CHOOSE(CONTROL!$C$42, 695, 695)*CHOOSE(CONTROL!$C$42, 0.5599, 0.5599)*CHOOSE(CONTROL!$C$42, 31, 31))/1000000</f>
        <v>12.063045499999998</v>
      </c>
      <c r="V521" s="57">
        <f>(1000*CHOOSE(CONTROL!$C$42, 500, 500)*CHOOSE(CONTROL!$C$42, 0.275, 0.275)*CHOOSE(CONTROL!$C$42, 31, 31))/1000000</f>
        <v>4.2625000000000002</v>
      </c>
      <c r="W521" s="57">
        <f>(1000*CHOOSE(CONTROL!$C$42, 0.1146, 0.1146)*CHOOSE(CONTROL!$C$42, 121.5, 121.5)*CHOOSE(CONTROL!$C$42, 31, 31))/1000000</f>
        <v>0.43164089999999994</v>
      </c>
      <c r="X521" s="57">
        <f>(31*0.1790888*245000/1000000)+(31*0.2374*100000/1000000)</f>
        <v>2.0961194359999999</v>
      </c>
      <c r="Y521" s="57"/>
      <c r="Z521" s="14"/>
      <c r="AA521" s="56"/>
      <c r="AB521" s="50">
        <f>(B521*194.205+C521*267.466+D521*133.845+E521*53.484+F521*40+G521*185+H521*0+I521*100+J521*300)/(194.205+267.466+133.845+53.484+0+40+185+100+300)</f>
        <v>28.532300494505492</v>
      </c>
      <c r="AC521" s="45">
        <f>(M521*'RAP TEMPLATE-GAS AVAILABILITY'!O520+N521*'RAP TEMPLATE-GAS AVAILABILITY'!P520+O521*'RAP TEMPLATE-GAS AVAILABILITY'!Q520+P521*'RAP TEMPLATE-GAS AVAILABILITY'!R520)/('RAP TEMPLATE-GAS AVAILABILITY'!O520+'RAP TEMPLATE-GAS AVAILABILITY'!P520+'RAP TEMPLATE-GAS AVAILABILITY'!Q520+'RAP TEMPLATE-GAS AVAILABILITY'!R520)</f>
        <v>27.998415107913669</v>
      </c>
    </row>
    <row r="522" spans="1:29" ht="15.75" x14ac:dyDescent="0.25">
      <c r="A522" s="32">
        <v>56795</v>
      </c>
      <c r="B522" s="14">
        <f>CHOOSE(CONTROL!$C$42, 29.2822, 29.2822) * CHOOSE(CONTROL!$C$21, $C$9, 100%, $E$9)</f>
        <v>29.2822</v>
      </c>
      <c r="C522" s="14">
        <f>CHOOSE(CONTROL!$C$42, 29.2902, 29.2902) * CHOOSE(CONTROL!$C$21, $C$9, 100%, $E$9)</f>
        <v>29.290199999999999</v>
      </c>
      <c r="D522" s="14">
        <f>CHOOSE(CONTROL!$C$42, 29.5108, 29.5108) * CHOOSE(CONTROL!$C$21, $C$9, 100%, $E$9)</f>
        <v>29.5108</v>
      </c>
      <c r="E522" s="14">
        <f>CHOOSE(CONTROL!$C$42, 29.5423, 29.5423) * CHOOSE(CONTROL!$C$21, $C$9, 100%, $E$9)</f>
        <v>29.542300000000001</v>
      </c>
      <c r="F522" s="14">
        <f>CHOOSE(CONTROL!$C$42, 29.3088, 29.3088)*CHOOSE(CONTROL!$C$21, $C$9, 100%, $E$9)</f>
        <v>29.308800000000002</v>
      </c>
      <c r="G522" s="14">
        <f>CHOOSE(CONTROL!$C$42, 29.326, 29.326)*CHOOSE(CONTROL!$C$21, $C$9, 100%, $E$9)</f>
        <v>29.326000000000001</v>
      </c>
      <c r="H522" s="14">
        <f>CHOOSE(CONTROL!$C$42, 29.5309, 29.5309) * CHOOSE(CONTROL!$C$21, $C$9, 100%, $E$9)</f>
        <v>29.530899999999999</v>
      </c>
      <c r="I522" s="14">
        <f>CHOOSE(CONTROL!$C$42, 29.4018, 29.4018)* CHOOSE(CONTROL!$C$21, $C$9, 100%, $E$9)</f>
        <v>29.401800000000001</v>
      </c>
      <c r="J522" s="14">
        <f>CHOOSE(CONTROL!$C$42, 29.3018, 29.3018)* CHOOSE(CONTROL!$C$21, $C$9, 100%, $E$9)</f>
        <v>29.3018</v>
      </c>
      <c r="K522" s="53">
        <f>CHOOSE(CONTROL!$C$42, 29.3979, 29.3979) * CHOOSE(CONTROL!$C$21, $C$9, 100%, $E$9)</f>
        <v>29.3979</v>
      </c>
      <c r="L522" s="14">
        <f>CHOOSE(CONTROL!$C$42, 30.1179, 30.1179) * CHOOSE(CONTROL!$C$21, $C$9, 100%, $E$9)</f>
        <v>30.117899999999999</v>
      </c>
      <c r="M522" s="14">
        <f>CHOOSE(CONTROL!$C$42, 28.7091, 28.7091) * CHOOSE(CONTROL!$C$21, $C$9, 100%, $E$9)</f>
        <v>28.709099999999999</v>
      </c>
      <c r="N522" s="14">
        <f>CHOOSE(CONTROL!$C$42, 28.726, 28.726) * CHOOSE(CONTROL!$C$21, $C$9, 100%, $E$9)</f>
        <v>28.725999999999999</v>
      </c>
      <c r="O522" s="14">
        <f>CHOOSE(CONTROL!$C$42, 28.9335, 28.9335) * CHOOSE(CONTROL!$C$21, $C$9, 100%, $E$9)</f>
        <v>28.933499999999999</v>
      </c>
      <c r="P522" s="14">
        <f>CHOOSE(CONTROL!$C$42, 28.8053, 28.8053) * CHOOSE(CONTROL!$C$21, $C$9, 100%, $E$9)</f>
        <v>28.805299999999999</v>
      </c>
      <c r="Q522" s="14">
        <f>CHOOSE(CONTROL!$C$42, 29.5282, 29.5282) * CHOOSE(CONTROL!$C$21, $C$9, 100%, $E$9)</f>
        <v>29.528199999999998</v>
      </c>
      <c r="R522" s="14">
        <f>CHOOSE(CONTROL!$C$42, 30.1891, 30.1891) * CHOOSE(CONTROL!$C$21, $C$9, 100%, $E$9)</f>
        <v>30.1891</v>
      </c>
      <c r="S522" s="14">
        <f>CHOOSE(CONTROL!$C$42, 28.1266, 28.1266) * CHOOSE(CONTROL!$C$21, $C$9, 100%, $E$9)</f>
        <v>28.1266</v>
      </c>
      <c r="T52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22" s="57">
        <f>(1000*CHOOSE(CONTROL!$C$42, 695, 695)*CHOOSE(CONTROL!$C$42, 0.5599, 0.5599)*CHOOSE(CONTROL!$C$42, 30, 30))/1000000</f>
        <v>11.673914999999997</v>
      </c>
      <c r="V522" s="57">
        <f>(1000*CHOOSE(CONTROL!$C$42, 500, 500)*CHOOSE(CONTROL!$C$42, 0.275, 0.275)*CHOOSE(CONTROL!$C$42, 30, 30))/1000000</f>
        <v>4.125</v>
      </c>
      <c r="W522" s="57">
        <f>(1000*CHOOSE(CONTROL!$C$42, 0.1146, 0.1146)*CHOOSE(CONTROL!$C$42, 121.5, 121.5)*CHOOSE(CONTROL!$C$42, 30, 30))/1000000</f>
        <v>0.417717</v>
      </c>
      <c r="X522" s="57">
        <f>(30*0.1790888*245000/1000000)+(30*0.2374*100000/1000000)</f>
        <v>2.0285026799999999</v>
      </c>
      <c r="Y522" s="57"/>
      <c r="Z522" s="14"/>
      <c r="AA522" s="56"/>
      <c r="AB522" s="50">
        <f>(B522*194.205+C522*267.466+D522*133.845+E522*53.484+F522*40+G522*185+H522*0+I522*100+J522*300)/(194.205+267.466+133.845+53.484+0+40+185+100+300)</f>
        <v>29.340013880219782</v>
      </c>
      <c r="AC522" s="45">
        <f>(M522*'RAP TEMPLATE-GAS AVAILABILITY'!O521+N522*'RAP TEMPLATE-GAS AVAILABILITY'!P521+O522*'RAP TEMPLATE-GAS AVAILABILITY'!Q521+P522*'RAP TEMPLATE-GAS AVAILABILITY'!R521)/('RAP TEMPLATE-GAS AVAILABILITY'!O521+'RAP TEMPLATE-GAS AVAILABILITY'!P521+'RAP TEMPLATE-GAS AVAILABILITY'!Q521+'RAP TEMPLATE-GAS AVAILABILITY'!R521)</f>
        <v>28.789793525179853</v>
      </c>
    </row>
    <row r="523" spans="1:29" ht="15.75" x14ac:dyDescent="0.25">
      <c r="A523" s="32">
        <v>56826</v>
      </c>
      <c r="B523" s="14">
        <f>CHOOSE(CONTROL!$C$42, 28.7207, 28.7207) * CHOOSE(CONTROL!$C$21, $C$9, 100%, $E$9)</f>
        <v>28.720700000000001</v>
      </c>
      <c r="C523" s="14">
        <f>CHOOSE(CONTROL!$C$42, 28.7287, 28.7287) * CHOOSE(CONTROL!$C$21, $C$9, 100%, $E$9)</f>
        <v>28.7287</v>
      </c>
      <c r="D523" s="14">
        <f>CHOOSE(CONTROL!$C$42, 28.9493, 28.9493) * CHOOSE(CONTROL!$C$21, $C$9, 100%, $E$9)</f>
        <v>28.949300000000001</v>
      </c>
      <c r="E523" s="14">
        <f>CHOOSE(CONTROL!$C$42, 28.9807, 28.9807) * CHOOSE(CONTROL!$C$21, $C$9, 100%, $E$9)</f>
        <v>28.980699999999999</v>
      </c>
      <c r="F523" s="14">
        <f>CHOOSE(CONTROL!$C$42, 28.7477, 28.7477)*CHOOSE(CONTROL!$C$21, $C$9, 100%, $E$9)</f>
        <v>28.747699999999998</v>
      </c>
      <c r="G523" s="14">
        <f>CHOOSE(CONTROL!$C$42, 28.7651, 28.7651)*CHOOSE(CONTROL!$C$21, $C$9, 100%, $E$9)</f>
        <v>28.7651</v>
      </c>
      <c r="H523" s="14">
        <f>CHOOSE(CONTROL!$C$42, 28.9694, 28.9694) * CHOOSE(CONTROL!$C$21, $C$9, 100%, $E$9)</f>
        <v>28.9694</v>
      </c>
      <c r="I523" s="14">
        <f>CHOOSE(CONTROL!$C$42, 28.8385, 28.8385)* CHOOSE(CONTROL!$C$21, $C$9, 100%, $E$9)</f>
        <v>28.8385</v>
      </c>
      <c r="J523" s="14">
        <f>CHOOSE(CONTROL!$C$42, 28.7407, 28.7407)* CHOOSE(CONTROL!$C$21, $C$9, 100%, $E$9)</f>
        <v>28.7407</v>
      </c>
      <c r="K523" s="53">
        <f>CHOOSE(CONTROL!$C$42, 28.8346, 28.8346) * CHOOSE(CONTROL!$C$21, $C$9, 100%, $E$9)</f>
        <v>28.834599999999998</v>
      </c>
      <c r="L523" s="14">
        <f>CHOOSE(CONTROL!$C$42, 29.5564, 29.5564) * CHOOSE(CONTROL!$C$21, $C$9, 100%, $E$9)</f>
        <v>29.5564</v>
      </c>
      <c r="M523" s="14">
        <f>CHOOSE(CONTROL!$C$42, 28.1596, 28.1596) * CHOOSE(CONTROL!$C$21, $C$9, 100%, $E$9)</f>
        <v>28.159600000000001</v>
      </c>
      <c r="N523" s="14">
        <f>CHOOSE(CONTROL!$C$42, 28.1765, 28.1765) * CHOOSE(CONTROL!$C$21, $C$9, 100%, $E$9)</f>
        <v>28.176500000000001</v>
      </c>
      <c r="O523" s="14">
        <f>CHOOSE(CONTROL!$C$42, 28.3835, 28.3835) * CHOOSE(CONTROL!$C$21, $C$9, 100%, $E$9)</f>
        <v>28.383500000000002</v>
      </c>
      <c r="P523" s="14">
        <f>CHOOSE(CONTROL!$C$42, 28.2536, 28.2536) * CHOOSE(CONTROL!$C$21, $C$9, 100%, $E$9)</f>
        <v>28.253599999999999</v>
      </c>
      <c r="Q523" s="14">
        <f>CHOOSE(CONTROL!$C$42, 28.9782, 28.9782) * CHOOSE(CONTROL!$C$21, $C$9, 100%, $E$9)</f>
        <v>28.978200000000001</v>
      </c>
      <c r="R523" s="14">
        <f>CHOOSE(CONTROL!$C$42, 29.6377, 29.6377) * CHOOSE(CONTROL!$C$21, $C$9, 100%, $E$9)</f>
        <v>29.637699999999999</v>
      </c>
      <c r="S523" s="14">
        <f>CHOOSE(CONTROL!$C$42, 27.5871, 27.5871) * CHOOSE(CONTROL!$C$21, $C$9, 100%, $E$9)</f>
        <v>27.5871</v>
      </c>
      <c r="T52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23" s="57">
        <f>(1000*CHOOSE(CONTROL!$C$42, 695, 695)*CHOOSE(CONTROL!$C$42, 0.5599, 0.5599)*CHOOSE(CONTROL!$C$42, 31, 31))/1000000</f>
        <v>12.063045499999998</v>
      </c>
      <c r="V523" s="57">
        <f>(1000*CHOOSE(CONTROL!$C$42, 500, 500)*CHOOSE(CONTROL!$C$42, 0.275, 0.275)*CHOOSE(CONTROL!$C$42, 31, 31))/1000000</f>
        <v>4.2625000000000002</v>
      </c>
      <c r="W523" s="57">
        <f>(1000*CHOOSE(CONTROL!$C$42, 0.1146, 0.1146)*CHOOSE(CONTROL!$C$42, 121.5, 121.5)*CHOOSE(CONTROL!$C$42, 31, 31))/1000000</f>
        <v>0.43164089999999994</v>
      </c>
      <c r="X523" s="57">
        <f>(31*0.1790888*245000/1000000)+(31*0.2374*100000/1000000)</f>
        <v>2.0961194359999999</v>
      </c>
      <c r="Y523" s="57"/>
      <c r="Z523" s="14"/>
      <c r="AA523" s="56"/>
      <c r="AB523" s="50">
        <f>(B523*194.205+C523*267.466+D523*133.845+E523*53.484+F523*40+G523*185+H523*0+I523*100+J523*300)/(194.205+267.466+133.845+53.484+0+40+185+100+300)</f>
        <v>28.77856227237049</v>
      </c>
      <c r="AC523" s="45">
        <f>(M523*'RAP TEMPLATE-GAS AVAILABILITY'!O522+N523*'RAP TEMPLATE-GAS AVAILABILITY'!P522+O523*'RAP TEMPLATE-GAS AVAILABILITY'!Q522+P523*'RAP TEMPLATE-GAS AVAILABILITY'!R522)/('RAP TEMPLATE-GAS AVAILABILITY'!O522+'RAP TEMPLATE-GAS AVAILABILITY'!P522+'RAP TEMPLATE-GAS AVAILABILITY'!Q522+'RAP TEMPLATE-GAS AVAILABILITY'!R522)</f>
        <v>28.239836690647483</v>
      </c>
    </row>
    <row r="524" spans="1:29" ht="15.75" x14ac:dyDescent="0.25">
      <c r="A524" s="32">
        <v>56857</v>
      </c>
      <c r="B524" s="14">
        <f>CHOOSE(CONTROL!$C$42, 27.3026, 27.3026) * CHOOSE(CONTROL!$C$21, $C$9, 100%, $E$9)</f>
        <v>27.302600000000002</v>
      </c>
      <c r="C524" s="14">
        <f>CHOOSE(CONTROL!$C$42, 27.3106, 27.3106) * CHOOSE(CONTROL!$C$21, $C$9, 100%, $E$9)</f>
        <v>27.310600000000001</v>
      </c>
      <c r="D524" s="14">
        <f>CHOOSE(CONTROL!$C$42, 27.5312, 27.5312) * CHOOSE(CONTROL!$C$21, $C$9, 100%, $E$9)</f>
        <v>27.531199999999998</v>
      </c>
      <c r="E524" s="14">
        <f>CHOOSE(CONTROL!$C$42, 27.5627, 27.5627) * CHOOSE(CONTROL!$C$21, $C$9, 100%, $E$9)</f>
        <v>27.5627</v>
      </c>
      <c r="F524" s="14">
        <f>CHOOSE(CONTROL!$C$42, 27.33, 27.33)*CHOOSE(CONTROL!$C$21, $C$9, 100%, $E$9)</f>
        <v>27.33</v>
      </c>
      <c r="G524" s="14">
        <f>CHOOSE(CONTROL!$C$42, 27.3474, 27.3474)*CHOOSE(CONTROL!$C$21, $C$9, 100%, $E$9)</f>
        <v>27.3474</v>
      </c>
      <c r="H524" s="14">
        <f>CHOOSE(CONTROL!$C$42, 27.5513, 27.5513) * CHOOSE(CONTROL!$C$21, $C$9, 100%, $E$9)</f>
        <v>27.551300000000001</v>
      </c>
      <c r="I524" s="14">
        <f>CHOOSE(CONTROL!$C$42, 27.416, 27.416)* CHOOSE(CONTROL!$C$21, $C$9, 100%, $E$9)</f>
        <v>27.416</v>
      </c>
      <c r="J524" s="14">
        <f>CHOOSE(CONTROL!$C$42, 27.323, 27.323)* CHOOSE(CONTROL!$C$21, $C$9, 100%, $E$9)</f>
        <v>27.323</v>
      </c>
      <c r="K524" s="53">
        <f>CHOOSE(CONTROL!$C$42, 27.4121, 27.4121) * CHOOSE(CONTROL!$C$21, $C$9, 100%, $E$9)</f>
        <v>27.412099999999999</v>
      </c>
      <c r="L524" s="14">
        <f>CHOOSE(CONTROL!$C$42, 28.1383, 28.1383) * CHOOSE(CONTROL!$C$21, $C$9, 100%, $E$9)</f>
        <v>28.138300000000001</v>
      </c>
      <c r="M524" s="14">
        <f>CHOOSE(CONTROL!$C$42, 26.7708, 26.7708) * CHOOSE(CONTROL!$C$21, $C$9, 100%, $E$9)</f>
        <v>26.770800000000001</v>
      </c>
      <c r="N524" s="14">
        <f>CHOOSE(CONTROL!$C$42, 26.7879, 26.7879) * CHOOSE(CONTROL!$C$21, $C$9, 100%, $E$9)</f>
        <v>26.7879</v>
      </c>
      <c r="O524" s="14">
        <f>CHOOSE(CONTROL!$C$42, 26.9945, 26.9945) * CHOOSE(CONTROL!$C$21, $C$9, 100%, $E$9)</f>
        <v>26.994499999999999</v>
      </c>
      <c r="P524" s="14">
        <f>CHOOSE(CONTROL!$C$42, 26.8603, 26.8603) * CHOOSE(CONTROL!$C$21, $C$9, 100%, $E$9)</f>
        <v>26.860299999999999</v>
      </c>
      <c r="Q524" s="14">
        <f>CHOOSE(CONTROL!$C$42, 27.5892, 27.5892) * CHOOSE(CONTROL!$C$21, $C$9, 100%, $E$9)</f>
        <v>27.589200000000002</v>
      </c>
      <c r="R524" s="14">
        <f>CHOOSE(CONTROL!$C$42, 28.2452, 28.2452) * CHOOSE(CONTROL!$C$21, $C$9, 100%, $E$9)</f>
        <v>28.245200000000001</v>
      </c>
      <c r="S524" s="14">
        <f>CHOOSE(CONTROL!$C$42, 26.2244, 26.2244) * CHOOSE(CONTROL!$C$21, $C$9, 100%, $E$9)</f>
        <v>26.224399999999999</v>
      </c>
      <c r="T52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24" s="57">
        <f>(1000*CHOOSE(CONTROL!$C$42, 695, 695)*CHOOSE(CONTROL!$C$42, 0.5599, 0.5599)*CHOOSE(CONTROL!$C$42, 31, 31))/1000000</f>
        <v>12.063045499999998</v>
      </c>
      <c r="V524" s="57">
        <f>(1000*CHOOSE(CONTROL!$C$42, 500, 500)*CHOOSE(CONTROL!$C$42, 0.275, 0.275)*CHOOSE(CONTROL!$C$42, 31, 31))/1000000</f>
        <v>4.2625000000000002</v>
      </c>
      <c r="W524" s="57">
        <f>(1000*CHOOSE(CONTROL!$C$42, 0.1146, 0.1146)*CHOOSE(CONTROL!$C$42, 121.5, 121.5)*CHOOSE(CONTROL!$C$42, 31, 31))/1000000</f>
        <v>0.43164089999999994</v>
      </c>
      <c r="X524" s="57">
        <f>(31*0.1790888*245000/1000000)+(31*0.2374*100000/1000000)</f>
        <v>2.0961194359999999</v>
      </c>
      <c r="Y524" s="57"/>
      <c r="Z524" s="14"/>
      <c r="AA524" s="56"/>
      <c r="AB524" s="50">
        <f>(B524*194.205+C524*267.466+D524*133.845+E524*53.484+F524*40+G524*185+H524*0+I524*100+J524*300)/(194.205+267.466+133.845+53.484+0+40+185+100+300)</f>
        <v>27.360285936734691</v>
      </c>
      <c r="AC524" s="45">
        <f>(M524*'RAP TEMPLATE-GAS AVAILABILITY'!O523+N524*'RAP TEMPLATE-GAS AVAILABILITY'!P523+O524*'RAP TEMPLATE-GAS AVAILABILITY'!Q523+P524*'RAP TEMPLATE-GAS AVAILABILITY'!R523)/('RAP TEMPLATE-GAS AVAILABILITY'!O523+'RAP TEMPLATE-GAS AVAILABILITY'!P523+'RAP TEMPLATE-GAS AVAILABILITY'!Q523+'RAP TEMPLATE-GAS AVAILABILITY'!R523)</f>
        <v>26.850379136690648</v>
      </c>
    </row>
    <row r="525" spans="1:29" ht="15.75" x14ac:dyDescent="0.25">
      <c r="A525" s="32">
        <v>56887</v>
      </c>
      <c r="B525" s="14">
        <f>CHOOSE(CONTROL!$C$42, 25.5697, 25.5697) * CHOOSE(CONTROL!$C$21, $C$9, 100%, $E$9)</f>
        <v>25.569700000000001</v>
      </c>
      <c r="C525" s="14">
        <f>CHOOSE(CONTROL!$C$42, 25.5778, 25.5778) * CHOOSE(CONTROL!$C$21, $C$9, 100%, $E$9)</f>
        <v>25.5778</v>
      </c>
      <c r="D525" s="14">
        <f>CHOOSE(CONTROL!$C$42, 25.7984, 25.7984) * CHOOSE(CONTROL!$C$21, $C$9, 100%, $E$9)</f>
        <v>25.798400000000001</v>
      </c>
      <c r="E525" s="14">
        <f>CHOOSE(CONTROL!$C$42, 25.8298, 25.8298) * CHOOSE(CONTROL!$C$21, $C$9, 100%, $E$9)</f>
        <v>25.829799999999999</v>
      </c>
      <c r="F525" s="14">
        <f>CHOOSE(CONTROL!$C$42, 25.5971, 25.5971)*CHOOSE(CONTROL!$C$21, $C$9, 100%, $E$9)</f>
        <v>25.597100000000001</v>
      </c>
      <c r="G525" s="14">
        <f>CHOOSE(CONTROL!$C$42, 25.6145, 25.6145)*CHOOSE(CONTROL!$C$21, $C$9, 100%, $E$9)</f>
        <v>25.6145</v>
      </c>
      <c r="H525" s="14">
        <f>CHOOSE(CONTROL!$C$42, 25.8185, 25.8185) * CHOOSE(CONTROL!$C$21, $C$9, 100%, $E$9)</f>
        <v>25.8185</v>
      </c>
      <c r="I525" s="14">
        <f>CHOOSE(CONTROL!$C$42, 25.6777, 25.6777)* CHOOSE(CONTROL!$C$21, $C$9, 100%, $E$9)</f>
        <v>25.677700000000002</v>
      </c>
      <c r="J525" s="14">
        <f>CHOOSE(CONTROL!$C$42, 25.5901, 25.5901)* CHOOSE(CONTROL!$C$21, $C$9, 100%, $E$9)</f>
        <v>25.5901</v>
      </c>
      <c r="K525" s="53">
        <f>CHOOSE(CONTROL!$C$42, 25.6738, 25.6738) * CHOOSE(CONTROL!$C$21, $C$9, 100%, $E$9)</f>
        <v>25.6738</v>
      </c>
      <c r="L525" s="14">
        <f>CHOOSE(CONTROL!$C$42, 26.4055, 26.4055) * CHOOSE(CONTROL!$C$21, $C$9, 100%, $E$9)</f>
        <v>26.4055</v>
      </c>
      <c r="M525" s="14">
        <f>CHOOSE(CONTROL!$C$42, 25.0735, 25.0735) * CHOOSE(CONTROL!$C$21, $C$9, 100%, $E$9)</f>
        <v>25.073499999999999</v>
      </c>
      <c r="N525" s="14">
        <f>CHOOSE(CONTROL!$C$42, 25.0905, 25.0905) * CHOOSE(CONTROL!$C$21, $C$9, 100%, $E$9)</f>
        <v>25.090499999999999</v>
      </c>
      <c r="O525" s="14">
        <f>CHOOSE(CONTROL!$C$42, 25.2971, 25.2971) * CHOOSE(CONTROL!$C$21, $C$9, 100%, $E$9)</f>
        <v>25.2971</v>
      </c>
      <c r="P525" s="14">
        <f>CHOOSE(CONTROL!$C$42, 25.1577, 25.1577) * CHOOSE(CONTROL!$C$21, $C$9, 100%, $E$9)</f>
        <v>25.157699999999998</v>
      </c>
      <c r="Q525" s="14">
        <f>CHOOSE(CONTROL!$C$42, 25.8918, 25.8918) * CHOOSE(CONTROL!$C$21, $C$9, 100%, $E$9)</f>
        <v>25.8918</v>
      </c>
      <c r="R525" s="14">
        <f>CHOOSE(CONTROL!$C$42, 26.5436, 26.5436) * CHOOSE(CONTROL!$C$21, $C$9, 100%, $E$9)</f>
        <v>26.543600000000001</v>
      </c>
      <c r="S525" s="14">
        <f>CHOOSE(CONTROL!$C$42, 24.5593, 24.5593) * CHOOSE(CONTROL!$C$21, $C$9, 100%, $E$9)</f>
        <v>24.5593</v>
      </c>
      <c r="T52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25" s="57">
        <f>(1000*CHOOSE(CONTROL!$C$42, 695, 695)*CHOOSE(CONTROL!$C$42, 0.5599, 0.5599)*CHOOSE(CONTROL!$C$42, 30, 30))/1000000</f>
        <v>11.673914999999997</v>
      </c>
      <c r="V525" s="57">
        <f>(1000*CHOOSE(CONTROL!$C$42, 500, 500)*CHOOSE(CONTROL!$C$42, 0.275, 0.275)*CHOOSE(CONTROL!$C$42, 30, 30))/1000000</f>
        <v>4.125</v>
      </c>
      <c r="W525" s="57">
        <f>(1000*CHOOSE(CONTROL!$C$42, 0.1146, 0.1146)*CHOOSE(CONTROL!$C$42, 121.5, 121.5)*CHOOSE(CONTROL!$C$42, 30, 30))/1000000</f>
        <v>0.417717</v>
      </c>
      <c r="X525" s="57">
        <f>(30*0.1790888*245000/1000000)+(30*0.2374*100000/1000000)</f>
        <v>2.0285026799999999</v>
      </c>
      <c r="Y525" s="57"/>
      <c r="Z525" s="14"/>
      <c r="AA525" s="56"/>
      <c r="AB525" s="50">
        <f>(B525*194.205+C525*267.466+D525*133.845+E525*53.484+F525*40+G525*185+H525*0+I525*100+J525*300)/(194.205+267.466+133.845+53.484+0+40+185+100+300)</f>
        <v>25.626993574960753</v>
      </c>
      <c r="AC525" s="45">
        <f>(M525*'RAP TEMPLATE-GAS AVAILABILITY'!O524+N525*'RAP TEMPLATE-GAS AVAILABILITY'!P524+O525*'RAP TEMPLATE-GAS AVAILABILITY'!Q524+P525*'RAP TEMPLATE-GAS AVAILABILITY'!R524)/('RAP TEMPLATE-GAS AVAILABILITY'!O524+'RAP TEMPLATE-GAS AVAILABILITY'!P524+'RAP TEMPLATE-GAS AVAILABILITY'!Q524+'RAP TEMPLATE-GAS AVAILABILITY'!R524)</f>
        <v>25.152265467625899</v>
      </c>
    </row>
    <row r="526" spans="1:29" ht="15.75" x14ac:dyDescent="0.25">
      <c r="A526" s="32">
        <v>56918</v>
      </c>
      <c r="B526" s="14">
        <f>CHOOSE(CONTROL!$C$42, 25.0491, 25.0491) * CHOOSE(CONTROL!$C$21, $C$9, 100%, $E$9)</f>
        <v>25.049099999999999</v>
      </c>
      <c r="C526" s="14">
        <f>CHOOSE(CONTROL!$C$42, 25.0544, 25.0544) * CHOOSE(CONTROL!$C$21, $C$9, 100%, $E$9)</f>
        <v>25.054400000000001</v>
      </c>
      <c r="D526" s="14">
        <f>CHOOSE(CONTROL!$C$42, 25.2799, 25.2799) * CHOOSE(CONTROL!$C$21, $C$9, 100%, $E$9)</f>
        <v>25.279900000000001</v>
      </c>
      <c r="E526" s="14">
        <f>CHOOSE(CONTROL!$C$42, 25.3091, 25.3091) * CHOOSE(CONTROL!$C$21, $C$9, 100%, $E$9)</f>
        <v>25.309100000000001</v>
      </c>
      <c r="F526" s="14">
        <f>CHOOSE(CONTROL!$C$42, 25.0784, 25.0784)*CHOOSE(CONTROL!$C$21, $C$9, 100%, $E$9)</f>
        <v>25.078399999999998</v>
      </c>
      <c r="G526" s="14">
        <f>CHOOSE(CONTROL!$C$42, 25.0957, 25.0957)*CHOOSE(CONTROL!$C$21, $C$9, 100%, $E$9)</f>
        <v>25.095700000000001</v>
      </c>
      <c r="H526" s="14">
        <f>CHOOSE(CONTROL!$C$42, 25.2995, 25.2995) * CHOOSE(CONTROL!$C$21, $C$9, 100%, $E$9)</f>
        <v>25.299499999999998</v>
      </c>
      <c r="I526" s="14">
        <f>CHOOSE(CONTROL!$C$42, 25.1572, 25.1572)* CHOOSE(CONTROL!$C$21, $C$9, 100%, $E$9)</f>
        <v>25.1572</v>
      </c>
      <c r="J526" s="14">
        <f>CHOOSE(CONTROL!$C$42, 25.0714, 25.0714)* CHOOSE(CONTROL!$C$21, $C$9, 100%, $E$9)</f>
        <v>25.071400000000001</v>
      </c>
      <c r="K526" s="53">
        <f>CHOOSE(CONTROL!$C$42, 25.1533, 25.1533) * CHOOSE(CONTROL!$C$21, $C$9, 100%, $E$9)</f>
        <v>25.153300000000002</v>
      </c>
      <c r="L526" s="14">
        <f>CHOOSE(CONTROL!$C$42, 25.8865, 25.8865) * CHOOSE(CONTROL!$C$21, $C$9, 100%, $E$9)</f>
        <v>25.886500000000002</v>
      </c>
      <c r="M526" s="14">
        <f>CHOOSE(CONTROL!$C$42, 24.5654, 24.5654) * CHOOSE(CONTROL!$C$21, $C$9, 100%, $E$9)</f>
        <v>24.5654</v>
      </c>
      <c r="N526" s="14">
        <f>CHOOSE(CONTROL!$C$42, 24.5823, 24.5823) * CHOOSE(CONTROL!$C$21, $C$9, 100%, $E$9)</f>
        <v>24.5823</v>
      </c>
      <c r="O526" s="14">
        <f>CHOOSE(CONTROL!$C$42, 24.7888, 24.7888) * CHOOSE(CONTROL!$C$21, $C$9, 100%, $E$9)</f>
        <v>24.788799999999998</v>
      </c>
      <c r="P526" s="14">
        <f>CHOOSE(CONTROL!$C$42, 24.6479, 24.6479) * CHOOSE(CONTROL!$C$21, $C$9, 100%, $E$9)</f>
        <v>24.6479</v>
      </c>
      <c r="Q526" s="14">
        <f>CHOOSE(CONTROL!$C$42, 25.3835, 25.3835) * CHOOSE(CONTROL!$C$21, $C$9, 100%, $E$9)</f>
        <v>25.383500000000002</v>
      </c>
      <c r="R526" s="14">
        <f>CHOOSE(CONTROL!$C$42, 26.034, 26.034) * CHOOSE(CONTROL!$C$21, $C$9, 100%, $E$9)</f>
        <v>26.033999999999999</v>
      </c>
      <c r="S526" s="14">
        <f>CHOOSE(CONTROL!$C$42, 24.0607, 24.0607) * CHOOSE(CONTROL!$C$21, $C$9, 100%, $E$9)</f>
        <v>24.060700000000001</v>
      </c>
      <c r="T52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26" s="57">
        <f>(1000*CHOOSE(CONTROL!$C$42, 695, 695)*CHOOSE(CONTROL!$C$42, 0.5599, 0.5599)*CHOOSE(CONTROL!$C$42, 31, 31))/1000000</f>
        <v>12.063045499999998</v>
      </c>
      <c r="V526" s="57">
        <f>(1000*CHOOSE(CONTROL!$C$42, 500, 500)*CHOOSE(CONTROL!$C$42, 0.275, 0.275)*CHOOSE(CONTROL!$C$42, 31, 31))/1000000</f>
        <v>4.2625000000000002</v>
      </c>
      <c r="W526" s="57">
        <f>(1000*CHOOSE(CONTROL!$C$42, 0.1146, 0.1146)*CHOOSE(CONTROL!$C$42, 121.5, 121.5)*CHOOSE(CONTROL!$C$42, 31, 31))/1000000</f>
        <v>0.43164089999999994</v>
      </c>
      <c r="X526" s="57">
        <f>(31*0.1790888*245000/1000000)+(31*0.2374*100000/1000000)</f>
        <v>2.0961194359999999</v>
      </c>
      <c r="Y526" s="57"/>
      <c r="Z526" s="14"/>
      <c r="AA526" s="56"/>
      <c r="AB526" s="50">
        <f>(B526*131.881+C526*277.167+D526*79.08+E526*125.872+F526*40+G526*185+H526*0+I526*100+J526*300)/(131.881+277.167+79.08+125.872+0+40+185+100+300)</f>
        <v>25.113458651412429</v>
      </c>
      <c r="AC526" s="45">
        <f>(M526*'RAP TEMPLATE-GAS AVAILABILITY'!O525+N526*'RAP TEMPLATE-GAS AVAILABILITY'!P525+O526*'RAP TEMPLATE-GAS AVAILABILITY'!Q525+P526*'RAP TEMPLATE-GAS AVAILABILITY'!R525)/('RAP TEMPLATE-GAS AVAILABILITY'!O525+'RAP TEMPLATE-GAS AVAILABILITY'!P525+'RAP TEMPLATE-GAS AVAILABILITY'!Q525+'RAP TEMPLATE-GAS AVAILABILITY'!R525)</f>
        <v>24.643841726618707</v>
      </c>
    </row>
    <row r="527" spans="1:29" ht="15.75" x14ac:dyDescent="0.25">
      <c r="A527" s="32">
        <v>56948</v>
      </c>
      <c r="B527" s="14">
        <f>CHOOSE(CONTROL!$C$42, 25.7083, 25.7083) * CHOOSE(CONTROL!$C$21, $C$9, 100%, $E$9)</f>
        <v>25.708300000000001</v>
      </c>
      <c r="C527" s="14">
        <f>CHOOSE(CONTROL!$C$42, 25.7133, 25.7133) * CHOOSE(CONTROL!$C$21, $C$9, 100%, $E$9)</f>
        <v>25.7133</v>
      </c>
      <c r="D527" s="14">
        <f>CHOOSE(CONTROL!$C$42, 25.7876, 25.7876) * CHOOSE(CONTROL!$C$21, $C$9, 100%, $E$9)</f>
        <v>25.787600000000001</v>
      </c>
      <c r="E527" s="14">
        <f>CHOOSE(CONTROL!$C$42, 25.8217, 25.8217) * CHOOSE(CONTROL!$C$21, $C$9, 100%, $E$9)</f>
        <v>25.8217</v>
      </c>
      <c r="F527" s="14">
        <f>CHOOSE(CONTROL!$C$42, 25.7443, 25.7443)*CHOOSE(CONTROL!$C$21, $C$9, 100%, $E$9)</f>
        <v>25.744299999999999</v>
      </c>
      <c r="G527" s="14">
        <f>CHOOSE(CONTROL!$C$42, 25.7619, 25.7619)*CHOOSE(CONTROL!$C$21, $C$9, 100%, $E$9)</f>
        <v>25.761900000000001</v>
      </c>
      <c r="H527" s="14">
        <f>CHOOSE(CONTROL!$C$42, 25.8109, 25.8109) * CHOOSE(CONTROL!$C$21, $C$9, 100%, $E$9)</f>
        <v>25.8109</v>
      </c>
      <c r="I527" s="14">
        <f>CHOOSE(CONTROL!$C$42, 25.8163, 25.8163)* CHOOSE(CONTROL!$C$21, $C$9, 100%, $E$9)</f>
        <v>25.816299999999998</v>
      </c>
      <c r="J527" s="14">
        <f>CHOOSE(CONTROL!$C$42, 25.7373, 25.7373)* CHOOSE(CONTROL!$C$21, $C$9, 100%, $E$9)</f>
        <v>25.737300000000001</v>
      </c>
      <c r="K527" s="53">
        <f>CHOOSE(CONTROL!$C$42, 25.8124, 25.8124) * CHOOSE(CONTROL!$C$21, $C$9, 100%, $E$9)</f>
        <v>25.8124</v>
      </c>
      <c r="L527" s="14">
        <f>CHOOSE(CONTROL!$C$42, 26.3979, 26.3979) * CHOOSE(CONTROL!$C$21, $C$9, 100%, $E$9)</f>
        <v>26.3979</v>
      </c>
      <c r="M527" s="14">
        <f>CHOOSE(CONTROL!$C$42, 25.2177, 25.2177) * CHOOSE(CONTROL!$C$21, $C$9, 100%, $E$9)</f>
        <v>25.217700000000001</v>
      </c>
      <c r="N527" s="14">
        <f>CHOOSE(CONTROL!$C$42, 25.2349, 25.2349) * CHOOSE(CONTROL!$C$21, $C$9, 100%, $E$9)</f>
        <v>25.2349</v>
      </c>
      <c r="O527" s="14">
        <f>CHOOSE(CONTROL!$C$42, 25.2897, 25.2897) * CHOOSE(CONTROL!$C$21, $C$9, 100%, $E$9)</f>
        <v>25.2897</v>
      </c>
      <c r="P527" s="14">
        <f>CHOOSE(CONTROL!$C$42, 25.2934, 25.2934) * CHOOSE(CONTROL!$C$21, $C$9, 100%, $E$9)</f>
        <v>25.293399999999998</v>
      </c>
      <c r="Q527" s="14">
        <f>CHOOSE(CONTROL!$C$42, 25.8844, 25.8844) * CHOOSE(CONTROL!$C$21, $C$9, 100%, $E$9)</f>
        <v>25.884399999999999</v>
      </c>
      <c r="R527" s="14">
        <f>CHOOSE(CONTROL!$C$42, 26.5361, 26.5361) * CHOOSE(CONTROL!$C$21, $C$9, 100%, $E$9)</f>
        <v>26.536100000000001</v>
      </c>
      <c r="S527" s="14">
        <f>CHOOSE(CONTROL!$C$42, 24.6946, 24.6946) * CHOOSE(CONTROL!$C$21, $C$9, 100%, $E$9)</f>
        <v>24.694600000000001</v>
      </c>
      <c r="T52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27" s="57">
        <f>(1000*CHOOSE(CONTROL!$C$42, 695, 695)*CHOOSE(CONTROL!$C$42, 0.5599, 0.5599)*CHOOSE(CONTROL!$C$42, 30, 30))/1000000</f>
        <v>11.673914999999997</v>
      </c>
      <c r="V527" s="57">
        <f>(1000*CHOOSE(CONTROL!$C$42, 500, 500)*CHOOSE(CONTROL!$C$42, 0.275, 0.275)*CHOOSE(CONTROL!$C$42, 30, 30))/1000000</f>
        <v>4.125</v>
      </c>
      <c r="W527" s="57">
        <f>(1000*CHOOSE(CONTROL!$C$42, 0.1146, 0.1146)*CHOOSE(CONTROL!$C$42, 121.5, 121.5)*CHOOSE(CONTROL!$C$42, 30, 30))/1000000</f>
        <v>0.417717</v>
      </c>
      <c r="X527" s="57">
        <f>(30*0.1790888*100000/1000000)+(30*0.2374*100000/1000000)</f>
        <v>1.2494664</v>
      </c>
      <c r="Y527" s="57"/>
      <c r="Z527" s="14"/>
      <c r="AA527" s="56"/>
      <c r="AB527" s="50">
        <f>(B527*122.58+C527*297.941+D527*89.177+E527*40.302+F527*40+G527*160+H527*0+I527*100+J527*300)/(122.58+297.941+89.177+40.302+0+40+160+100+300)</f>
        <v>25.745384945999994</v>
      </c>
      <c r="AC527" s="45">
        <f>(M527*'RAP TEMPLATE-GAS AVAILABILITY'!O526+N527*'RAP TEMPLATE-GAS AVAILABILITY'!P526+O527*'RAP TEMPLATE-GAS AVAILABILITY'!Q526+P527*'RAP TEMPLATE-GAS AVAILABILITY'!R526)/('RAP TEMPLATE-GAS AVAILABILITY'!O526+'RAP TEMPLATE-GAS AVAILABILITY'!P526+'RAP TEMPLATE-GAS AVAILABILITY'!Q526+'RAP TEMPLATE-GAS AVAILABILITY'!R526)</f>
        <v>25.262215107913669</v>
      </c>
    </row>
    <row r="528" spans="1:29" ht="15.75" x14ac:dyDescent="0.25">
      <c r="A528" s="32">
        <v>56979</v>
      </c>
      <c r="B528" s="14">
        <f>CHOOSE(CONTROL!$C$42, 27.4604, 27.4604) * CHOOSE(CONTROL!$C$21, $C$9, 100%, $E$9)</f>
        <v>27.4604</v>
      </c>
      <c r="C528" s="14">
        <f>CHOOSE(CONTROL!$C$42, 27.4655, 27.4655) * CHOOSE(CONTROL!$C$21, $C$9, 100%, $E$9)</f>
        <v>27.465499999999999</v>
      </c>
      <c r="D528" s="14">
        <f>CHOOSE(CONTROL!$C$42, 27.5397, 27.5397) * CHOOSE(CONTROL!$C$21, $C$9, 100%, $E$9)</f>
        <v>27.5397</v>
      </c>
      <c r="E528" s="14">
        <f>CHOOSE(CONTROL!$C$42, 27.5738, 27.5738) * CHOOSE(CONTROL!$C$21, $C$9, 100%, $E$9)</f>
        <v>27.573799999999999</v>
      </c>
      <c r="F528" s="14">
        <f>CHOOSE(CONTROL!$C$42, 27.4988, 27.4988)*CHOOSE(CONTROL!$C$21, $C$9, 100%, $E$9)</f>
        <v>27.498799999999999</v>
      </c>
      <c r="G528" s="14">
        <f>CHOOSE(CONTROL!$C$42, 27.517, 27.517)*CHOOSE(CONTROL!$C$21, $C$9, 100%, $E$9)</f>
        <v>27.516999999999999</v>
      </c>
      <c r="H528" s="14">
        <f>CHOOSE(CONTROL!$C$42, 27.563, 27.563) * CHOOSE(CONTROL!$C$21, $C$9, 100%, $E$9)</f>
        <v>27.562999999999999</v>
      </c>
      <c r="I528" s="14">
        <f>CHOOSE(CONTROL!$C$42, 27.5739, 27.5739)* CHOOSE(CONTROL!$C$21, $C$9, 100%, $E$9)</f>
        <v>27.573899999999998</v>
      </c>
      <c r="J528" s="14">
        <f>CHOOSE(CONTROL!$C$42, 27.4918, 27.4918)* CHOOSE(CONTROL!$C$21, $C$9, 100%, $E$9)</f>
        <v>27.491800000000001</v>
      </c>
      <c r="K528" s="53">
        <f>CHOOSE(CONTROL!$C$42, 27.57, 27.57) * CHOOSE(CONTROL!$C$21, $C$9, 100%, $E$9)</f>
        <v>27.57</v>
      </c>
      <c r="L528" s="14">
        <f>CHOOSE(CONTROL!$C$42, 28.15, 28.15) * CHOOSE(CONTROL!$C$21, $C$9, 100%, $E$9)</f>
        <v>28.15</v>
      </c>
      <c r="M528" s="14">
        <f>CHOOSE(CONTROL!$C$42, 26.9362, 26.9362) * CHOOSE(CONTROL!$C$21, $C$9, 100%, $E$9)</f>
        <v>26.936199999999999</v>
      </c>
      <c r="N528" s="14">
        <f>CHOOSE(CONTROL!$C$42, 26.954, 26.954) * CHOOSE(CONTROL!$C$21, $C$9, 100%, $E$9)</f>
        <v>26.954000000000001</v>
      </c>
      <c r="O528" s="14">
        <f>CHOOSE(CONTROL!$C$42, 27.0059, 27.0059) * CHOOSE(CONTROL!$C$21, $C$9, 100%, $E$9)</f>
        <v>27.0059</v>
      </c>
      <c r="P528" s="14">
        <f>CHOOSE(CONTROL!$C$42, 27.0149, 27.0149) * CHOOSE(CONTROL!$C$21, $C$9, 100%, $E$9)</f>
        <v>27.014900000000001</v>
      </c>
      <c r="Q528" s="14">
        <f>CHOOSE(CONTROL!$C$42, 27.6006, 27.6006) * CHOOSE(CONTROL!$C$21, $C$9, 100%, $E$9)</f>
        <v>27.6006</v>
      </c>
      <c r="R528" s="14">
        <f>CHOOSE(CONTROL!$C$42, 28.2566, 28.2566) * CHOOSE(CONTROL!$C$21, $C$9, 100%, $E$9)</f>
        <v>28.256599999999999</v>
      </c>
      <c r="S528" s="14">
        <f>CHOOSE(CONTROL!$C$42, 26.3782, 26.3782) * CHOOSE(CONTROL!$C$21, $C$9, 100%, $E$9)</f>
        <v>26.3782</v>
      </c>
      <c r="T52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28" s="57">
        <f>(1000*CHOOSE(CONTROL!$C$42, 695, 695)*CHOOSE(CONTROL!$C$42, 0.5599, 0.5599)*CHOOSE(CONTROL!$C$42, 31, 31))/1000000</f>
        <v>12.063045499999998</v>
      </c>
      <c r="V528" s="57">
        <f>(1000*CHOOSE(CONTROL!$C$42, 500, 500)*CHOOSE(CONTROL!$C$42, 0.275, 0.275)*CHOOSE(CONTROL!$C$42, 31, 31))/1000000</f>
        <v>4.2625000000000002</v>
      </c>
      <c r="W528" s="57">
        <f>(1000*CHOOSE(CONTROL!$C$42, 0.1146, 0.1146)*CHOOSE(CONTROL!$C$42, 121.5, 121.5)*CHOOSE(CONTROL!$C$42, 31, 31))/1000000</f>
        <v>0.43164089999999994</v>
      </c>
      <c r="X528" s="57">
        <f>(31*0.1790888*100000/1000000)+(31*0.2374*100000/1000000)</f>
        <v>1.2911152800000001</v>
      </c>
      <c r="Y528" s="57"/>
      <c r="Z528" s="14"/>
      <c r="AA528" s="56"/>
      <c r="AB528" s="50">
        <f>(B528*122.58+C528*297.941+D528*89.177+E528*40.302+F528*40+G528*160+H528*0+I528*100+J528*300)/(122.58+297.941+89.177+40.302+0+40+160+100+300)</f>
        <v>27.499116071304346</v>
      </c>
      <c r="AC528" s="45">
        <f>(M528*'RAP TEMPLATE-GAS AVAILABILITY'!O527+N528*'RAP TEMPLATE-GAS AVAILABILITY'!P527+O528*'RAP TEMPLATE-GAS AVAILABILITY'!Q527+P528*'RAP TEMPLATE-GAS AVAILABILITY'!R527)/('RAP TEMPLATE-GAS AVAILABILITY'!O527+'RAP TEMPLATE-GAS AVAILABILITY'!P527+'RAP TEMPLATE-GAS AVAILABILITY'!Q527+'RAP TEMPLATE-GAS AVAILABILITY'!R527)</f>
        <v>26.980138848920866</v>
      </c>
    </row>
    <row r="529" spans="1:29" ht="15.75" x14ac:dyDescent="0.25">
      <c r="A529" s="32">
        <v>57010</v>
      </c>
      <c r="B529" s="14">
        <f>CHOOSE(CONTROL!$C$42, 29.7361, 29.7361) * CHOOSE(CONTROL!$C$21, $C$9, 100%, $E$9)</f>
        <v>29.7361</v>
      </c>
      <c r="C529" s="14">
        <f>CHOOSE(CONTROL!$C$42, 29.7412, 29.7412) * CHOOSE(CONTROL!$C$21, $C$9, 100%, $E$9)</f>
        <v>29.741199999999999</v>
      </c>
      <c r="D529" s="14">
        <f>CHOOSE(CONTROL!$C$42, 29.818, 29.818) * CHOOSE(CONTROL!$C$21, $C$9, 100%, $E$9)</f>
        <v>29.818000000000001</v>
      </c>
      <c r="E529" s="14">
        <f>CHOOSE(CONTROL!$C$42, 29.8521, 29.8521) * CHOOSE(CONTROL!$C$21, $C$9, 100%, $E$9)</f>
        <v>29.8521</v>
      </c>
      <c r="F529" s="14">
        <f>CHOOSE(CONTROL!$C$42, 29.7608, 29.7608)*CHOOSE(CONTROL!$C$21, $C$9, 100%, $E$9)</f>
        <v>29.7608</v>
      </c>
      <c r="G529" s="14">
        <f>CHOOSE(CONTROL!$C$42, 29.7788, 29.7788)*CHOOSE(CONTROL!$C$21, $C$9, 100%, $E$9)</f>
        <v>29.7788</v>
      </c>
      <c r="H529" s="14">
        <f>CHOOSE(CONTROL!$C$42, 29.8413, 29.8413) * CHOOSE(CONTROL!$C$21, $C$9, 100%, $E$9)</f>
        <v>29.8413</v>
      </c>
      <c r="I529" s="14">
        <f>CHOOSE(CONTROL!$C$42, 29.863, 29.863)* CHOOSE(CONTROL!$C$21, $C$9, 100%, $E$9)</f>
        <v>29.863</v>
      </c>
      <c r="J529" s="14">
        <f>CHOOSE(CONTROL!$C$42, 29.7538, 29.7538)* CHOOSE(CONTROL!$C$21, $C$9, 100%, $E$9)</f>
        <v>29.753799999999998</v>
      </c>
      <c r="K529" s="53">
        <f>CHOOSE(CONTROL!$C$42, 29.8591, 29.8591) * CHOOSE(CONTROL!$C$21, $C$9, 100%, $E$9)</f>
        <v>29.859100000000002</v>
      </c>
      <c r="L529" s="14">
        <f>CHOOSE(CONTROL!$C$42, 30.4283, 30.4283) * CHOOSE(CONTROL!$C$21, $C$9, 100%, $E$9)</f>
        <v>30.4283</v>
      </c>
      <c r="M529" s="14">
        <f>CHOOSE(CONTROL!$C$42, 29.1519, 29.1519) * CHOOSE(CONTROL!$C$21, $C$9, 100%, $E$9)</f>
        <v>29.151900000000001</v>
      </c>
      <c r="N529" s="14">
        <f>CHOOSE(CONTROL!$C$42, 29.1695, 29.1695) * CHOOSE(CONTROL!$C$21, $C$9, 100%, $E$9)</f>
        <v>29.169499999999999</v>
      </c>
      <c r="O529" s="14">
        <f>CHOOSE(CONTROL!$C$42, 29.2376, 29.2376) * CHOOSE(CONTROL!$C$21, $C$9, 100%, $E$9)</f>
        <v>29.2376</v>
      </c>
      <c r="P529" s="14">
        <f>CHOOSE(CONTROL!$C$42, 29.257, 29.257) * CHOOSE(CONTROL!$C$21, $C$9, 100%, $E$9)</f>
        <v>29.257000000000001</v>
      </c>
      <c r="Q529" s="14">
        <f>CHOOSE(CONTROL!$C$42, 29.8323, 29.8323) * CHOOSE(CONTROL!$C$21, $C$9, 100%, $E$9)</f>
        <v>29.8323</v>
      </c>
      <c r="R529" s="14">
        <f>CHOOSE(CONTROL!$C$42, 30.4938, 30.4938) * CHOOSE(CONTROL!$C$21, $C$9, 100%, $E$9)</f>
        <v>30.4938</v>
      </c>
      <c r="S529" s="14">
        <f>CHOOSE(CONTROL!$C$42, 28.5649, 28.5649) * CHOOSE(CONTROL!$C$21, $C$9, 100%, $E$9)</f>
        <v>28.564900000000002</v>
      </c>
      <c r="T52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29" s="57">
        <f>(1000*CHOOSE(CONTROL!$C$42, 695, 695)*CHOOSE(CONTROL!$C$42, 0.5599, 0.5599)*CHOOSE(CONTROL!$C$42, 31, 31))/1000000</f>
        <v>12.063045499999998</v>
      </c>
      <c r="V529" s="57">
        <f>(1000*CHOOSE(CONTROL!$C$42, 500, 500)*CHOOSE(CONTROL!$C$42, 0.275, 0.275)*CHOOSE(CONTROL!$C$42, 31, 31))/1000000</f>
        <v>4.2625000000000002</v>
      </c>
      <c r="W529" s="57">
        <f>(1000*CHOOSE(CONTROL!$C$42, 0.1146, 0.1146)*CHOOSE(CONTROL!$C$42, 121.5, 121.5)*CHOOSE(CONTROL!$C$42, 31, 31))/1000000</f>
        <v>0.43164089999999994</v>
      </c>
      <c r="X529" s="57">
        <f>(31*0.1790888*100000/1000000)+(31*0.2374*100000/1000000)</f>
        <v>1.2911152800000001</v>
      </c>
      <c r="Y529" s="57"/>
      <c r="Z529" s="14"/>
      <c r="AA529" s="56"/>
      <c r="AB529" s="50">
        <f>(B529*122.58+C529*297.941+D529*89.177+E529*40.302+F529*40+G529*160+H529*0+I529*100+J529*300)/(122.58+297.941+89.177+40.302+0+40+160+100+300)</f>
        <v>29.770289675999994</v>
      </c>
      <c r="AC529" s="45">
        <f>(M529*'RAP TEMPLATE-GAS AVAILABILITY'!O528+N529*'RAP TEMPLATE-GAS AVAILABILITY'!P528+O529*'RAP TEMPLATE-GAS AVAILABILITY'!Q528+P529*'RAP TEMPLATE-GAS AVAILABILITY'!R528)/('RAP TEMPLATE-GAS AVAILABILITY'!O528+'RAP TEMPLATE-GAS AVAILABILITY'!P528+'RAP TEMPLATE-GAS AVAILABILITY'!Q528+'RAP TEMPLATE-GAS AVAILABILITY'!R528)</f>
        <v>29.20687769784173</v>
      </c>
    </row>
    <row r="530" spans="1:29" ht="15.75" x14ac:dyDescent="0.25">
      <c r="A530" s="32">
        <v>57038</v>
      </c>
      <c r="B530" s="14">
        <f>CHOOSE(CONTROL!$C$42, 30.2653, 30.2653) * CHOOSE(CONTROL!$C$21, $C$9, 100%, $E$9)</f>
        <v>30.2653</v>
      </c>
      <c r="C530" s="14">
        <f>CHOOSE(CONTROL!$C$42, 30.2703, 30.2703) * CHOOSE(CONTROL!$C$21, $C$9, 100%, $E$9)</f>
        <v>30.270299999999999</v>
      </c>
      <c r="D530" s="14">
        <f>CHOOSE(CONTROL!$C$42, 30.3472, 30.3472) * CHOOSE(CONTROL!$C$21, $C$9, 100%, $E$9)</f>
        <v>30.347200000000001</v>
      </c>
      <c r="E530" s="14">
        <f>CHOOSE(CONTROL!$C$42, 30.3813, 30.3813) * CHOOSE(CONTROL!$C$21, $C$9, 100%, $E$9)</f>
        <v>30.3813</v>
      </c>
      <c r="F530" s="14">
        <f>CHOOSE(CONTROL!$C$42, 30.2896, 30.2896)*CHOOSE(CONTROL!$C$21, $C$9, 100%, $E$9)</f>
        <v>30.2896</v>
      </c>
      <c r="G530" s="14">
        <f>CHOOSE(CONTROL!$C$42, 30.3075, 30.3075)*CHOOSE(CONTROL!$C$21, $C$9, 100%, $E$9)</f>
        <v>30.307500000000001</v>
      </c>
      <c r="H530" s="14">
        <f>CHOOSE(CONTROL!$C$42, 30.3705, 30.3705) * CHOOSE(CONTROL!$C$21, $C$9, 100%, $E$9)</f>
        <v>30.3705</v>
      </c>
      <c r="I530" s="14">
        <f>CHOOSE(CONTROL!$C$42, 30.3938, 30.3938)* CHOOSE(CONTROL!$C$21, $C$9, 100%, $E$9)</f>
        <v>30.393799999999999</v>
      </c>
      <c r="J530" s="14">
        <f>CHOOSE(CONTROL!$C$42, 30.2826, 30.2826)* CHOOSE(CONTROL!$C$21, $C$9, 100%, $E$9)</f>
        <v>30.282599999999999</v>
      </c>
      <c r="K530" s="53">
        <f>CHOOSE(CONTROL!$C$42, 30.3899, 30.3899) * CHOOSE(CONTROL!$C$21, $C$9, 100%, $E$9)</f>
        <v>30.389900000000001</v>
      </c>
      <c r="L530" s="14">
        <f>CHOOSE(CONTROL!$C$42, 30.9575, 30.9575) * CHOOSE(CONTROL!$C$21, $C$9, 100%, $E$9)</f>
        <v>30.9575</v>
      </c>
      <c r="M530" s="14">
        <f>CHOOSE(CONTROL!$C$42, 29.6698, 29.6698) * CHOOSE(CONTROL!$C$21, $C$9, 100%, $E$9)</f>
        <v>29.669799999999999</v>
      </c>
      <c r="N530" s="14">
        <f>CHOOSE(CONTROL!$C$42, 29.6873, 29.6873) * CHOOSE(CONTROL!$C$21, $C$9, 100%, $E$9)</f>
        <v>29.6873</v>
      </c>
      <c r="O530" s="14">
        <f>CHOOSE(CONTROL!$C$42, 29.7559, 29.7559) * CHOOSE(CONTROL!$C$21, $C$9, 100%, $E$9)</f>
        <v>29.7559</v>
      </c>
      <c r="P530" s="14">
        <f>CHOOSE(CONTROL!$C$42, 29.7769, 29.7769) * CHOOSE(CONTROL!$C$21, $C$9, 100%, $E$9)</f>
        <v>29.776900000000001</v>
      </c>
      <c r="Q530" s="14">
        <f>CHOOSE(CONTROL!$C$42, 30.3506, 30.3506) * CHOOSE(CONTROL!$C$21, $C$9, 100%, $E$9)</f>
        <v>30.3506</v>
      </c>
      <c r="R530" s="14">
        <f>CHOOSE(CONTROL!$C$42, 31.0135, 31.0135) * CHOOSE(CONTROL!$C$21, $C$9, 100%, $E$9)</f>
        <v>31.013500000000001</v>
      </c>
      <c r="S530" s="14">
        <f>CHOOSE(CONTROL!$C$42, 29.0734, 29.0734) * CHOOSE(CONTROL!$C$21, $C$9, 100%, $E$9)</f>
        <v>29.073399999999999</v>
      </c>
      <c r="T53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30" s="57">
        <f>(1000*CHOOSE(CONTROL!$C$42, 695, 695)*CHOOSE(CONTROL!$C$42, 0.5599, 0.5599)*CHOOSE(CONTROL!$C$42, 29, 29))/1000000</f>
        <v>11.284784499999999</v>
      </c>
      <c r="V530" s="57">
        <f>(1000*CHOOSE(CONTROL!$C$42, 500, 500)*CHOOSE(CONTROL!$C$42, 0.275, 0.275)*CHOOSE(CONTROL!$C$42, 29, 29))/1000000</f>
        <v>3.9874999999999998</v>
      </c>
      <c r="W530" s="57">
        <f>(1000*CHOOSE(CONTROL!$C$42, 0.1146, 0.1146)*CHOOSE(CONTROL!$C$42, 121.5, 121.5)*CHOOSE(CONTROL!$C$42, 29, 29))/1000000</f>
        <v>0.40379309999999996</v>
      </c>
      <c r="X530" s="57">
        <f>(29*0.1790888*100000/1000000)+(29*0.2374*100000/1000000)</f>
        <v>1.2078175199999999</v>
      </c>
      <c r="Y530" s="57"/>
      <c r="Z530" s="14"/>
      <c r="AA530" s="56"/>
      <c r="AB530" s="50">
        <f>(B530*122.58+C530*297.941+D530*89.177+E530*40.302+F530*40+G530*160+H530*0+I530*100+J530*300)/(122.58+297.941+89.177+40.302+0+40+160+100+300)</f>
        <v>30.29941507243478</v>
      </c>
      <c r="AC530" s="45">
        <f>(M530*'RAP TEMPLATE-GAS AVAILABILITY'!O529+N530*'RAP TEMPLATE-GAS AVAILABILITY'!P529+O530*'RAP TEMPLATE-GAS AVAILABILITY'!Q529+P530*'RAP TEMPLATE-GAS AVAILABILITY'!R529)/('RAP TEMPLATE-GAS AVAILABILITY'!O529+'RAP TEMPLATE-GAS AVAILABILITY'!P529+'RAP TEMPLATE-GAS AVAILABILITY'!Q529+'RAP TEMPLATE-GAS AVAILABILITY'!R529)</f>
        <v>29.725241007194246</v>
      </c>
    </row>
    <row r="531" spans="1:29" ht="15.75" x14ac:dyDescent="0.25">
      <c r="A531" s="32">
        <v>57070</v>
      </c>
      <c r="B531" s="14">
        <f>CHOOSE(CONTROL!$C$42, 29.4063, 29.4063) * CHOOSE(CONTROL!$C$21, $C$9, 100%, $E$9)</f>
        <v>29.406300000000002</v>
      </c>
      <c r="C531" s="14">
        <f>CHOOSE(CONTROL!$C$42, 29.4114, 29.4114) * CHOOSE(CONTROL!$C$21, $C$9, 100%, $E$9)</f>
        <v>29.4114</v>
      </c>
      <c r="D531" s="14">
        <f>CHOOSE(CONTROL!$C$42, 29.4882, 29.4882) * CHOOSE(CONTROL!$C$21, $C$9, 100%, $E$9)</f>
        <v>29.488199999999999</v>
      </c>
      <c r="E531" s="14">
        <f>CHOOSE(CONTROL!$C$42, 29.5223, 29.5223) * CHOOSE(CONTROL!$C$21, $C$9, 100%, $E$9)</f>
        <v>29.522300000000001</v>
      </c>
      <c r="F531" s="14">
        <f>CHOOSE(CONTROL!$C$42, 29.4298, 29.4298)*CHOOSE(CONTROL!$C$21, $C$9, 100%, $E$9)</f>
        <v>29.4298</v>
      </c>
      <c r="G531" s="14">
        <f>CHOOSE(CONTROL!$C$42, 29.4474, 29.4474)*CHOOSE(CONTROL!$C$21, $C$9, 100%, $E$9)</f>
        <v>29.447399999999998</v>
      </c>
      <c r="H531" s="14">
        <f>CHOOSE(CONTROL!$C$42, 29.5115, 29.5115) * CHOOSE(CONTROL!$C$21, $C$9, 100%, $E$9)</f>
        <v>29.511500000000002</v>
      </c>
      <c r="I531" s="14">
        <f>CHOOSE(CONTROL!$C$42, 29.5321, 29.5321)* CHOOSE(CONTROL!$C$21, $C$9, 100%, $E$9)</f>
        <v>29.5321</v>
      </c>
      <c r="J531" s="14">
        <f>CHOOSE(CONTROL!$C$42, 29.4228, 29.4228)* CHOOSE(CONTROL!$C$21, $C$9, 100%, $E$9)</f>
        <v>29.422799999999999</v>
      </c>
      <c r="K531" s="53">
        <f>CHOOSE(CONTROL!$C$42, 29.5282, 29.5282) * CHOOSE(CONTROL!$C$21, $C$9, 100%, $E$9)</f>
        <v>29.528199999999998</v>
      </c>
      <c r="L531" s="14">
        <f>CHOOSE(CONTROL!$C$42, 30.0985, 30.0985) * CHOOSE(CONTROL!$C$21, $C$9, 100%, $E$9)</f>
        <v>30.098500000000001</v>
      </c>
      <c r="M531" s="14">
        <f>CHOOSE(CONTROL!$C$42, 28.8276, 28.8276) * CHOOSE(CONTROL!$C$21, $C$9, 100%, $E$9)</f>
        <v>28.8276</v>
      </c>
      <c r="N531" s="14">
        <f>CHOOSE(CONTROL!$C$42, 28.8449, 28.8449) * CHOOSE(CONTROL!$C$21, $C$9, 100%, $E$9)</f>
        <v>28.844899999999999</v>
      </c>
      <c r="O531" s="14">
        <f>CHOOSE(CONTROL!$C$42, 28.9145, 28.9145) * CHOOSE(CONTROL!$C$21, $C$9, 100%, $E$9)</f>
        <v>28.9145</v>
      </c>
      <c r="P531" s="14">
        <f>CHOOSE(CONTROL!$C$42, 28.9329, 28.9329) * CHOOSE(CONTROL!$C$21, $C$9, 100%, $E$9)</f>
        <v>28.9329</v>
      </c>
      <c r="Q531" s="14">
        <f>CHOOSE(CONTROL!$C$42, 29.5092, 29.5092) * CHOOSE(CONTROL!$C$21, $C$9, 100%, $E$9)</f>
        <v>29.5092</v>
      </c>
      <c r="R531" s="14">
        <f>CHOOSE(CONTROL!$C$42, 30.17, 30.17) * CHOOSE(CONTROL!$C$21, $C$9, 100%, $E$9)</f>
        <v>30.17</v>
      </c>
      <c r="S531" s="14">
        <f>CHOOSE(CONTROL!$C$42, 28.248, 28.248) * CHOOSE(CONTROL!$C$21, $C$9, 100%, $E$9)</f>
        <v>28.248000000000001</v>
      </c>
      <c r="T53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31" s="57">
        <f>(1000*CHOOSE(CONTROL!$C$42, 695, 695)*CHOOSE(CONTROL!$C$42, 0.5599, 0.5599)*CHOOSE(CONTROL!$C$42, 31, 31))/1000000</f>
        <v>12.063045499999998</v>
      </c>
      <c r="V531" s="57">
        <f>(1000*CHOOSE(CONTROL!$C$42, 500, 500)*CHOOSE(CONTROL!$C$42, 0.275, 0.275)*CHOOSE(CONTROL!$C$42, 31, 31))/1000000</f>
        <v>4.2625000000000002</v>
      </c>
      <c r="W531" s="57">
        <f>(1000*CHOOSE(CONTROL!$C$42, 0.1146, 0.1146)*CHOOSE(CONTROL!$C$42, 121.5, 121.5)*CHOOSE(CONTROL!$C$42, 31, 31))/1000000</f>
        <v>0.43164089999999994</v>
      </c>
      <c r="X531" s="57">
        <f>(31*0.1790888*100000/1000000)+(31*0.2374*100000/1000000)</f>
        <v>1.2911152800000001</v>
      </c>
      <c r="Y531" s="57"/>
      <c r="Z531" s="14"/>
      <c r="AA531" s="56"/>
      <c r="AB531" s="50">
        <f>(B531*122.58+C531*297.941+D531*89.177+E531*40.302+F531*40+G531*160+H531*0+I531*100+J531*300)/(122.58+297.941+89.177+40.302+0+40+160+100+300)</f>
        <v>29.43981663252174</v>
      </c>
      <c r="AC531" s="45">
        <f>(M531*'RAP TEMPLATE-GAS AVAILABILITY'!O530+N531*'RAP TEMPLATE-GAS AVAILABILITY'!P530+O531*'RAP TEMPLATE-GAS AVAILABILITY'!Q530+P531*'RAP TEMPLATE-GAS AVAILABILITY'!R530)/('RAP TEMPLATE-GAS AVAILABILITY'!O530+'RAP TEMPLATE-GAS AVAILABILITY'!P530+'RAP TEMPLATE-GAS AVAILABILITY'!Q530+'RAP TEMPLATE-GAS AVAILABILITY'!R530)</f>
        <v>28.883133093525181</v>
      </c>
    </row>
    <row r="532" spans="1:29" ht="15.75" x14ac:dyDescent="0.25">
      <c r="A532" s="32">
        <v>57100</v>
      </c>
      <c r="B532" s="14">
        <f>CHOOSE(CONTROL!$C$42, 29.3193, 29.3193) * CHOOSE(CONTROL!$C$21, $C$9, 100%, $E$9)</f>
        <v>29.319299999999998</v>
      </c>
      <c r="C532" s="14">
        <f>CHOOSE(CONTROL!$C$42, 29.3238, 29.3238) * CHOOSE(CONTROL!$C$21, $C$9, 100%, $E$9)</f>
        <v>29.323799999999999</v>
      </c>
      <c r="D532" s="14">
        <f>CHOOSE(CONTROL!$C$42, 29.5475, 29.5475) * CHOOSE(CONTROL!$C$21, $C$9, 100%, $E$9)</f>
        <v>29.547499999999999</v>
      </c>
      <c r="E532" s="14">
        <f>CHOOSE(CONTROL!$C$42, 29.5796, 29.5796) * CHOOSE(CONTROL!$C$21, $C$9, 100%, $E$9)</f>
        <v>29.579599999999999</v>
      </c>
      <c r="F532" s="14">
        <f>CHOOSE(CONTROL!$C$42, 29.347, 29.347)*CHOOSE(CONTROL!$C$21, $C$9, 100%, $E$9)</f>
        <v>29.347000000000001</v>
      </c>
      <c r="G532" s="14">
        <f>CHOOSE(CONTROL!$C$42, 29.3639, 29.3639)*CHOOSE(CONTROL!$C$21, $C$9, 100%, $E$9)</f>
        <v>29.363900000000001</v>
      </c>
      <c r="H532" s="14">
        <f>CHOOSE(CONTROL!$C$42, 29.5694, 29.5694) * CHOOSE(CONTROL!$C$21, $C$9, 100%, $E$9)</f>
        <v>29.569400000000002</v>
      </c>
      <c r="I532" s="14">
        <f>CHOOSE(CONTROL!$C$42, 29.4404, 29.4404)* CHOOSE(CONTROL!$C$21, $C$9, 100%, $E$9)</f>
        <v>29.4404</v>
      </c>
      <c r="J532" s="14">
        <f>CHOOSE(CONTROL!$C$42, 29.34, 29.34)* CHOOSE(CONTROL!$C$21, $C$9, 100%, $E$9)</f>
        <v>29.34</v>
      </c>
      <c r="K532" s="53">
        <f>CHOOSE(CONTROL!$C$42, 29.4365, 29.4365) * CHOOSE(CONTROL!$C$21, $C$9, 100%, $E$9)</f>
        <v>29.436499999999999</v>
      </c>
      <c r="L532" s="14">
        <f>CHOOSE(CONTROL!$C$42, 30.1564, 30.1564) * CHOOSE(CONTROL!$C$21, $C$9, 100%, $E$9)</f>
        <v>30.156400000000001</v>
      </c>
      <c r="M532" s="14">
        <f>CHOOSE(CONTROL!$C$42, 28.7465, 28.7465) * CHOOSE(CONTROL!$C$21, $C$9, 100%, $E$9)</f>
        <v>28.746500000000001</v>
      </c>
      <c r="N532" s="14">
        <f>CHOOSE(CONTROL!$C$42, 28.7631, 28.7631) * CHOOSE(CONTROL!$C$21, $C$9, 100%, $E$9)</f>
        <v>28.763100000000001</v>
      </c>
      <c r="O532" s="14">
        <f>CHOOSE(CONTROL!$C$42, 28.9712, 28.9712) * CHOOSE(CONTROL!$C$21, $C$9, 100%, $E$9)</f>
        <v>28.9712</v>
      </c>
      <c r="P532" s="14">
        <f>CHOOSE(CONTROL!$C$42, 28.8431, 28.8431) * CHOOSE(CONTROL!$C$21, $C$9, 100%, $E$9)</f>
        <v>28.8431</v>
      </c>
      <c r="Q532" s="14">
        <f>CHOOSE(CONTROL!$C$42, 29.5659, 29.5659) * CHOOSE(CONTROL!$C$21, $C$9, 100%, $E$9)</f>
        <v>29.565899999999999</v>
      </c>
      <c r="R532" s="14">
        <f>CHOOSE(CONTROL!$C$42, 30.2268, 30.2268) * CHOOSE(CONTROL!$C$21, $C$9, 100%, $E$9)</f>
        <v>30.226800000000001</v>
      </c>
      <c r="S532" s="14">
        <f>CHOOSE(CONTROL!$C$42, 28.1636, 28.1636) * CHOOSE(CONTROL!$C$21, $C$9, 100%, $E$9)</f>
        <v>28.163599999999999</v>
      </c>
      <c r="T53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32" s="57">
        <f>(1000*CHOOSE(CONTROL!$C$42, 695, 695)*CHOOSE(CONTROL!$C$42, 0.5599, 0.5599)*CHOOSE(CONTROL!$C$42, 30, 30))/1000000</f>
        <v>11.673914999999997</v>
      </c>
      <c r="V532" s="57">
        <f>(1000*CHOOSE(CONTROL!$C$42, 500, 500)*CHOOSE(CONTROL!$C$42, 0.275, 0.275)*CHOOSE(CONTROL!$C$42, 30, 30))/1000000</f>
        <v>4.125</v>
      </c>
      <c r="W532" s="57">
        <f>(1000*CHOOSE(CONTROL!$C$42, 0.1146, 0.1146)*CHOOSE(CONTROL!$C$42, 121.5, 121.5)*CHOOSE(CONTROL!$C$42, 30, 30))/1000000</f>
        <v>0.417717</v>
      </c>
      <c r="X532" s="57">
        <f>(30*0.1790888*245000/1000000)+(30*0.2374*100000/1000000)</f>
        <v>2.0285026799999999</v>
      </c>
      <c r="Y532" s="57"/>
      <c r="Z532" s="14"/>
      <c r="AA532" s="56"/>
      <c r="AB532" s="50">
        <f>(B532*141.293+C532*267.993+D532*115.016+E532*89.698+F532*40+G532*185+H532*0+I532*100+J532*300)/(141.293+267.993+115.016+89.698+0+40+185+100+300)</f>
        <v>29.382641411702991</v>
      </c>
      <c r="AC532" s="45">
        <f>(M532*'RAP TEMPLATE-GAS AVAILABILITY'!O531+N532*'RAP TEMPLATE-GAS AVAILABILITY'!P531+O532*'RAP TEMPLATE-GAS AVAILABILITY'!Q531+P532*'RAP TEMPLATE-GAS AVAILABILITY'!R531)/('RAP TEMPLATE-GAS AVAILABILITY'!O531+'RAP TEMPLATE-GAS AVAILABILITY'!P531+'RAP TEMPLATE-GAS AVAILABILITY'!Q531+'RAP TEMPLATE-GAS AVAILABILITY'!R531)</f>
        <v>28.827266187050359</v>
      </c>
    </row>
    <row r="533" spans="1:29" ht="15.75" x14ac:dyDescent="0.25">
      <c r="A533" s="32">
        <v>57131</v>
      </c>
      <c r="B533" s="14">
        <f>CHOOSE(CONTROL!$C$42, 29.5794, 29.5794) * CHOOSE(CONTROL!$C$21, $C$9, 100%, $E$9)</f>
        <v>29.5794</v>
      </c>
      <c r="C533" s="14">
        <f>CHOOSE(CONTROL!$C$42, 29.5874, 29.5874) * CHOOSE(CONTROL!$C$21, $C$9, 100%, $E$9)</f>
        <v>29.587399999999999</v>
      </c>
      <c r="D533" s="14">
        <f>CHOOSE(CONTROL!$C$42, 29.808, 29.808) * CHOOSE(CONTROL!$C$21, $C$9, 100%, $E$9)</f>
        <v>29.808</v>
      </c>
      <c r="E533" s="14">
        <f>CHOOSE(CONTROL!$C$42, 29.8394, 29.8394) * CHOOSE(CONTROL!$C$21, $C$9, 100%, $E$9)</f>
        <v>29.839400000000001</v>
      </c>
      <c r="F533" s="14">
        <f>CHOOSE(CONTROL!$C$42, 29.6056, 29.6056)*CHOOSE(CONTROL!$C$21, $C$9, 100%, $E$9)</f>
        <v>29.605599999999999</v>
      </c>
      <c r="G533" s="14">
        <f>CHOOSE(CONTROL!$C$42, 29.6228, 29.6228)*CHOOSE(CONTROL!$C$21, $C$9, 100%, $E$9)</f>
        <v>29.622800000000002</v>
      </c>
      <c r="H533" s="14">
        <f>CHOOSE(CONTROL!$C$42, 29.8281, 29.8281) * CHOOSE(CONTROL!$C$21, $C$9, 100%, $E$9)</f>
        <v>29.828099999999999</v>
      </c>
      <c r="I533" s="14">
        <f>CHOOSE(CONTROL!$C$42, 29.6999, 29.6999)* CHOOSE(CONTROL!$C$21, $C$9, 100%, $E$9)</f>
        <v>29.6999</v>
      </c>
      <c r="J533" s="14">
        <f>CHOOSE(CONTROL!$C$42, 29.5986, 29.5986)* CHOOSE(CONTROL!$C$21, $C$9, 100%, $E$9)</f>
        <v>29.598600000000001</v>
      </c>
      <c r="K533" s="53">
        <f>CHOOSE(CONTROL!$C$42, 29.696, 29.696) * CHOOSE(CONTROL!$C$21, $C$9, 100%, $E$9)</f>
        <v>29.696000000000002</v>
      </c>
      <c r="L533" s="14">
        <f>CHOOSE(CONTROL!$C$42, 30.4151, 30.4151) * CHOOSE(CONTROL!$C$21, $C$9, 100%, $E$9)</f>
        <v>30.415099999999999</v>
      </c>
      <c r="M533" s="14">
        <f>CHOOSE(CONTROL!$C$42, 28.9999, 28.9999) * CHOOSE(CONTROL!$C$21, $C$9, 100%, $E$9)</f>
        <v>28.9999</v>
      </c>
      <c r="N533" s="14">
        <f>CHOOSE(CONTROL!$C$42, 29.0166, 29.0166) * CHOOSE(CONTROL!$C$21, $C$9, 100%, $E$9)</f>
        <v>29.0166</v>
      </c>
      <c r="O533" s="14">
        <f>CHOOSE(CONTROL!$C$42, 29.2246, 29.2246) * CHOOSE(CONTROL!$C$21, $C$9, 100%, $E$9)</f>
        <v>29.224599999999999</v>
      </c>
      <c r="P533" s="14">
        <f>CHOOSE(CONTROL!$C$42, 29.0973, 29.0973) * CHOOSE(CONTROL!$C$21, $C$9, 100%, $E$9)</f>
        <v>29.097300000000001</v>
      </c>
      <c r="Q533" s="14">
        <f>CHOOSE(CONTROL!$C$42, 29.8193, 29.8193) * CHOOSE(CONTROL!$C$21, $C$9, 100%, $E$9)</f>
        <v>29.819299999999998</v>
      </c>
      <c r="R533" s="14">
        <f>CHOOSE(CONTROL!$C$42, 30.4809, 30.4809) * CHOOSE(CONTROL!$C$21, $C$9, 100%, $E$9)</f>
        <v>30.480899999999998</v>
      </c>
      <c r="S533" s="14">
        <f>CHOOSE(CONTROL!$C$42, 28.4122, 28.4122) * CHOOSE(CONTROL!$C$21, $C$9, 100%, $E$9)</f>
        <v>28.412199999999999</v>
      </c>
      <c r="T53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3" s="57">
        <f>(1000*CHOOSE(CONTROL!$C$42, 695, 695)*CHOOSE(CONTROL!$C$42, 0.5599, 0.5599)*CHOOSE(CONTROL!$C$42, 31, 31))/1000000</f>
        <v>12.063045499999998</v>
      </c>
      <c r="V533" s="57">
        <f>(1000*CHOOSE(CONTROL!$C$42, 500, 500)*CHOOSE(CONTROL!$C$42, 0.275, 0.275)*CHOOSE(CONTROL!$C$42, 31, 31))/1000000</f>
        <v>4.2625000000000002</v>
      </c>
      <c r="W533" s="57">
        <f>(1000*CHOOSE(CONTROL!$C$42, 0.1146, 0.1146)*CHOOSE(CONTROL!$C$42, 121.5, 121.5)*CHOOSE(CONTROL!$C$42, 31, 31))/1000000</f>
        <v>0.43164089999999994</v>
      </c>
      <c r="X533" s="57">
        <f>(31*0.1790888*245000/1000000)+(31*0.2374*100000/1000000)</f>
        <v>2.0961194359999999</v>
      </c>
      <c r="Y533" s="57"/>
      <c r="Z533" s="14"/>
      <c r="AA533" s="56"/>
      <c r="AB533" s="50">
        <f>(B533*194.205+C533*267.466+D533*133.845+E533*53.484+F533*40+G533*185+H533*0+I533*100+J533*300)/(194.205+267.466+133.845+53.484+0+40+185+100+300)</f>
        <v>29.637115490580847</v>
      </c>
      <c r="AC533" s="45">
        <f>(M533*'RAP TEMPLATE-GAS AVAILABILITY'!O532+N533*'RAP TEMPLATE-GAS AVAILABILITY'!P532+O533*'RAP TEMPLATE-GAS AVAILABILITY'!Q532+P533*'RAP TEMPLATE-GAS AVAILABILITY'!R532)/('RAP TEMPLATE-GAS AVAILABILITY'!O532+'RAP TEMPLATE-GAS AVAILABILITY'!P532+'RAP TEMPLATE-GAS AVAILABILITY'!Q532+'RAP TEMPLATE-GAS AVAILABILITY'!R532)</f>
        <v>29.080804316546761</v>
      </c>
    </row>
    <row r="534" spans="1:29" ht="15.75" x14ac:dyDescent="0.25">
      <c r="A534" s="32">
        <v>57161</v>
      </c>
      <c r="B534" s="14">
        <f>CHOOSE(CONTROL!$C$42, 30.4181, 30.4181) * CHOOSE(CONTROL!$C$21, $C$9, 100%, $E$9)</f>
        <v>30.418099999999999</v>
      </c>
      <c r="C534" s="14">
        <f>CHOOSE(CONTROL!$C$42, 30.4261, 30.4261) * CHOOSE(CONTROL!$C$21, $C$9, 100%, $E$9)</f>
        <v>30.426100000000002</v>
      </c>
      <c r="D534" s="14">
        <f>CHOOSE(CONTROL!$C$42, 30.6467, 30.6467) * CHOOSE(CONTROL!$C$21, $C$9, 100%, $E$9)</f>
        <v>30.646699999999999</v>
      </c>
      <c r="E534" s="14">
        <f>CHOOSE(CONTROL!$C$42, 30.6782, 30.6782) * CHOOSE(CONTROL!$C$21, $C$9, 100%, $E$9)</f>
        <v>30.6782</v>
      </c>
      <c r="F534" s="14">
        <f>CHOOSE(CONTROL!$C$42, 30.4447, 30.4447)*CHOOSE(CONTROL!$C$21, $C$9, 100%, $E$9)</f>
        <v>30.444700000000001</v>
      </c>
      <c r="G534" s="14">
        <f>CHOOSE(CONTROL!$C$42, 30.4619, 30.4619)*CHOOSE(CONTROL!$C$21, $C$9, 100%, $E$9)</f>
        <v>30.4619</v>
      </c>
      <c r="H534" s="14">
        <f>CHOOSE(CONTROL!$C$42, 30.6668, 30.6668) * CHOOSE(CONTROL!$C$21, $C$9, 100%, $E$9)</f>
        <v>30.666799999999999</v>
      </c>
      <c r="I534" s="14">
        <f>CHOOSE(CONTROL!$C$42, 30.5412, 30.5412)* CHOOSE(CONTROL!$C$21, $C$9, 100%, $E$9)</f>
        <v>30.5412</v>
      </c>
      <c r="J534" s="14">
        <f>CHOOSE(CONTROL!$C$42, 30.4377, 30.4377)* CHOOSE(CONTROL!$C$21, $C$9, 100%, $E$9)</f>
        <v>30.4377</v>
      </c>
      <c r="K534" s="53">
        <f>CHOOSE(CONTROL!$C$42, 30.5373, 30.5373) * CHOOSE(CONTROL!$C$21, $C$9, 100%, $E$9)</f>
        <v>30.537299999999998</v>
      </c>
      <c r="L534" s="14">
        <f>CHOOSE(CONTROL!$C$42, 31.2538, 31.2538) * CHOOSE(CONTROL!$C$21, $C$9, 100%, $E$9)</f>
        <v>31.253799999999998</v>
      </c>
      <c r="M534" s="14">
        <f>CHOOSE(CONTROL!$C$42, 29.8217, 29.8217) * CHOOSE(CONTROL!$C$21, $C$9, 100%, $E$9)</f>
        <v>29.8217</v>
      </c>
      <c r="N534" s="14">
        <f>CHOOSE(CONTROL!$C$42, 29.8386, 29.8386) * CHOOSE(CONTROL!$C$21, $C$9, 100%, $E$9)</f>
        <v>29.8386</v>
      </c>
      <c r="O534" s="14">
        <f>CHOOSE(CONTROL!$C$42, 30.0461, 30.0461) * CHOOSE(CONTROL!$C$21, $C$9, 100%, $E$9)</f>
        <v>30.046099999999999</v>
      </c>
      <c r="P534" s="14">
        <f>CHOOSE(CONTROL!$C$42, 29.9213, 29.9213) * CHOOSE(CONTROL!$C$21, $C$9, 100%, $E$9)</f>
        <v>29.921299999999999</v>
      </c>
      <c r="Q534" s="14">
        <f>CHOOSE(CONTROL!$C$42, 30.6408, 30.6408) * CHOOSE(CONTROL!$C$21, $C$9, 100%, $E$9)</f>
        <v>30.640799999999999</v>
      </c>
      <c r="R534" s="14">
        <f>CHOOSE(CONTROL!$C$42, 31.3044, 31.3044) * CHOOSE(CONTROL!$C$21, $C$9, 100%, $E$9)</f>
        <v>31.304400000000001</v>
      </c>
      <c r="S534" s="14">
        <f>CHOOSE(CONTROL!$C$42, 29.2181, 29.2181) * CHOOSE(CONTROL!$C$21, $C$9, 100%, $E$9)</f>
        <v>29.2181</v>
      </c>
      <c r="T53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34" s="57">
        <f>(1000*CHOOSE(CONTROL!$C$42, 695, 695)*CHOOSE(CONTROL!$C$42, 0.5599, 0.5599)*CHOOSE(CONTROL!$C$42, 30, 30))/1000000</f>
        <v>11.673914999999997</v>
      </c>
      <c r="V534" s="57">
        <f>(1000*CHOOSE(CONTROL!$C$42, 500, 500)*CHOOSE(CONTROL!$C$42, 0.275, 0.275)*CHOOSE(CONTROL!$C$42, 30, 30))/1000000</f>
        <v>4.125</v>
      </c>
      <c r="W534" s="57">
        <f>(1000*CHOOSE(CONTROL!$C$42, 0.1146, 0.1146)*CHOOSE(CONTROL!$C$42, 121.5, 121.5)*CHOOSE(CONTROL!$C$42, 30, 30))/1000000</f>
        <v>0.417717</v>
      </c>
      <c r="X534" s="57">
        <f>(30*0.1790888*245000/1000000)+(30*0.2374*100000/1000000)</f>
        <v>2.0285026799999999</v>
      </c>
      <c r="Y534" s="57"/>
      <c r="Z534" s="14"/>
      <c r="AA534" s="56"/>
      <c r="AB534" s="50">
        <f>(B534*194.205+C534*267.466+D534*133.845+E534*53.484+F534*40+G534*185+H534*0+I534*100+J534*300)/(194.205+267.466+133.845+53.484+0+40+185+100+300)</f>
        <v>30.476188605494507</v>
      </c>
      <c r="AC534" s="45">
        <f>(M534*'RAP TEMPLATE-GAS AVAILABILITY'!O533+N534*'RAP TEMPLATE-GAS AVAILABILITY'!P533+O534*'RAP TEMPLATE-GAS AVAILABILITY'!Q533+P534*'RAP TEMPLATE-GAS AVAILABILITY'!R533)/('RAP TEMPLATE-GAS AVAILABILITY'!O533+'RAP TEMPLATE-GAS AVAILABILITY'!P533+'RAP TEMPLATE-GAS AVAILABILITY'!Q533+'RAP TEMPLATE-GAS AVAILABILITY'!R533)</f>
        <v>29.902882733812948</v>
      </c>
    </row>
    <row r="535" spans="1:29" ht="15.75" x14ac:dyDescent="0.25">
      <c r="A535" s="32">
        <v>57192</v>
      </c>
      <c r="B535" s="14">
        <f>CHOOSE(CONTROL!$C$42, 29.8348, 29.8348) * CHOOSE(CONTROL!$C$21, $C$9, 100%, $E$9)</f>
        <v>29.834800000000001</v>
      </c>
      <c r="C535" s="14">
        <f>CHOOSE(CONTROL!$C$42, 29.8428, 29.8428) * CHOOSE(CONTROL!$C$21, $C$9, 100%, $E$9)</f>
        <v>29.8428</v>
      </c>
      <c r="D535" s="14">
        <f>CHOOSE(CONTROL!$C$42, 30.0634, 30.0634) * CHOOSE(CONTROL!$C$21, $C$9, 100%, $E$9)</f>
        <v>30.063400000000001</v>
      </c>
      <c r="E535" s="14">
        <f>CHOOSE(CONTROL!$C$42, 30.0948, 30.0948) * CHOOSE(CONTROL!$C$21, $C$9, 100%, $E$9)</f>
        <v>30.094799999999999</v>
      </c>
      <c r="F535" s="14">
        <f>CHOOSE(CONTROL!$C$42, 29.8618, 29.8618)*CHOOSE(CONTROL!$C$21, $C$9, 100%, $E$9)</f>
        <v>29.861799999999999</v>
      </c>
      <c r="G535" s="14">
        <f>CHOOSE(CONTROL!$C$42, 29.8792, 29.8792)*CHOOSE(CONTROL!$C$21, $C$9, 100%, $E$9)</f>
        <v>29.879200000000001</v>
      </c>
      <c r="H535" s="14">
        <f>CHOOSE(CONTROL!$C$42, 30.0835, 30.0835) * CHOOSE(CONTROL!$C$21, $C$9, 100%, $E$9)</f>
        <v>30.083500000000001</v>
      </c>
      <c r="I535" s="14">
        <f>CHOOSE(CONTROL!$C$42, 29.9561, 29.9561)* CHOOSE(CONTROL!$C$21, $C$9, 100%, $E$9)</f>
        <v>29.956099999999999</v>
      </c>
      <c r="J535" s="14">
        <f>CHOOSE(CONTROL!$C$42, 29.8548, 29.8548)* CHOOSE(CONTROL!$C$21, $C$9, 100%, $E$9)</f>
        <v>29.854800000000001</v>
      </c>
      <c r="K535" s="53">
        <f>CHOOSE(CONTROL!$C$42, 29.9522, 29.9522) * CHOOSE(CONTROL!$C$21, $C$9, 100%, $E$9)</f>
        <v>29.952200000000001</v>
      </c>
      <c r="L535" s="14">
        <f>CHOOSE(CONTROL!$C$42, 30.6705, 30.6705) * CHOOSE(CONTROL!$C$21, $C$9, 100%, $E$9)</f>
        <v>30.670500000000001</v>
      </c>
      <c r="M535" s="14">
        <f>CHOOSE(CONTROL!$C$42, 29.2508, 29.2508) * CHOOSE(CONTROL!$C$21, $C$9, 100%, $E$9)</f>
        <v>29.250800000000002</v>
      </c>
      <c r="N535" s="14">
        <f>CHOOSE(CONTROL!$C$42, 29.2678, 29.2678) * CHOOSE(CONTROL!$C$21, $C$9, 100%, $E$9)</f>
        <v>29.267800000000001</v>
      </c>
      <c r="O535" s="14">
        <f>CHOOSE(CONTROL!$C$42, 29.4748, 29.4748) * CHOOSE(CONTROL!$C$21, $C$9, 100%, $E$9)</f>
        <v>29.474799999999998</v>
      </c>
      <c r="P535" s="14">
        <f>CHOOSE(CONTROL!$C$42, 29.3482, 29.3482) * CHOOSE(CONTROL!$C$21, $C$9, 100%, $E$9)</f>
        <v>29.348199999999999</v>
      </c>
      <c r="Q535" s="14">
        <f>CHOOSE(CONTROL!$C$42, 30.0695, 30.0695) * CHOOSE(CONTROL!$C$21, $C$9, 100%, $E$9)</f>
        <v>30.069500000000001</v>
      </c>
      <c r="R535" s="14">
        <f>CHOOSE(CONTROL!$C$42, 30.7316, 30.7316) * CHOOSE(CONTROL!$C$21, $C$9, 100%, $E$9)</f>
        <v>30.7316</v>
      </c>
      <c r="S535" s="14">
        <f>CHOOSE(CONTROL!$C$42, 28.6576, 28.6576) * CHOOSE(CONTROL!$C$21, $C$9, 100%, $E$9)</f>
        <v>28.657599999999999</v>
      </c>
      <c r="T53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35" s="57">
        <f>(1000*CHOOSE(CONTROL!$C$42, 695, 695)*CHOOSE(CONTROL!$C$42, 0.5599, 0.5599)*CHOOSE(CONTROL!$C$42, 31, 31))/1000000</f>
        <v>12.063045499999998</v>
      </c>
      <c r="V535" s="57">
        <f>(1000*CHOOSE(CONTROL!$C$42, 500, 500)*CHOOSE(CONTROL!$C$42, 0.275, 0.275)*CHOOSE(CONTROL!$C$42, 31, 31))/1000000</f>
        <v>4.2625000000000002</v>
      </c>
      <c r="W535" s="57">
        <f>(1000*CHOOSE(CONTROL!$C$42, 0.1146, 0.1146)*CHOOSE(CONTROL!$C$42, 121.5, 121.5)*CHOOSE(CONTROL!$C$42, 31, 31))/1000000</f>
        <v>0.43164089999999994</v>
      </c>
      <c r="X535" s="57">
        <f>(31*0.1790888*245000/1000000)+(31*0.2374*100000/1000000)</f>
        <v>2.0961194359999999</v>
      </c>
      <c r="Y535" s="57"/>
      <c r="Z535" s="14"/>
      <c r="AA535" s="56"/>
      <c r="AB535" s="50">
        <f>(B535*194.205+C535*267.466+D535*133.845+E535*53.484+F535*40+G535*185+H535*0+I535*100+J535*300)/(194.205+267.466+133.845+53.484+0+40+185+100+300)</f>
        <v>29.892936997645215</v>
      </c>
      <c r="AC535" s="45">
        <f>(M535*'RAP TEMPLATE-GAS AVAILABILITY'!O534+N535*'RAP TEMPLATE-GAS AVAILABILITY'!P534+O535*'RAP TEMPLATE-GAS AVAILABILITY'!Q534+P535*'RAP TEMPLATE-GAS AVAILABILITY'!R534)/('RAP TEMPLATE-GAS AVAILABILITY'!O534+'RAP TEMPLATE-GAS AVAILABILITY'!P534+'RAP TEMPLATE-GAS AVAILABILITY'!Q534+'RAP TEMPLATE-GAS AVAILABILITY'!R534)</f>
        <v>29.331576978417267</v>
      </c>
    </row>
    <row r="536" spans="1:29" ht="15.75" x14ac:dyDescent="0.25">
      <c r="A536" s="32">
        <v>57223</v>
      </c>
      <c r="B536" s="14">
        <f>CHOOSE(CONTROL!$C$42, 28.3616, 28.3616) * CHOOSE(CONTROL!$C$21, $C$9, 100%, $E$9)</f>
        <v>28.361599999999999</v>
      </c>
      <c r="C536" s="14">
        <f>CHOOSE(CONTROL!$C$42, 28.3697, 28.3697) * CHOOSE(CONTROL!$C$21, $C$9, 100%, $E$9)</f>
        <v>28.369700000000002</v>
      </c>
      <c r="D536" s="14">
        <f>CHOOSE(CONTROL!$C$42, 28.5903, 28.5903) * CHOOSE(CONTROL!$C$21, $C$9, 100%, $E$9)</f>
        <v>28.590299999999999</v>
      </c>
      <c r="E536" s="14">
        <f>CHOOSE(CONTROL!$C$42, 28.6217, 28.6217) * CHOOSE(CONTROL!$C$21, $C$9, 100%, $E$9)</f>
        <v>28.621700000000001</v>
      </c>
      <c r="F536" s="14">
        <f>CHOOSE(CONTROL!$C$42, 28.389, 28.389)*CHOOSE(CONTROL!$C$21, $C$9, 100%, $E$9)</f>
        <v>28.388999999999999</v>
      </c>
      <c r="G536" s="14">
        <f>CHOOSE(CONTROL!$C$42, 28.4064, 28.4064)*CHOOSE(CONTROL!$C$21, $C$9, 100%, $E$9)</f>
        <v>28.406400000000001</v>
      </c>
      <c r="H536" s="14">
        <f>CHOOSE(CONTROL!$C$42, 28.6104, 28.6104) * CHOOSE(CONTROL!$C$21, $C$9, 100%, $E$9)</f>
        <v>28.610399999999998</v>
      </c>
      <c r="I536" s="14">
        <f>CHOOSE(CONTROL!$C$42, 28.4784, 28.4784)* CHOOSE(CONTROL!$C$21, $C$9, 100%, $E$9)</f>
        <v>28.478400000000001</v>
      </c>
      <c r="J536" s="14">
        <f>CHOOSE(CONTROL!$C$42, 28.382, 28.382)* CHOOSE(CONTROL!$C$21, $C$9, 100%, $E$9)</f>
        <v>28.382000000000001</v>
      </c>
      <c r="K536" s="53">
        <f>CHOOSE(CONTROL!$C$42, 28.4745, 28.4745) * CHOOSE(CONTROL!$C$21, $C$9, 100%, $E$9)</f>
        <v>28.474499999999999</v>
      </c>
      <c r="L536" s="14">
        <f>CHOOSE(CONTROL!$C$42, 29.1974, 29.1974) * CHOOSE(CONTROL!$C$21, $C$9, 100%, $E$9)</f>
        <v>29.197399999999998</v>
      </c>
      <c r="M536" s="14">
        <f>CHOOSE(CONTROL!$C$42, 27.8082, 27.8082) * CHOOSE(CONTROL!$C$21, $C$9, 100%, $E$9)</f>
        <v>27.808199999999999</v>
      </c>
      <c r="N536" s="14">
        <f>CHOOSE(CONTROL!$C$42, 27.8252, 27.8252) * CHOOSE(CONTROL!$C$21, $C$9, 100%, $E$9)</f>
        <v>27.825199999999999</v>
      </c>
      <c r="O536" s="14">
        <f>CHOOSE(CONTROL!$C$42, 28.0318, 28.0318) * CHOOSE(CONTROL!$C$21, $C$9, 100%, $E$9)</f>
        <v>28.0318</v>
      </c>
      <c r="P536" s="14">
        <f>CHOOSE(CONTROL!$C$42, 27.9008, 27.9008) * CHOOSE(CONTROL!$C$21, $C$9, 100%, $E$9)</f>
        <v>27.9008</v>
      </c>
      <c r="Q536" s="14">
        <f>CHOOSE(CONTROL!$C$42, 28.6265, 28.6265) * CHOOSE(CONTROL!$C$21, $C$9, 100%, $E$9)</f>
        <v>28.6265</v>
      </c>
      <c r="R536" s="14">
        <f>CHOOSE(CONTROL!$C$42, 29.2851, 29.2851) * CHOOSE(CONTROL!$C$21, $C$9, 100%, $E$9)</f>
        <v>29.2851</v>
      </c>
      <c r="S536" s="14">
        <f>CHOOSE(CONTROL!$C$42, 27.2421, 27.2421) * CHOOSE(CONTROL!$C$21, $C$9, 100%, $E$9)</f>
        <v>27.242100000000001</v>
      </c>
      <c r="T53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36" s="57">
        <f>(1000*CHOOSE(CONTROL!$C$42, 695, 695)*CHOOSE(CONTROL!$C$42, 0.5599, 0.5599)*CHOOSE(CONTROL!$C$42, 31, 31))/1000000</f>
        <v>12.063045499999998</v>
      </c>
      <c r="V536" s="57">
        <f>(1000*CHOOSE(CONTROL!$C$42, 500, 500)*CHOOSE(CONTROL!$C$42, 0.275, 0.275)*CHOOSE(CONTROL!$C$42, 31, 31))/1000000</f>
        <v>4.2625000000000002</v>
      </c>
      <c r="W536" s="57">
        <f>(1000*CHOOSE(CONTROL!$C$42, 0.1146, 0.1146)*CHOOSE(CONTROL!$C$42, 121.5, 121.5)*CHOOSE(CONTROL!$C$42, 31, 31))/1000000</f>
        <v>0.43164089999999994</v>
      </c>
      <c r="X536" s="57">
        <f>(31*0.1790888*245000/1000000)+(31*0.2374*100000/1000000)</f>
        <v>2.0961194359999999</v>
      </c>
      <c r="Y536" s="57"/>
      <c r="Z536" s="14"/>
      <c r="AA536" s="56"/>
      <c r="AB536" s="50">
        <f>(B536*194.205+C536*267.466+D536*133.845+E536*53.484+F536*40+G536*185+H536*0+I536*100+J536*300)/(194.205+267.466+133.845+53.484+0+40+185+100+300)</f>
        <v>28.419584312794349</v>
      </c>
      <c r="AC536" s="45">
        <f>(M536*'RAP TEMPLATE-GAS AVAILABILITY'!O535+N536*'RAP TEMPLATE-GAS AVAILABILITY'!P535+O536*'RAP TEMPLATE-GAS AVAILABILITY'!Q535+P536*'RAP TEMPLATE-GAS AVAILABILITY'!R535)/('RAP TEMPLATE-GAS AVAILABILITY'!O535+'RAP TEMPLATE-GAS AVAILABILITY'!P535+'RAP TEMPLATE-GAS AVAILABILITY'!Q535+'RAP TEMPLATE-GAS AVAILABILITY'!R535)</f>
        <v>27.888174100719429</v>
      </c>
    </row>
    <row r="537" spans="1:29" ht="15.75" x14ac:dyDescent="0.25">
      <c r="A537" s="32">
        <v>57253</v>
      </c>
      <c r="B537" s="14">
        <f>CHOOSE(CONTROL!$C$42, 26.5616, 26.5616) * CHOOSE(CONTROL!$C$21, $C$9, 100%, $E$9)</f>
        <v>26.561599999999999</v>
      </c>
      <c r="C537" s="14">
        <f>CHOOSE(CONTROL!$C$42, 26.5696, 26.5696) * CHOOSE(CONTROL!$C$21, $C$9, 100%, $E$9)</f>
        <v>26.569600000000001</v>
      </c>
      <c r="D537" s="14">
        <f>CHOOSE(CONTROL!$C$42, 26.7902, 26.7902) * CHOOSE(CONTROL!$C$21, $C$9, 100%, $E$9)</f>
        <v>26.790199999999999</v>
      </c>
      <c r="E537" s="14">
        <f>CHOOSE(CONTROL!$C$42, 26.8216, 26.8216) * CHOOSE(CONTROL!$C$21, $C$9, 100%, $E$9)</f>
        <v>26.8216</v>
      </c>
      <c r="F537" s="14">
        <f>CHOOSE(CONTROL!$C$42, 26.5889, 26.5889)*CHOOSE(CONTROL!$C$21, $C$9, 100%, $E$9)</f>
        <v>26.588899999999999</v>
      </c>
      <c r="G537" s="14">
        <f>CHOOSE(CONTROL!$C$42, 26.6063, 26.6063)*CHOOSE(CONTROL!$C$21, $C$9, 100%, $E$9)</f>
        <v>26.606300000000001</v>
      </c>
      <c r="H537" s="14">
        <f>CHOOSE(CONTROL!$C$42, 26.8103, 26.8103) * CHOOSE(CONTROL!$C$21, $C$9, 100%, $E$9)</f>
        <v>26.810300000000002</v>
      </c>
      <c r="I537" s="14">
        <f>CHOOSE(CONTROL!$C$42, 26.6726, 26.6726)* CHOOSE(CONTROL!$C$21, $C$9, 100%, $E$9)</f>
        <v>26.672599999999999</v>
      </c>
      <c r="J537" s="14">
        <f>CHOOSE(CONTROL!$C$42, 26.5819, 26.5819)* CHOOSE(CONTROL!$C$21, $C$9, 100%, $E$9)</f>
        <v>26.581900000000001</v>
      </c>
      <c r="K537" s="53">
        <f>CHOOSE(CONTROL!$C$42, 26.6687, 26.6687) * CHOOSE(CONTROL!$C$21, $C$9, 100%, $E$9)</f>
        <v>26.668700000000001</v>
      </c>
      <c r="L537" s="14">
        <f>CHOOSE(CONTROL!$C$42, 27.3973, 27.3973) * CHOOSE(CONTROL!$C$21, $C$9, 100%, $E$9)</f>
        <v>27.397300000000001</v>
      </c>
      <c r="M537" s="14">
        <f>CHOOSE(CONTROL!$C$42, 26.045, 26.045) * CHOOSE(CONTROL!$C$21, $C$9, 100%, $E$9)</f>
        <v>26.045000000000002</v>
      </c>
      <c r="N537" s="14">
        <f>CHOOSE(CONTROL!$C$42, 26.062, 26.062) * CHOOSE(CONTROL!$C$21, $C$9, 100%, $E$9)</f>
        <v>26.062000000000001</v>
      </c>
      <c r="O537" s="14">
        <f>CHOOSE(CONTROL!$C$42, 26.2686, 26.2686) * CHOOSE(CONTROL!$C$21, $C$9, 100%, $E$9)</f>
        <v>26.268599999999999</v>
      </c>
      <c r="P537" s="14">
        <f>CHOOSE(CONTROL!$C$42, 26.1322, 26.1322) * CHOOSE(CONTROL!$C$21, $C$9, 100%, $E$9)</f>
        <v>26.132200000000001</v>
      </c>
      <c r="Q537" s="14">
        <f>CHOOSE(CONTROL!$C$42, 26.8633, 26.8633) * CHOOSE(CONTROL!$C$21, $C$9, 100%, $E$9)</f>
        <v>26.863299999999999</v>
      </c>
      <c r="R537" s="14">
        <f>CHOOSE(CONTROL!$C$42, 27.5175, 27.5175) * CHOOSE(CONTROL!$C$21, $C$9, 100%, $E$9)</f>
        <v>27.517499999999998</v>
      </c>
      <c r="S537" s="14">
        <f>CHOOSE(CONTROL!$C$42, 25.5124, 25.5124) * CHOOSE(CONTROL!$C$21, $C$9, 100%, $E$9)</f>
        <v>25.5124</v>
      </c>
      <c r="T53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37" s="57">
        <f>(1000*CHOOSE(CONTROL!$C$42, 695, 695)*CHOOSE(CONTROL!$C$42, 0.5599, 0.5599)*CHOOSE(CONTROL!$C$42, 30, 30))/1000000</f>
        <v>11.673914999999997</v>
      </c>
      <c r="V537" s="57">
        <f>(1000*CHOOSE(CONTROL!$C$42, 500, 500)*CHOOSE(CONTROL!$C$42, 0.275, 0.275)*CHOOSE(CONTROL!$C$42, 30, 30))/1000000</f>
        <v>4.125</v>
      </c>
      <c r="W537" s="57">
        <f>(1000*CHOOSE(CONTROL!$C$42, 0.1146, 0.1146)*CHOOSE(CONTROL!$C$42, 121.5, 121.5)*CHOOSE(CONTROL!$C$42, 30, 30))/1000000</f>
        <v>0.417717</v>
      </c>
      <c r="X537" s="57">
        <f>(30*0.1790888*245000/1000000)+(30*0.2374*100000/1000000)</f>
        <v>2.0285026799999999</v>
      </c>
      <c r="Y537" s="57"/>
      <c r="Z537" s="14"/>
      <c r="AA537" s="56"/>
      <c r="AB537" s="50">
        <f>(B537*194.205+C537*267.466+D537*133.845+E537*53.484+F537*40+G537*185+H537*0+I537*100+J537*300)/(194.205+267.466+133.845+53.484+0+40+185+100+300)</f>
        <v>26.61905214678179</v>
      </c>
      <c r="AC537" s="45">
        <f>(M537*'RAP TEMPLATE-GAS AVAILABILITY'!O536+N537*'RAP TEMPLATE-GAS AVAILABILITY'!P536+O537*'RAP TEMPLATE-GAS AVAILABILITY'!Q536+P537*'RAP TEMPLATE-GAS AVAILABILITY'!R536)/('RAP TEMPLATE-GAS AVAILABILITY'!O536+'RAP TEMPLATE-GAS AVAILABILITY'!P536+'RAP TEMPLATE-GAS AVAILABILITY'!Q536+'RAP TEMPLATE-GAS AVAILABILITY'!R536)</f>
        <v>26.124197122302164</v>
      </c>
    </row>
    <row r="538" spans="1:29" ht="15.75" x14ac:dyDescent="0.25">
      <c r="A538" s="32">
        <v>57284</v>
      </c>
      <c r="B538" s="14">
        <f>CHOOSE(CONTROL!$C$42, 26.0207, 26.0207) * CHOOSE(CONTROL!$C$21, $C$9, 100%, $E$9)</f>
        <v>26.020700000000001</v>
      </c>
      <c r="C538" s="14">
        <f>CHOOSE(CONTROL!$C$42, 26.0261, 26.0261) * CHOOSE(CONTROL!$C$21, $C$9, 100%, $E$9)</f>
        <v>26.0261</v>
      </c>
      <c r="D538" s="14">
        <f>CHOOSE(CONTROL!$C$42, 26.2516, 26.2516) * CHOOSE(CONTROL!$C$21, $C$9, 100%, $E$9)</f>
        <v>26.2516</v>
      </c>
      <c r="E538" s="14">
        <f>CHOOSE(CONTROL!$C$42, 26.2807, 26.2807) * CHOOSE(CONTROL!$C$21, $C$9, 100%, $E$9)</f>
        <v>26.2807</v>
      </c>
      <c r="F538" s="14">
        <f>CHOOSE(CONTROL!$C$42, 26.0501, 26.0501)*CHOOSE(CONTROL!$C$21, $C$9, 100%, $E$9)</f>
        <v>26.0501</v>
      </c>
      <c r="G538" s="14">
        <f>CHOOSE(CONTROL!$C$42, 26.0673, 26.0673)*CHOOSE(CONTROL!$C$21, $C$9, 100%, $E$9)</f>
        <v>26.067299999999999</v>
      </c>
      <c r="H538" s="14">
        <f>CHOOSE(CONTROL!$C$42, 26.2712, 26.2712) * CHOOSE(CONTROL!$C$21, $C$9, 100%, $E$9)</f>
        <v>26.2712</v>
      </c>
      <c r="I538" s="14">
        <f>CHOOSE(CONTROL!$C$42, 26.1319, 26.1319)* CHOOSE(CONTROL!$C$21, $C$9, 100%, $E$9)</f>
        <v>26.131900000000002</v>
      </c>
      <c r="J538" s="14">
        <f>CHOOSE(CONTROL!$C$42, 26.0431, 26.0431)* CHOOSE(CONTROL!$C$21, $C$9, 100%, $E$9)</f>
        <v>26.043099999999999</v>
      </c>
      <c r="K538" s="53">
        <f>CHOOSE(CONTROL!$C$42, 26.128, 26.128) * CHOOSE(CONTROL!$C$21, $C$9, 100%, $E$9)</f>
        <v>26.128</v>
      </c>
      <c r="L538" s="14">
        <f>CHOOSE(CONTROL!$C$42, 26.8582, 26.8582) * CHOOSE(CONTROL!$C$21, $C$9, 100%, $E$9)</f>
        <v>26.8582</v>
      </c>
      <c r="M538" s="14">
        <f>CHOOSE(CONTROL!$C$42, 25.5172, 25.5172) * CHOOSE(CONTROL!$C$21, $C$9, 100%, $E$9)</f>
        <v>25.517199999999999</v>
      </c>
      <c r="N538" s="14">
        <f>CHOOSE(CONTROL!$C$42, 25.5341, 25.5341) * CHOOSE(CONTROL!$C$21, $C$9, 100%, $E$9)</f>
        <v>25.534099999999999</v>
      </c>
      <c r="O538" s="14">
        <f>CHOOSE(CONTROL!$C$42, 25.7406, 25.7406) * CHOOSE(CONTROL!$C$21, $C$9, 100%, $E$9)</f>
        <v>25.740600000000001</v>
      </c>
      <c r="P538" s="14">
        <f>CHOOSE(CONTROL!$C$42, 25.6026, 25.6026) * CHOOSE(CONTROL!$C$21, $C$9, 100%, $E$9)</f>
        <v>25.602599999999999</v>
      </c>
      <c r="Q538" s="14">
        <f>CHOOSE(CONTROL!$C$42, 26.3353, 26.3353) * CHOOSE(CONTROL!$C$21, $C$9, 100%, $E$9)</f>
        <v>26.3353</v>
      </c>
      <c r="R538" s="14">
        <f>CHOOSE(CONTROL!$C$42, 26.9881, 26.9881) * CHOOSE(CONTROL!$C$21, $C$9, 100%, $E$9)</f>
        <v>26.988099999999999</v>
      </c>
      <c r="S538" s="14">
        <f>CHOOSE(CONTROL!$C$42, 24.9944, 24.9944) * CHOOSE(CONTROL!$C$21, $C$9, 100%, $E$9)</f>
        <v>24.994399999999999</v>
      </c>
      <c r="T53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38" s="57">
        <f>(1000*CHOOSE(CONTROL!$C$42, 695, 695)*CHOOSE(CONTROL!$C$42, 0.5599, 0.5599)*CHOOSE(CONTROL!$C$42, 31, 31))/1000000</f>
        <v>12.063045499999998</v>
      </c>
      <c r="V538" s="57">
        <f>(1000*CHOOSE(CONTROL!$C$42, 500, 500)*CHOOSE(CONTROL!$C$42, 0.275, 0.275)*CHOOSE(CONTROL!$C$42, 31, 31))/1000000</f>
        <v>4.2625000000000002</v>
      </c>
      <c r="W538" s="57">
        <f>(1000*CHOOSE(CONTROL!$C$42, 0.1146, 0.1146)*CHOOSE(CONTROL!$C$42, 121.5, 121.5)*CHOOSE(CONTROL!$C$42, 31, 31))/1000000</f>
        <v>0.43164089999999994</v>
      </c>
      <c r="X538" s="57">
        <f>(31*0.1790888*245000/1000000)+(31*0.2374*100000/1000000)</f>
        <v>2.0961194359999999</v>
      </c>
      <c r="Y538" s="57"/>
      <c r="Z538" s="14"/>
      <c r="AA538" s="56"/>
      <c r="AB538" s="50">
        <f>(B538*131.881+C538*277.167+D538*79.08+E538*125.872+F538*40+G538*185+H538*0+I538*100+J538*300)/(131.881+277.167+79.08+125.872+0+40+185+100+300)</f>
        <v>26.085365047457628</v>
      </c>
      <c r="AC538" s="45">
        <f>(M538*'RAP TEMPLATE-GAS AVAILABILITY'!O537+N538*'RAP TEMPLATE-GAS AVAILABILITY'!P537+O538*'RAP TEMPLATE-GAS AVAILABILITY'!Q537+P538*'RAP TEMPLATE-GAS AVAILABILITY'!R537)/('RAP TEMPLATE-GAS AVAILABILITY'!O537+'RAP TEMPLATE-GAS AVAILABILITY'!P537+'RAP TEMPLATE-GAS AVAILABILITY'!Q537+'RAP TEMPLATE-GAS AVAILABILITY'!R537)</f>
        <v>25.596058992805755</v>
      </c>
    </row>
    <row r="539" spans="1:29" ht="15.75" x14ac:dyDescent="0.25">
      <c r="A539" s="32">
        <v>57314</v>
      </c>
      <c r="B539" s="14">
        <f>CHOOSE(CONTROL!$C$42, 26.7056, 26.7056) * CHOOSE(CONTROL!$C$21, $C$9, 100%, $E$9)</f>
        <v>26.7056</v>
      </c>
      <c r="C539" s="14">
        <f>CHOOSE(CONTROL!$C$42, 26.7106, 26.7106) * CHOOSE(CONTROL!$C$21, $C$9, 100%, $E$9)</f>
        <v>26.710599999999999</v>
      </c>
      <c r="D539" s="14">
        <f>CHOOSE(CONTROL!$C$42, 26.7848, 26.7848) * CHOOSE(CONTROL!$C$21, $C$9, 100%, $E$9)</f>
        <v>26.784800000000001</v>
      </c>
      <c r="E539" s="14">
        <f>CHOOSE(CONTROL!$C$42, 26.8189, 26.8189) * CHOOSE(CONTROL!$C$21, $C$9, 100%, $E$9)</f>
        <v>26.818899999999999</v>
      </c>
      <c r="F539" s="14">
        <f>CHOOSE(CONTROL!$C$42, 26.7416, 26.7416)*CHOOSE(CONTROL!$C$21, $C$9, 100%, $E$9)</f>
        <v>26.741599999999998</v>
      </c>
      <c r="G539" s="14">
        <f>CHOOSE(CONTROL!$C$42, 26.7591, 26.7591)*CHOOSE(CONTROL!$C$21, $C$9, 100%, $E$9)</f>
        <v>26.7591</v>
      </c>
      <c r="H539" s="14">
        <f>CHOOSE(CONTROL!$C$42, 26.8081, 26.8081) * CHOOSE(CONTROL!$C$21, $C$9, 100%, $E$9)</f>
        <v>26.8081</v>
      </c>
      <c r="I539" s="14">
        <f>CHOOSE(CONTROL!$C$42, 26.8167, 26.8167)* CHOOSE(CONTROL!$C$21, $C$9, 100%, $E$9)</f>
        <v>26.816700000000001</v>
      </c>
      <c r="J539" s="14">
        <f>CHOOSE(CONTROL!$C$42, 26.7346, 26.7346)* CHOOSE(CONTROL!$C$21, $C$9, 100%, $E$9)</f>
        <v>26.7346</v>
      </c>
      <c r="K539" s="53">
        <f>CHOOSE(CONTROL!$C$42, 26.8128, 26.8128) * CHOOSE(CONTROL!$C$21, $C$9, 100%, $E$9)</f>
        <v>26.812799999999999</v>
      </c>
      <c r="L539" s="14">
        <f>CHOOSE(CONTROL!$C$42, 27.3951, 27.3951) * CHOOSE(CONTROL!$C$21, $C$9, 100%, $E$9)</f>
        <v>27.395099999999999</v>
      </c>
      <c r="M539" s="14">
        <f>CHOOSE(CONTROL!$C$42, 26.1945, 26.1945) * CHOOSE(CONTROL!$C$21, $C$9, 100%, $E$9)</f>
        <v>26.194500000000001</v>
      </c>
      <c r="N539" s="14">
        <f>CHOOSE(CONTROL!$C$42, 26.2117, 26.2117) * CHOOSE(CONTROL!$C$21, $C$9, 100%, $E$9)</f>
        <v>26.2117</v>
      </c>
      <c r="O539" s="14">
        <f>CHOOSE(CONTROL!$C$42, 26.2666, 26.2666) * CHOOSE(CONTROL!$C$21, $C$9, 100%, $E$9)</f>
        <v>26.2666</v>
      </c>
      <c r="P539" s="14">
        <f>CHOOSE(CONTROL!$C$42, 26.2733, 26.2733) * CHOOSE(CONTROL!$C$21, $C$9, 100%, $E$9)</f>
        <v>26.273299999999999</v>
      </c>
      <c r="Q539" s="14">
        <f>CHOOSE(CONTROL!$C$42, 26.8613, 26.8613) * CHOOSE(CONTROL!$C$21, $C$9, 100%, $E$9)</f>
        <v>26.8613</v>
      </c>
      <c r="R539" s="14">
        <f>CHOOSE(CONTROL!$C$42, 27.5154, 27.5154) * CHOOSE(CONTROL!$C$21, $C$9, 100%, $E$9)</f>
        <v>27.5154</v>
      </c>
      <c r="S539" s="14">
        <f>CHOOSE(CONTROL!$C$42, 25.6528, 25.6528) * CHOOSE(CONTROL!$C$21, $C$9, 100%, $E$9)</f>
        <v>25.652799999999999</v>
      </c>
      <c r="T53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39" s="57">
        <f>(1000*CHOOSE(CONTROL!$C$42, 695, 695)*CHOOSE(CONTROL!$C$42, 0.5599, 0.5599)*CHOOSE(CONTROL!$C$42, 30, 30))/1000000</f>
        <v>11.673914999999997</v>
      </c>
      <c r="V539" s="57">
        <f>(1000*CHOOSE(CONTROL!$C$42, 500, 500)*CHOOSE(CONTROL!$C$42, 0.275, 0.275)*CHOOSE(CONTROL!$C$42, 30, 30))/1000000</f>
        <v>4.125</v>
      </c>
      <c r="W539" s="57">
        <f>(1000*CHOOSE(CONTROL!$C$42, 0.1146, 0.1146)*CHOOSE(CONTROL!$C$42, 121.5, 121.5)*CHOOSE(CONTROL!$C$42, 30, 30))/1000000</f>
        <v>0.417717</v>
      </c>
      <c r="X539" s="57">
        <f>(30*0.1790888*100000/1000000)+(30*0.2374*100000/1000000)</f>
        <v>1.2494664</v>
      </c>
      <c r="Y539" s="57"/>
      <c r="Z539" s="14"/>
      <c r="AA539" s="56"/>
      <c r="AB539" s="50">
        <f>(B539*122.58+C539*297.941+D539*89.177+E539*40.302+F539*40+G539*160+H539*0+I539*100+J539*300)/(122.58+297.941+89.177+40.302+0+40+160+100+300)</f>
        <v>26.742929339130438</v>
      </c>
      <c r="AC539" s="45">
        <f>(M539*'RAP TEMPLATE-GAS AVAILABILITY'!O538+N539*'RAP TEMPLATE-GAS AVAILABILITY'!P538+O539*'RAP TEMPLATE-GAS AVAILABILITY'!Q538+P539*'RAP TEMPLATE-GAS AVAILABILITY'!R538)/('RAP TEMPLATE-GAS AVAILABILITY'!O538+'RAP TEMPLATE-GAS AVAILABILITY'!P538+'RAP TEMPLATE-GAS AVAILABILITY'!Q538+'RAP TEMPLATE-GAS AVAILABILITY'!R538)</f>
        <v>26.239506474820146</v>
      </c>
    </row>
    <row r="540" spans="1:29" ht="15.75" x14ac:dyDescent="0.25">
      <c r="A540" s="32">
        <v>57345</v>
      </c>
      <c r="B540" s="14">
        <f>CHOOSE(CONTROL!$C$42, 28.5257, 28.5257) * CHOOSE(CONTROL!$C$21, $C$9, 100%, $E$9)</f>
        <v>28.525700000000001</v>
      </c>
      <c r="C540" s="14">
        <f>CHOOSE(CONTROL!$C$42, 28.5307, 28.5307) * CHOOSE(CONTROL!$C$21, $C$9, 100%, $E$9)</f>
        <v>28.5307</v>
      </c>
      <c r="D540" s="14">
        <f>CHOOSE(CONTROL!$C$42, 28.605, 28.605) * CHOOSE(CONTROL!$C$21, $C$9, 100%, $E$9)</f>
        <v>28.605</v>
      </c>
      <c r="E540" s="14">
        <f>CHOOSE(CONTROL!$C$42, 28.6391, 28.6391) * CHOOSE(CONTROL!$C$21, $C$9, 100%, $E$9)</f>
        <v>28.639099999999999</v>
      </c>
      <c r="F540" s="14">
        <f>CHOOSE(CONTROL!$C$42, 28.5641, 28.5641)*CHOOSE(CONTROL!$C$21, $C$9, 100%, $E$9)</f>
        <v>28.5641</v>
      </c>
      <c r="G540" s="14">
        <f>CHOOSE(CONTROL!$C$42, 28.5822, 28.5822)*CHOOSE(CONTROL!$C$21, $C$9, 100%, $E$9)</f>
        <v>28.5822</v>
      </c>
      <c r="H540" s="14">
        <f>CHOOSE(CONTROL!$C$42, 28.6283, 28.6283) * CHOOSE(CONTROL!$C$21, $C$9, 100%, $E$9)</f>
        <v>28.628299999999999</v>
      </c>
      <c r="I540" s="14">
        <f>CHOOSE(CONTROL!$C$42, 28.6425, 28.6425)* CHOOSE(CONTROL!$C$21, $C$9, 100%, $E$9)</f>
        <v>28.642499999999998</v>
      </c>
      <c r="J540" s="14">
        <f>CHOOSE(CONTROL!$C$42, 28.5571, 28.5571)* CHOOSE(CONTROL!$C$21, $C$9, 100%, $E$9)</f>
        <v>28.557099999999998</v>
      </c>
      <c r="K540" s="53">
        <f>CHOOSE(CONTROL!$C$42, 28.6386, 28.6386) * CHOOSE(CONTROL!$C$21, $C$9, 100%, $E$9)</f>
        <v>28.6386</v>
      </c>
      <c r="L540" s="14">
        <f>CHOOSE(CONTROL!$C$42, 29.2153, 29.2153) * CHOOSE(CONTROL!$C$21, $C$9, 100%, $E$9)</f>
        <v>29.215299999999999</v>
      </c>
      <c r="M540" s="14">
        <f>CHOOSE(CONTROL!$C$42, 27.9797, 27.9797) * CHOOSE(CONTROL!$C$21, $C$9, 100%, $E$9)</f>
        <v>27.979700000000001</v>
      </c>
      <c r="N540" s="14">
        <f>CHOOSE(CONTROL!$C$42, 27.9974, 27.9974) * CHOOSE(CONTROL!$C$21, $C$9, 100%, $E$9)</f>
        <v>27.997399999999999</v>
      </c>
      <c r="O540" s="14">
        <f>CHOOSE(CONTROL!$C$42, 28.0494, 28.0494) * CHOOSE(CONTROL!$C$21, $C$9, 100%, $E$9)</f>
        <v>28.049399999999999</v>
      </c>
      <c r="P540" s="14">
        <f>CHOOSE(CONTROL!$C$42, 28.0616, 28.0616) * CHOOSE(CONTROL!$C$21, $C$9, 100%, $E$9)</f>
        <v>28.061599999999999</v>
      </c>
      <c r="Q540" s="14">
        <f>CHOOSE(CONTROL!$C$42, 28.6441, 28.6441) * CHOOSE(CONTROL!$C$21, $C$9, 100%, $E$9)</f>
        <v>28.644100000000002</v>
      </c>
      <c r="R540" s="14">
        <f>CHOOSE(CONTROL!$C$42, 29.3027, 29.3027) * CHOOSE(CONTROL!$C$21, $C$9, 100%, $E$9)</f>
        <v>29.302700000000002</v>
      </c>
      <c r="S540" s="14">
        <f>CHOOSE(CONTROL!$C$42, 27.4018, 27.4018) * CHOOSE(CONTROL!$C$21, $C$9, 100%, $E$9)</f>
        <v>27.401800000000001</v>
      </c>
      <c r="T54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40" s="57">
        <f>(1000*CHOOSE(CONTROL!$C$42, 695, 695)*CHOOSE(CONTROL!$C$42, 0.5599, 0.5599)*CHOOSE(CONTROL!$C$42, 31, 31))/1000000</f>
        <v>12.063045499999998</v>
      </c>
      <c r="V540" s="57">
        <f>(1000*CHOOSE(CONTROL!$C$42, 500, 500)*CHOOSE(CONTROL!$C$42, 0.275, 0.275)*CHOOSE(CONTROL!$C$42, 31, 31))/1000000</f>
        <v>4.2625000000000002</v>
      </c>
      <c r="W540" s="57">
        <f>(1000*CHOOSE(CONTROL!$C$42, 0.1146, 0.1146)*CHOOSE(CONTROL!$C$42, 121.5, 121.5)*CHOOSE(CONTROL!$C$42, 31, 31))/1000000</f>
        <v>0.43164089999999994</v>
      </c>
      <c r="X540" s="57">
        <f>(31*0.1790888*100000/1000000)+(31*0.2374*100000/1000000)</f>
        <v>1.2911152800000001</v>
      </c>
      <c r="Y540" s="57"/>
      <c r="Z540" s="14"/>
      <c r="AA540" s="56"/>
      <c r="AB540" s="50">
        <f>(B540*122.58+C540*297.941+D540*89.177+E540*40.302+F540*40+G540*160+H540*0+I540*100+J540*300)/(122.58+297.941+89.177+40.302+0+40+160+100+300)</f>
        <v>28.564663206869557</v>
      </c>
      <c r="AC540" s="45">
        <f>(M540*'RAP TEMPLATE-GAS AVAILABILITY'!O539+N540*'RAP TEMPLATE-GAS AVAILABILITY'!P539+O540*'RAP TEMPLATE-GAS AVAILABILITY'!Q539+P540*'RAP TEMPLATE-GAS AVAILABILITY'!R539)/('RAP TEMPLATE-GAS AVAILABILITY'!O539+'RAP TEMPLATE-GAS AVAILABILITY'!P539+'RAP TEMPLATE-GAS AVAILABILITY'!Q539+'RAP TEMPLATE-GAS AVAILABILITY'!R539)</f>
        <v>28.024093525179854</v>
      </c>
    </row>
    <row r="541" spans="1:29" ht="15.75" x14ac:dyDescent="0.25">
      <c r="A541" s="32">
        <v>57376</v>
      </c>
      <c r="B541" s="14">
        <f>CHOOSE(CONTROL!$C$42, 30.8897, 30.8897) * CHOOSE(CONTROL!$C$21, $C$9, 100%, $E$9)</f>
        <v>30.889700000000001</v>
      </c>
      <c r="C541" s="14">
        <f>CHOOSE(CONTROL!$C$42, 30.8947, 30.8947) * CHOOSE(CONTROL!$C$21, $C$9, 100%, $E$9)</f>
        <v>30.8947</v>
      </c>
      <c r="D541" s="14">
        <f>CHOOSE(CONTROL!$C$42, 30.9716, 30.9716) * CHOOSE(CONTROL!$C$21, $C$9, 100%, $E$9)</f>
        <v>30.971599999999999</v>
      </c>
      <c r="E541" s="14">
        <f>CHOOSE(CONTROL!$C$42, 31.0057, 31.0057) * CHOOSE(CONTROL!$C$21, $C$9, 100%, $E$9)</f>
        <v>31.005700000000001</v>
      </c>
      <c r="F541" s="14">
        <f>CHOOSE(CONTROL!$C$42, 30.9144, 30.9144)*CHOOSE(CONTROL!$C$21, $C$9, 100%, $E$9)</f>
        <v>30.914400000000001</v>
      </c>
      <c r="G541" s="14">
        <f>CHOOSE(CONTROL!$C$42, 30.9324, 30.9324)*CHOOSE(CONTROL!$C$21, $C$9, 100%, $E$9)</f>
        <v>30.932400000000001</v>
      </c>
      <c r="H541" s="14">
        <f>CHOOSE(CONTROL!$C$42, 30.9949, 30.9949) * CHOOSE(CONTROL!$C$21, $C$9, 100%, $E$9)</f>
        <v>30.994900000000001</v>
      </c>
      <c r="I541" s="14">
        <f>CHOOSE(CONTROL!$C$42, 31.0201, 31.0201)* CHOOSE(CONTROL!$C$21, $C$9, 100%, $E$9)</f>
        <v>31.020099999999999</v>
      </c>
      <c r="J541" s="14">
        <f>CHOOSE(CONTROL!$C$42, 30.9074, 30.9074)* CHOOSE(CONTROL!$C$21, $C$9, 100%, $E$9)</f>
        <v>30.907399999999999</v>
      </c>
      <c r="K541" s="53">
        <f>CHOOSE(CONTROL!$C$42, 31.0163, 31.0163) * CHOOSE(CONTROL!$C$21, $C$9, 100%, $E$9)</f>
        <v>31.016300000000001</v>
      </c>
      <c r="L541" s="14">
        <f>CHOOSE(CONTROL!$C$42, 31.5819, 31.5819) * CHOOSE(CONTROL!$C$21, $C$9, 100%, $E$9)</f>
        <v>31.581900000000001</v>
      </c>
      <c r="M541" s="14">
        <f>CHOOSE(CONTROL!$C$42, 30.2818, 30.2818) * CHOOSE(CONTROL!$C$21, $C$9, 100%, $E$9)</f>
        <v>30.2818</v>
      </c>
      <c r="N541" s="14">
        <f>CHOOSE(CONTROL!$C$42, 30.2994, 30.2994) * CHOOSE(CONTROL!$C$21, $C$9, 100%, $E$9)</f>
        <v>30.299399999999999</v>
      </c>
      <c r="O541" s="14">
        <f>CHOOSE(CONTROL!$C$42, 30.3675, 30.3675) * CHOOSE(CONTROL!$C$21, $C$9, 100%, $E$9)</f>
        <v>30.3675</v>
      </c>
      <c r="P541" s="14">
        <f>CHOOSE(CONTROL!$C$42, 30.3904, 30.3904) * CHOOSE(CONTROL!$C$21, $C$9, 100%, $E$9)</f>
        <v>30.3904</v>
      </c>
      <c r="Q541" s="14">
        <f>CHOOSE(CONTROL!$C$42, 30.9622, 30.9622) * CHOOSE(CONTROL!$C$21, $C$9, 100%, $E$9)</f>
        <v>30.962199999999999</v>
      </c>
      <c r="R541" s="14">
        <f>CHOOSE(CONTROL!$C$42, 31.6266, 31.6266) * CHOOSE(CONTROL!$C$21, $C$9, 100%, $E$9)</f>
        <v>31.6266</v>
      </c>
      <c r="S541" s="14">
        <f>CHOOSE(CONTROL!$C$42, 29.6734, 29.6734) * CHOOSE(CONTROL!$C$21, $C$9, 100%, $E$9)</f>
        <v>29.673400000000001</v>
      </c>
      <c r="T54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41" s="57">
        <f>(1000*CHOOSE(CONTROL!$C$42, 695, 695)*CHOOSE(CONTROL!$C$42, 0.5599, 0.5599)*CHOOSE(CONTROL!$C$42, 31, 31))/1000000</f>
        <v>12.063045499999998</v>
      </c>
      <c r="V541" s="57">
        <f>(1000*CHOOSE(CONTROL!$C$42, 500, 500)*CHOOSE(CONTROL!$C$42, 0.275, 0.275)*CHOOSE(CONTROL!$C$42, 31, 31))/1000000</f>
        <v>4.2625000000000002</v>
      </c>
      <c r="W541" s="57">
        <f>(1000*CHOOSE(CONTROL!$C$42, 0.1146, 0.1146)*CHOOSE(CONTROL!$C$42, 121.5, 121.5)*CHOOSE(CONTROL!$C$42, 31, 31))/1000000</f>
        <v>0.43164089999999994</v>
      </c>
      <c r="X541" s="57">
        <f>(31*0.1790888*100000/1000000)+(31*0.2374*100000/1000000)</f>
        <v>1.2911152800000001</v>
      </c>
      <c r="Y541" s="57"/>
      <c r="Z541" s="14"/>
      <c r="AA541" s="56"/>
      <c r="AB541" s="50">
        <f>(B541*122.58+C541*297.941+D541*89.177+E541*40.302+F541*40+G541*160+H541*0+I541*100+J541*300)/(122.58+297.941+89.177+40.302+0+40+160+100+300)</f>
        <v>30.924168115913041</v>
      </c>
      <c r="AC541" s="45">
        <f>(M541*'RAP TEMPLATE-GAS AVAILABILITY'!O540+N541*'RAP TEMPLATE-GAS AVAILABILITY'!P540+O541*'RAP TEMPLATE-GAS AVAILABILITY'!Q540+P541*'RAP TEMPLATE-GAS AVAILABILITY'!R540)/('RAP TEMPLATE-GAS AVAILABILITY'!O540+'RAP TEMPLATE-GAS AVAILABILITY'!P540+'RAP TEMPLATE-GAS AVAILABILITY'!Q540+'RAP TEMPLATE-GAS AVAILABILITY'!R540)</f>
        <v>30.337281294964033</v>
      </c>
    </row>
    <row r="542" spans="1:29" ht="15.75" x14ac:dyDescent="0.25">
      <c r="A542" s="32">
        <v>57404</v>
      </c>
      <c r="B542" s="14">
        <f>CHOOSE(CONTROL!$C$42, 31.4394, 31.4394) * CHOOSE(CONTROL!$C$21, $C$9, 100%, $E$9)</f>
        <v>31.439399999999999</v>
      </c>
      <c r="C542" s="14">
        <f>CHOOSE(CONTROL!$C$42, 31.4445, 31.4445) * CHOOSE(CONTROL!$C$21, $C$9, 100%, $E$9)</f>
        <v>31.444500000000001</v>
      </c>
      <c r="D542" s="14">
        <f>CHOOSE(CONTROL!$C$42, 31.5213, 31.5213) * CHOOSE(CONTROL!$C$21, $C$9, 100%, $E$9)</f>
        <v>31.5213</v>
      </c>
      <c r="E542" s="14">
        <f>CHOOSE(CONTROL!$C$42, 31.5554, 31.5554) * CHOOSE(CONTROL!$C$21, $C$9, 100%, $E$9)</f>
        <v>31.555399999999999</v>
      </c>
      <c r="F542" s="14">
        <f>CHOOSE(CONTROL!$C$42, 31.4637, 31.4637)*CHOOSE(CONTROL!$C$21, $C$9, 100%, $E$9)</f>
        <v>31.463699999999999</v>
      </c>
      <c r="G542" s="14">
        <f>CHOOSE(CONTROL!$C$42, 31.4816, 31.4816)*CHOOSE(CONTROL!$C$21, $C$9, 100%, $E$9)</f>
        <v>31.4816</v>
      </c>
      <c r="H542" s="14">
        <f>CHOOSE(CONTROL!$C$42, 31.5446, 31.5446) * CHOOSE(CONTROL!$C$21, $C$9, 100%, $E$9)</f>
        <v>31.544599999999999</v>
      </c>
      <c r="I542" s="14">
        <f>CHOOSE(CONTROL!$C$42, 31.5716, 31.5716)* CHOOSE(CONTROL!$C$21, $C$9, 100%, $E$9)</f>
        <v>31.5716</v>
      </c>
      <c r="J542" s="14">
        <f>CHOOSE(CONTROL!$C$42, 31.4567, 31.4567)* CHOOSE(CONTROL!$C$21, $C$9, 100%, $E$9)</f>
        <v>31.456700000000001</v>
      </c>
      <c r="K542" s="53">
        <f>CHOOSE(CONTROL!$C$42, 31.5677, 31.5677) * CHOOSE(CONTROL!$C$21, $C$9, 100%, $E$9)</f>
        <v>31.567699999999999</v>
      </c>
      <c r="L542" s="14">
        <f>CHOOSE(CONTROL!$C$42, 32.1316, 32.1316) * CHOOSE(CONTROL!$C$21, $C$9, 100%, $E$9)</f>
        <v>32.131599999999999</v>
      </c>
      <c r="M542" s="14">
        <f>CHOOSE(CONTROL!$C$42, 30.8199, 30.8199) * CHOOSE(CONTROL!$C$21, $C$9, 100%, $E$9)</f>
        <v>30.819900000000001</v>
      </c>
      <c r="N542" s="14">
        <f>CHOOSE(CONTROL!$C$42, 30.8374, 30.8374) * CHOOSE(CONTROL!$C$21, $C$9, 100%, $E$9)</f>
        <v>30.837399999999999</v>
      </c>
      <c r="O542" s="14">
        <f>CHOOSE(CONTROL!$C$42, 30.9059, 30.9059) * CHOOSE(CONTROL!$C$21, $C$9, 100%, $E$9)</f>
        <v>30.905899999999999</v>
      </c>
      <c r="P542" s="14">
        <f>CHOOSE(CONTROL!$C$42, 30.9305, 30.9305) * CHOOSE(CONTROL!$C$21, $C$9, 100%, $E$9)</f>
        <v>30.930499999999999</v>
      </c>
      <c r="Q542" s="14">
        <f>CHOOSE(CONTROL!$C$42, 31.5006, 31.5006) * CHOOSE(CONTROL!$C$21, $C$9, 100%, $E$9)</f>
        <v>31.500599999999999</v>
      </c>
      <c r="R542" s="14">
        <f>CHOOSE(CONTROL!$C$42, 32.1664, 32.1664) * CHOOSE(CONTROL!$C$21, $C$9, 100%, $E$9)</f>
        <v>32.166400000000003</v>
      </c>
      <c r="S542" s="14">
        <f>CHOOSE(CONTROL!$C$42, 30.2016, 30.2016) * CHOOSE(CONTROL!$C$21, $C$9, 100%, $E$9)</f>
        <v>30.201599999999999</v>
      </c>
      <c r="T54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42" s="57">
        <f>(1000*CHOOSE(CONTROL!$C$42, 695, 695)*CHOOSE(CONTROL!$C$42, 0.5599, 0.5599)*CHOOSE(CONTROL!$C$42, 28, 28))/1000000</f>
        <v>10.895653999999999</v>
      </c>
      <c r="V542" s="57">
        <f>(1000*CHOOSE(CONTROL!$C$42, 500, 500)*CHOOSE(CONTROL!$C$42, 0.275, 0.275)*CHOOSE(CONTROL!$C$42, 28, 28))/1000000</f>
        <v>3.85</v>
      </c>
      <c r="W542" s="57">
        <f>(1000*CHOOSE(CONTROL!$C$42, 0.1146, 0.1146)*CHOOSE(CONTROL!$C$42, 121.5, 121.5)*CHOOSE(CONTROL!$C$42, 28, 28))/1000000</f>
        <v>0.38986920000000003</v>
      </c>
      <c r="X542" s="57">
        <f>(28*0.1790888*100000/1000000)+(28*0.2374*100000/1000000)</f>
        <v>1.16616864</v>
      </c>
      <c r="Y542" s="57"/>
      <c r="Z542" s="14"/>
      <c r="AA542" s="56"/>
      <c r="AB542" s="50">
        <f>(B542*122.58+C542*297.941+D542*89.177+E542*40.302+F542*40+G542*160+H542*0+I542*100+J542*300)/(122.58+297.941+89.177+40.302+0+40+160+100+300)</f>
        <v>31.473862719478259</v>
      </c>
      <c r="AC542" s="45">
        <f>(M542*'RAP TEMPLATE-GAS AVAILABILITY'!O541+N542*'RAP TEMPLATE-GAS AVAILABILITY'!P541+O542*'RAP TEMPLATE-GAS AVAILABILITY'!Q541+P542*'RAP TEMPLATE-GAS AVAILABILITY'!R541)/('RAP TEMPLATE-GAS AVAILABILITY'!O541+'RAP TEMPLATE-GAS AVAILABILITY'!P541+'RAP TEMPLATE-GAS AVAILABILITY'!Q541+'RAP TEMPLATE-GAS AVAILABILITY'!R541)</f>
        <v>30.875799280575539</v>
      </c>
    </row>
    <row r="543" spans="1:29" ht="15.75" x14ac:dyDescent="0.25">
      <c r="A543" s="32">
        <v>57435</v>
      </c>
      <c r="B543" s="14">
        <f>CHOOSE(CONTROL!$C$42, 30.5471, 30.5471) * CHOOSE(CONTROL!$C$21, $C$9, 100%, $E$9)</f>
        <v>30.5471</v>
      </c>
      <c r="C543" s="14">
        <f>CHOOSE(CONTROL!$C$42, 30.5521, 30.5521) * CHOOSE(CONTROL!$C$21, $C$9, 100%, $E$9)</f>
        <v>30.552099999999999</v>
      </c>
      <c r="D543" s="14">
        <f>CHOOSE(CONTROL!$C$42, 30.629, 30.629) * CHOOSE(CONTROL!$C$21, $C$9, 100%, $E$9)</f>
        <v>30.629000000000001</v>
      </c>
      <c r="E543" s="14">
        <f>CHOOSE(CONTROL!$C$42, 30.6631, 30.6631) * CHOOSE(CONTROL!$C$21, $C$9, 100%, $E$9)</f>
        <v>30.6631</v>
      </c>
      <c r="F543" s="14">
        <f>CHOOSE(CONTROL!$C$42, 30.5705, 30.5705)*CHOOSE(CONTROL!$C$21, $C$9, 100%, $E$9)</f>
        <v>30.570499999999999</v>
      </c>
      <c r="G543" s="14">
        <f>CHOOSE(CONTROL!$C$42, 30.5882, 30.5882)*CHOOSE(CONTROL!$C$21, $C$9, 100%, $E$9)</f>
        <v>30.588200000000001</v>
      </c>
      <c r="H543" s="14">
        <f>CHOOSE(CONTROL!$C$42, 30.6523, 30.6523) * CHOOSE(CONTROL!$C$21, $C$9, 100%, $E$9)</f>
        <v>30.6523</v>
      </c>
      <c r="I543" s="14">
        <f>CHOOSE(CONTROL!$C$42, 30.6765, 30.6765)* CHOOSE(CONTROL!$C$21, $C$9, 100%, $E$9)</f>
        <v>30.676500000000001</v>
      </c>
      <c r="J543" s="14">
        <f>CHOOSE(CONTROL!$C$42, 30.5635, 30.5635)* CHOOSE(CONTROL!$C$21, $C$9, 100%, $E$9)</f>
        <v>30.563500000000001</v>
      </c>
      <c r="K543" s="53">
        <f>CHOOSE(CONTROL!$C$42, 30.6726, 30.6726) * CHOOSE(CONTROL!$C$21, $C$9, 100%, $E$9)</f>
        <v>30.672599999999999</v>
      </c>
      <c r="L543" s="14">
        <f>CHOOSE(CONTROL!$C$42, 31.2393, 31.2393) * CHOOSE(CONTROL!$C$21, $C$9, 100%, $E$9)</f>
        <v>31.2393</v>
      </c>
      <c r="M543" s="14">
        <f>CHOOSE(CONTROL!$C$42, 29.945, 29.945) * CHOOSE(CONTROL!$C$21, $C$9, 100%, $E$9)</f>
        <v>29.945</v>
      </c>
      <c r="N543" s="14">
        <f>CHOOSE(CONTROL!$C$42, 29.9623, 29.9623) * CHOOSE(CONTROL!$C$21, $C$9, 100%, $E$9)</f>
        <v>29.962299999999999</v>
      </c>
      <c r="O543" s="14">
        <f>CHOOSE(CONTROL!$C$42, 30.0319, 30.0319) * CHOOSE(CONTROL!$C$21, $C$9, 100%, $E$9)</f>
        <v>30.0319</v>
      </c>
      <c r="P543" s="14">
        <f>CHOOSE(CONTROL!$C$42, 30.0538, 30.0538) * CHOOSE(CONTROL!$C$21, $C$9, 100%, $E$9)</f>
        <v>30.053799999999999</v>
      </c>
      <c r="Q543" s="14">
        <f>CHOOSE(CONTROL!$C$42, 30.6266, 30.6266) * CHOOSE(CONTROL!$C$21, $C$9, 100%, $E$9)</f>
        <v>30.6266</v>
      </c>
      <c r="R543" s="14">
        <f>CHOOSE(CONTROL!$C$42, 31.2902, 31.2902) * CHOOSE(CONTROL!$C$21, $C$9, 100%, $E$9)</f>
        <v>31.290199999999999</v>
      </c>
      <c r="S543" s="14">
        <f>CHOOSE(CONTROL!$C$42, 29.3441, 29.3441) * CHOOSE(CONTROL!$C$21, $C$9, 100%, $E$9)</f>
        <v>29.344100000000001</v>
      </c>
      <c r="T54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43" s="57">
        <f>(1000*CHOOSE(CONTROL!$C$42, 695, 695)*CHOOSE(CONTROL!$C$42, 0.5599, 0.5599)*CHOOSE(CONTROL!$C$42, 31, 31))/1000000</f>
        <v>12.063045499999998</v>
      </c>
      <c r="V543" s="57">
        <f>(1000*CHOOSE(CONTROL!$C$42, 500, 500)*CHOOSE(CONTROL!$C$42, 0.275, 0.275)*CHOOSE(CONTROL!$C$42, 31, 31))/1000000</f>
        <v>4.2625000000000002</v>
      </c>
      <c r="W543" s="57">
        <f>(1000*CHOOSE(CONTROL!$C$42, 0.1146, 0.1146)*CHOOSE(CONTROL!$C$42, 121.5, 121.5)*CHOOSE(CONTROL!$C$42, 31, 31))/1000000</f>
        <v>0.43164089999999994</v>
      </c>
      <c r="X543" s="57">
        <f>(31*0.1790888*100000/1000000)+(31*0.2374*100000/1000000)</f>
        <v>1.2911152800000001</v>
      </c>
      <c r="Y543" s="57"/>
      <c r="Z543" s="14"/>
      <c r="AA543" s="56"/>
      <c r="AB543" s="50">
        <f>(B543*122.58+C543*297.941+D543*89.177+E543*40.302+F543*40+G543*160+H543*0+I543*100+J543*300)/(122.58+297.941+89.177+40.302+0+40+160+100+300)</f>
        <v>30.58087420286957</v>
      </c>
      <c r="AC543" s="45">
        <f>(M543*'RAP TEMPLATE-GAS AVAILABILITY'!O542+N543*'RAP TEMPLATE-GAS AVAILABILITY'!P542+O543*'RAP TEMPLATE-GAS AVAILABILITY'!Q542+P543*'RAP TEMPLATE-GAS AVAILABILITY'!R542)/('RAP TEMPLATE-GAS AVAILABILITY'!O542+'RAP TEMPLATE-GAS AVAILABILITY'!P542+'RAP TEMPLATE-GAS AVAILABILITY'!Q542+'RAP TEMPLATE-GAS AVAILABILITY'!R542)</f>
        <v>30.001036690647481</v>
      </c>
    </row>
    <row r="544" spans="1:29" ht="15.75" x14ac:dyDescent="0.25">
      <c r="A544" s="32">
        <v>57465</v>
      </c>
      <c r="B544" s="14">
        <f>CHOOSE(CONTROL!$C$42, 30.4567, 30.4567) * CHOOSE(CONTROL!$C$21, $C$9, 100%, $E$9)</f>
        <v>30.456700000000001</v>
      </c>
      <c r="C544" s="14">
        <f>CHOOSE(CONTROL!$C$42, 30.4611, 30.4611) * CHOOSE(CONTROL!$C$21, $C$9, 100%, $E$9)</f>
        <v>30.461099999999998</v>
      </c>
      <c r="D544" s="14">
        <f>CHOOSE(CONTROL!$C$42, 30.6849, 30.6849) * CHOOSE(CONTROL!$C$21, $C$9, 100%, $E$9)</f>
        <v>30.684899999999999</v>
      </c>
      <c r="E544" s="14">
        <f>CHOOSE(CONTROL!$C$42, 30.717, 30.717) * CHOOSE(CONTROL!$C$21, $C$9, 100%, $E$9)</f>
        <v>30.716999999999999</v>
      </c>
      <c r="F544" s="14">
        <f>CHOOSE(CONTROL!$C$42, 30.4843, 30.4843)*CHOOSE(CONTROL!$C$21, $C$9, 100%, $E$9)</f>
        <v>30.484300000000001</v>
      </c>
      <c r="G544" s="14">
        <f>CHOOSE(CONTROL!$C$42, 30.5012, 30.5012)*CHOOSE(CONTROL!$C$21, $C$9, 100%, $E$9)</f>
        <v>30.501200000000001</v>
      </c>
      <c r="H544" s="14">
        <f>CHOOSE(CONTROL!$C$42, 30.7068, 30.7068) * CHOOSE(CONTROL!$C$21, $C$9, 100%, $E$9)</f>
        <v>30.706800000000001</v>
      </c>
      <c r="I544" s="14">
        <f>CHOOSE(CONTROL!$C$42, 30.5813, 30.5813)* CHOOSE(CONTROL!$C$21, $C$9, 100%, $E$9)</f>
        <v>30.581299999999999</v>
      </c>
      <c r="J544" s="14">
        <f>CHOOSE(CONTROL!$C$42, 30.4773, 30.4773)* CHOOSE(CONTROL!$C$21, $C$9, 100%, $E$9)</f>
        <v>30.4773</v>
      </c>
      <c r="K544" s="53">
        <f>CHOOSE(CONTROL!$C$42, 30.5774, 30.5774) * CHOOSE(CONTROL!$C$21, $C$9, 100%, $E$9)</f>
        <v>30.577400000000001</v>
      </c>
      <c r="L544" s="14">
        <f>CHOOSE(CONTROL!$C$42, 31.2938, 31.2938) * CHOOSE(CONTROL!$C$21, $C$9, 100%, $E$9)</f>
        <v>31.293800000000001</v>
      </c>
      <c r="M544" s="14">
        <f>CHOOSE(CONTROL!$C$42, 29.8606, 29.8606) * CHOOSE(CONTROL!$C$21, $C$9, 100%, $E$9)</f>
        <v>29.860600000000002</v>
      </c>
      <c r="N544" s="14">
        <f>CHOOSE(CONTROL!$C$42, 29.8771, 29.8771) * CHOOSE(CONTROL!$C$21, $C$9, 100%, $E$9)</f>
        <v>29.877099999999999</v>
      </c>
      <c r="O544" s="14">
        <f>CHOOSE(CONTROL!$C$42, 30.0853, 30.0853) * CHOOSE(CONTROL!$C$21, $C$9, 100%, $E$9)</f>
        <v>30.0853</v>
      </c>
      <c r="P544" s="14">
        <f>CHOOSE(CONTROL!$C$42, 29.9606, 29.9606) * CHOOSE(CONTROL!$C$21, $C$9, 100%, $E$9)</f>
        <v>29.960599999999999</v>
      </c>
      <c r="Q544" s="14">
        <f>CHOOSE(CONTROL!$C$42, 30.68, 30.68) * CHOOSE(CONTROL!$C$21, $C$9, 100%, $E$9)</f>
        <v>30.68</v>
      </c>
      <c r="R544" s="14">
        <f>CHOOSE(CONTROL!$C$42, 31.3437, 31.3437) * CHOOSE(CONTROL!$C$21, $C$9, 100%, $E$9)</f>
        <v>31.343699999999998</v>
      </c>
      <c r="S544" s="14">
        <f>CHOOSE(CONTROL!$C$42, 29.2565, 29.2565) * CHOOSE(CONTROL!$C$21, $C$9, 100%, $E$9)</f>
        <v>29.256499999999999</v>
      </c>
      <c r="T54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44" s="57">
        <f>(1000*CHOOSE(CONTROL!$C$42, 695, 695)*CHOOSE(CONTROL!$C$42, 0.5599, 0.5599)*CHOOSE(CONTROL!$C$42, 30, 30))/1000000</f>
        <v>11.673914999999997</v>
      </c>
      <c r="V544" s="57">
        <f>(1000*CHOOSE(CONTROL!$C$42, 500, 500)*CHOOSE(CONTROL!$C$42, 0.275, 0.275)*CHOOSE(CONTROL!$C$42, 30, 30))/1000000</f>
        <v>4.125</v>
      </c>
      <c r="W544" s="57">
        <f>(1000*CHOOSE(CONTROL!$C$42, 0.1146, 0.1146)*CHOOSE(CONTROL!$C$42, 121.5, 121.5)*CHOOSE(CONTROL!$C$42, 30, 30))/1000000</f>
        <v>0.417717</v>
      </c>
      <c r="X544" s="57">
        <f>(30*0.1790888*245000/1000000)+(30*0.2374*100000/1000000)</f>
        <v>2.0285026799999999</v>
      </c>
      <c r="Y544" s="57"/>
      <c r="Z544" s="14"/>
      <c r="AA544" s="56"/>
      <c r="AB544" s="50">
        <f>(B544*141.293+C544*267.993+D544*115.016+E544*89.698+F544*40+G544*185+H544*0+I544*100+J544*300)/(141.293+267.993+115.016+89.698+0+40+185+100+300)</f>
        <v>30.520259894915256</v>
      </c>
      <c r="AC544" s="45">
        <f>(M544*'RAP TEMPLATE-GAS AVAILABILITY'!O543+N544*'RAP TEMPLATE-GAS AVAILABILITY'!P543+O544*'RAP TEMPLATE-GAS AVAILABILITY'!Q543+P544*'RAP TEMPLATE-GAS AVAILABILITY'!R543)/('RAP TEMPLATE-GAS AVAILABILITY'!O543+'RAP TEMPLATE-GAS AVAILABILITY'!P543+'RAP TEMPLATE-GAS AVAILABILITY'!Q543+'RAP TEMPLATE-GAS AVAILABILITY'!R543)</f>
        <v>29.941832374100724</v>
      </c>
    </row>
    <row r="545" spans="1:29" ht="15.75" x14ac:dyDescent="0.25">
      <c r="A545" s="32">
        <v>57496</v>
      </c>
      <c r="B545" s="14">
        <f>CHOOSE(CONTROL!$C$42, 30.7268, 30.7268) * CHOOSE(CONTROL!$C$21, $C$9, 100%, $E$9)</f>
        <v>30.726800000000001</v>
      </c>
      <c r="C545" s="14">
        <f>CHOOSE(CONTROL!$C$42, 30.7348, 30.7348) * CHOOSE(CONTROL!$C$21, $C$9, 100%, $E$9)</f>
        <v>30.7348</v>
      </c>
      <c r="D545" s="14">
        <f>CHOOSE(CONTROL!$C$42, 30.9554, 30.9554) * CHOOSE(CONTROL!$C$21, $C$9, 100%, $E$9)</f>
        <v>30.955400000000001</v>
      </c>
      <c r="E545" s="14">
        <f>CHOOSE(CONTROL!$C$42, 30.9868, 30.9868) * CHOOSE(CONTROL!$C$21, $C$9, 100%, $E$9)</f>
        <v>30.986799999999999</v>
      </c>
      <c r="F545" s="14">
        <f>CHOOSE(CONTROL!$C$42, 30.753, 30.753)*CHOOSE(CONTROL!$C$21, $C$9, 100%, $E$9)</f>
        <v>30.753</v>
      </c>
      <c r="G545" s="14">
        <f>CHOOSE(CONTROL!$C$42, 30.7702, 30.7702)*CHOOSE(CONTROL!$C$21, $C$9, 100%, $E$9)</f>
        <v>30.770199999999999</v>
      </c>
      <c r="H545" s="14">
        <f>CHOOSE(CONTROL!$C$42, 30.9755, 30.9755) * CHOOSE(CONTROL!$C$21, $C$9, 100%, $E$9)</f>
        <v>30.9755</v>
      </c>
      <c r="I545" s="14">
        <f>CHOOSE(CONTROL!$C$42, 30.8509, 30.8509)* CHOOSE(CONTROL!$C$21, $C$9, 100%, $E$9)</f>
        <v>30.850899999999999</v>
      </c>
      <c r="J545" s="14">
        <f>CHOOSE(CONTROL!$C$42, 30.746, 30.746)* CHOOSE(CONTROL!$C$21, $C$9, 100%, $E$9)</f>
        <v>30.745999999999999</v>
      </c>
      <c r="K545" s="53">
        <f>CHOOSE(CONTROL!$C$42, 30.847, 30.847) * CHOOSE(CONTROL!$C$21, $C$9, 100%, $E$9)</f>
        <v>30.847000000000001</v>
      </c>
      <c r="L545" s="14">
        <f>CHOOSE(CONTROL!$C$42, 31.5625, 31.5625) * CHOOSE(CONTROL!$C$21, $C$9, 100%, $E$9)</f>
        <v>31.5625</v>
      </c>
      <c r="M545" s="14">
        <f>CHOOSE(CONTROL!$C$42, 30.1238, 30.1238) * CHOOSE(CONTROL!$C$21, $C$9, 100%, $E$9)</f>
        <v>30.123799999999999</v>
      </c>
      <c r="N545" s="14">
        <f>CHOOSE(CONTROL!$C$42, 30.1405, 30.1405) * CHOOSE(CONTROL!$C$21, $C$9, 100%, $E$9)</f>
        <v>30.140499999999999</v>
      </c>
      <c r="O545" s="14">
        <f>CHOOSE(CONTROL!$C$42, 30.3485, 30.3485) * CHOOSE(CONTROL!$C$21, $C$9, 100%, $E$9)</f>
        <v>30.348500000000001</v>
      </c>
      <c r="P545" s="14">
        <f>CHOOSE(CONTROL!$C$42, 30.2246, 30.2246) * CHOOSE(CONTROL!$C$21, $C$9, 100%, $E$9)</f>
        <v>30.224599999999999</v>
      </c>
      <c r="Q545" s="14">
        <f>CHOOSE(CONTROL!$C$42, 30.9432, 30.9432) * CHOOSE(CONTROL!$C$21, $C$9, 100%, $E$9)</f>
        <v>30.943200000000001</v>
      </c>
      <c r="R545" s="14">
        <f>CHOOSE(CONTROL!$C$42, 31.6076, 31.6076) * CHOOSE(CONTROL!$C$21, $C$9, 100%, $E$9)</f>
        <v>31.607600000000001</v>
      </c>
      <c r="S545" s="14">
        <f>CHOOSE(CONTROL!$C$42, 29.5147, 29.5147) * CHOOSE(CONTROL!$C$21, $C$9, 100%, $E$9)</f>
        <v>29.514700000000001</v>
      </c>
      <c r="T54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45" s="57">
        <f>(1000*CHOOSE(CONTROL!$C$42, 695, 695)*CHOOSE(CONTROL!$C$42, 0.5599, 0.5599)*CHOOSE(CONTROL!$C$42, 31, 31))/1000000</f>
        <v>12.063045499999998</v>
      </c>
      <c r="V545" s="57">
        <f>(1000*CHOOSE(CONTROL!$C$42, 500, 500)*CHOOSE(CONTROL!$C$42, 0.275, 0.275)*CHOOSE(CONTROL!$C$42, 31, 31))/1000000</f>
        <v>4.2625000000000002</v>
      </c>
      <c r="W545" s="57">
        <f>(1000*CHOOSE(CONTROL!$C$42, 0.1146, 0.1146)*CHOOSE(CONTROL!$C$42, 121.5, 121.5)*CHOOSE(CONTROL!$C$42, 31, 31))/1000000</f>
        <v>0.43164089999999994</v>
      </c>
      <c r="X545" s="57">
        <f>(31*0.1790888*245000/1000000)+(31*0.2374*100000/1000000)</f>
        <v>2.0961194359999999</v>
      </c>
      <c r="Y545" s="57"/>
      <c r="Z545" s="14"/>
      <c r="AA545" s="56"/>
      <c r="AB545" s="50">
        <f>(B545*194.205+C545*267.466+D545*133.845+E545*53.484+F545*40+G545*185+H545*0+I545*100+J545*300)/(194.205+267.466+133.845+53.484+0+40+185+100+300)</f>
        <v>30.78479806514914</v>
      </c>
      <c r="AC545" s="45">
        <f>(M545*'RAP TEMPLATE-GAS AVAILABILITY'!O544+N545*'RAP TEMPLATE-GAS AVAILABILITY'!P544+O545*'RAP TEMPLATE-GAS AVAILABILITY'!Q544+P545*'RAP TEMPLATE-GAS AVAILABILITY'!R544)/('RAP TEMPLATE-GAS AVAILABILITY'!O544+'RAP TEMPLATE-GAS AVAILABILITY'!P544+'RAP TEMPLATE-GAS AVAILABILITY'!Q544+'RAP TEMPLATE-GAS AVAILABILITY'!R544)</f>
        <v>30.205193525179855</v>
      </c>
    </row>
    <row r="546" spans="1:29" ht="15.75" x14ac:dyDescent="0.25">
      <c r="A546" s="32">
        <v>57526</v>
      </c>
      <c r="B546" s="14">
        <f>CHOOSE(CONTROL!$C$42, 31.598, 31.598) * CHOOSE(CONTROL!$C$21, $C$9, 100%, $E$9)</f>
        <v>31.597999999999999</v>
      </c>
      <c r="C546" s="14">
        <f>CHOOSE(CONTROL!$C$42, 31.6061, 31.6061) * CHOOSE(CONTROL!$C$21, $C$9, 100%, $E$9)</f>
        <v>31.606100000000001</v>
      </c>
      <c r="D546" s="14">
        <f>CHOOSE(CONTROL!$C$42, 31.8267, 31.8267) * CHOOSE(CONTROL!$C$21, $C$9, 100%, $E$9)</f>
        <v>31.826699999999999</v>
      </c>
      <c r="E546" s="14">
        <f>CHOOSE(CONTROL!$C$42, 31.8581, 31.8581) * CHOOSE(CONTROL!$C$21, $C$9, 100%, $E$9)</f>
        <v>31.8581</v>
      </c>
      <c r="F546" s="14">
        <f>CHOOSE(CONTROL!$C$42, 31.6247, 31.6247)*CHOOSE(CONTROL!$C$21, $C$9, 100%, $E$9)</f>
        <v>31.624700000000001</v>
      </c>
      <c r="G546" s="14">
        <f>CHOOSE(CONTROL!$C$42, 31.6419, 31.6419)*CHOOSE(CONTROL!$C$21, $C$9, 100%, $E$9)</f>
        <v>31.6419</v>
      </c>
      <c r="H546" s="14">
        <f>CHOOSE(CONTROL!$C$42, 31.8467, 31.8467) * CHOOSE(CONTROL!$C$21, $C$9, 100%, $E$9)</f>
        <v>31.846699999999998</v>
      </c>
      <c r="I546" s="14">
        <f>CHOOSE(CONTROL!$C$42, 31.7249, 31.7249)* CHOOSE(CONTROL!$C$21, $C$9, 100%, $E$9)</f>
        <v>31.724900000000002</v>
      </c>
      <c r="J546" s="14">
        <f>CHOOSE(CONTROL!$C$42, 31.6177, 31.6177)* CHOOSE(CONTROL!$C$21, $C$9, 100%, $E$9)</f>
        <v>31.617699999999999</v>
      </c>
      <c r="K546" s="53">
        <f>CHOOSE(CONTROL!$C$42, 31.721, 31.721) * CHOOSE(CONTROL!$C$21, $C$9, 100%, $E$9)</f>
        <v>31.721</v>
      </c>
      <c r="L546" s="14">
        <f>CHOOSE(CONTROL!$C$42, 32.4337, 32.4337) * CHOOSE(CONTROL!$C$21, $C$9, 100%, $E$9)</f>
        <v>32.433700000000002</v>
      </c>
      <c r="M546" s="14">
        <f>CHOOSE(CONTROL!$C$42, 30.9775, 30.9775) * CHOOSE(CONTROL!$C$21, $C$9, 100%, $E$9)</f>
        <v>30.977499999999999</v>
      </c>
      <c r="N546" s="14">
        <f>CHOOSE(CONTROL!$C$42, 30.9944, 30.9944) * CHOOSE(CONTROL!$C$21, $C$9, 100%, $E$9)</f>
        <v>30.994399999999999</v>
      </c>
      <c r="O546" s="14">
        <f>CHOOSE(CONTROL!$C$42, 31.2019, 31.2019) * CHOOSE(CONTROL!$C$21, $C$9, 100%, $E$9)</f>
        <v>31.201899999999998</v>
      </c>
      <c r="P546" s="14">
        <f>CHOOSE(CONTROL!$C$42, 31.0806, 31.0806) * CHOOSE(CONTROL!$C$21, $C$9, 100%, $E$9)</f>
        <v>31.0806</v>
      </c>
      <c r="Q546" s="14">
        <f>CHOOSE(CONTROL!$C$42, 31.7966, 31.7966) * CHOOSE(CONTROL!$C$21, $C$9, 100%, $E$9)</f>
        <v>31.796600000000002</v>
      </c>
      <c r="R546" s="14">
        <f>CHOOSE(CONTROL!$C$42, 32.4631, 32.4631) * CHOOSE(CONTROL!$C$21, $C$9, 100%, $E$9)</f>
        <v>32.463099999999997</v>
      </c>
      <c r="S546" s="14">
        <f>CHOOSE(CONTROL!$C$42, 30.3519, 30.3519) * CHOOSE(CONTROL!$C$21, $C$9, 100%, $E$9)</f>
        <v>30.351900000000001</v>
      </c>
      <c r="T54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6" s="57">
        <f>(1000*CHOOSE(CONTROL!$C$42, 695, 695)*CHOOSE(CONTROL!$C$42, 0.5599, 0.5599)*CHOOSE(CONTROL!$C$42, 30, 30))/1000000</f>
        <v>11.673914999999997</v>
      </c>
      <c r="V546" s="57">
        <f>(1000*CHOOSE(CONTROL!$C$42, 500, 500)*CHOOSE(CONTROL!$C$42, 0.275, 0.275)*CHOOSE(CONTROL!$C$42, 30, 30))/1000000</f>
        <v>4.125</v>
      </c>
      <c r="W546" s="57">
        <f>(1000*CHOOSE(CONTROL!$C$42, 0.1146, 0.1146)*CHOOSE(CONTROL!$C$42, 121.5, 121.5)*CHOOSE(CONTROL!$C$42, 30, 30))/1000000</f>
        <v>0.417717</v>
      </c>
      <c r="X546" s="57">
        <f>(30*0.1790888*245000/1000000)+(30*0.2374*100000/1000000)</f>
        <v>2.0285026799999999</v>
      </c>
      <c r="Y546" s="57"/>
      <c r="Z546" s="14"/>
      <c r="AA546" s="56"/>
      <c r="AB546" s="50">
        <f>(B546*194.205+C546*267.466+D546*133.845+E546*53.484+F546*40+G546*185+H546*0+I546*100+J546*300)/(194.205+267.466+133.845+53.484+0+40+185+100+300)</f>
        <v>31.656459587519624</v>
      </c>
      <c r="AC546" s="45">
        <f>(M546*'RAP TEMPLATE-GAS AVAILABILITY'!O545+N546*'RAP TEMPLATE-GAS AVAILABILITY'!P545+O546*'RAP TEMPLATE-GAS AVAILABILITY'!Q545+P546*'RAP TEMPLATE-GAS AVAILABILITY'!R545)/('RAP TEMPLATE-GAS AVAILABILITY'!O545+'RAP TEMPLATE-GAS AVAILABILITY'!P545+'RAP TEMPLATE-GAS AVAILABILITY'!Q545+'RAP TEMPLATE-GAS AVAILABILITY'!R545)</f>
        <v>31.059186330935251</v>
      </c>
    </row>
    <row r="547" spans="1:29" ht="15.75" x14ac:dyDescent="0.25">
      <c r="A547" s="32">
        <v>57557</v>
      </c>
      <c r="B547" s="14">
        <f>CHOOSE(CONTROL!$C$42, 30.9921, 30.9921) * CHOOSE(CONTROL!$C$21, $C$9, 100%, $E$9)</f>
        <v>30.992100000000001</v>
      </c>
      <c r="C547" s="14">
        <f>CHOOSE(CONTROL!$C$42, 31.0001, 31.0001) * CHOOSE(CONTROL!$C$21, $C$9, 100%, $E$9)</f>
        <v>31.0001</v>
      </c>
      <c r="D547" s="14">
        <f>CHOOSE(CONTROL!$C$42, 31.2207, 31.2207) * CHOOSE(CONTROL!$C$21, $C$9, 100%, $E$9)</f>
        <v>31.220700000000001</v>
      </c>
      <c r="E547" s="14">
        <f>CHOOSE(CONTROL!$C$42, 31.2521, 31.2521) * CHOOSE(CONTROL!$C$21, $C$9, 100%, $E$9)</f>
        <v>31.252099999999999</v>
      </c>
      <c r="F547" s="14">
        <f>CHOOSE(CONTROL!$C$42, 31.0191, 31.0191)*CHOOSE(CONTROL!$C$21, $C$9, 100%, $E$9)</f>
        <v>31.019100000000002</v>
      </c>
      <c r="G547" s="14">
        <f>CHOOSE(CONTROL!$C$42, 31.0365, 31.0365)*CHOOSE(CONTROL!$C$21, $C$9, 100%, $E$9)</f>
        <v>31.0365</v>
      </c>
      <c r="H547" s="14">
        <f>CHOOSE(CONTROL!$C$42, 31.2408, 31.2408) * CHOOSE(CONTROL!$C$21, $C$9, 100%, $E$9)</f>
        <v>31.2408</v>
      </c>
      <c r="I547" s="14">
        <f>CHOOSE(CONTROL!$C$42, 31.117, 31.117)* CHOOSE(CONTROL!$C$21, $C$9, 100%, $E$9)</f>
        <v>31.117000000000001</v>
      </c>
      <c r="J547" s="14">
        <f>CHOOSE(CONTROL!$C$42, 31.0121, 31.0121)* CHOOSE(CONTROL!$C$21, $C$9, 100%, $E$9)</f>
        <v>31.0121</v>
      </c>
      <c r="K547" s="53">
        <f>CHOOSE(CONTROL!$C$42, 31.1131, 31.1131) * CHOOSE(CONTROL!$C$21, $C$9, 100%, $E$9)</f>
        <v>31.113099999999999</v>
      </c>
      <c r="L547" s="14">
        <f>CHOOSE(CONTROL!$C$42, 31.8278, 31.8278) * CHOOSE(CONTROL!$C$21, $C$9, 100%, $E$9)</f>
        <v>31.8278</v>
      </c>
      <c r="M547" s="14">
        <f>CHOOSE(CONTROL!$C$42, 30.3844, 30.3844) * CHOOSE(CONTROL!$C$21, $C$9, 100%, $E$9)</f>
        <v>30.384399999999999</v>
      </c>
      <c r="N547" s="14">
        <f>CHOOSE(CONTROL!$C$42, 30.4014, 30.4014) * CHOOSE(CONTROL!$C$21, $C$9, 100%, $E$9)</f>
        <v>30.401399999999999</v>
      </c>
      <c r="O547" s="14">
        <f>CHOOSE(CONTROL!$C$42, 30.6084, 30.6084) * CHOOSE(CONTROL!$C$21, $C$9, 100%, $E$9)</f>
        <v>30.6084</v>
      </c>
      <c r="P547" s="14">
        <f>CHOOSE(CONTROL!$C$42, 30.4853, 30.4853) * CHOOSE(CONTROL!$C$21, $C$9, 100%, $E$9)</f>
        <v>30.485299999999999</v>
      </c>
      <c r="Q547" s="14">
        <f>CHOOSE(CONTROL!$C$42, 31.2031, 31.2031) * CHOOSE(CONTROL!$C$21, $C$9, 100%, $E$9)</f>
        <v>31.203099999999999</v>
      </c>
      <c r="R547" s="14">
        <f>CHOOSE(CONTROL!$C$42, 31.8681, 31.8681) * CHOOSE(CONTROL!$C$21, $C$9, 100%, $E$9)</f>
        <v>31.868099999999998</v>
      </c>
      <c r="S547" s="14">
        <f>CHOOSE(CONTROL!$C$42, 29.7696, 29.7696) * CHOOSE(CONTROL!$C$21, $C$9, 100%, $E$9)</f>
        <v>29.769600000000001</v>
      </c>
      <c r="T54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47" s="57">
        <f>(1000*CHOOSE(CONTROL!$C$42, 695, 695)*CHOOSE(CONTROL!$C$42, 0.5599, 0.5599)*CHOOSE(CONTROL!$C$42, 31, 31))/1000000</f>
        <v>12.063045499999998</v>
      </c>
      <c r="V547" s="57">
        <f>(1000*CHOOSE(CONTROL!$C$42, 500, 500)*CHOOSE(CONTROL!$C$42, 0.275, 0.275)*CHOOSE(CONTROL!$C$42, 31, 31))/1000000</f>
        <v>4.2625000000000002</v>
      </c>
      <c r="W547" s="57">
        <f>(1000*CHOOSE(CONTROL!$C$42, 0.1146, 0.1146)*CHOOSE(CONTROL!$C$42, 121.5, 121.5)*CHOOSE(CONTROL!$C$42, 31, 31))/1000000</f>
        <v>0.43164089999999994</v>
      </c>
      <c r="X547" s="57">
        <f>(31*0.1790888*245000/1000000)+(31*0.2374*100000/1000000)</f>
        <v>2.0961194359999999</v>
      </c>
      <c r="Y547" s="57"/>
      <c r="Z547" s="14"/>
      <c r="AA547" s="56"/>
      <c r="AB547" s="50">
        <f>(B547*194.205+C547*267.466+D547*133.845+E547*53.484+F547*40+G547*185+H547*0+I547*100+J547*300)/(194.205+267.466+133.845+53.484+0+40+185+100+300)</f>
        <v>31.050519572213503</v>
      </c>
      <c r="AC547" s="45">
        <f>(M547*'RAP TEMPLATE-GAS AVAILABILITY'!O546+N547*'RAP TEMPLATE-GAS AVAILABILITY'!P546+O547*'RAP TEMPLATE-GAS AVAILABILITY'!Q546+P547*'RAP TEMPLATE-GAS AVAILABILITY'!R546)/('RAP TEMPLATE-GAS AVAILABILITY'!O546+'RAP TEMPLATE-GAS AVAILABILITY'!P546+'RAP TEMPLATE-GAS AVAILABILITY'!Q546+'RAP TEMPLATE-GAS AVAILABILITY'!R546)</f>
        <v>30.465680575539565</v>
      </c>
    </row>
    <row r="548" spans="1:29" ht="15.75" x14ac:dyDescent="0.25">
      <c r="A548" s="32">
        <v>57588</v>
      </c>
      <c r="B548" s="14">
        <f>CHOOSE(CONTROL!$C$42, 29.4618, 29.4618) * CHOOSE(CONTROL!$C$21, $C$9, 100%, $E$9)</f>
        <v>29.4618</v>
      </c>
      <c r="C548" s="14">
        <f>CHOOSE(CONTROL!$C$42, 29.4698, 29.4698) * CHOOSE(CONTROL!$C$21, $C$9, 100%, $E$9)</f>
        <v>29.469799999999999</v>
      </c>
      <c r="D548" s="14">
        <f>CHOOSE(CONTROL!$C$42, 29.6904, 29.6904) * CHOOSE(CONTROL!$C$21, $C$9, 100%, $E$9)</f>
        <v>29.6904</v>
      </c>
      <c r="E548" s="14">
        <f>CHOOSE(CONTROL!$C$42, 29.7219, 29.7219) * CHOOSE(CONTROL!$C$21, $C$9, 100%, $E$9)</f>
        <v>29.721900000000002</v>
      </c>
      <c r="F548" s="14">
        <f>CHOOSE(CONTROL!$C$42, 29.4892, 29.4892)*CHOOSE(CONTROL!$C$21, $C$9, 100%, $E$9)</f>
        <v>29.4892</v>
      </c>
      <c r="G548" s="14">
        <f>CHOOSE(CONTROL!$C$42, 29.5066, 29.5066)*CHOOSE(CONTROL!$C$21, $C$9, 100%, $E$9)</f>
        <v>29.506599999999999</v>
      </c>
      <c r="H548" s="14">
        <f>CHOOSE(CONTROL!$C$42, 29.7105, 29.7105) * CHOOSE(CONTROL!$C$21, $C$9, 100%, $E$9)</f>
        <v>29.7105</v>
      </c>
      <c r="I548" s="14">
        <f>CHOOSE(CONTROL!$C$42, 29.582, 29.582)* CHOOSE(CONTROL!$C$21, $C$9, 100%, $E$9)</f>
        <v>29.582000000000001</v>
      </c>
      <c r="J548" s="14">
        <f>CHOOSE(CONTROL!$C$42, 29.4822, 29.4822)* CHOOSE(CONTROL!$C$21, $C$9, 100%, $E$9)</f>
        <v>29.482199999999999</v>
      </c>
      <c r="K548" s="53">
        <f>CHOOSE(CONTROL!$C$42, 29.5781, 29.5781) * CHOOSE(CONTROL!$C$21, $C$9, 100%, $E$9)</f>
        <v>29.578099999999999</v>
      </c>
      <c r="L548" s="14">
        <f>CHOOSE(CONTROL!$C$42, 30.2975, 30.2975) * CHOOSE(CONTROL!$C$21, $C$9, 100%, $E$9)</f>
        <v>30.297499999999999</v>
      </c>
      <c r="M548" s="14">
        <f>CHOOSE(CONTROL!$C$42, 28.8858, 28.8858) * CHOOSE(CONTROL!$C$21, $C$9, 100%, $E$9)</f>
        <v>28.8858</v>
      </c>
      <c r="N548" s="14">
        <f>CHOOSE(CONTROL!$C$42, 28.9028, 28.9028) * CHOOSE(CONTROL!$C$21, $C$9, 100%, $E$9)</f>
        <v>28.902799999999999</v>
      </c>
      <c r="O548" s="14">
        <f>CHOOSE(CONTROL!$C$42, 29.1094, 29.1094) * CHOOSE(CONTROL!$C$21, $C$9, 100%, $E$9)</f>
        <v>29.109400000000001</v>
      </c>
      <c r="P548" s="14">
        <f>CHOOSE(CONTROL!$C$42, 28.9818, 28.9818) * CHOOSE(CONTROL!$C$21, $C$9, 100%, $E$9)</f>
        <v>28.9818</v>
      </c>
      <c r="Q548" s="14">
        <f>CHOOSE(CONTROL!$C$42, 29.7041, 29.7041) * CHOOSE(CONTROL!$C$21, $C$9, 100%, $E$9)</f>
        <v>29.7041</v>
      </c>
      <c r="R548" s="14">
        <f>CHOOSE(CONTROL!$C$42, 30.3654, 30.3654) * CHOOSE(CONTROL!$C$21, $C$9, 100%, $E$9)</f>
        <v>30.365400000000001</v>
      </c>
      <c r="S548" s="14">
        <f>CHOOSE(CONTROL!$C$42, 28.2992, 28.2992) * CHOOSE(CONTROL!$C$21, $C$9, 100%, $E$9)</f>
        <v>28.299199999999999</v>
      </c>
      <c r="T54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48" s="57">
        <f>(1000*CHOOSE(CONTROL!$C$42, 695, 695)*CHOOSE(CONTROL!$C$42, 0.5599, 0.5599)*CHOOSE(CONTROL!$C$42, 31, 31))/1000000</f>
        <v>12.063045499999998</v>
      </c>
      <c r="V548" s="57">
        <f>(1000*CHOOSE(CONTROL!$C$42, 500, 500)*CHOOSE(CONTROL!$C$42, 0.275, 0.275)*CHOOSE(CONTROL!$C$42, 31, 31))/1000000</f>
        <v>4.2625000000000002</v>
      </c>
      <c r="W548" s="57">
        <f>(1000*CHOOSE(CONTROL!$C$42, 0.1146, 0.1146)*CHOOSE(CONTROL!$C$42, 121.5, 121.5)*CHOOSE(CONTROL!$C$42, 31, 31))/1000000</f>
        <v>0.43164089999999994</v>
      </c>
      <c r="X548" s="57">
        <f>(31*0.1790888*245000/1000000)+(31*0.2374*100000/1000000)</f>
        <v>2.0961194359999999</v>
      </c>
      <c r="Y548" s="57"/>
      <c r="Z548" s="14"/>
      <c r="AA548" s="56"/>
      <c r="AB548" s="50">
        <f>(B548*194.205+C548*267.466+D548*133.845+E548*53.484+F548*40+G548*185+H548*0+I548*100+J548*300)/(194.205+267.466+133.845+53.484+0+40+185+100+300)</f>
        <v>29.520019688697015</v>
      </c>
      <c r="AC548" s="45">
        <f>(M548*'RAP TEMPLATE-GAS AVAILABILITY'!O547+N548*'RAP TEMPLATE-GAS AVAILABILITY'!P547+O548*'RAP TEMPLATE-GAS AVAILABILITY'!Q547+P548*'RAP TEMPLATE-GAS AVAILABILITY'!R547)/('RAP TEMPLATE-GAS AVAILABILITY'!O547+'RAP TEMPLATE-GAS AVAILABILITY'!P547+'RAP TEMPLATE-GAS AVAILABILITY'!Q547+'RAP TEMPLATE-GAS AVAILABILITY'!R547)</f>
        <v>28.966263309352517</v>
      </c>
    </row>
    <row r="549" spans="1:29" ht="15.75" x14ac:dyDescent="0.25">
      <c r="A549" s="32">
        <v>57618</v>
      </c>
      <c r="B549" s="14">
        <f>CHOOSE(CONTROL!$C$42, 27.5919, 27.5919) * CHOOSE(CONTROL!$C$21, $C$9, 100%, $E$9)</f>
        <v>27.591899999999999</v>
      </c>
      <c r="C549" s="14">
        <f>CHOOSE(CONTROL!$C$42, 27.5999, 27.5999) * CHOOSE(CONTROL!$C$21, $C$9, 100%, $E$9)</f>
        <v>27.599900000000002</v>
      </c>
      <c r="D549" s="14">
        <f>CHOOSE(CONTROL!$C$42, 27.8205, 27.8205) * CHOOSE(CONTROL!$C$21, $C$9, 100%, $E$9)</f>
        <v>27.820499999999999</v>
      </c>
      <c r="E549" s="14">
        <f>CHOOSE(CONTROL!$C$42, 27.8519, 27.8519) * CHOOSE(CONTROL!$C$21, $C$9, 100%, $E$9)</f>
        <v>27.851900000000001</v>
      </c>
      <c r="F549" s="14">
        <f>CHOOSE(CONTROL!$C$42, 27.6192, 27.6192)*CHOOSE(CONTROL!$C$21, $C$9, 100%, $E$9)</f>
        <v>27.619199999999999</v>
      </c>
      <c r="G549" s="14">
        <f>CHOOSE(CONTROL!$C$42, 27.6366, 27.6366)*CHOOSE(CONTROL!$C$21, $C$9, 100%, $E$9)</f>
        <v>27.636600000000001</v>
      </c>
      <c r="H549" s="14">
        <f>CHOOSE(CONTROL!$C$42, 27.8406, 27.8406) * CHOOSE(CONTROL!$C$21, $C$9, 100%, $E$9)</f>
        <v>27.840599999999998</v>
      </c>
      <c r="I549" s="14">
        <f>CHOOSE(CONTROL!$C$42, 27.7062, 27.7062)* CHOOSE(CONTROL!$C$21, $C$9, 100%, $E$9)</f>
        <v>27.706199999999999</v>
      </c>
      <c r="J549" s="14">
        <f>CHOOSE(CONTROL!$C$42, 27.6122, 27.6122)* CHOOSE(CONTROL!$C$21, $C$9, 100%, $E$9)</f>
        <v>27.612200000000001</v>
      </c>
      <c r="K549" s="53">
        <f>CHOOSE(CONTROL!$C$42, 27.7023, 27.7023) * CHOOSE(CONTROL!$C$21, $C$9, 100%, $E$9)</f>
        <v>27.702300000000001</v>
      </c>
      <c r="L549" s="14">
        <f>CHOOSE(CONTROL!$C$42, 28.4276, 28.4276) * CHOOSE(CONTROL!$C$21, $C$9, 100%, $E$9)</f>
        <v>28.427600000000002</v>
      </c>
      <c r="M549" s="14">
        <f>CHOOSE(CONTROL!$C$42, 27.0541, 27.0541) * CHOOSE(CONTROL!$C$21, $C$9, 100%, $E$9)</f>
        <v>27.054099999999998</v>
      </c>
      <c r="N549" s="14">
        <f>CHOOSE(CONTROL!$C$42, 27.0712, 27.0712) * CHOOSE(CONTROL!$C$21, $C$9, 100%, $E$9)</f>
        <v>27.071200000000001</v>
      </c>
      <c r="O549" s="14">
        <f>CHOOSE(CONTROL!$C$42, 27.2778, 27.2778) * CHOOSE(CONTROL!$C$21, $C$9, 100%, $E$9)</f>
        <v>27.277799999999999</v>
      </c>
      <c r="P549" s="14">
        <f>CHOOSE(CONTROL!$C$42, 27.1445, 27.1445) * CHOOSE(CONTROL!$C$21, $C$9, 100%, $E$9)</f>
        <v>27.144500000000001</v>
      </c>
      <c r="Q549" s="14">
        <f>CHOOSE(CONTROL!$C$42, 27.8725, 27.8725) * CHOOSE(CONTROL!$C$21, $C$9, 100%, $E$9)</f>
        <v>27.872499999999999</v>
      </c>
      <c r="R549" s="14">
        <f>CHOOSE(CONTROL!$C$42, 28.5292, 28.5292) * CHOOSE(CONTROL!$C$21, $C$9, 100%, $E$9)</f>
        <v>28.529199999999999</v>
      </c>
      <c r="S549" s="14">
        <f>CHOOSE(CONTROL!$C$42, 26.5024, 26.5024) * CHOOSE(CONTROL!$C$21, $C$9, 100%, $E$9)</f>
        <v>26.502400000000002</v>
      </c>
      <c r="T54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49" s="57">
        <f>(1000*CHOOSE(CONTROL!$C$42, 695, 695)*CHOOSE(CONTROL!$C$42, 0.5599, 0.5599)*CHOOSE(CONTROL!$C$42, 30, 30))/1000000</f>
        <v>11.673914999999997</v>
      </c>
      <c r="V549" s="57">
        <f>(1000*CHOOSE(CONTROL!$C$42, 500, 500)*CHOOSE(CONTROL!$C$42, 0.275, 0.275)*CHOOSE(CONTROL!$C$42, 30, 30))/1000000</f>
        <v>4.125</v>
      </c>
      <c r="W549" s="57">
        <f>(1000*CHOOSE(CONTROL!$C$42, 0.1146, 0.1146)*CHOOSE(CONTROL!$C$42, 121.5, 121.5)*CHOOSE(CONTROL!$C$42, 30, 30))/1000000</f>
        <v>0.417717</v>
      </c>
      <c r="X549" s="57">
        <f>(30*0.1790888*245000/1000000)+(30*0.2374*100000/1000000)</f>
        <v>2.0285026799999999</v>
      </c>
      <c r="Y549" s="57"/>
      <c r="Z549" s="14"/>
      <c r="AA549" s="56"/>
      <c r="AB549" s="50">
        <f>(B549*194.205+C549*267.466+D549*133.845+E549*53.484+F549*40+G549*185+H549*0+I549*100+J549*300)/(194.205+267.466+133.845+53.484+0+40+185+100+300)</f>
        <v>27.649611173469385</v>
      </c>
      <c r="AC549" s="45">
        <f>(M549*'RAP TEMPLATE-GAS AVAILABILITY'!O548+N549*'RAP TEMPLATE-GAS AVAILABILITY'!P548+O549*'RAP TEMPLATE-GAS AVAILABILITY'!Q548+P549*'RAP TEMPLATE-GAS AVAILABILITY'!R548)/('RAP TEMPLATE-GAS AVAILABILITY'!O548+'RAP TEMPLATE-GAS AVAILABILITY'!P548+'RAP TEMPLATE-GAS AVAILABILITY'!Q548+'RAP TEMPLATE-GAS AVAILABILITY'!R548)</f>
        <v>27.133808633093523</v>
      </c>
    </row>
    <row r="550" spans="1:29" ht="15.75" x14ac:dyDescent="0.25">
      <c r="A550" s="32">
        <v>57649</v>
      </c>
      <c r="B550" s="14">
        <f>CHOOSE(CONTROL!$C$42, 27.0301, 27.0301) * CHOOSE(CONTROL!$C$21, $C$9, 100%, $E$9)</f>
        <v>27.030100000000001</v>
      </c>
      <c r="C550" s="14">
        <f>CHOOSE(CONTROL!$C$42, 27.0354, 27.0354) * CHOOSE(CONTROL!$C$21, $C$9, 100%, $E$9)</f>
        <v>27.035399999999999</v>
      </c>
      <c r="D550" s="14">
        <f>CHOOSE(CONTROL!$C$42, 27.261, 27.261) * CHOOSE(CONTROL!$C$21, $C$9, 100%, $E$9)</f>
        <v>27.260999999999999</v>
      </c>
      <c r="E550" s="14">
        <f>CHOOSE(CONTROL!$C$42, 27.2901, 27.2901) * CHOOSE(CONTROL!$C$21, $C$9, 100%, $E$9)</f>
        <v>27.290099999999999</v>
      </c>
      <c r="F550" s="14">
        <f>CHOOSE(CONTROL!$C$42, 27.0595, 27.0595)*CHOOSE(CONTROL!$C$21, $C$9, 100%, $E$9)</f>
        <v>27.0595</v>
      </c>
      <c r="G550" s="14">
        <f>CHOOSE(CONTROL!$C$42, 27.0767, 27.0767)*CHOOSE(CONTROL!$C$21, $C$9, 100%, $E$9)</f>
        <v>27.076699999999999</v>
      </c>
      <c r="H550" s="14">
        <f>CHOOSE(CONTROL!$C$42, 27.2806, 27.2806) * CHOOSE(CONTROL!$C$21, $C$9, 100%, $E$9)</f>
        <v>27.2806</v>
      </c>
      <c r="I550" s="14">
        <f>CHOOSE(CONTROL!$C$42, 27.1444, 27.1444)* CHOOSE(CONTROL!$C$21, $C$9, 100%, $E$9)</f>
        <v>27.144400000000001</v>
      </c>
      <c r="J550" s="14">
        <f>CHOOSE(CONTROL!$C$42, 27.0525, 27.0525)* CHOOSE(CONTROL!$C$21, $C$9, 100%, $E$9)</f>
        <v>27.052499999999998</v>
      </c>
      <c r="K550" s="53">
        <f>CHOOSE(CONTROL!$C$42, 27.1405, 27.1405) * CHOOSE(CONTROL!$C$21, $C$9, 100%, $E$9)</f>
        <v>27.140499999999999</v>
      </c>
      <c r="L550" s="14">
        <f>CHOOSE(CONTROL!$C$42, 27.8676, 27.8676) * CHOOSE(CONTROL!$C$21, $C$9, 100%, $E$9)</f>
        <v>27.867599999999999</v>
      </c>
      <c r="M550" s="14">
        <f>CHOOSE(CONTROL!$C$42, 26.5059, 26.5059) * CHOOSE(CONTROL!$C$21, $C$9, 100%, $E$9)</f>
        <v>26.5059</v>
      </c>
      <c r="N550" s="14">
        <f>CHOOSE(CONTROL!$C$42, 26.5228, 26.5228) * CHOOSE(CONTROL!$C$21, $C$9, 100%, $E$9)</f>
        <v>26.5228</v>
      </c>
      <c r="O550" s="14">
        <f>CHOOSE(CONTROL!$C$42, 26.7293, 26.7293) * CHOOSE(CONTROL!$C$21, $C$9, 100%, $E$9)</f>
        <v>26.729299999999999</v>
      </c>
      <c r="P550" s="14">
        <f>CHOOSE(CONTROL!$C$42, 26.5943, 26.5943) * CHOOSE(CONTROL!$C$21, $C$9, 100%, $E$9)</f>
        <v>26.5943</v>
      </c>
      <c r="Q550" s="14">
        <f>CHOOSE(CONTROL!$C$42, 27.324, 27.324) * CHOOSE(CONTROL!$C$21, $C$9, 100%, $E$9)</f>
        <v>27.324000000000002</v>
      </c>
      <c r="R550" s="14">
        <f>CHOOSE(CONTROL!$C$42, 27.9793, 27.9793) * CHOOSE(CONTROL!$C$21, $C$9, 100%, $E$9)</f>
        <v>27.979299999999999</v>
      </c>
      <c r="S550" s="14">
        <f>CHOOSE(CONTROL!$C$42, 25.9643, 25.9643) * CHOOSE(CONTROL!$C$21, $C$9, 100%, $E$9)</f>
        <v>25.964300000000001</v>
      </c>
      <c r="T55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50" s="57">
        <f>(1000*CHOOSE(CONTROL!$C$42, 695, 695)*CHOOSE(CONTROL!$C$42, 0.5599, 0.5599)*CHOOSE(CONTROL!$C$42, 31, 31))/1000000</f>
        <v>12.063045499999998</v>
      </c>
      <c r="V550" s="57">
        <f>(1000*CHOOSE(CONTROL!$C$42, 500, 500)*CHOOSE(CONTROL!$C$42, 0.275, 0.275)*CHOOSE(CONTROL!$C$42, 31, 31))/1000000</f>
        <v>4.2625000000000002</v>
      </c>
      <c r="W550" s="57">
        <f>(1000*CHOOSE(CONTROL!$C$42, 0.1146, 0.1146)*CHOOSE(CONTROL!$C$42, 121.5, 121.5)*CHOOSE(CONTROL!$C$42, 31, 31))/1000000</f>
        <v>0.43164089999999994</v>
      </c>
      <c r="X550" s="57">
        <f>(31*0.1790888*245000/1000000)+(31*0.2374*100000/1000000)</f>
        <v>2.0961194359999999</v>
      </c>
      <c r="Y550" s="57"/>
      <c r="Z550" s="14"/>
      <c r="AA550" s="56"/>
      <c r="AB550" s="50">
        <f>(B550*131.881+C550*277.167+D550*79.08+E550*125.872+F550*40+G550*185+H550*0+I550*100+J550*300)/(131.881+277.167+79.08+125.872+0+40+185+100+300)</f>
        <v>27.094992879015333</v>
      </c>
      <c r="AC550" s="45">
        <f>(M550*'RAP TEMPLATE-GAS AVAILABILITY'!O549+N550*'RAP TEMPLATE-GAS AVAILABILITY'!P549+O550*'RAP TEMPLATE-GAS AVAILABILITY'!Q549+P550*'RAP TEMPLATE-GAS AVAILABILITY'!R549)/('RAP TEMPLATE-GAS AVAILABILITY'!O549+'RAP TEMPLATE-GAS AVAILABILITY'!P549+'RAP TEMPLATE-GAS AVAILABILITY'!Q549+'RAP TEMPLATE-GAS AVAILABILITY'!R549)</f>
        <v>26.585190647482015</v>
      </c>
    </row>
    <row r="551" spans="1:29" ht="15.75" x14ac:dyDescent="0.25">
      <c r="A551" s="32">
        <v>57679</v>
      </c>
      <c r="B551" s="14">
        <f>CHOOSE(CONTROL!$C$42, 27.7415, 27.7415) * CHOOSE(CONTROL!$C$21, $C$9, 100%, $E$9)</f>
        <v>27.741499999999998</v>
      </c>
      <c r="C551" s="14">
        <f>CHOOSE(CONTROL!$C$42, 27.7466, 27.7466) * CHOOSE(CONTROL!$C$21, $C$9, 100%, $E$9)</f>
        <v>27.746600000000001</v>
      </c>
      <c r="D551" s="14">
        <f>CHOOSE(CONTROL!$C$42, 27.8208, 27.8208) * CHOOSE(CONTROL!$C$21, $C$9, 100%, $E$9)</f>
        <v>27.820799999999998</v>
      </c>
      <c r="E551" s="14">
        <f>CHOOSE(CONTROL!$C$42, 27.8549, 27.8549) * CHOOSE(CONTROL!$C$21, $C$9, 100%, $E$9)</f>
        <v>27.854900000000001</v>
      </c>
      <c r="F551" s="14">
        <f>CHOOSE(CONTROL!$C$42, 27.7776, 27.7776)*CHOOSE(CONTROL!$C$21, $C$9, 100%, $E$9)</f>
        <v>27.7776</v>
      </c>
      <c r="G551" s="14">
        <f>CHOOSE(CONTROL!$C$42, 27.7951, 27.7951)*CHOOSE(CONTROL!$C$21, $C$9, 100%, $E$9)</f>
        <v>27.795100000000001</v>
      </c>
      <c r="H551" s="14">
        <f>CHOOSE(CONTROL!$C$42, 27.8441, 27.8441) * CHOOSE(CONTROL!$C$21, $C$9, 100%, $E$9)</f>
        <v>27.844100000000001</v>
      </c>
      <c r="I551" s="14">
        <f>CHOOSE(CONTROL!$C$42, 27.8559, 27.8559)* CHOOSE(CONTROL!$C$21, $C$9, 100%, $E$9)</f>
        <v>27.855899999999998</v>
      </c>
      <c r="J551" s="14">
        <f>CHOOSE(CONTROL!$C$42, 27.7706, 27.7706)* CHOOSE(CONTROL!$C$21, $C$9, 100%, $E$9)</f>
        <v>27.770600000000002</v>
      </c>
      <c r="K551" s="53">
        <f>CHOOSE(CONTROL!$C$42, 27.852, 27.852) * CHOOSE(CONTROL!$C$21, $C$9, 100%, $E$9)</f>
        <v>27.852</v>
      </c>
      <c r="L551" s="14">
        <f>CHOOSE(CONTROL!$C$42, 28.4311, 28.4311) * CHOOSE(CONTROL!$C$21, $C$9, 100%, $E$9)</f>
        <v>28.431100000000001</v>
      </c>
      <c r="M551" s="14">
        <f>CHOOSE(CONTROL!$C$42, 27.2093, 27.2093) * CHOOSE(CONTROL!$C$21, $C$9, 100%, $E$9)</f>
        <v>27.209299999999999</v>
      </c>
      <c r="N551" s="14">
        <f>CHOOSE(CONTROL!$C$42, 27.2264, 27.2264) * CHOOSE(CONTROL!$C$21, $C$9, 100%, $E$9)</f>
        <v>27.226400000000002</v>
      </c>
      <c r="O551" s="14">
        <f>CHOOSE(CONTROL!$C$42, 27.2813, 27.2813) * CHOOSE(CONTROL!$C$21, $C$9, 100%, $E$9)</f>
        <v>27.281300000000002</v>
      </c>
      <c r="P551" s="14">
        <f>CHOOSE(CONTROL!$C$42, 27.2912, 27.2912) * CHOOSE(CONTROL!$C$21, $C$9, 100%, $E$9)</f>
        <v>27.2912</v>
      </c>
      <c r="Q551" s="14">
        <f>CHOOSE(CONTROL!$C$42, 27.876, 27.876) * CHOOSE(CONTROL!$C$21, $C$9, 100%, $E$9)</f>
        <v>27.876000000000001</v>
      </c>
      <c r="R551" s="14">
        <f>CHOOSE(CONTROL!$C$42, 28.5327, 28.5327) * CHOOSE(CONTROL!$C$21, $C$9, 100%, $E$9)</f>
        <v>28.532699999999998</v>
      </c>
      <c r="S551" s="14">
        <f>CHOOSE(CONTROL!$C$42, 26.6483, 26.6483) * CHOOSE(CONTROL!$C$21, $C$9, 100%, $E$9)</f>
        <v>26.648299999999999</v>
      </c>
      <c r="T55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51" s="57">
        <f>(1000*CHOOSE(CONTROL!$C$42, 695, 695)*CHOOSE(CONTROL!$C$42, 0.5599, 0.5599)*CHOOSE(CONTROL!$C$42, 30, 30))/1000000</f>
        <v>11.673914999999997</v>
      </c>
      <c r="V551" s="57">
        <f>(1000*CHOOSE(CONTROL!$C$42, 500, 500)*CHOOSE(CONTROL!$C$42, 0.275, 0.275)*CHOOSE(CONTROL!$C$42, 30, 30))/1000000</f>
        <v>4.125</v>
      </c>
      <c r="W551" s="57">
        <f>(1000*CHOOSE(CONTROL!$C$42, 0.1146, 0.1146)*CHOOSE(CONTROL!$C$42, 121.5, 121.5)*CHOOSE(CONTROL!$C$42, 30, 30))/1000000</f>
        <v>0.417717</v>
      </c>
      <c r="X551" s="57">
        <f>(30*0.1790888*100000/1000000)+(30*0.2374*100000/1000000)</f>
        <v>1.2494664</v>
      </c>
      <c r="Y551" s="57"/>
      <c r="Z551" s="14"/>
      <c r="AA551" s="56"/>
      <c r="AB551" s="50">
        <f>(B551*122.58+C551*297.941+D551*89.177+E551*40.302+F551*40+G551*160+H551*0+I551*100+J551*300)/(122.58+297.941+89.177+40.302+0+40+160+100+300)</f>
        <v>27.779196940869564</v>
      </c>
      <c r="AC551" s="45">
        <f>(M551*'RAP TEMPLATE-GAS AVAILABILITY'!O550+N551*'RAP TEMPLATE-GAS AVAILABILITY'!P550+O551*'RAP TEMPLATE-GAS AVAILABILITY'!Q550+P551*'RAP TEMPLATE-GAS AVAILABILITY'!R550)/('RAP TEMPLATE-GAS AVAILABILITY'!O550+'RAP TEMPLATE-GAS AVAILABILITY'!P550+'RAP TEMPLATE-GAS AVAILABILITY'!Q550+'RAP TEMPLATE-GAS AVAILABILITY'!R550)</f>
        <v>27.254701438848922</v>
      </c>
    </row>
    <row r="552" spans="1:29" ht="15.75" x14ac:dyDescent="0.25">
      <c r="A552" s="32">
        <v>57710</v>
      </c>
      <c r="B552" s="14">
        <f>CHOOSE(CONTROL!$C$42, 29.6323, 29.6323) * CHOOSE(CONTROL!$C$21, $C$9, 100%, $E$9)</f>
        <v>29.632300000000001</v>
      </c>
      <c r="C552" s="14">
        <f>CHOOSE(CONTROL!$C$42, 29.6374, 29.6374) * CHOOSE(CONTROL!$C$21, $C$9, 100%, $E$9)</f>
        <v>29.6374</v>
      </c>
      <c r="D552" s="14">
        <f>CHOOSE(CONTROL!$C$42, 29.7116, 29.7116) * CHOOSE(CONTROL!$C$21, $C$9, 100%, $E$9)</f>
        <v>29.711600000000001</v>
      </c>
      <c r="E552" s="14">
        <f>CHOOSE(CONTROL!$C$42, 29.7457, 29.7457) * CHOOSE(CONTROL!$C$21, $C$9, 100%, $E$9)</f>
        <v>29.745699999999999</v>
      </c>
      <c r="F552" s="14">
        <f>CHOOSE(CONTROL!$C$42, 29.6707, 29.6707)*CHOOSE(CONTROL!$C$21, $C$9, 100%, $E$9)</f>
        <v>29.6707</v>
      </c>
      <c r="G552" s="14">
        <f>CHOOSE(CONTROL!$C$42, 29.6888, 29.6888)*CHOOSE(CONTROL!$C$21, $C$9, 100%, $E$9)</f>
        <v>29.688800000000001</v>
      </c>
      <c r="H552" s="14">
        <f>CHOOSE(CONTROL!$C$42, 29.7349, 29.7349) * CHOOSE(CONTROL!$C$21, $C$9, 100%, $E$9)</f>
        <v>29.7349</v>
      </c>
      <c r="I552" s="14">
        <f>CHOOSE(CONTROL!$C$42, 29.7525, 29.7525)* CHOOSE(CONTROL!$C$21, $C$9, 100%, $E$9)</f>
        <v>29.752500000000001</v>
      </c>
      <c r="J552" s="14">
        <f>CHOOSE(CONTROL!$C$42, 29.6637, 29.6637)* CHOOSE(CONTROL!$C$21, $C$9, 100%, $E$9)</f>
        <v>29.663699999999999</v>
      </c>
      <c r="K552" s="53">
        <f>CHOOSE(CONTROL!$C$42, 29.7487, 29.7487) * CHOOSE(CONTROL!$C$21, $C$9, 100%, $E$9)</f>
        <v>29.748699999999999</v>
      </c>
      <c r="L552" s="14">
        <f>CHOOSE(CONTROL!$C$42, 30.3219, 30.3219) * CHOOSE(CONTROL!$C$21, $C$9, 100%, $E$9)</f>
        <v>30.321899999999999</v>
      </c>
      <c r="M552" s="14">
        <f>CHOOSE(CONTROL!$C$42, 29.0636, 29.0636) * CHOOSE(CONTROL!$C$21, $C$9, 100%, $E$9)</f>
        <v>29.063600000000001</v>
      </c>
      <c r="N552" s="14">
        <f>CHOOSE(CONTROL!$C$42, 29.0814, 29.0814) * CHOOSE(CONTROL!$C$21, $C$9, 100%, $E$9)</f>
        <v>29.081399999999999</v>
      </c>
      <c r="O552" s="14">
        <f>CHOOSE(CONTROL!$C$42, 29.1333, 29.1333) * CHOOSE(CONTROL!$C$21, $C$9, 100%, $E$9)</f>
        <v>29.133299999999998</v>
      </c>
      <c r="P552" s="14">
        <f>CHOOSE(CONTROL!$C$42, 29.1488, 29.1488) * CHOOSE(CONTROL!$C$21, $C$9, 100%, $E$9)</f>
        <v>29.148800000000001</v>
      </c>
      <c r="Q552" s="14">
        <f>CHOOSE(CONTROL!$C$42, 29.728, 29.728) * CHOOSE(CONTROL!$C$21, $C$9, 100%, $E$9)</f>
        <v>29.728000000000002</v>
      </c>
      <c r="R552" s="14">
        <f>CHOOSE(CONTROL!$C$42, 30.3893, 30.3893) * CHOOSE(CONTROL!$C$21, $C$9, 100%, $E$9)</f>
        <v>30.389299999999999</v>
      </c>
      <c r="S552" s="14">
        <f>CHOOSE(CONTROL!$C$42, 28.4651, 28.4651) * CHOOSE(CONTROL!$C$21, $C$9, 100%, $E$9)</f>
        <v>28.4651</v>
      </c>
      <c r="T55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52" s="57">
        <f>(1000*CHOOSE(CONTROL!$C$42, 695, 695)*CHOOSE(CONTROL!$C$42, 0.5599, 0.5599)*CHOOSE(CONTROL!$C$42, 31, 31))/1000000</f>
        <v>12.063045499999998</v>
      </c>
      <c r="V552" s="57">
        <f>(1000*CHOOSE(CONTROL!$C$42, 500, 500)*CHOOSE(CONTROL!$C$42, 0.275, 0.275)*CHOOSE(CONTROL!$C$42, 31, 31))/1000000</f>
        <v>4.2625000000000002</v>
      </c>
      <c r="W552" s="57">
        <f>(1000*CHOOSE(CONTROL!$C$42, 0.1146, 0.1146)*CHOOSE(CONTROL!$C$42, 121.5, 121.5)*CHOOSE(CONTROL!$C$42, 31, 31))/1000000</f>
        <v>0.43164089999999994</v>
      </c>
      <c r="X552" s="57">
        <f>(31*0.1790888*100000/1000000)+(31*0.2374*100000/1000000)</f>
        <v>1.2911152800000001</v>
      </c>
      <c r="Y552" s="57"/>
      <c r="Z552" s="14"/>
      <c r="AA552" s="56"/>
      <c r="AB552" s="50">
        <f>(B552*122.58+C552*297.941+D552*89.177+E552*40.302+F552*40+G552*160+H552*0+I552*100+J552*300)/(122.58+297.941+89.177+40.302+0+40+160+100+300)</f>
        <v>29.671584766956524</v>
      </c>
      <c r="AC552" s="45">
        <f>(M552*'RAP TEMPLATE-GAS AVAILABILITY'!O551+N552*'RAP TEMPLATE-GAS AVAILABILITY'!P551+O552*'RAP TEMPLATE-GAS AVAILABILITY'!Q551+P552*'RAP TEMPLATE-GAS AVAILABILITY'!R551)/('RAP TEMPLATE-GAS AVAILABILITY'!O551+'RAP TEMPLATE-GAS AVAILABILITY'!P551+'RAP TEMPLATE-GAS AVAILABILITY'!Q551+'RAP TEMPLATE-GAS AVAILABILITY'!R551)</f>
        <v>29.108474100719427</v>
      </c>
    </row>
    <row r="553" spans="1:29" ht="15.75" x14ac:dyDescent="0.25">
      <c r="A553" s="32">
        <v>57741</v>
      </c>
      <c r="B553" s="14">
        <f>CHOOSE(CONTROL!$C$42, 32.088, 32.088) * CHOOSE(CONTROL!$C$21, $C$9, 100%, $E$9)</f>
        <v>32.088000000000001</v>
      </c>
      <c r="C553" s="14">
        <f>CHOOSE(CONTROL!$C$42, 32.0931, 32.0931) * CHOOSE(CONTROL!$C$21, $C$9, 100%, $E$9)</f>
        <v>32.0931</v>
      </c>
      <c r="D553" s="14">
        <f>CHOOSE(CONTROL!$C$42, 32.1699, 32.1699) * CHOOSE(CONTROL!$C$21, $C$9, 100%, $E$9)</f>
        <v>32.169899999999998</v>
      </c>
      <c r="E553" s="14">
        <f>CHOOSE(CONTROL!$C$42, 32.204, 32.204) * CHOOSE(CONTROL!$C$21, $C$9, 100%, $E$9)</f>
        <v>32.204000000000001</v>
      </c>
      <c r="F553" s="14">
        <f>CHOOSE(CONTROL!$C$42, 32.1128, 32.1128)*CHOOSE(CONTROL!$C$21, $C$9, 100%, $E$9)</f>
        <v>32.1128</v>
      </c>
      <c r="G553" s="14">
        <f>CHOOSE(CONTROL!$C$42, 32.1307, 32.1307)*CHOOSE(CONTROL!$C$21, $C$9, 100%, $E$9)</f>
        <v>32.130699999999997</v>
      </c>
      <c r="H553" s="14">
        <f>CHOOSE(CONTROL!$C$42, 32.1932, 32.1932) * CHOOSE(CONTROL!$C$21, $C$9, 100%, $E$9)</f>
        <v>32.193199999999997</v>
      </c>
      <c r="I553" s="14">
        <f>CHOOSE(CONTROL!$C$42, 32.2222, 32.2222)* CHOOSE(CONTROL!$C$21, $C$9, 100%, $E$9)</f>
        <v>32.222200000000001</v>
      </c>
      <c r="J553" s="14">
        <f>CHOOSE(CONTROL!$C$42, 32.1058, 32.1058)* CHOOSE(CONTROL!$C$21, $C$9, 100%, $E$9)</f>
        <v>32.105800000000002</v>
      </c>
      <c r="K553" s="53">
        <f>CHOOSE(CONTROL!$C$42, 32.2184, 32.2184) * CHOOSE(CONTROL!$C$21, $C$9, 100%, $E$9)</f>
        <v>32.218400000000003</v>
      </c>
      <c r="L553" s="14">
        <f>CHOOSE(CONTROL!$C$42, 32.7802, 32.7802) * CHOOSE(CONTROL!$C$21, $C$9, 100%, $E$9)</f>
        <v>32.780200000000001</v>
      </c>
      <c r="M553" s="14">
        <f>CHOOSE(CONTROL!$C$42, 31.4556, 31.4556) * CHOOSE(CONTROL!$C$21, $C$9, 100%, $E$9)</f>
        <v>31.4556</v>
      </c>
      <c r="N553" s="14">
        <f>CHOOSE(CONTROL!$C$42, 31.4732, 31.4732) * CHOOSE(CONTROL!$C$21, $C$9, 100%, $E$9)</f>
        <v>31.473199999999999</v>
      </c>
      <c r="O553" s="14">
        <f>CHOOSE(CONTROL!$C$42, 31.5413, 31.5413) * CHOOSE(CONTROL!$C$21, $C$9, 100%, $E$9)</f>
        <v>31.5413</v>
      </c>
      <c r="P553" s="14">
        <f>CHOOSE(CONTROL!$C$42, 31.5678, 31.5678) * CHOOSE(CONTROL!$C$21, $C$9, 100%, $E$9)</f>
        <v>31.567799999999998</v>
      </c>
      <c r="Q553" s="14">
        <f>CHOOSE(CONTROL!$C$42, 32.136, 32.136) * CHOOSE(CONTROL!$C$21, $C$9, 100%, $E$9)</f>
        <v>32.136000000000003</v>
      </c>
      <c r="R553" s="14">
        <f>CHOOSE(CONTROL!$C$42, 32.8033, 32.8033) * CHOOSE(CONTROL!$C$21, $C$9, 100%, $E$9)</f>
        <v>32.8033</v>
      </c>
      <c r="S553" s="14">
        <f>CHOOSE(CONTROL!$C$42, 30.8248, 30.8248) * CHOOSE(CONTROL!$C$21, $C$9, 100%, $E$9)</f>
        <v>30.8248</v>
      </c>
      <c r="T55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53" s="57">
        <f>(1000*CHOOSE(CONTROL!$C$42, 695, 695)*CHOOSE(CONTROL!$C$42, 0.5599, 0.5599)*CHOOSE(CONTROL!$C$42, 31, 31))/1000000</f>
        <v>12.063045499999998</v>
      </c>
      <c r="V553" s="57">
        <f>(1000*CHOOSE(CONTROL!$C$42, 500, 500)*CHOOSE(CONTROL!$C$42, 0.275, 0.275)*CHOOSE(CONTROL!$C$42, 31, 31))/1000000</f>
        <v>4.2625000000000002</v>
      </c>
      <c r="W553" s="57">
        <f>(1000*CHOOSE(CONTROL!$C$42, 0.1146, 0.1146)*CHOOSE(CONTROL!$C$42, 121.5, 121.5)*CHOOSE(CONTROL!$C$42, 31, 31))/1000000</f>
        <v>0.43164089999999994</v>
      </c>
      <c r="X553" s="57">
        <f>(31*0.1790888*100000/1000000)+(31*0.2374*100000/1000000)</f>
        <v>1.2911152800000001</v>
      </c>
      <c r="Y553" s="57"/>
      <c r="Z553" s="14"/>
      <c r="AA553" s="56"/>
      <c r="AB553" s="50">
        <f>(B553*122.58+C553*297.941+D553*89.177+E553*40.302+F553*40+G553*160+H553*0+I553*100+J553*300)/(122.58+297.941+89.177+40.302+0+40+160+100+300)</f>
        <v>32.122854023826086</v>
      </c>
      <c r="AC553" s="45">
        <f>(M553*'RAP TEMPLATE-GAS AVAILABILITY'!O552+N553*'RAP TEMPLATE-GAS AVAILABILITY'!P552+O553*'RAP TEMPLATE-GAS AVAILABILITY'!Q552+P553*'RAP TEMPLATE-GAS AVAILABILITY'!R552)/('RAP TEMPLATE-GAS AVAILABILITY'!O552+'RAP TEMPLATE-GAS AVAILABILITY'!P552+'RAP TEMPLATE-GAS AVAILABILITY'!Q552+'RAP TEMPLATE-GAS AVAILABILITY'!R552)</f>
        <v>31.511599280575538</v>
      </c>
    </row>
    <row r="554" spans="1:29" ht="15.75" x14ac:dyDescent="0.25">
      <c r="A554" s="32">
        <v>57769</v>
      </c>
      <c r="B554" s="14">
        <f>CHOOSE(CONTROL!$C$42, 32.6591, 32.6591) * CHOOSE(CONTROL!$C$21, $C$9, 100%, $E$9)</f>
        <v>32.659100000000002</v>
      </c>
      <c r="C554" s="14">
        <f>CHOOSE(CONTROL!$C$42, 32.6641, 32.6641) * CHOOSE(CONTROL!$C$21, $C$9, 100%, $E$9)</f>
        <v>32.664099999999998</v>
      </c>
      <c r="D554" s="14">
        <f>CHOOSE(CONTROL!$C$42, 32.741, 32.741) * CHOOSE(CONTROL!$C$21, $C$9, 100%, $E$9)</f>
        <v>32.741</v>
      </c>
      <c r="E554" s="14">
        <f>CHOOSE(CONTROL!$C$42, 32.7751, 32.7751) * CHOOSE(CONTROL!$C$21, $C$9, 100%, $E$9)</f>
        <v>32.775100000000002</v>
      </c>
      <c r="F554" s="14">
        <f>CHOOSE(CONTROL!$C$42, 32.6834, 32.6834)*CHOOSE(CONTROL!$C$21, $C$9, 100%, $E$9)</f>
        <v>32.683399999999999</v>
      </c>
      <c r="G554" s="14">
        <f>CHOOSE(CONTROL!$C$42, 32.7013, 32.7013)*CHOOSE(CONTROL!$C$21, $C$9, 100%, $E$9)</f>
        <v>32.701300000000003</v>
      </c>
      <c r="H554" s="14">
        <f>CHOOSE(CONTROL!$C$42, 32.7643, 32.7643) * CHOOSE(CONTROL!$C$21, $C$9, 100%, $E$9)</f>
        <v>32.764299999999999</v>
      </c>
      <c r="I554" s="14">
        <f>CHOOSE(CONTROL!$C$42, 32.7951, 32.7951)* CHOOSE(CONTROL!$C$21, $C$9, 100%, $E$9)</f>
        <v>32.795099999999998</v>
      </c>
      <c r="J554" s="14">
        <f>CHOOSE(CONTROL!$C$42, 32.6764, 32.6764)* CHOOSE(CONTROL!$C$21, $C$9, 100%, $E$9)</f>
        <v>32.676400000000001</v>
      </c>
      <c r="K554" s="53">
        <f>CHOOSE(CONTROL!$C$42, 32.7912, 32.7912) * CHOOSE(CONTROL!$C$21, $C$9, 100%, $E$9)</f>
        <v>32.791200000000003</v>
      </c>
      <c r="L554" s="14">
        <f>CHOOSE(CONTROL!$C$42, 33.3513, 33.3513) * CHOOSE(CONTROL!$C$21, $C$9, 100%, $E$9)</f>
        <v>33.351300000000002</v>
      </c>
      <c r="M554" s="14">
        <f>CHOOSE(CONTROL!$C$42, 32.0146, 32.0146) * CHOOSE(CONTROL!$C$21, $C$9, 100%, $E$9)</f>
        <v>32.014600000000002</v>
      </c>
      <c r="N554" s="14">
        <f>CHOOSE(CONTROL!$C$42, 32.0321, 32.0321) * CHOOSE(CONTROL!$C$21, $C$9, 100%, $E$9)</f>
        <v>32.0321</v>
      </c>
      <c r="O554" s="14">
        <f>CHOOSE(CONTROL!$C$42, 32.1006, 32.1006) * CHOOSE(CONTROL!$C$21, $C$9, 100%, $E$9)</f>
        <v>32.1006</v>
      </c>
      <c r="P554" s="14">
        <f>CHOOSE(CONTROL!$C$42, 32.1288, 32.1288) * CHOOSE(CONTROL!$C$21, $C$9, 100%, $E$9)</f>
        <v>32.128799999999998</v>
      </c>
      <c r="Q554" s="14">
        <f>CHOOSE(CONTROL!$C$42, 32.6953, 32.6953) * CHOOSE(CONTROL!$C$21, $C$9, 100%, $E$9)</f>
        <v>32.695300000000003</v>
      </c>
      <c r="R554" s="14">
        <f>CHOOSE(CONTROL!$C$42, 33.3641, 33.3641) * CHOOSE(CONTROL!$C$21, $C$9, 100%, $E$9)</f>
        <v>33.364100000000001</v>
      </c>
      <c r="S554" s="14">
        <f>CHOOSE(CONTROL!$C$42, 31.3736, 31.3736) * CHOOSE(CONTROL!$C$21, $C$9, 100%, $E$9)</f>
        <v>31.3736</v>
      </c>
      <c r="T55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54" s="57">
        <f>(1000*CHOOSE(CONTROL!$C$42, 695, 695)*CHOOSE(CONTROL!$C$42, 0.5599, 0.5599)*CHOOSE(CONTROL!$C$42, 28, 28))/1000000</f>
        <v>10.895653999999999</v>
      </c>
      <c r="V554" s="57">
        <f>(1000*CHOOSE(CONTROL!$C$42, 500, 500)*CHOOSE(CONTROL!$C$42, 0.275, 0.275)*CHOOSE(CONTROL!$C$42, 28, 28))/1000000</f>
        <v>3.85</v>
      </c>
      <c r="W554" s="57">
        <f>(1000*CHOOSE(CONTROL!$C$42, 0.1146, 0.1146)*CHOOSE(CONTROL!$C$42, 121.5, 121.5)*CHOOSE(CONTROL!$C$42, 28, 28))/1000000</f>
        <v>0.38986920000000003</v>
      </c>
      <c r="X554" s="57">
        <f>(28*0.1790888*100000/1000000)+(28*0.2374*100000/1000000)</f>
        <v>1.16616864</v>
      </c>
      <c r="Y554" s="57"/>
      <c r="Z554" s="14"/>
      <c r="AA554" s="56"/>
      <c r="AB554" s="50">
        <f>(B554*122.58+C554*297.941+D554*89.177+E554*40.302+F554*40+G554*160+H554*0+I554*100+J554*300)/(122.58+297.941+89.177+40.302+0+40+160+100+300)</f>
        <v>32.693867246347828</v>
      </c>
      <c r="AC554" s="45">
        <f>(M554*'RAP TEMPLATE-GAS AVAILABILITY'!O553+N554*'RAP TEMPLATE-GAS AVAILABILITY'!P553+O554*'RAP TEMPLATE-GAS AVAILABILITY'!Q553+P554*'RAP TEMPLATE-GAS AVAILABILITY'!R553)/('RAP TEMPLATE-GAS AVAILABILITY'!O553+'RAP TEMPLATE-GAS AVAILABILITY'!P553+'RAP TEMPLATE-GAS AVAILABILITY'!Q553+'RAP TEMPLATE-GAS AVAILABILITY'!R553)</f>
        <v>32.071017266187049</v>
      </c>
    </row>
    <row r="555" spans="1:29" ht="15.75" x14ac:dyDescent="0.25">
      <c r="A555" s="32">
        <v>57800</v>
      </c>
      <c r="B555" s="14">
        <f>CHOOSE(CONTROL!$C$42, 31.7321, 31.7321) * CHOOSE(CONTROL!$C$21, $C$9, 100%, $E$9)</f>
        <v>31.732099999999999</v>
      </c>
      <c r="C555" s="14">
        <f>CHOOSE(CONTROL!$C$42, 31.7372, 31.7372) * CHOOSE(CONTROL!$C$21, $C$9, 100%, $E$9)</f>
        <v>31.737200000000001</v>
      </c>
      <c r="D555" s="14">
        <f>CHOOSE(CONTROL!$C$42, 31.814, 31.814) * CHOOSE(CONTROL!$C$21, $C$9, 100%, $E$9)</f>
        <v>31.814</v>
      </c>
      <c r="E555" s="14">
        <f>CHOOSE(CONTROL!$C$42, 31.8481, 31.8481) * CHOOSE(CONTROL!$C$21, $C$9, 100%, $E$9)</f>
        <v>31.848099999999999</v>
      </c>
      <c r="F555" s="14">
        <f>CHOOSE(CONTROL!$C$42, 31.7556, 31.7556)*CHOOSE(CONTROL!$C$21, $C$9, 100%, $E$9)</f>
        <v>31.755600000000001</v>
      </c>
      <c r="G555" s="14">
        <f>CHOOSE(CONTROL!$C$42, 31.7732, 31.7732)*CHOOSE(CONTROL!$C$21, $C$9, 100%, $E$9)</f>
        <v>31.773199999999999</v>
      </c>
      <c r="H555" s="14">
        <f>CHOOSE(CONTROL!$C$42, 31.8373, 31.8373) * CHOOSE(CONTROL!$C$21, $C$9, 100%, $E$9)</f>
        <v>31.837299999999999</v>
      </c>
      <c r="I555" s="14">
        <f>CHOOSE(CONTROL!$C$42, 31.8652, 31.8652)* CHOOSE(CONTROL!$C$21, $C$9, 100%, $E$9)</f>
        <v>31.865200000000002</v>
      </c>
      <c r="J555" s="14">
        <f>CHOOSE(CONTROL!$C$42, 31.7486, 31.7486)* CHOOSE(CONTROL!$C$21, $C$9, 100%, $E$9)</f>
        <v>31.7486</v>
      </c>
      <c r="K555" s="53">
        <f>CHOOSE(CONTROL!$C$42, 31.8613, 31.8613) * CHOOSE(CONTROL!$C$21, $C$9, 100%, $E$9)</f>
        <v>31.8613</v>
      </c>
      <c r="L555" s="14">
        <f>CHOOSE(CONTROL!$C$42, 32.4243, 32.4243) * CHOOSE(CONTROL!$C$21, $C$9, 100%, $E$9)</f>
        <v>32.424300000000002</v>
      </c>
      <c r="M555" s="14">
        <f>CHOOSE(CONTROL!$C$42, 31.1058, 31.1058) * CHOOSE(CONTROL!$C$21, $C$9, 100%, $E$9)</f>
        <v>31.105799999999999</v>
      </c>
      <c r="N555" s="14">
        <f>CHOOSE(CONTROL!$C$42, 31.1231, 31.1231) * CHOOSE(CONTROL!$C$21, $C$9, 100%, $E$9)</f>
        <v>31.123100000000001</v>
      </c>
      <c r="O555" s="14">
        <f>CHOOSE(CONTROL!$C$42, 31.1927, 31.1927) * CHOOSE(CONTROL!$C$21, $C$9, 100%, $E$9)</f>
        <v>31.192699999999999</v>
      </c>
      <c r="P555" s="14">
        <f>CHOOSE(CONTROL!$C$42, 31.2181, 31.2181) * CHOOSE(CONTROL!$C$21, $C$9, 100%, $E$9)</f>
        <v>31.2181</v>
      </c>
      <c r="Q555" s="14">
        <f>CHOOSE(CONTROL!$C$42, 31.7874, 31.7874) * CHOOSE(CONTROL!$C$21, $C$9, 100%, $E$9)</f>
        <v>31.787400000000002</v>
      </c>
      <c r="R555" s="14">
        <f>CHOOSE(CONTROL!$C$42, 32.4539, 32.4539) * CHOOSE(CONTROL!$C$21, $C$9, 100%, $E$9)</f>
        <v>32.453899999999997</v>
      </c>
      <c r="S555" s="14">
        <f>CHOOSE(CONTROL!$C$42, 30.4829, 30.4829) * CHOOSE(CONTROL!$C$21, $C$9, 100%, $E$9)</f>
        <v>30.482900000000001</v>
      </c>
      <c r="T55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55" s="57">
        <f>(1000*CHOOSE(CONTROL!$C$42, 695, 695)*CHOOSE(CONTROL!$C$42, 0.5599, 0.5599)*CHOOSE(CONTROL!$C$42, 31, 31))/1000000</f>
        <v>12.063045499999998</v>
      </c>
      <c r="V555" s="57">
        <f>(1000*CHOOSE(CONTROL!$C$42, 500, 500)*CHOOSE(CONTROL!$C$42, 0.275, 0.275)*CHOOSE(CONTROL!$C$42, 31, 31))/1000000</f>
        <v>4.2625000000000002</v>
      </c>
      <c r="W555" s="57">
        <f>(1000*CHOOSE(CONTROL!$C$42, 0.1146, 0.1146)*CHOOSE(CONTROL!$C$42, 121.5, 121.5)*CHOOSE(CONTROL!$C$42, 31, 31))/1000000</f>
        <v>0.43164089999999994</v>
      </c>
      <c r="X555" s="57">
        <f>(31*0.1790888*100000/1000000)+(31*0.2374*100000/1000000)</f>
        <v>1.2911152800000001</v>
      </c>
      <c r="Y555" s="57"/>
      <c r="Z555" s="14"/>
      <c r="AA555" s="56"/>
      <c r="AB555" s="50">
        <f>(B555*122.58+C555*297.941+D555*89.177+E555*40.302+F555*40+G555*160+H555*0+I555*100+J555*300)/(122.58+297.941+89.177+40.302+0+40+160+100+300)</f>
        <v>31.766251415130437</v>
      </c>
      <c r="AC555" s="45">
        <f>(M555*'RAP TEMPLATE-GAS AVAILABILITY'!O554+N555*'RAP TEMPLATE-GAS AVAILABILITY'!P554+O555*'RAP TEMPLATE-GAS AVAILABILITY'!Q554+P555*'RAP TEMPLATE-GAS AVAILABILITY'!R554)/('RAP TEMPLATE-GAS AVAILABILITY'!O554+'RAP TEMPLATE-GAS AVAILABILITY'!P554+'RAP TEMPLATE-GAS AVAILABILITY'!Q554+'RAP TEMPLATE-GAS AVAILABILITY'!R554)</f>
        <v>31.162340287769783</v>
      </c>
    </row>
    <row r="556" spans="1:29" ht="15.75" x14ac:dyDescent="0.25">
      <c r="A556" s="32">
        <v>57830</v>
      </c>
      <c r="B556" s="14">
        <f>CHOOSE(CONTROL!$C$42, 31.6382, 31.6382) * CHOOSE(CONTROL!$C$21, $C$9, 100%, $E$9)</f>
        <v>31.638200000000001</v>
      </c>
      <c r="C556" s="14">
        <f>CHOOSE(CONTROL!$C$42, 31.6426, 31.6426) * CHOOSE(CONTROL!$C$21, $C$9, 100%, $E$9)</f>
        <v>31.642600000000002</v>
      </c>
      <c r="D556" s="14">
        <f>CHOOSE(CONTROL!$C$42, 31.8664, 31.8664) * CHOOSE(CONTROL!$C$21, $C$9, 100%, $E$9)</f>
        <v>31.866399999999999</v>
      </c>
      <c r="E556" s="14">
        <f>CHOOSE(CONTROL!$C$42, 31.8985, 31.8985) * CHOOSE(CONTROL!$C$21, $C$9, 100%, $E$9)</f>
        <v>31.898499999999999</v>
      </c>
      <c r="F556" s="14">
        <f>CHOOSE(CONTROL!$C$42, 31.6658, 31.6658)*CHOOSE(CONTROL!$C$21, $C$9, 100%, $E$9)</f>
        <v>31.665800000000001</v>
      </c>
      <c r="G556" s="14">
        <f>CHOOSE(CONTROL!$C$42, 31.6827, 31.6827)*CHOOSE(CONTROL!$C$21, $C$9, 100%, $E$9)</f>
        <v>31.682700000000001</v>
      </c>
      <c r="H556" s="14">
        <f>CHOOSE(CONTROL!$C$42, 31.8883, 31.8883) * CHOOSE(CONTROL!$C$21, $C$9, 100%, $E$9)</f>
        <v>31.888300000000001</v>
      </c>
      <c r="I556" s="14">
        <f>CHOOSE(CONTROL!$C$42, 31.7665, 31.7665)* CHOOSE(CONTROL!$C$21, $C$9, 100%, $E$9)</f>
        <v>31.766500000000001</v>
      </c>
      <c r="J556" s="14">
        <f>CHOOSE(CONTROL!$C$42, 31.6588, 31.6588)* CHOOSE(CONTROL!$C$21, $C$9, 100%, $E$9)</f>
        <v>31.658799999999999</v>
      </c>
      <c r="K556" s="53">
        <f>CHOOSE(CONTROL!$C$42, 31.7626, 31.7626) * CHOOSE(CONTROL!$C$21, $C$9, 100%, $E$9)</f>
        <v>31.762599999999999</v>
      </c>
      <c r="L556" s="14">
        <f>CHOOSE(CONTROL!$C$42, 32.4753, 32.4753) * CHOOSE(CONTROL!$C$21, $C$9, 100%, $E$9)</f>
        <v>32.475299999999997</v>
      </c>
      <c r="M556" s="14">
        <f>CHOOSE(CONTROL!$C$42, 31.0179, 31.0179) * CHOOSE(CONTROL!$C$21, $C$9, 100%, $E$9)</f>
        <v>31.017900000000001</v>
      </c>
      <c r="N556" s="14">
        <f>CHOOSE(CONTROL!$C$42, 31.0344, 31.0344) * CHOOSE(CONTROL!$C$21, $C$9, 100%, $E$9)</f>
        <v>31.034400000000002</v>
      </c>
      <c r="O556" s="14">
        <f>CHOOSE(CONTROL!$C$42, 31.2426, 31.2426) * CHOOSE(CONTROL!$C$21, $C$9, 100%, $E$9)</f>
        <v>31.242599999999999</v>
      </c>
      <c r="P556" s="14">
        <f>CHOOSE(CONTROL!$C$42, 31.1214, 31.1214) * CHOOSE(CONTROL!$C$21, $C$9, 100%, $E$9)</f>
        <v>31.121400000000001</v>
      </c>
      <c r="Q556" s="14">
        <f>CHOOSE(CONTROL!$C$42, 31.8373, 31.8373) * CHOOSE(CONTROL!$C$21, $C$9, 100%, $E$9)</f>
        <v>31.837299999999999</v>
      </c>
      <c r="R556" s="14">
        <f>CHOOSE(CONTROL!$C$42, 32.5039, 32.5039) * CHOOSE(CONTROL!$C$21, $C$9, 100%, $E$9)</f>
        <v>32.503900000000002</v>
      </c>
      <c r="S556" s="14">
        <f>CHOOSE(CONTROL!$C$42, 30.3918, 30.3918) * CHOOSE(CONTROL!$C$21, $C$9, 100%, $E$9)</f>
        <v>30.3918</v>
      </c>
      <c r="T55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56" s="57">
        <f>(1000*CHOOSE(CONTROL!$C$42, 695, 695)*CHOOSE(CONTROL!$C$42, 0.5599, 0.5599)*CHOOSE(CONTROL!$C$42, 30, 30))/1000000</f>
        <v>11.673914999999997</v>
      </c>
      <c r="V556" s="57">
        <f>(1000*CHOOSE(CONTROL!$C$42, 500, 500)*CHOOSE(CONTROL!$C$42, 0.275, 0.275)*CHOOSE(CONTROL!$C$42, 30, 30))/1000000</f>
        <v>4.125</v>
      </c>
      <c r="W556" s="57">
        <f>(1000*CHOOSE(CONTROL!$C$42, 0.1146, 0.1146)*CHOOSE(CONTROL!$C$42, 121.5, 121.5)*CHOOSE(CONTROL!$C$42, 30, 30))/1000000</f>
        <v>0.417717</v>
      </c>
      <c r="X556" s="57">
        <f>(30*0.1790888*245000/1000000)+(30*0.2374*100000/1000000)</f>
        <v>2.0285026799999999</v>
      </c>
      <c r="Y556" s="57"/>
      <c r="Z556" s="14"/>
      <c r="AA556" s="56"/>
      <c r="AB556" s="50">
        <f>(B556*141.293+C556*267.993+D556*115.016+E556*89.698+F556*40+G556*185+H556*0+I556*100+J556*300)/(141.293+267.993+115.016+89.698+0+40+185+100+300)</f>
        <v>31.702058522841003</v>
      </c>
      <c r="AC556" s="45">
        <f>(M556*'RAP TEMPLATE-GAS AVAILABILITY'!O555+N556*'RAP TEMPLATE-GAS AVAILABILITY'!P555+O556*'RAP TEMPLATE-GAS AVAILABILITY'!Q555+P556*'RAP TEMPLATE-GAS AVAILABILITY'!R555)/('RAP TEMPLATE-GAS AVAILABILITY'!O555+'RAP TEMPLATE-GAS AVAILABILITY'!P555+'RAP TEMPLATE-GAS AVAILABILITY'!Q555+'RAP TEMPLATE-GAS AVAILABILITY'!R555)</f>
        <v>31.099635971223019</v>
      </c>
    </row>
    <row r="557" spans="1:29" ht="15.75" x14ac:dyDescent="0.25">
      <c r="A557" s="32">
        <v>57861</v>
      </c>
      <c r="B557" s="14">
        <f>CHOOSE(CONTROL!$C$42, 31.9187, 31.9187) * CHOOSE(CONTROL!$C$21, $C$9, 100%, $E$9)</f>
        <v>31.918700000000001</v>
      </c>
      <c r="C557" s="14">
        <f>CHOOSE(CONTROL!$C$42, 31.9267, 31.9267) * CHOOSE(CONTROL!$C$21, $C$9, 100%, $E$9)</f>
        <v>31.9267</v>
      </c>
      <c r="D557" s="14">
        <f>CHOOSE(CONTROL!$C$42, 32.1473, 32.1473) * CHOOSE(CONTROL!$C$21, $C$9, 100%, $E$9)</f>
        <v>32.147300000000001</v>
      </c>
      <c r="E557" s="14">
        <f>CHOOSE(CONTROL!$C$42, 32.1788, 32.1788) * CHOOSE(CONTROL!$C$21, $C$9, 100%, $E$9)</f>
        <v>32.178800000000003</v>
      </c>
      <c r="F557" s="14">
        <f>CHOOSE(CONTROL!$C$42, 31.945, 31.945)*CHOOSE(CONTROL!$C$21, $C$9, 100%, $E$9)</f>
        <v>31.945</v>
      </c>
      <c r="G557" s="14">
        <f>CHOOSE(CONTROL!$C$42, 31.9621, 31.9621)*CHOOSE(CONTROL!$C$21, $C$9, 100%, $E$9)</f>
        <v>31.9621</v>
      </c>
      <c r="H557" s="14">
        <f>CHOOSE(CONTROL!$C$42, 32.1674, 32.1674) * CHOOSE(CONTROL!$C$21, $C$9, 100%, $E$9)</f>
        <v>32.167400000000001</v>
      </c>
      <c r="I557" s="14">
        <f>CHOOSE(CONTROL!$C$42, 32.0466, 32.0466)* CHOOSE(CONTROL!$C$21, $C$9, 100%, $E$9)</f>
        <v>32.046599999999998</v>
      </c>
      <c r="J557" s="14">
        <f>CHOOSE(CONTROL!$C$42, 31.938, 31.938)* CHOOSE(CONTROL!$C$21, $C$9, 100%, $E$9)</f>
        <v>31.937999999999999</v>
      </c>
      <c r="K557" s="53">
        <f>CHOOSE(CONTROL!$C$42, 32.0427, 32.0427) * CHOOSE(CONTROL!$C$21, $C$9, 100%, $E$9)</f>
        <v>32.042700000000004</v>
      </c>
      <c r="L557" s="14">
        <f>CHOOSE(CONTROL!$C$42, 32.7544, 32.7544) * CHOOSE(CONTROL!$C$21, $C$9, 100%, $E$9)</f>
        <v>32.754399999999997</v>
      </c>
      <c r="M557" s="14">
        <f>CHOOSE(CONTROL!$C$42, 31.2913, 31.2913) * CHOOSE(CONTROL!$C$21, $C$9, 100%, $E$9)</f>
        <v>31.2913</v>
      </c>
      <c r="N557" s="14">
        <f>CHOOSE(CONTROL!$C$42, 31.308, 31.308) * CHOOSE(CONTROL!$C$21, $C$9, 100%, $E$9)</f>
        <v>31.308</v>
      </c>
      <c r="O557" s="14">
        <f>CHOOSE(CONTROL!$C$42, 31.516, 31.516) * CHOOSE(CONTROL!$C$21, $C$9, 100%, $E$9)</f>
        <v>31.515999999999998</v>
      </c>
      <c r="P557" s="14">
        <f>CHOOSE(CONTROL!$C$42, 31.3957, 31.3957) * CHOOSE(CONTROL!$C$21, $C$9, 100%, $E$9)</f>
        <v>31.395700000000001</v>
      </c>
      <c r="Q557" s="14">
        <f>CHOOSE(CONTROL!$C$42, 32.1107, 32.1107) * CHOOSE(CONTROL!$C$21, $C$9, 100%, $E$9)</f>
        <v>32.110700000000001</v>
      </c>
      <c r="R557" s="14">
        <f>CHOOSE(CONTROL!$C$42, 32.778, 32.778) * CHOOSE(CONTROL!$C$21, $C$9, 100%, $E$9)</f>
        <v>32.777999999999999</v>
      </c>
      <c r="S557" s="14">
        <f>CHOOSE(CONTROL!$C$42, 30.66, 30.66) * CHOOSE(CONTROL!$C$21, $C$9, 100%, $E$9)</f>
        <v>30.66</v>
      </c>
      <c r="T55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57" s="57">
        <f>(1000*CHOOSE(CONTROL!$C$42, 695, 695)*CHOOSE(CONTROL!$C$42, 0.5599, 0.5599)*CHOOSE(CONTROL!$C$42, 31, 31))/1000000</f>
        <v>12.063045499999998</v>
      </c>
      <c r="V557" s="57">
        <f>(1000*CHOOSE(CONTROL!$C$42, 500, 500)*CHOOSE(CONTROL!$C$42, 0.275, 0.275)*CHOOSE(CONTROL!$C$42, 31, 31))/1000000</f>
        <v>4.2625000000000002</v>
      </c>
      <c r="W557" s="57">
        <f>(1000*CHOOSE(CONTROL!$C$42, 0.1146, 0.1146)*CHOOSE(CONTROL!$C$42, 121.5, 121.5)*CHOOSE(CONTROL!$C$42, 31, 31))/1000000</f>
        <v>0.43164089999999994</v>
      </c>
      <c r="X557" s="57">
        <f>(31*0.1790888*245000/1000000)+(31*0.2374*100000/1000000)</f>
        <v>2.0961194359999999</v>
      </c>
      <c r="Y557" s="57"/>
      <c r="Z557" s="14"/>
      <c r="AA557" s="56"/>
      <c r="AB557" s="50">
        <f>(B557*194.205+C557*267.466+D557*133.845+E557*53.484+F557*40+G557*185+H557*0+I557*100+J557*300)/(194.205+267.466+133.845+53.484+0+40+185+100+300)</f>
        <v>31.977027224018837</v>
      </c>
      <c r="AC557" s="45">
        <f>(M557*'RAP TEMPLATE-GAS AVAILABILITY'!O556+N557*'RAP TEMPLATE-GAS AVAILABILITY'!P556+O557*'RAP TEMPLATE-GAS AVAILABILITY'!Q556+P557*'RAP TEMPLATE-GAS AVAILABILITY'!R556)/('RAP TEMPLATE-GAS AVAILABILITY'!O556+'RAP TEMPLATE-GAS AVAILABILITY'!P556+'RAP TEMPLATE-GAS AVAILABILITY'!Q556+'RAP TEMPLATE-GAS AVAILABILITY'!R556)</f>
        <v>31.373211510791364</v>
      </c>
    </row>
    <row r="558" spans="1:29" ht="15.75" x14ac:dyDescent="0.25">
      <c r="A558" s="32">
        <v>57891</v>
      </c>
      <c r="B558" s="14">
        <f>CHOOSE(CONTROL!$C$42, 32.8238, 32.8238) * CHOOSE(CONTROL!$C$21, $C$9, 100%, $E$9)</f>
        <v>32.823799999999999</v>
      </c>
      <c r="C558" s="14">
        <f>CHOOSE(CONTROL!$C$42, 32.8318, 32.8318) * CHOOSE(CONTROL!$C$21, $C$9, 100%, $E$9)</f>
        <v>32.831800000000001</v>
      </c>
      <c r="D558" s="14">
        <f>CHOOSE(CONTROL!$C$42, 33.0524, 33.0524) * CHOOSE(CONTROL!$C$21, $C$9, 100%, $E$9)</f>
        <v>33.052399999999999</v>
      </c>
      <c r="E558" s="14">
        <f>CHOOSE(CONTROL!$C$42, 33.0839, 33.0839) * CHOOSE(CONTROL!$C$21, $C$9, 100%, $E$9)</f>
        <v>33.0839</v>
      </c>
      <c r="F558" s="14">
        <f>CHOOSE(CONTROL!$C$42, 32.8504, 32.8504)*CHOOSE(CONTROL!$C$21, $C$9, 100%, $E$9)</f>
        <v>32.8504</v>
      </c>
      <c r="G558" s="14">
        <f>CHOOSE(CONTROL!$C$42, 32.8676, 32.8676)*CHOOSE(CONTROL!$C$21, $C$9, 100%, $E$9)</f>
        <v>32.867600000000003</v>
      </c>
      <c r="H558" s="14">
        <f>CHOOSE(CONTROL!$C$42, 33.0725, 33.0725) * CHOOSE(CONTROL!$C$21, $C$9, 100%, $E$9)</f>
        <v>33.072499999999998</v>
      </c>
      <c r="I558" s="14">
        <f>CHOOSE(CONTROL!$C$42, 32.9545, 32.9545)* CHOOSE(CONTROL!$C$21, $C$9, 100%, $E$9)</f>
        <v>32.954500000000003</v>
      </c>
      <c r="J558" s="14">
        <f>CHOOSE(CONTROL!$C$42, 32.8434, 32.8434)* CHOOSE(CONTROL!$C$21, $C$9, 100%, $E$9)</f>
        <v>32.843400000000003</v>
      </c>
      <c r="K558" s="53">
        <f>CHOOSE(CONTROL!$C$42, 32.9506, 32.9506) * CHOOSE(CONTROL!$C$21, $C$9, 100%, $E$9)</f>
        <v>32.950600000000001</v>
      </c>
      <c r="L558" s="14">
        <f>CHOOSE(CONTROL!$C$42, 33.6595, 33.6595) * CHOOSE(CONTROL!$C$21, $C$9, 100%, $E$9)</f>
        <v>33.659500000000001</v>
      </c>
      <c r="M558" s="14">
        <f>CHOOSE(CONTROL!$C$42, 32.1781, 32.1781) * CHOOSE(CONTROL!$C$21, $C$9, 100%, $E$9)</f>
        <v>32.178100000000001</v>
      </c>
      <c r="N558" s="14">
        <f>CHOOSE(CONTROL!$C$42, 32.195, 32.195) * CHOOSE(CONTROL!$C$21, $C$9, 100%, $E$9)</f>
        <v>32.195</v>
      </c>
      <c r="O558" s="14">
        <f>CHOOSE(CONTROL!$C$42, 32.4026, 32.4026) * CHOOSE(CONTROL!$C$21, $C$9, 100%, $E$9)</f>
        <v>32.4026</v>
      </c>
      <c r="P558" s="14">
        <f>CHOOSE(CONTROL!$C$42, 32.285, 32.285) * CHOOSE(CONTROL!$C$21, $C$9, 100%, $E$9)</f>
        <v>32.284999999999997</v>
      </c>
      <c r="Q558" s="14">
        <f>CHOOSE(CONTROL!$C$42, 32.9973, 32.9973) * CHOOSE(CONTROL!$C$21, $C$9, 100%, $E$9)</f>
        <v>32.997300000000003</v>
      </c>
      <c r="R558" s="14">
        <f>CHOOSE(CONTROL!$C$42, 33.6667, 33.6667) * CHOOSE(CONTROL!$C$21, $C$9, 100%, $E$9)</f>
        <v>33.666699999999999</v>
      </c>
      <c r="S558" s="14">
        <f>CHOOSE(CONTROL!$C$42, 31.5297, 31.5297) * CHOOSE(CONTROL!$C$21, $C$9, 100%, $E$9)</f>
        <v>31.529699999999998</v>
      </c>
      <c r="T55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58" s="57">
        <f>(1000*CHOOSE(CONTROL!$C$42, 695, 695)*CHOOSE(CONTROL!$C$42, 0.5599, 0.5599)*CHOOSE(CONTROL!$C$42, 30, 30))/1000000</f>
        <v>11.673914999999997</v>
      </c>
      <c r="V558" s="57">
        <f>(1000*CHOOSE(CONTROL!$C$42, 500, 500)*CHOOSE(CONTROL!$C$42, 0.275, 0.275)*CHOOSE(CONTROL!$C$42, 30, 30))/1000000</f>
        <v>4.125</v>
      </c>
      <c r="W558" s="57">
        <f>(1000*CHOOSE(CONTROL!$C$42, 0.1146, 0.1146)*CHOOSE(CONTROL!$C$42, 121.5, 121.5)*CHOOSE(CONTROL!$C$42, 30, 30))/1000000</f>
        <v>0.417717</v>
      </c>
      <c r="X558" s="57">
        <f>(30*0.1790888*245000/1000000)+(30*0.2374*100000/1000000)</f>
        <v>2.0285026799999999</v>
      </c>
      <c r="Y558" s="57"/>
      <c r="Z558" s="14"/>
      <c r="AA558" s="56"/>
      <c r="AB558" s="50">
        <f>(B558*194.205+C558*267.466+D558*133.845+E558*53.484+F558*40+G558*185+H558*0+I558*100+J558*300)/(194.205+267.466+133.845+53.484+0+40+185+100+300)</f>
        <v>32.882485151805341</v>
      </c>
      <c r="AC558" s="45">
        <f>(M558*'RAP TEMPLATE-GAS AVAILABILITY'!O557+N558*'RAP TEMPLATE-GAS AVAILABILITY'!P557+O558*'RAP TEMPLATE-GAS AVAILABILITY'!Q557+P558*'RAP TEMPLATE-GAS AVAILABILITY'!R557)/('RAP TEMPLATE-GAS AVAILABILITY'!O557+'RAP TEMPLATE-GAS AVAILABILITY'!P557+'RAP TEMPLATE-GAS AVAILABILITY'!Q557+'RAP TEMPLATE-GAS AVAILABILITY'!R557)</f>
        <v>32.260361151079138</v>
      </c>
    </row>
    <row r="559" spans="1:29" ht="15.75" x14ac:dyDescent="0.25">
      <c r="A559" s="32">
        <v>57922</v>
      </c>
      <c r="B559" s="14">
        <f>CHOOSE(CONTROL!$C$42, 32.1943, 32.1943) * CHOOSE(CONTROL!$C$21, $C$9, 100%, $E$9)</f>
        <v>32.194299999999998</v>
      </c>
      <c r="C559" s="14">
        <f>CHOOSE(CONTROL!$C$42, 32.2023, 32.2023) * CHOOSE(CONTROL!$C$21, $C$9, 100%, $E$9)</f>
        <v>32.202300000000001</v>
      </c>
      <c r="D559" s="14">
        <f>CHOOSE(CONTROL!$C$42, 32.4229, 32.4229) * CHOOSE(CONTROL!$C$21, $C$9, 100%, $E$9)</f>
        <v>32.422899999999998</v>
      </c>
      <c r="E559" s="14">
        <f>CHOOSE(CONTROL!$C$42, 32.4544, 32.4544) * CHOOSE(CONTROL!$C$21, $C$9, 100%, $E$9)</f>
        <v>32.4544</v>
      </c>
      <c r="F559" s="14">
        <f>CHOOSE(CONTROL!$C$42, 32.2214, 32.2214)*CHOOSE(CONTROL!$C$21, $C$9, 100%, $E$9)</f>
        <v>32.221400000000003</v>
      </c>
      <c r="G559" s="14">
        <f>CHOOSE(CONTROL!$C$42, 32.2387, 32.2387)*CHOOSE(CONTROL!$C$21, $C$9, 100%, $E$9)</f>
        <v>32.238700000000001</v>
      </c>
      <c r="H559" s="14">
        <f>CHOOSE(CONTROL!$C$42, 32.443, 32.443) * CHOOSE(CONTROL!$C$21, $C$9, 100%, $E$9)</f>
        <v>32.442999999999998</v>
      </c>
      <c r="I559" s="14">
        <f>CHOOSE(CONTROL!$C$42, 32.323, 32.323)* CHOOSE(CONTROL!$C$21, $C$9, 100%, $E$9)</f>
        <v>32.323</v>
      </c>
      <c r="J559" s="14">
        <f>CHOOSE(CONTROL!$C$42, 32.2144, 32.2144)* CHOOSE(CONTROL!$C$21, $C$9, 100%, $E$9)</f>
        <v>32.214399999999998</v>
      </c>
      <c r="K559" s="53">
        <f>CHOOSE(CONTROL!$C$42, 32.3191, 32.3191) * CHOOSE(CONTROL!$C$21, $C$9, 100%, $E$9)</f>
        <v>32.319099999999999</v>
      </c>
      <c r="L559" s="14">
        <f>CHOOSE(CONTROL!$C$42, 33.03, 33.03) * CHOOSE(CONTROL!$C$21, $C$9, 100%, $E$9)</f>
        <v>33.03</v>
      </c>
      <c r="M559" s="14">
        <f>CHOOSE(CONTROL!$C$42, 31.562, 31.562) * CHOOSE(CONTROL!$C$21, $C$9, 100%, $E$9)</f>
        <v>31.562000000000001</v>
      </c>
      <c r="N559" s="14">
        <f>CHOOSE(CONTROL!$C$42, 31.579, 31.579) * CHOOSE(CONTROL!$C$21, $C$9, 100%, $E$9)</f>
        <v>31.579000000000001</v>
      </c>
      <c r="O559" s="14">
        <f>CHOOSE(CONTROL!$C$42, 31.786, 31.786) * CHOOSE(CONTROL!$C$21, $C$9, 100%, $E$9)</f>
        <v>31.786000000000001</v>
      </c>
      <c r="P559" s="14">
        <f>CHOOSE(CONTROL!$C$42, 31.6665, 31.6665) * CHOOSE(CONTROL!$C$21, $C$9, 100%, $E$9)</f>
        <v>31.666499999999999</v>
      </c>
      <c r="Q559" s="14">
        <f>CHOOSE(CONTROL!$C$42, 32.3807, 32.3807) * CHOOSE(CONTROL!$C$21, $C$9, 100%, $E$9)</f>
        <v>32.380699999999997</v>
      </c>
      <c r="R559" s="14">
        <f>CHOOSE(CONTROL!$C$42, 33.0486, 33.0486) * CHOOSE(CONTROL!$C$21, $C$9, 100%, $E$9)</f>
        <v>33.0486</v>
      </c>
      <c r="S559" s="14">
        <f>CHOOSE(CONTROL!$C$42, 30.9249, 30.9249) * CHOOSE(CONTROL!$C$21, $C$9, 100%, $E$9)</f>
        <v>30.924900000000001</v>
      </c>
      <c r="T55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9" s="57">
        <f>(1000*CHOOSE(CONTROL!$C$42, 695, 695)*CHOOSE(CONTROL!$C$42, 0.5599, 0.5599)*CHOOSE(CONTROL!$C$42, 31, 31))/1000000</f>
        <v>12.063045499999998</v>
      </c>
      <c r="V559" s="57">
        <f>(1000*CHOOSE(CONTROL!$C$42, 500, 500)*CHOOSE(CONTROL!$C$42, 0.275, 0.275)*CHOOSE(CONTROL!$C$42, 31, 31))/1000000</f>
        <v>4.2625000000000002</v>
      </c>
      <c r="W559" s="57">
        <f>(1000*CHOOSE(CONTROL!$C$42, 0.1146, 0.1146)*CHOOSE(CONTROL!$C$42, 121.5, 121.5)*CHOOSE(CONTROL!$C$42, 31, 31))/1000000</f>
        <v>0.43164089999999994</v>
      </c>
      <c r="X559" s="57">
        <f>(31*0.1790888*245000/1000000)+(31*0.2374*100000/1000000)</f>
        <v>2.0961194359999999</v>
      </c>
      <c r="Y559" s="57"/>
      <c r="Z559" s="14"/>
      <c r="AA559" s="56"/>
      <c r="AB559" s="50">
        <f>(B559*194.205+C559*267.466+D559*133.845+E559*53.484+F559*40+G559*185+H559*0+I559*100+J559*300)/(194.205+267.466+133.845+53.484+0+40+185+100+300)</f>
        <v>32.253048731083204</v>
      </c>
      <c r="AC559" s="45">
        <f>(M559*'RAP TEMPLATE-GAS AVAILABILITY'!O558+N559*'RAP TEMPLATE-GAS AVAILABILITY'!P558+O559*'RAP TEMPLATE-GAS AVAILABILITY'!Q558+P559*'RAP TEMPLATE-GAS AVAILABILITY'!R558)/('RAP TEMPLATE-GAS AVAILABILITY'!O558+'RAP TEMPLATE-GAS AVAILABILITY'!P558+'RAP TEMPLATE-GAS AVAILABILITY'!Q558+'RAP TEMPLATE-GAS AVAILABILITY'!R558)</f>
        <v>31.643798561151083</v>
      </c>
    </row>
    <row r="560" spans="1:29" ht="15.75" x14ac:dyDescent="0.25">
      <c r="A560" s="32">
        <v>57953</v>
      </c>
      <c r="B560" s="14">
        <f>CHOOSE(CONTROL!$C$42, 30.6046, 30.6046) * CHOOSE(CONTROL!$C$21, $C$9, 100%, $E$9)</f>
        <v>30.604600000000001</v>
      </c>
      <c r="C560" s="14">
        <f>CHOOSE(CONTROL!$C$42, 30.6127, 30.6127) * CHOOSE(CONTROL!$C$21, $C$9, 100%, $E$9)</f>
        <v>30.6127</v>
      </c>
      <c r="D560" s="14">
        <f>CHOOSE(CONTROL!$C$42, 30.8333, 30.8333) * CHOOSE(CONTROL!$C$21, $C$9, 100%, $E$9)</f>
        <v>30.833300000000001</v>
      </c>
      <c r="E560" s="14">
        <f>CHOOSE(CONTROL!$C$42, 30.8647, 30.8647) * CHOOSE(CONTROL!$C$21, $C$9, 100%, $E$9)</f>
        <v>30.864699999999999</v>
      </c>
      <c r="F560" s="14">
        <f>CHOOSE(CONTROL!$C$42, 30.632, 30.632)*CHOOSE(CONTROL!$C$21, $C$9, 100%, $E$9)</f>
        <v>30.632000000000001</v>
      </c>
      <c r="G560" s="14">
        <f>CHOOSE(CONTROL!$C$42, 30.6494, 30.6494)*CHOOSE(CONTROL!$C$21, $C$9, 100%, $E$9)</f>
        <v>30.6494</v>
      </c>
      <c r="H560" s="14">
        <f>CHOOSE(CONTROL!$C$42, 30.8533, 30.8533) * CHOOSE(CONTROL!$C$21, $C$9, 100%, $E$9)</f>
        <v>30.853300000000001</v>
      </c>
      <c r="I560" s="14">
        <f>CHOOSE(CONTROL!$C$42, 30.7284, 30.7284)* CHOOSE(CONTROL!$C$21, $C$9, 100%, $E$9)</f>
        <v>30.728400000000001</v>
      </c>
      <c r="J560" s="14">
        <f>CHOOSE(CONTROL!$C$42, 30.625, 30.625)* CHOOSE(CONTROL!$C$21, $C$9, 100%, $E$9)</f>
        <v>30.625</v>
      </c>
      <c r="K560" s="53">
        <f>CHOOSE(CONTROL!$C$42, 30.7245, 30.7245) * CHOOSE(CONTROL!$C$21, $C$9, 100%, $E$9)</f>
        <v>30.724499999999999</v>
      </c>
      <c r="L560" s="14">
        <f>CHOOSE(CONTROL!$C$42, 31.4403, 31.4403) * CHOOSE(CONTROL!$C$21, $C$9, 100%, $E$9)</f>
        <v>31.440300000000001</v>
      </c>
      <c r="M560" s="14">
        <f>CHOOSE(CONTROL!$C$42, 30.0052, 30.0052) * CHOOSE(CONTROL!$C$21, $C$9, 100%, $E$9)</f>
        <v>30.005199999999999</v>
      </c>
      <c r="N560" s="14">
        <f>CHOOSE(CONTROL!$C$42, 30.0223, 30.0223) * CHOOSE(CONTROL!$C$21, $C$9, 100%, $E$9)</f>
        <v>30.022300000000001</v>
      </c>
      <c r="O560" s="14">
        <f>CHOOSE(CONTROL!$C$42, 30.2289, 30.2289) * CHOOSE(CONTROL!$C$21, $C$9, 100%, $E$9)</f>
        <v>30.228899999999999</v>
      </c>
      <c r="P560" s="14">
        <f>CHOOSE(CONTROL!$C$42, 30.1046, 30.1046) * CHOOSE(CONTROL!$C$21, $C$9, 100%, $E$9)</f>
        <v>30.104600000000001</v>
      </c>
      <c r="Q560" s="14">
        <f>CHOOSE(CONTROL!$C$42, 30.8236, 30.8236) * CHOOSE(CONTROL!$C$21, $C$9, 100%, $E$9)</f>
        <v>30.823599999999999</v>
      </c>
      <c r="R560" s="14">
        <f>CHOOSE(CONTROL!$C$42, 31.4876, 31.4876) * CHOOSE(CONTROL!$C$21, $C$9, 100%, $E$9)</f>
        <v>31.4876</v>
      </c>
      <c r="S560" s="14">
        <f>CHOOSE(CONTROL!$C$42, 29.3974, 29.3974) * CHOOSE(CONTROL!$C$21, $C$9, 100%, $E$9)</f>
        <v>29.397400000000001</v>
      </c>
      <c r="T56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0" s="57">
        <f>(1000*CHOOSE(CONTROL!$C$42, 695, 695)*CHOOSE(CONTROL!$C$42, 0.5599, 0.5599)*CHOOSE(CONTROL!$C$42, 31, 31))/1000000</f>
        <v>12.063045499999998</v>
      </c>
      <c r="V560" s="57">
        <f>(1000*CHOOSE(CONTROL!$C$42, 500, 500)*CHOOSE(CONTROL!$C$42, 0.275, 0.275)*CHOOSE(CONTROL!$C$42, 31, 31))/1000000</f>
        <v>4.2625000000000002</v>
      </c>
      <c r="W560" s="57">
        <f>(1000*CHOOSE(CONTROL!$C$42, 0.1146, 0.1146)*CHOOSE(CONTROL!$C$42, 121.5, 121.5)*CHOOSE(CONTROL!$C$42, 31, 31))/1000000</f>
        <v>0.43164089999999994</v>
      </c>
      <c r="X560" s="57">
        <f>(31*0.1790888*245000/1000000)+(31*0.2374*100000/1000000)</f>
        <v>2.0961194359999999</v>
      </c>
      <c r="Y560" s="57"/>
      <c r="Z560" s="14"/>
      <c r="AA560" s="56"/>
      <c r="AB560" s="50">
        <f>(B560*194.205+C560*267.466+D560*133.845+E560*53.484+F560*40+G560*185+H560*0+I560*100+J560*300)/(194.205+267.466+133.845+53.484+0+40+185+100+300)</f>
        <v>30.663133763343794</v>
      </c>
      <c r="AC560" s="45">
        <f>(M560*'RAP TEMPLATE-GAS AVAILABILITY'!O559+N560*'RAP TEMPLATE-GAS AVAILABILITY'!P559+O560*'RAP TEMPLATE-GAS AVAILABILITY'!Q559+P560*'RAP TEMPLATE-GAS AVAILABILITY'!R559)/('RAP TEMPLATE-GAS AVAILABILITY'!O559+'RAP TEMPLATE-GAS AVAILABILITY'!P559+'RAP TEMPLATE-GAS AVAILABILITY'!Q559+'RAP TEMPLATE-GAS AVAILABILITY'!R559)</f>
        <v>30.086203597122299</v>
      </c>
    </row>
    <row r="561" spans="1:29" ht="15.75" x14ac:dyDescent="0.25">
      <c r="A561" s="32">
        <v>57983</v>
      </c>
      <c r="B561" s="14">
        <f>CHOOSE(CONTROL!$C$42, 28.6621, 28.6621) * CHOOSE(CONTROL!$C$21, $C$9, 100%, $E$9)</f>
        <v>28.662099999999999</v>
      </c>
      <c r="C561" s="14">
        <f>CHOOSE(CONTROL!$C$42, 28.6702, 28.6702) * CHOOSE(CONTROL!$C$21, $C$9, 100%, $E$9)</f>
        <v>28.670200000000001</v>
      </c>
      <c r="D561" s="14">
        <f>CHOOSE(CONTROL!$C$42, 28.8908, 28.8908) * CHOOSE(CONTROL!$C$21, $C$9, 100%, $E$9)</f>
        <v>28.890799999999999</v>
      </c>
      <c r="E561" s="14">
        <f>CHOOSE(CONTROL!$C$42, 28.9222, 28.9222) * CHOOSE(CONTROL!$C$21, $C$9, 100%, $E$9)</f>
        <v>28.9222</v>
      </c>
      <c r="F561" s="14">
        <f>CHOOSE(CONTROL!$C$42, 28.6895, 28.6895)*CHOOSE(CONTROL!$C$21, $C$9, 100%, $E$9)</f>
        <v>28.689499999999999</v>
      </c>
      <c r="G561" s="14">
        <f>CHOOSE(CONTROL!$C$42, 28.7069, 28.7069)*CHOOSE(CONTROL!$C$21, $C$9, 100%, $E$9)</f>
        <v>28.706900000000001</v>
      </c>
      <c r="H561" s="14">
        <f>CHOOSE(CONTROL!$C$42, 28.9109, 28.9109) * CHOOSE(CONTROL!$C$21, $C$9, 100%, $E$9)</f>
        <v>28.910900000000002</v>
      </c>
      <c r="I561" s="14">
        <f>CHOOSE(CONTROL!$C$42, 28.7798, 28.7798)* CHOOSE(CONTROL!$C$21, $C$9, 100%, $E$9)</f>
        <v>28.779800000000002</v>
      </c>
      <c r="J561" s="14">
        <f>CHOOSE(CONTROL!$C$42, 28.6825, 28.6825)* CHOOSE(CONTROL!$C$21, $C$9, 100%, $E$9)</f>
        <v>28.682500000000001</v>
      </c>
      <c r="K561" s="53">
        <f>CHOOSE(CONTROL!$C$42, 28.7759, 28.7759) * CHOOSE(CONTROL!$C$21, $C$9, 100%, $E$9)</f>
        <v>28.7759</v>
      </c>
      <c r="L561" s="14">
        <f>CHOOSE(CONTROL!$C$42, 29.4979, 29.4979) * CHOOSE(CONTROL!$C$21, $C$9, 100%, $E$9)</f>
        <v>29.497900000000001</v>
      </c>
      <c r="M561" s="14">
        <f>CHOOSE(CONTROL!$C$42, 28.1025, 28.1025) * CHOOSE(CONTROL!$C$21, $C$9, 100%, $E$9)</f>
        <v>28.102499999999999</v>
      </c>
      <c r="N561" s="14">
        <f>CHOOSE(CONTROL!$C$42, 28.1196, 28.1196) * CHOOSE(CONTROL!$C$21, $C$9, 100%, $E$9)</f>
        <v>28.119599999999998</v>
      </c>
      <c r="O561" s="14">
        <f>CHOOSE(CONTROL!$C$42, 28.3262, 28.3262) * CHOOSE(CONTROL!$C$21, $C$9, 100%, $E$9)</f>
        <v>28.3262</v>
      </c>
      <c r="P561" s="14">
        <f>CHOOSE(CONTROL!$C$42, 28.1961, 28.1961) * CHOOSE(CONTROL!$C$21, $C$9, 100%, $E$9)</f>
        <v>28.196100000000001</v>
      </c>
      <c r="Q561" s="14">
        <f>CHOOSE(CONTROL!$C$42, 28.9209, 28.9209) * CHOOSE(CONTROL!$C$21, $C$9, 100%, $E$9)</f>
        <v>28.9209</v>
      </c>
      <c r="R561" s="14">
        <f>CHOOSE(CONTROL!$C$42, 29.5802, 29.5802) * CHOOSE(CONTROL!$C$21, $C$9, 100%, $E$9)</f>
        <v>29.580200000000001</v>
      </c>
      <c r="S561" s="14">
        <f>CHOOSE(CONTROL!$C$42, 27.5308, 27.5308) * CHOOSE(CONTROL!$C$21, $C$9, 100%, $E$9)</f>
        <v>27.530799999999999</v>
      </c>
      <c r="T56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61" s="57">
        <f>(1000*CHOOSE(CONTROL!$C$42, 695, 695)*CHOOSE(CONTROL!$C$42, 0.5599, 0.5599)*CHOOSE(CONTROL!$C$42, 30, 30))/1000000</f>
        <v>11.673914999999997</v>
      </c>
      <c r="V561" s="57">
        <f>(1000*CHOOSE(CONTROL!$C$42, 500, 500)*CHOOSE(CONTROL!$C$42, 0.275, 0.275)*CHOOSE(CONTROL!$C$42, 30, 30))/1000000</f>
        <v>4.125</v>
      </c>
      <c r="W561" s="57">
        <f>(1000*CHOOSE(CONTROL!$C$42, 0.1146, 0.1146)*CHOOSE(CONTROL!$C$42, 121.5, 121.5)*CHOOSE(CONTROL!$C$42, 30, 30))/1000000</f>
        <v>0.417717</v>
      </c>
      <c r="X561" s="57">
        <f>(30*0.1790888*245000/1000000)+(30*0.2374*100000/1000000)</f>
        <v>2.0285026799999999</v>
      </c>
      <c r="Y561" s="57"/>
      <c r="Z561" s="14"/>
      <c r="AA561" s="56"/>
      <c r="AB561" s="50">
        <f>(B561*194.205+C561*267.466+D561*133.845+E561*53.484+F561*40+G561*185+H561*0+I561*100+J561*300)/(194.205+267.466+133.845+53.484+0+40+185+100+300)</f>
        <v>28.720154956436417</v>
      </c>
      <c r="AC561" s="45">
        <f>(M561*'RAP TEMPLATE-GAS AVAILABILITY'!O560+N561*'RAP TEMPLATE-GAS AVAILABILITY'!P560+O561*'RAP TEMPLATE-GAS AVAILABILITY'!Q560+P561*'RAP TEMPLATE-GAS AVAILABILITY'!R560)/('RAP TEMPLATE-GAS AVAILABILITY'!O560+'RAP TEMPLATE-GAS AVAILABILITY'!P560+'RAP TEMPLATE-GAS AVAILABILITY'!Q560+'RAP TEMPLATE-GAS AVAILABILITY'!R560)</f>
        <v>28.182669064748204</v>
      </c>
    </row>
    <row r="562" spans="1:29" ht="15.75" x14ac:dyDescent="0.25">
      <c r="A562" s="32">
        <v>58014</v>
      </c>
      <c r="B562" s="14">
        <f>CHOOSE(CONTROL!$C$42, 28.0787, 28.0787) * CHOOSE(CONTROL!$C$21, $C$9, 100%, $E$9)</f>
        <v>28.078700000000001</v>
      </c>
      <c r="C562" s="14">
        <f>CHOOSE(CONTROL!$C$42, 28.084, 28.084) * CHOOSE(CONTROL!$C$21, $C$9, 100%, $E$9)</f>
        <v>28.084</v>
      </c>
      <c r="D562" s="14">
        <f>CHOOSE(CONTROL!$C$42, 28.3095, 28.3095) * CHOOSE(CONTROL!$C$21, $C$9, 100%, $E$9)</f>
        <v>28.3095</v>
      </c>
      <c r="E562" s="14">
        <f>CHOOSE(CONTROL!$C$42, 28.3387, 28.3387) * CHOOSE(CONTROL!$C$21, $C$9, 100%, $E$9)</f>
        <v>28.338699999999999</v>
      </c>
      <c r="F562" s="14">
        <f>CHOOSE(CONTROL!$C$42, 28.108, 28.108)*CHOOSE(CONTROL!$C$21, $C$9, 100%, $E$9)</f>
        <v>28.108000000000001</v>
      </c>
      <c r="G562" s="14">
        <f>CHOOSE(CONTROL!$C$42, 28.1253, 28.1253)*CHOOSE(CONTROL!$C$21, $C$9, 100%, $E$9)</f>
        <v>28.125299999999999</v>
      </c>
      <c r="H562" s="14">
        <f>CHOOSE(CONTROL!$C$42, 28.3291, 28.3291) * CHOOSE(CONTROL!$C$21, $C$9, 100%, $E$9)</f>
        <v>28.3291</v>
      </c>
      <c r="I562" s="14">
        <f>CHOOSE(CONTROL!$C$42, 28.1963, 28.1963)* CHOOSE(CONTROL!$C$21, $C$9, 100%, $E$9)</f>
        <v>28.196300000000001</v>
      </c>
      <c r="J562" s="14">
        <f>CHOOSE(CONTROL!$C$42, 28.101, 28.101)* CHOOSE(CONTROL!$C$21, $C$9, 100%, $E$9)</f>
        <v>28.100999999999999</v>
      </c>
      <c r="K562" s="53">
        <f>CHOOSE(CONTROL!$C$42, 28.1924, 28.1924) * CHOOSE(CONTROL!$C$21, $C$9, 100%, $E$9)</f>
        <v>28.192399999999999</v>
      </c>
      <c r="L562" s="14">
        <f>CHOOSE(CONTROL!$C$42, 28.9161, 28.9161) * CHOOSE(CONTROL!$C$21, $C$9, 100%, $E$9)</f>
        <v>28.9161</v>
      </c>
      <c r="M562" s="14">
        <f>CHOOSE(CONTROL!$C$42, 27.533, 27.533) * CHOOSE(CONTROL!$C$21, $C$9, 100%, $E$9)</f>
        <v>27.533000000000001</v>
      </c>
      <c r="N562" s="14">
        <f>CHOOSE(CONTROL!$C$42, 27.5498, 27.5498) * CHOOSE(CONTROL!$C$21, $C$9, 100%, $E$9)</f>
        <v>27.549800000000001</v>
      </c>
      <c r="O562" s="14">
        <f>CHOOSE(CONTROL!$C$42, 27.7564, 27.7564) * CHOOSE(CONTROL!$C$21, $C$9, 100%, $E$9)</f>
        <v>27.756399999999999</v>
      </c>
      <c r="P562" s="14">
        <f>CHOOSE(CONTROL!$C$42, 27.6245, 27.6245) * CHOOSE(CONTROL!$C$21, $C$9, 100%, $E$9)</f>
        <v>27.624500000000001</v>
      </c>
      <c r="Q562" s="14">
        <f>CHOOSE(CONTROL!$C$42, 28.3511, 28.3511) * CHOOSE(CONTROL!$C$21, $C$9, 100%, $E$9)</f>
        <v>28.351099999999999</v>
      </c>
      <c r="R562" s="14">
        <f>CHOOSE(CONTROL!$C$42, 29.009, 29.009) * CHOOSE(CONTROL!$C$21, $C$9, 100%, $E$9)</f>
        <v>29.009</v>
      </c>
      <c r="S562" s="14">
        <f>CHOOSE(CONTROL!$C$42, 26.9719, 26.9719) * CHOOSE(CONTROL!$C$21, $C$9, 100%, $E$9)</f>
        <v>26.971900000000002</v>
      </c>
      <c r="T56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62" s="57">
        <f>(1000*CHOOSE(CONTROL!$C$42, 695, 695)*CHOOSE(CONTROL!$C$42, 0.5599, 0.5599)*CHOOSE(CONTROL!$C$42, 31, 31))/1000000</f>
        <v>12.063045499999998</v>
      </c>
      <c r="V562" s="57">
        <f>(1000*CHOOSE(CONTROL!$C$42, 500, 500)*CHOOSE(CONTROL!$C$42, 0.275, 0.275)*CHOOSE(CONTROL!$C$42, 31, 31))/1000000</f>
        <v>4.2625000000000002</v>
      </c>
      <c r="W562" s="57">
        <f>(1000*CHOOSE(CONTROL!$C$42, 0.1146, 0.1146)*CHOOSE(CONTROL!$C$42, 121.5, 121.5)*CHOOSE(CONTROL!$C$42, 31, 31))/1000000</f>
        <v>0.43164089999999994</v>
      </c>
      <c r="X562" s="57">
        <f>(31*0.1790888*245000/1000000)+(31*0.2374*100000/1000000)</f>
        <v>2.0961194359999999</v>
      </c>
      <c r="Y562" s="57"/>
      <c r="Z562" s="14"/>
      <c r="AA562" s="56"/>
      <c r="AB562" s="50">
        <f>(B562*131.881+C562*277.167+D562*79.08+E562*125.872+F562*40+G562*185+H562*0+I562*100+J562*300)/(131.881+277.167+79.08+125.872+0+40+185+100+300)</f>
        <v>28.143825398789343</v>
      </c>
      <c r="AC562" s="45">
        <f>(M562*'RAP TEMPLATE-GAS AVAILABILITY'!O561+N562*'RAP TEMPLATE-GAS AVAILABILITY'!P561+O562*'RAP TEMPLATE-GAS AVAILABILITY'!Q561+P562*'RAP TEMPLATE-GAS AVAILABILITY'!R561)/('RAP TEMPLATE-GAS AVAILABILITY'!O561+'RAP TEMPLATE-GAS AVAILABILITY'!P561+'RAP TEMPLATE-GAS AVAILABILITY'!Q561+'RAP TEMPLATE-GAS AVAILABILITY'!R561)</f>
        <v>27.612713669064746</v>
      </c>
    </row>
    <row r="563" spans="1:29" ht="15.75" x14ac:dyDescent="0.25">
      <c r="A563" s="32">
        <v>58044</v>
      </c>
      <c r="B563" s="14">
        <f>CHOOSE(CONTROL!$C$42, 28.8177, 28.8177) * CHOOSE(CONTROL!$C$21, $C$9, 100%, $E$9)</f>
        <v>28.817699999999999</v>
      </c>
      <c r="C563" s="14">
        <f>CHOOSE(CONTROL!$C$42, 28.8228, 28.8228) * CHOOSE(CONTROL!$C$21, $C$9, 100%, $E$9)</f>
        <v>28.822800000000001</v>
      </c>
      <c r="D563" s="14">
        <f>CHOOSE(CONTROL!$C$42, 28.897, 28.897) * CHOOSE(CONTROL!$C$21, $C$9, 100%, $E$9)</f>
        <v>28.896999999999998</v>
      </c>
      <c r="E563" s="14">
        <f>CHOOSE(CONTROL!$C$42, 28.9311, 28.9311) * CHOOSE(CONTROL!$C$21, $C$9, 100%, $E$9)</f>
        <v>28.931100000000001</v>
      </c>
      <c r="F563" s="14">
        <f>CHOOSE(CONTROL!$C$42, 28.8538, 28.8538)*CHOOSE(CONTROL!$C$21, $C$9, 100%, $E$9)</f>
        <v>28.8538</v>
      </c>
      <c r="G563" s="14">
        <f>CHOOSE(CONTROL!$C$42, 28.8713, 28.8713)*CHOOSE(CONTROL!$C$21, $C$9, 100%, $E$9)</f>
        <v>28.871300000000002</v>
      </c>
      <c r="H563" s="14">
        <f>CHOOSE(CONTROL!$C$42, 28.9203, 28.9203) * CHOOSE(CONTROL!$C$21, $C$9, 100%, $E$9)</f>
        <v>28.920300000000001</v>
      </c>
      <c r="I563" s="14">
        <f>CHOOSE(CONTROL!$C$42, 28.9354, 28.9354)* CHOOSE(CONTROL!$C$21, $C$9, 100%, $E$9)</f>
        <v>28.935400000000001</v>
      </c>
      <c r="J563" s="14">
        <f>CHOOSE(CONTROL!$C$42, 28.8468, 28.8468)* CHOOSE(CONTROL!$C$21, $C$9, 100%, $E$9)</f>
        <v>28.846800000000002</v>
      </c>
      <c r="K563" s="53">
        <f>CHOOSE(CONTROL!$C$42, 28.9315, 28.9315) * CHOOSE(CONTROL!$C$21, $C$9, 100%, $E$9)</f>
        <v>28.9315</v>
      </c>
      <c r="L563" s="14">
        <f>CHOOSE(CONTROL!$C$42, 29.5073, 29.5073) * CHOOSE(CONTROL!$C$21, $C$9, 100%, $E$9)</f>
        <v>29.507300000000001</v>
      </c>
      <c r="M563" s="14">
        <f>CHOOSE(CONTROL!$C$42, 28.2634, 28.2634) * CHOOSE(CONTROL!$C$21, $C$9, 100%, $E$9)</f>
        <v>28.263400000000001</v>
      </c>
      <c r="N563" s="14">
        <f>CHOOSE(CONTROL!$C$42, 28.2806, 28.2806) * CHOOSE(CONTROL!$C$21, $C$9, 100%, $E$9)</f>
        <v>28.2806</v>
      </c>
      <c r="O563" s="14">
        <f>CHOOSE(CONTROL!$C$42, 28.3354, 28.3354) * CHOOSE(CONTROL!$C$21, $C$9, 100%, $E$9)</f>
        <v>28.3354</v>
      </c>
      <c r="P563" s="14">
        <f>CHOOSE(CONTROL!$C$42, 28.3485, 28.3485) * CHOOSE(CONTROL!$C$21, $C$9, 100%, $E$9)</f>
        <v>28.348500000000001</v>
      </c>
      <c r="Q563" s="14">
        <f>CHOOSE(CONTROL!$C$42, 28.9301, 28.9301) * CHOOSE(CONTROL!$C$21, $C$9, 100%, $E$9)</f>
        <v>28.930099999999999</v>
      </c>
      <c r="R563" s="14">
        <f>CHOOSE(CONTROL!$C$42, 29.5895, 29.5895) * CHOOSE(CONTROL!$C$21, $C$9, 100%, $E$9)</f>
        <v>29.589500000000001</v>
      </c>
      <c r="S563" s="14">
        <f>CHOOSE(CONTROL!$C$42, 27.6824, 27.6824) * CHOOSE(CONTROL!$C$21, $C$9, 100%, $E$9)</f>
        <v>27.682400000000001</v>
      </c>
      <c r="T56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63" s="57">
        <f>(1000*CHOOSE(CONTROL!$C$42, 695, 695)*CHOOSE(CONTROL!$C$42, 0.5599, 0.5599)*CHOOSE(CONTROL!$C$42, 30, 30))/1000000</f>
        <v>11.673914999999997</v>
      </c>
      <c r="V563" s="57">
        <f>(1000*CHOOSE(CONTROL!$C$42, 500, 500)*CHOOSE(CONTROL!$C$42, 0.275, 0.275)*CHOOSE(CONTROL!$C$42, 30, 30))/1000000</f>
        <v>4.125</v>
      </c>
      <c r="W563" s="57">
        <f>(1000*CHOOSE(CONTROL!$C$42, 0.1146, 0.1146)*CHOOSE(CONTROL!$C$42, 121.5, 121.5)*CHOOSE(CONTROL!$C$42, 30, 30))/1000000</f>
        <v>0.417717</v>
      </c>
      <c r="X563" s="57">
        <f>(30*0.1790888*100000/1000000)+(30*0.2374*100000/1000000)</f>
        <v>1.2494664</v>
      </c>
      <c r="Y563" s="57"/>
      <c r="Z563" s="14"/>
      <c r="AA563" s="56"/>
      <c r="AB563" s="50">
        <f>(B563*122.58+C563*297.941+D563*89.177+E563*40.302+F563*40+G563*160+H563*0+I563*100+J563*300)/(122.58+297.941+89.177+40.302+0+40+160+100+300)</f>
        <v>28.855683897391302</v>
      </c>
      <c r="AC563" s="45">
        <f>(M563*'RAP TEMPLATE-GAS AVAILABILITY'!O562+N563*'RAP TEMPLATE-GAS AVAILABILITY'!P562+O563*'RAP TEMPLATE-GAS AVAILABILITY'!Q562+P563*'RAP TEMPLATE-GAS AVAILABILITY'!R562)/('RAP TEMPLATE-GAS AVAILABILITY'!O562+'RAP TEMPLATE-GAS AVAILABILITY'!P562+'RAP TEMPLATE-GAS AVAILABILITY'!Q562+'RAP TEMPLATE-GAS AVAILABILITY'!R562)</f>
        <v>28.309267625899277</v>
      </c>
    </row>
    <row r="564" spans="1:29" ht="15.75" x14ac:dyDescent="0.25">
      <c r="A564" s="32">
        <v>58075</v>
      </c>
      <c r="B564" s="14">
        <f>CHOOSE(CONTROL!$C$42, 30.7818, 30.7818) * CHOOSE(CONTROL!$C$21, $C$9, 100%, $E$9)</f>
        <v>30.7818</v>
      </c>
      <c r="C564" s="14">
        <f>CHOOSE(CONTROL!$C$42, 30.7869, 30.7869) * CHOOSE(CONTROL!$C$21, $C$9, 100%, $E$9)</f>
        <v>30.786899999999999</v>
      </c>
      <c r="D564" s="14">
        <f>CHOOSE(CONTROL!$C$42, 30.8611, 30.8611) * CHOOSE(CONTROL!$C$21, $C$9, 100%, $E$9)</f>
        <v>30.8611</v>
      </c>
      <c r="E564" s="14">
        <f>CHOOSE(CONTROL!$C$42, 30.8952, 30.8952) * CHOOSE(CONTROL!$C$21, $C$9, 100%, $E$9)</f>
        <v>30.895199999999999</v>
      </c>
      <c r="F564" s="14">
        <f>CHOOSE(CONTROL!$C$42, 30.8202, 30.8202)*CHOOSE(CONTROL!$C$21, $C$9, 100%, $E$9)</f>
        <v>30.8202</v>
      </c>
      <c r="G564" s="14">
        <f>CHOOSE(CONTROL!$C$42, 30.8384, 30.8384)*CHOOSE(CONTROL!$C$21, $C$9, 100%, $E$9)</f>
        <v>30.8384</v>
      </c>
      <c r="H564" s="14">
        <f>CHOOSE(CONTROL!$C$42, 30.8844, 30.8844) * CHOOSE(CONTROL!$C$21, $C$9, 100%, $E$9)</f>
        <v>30.884399999999999</v>
      </c>
      <c r="I564" s="14">
        <f>CHOOSE(CONTROL!$C$42, 30.9057, 30.9057)* CHOOSE(CONTROL!$C$21, $C$9, 100%, $E$9)</f>
        <v>30.9057</v>
      </c>
      <c r="J564" s="14">
        <f>CHOOSE(CONTROL!$C$42, 30.8132, 30.8132)* CHOOSE(CONTROL!$C$21, $C$9, 100%, $E$9)</f>
        <v>30.813199999999998</v>
      </c>
      <c r="K564" s="53">
        <f>CHOOSE(CONTROL!$C$42, 30.9018, 30.9018) * CHOOSE(CONTROL!$C$21, $C$9, 100%, $E$9)</f>
        <v>30.901800000000001</v>
      </c>
      <c r="L564" s="14">
        <f>CHOOSE(CONTROL!$C$42, 31.4714, 31.4714) * CHOOSE(CONTROL!$C$21, $C$9, 100%, $E$9)</f>
        <v>31.471399999999999</v>
      </c>
      <c r="M564" s="14">
        <f>CHOOSE(CONTROL!$C$42, 30.1896, 30.1896) * CHOOSE(CONTROL!$C$21, $C$9, 100%, $E$9)</f>
        <v>30.189599999999999</v>
      </c>
      <c r="N564" s="14">
        <f>CHOOSE(CONTROL!$C$42, 30.2074, 30.2074) * CHOOSE(CONTROL!$C$21, $C$9, 100%, $E$9)</f>
        <v>30.2074</v>
      </c>
      <c r="O564" s="14">
        <f>CHOOSE(CONTROL!$C$42, 30.2593, 30.2593) * CHOOSE(CONTROL!$C$21, $C$9, 100%, $E$9)</f>
        <v>30.2593</v>
      </c>
      <c r="P564" s="14">
        <f>CHOOSE(CONTROL!$C$42, 30.2783, 30.2783) * CHOOSE(CONTROL!$C$21, $C$9, 100%, $E$9)</f>
        <v>30.278300000000002</v>
      </c>
      <c r="Q564" s="14">
        <f>CHOOSE(CONTROL!$C$42, 30.854, 30.854) * CHOOSE(CONTROL!$C$21, $C$9, 100%, $E$9)</f>
        <v>30.853999999999999</v>
      </c>
      <c r="R564" s="14">
        <f>CHOOSE(CONTROL!$C$42, 31.5182, 31.5182) * CHOOSE(CONTROL!$C$21, $C$9, 100%, $E$9)</f>
        <v>31.5182</v>
      </c>
      <c r="S564" s="14">
        <f>CHOOSE(CONTROL!$C$42, 29.5697, 29.5697) * CHOOSE(CONTROL!$C$21, $C$9, 100%, $E$9)</f>
        <v>29.569700000000001</v>
      </c>
      <c r="T56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64" s="57">
        <f>(1000*CHOOSE(CONTROL!$C$42, 695, 695)*CHOOSE(CONTROL!$C$42, 0.5599, 0.5599)*CHOOSE(CONTROL!$C$42, 31, 31))/1000000</f>
        <v>12.063045499999998</v>
      </c>
      <c r="V564" s="57">
        <f>(1000*CHOOSE(CONTROL!$C$42, 500, 500)*CHOOSE(CONTROL!$C$42, 0.275, 0.275)*CHOOSE(CONTROL!$C$42, 31, 31))/1000000</f>
        <v>4.2625000000000002</v>
      </c>
      <c r="W564" s="57">
        <f>(1000*CHOOSE(CONTROL!$C$42, 0.1146, 0.1146)*CHOOSE(CONTROL!$C$42, 121.5, 121.5)*CHOOSE(CONTROL!$C$42, 31, 31))/1000000</f>
        <v>0.43164089999999994</v>
      </c>
      <c r="X564" s="57">
        <f>(31*0.1790888*100000/1000000)+(31*0.2374*100000/1000000)</f>
        <v>1.2911152800000001</v>
      </c>
      <c r="Y564" s="57"/>
      <c r="Z564" s="14"/>
      <c r="AA564" s="56"/>
      <c r="AB564" s="50">
        <f>(B564*122.58+C564*297.941+D564*89.177+E564*40.302+F564*40+G564*160+H564*0+I564*100+J564*300)/(122.58+297.941+89.177+40.302+0+40+160+100+300)</f>
        <v>30.82142041913044</v>
      </c>
      <c r="AC564" s="45">
        <f>(M564*'RAP TEMPLATE-GAS AVAILABILITY'!O563+N564*'RAP TEMPLATE-GAS AVAILABILITY'!P563+O564*'RAP TEMPLATE-GAS AVAILABILITY'!Q563+P564*'RAP TEMPLATE-GAS AVAILABILITY'!R563)/('RAP TEMPLATE-GAS AVAILABILITY'!O563+'RAP TEMPLATE-GAS AVAILABILITY'!P563+'RAP TEMPLATE-GAS AVAILABILITY'!Q563+'RAP TEMPLATE-GAS AVAILABILITY'!R563)</f>
        <v>30.234977697841732</v>
      </c>
    </row>
    <row r="565" spans="1:29" ht="15.75" x14ac:dyDescent="0.25">
      <c r="A565" s="32">
        <v>58106</v>
      </c>
      <c r="B565" s="14">
        <f>CHOOSE(CONTROL!$C$42, 33.3329, 33.3329) * CHOOSE(CONTROL!$C$21, $C$9, 100%, $E$9)</f>
        <v>33.332900000000002</v>
      </c>
      <c r="C565" s="14">
        <f>CHOOSE(CONTROL!$C$42, 33.3379, 33.3379) * CHOOSE(CONTROL!$C$21, $C$9, 100%, $E$9)</f>
        <v>33.337899999999998</v>
      </c>
      <c r="D565" s="14">
        <f>CHOOSE(CONTROL!$C$42, 33.4148, 33.4148) * CHOOSE(CONTROL!$C$21, $C$9, 100%, $E$9)</f>
        <v>33.4148</v>
      </c>
      <c r="E565" s="14">
        <f>CHOOSE(CONTROL!$C$42, 33.4489, 33.4489) * CHOOSE(CONTROL!$C$21, $C$9, 100%, $E$9)</f>
        <v>33.448900000000002</v>
      </c>
      <c r="F565" s="14">
        <f>CHOOSE(CONTROL!$C$42, 33.3576, 33.3576)*CHOOSE(CONTROL!$C$21, $C$9, 100%, $E$9)</f>
        <v>33.357599999999998</v>
      </c>
      <c r="G565" s="14">
        <f>CHOOSE(CONTROL!$C$42, 33.3756, 33.3756)*CHOOSE(CONTROL!$C$21, $C$9, 100%, $E$9)</f>
        <v>33.375599999999999</v>
      </c>
      <c r="H565" s="14">
        <f>CHOOSE(CONTROL!$C$42, 33.4381, 33.4381) * CHOOSE(CONTROL!$C$21, $C$9, 100%, $E$9)</f>
        <v>33.438099999999999</v>
      </c>
      <c r="I565" s="14">
        <f>CHOOSE(CONTROL!$C$42, 33.471, 33.471)* CHOOSE(CONTROL!$C$21, $C$9, 100%, $E$9)</f>
        <v>33.470999999999997</v>
      </c>
      <c r="J565" s="14">
        <f>CHOOSE(CONTROL!$C$42, 33.3506, 33.3506)* CHOOSE(CONTROL!$C$21, $C$9, 100%, $E$9)</f>
        <v>33.3506</v>
      </c>
      <c r="K565" s="53">
        <f>CHOOSE(CONTROL!$C$42, 33.4671, 33.4671) * CHOOSE(CONTROL!$C$21, $C$9, 100%, $E$9)</f>
        <v>33.467100000000002</v>
      </c>
      <c r="L565" s="14">
        <f>CHOOSE(CONTROL!$C$42, 34.0251, 34.0251) * CHOOSE(CONTROL!$C$21, $C$9, 100%, $E$9)</f>
        <v>34.025100000000002</v>
      </c>
      <c r="M565" s="14">
        <f>CHOOSE(CONTROL!$C$42, 32.675, 32.675) * CHOOSE(CONTROL!$C$21, $C$9, 100%, $E$9)</f>
        <v>32.674999999999997</v>
      </c>
      <c r="N565" s="14">
        <f>CHOOSE(CONTROL!$C$42, 32.6926, 32.6926) * CHOOSE(CONTROL!$C$21, $C$9, 100%, $E$9)</f>
        <v>32.692599999999999</v>
      </c>
      <c r="O565" s="14">
        <f>CHOOSE(CONTROL!$C$42, 32.7606, 32.7606) * CHOOSE(CONTROL!$C$21, $C$9, 100%, $E$9)</f>
        <v>32.760599999999997</v>
      </c>
      <c r="P565" s="14">
        <f>CHOOSE(CONTROL!$C$42, 32.7909, 32.7909) * CHOOSE(CONTROL!$C$21, $C$9, 100%, $E$9)</f>
        <v>32.790900000000001</v>
      </c>
      <c r="Q565" s="14">
        <f>CHOOSE(CONTROL!$C$42, 33.3553, 33.3553) * CHOOSE(CONTROL!$C$21, $C$9, 100%, $E$9)</f>
        <v>33.3553</v>
      </c>
      <c r="R565" s="14">
        <f>CHOOSE(CONTROL!$C$42, 34.0257, 34.0257) * CHOOSE(CONTROL!$C$21, $C$9, 100%, $E$9)</f>
        <v>34.025700000000001</v>
      </c>
      <c r="S565" s="14">
        <f>CHOOSE(CONTROL!$C$42, 32.021, 32.021) * CHOOSE(CONTROL!$C$21, $C$9, 100%, $E$9)</f>
        <v>32.021000000000001</v>
      </c>
      <c r="T56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65" s="57">
        <f>(1000*CHOOSE(CONTROL!$C$42, 695, 695)*CHOOSE(CONTROL!$C$42, 0.5599, 0.5599)*CHOOSE(CONTROL!$C$42, 31, 31))/1000000</f>
        <v>12.063045499999998</v>
      </c>
      <c r="V565" s="57">
        <f>(1000*CHOOSE(CONTROL!$C$42, 500, 500)*CHOOSE(CONTROL!$C$42, 0.275, 0.275)*CHOOSE(CONTROL!$C$42, 31, 31))/1000000</f>
        <v>4.2625000000000002</v>
      </c>
      <c r="W565" s="57">
        <f>(1000*CHOOSE(CONTROL!$C$42, 0.1146, 0.1146)*CHOOSE(CONTROL!$C$42, 121.5, 121.5)*CHOOSE(CONTROL!$C$42, 31, 31))/1000000</f>
        <v>0.43164089999999994</v>
      </c>
      <c r="X565" s="57">
        <f>(31*0.1790888*100000/1000000)+(31*0.2374*100000/1000000)</f>
        <v>1.2911152800000001</v>
      </c>
      <c r="Y565" s="57"/>
      <c r="Z565" s="14"/>
      <c r="AA565" s="56"/>
      <c r="AB565" s="50">
        <f>(B565*122.58+C565*297.941+D565*89.177+E565*40.302+F565*40+G565*160+H565*0+I565*100+J565*300)/(122.58+297.941+89.177+40.302+0+40+160+100+300)</f>
        <v>33.368037681130431</v>
      </c>
      <c r="AC565" s="45">
        <f>(M565*'RAP TEMPLATE-GAS AVAILABILITY'!O564+N565*'RAP TEMPLATE-GAS AVAILABILITY'!P564+O565*'RAP TEMPLATE-GAS AVAILABILITY'!Q564+P565*'RAP TEMPLATE-GAS AVAILABILITY'!R564)/('RAP TEMPLATE-GAS AVAILABILITY'!O564+'RAP TEMPLATE-GAS AVAILABILITY'!P564+'RAP TEMPLATE-GAS AVAILABILITY'!Q564+'RAP TEMPLATE-GAS AVAILABILITY'!R564)</f>
        <v>32.731486330935248</v>
      </c>
    </row>
    <row r="566" spans="1:29" ht="15.75" x14ac:dyDescent="0.25">
      <c r="A566" s="32">
        <v>58134</v>
      </c>
      <c r="B566" s="14">
        <f>CHOOSE(CONTROL!$C$42, 33.9261, 33.9261) * CHOOSE(CONTROL!$C$21, $C$9, 100%, $E$9)</f>
        <v>33.926099999999998</v>
      </c>
      <c r="C566" s="14">
        <f>CHOOSE(CONTROL!$C$42, 33.9311, 33.9311) * CHOOSE(CONTROL!$C$21, $C$9, 100%, $E$9)</f>
        <v>33.931100000000001</v>
      </c>
      <c r="D566" s="14">
        <f>CHOOSE(CONTROL!$C$42, 34.008, 34.008) * CHOOSE(CONTROL!$C$21, $C$9, 100%, $E$9)</f>
        <v>34.008000000000003</v>
      </c>
      <c r="E566" s="14">
        <f>CHOOSE(CONTROL!$C$42, 34.0421, 34.0421) * CHOOSE(CONTROL!$C$21, $C$9, 100%, $E$9)</f>
        <v>34.042099999999998</v>
      </c>
      <c r="F566" s="14">
        <f>CHOOSE(CONTROL!$C$42, 33.9504, 33.9504)*CHOOSE(CONTROL!$C$21, $C$9, 100%, $E$9)</f>
        <v>33.950400000000002</v>
      </c>
      <c r="G566" s="14">
        <f>CHOOSE(CONTROL!$C$42, 33.9683, 33.9683)*CHOOSE(CONTROL!$C$21, $C$9, 100%, $E$9)</f>
        <v>33.968299999999999</v>
      </c>
      <c r="H566" s="14">
        <f>CHOOSE(CONTROL!$C$42, 34.0313, 34.0313) * CHOOSE(CONTROL!$C$21, $C$9, 100%, $E$9)</f>
        <v>34.031300000000002</v>
      </c>
      <c r="I566" s="14">
        <f>CHOOSE(CONTROL!$C$42, 34.0661, 34.0661)* CHOOSE(CONTROL!$C$21, $C$9, 100%, $E$9)</f>
        <v>34.066099999999999</v>
      </c>
      <c r="J566" s="14">
        <f>CHOOSE(CONTROL!$C$42, 33.9434, 33.9434)* CHOOSE(CONTROL!$C$21, $C$9, 100%, $E$9)</f>
        <v>33.943399999999997</v>
      </c>
      <c r="K566" s="53">
        <f>CHOOSE(CONTROL!$C$42, 34.0622, 34.0622) * CHOOSE(CONTROL!$C$21, $C$9, 100%, $E$9)</f>
        <v>34.062199999999997</v>
      </c>
      <c r="L566" s="14">
        <f>CHOOSE(CONTROL!$C$42, 34.6183, 34.6183) * CHOOSE(CONTROL!$C$21, $C$9, 100%, $E$9)</f>
        <v>34.618299999999998</v>
      </c>
      <c r="M566" s="14">
        <f>CHOOSE(CONTROL!$C$42, 33.2556, 33.2556) * CHOOSE(CONTROL!$C$21, $C$9, 100%, $E$9)</f>
        <v>33.255600000000001</v>
      </c>
      <c r="N566" s="14">
        <f>CHOOSE(CONTROL!$C$42, 33.2731, 33.2731) * CHOOSE(CONTROL!$C$21, $C$9, 100%, $E$9)</f>
        <v>33.273099999999999</v>
      </c>
      <c r="O566" s="14">
        <f>CHOOSE(CONTROL!$C$42, 33.3417, 33.3417) * CHOOSE(CONTROL!$C$21, $C$9, 100%, $E$9)</f>
        <v>33.341700000000003</v>
      </c>
      <c r="P566" s="14">
        <f>CHOOSE(CONTROL!$C$42, 33.3737, 33.3737) * CHOOSE(CONTROL!$C$21, $C$9, 100%, $E$9)</f>
        <v>33.373699999999999</v>
      </c>
      <c r="Q566" s="14">
        <f>CHOOSE(CONTROL!$C$42, 33.9364, 33.9364) * CHOOSE(CONTROL!$C$21, $C$9, 100%, $E$9)</f>
        <v>33.936399999999999</v>
      </c>
      <c r="R566" s="14">
        <f>CHOOSE(CONTROL!$C$42, 34.6082, 34.6082) * CHOOSE(CONTROL!$C$21, $C$9, 100%, $E$9)</f>
        <v>34.608199999999997</v>
      </c>
      <c r="S566" s="14">
        <f>CHOOSE(CONTROL!$C$42, 32.591, 32.591) * CHOOSE(CONTROL!$C$21, $C$9, 100%, $E$9)</f>
        <v>32.591000000000001</v>
      </c>
      <c r="T56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66" s="57">
        <f>(1000*CHOOSE(CONTROL!$C$42, 695, 695)*CHOOSE(CONTROL!$C$42, 0.5599, 0.5599)*CHOOSE(CONTROL!$C$42, 28, 28))/1000000</f>
        <v>10.895653999999999</v>
      </c>
      <c r="V566" s="57">
        <f>(1000*CHOOSE(CONTROL!$C$42, 500, 500)*CHOOSE(CONTROL!$C$42, 0.275, 0.275)*CHOOSE(CONTROL!$C$42, 28, 28))/1000000</f>
        <v>3.85</v>
      </c>
      <c r="W566" s="57">
        <f>(1000*CHOOSE(CONTROL!$C$42, 0.1146, 0.1146)*CHOOSE(CONTROL!$C$42, 121.5, 121.5)*CHOOSE(CONTROL!$C$42, 28, 28))/1000000</f>
        <v>0.38986920000000003</v>
      </c>
      <c r="X566" s="57">
        <f>(28*0.1790888*100000/1000000)+(28*0.2374*100000/1000000)</f>
        <v>1.16616864</v>
      </c>
      <c r="Y566" s="57"/>
      <c r="Z566" s="14"/>
      <c r="AA566" s="56"/>
      <c r="AB566" s="50">
        <f>(B566*122.58+C566*297.941+D566*89.177+E566*40.302+F566*40+G566*160+H566*0+I566*100+J566*300)/(122.58+297.941+89.177+40.302+0+40+160+100+300)</f>
        <v>33.961215072434776</v>
      </c>
      <c r="AC566" s="45">
        <f>(M566*'RAP TEMPLATE-GAS AVAILABILITY'!O565+N566*'RAP TEMPLATE-GAS AVAILABILITY'!P565+O566*'RAP TEMPLATE-GAS AVAILABILITY'!Q565+P566*'RAP TEMPLATE-GAS AVAILABILITY'!R565)/('RAP TEMPLATE-GAS AVAILABILITY'!O565+'RAP TEMPLATE-GAS AVAILABILITY'!P565+'RAP TEMPLATE-GAS AVAILABILITY'!Q565+'RAP TEMPLATE-GAS AVAILABILITY'!R565)</f>
        <v>33.312623741007194</v>
      </c>
    </row>
    <row r="567" spans="1:29" ht="15.75" x14ac:dyDescent="0.25">
      <c r="A567" s="32">
        <v>58165</v>
      </c>
      <c r="B567" s="14">
        <f>CHOOSE(CONTROL!$C$42, 32.9632, 32.9632) * CHOOSE(CONTROL!$C$21, $C$9, 100%, $E$9)</f>
        <v>32.963200000000001</v>
      </c>
      <c r="C567" s="14">
        <f>CHOOSE(CONTROL!$C$42, 32.9682, 32.9682) * CHOOSE(CONTROL!$C$21, $C$9, 100%, $E$9)</f>
        <v>32.968200000000003</v>
      </c>
      <c r="D567" s="14">
        <f>CHOOSE(CONTROL!$C$42, 33.0451, 33.0451) * CHOOSE(CONTROL!$C$21, $C$9, 100%, $E$9)</f>
        <v>33.045099999999998</v>
      </c>
      <c r="E567" s="14">
        <f>CHOOSE(CONTROL!$C$42, 33.0792, 33.0792) * CHOOSE(CONTROL!$C$21, $C$9, 100%, $E$9)</f>
        <v>33.0792</v>
      </c>
      <c r="F567" s="14">
        <f>CHOOSE(CONTROL!$C$42, 32.9866, 32.9866)*CHOOSE(CONTROL!$C$21, $C$9, 100%, $E$9)</f>
        <v>32.986600000000003</v>
      </c>
      <c r="G567" s="14">
        <f>CHOOSE(CONTROL!$C$42, 33.0043, 33.0043)*CHOOSE(CONTROL!$C$21, $C$9, 100%, $E$9)</f>
        <v>33.004300000000001</v>
      </c>
      <c r="H567" s="14">
        <f>CHOOSE(CONTROL!$C$42, 33.0684, 33.0684) * CHOOSE(CONTROL!$C$21, $C$9, 100%, $E$9)</f>
        <v>33.068399999999997</v>
      </c>
      <c r="I567" s="14">
        <f>CHOOSE(CONTROL!$C$42, 33.1001, 33.1001)* CHOOSE(CONTROL!$C$21, $C$9, 100%, $E$9)</f>
        <v>33.100099999999998</v>
      </c>
      <c r="J567" s="14">
        <f>CHOOSE(CONTROL!$C$42, 32.9796, 32.9796)* CHOOSE(CONTROL!$C$21, $C$9, 100%, $E$9)</f>
        <v>32.979599999999998</v>
      </c>
      <c r="K567" s="53">
        <f>CHOOSE(CONTROL!$C$42, 33.0962, 33.0962) * CHOOSE(CONTROL!$C$21, $C$9, 100%, $E$9)</f>
        <v>33.096200000000003</v>
      </c>
      <c r="L567" s="14">
        <f>CHOOSE(CONTROL!$C$42, 33.6554, 33.6554) * CHOOSE(CONTROL!$C$21, $C$9, 100%, $E$9)</f>
        <v>33.6554</v>
      </c>
      <c r="M567" s="14">
        <f>CHOOSE(CONTROL!$C$42, 32.3116, 32.3116) * CHOOSE(CONTROL!$C$21, $C$9, 100%, $E$9)</f>
        <v>32.311599999999999</v>
      </c>
      <c r="N567" s="14">
        <f>CHOOSE(CONTROL!$C$42, 32.3289, 32.3289) * CHOOSE(CONTROL!$C$21, $C$9, 100%, $E$9)</f>
        <v>32.328899999999997</v>
      </c>
      <c r="O567" s="14">
        <f>CHOOSE(CONTROL!$C$42, 32.3985, 32.3985) * CHOOSE(CONTROL!$C$21, $C$9, 100%, $E$9)</f>
        <v>32.398499999999999</v>
      </c>
      <c r="P567" s="14">
        <f>CHOOSE(CONTROL!$C$42, 32.4276, 32.4276) * CHOOSE(CONTROL!$C$21, $C$9, 100%, $E$9)</f>
        <v>32.427599999999998</v>
      </c>
      <c r="Q567" s="14">
        <f>CHOOSE(CONTROL!$C$42, 32.9932, 32.9932) * CHOOSE(CONTROL!$C$21, $C$9, 100%, $E$9)</f>
        <v>32.993200000000002</v>
      </c>
      <c r="R567" s="14">
        <f>CHOOSE(CONTROL!$C$42, 33.6627, 33.6627) * CHOOSE(CONTROL!$C$21, $C$9, 100%, $E$9)</f>
        <v>33.662700000000001</v>
      </c>
      <c r="S567" s="14">
        <f>CHOOSE(CONTROL!$C$42, 31.6658, 31.6658) * CHOOSE(CONTROL!$C$21, $C$9, 100%, $E$9)</f>
        <v>31.665800000000001</v>
      </c>
      <c r="T56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67" s="57">
        <f>(1000*CHOOSE(CONTROL!$C$42, 695, 695)*CHOOSE(CONTROL!$C$42, 0.5599, 0.5599)*CHOOSE(CONTROL!$C$42, 31, 31))/1000000</f>
        <v>12.063045499999998</v>
      </c>
      <c r="V567" s="57">
        <f>(1000*CHOOSE(CONTROL!$C$42, 500, 500)*CHOOSE(CONTROL!$C$42, 0.275, 0.275)*CHOOSE(CONTROL!$C$42, 31, 31))/1000000</f>
        <v>4.2625000000000002</v>
      </c>
      <c r="W567" s="57">
        <f>(1000*CHOOSE(CONTROL!$C$42, 0.1146, 0.1146)*CHOOSE(CONTROL!$C$42, 121.5, 121.5)*CHOOSE(CONTROL!$C$42, 31, 31))/1000000</f>
        <v>0.43164089999999994</v>
      </c>
      <c r="X567" s="57">
        <f>(31*0.1790888*100000/1000000)+(31*0.2374*100000/1000000)</f>
        <v>1.2911152800000001</v>
      </c>
      <c r="Y567" s="57"/>
      <c r="Z567" s="14"/>
      <c r="AA567" s="56"/>
      <c r="AB567" s="50">
        <f>(B567*122.58+C567*297.941+D567*89.177+E567*40.302+F567*40+G567*160+H567*0+I567*100+J567*300)/(122.58+297.941+89.177+40.302+0+40+160+100+300)</f>
        <v>32.997626376782613</v>
      </c>
      <c r="AC567" s="45">
        <f>(M567*'RAP TEMPLATE-GAS AVAILABILITY'!O566+N567*'RAP TEMPLATE-GAS AVAILABILITY'!P566+O567*'RAP TEMPLATE-GAS AVAILABILITY'!Q566+P567*'RAP TEMPLATE-GAS AVAILABILITY'!R566)/('RAP TEMPLATE-GAS AVAILABILITY'!O566+'RAP TEMPLATE-GAS AVAILABILITY'!P566+'RAP TEMPLATE-GAS AVAILABILITY'!Q566+'RAP TEMPLATE-GAS AVAILABILITY'!R566)</f>
        <v>32.368672661870498</v>
      </c>
    </row>
    <row r="568" spans="1:29" ht="15.75" x14ac:dyDescent="0.25">
      <c r="A568" s="32">
        <v>58195</v>
      </c>
      <c r="B568" s="14">
        <f>CHOOSE(CONTROL!$C$42, 32.8655, 32.8655) * CHOOSE(CONTROL!$C$21, $C$9, 100%, $E$9)</f>
        <v>32.865499999999997</v>
      </c>
      <c r="C568" s="14">
        <f>CHOOSE(CONTROL!$C$42, 32.87, 32.87) * CHOOSE(CONTROL!$C$21, $C$9, 100%, $E$9)</f>
        <v>32.869999999999997</v>
      </c>
      <c r="D568" s="14">
        <f>CHOOSE(CONTROL!$C$42, 33.0937, 33.0937) * CHOOSE(CONTROL!$C$21, $C$9, 100%, $E$9)</f>
        <v>33.093699999999998</v>
      </c>
      <c r="E568" s="14">
        <f>CHOOSE(CONTROL!$C$42, 33.1258, 33.1258) * CHOOSE(CONTROL!$C$21, $C$9, 100%, $E$9)</f>
        <v>33.125799999999998</v>
      </c>
      <c r="F568" s="14">
        <f>CHOOSE(CONTROL!$C$42, 32.8932, 32.8932)*CHOOSE(CONTROL!$C$21, $C$9, 100%, $E$9)</f>
        <v>32.8932</v>
      </c>
      <c r="G568" s="14">
        <f>CHOOSE(CONTROL!$C$42, 32.9101, 32.9101)*CHOOSE(CONTROL!$C$21, $C$9, 100%, $E$9)</f>
        <v>32.9101</v>
      </c>
      <c r="H568" s="14">
        <f>CHOOSE(CONTROL!$C$42, 33.1156, 33.1156) * CHOOSE(CONTROL!$C$21, $C$9, 100%, $E$9)</f>
        <v>33.115600000000001</v>
      </c>
      <c r="I568" s="14">
        <f>CHOOSE(CONTROL!$C$42, 32.9977, 32.9977)* CHOOSE(CONTROL!$C$21, $C$9, 100%, $E$9)</f>
        <v>32.997700000000002</v>
      </c>
      <c r="J568" s="14">
        <f>CHOOSE(CONTROL!$C$42, 32.8862, 32.8862)* CHOOSE(CONTROL!$C$21, $C$9, 100%, $E$9)</f>
        <v>32.886200000000002</v>
      </c>
      <c r="K568" s="53">
        <f>CHOOSE(CONTROL!$C$42, 32.9938, 32.9938) * CHOOSE(CONTROL!$C$21, $C$9, 100%, $E$9)</f>
        <v>32.9938</v>
      </c>
      <c r="L568" s="14">
        <f>CHOOSE(CONTROL!$C$42, 33.7026, 33.7026) * CHOOSE(CONTROL!$C$21, $C$9, 100%, $E$9)</f>
        <v>33.702599999999997</v>
      </c>
      <c r="M568" s="14">
        <f>CHOOSE(CONTROL!$C$42, 32.2201, 32.2201) * CHOOSE(CONTROL!$C$21, $C$9, 100%, $E$9)</f>
        <v>32.220100000000002</v>
      </c>
      <c r="N568" s="14">
        <f>CHOOSE(CONTROL!$C$42, 32.2366, 32.2366) * CHOOSE(CONTROL!$C$21, $C$9, 100%, $E$9)</f>
        <v>32.236600000000003</v>
      </c>
      <c r="O568" s="14">
        <f>CHOOSE(CONTROL!$C$42, 32.4448, 32.4448) * CHOOSE(CONTROL!$C$21, $C$9, 100%, $E$9)</f>
        <v>32.444800000000001</v>
      </c>
      <c r="P568" s="14">
        <f>CHOOSE(CONTROL!$C$42, 32.3273, 32.3273) * CHOOSE(CONTROL!$C$21, $C$9, 100%, $E$9)</f>
        <v>32.327300000000001</v>
      </c>
      <c r="Q568" s="14">
        <f>CHOOSE(CONTROL!$C$42, 33.0395, 33.0395) * CHOOSE(CONTROL!$C$21, $C$9, 100%, $E$9)</f>
        <v>33.039499999999997</v>
      </c>
      <c r="R568" s="14">
        <f>CHOOSE(CONTROL!$C$42, 33.7091, 33.7091) * CHOOSE(CONTROL!$C$21, $C$9, 100%, $E$9)</f>
        <v>33.709099999999999</v>
      </c>
      <c r="S568" s="14">
        <f>CHOOSE(CONTROL!$C$42, 31.5712, 31.5712) * CHOOSE(CONTROL!$C$21, $C$9, 100%, $E$9)</f>
        <v>31.571200000000001</v>
      </c>
      <c r="T56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68" s="57">
        <f>(1000*CHOOSE(CONTROL!$C$42, 695, 695)*CHOOSE(CONTROL!$C$42, 0.5599, 0.5599)*CHOOSE(CONTROL!$C$42, 30, 30))/1000000</f>
        <v>11.673914999999997</v>
      </c>
      <c r="V568" s="57">
        <f>(1000*CHOOSE(CONTROL!$C$42, 500, 500)*CHOOSE(CONTROL!$C$42, 0.275, 0.275)*CHOOSE(CONTROL!$C$42, 30, 30))/1000000</f>
        <v>4.125</v>
      </c>
      <c r="W568" s="57">
        <f>(1000*CHOOSE(CONTROL!$C$42, 0.1146, 0.1146)*CHOOSE(CONTROL!$C$42, 121.5, 121.5)*CHOOSE(CONTROL!$C$42, 30, 30))/1000000</f>
        <v>0.417717</v>
      </c>
      <c r="X568" s="57">
        <f>(30*0.1790888*245000/1000000)+(30*0.2374*100000/1000000)</f>
        <v>2.0285026799999999</v>
      </c>
      <c r="Y568" s="57"/>
      <c r="Z568" s="14"/>
      <c r="AA568" s="56"/>
      <c r="AB568" s="50">
        <f>(B568*141.293+C568*267.993+D568*115.016+E568*89.698+F568*40+G568*185+H568*0+I568*100+J568*300)/(141.293+267.993+115.016+89.698+0+40+185+100+300)</f>
        <v>32.929737295480223</v>
      </c>
      <c r="AC568" s="45">
        <f>(M568*'RAP TEMPLATE-GAS AVAILABILITY'!O567+N568*'RAP TEMPLATE-GAS AVAILABILITY'!P567+O568*'RAP TEMPLATE-GAS AVAILABILITY'!Q567+P568*'RAP TEMPLATE-GAS AVAILABILITY'!R567)/('RAP TEMPLATE-GAS AVAILABILITY'!O567+'RAP TEMPLATE-GAS AVAILABILITY'!P567+'RAP TEMPLATE-GAS AVAILABILITY'!Q567+'RAP TEMPLATE-GAS AVAILABILITY'!R567)</f>
        <v>32.302368345323742</v>
      </c>
    </row>
    <row r="569" spans="1:29" ht="15.75" x14ac:dyDescent="0.25">
      <c r="A569" s="32">
        <v>58226</v>
      </c>
      <c r="B569" s="14">
        <f>CHOOSE(CONTROL!$C$42, 33.1569, 33.1569) * CHOOSE(CONTROL!$C$21, $C$9, 100%, $E$9)</f>
        <v>33.1569</v>
      </c>
      <c r="C569" s="14">
        <f>CHOOSE(CONTROL!$C$42, 33.1649, 33.1649) * CHOOSE(CONTROL!$C$21, $C$9, 100%, $E$9)</f>
        <v>33.164900000000003</v>
      </c>
      <c r="D569" s="14">
        <f>CHOOSE(CONTROL!$C$42, 33.3855, 33.3855) * CHOOSE(CONTROL!$C$21, $C$9, 100%, $E$9)</f>
        <v>33.3855</v>
      </c>
      <c r="E569" s="14">
        <f>CHOOSE(CONTROL!$C$42, 33.417, 33.417) * CHOOSE(CONTROL!$C$21, $C$9, 100%, $E$9)</f>
        <v>33.417000000000002</v>
      </c>
      <c r="F569" s="14">
        <f>CHOOSE(CONTROL!$C$42, 33.1832, 33.1832)*CHOOSE(CONTROL!$C$21, $C$9, 100%, $E$9)</f>
        <v>33.183199999999999</v>
      </c>
      <c r="G569" s="14">
        <f>CHOOSE(CONTROL!$C$42, 33.2003, 33.2003)*CHOOSE(CONTROL!$C$21, $C$9, 100%, $E$9)</f>
        <v>33.200299999999999</v>
      </c>
      <c r="H569" s="14">
        <f>CHOOSE(CONTROL!$C$42, 33.4056, 33.4056) * CHOOSE(CONTROL!$C$21, $C$9, 100%, $E$9)</f>
        <v>33.4056</v>
      </c>
      <c r="I569" s="14">
        <f>CHOOSE(CONTROL!$C$42, 33.2886, 33.2886)* CHOOSE(CONTROL!$C$21, $C$9, 100%, $E$9)</f>
        <v>33.288600000000002</v>
      </c>
      <c r="J569" s="14">
        <f>CHOOSE(CONTROL!$C$42, 33.1762, 33.1762)* CHOOSE(CONTROL!$C$21, $C$9, 100%, $E$9)</f>
        <v>33.176200000000001</v>
      </c>
      <c r="K569" s="53">
        <f>CHOOSE(CONTROL!$C$42, 33.2847, 33.2847) * CHOOSE(CONTROL!$C$21, $C$9, 100%, $E$9)</f>
        <v>33.284700000000001</v>
      </c>
      <c r="L569" s="14">
        <f>CHOOSE(CONTROL!$C$42, 33.9926, 33.9926) * CHOOSE(CONTROL!$C$21, $C$9, 100%, $E$9)</f>
        <v>33.992600000000003</v>
      </c>
      <c r="M569" s="14">
        <f>CHOOSE(CONTROL!$C$42, 32.5041, 32.5041) * CHOOSE(CONTROL!$C$21, $C$9, 100%, $E$9)</f>
        <v>32.504100000000001</v>
      </c>
      <c r="N569" s="14">
        <f>CHOOSE(CONTROL!$C$42, 32.5209, 32.5209) * CHOOSE(CONTROL!$C$21, $C$9, 100%, $E$9)</f>
        <v>32.520899999999997</v>
      </c>
      <c r="O569" s="14">
        <f>CHOOSE(CONTROL!$C$42, 32.7288, 32.7288) * CHOOSE(CONTROL!$C$21, $C$9, 100%, $E$9)</f>
        <v>32.7288</v>
      </c>
      <c r="P569" s="14">
        <f>CHOOSE(CONTROL!$C$42, 32.6122, 32.6122) * CHOOSE(CONTROL!$C$21, $C$9, 100%, $E$9)</f>
        <v>32.612200000000001</v>
      </c>
      <c r="Q569" s="14">
        <f>CHOOSE(CONTROL!$C$42, 33.3235, 33.3235) * CHOOSE(CONTROL!$C$21, $C$9, 100%, $E$9)</f>
        <v>33.323500000000003</v>
      </c>
      <c r="R569" s="14">
        <f>CHOOSE(CONTROL!$C$42, 33.9938, 33.9938) * CHOOSE(CONTROL!$C$21, $C$9, 100%, $E$9)</f>
        <v>33.9938</v>
      </c>
      <c r="S569" s="14">
        <f>CHOOSE(CONTROL!$C$42, 31.8498, 31.8498) * CHOOSE(CONTROL!$C$21, $C$9, 100%, $E$9)</f>
        <v>31.849799999999998</v>
      </c>
      <c r="T56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69" s="57">
        <f>(1000*CHOOSE(CONTROL!$C$42, 695, 695)*CHOOSE(CONTROL!$C$42, 0.5599, 0.5599)*CHOOSE(CONTROL!$C$42, 31, 31))/1000000</f>
        <v>12.063045499999998</v>
      </c>
      <c r="V569" s="57">
        <f>(1000*CHOOSE(CONTROL!$C$42, 500, 500)*CHOOSE(CONTROL!$C$42, 0.275, 0.275)*CHOOSE(CONTROL!$C$42, 31, 31))/1000000</f>
        <v>4.2625000000000002</v>
      </c>
      <c r="W569" s="57">
        <f>(1000*CHOOSE(CONTROL!$C$42, 0.1146, 0.1146)*CHOOSE(CONTROL!$C$42, 121.5, 121.5)*CHOOSE(CONTROL!$C$42, 31, 31))/1000000</f>
        <v>0.43164089999999994</v>
      </c>
      <c r="X569" s="57">
        <f>(31*0.1790888*245000/1000000)+(31*0.2374*100000/1000000)</f>
        <v>2.0961194359999999</v>
      </c>
      <c r="Y569" s="57"/>
      <c r="Z569" s="14"/>
      <c r="AA569" s="56"/>
      <c r="AB569" s="50">
        <f>(B569*194.205+C569*267.466+D569*133.845+E569*53.484+F569*40+G569*185+H569*0+I569*100+J569*300)/(194.205+267.466+133.845+53.484+0+40+185+100+300)</f>
        <v>33.215525497174255</v>
      </c>
      <c r="AC569" s="45">
        <f>(M569*'RAP TEMPLATE-GAS AVAILABILITY'!O568+N569*'RAP TEMPLATE-GAS AVAILABILITY'!P568+O569*'RAP TEMPLATE-GAS AVAILABILITY'!Q568+P569*'RAP TEMPLATE-GAS AVAILABILITY'!R568)/('RAP TEMPLATE-GAS AVAILABILITY'!O568+'RAP TEMPLATE-GAS AVAILABILITY'!P568+'RAP TEMPLATE-GAS AVAILABILITY'!Q568+'RAP TEMPLATE-GAS AVAILABILITY'!R568)</f>
        <v>32.586566906474822</v>
      </c>
    </row>
    <row r="570" spans="1:29" ht="15.75" x14ac:dyDescent="0.25">
      <c r="A570" s="32">
        <v>58256</v>
      </c>
      <c r="B570" s="14">
        <f>CHOOSE(CONTROL!$C$42, 34.0971, 34.0971) * CHOOSE(CONTROL!$C$21, $C$9, 100%, $E$9)</f>
        <v>34.097099999999998</v>
      </c>
      <c r="C570" s="14">
        <f>CHOOSE(CONTROL!$C$42, 34.1051, 34.1051) * CHOOSE(CONTROL!$C$21, $C$9, 100%, $E$9)</f>
        <v>34.1051</v>
      </c>
      <c r="D570" s="14">
        <f>CHOOSE(CONTROL!$C$42, 34.3257, 34.3257) * CHOOSE(CONTROL!$C$21, $C$9, 100%, $E$9)</f>
        <v>34.325699999999998</v>
      </c>
      <c r="E570" s="14">
        <f>CHOOSE(CONTROL!$C$42, 34.3572, 34.3572) * CHOOSE(CONTROL!$C$21, $C$9, 100%, $E$9)</f>
        <v>34.357199999999999</v>
      </c>
      <c r="F570" s="14">
        <f>CHOOSE(CONTROL!$C$42, 34.1237, 34.1237)*CHOOSE(CONTROL!$C$21, $C$9, 100%, $E$9)</f>
        <v>34.123699999999999</v>
      </c>
      <c r="G570" s="14">
        <f>CHOOSE(CONTROL!$C$42, 34.1409, 34.1409)*CHOOSE(CONTROL!$C$21, $C$9, 100%, $E$9)</f>
        <v>34.140900000000002</v>
      </c>
      <c r="H570" s="14">
        <f>CHOOSE(CONTROL!$C$42, 34.3458, 34.3458) * CHOOSE(CONTROL!$C$21, $C$9, 100%, $E$9)</f>
        <v>34.345799999999997</v>
      </c>
      <c r="I570" s="14">
        <f>CHOOSE(CONTROL!$C$42, 34.2318, 34.2318)* CHOOSE(CONTROL!$C$21, $C$9, 100%, $E$9)</f>
        <v>34.2318</v>
      </c>
      <c r="J570" s="14">
        <f>CHOOSE(CONTROL!$C$42, 34.1167, 34.1167)* CHOOSE(CONTROL!$C$21, $C$9, 100%, $E$9)</f>
        <v>34.116700000000002</v>
      </c>
      <c r="K570" s="53">
        <f>CHOOSE(CONTROL!$C$42, 34.2279, 34.2279) * CHOOSE(CONTROL!$C$21, $C$9, 100%, $E$9)</f>
        <v>34.227899999999998</v>
      </c>
      <c r="L570" s="14">
        <f>CHOOSE(CONTROL!$C$42, 34.9328, 34.9328) * CHOOSE(CONTROL!$C$21, $C$9, 100%, $E$9)</f>
        <v>34.9328</v>
      </c>
      <c r="M570" s="14">
        <f>CHOOSE(CONTROL!$C$42, 33.4254, 33.4254) * CHOOSE(CONTROL!$C$21, $C$9, 100%, $E$9)</f>
        <v>33.425400000000003</v>
      </c>
      <c r="N570" s="14">
        <f>CHOOSE(CONTROL!$C$42, 33.4422, 33.4422) * CHOOSE(CONTROL!$C$21, $C$9, 100%, $E$9)</f>
        <v>33.4422</v>
      </c>
      <c r="O570" s="14">
        <f>CHOOSE(CONTROL!$C$42, 33.6498, 33.6498) * CHOOSE(CONTROL!$C$21, $C$9, 100%, $E$9)</f>
        <v>33.649799999999999</v>
      </c>
      <c r="P570" s="14">
        <f>CHOOSE(CONTROL!$C$42, 33.536, 33.536) * CHOOSE(CONTROL!$C$21, $C$9, 100%, $E$9)</f>
        <v>33.536000000000001</v>
      </c>
      <c r="Q570" s="14">
        <f>CHOOSE(CONTROL!$C$42, 34.2445, 34.2445) * CHOOSE(CONTROL!$C$21, $C$9, 100%, $E$9)</f>
        <v>34.244500000000002</v>
      </c>
      <c r="R570" s="14">
        <f>CHOOSE(CONTROL!$C$42, 34.9171, 34.9171) * CHOOSE(CONTROL!$C$21, $C$9, 100%, $E$9)</f>
        <v>34.917099999999998</v>
      </c>
      <c r="S570" s="14">
        <f>CHOOSE(CONTROL!$C$42, 32.7533, 32.7533) * CHOOSE(CONTROL!$C$21, $C$9, 100%, $E$9)</f>
        <v>32.753300000000003</v>
      </c>
      <c r="T57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70" s="57">
        <f>(1000*CHOOSE(CONTROL!$C$42, 695, 695)*CHOOSE(CONTROL!$C$42, 0.5599, 0.5599)*CHOOSE(CONTROL!$C$42, 30, 30))/1000000</f>
        <v>11.673914999999997</v>
      </c>
      <c r="V570" s="57">
        <f>(1000*CHOOSE(CONTROL!$C$42, 500, 500)*CHOOSE(CONTROL!$C$42, 0.275, 0.275)*CHOOSE(CONTROL!$C$42, 30, 30))/1000000</f>
        <v>4.125</v>
      </c>
      <c r="W570" s="57">
        <f>(1000*CHOOSE(CONTROL!$C$42, 0.1146, 0.1146)*CHOOSE(CONTROL!$C$42, 121.5, 121.5)*CHOOSE(CONTROL!$C$42, 30, 30))/1000000</f>
        <v>0.417717</v>
      </c>
      <c r="X570" s="57">
        <f>(30*0.1790888*245000/1000000)+(30*0.2374*100000/1000000)</f>
        <v>2.0285026799999999</v>
      </c>
      <c r="Y570" s="57"/>
      <c r="Z570" s="14"/>
      <c r="AA570" s="56"/>
      <c r="AB570" s="50">
        <f>(B570*194.205+C570*267.466+D570*133.845+E570*53.484+F570*40+G570*185+H570*0+I570*100+J570*300)/(194.205+267.466+133.845+53.484+0+40+185+100+300)</f>
        <v>34.156099123547882</v>
      </c>
      <c r="AC570" s="45">
        <f>(M570*'RAP TEMPLATE-GAS AVAILABILITY'!O569+N570*'RAP TEMPLATE-GAS AVAILABILITY'!P569+O570*'RAP TEMPLATE-GAS AVAILABILITY'!Q569+P570*'RAP TEMPLATE-GAS AVAILABILITY'!R569)/('RAP TEMPLATE-GAS AVAILABILITY'!O569+'RAP TEMPLATE-GAS AVAILABILITY'!P569+'RAP TEMPLATE-GAS AVAILABILITY'!Q569+'RAP TEMPLATE-GAS AVAILABILITY'!R569)</f>
        <v>33.508142446043166</v>
      </c>
    </row>
    <row r="571" spans="1:29" ht="15.75" x14ac:dyDescent="0.25">
      <c r="A571" s="32">
        <v>58287</v>
      </c>
      <c r="B571" s="14">
        <f>CHOOSE(CONTROL!$C$42, 33.4432, 33.4432) * CHOOSE(CONTROL!$C$21, $C$9, 100%, $E$9)</f>
        <v>33.443199999999997</v>
      </c>
      <c r="C571" s="14">
        <f>CHOOSE(CONTROL!$C$42, 33.4512, 33.4512) * CHOOSE(CONTROL!$C$21, $C$9, 100%, $E$9)</f>
        <v>33.4512</v>
      </c>
      <c r="D571" s="14">
        <f>CHOOSE(CONTROL!$C$42, 33.6718, 33.6718) * CHOOSE(CONTROL!$C$21, $C$9, 100%, $E$9)</f>
        <v>33.671799999999998</v>
      </c>
      <c r="E571" s="14">
        <f>CHOOSE(CONTROL!$C$42, 33.7033, 33.7033) * CHOOSE(CONTROL!$C$21, $C$9, 100%, $E$9)</f>
        <v>33.703299999999999</v>
      </c>
      <c r="F571" s="14">
        <f>CHOOSE(CONTROL!$C$42, 33.4702, 33.4702)*CHOOSE(CONTROL!$C$21, $C$9, 100%, $E$9)</f>
        <v>33.470199999999998</v>
      </c>
      <c r="G571" s="14">
        <f>CHOOSE(CONTROL!$C$42, 33.4876, 33.4876)*CHOOSE(CONTROL!$C$21, $C$9, 100%, $E$9)</f>
        <v>33.4876</v>
      </c>
      <c r="H571" s="14">
        <f>CHOOSE(CONTROL!$C$42, 33.6919, 33.6919) * CHOOSE(CONTROL!$C$21, $C$9, 100%, $E$9)</f>
        <v>33.691899999999997</v>
      </c>
      <c r="I571" s="14">
        <f>CHOOSE(CONTROL!$C$42, 33.5758, 33.5758)* CHOOSE(CONTROL!$C$21, $C$9, 100%, $E$9)</f>
        <v>33.575800000000001</v>
      </c>
      <c r="J571" s="14">
        <f>CHOOSE(CONTROL!$C$42, 33.4632, 33.4632)* CHOOSE(CONTROL!$C$21, $C$9, 100%, $E$9)</f>
        <v>33.463200000000001</v>
      </c>
      <c r="K571" s="53">
        <f>CHOOSE(CONTROL!$C$42, 33.5719, 33.5719) * CHOOSE(CONTROL!$C$21, $C$9, 100%, $E$9)</f>
        <v>33.571899999999999</v>
      </c>
      <c r="L571" s="14">
        <f>CHOOSE(CONTROL!$C$42, 34.2789, 34.2789) * CHOOSE(CONTROL!$C$21, $C$9, 100%, $E$9)</f>
        <v>34.2789</v>
      </c>
      <c r="M571" s="14">
        <f>CHOOSE(CONTROL!$C$42, 32.7853, 32.7853) * CHOOSE(CONTROL!$C$21, $C$9, 100%, $E$9)</f>
        <v>32.785299999999999</v>
      </c>
      <c r="N571" s="14">
        <f>CHOOSE(CONTROL!$C$42, 32.8023, 32.8023) * CHOOSE(CONTROL!$C$21, $C$9, 100%, $E$9)</f>
        <v>32.802300000000002</v>
      </c>
      <c r="O571" s="14">
        <f>CHOOSE(CONTROL!$C$42, 33.0093, 33.0093) * CHOOSE(CONTROL!$C$21, $C$9, 100%, $E$9)</f>
        <v>33.009300000000003</v>
      </c>
      <c r="P571" s="14">
        <f>CHOOSE(CONTROL!$C$42, 32.8935, 32.8935) * CHOOSE(CONTROL!$C$21, $C$9, 100%, $E$9)</f>
        <v>32.893500000000003</v>
      </c>
      <c r="Q571" s="14">
        <f>CHOOSE(CONTROL!$C$42, 33.604, 33.604) * CHOOSE(CONTROL!$C$21, $C$9, 100%, $E$9)</f>
        <v>33.603999999999999</v>
      </c>
      <c r="R571" s="14">
        <f>CHOOSE(CONTROL!$C$42, 34.275, 34.275) * CHOOSE(CONTROL!$C$21, $C$9, 100%, $E$9)</f>
        <v>34.274999999999999</v>
      </c>
      <c r="S571" s="14">
        <f>CHOOSE(CONTROL!$C$42, 32.1249, 32.1249) * CHOOSE(CONTROL!$C$21, $C$9, 100%, $E$9)</f>
        <v>32.124899999999997</v>
      </c>
      <c r="T57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71" s="57">
        <f>(1000*CHOOSE(CONTROL!$C$42, 695, 695)*CHOOSE(CONTROL!$C$42, 0.5599, 0.5599)*CHOOSE(CONTROL!$C$42, 31, 31))/1000000</f>
        <v>12.063045499999998</v>
      </c>
      <c r="V571" s="57">
        <f>(1000*CHOOSE(CONTROL!$C$42, 500, 500)*CHOOSE(CONTROL!$C$42, 0.275, 0.275)*CHOOSE(CONTROL!$C$42, 31, 31))/1000000</f>
        <v>4.2625000000000002</v>
      </c>
      <c r="W571" s="57">
        <f>(1000*CHOOSE(CONTROL!$C$42, 0.1146, 0.1146)*CHOOSE(CONTROL!$C$42, 121.5, 121.5)*CHOOSE(CONTROL!$C$42, 31, 31))/1000000</f>
        <v>0.43164089999999994</v>
      </c>
      <c r="X571" s="57">
        <f>(31*0.1790888*245000/1000000)+(31*0.2374*100000/1000000)</f>
        <v>2.0961194359999999</v>
      </c>
      <c r="Y571" s="57"/>
      <c r="Z571" s="14"/>
      <c r="AA571" s="56"/>
      <c r="AB571" s="50">
        <f>(B571*194.205+C571*267.466+D571*133.845+E571*53.484+F571*40+G571*185+H571*0+I571*100+J571*300)/(194.205+267.466+133.845+53.484+0+40+185+100+300)</f>
        <v>33.502228165934071</v>
      </c>
      <c r="AC571" s="45">
        <f>(M571*'RAP TEMPLATE-GAS AVAILABILITY'!O570+N571*'RAP TEMPLATE-GAS AVAILABILITY'!P570+O571*'RAP TEMPLATE-GAS AVAILABILITY'!Q570+P571*'RAP TEMPLATE-GAS AVAILABILITY'!R570)/('RAP TEMPLATE-GAS AVAILABILITY'!O570+'RAP TEMPLATE-GAS AVAILABILITY'!P570+'RAP TEMPLATE-GAS AVAILABILITY'!Q570+'RAP TEMPLATE-GAS AVAILABILITY'!R570)</f>
        <v>32.867630935251796</v>
      </c>
    </row>
    <row r="572" spans="1:29" ht="15.75" x14ac:dyDescent="0.25">
      <c r="A572" s="32">
        <v>58318</v>
      </c>
      <c r="B572" s="14">
        <f>CHOOSE(CONTROL!$C$42, 31.7918, 31.7918) * CHOOSE(CONTROL!$C$21, $C$9, 100%, $E$9)</f>
        <v>31.791799999999999</v>
      </c>
      <c r="C572" s="14">
        <f>CHOOSE(CONTROL!$C$42, 31.7999, 31.7999) * CHOOSE(CONTROL!$C$21, $C$9, 100%, $E$9)</f>
        <v>31.799900000000001</v>
      </c>
      <c r="D572" s="14">
        <f>CHOOSE(CONTROL!$C$42, 32.0204, 32.0204) * CHOOSE(CONTROL!$C$21, $C$9, 100%, $E$9)</f>
        <v>32.020400000000002</v>
      </c>
      <c r="E572" s="14">
        <f>CHOOSE(CONTROL!$C$42, 32.0519, 32.0519) * CHOOSE(CONTROL!$C$21, $C$9, 100%, $E$9)</f>
        <v>32.051900000000003</v>
      </c>
      <c r="F572" s="14">
        <f>CHOOSE(CONTROL!$C$42, 31.8192, 31.8192)*CHOOSE(CONTROL!$C$21, $C$9, 100%, $E$9)</f>
        <v>31.819199999999999</v>
      </c>
      <c r="G572" s="14">
        <f>CHOOSE(CONTROL!$C$42, 31.8366, 31.8366)*CHOOSE(CONTROL!$C$21, $C$9, 100%, $E$9)</f>
        <v>31.836600000000001</v>
      </c>
      <c r="H572" s="14">
        <f>CHOOSE(CONTROL!$C$42, 32.0405, 32.0405) * CHOOSE(CONTROL!$C$21, $C$9, 100%, $E$9)</f>
        <v>32.040500000000002</v>
      </c>
      <c r="I572" s="14">
        <f>CHOOSE(CONTROL!$C$42, 31.9193, 31.9193)* CHOOSE(CONTROL!$C$21, $C$9, 100%, $E$9)</f>
        <v>31.9193</v>
      </c>
      <c r="J572" s="14">
        <f>CHOOSE(CONTROL!$C$42, 31.8122, 31.8122)* CHOOSE(CONTROL!$C$21, $C$9, 100%, $E$9)</f>
        <v>31.812200000000001</v>
      </c>
      <c r="K572" s="53">
        <f>CHOOSE(CONTROL!$C$42, 31.9154, 31.9154) * CHOOSE(CONTROL!$C$21, $C$9, 100%, $E$9)</f>
        <v>31.915400000000002</v>
      </c>
      <c r="L572" s="14">
        <f>CHOOSE(CONTROL!$C$42, 32.6275, 32.6275) * CHOOSE(CONTROL!$C$21, $C$9, 100%, $E$9)</f>
        <v>32.627499999999998</v>
      </c>
      <c r="M572" s="14">
        <f>CHOOSE(CONTROL!$C$42, 31.1681, 31.1681) * CHOOSE(CONTROL!$C$21, $C$9, 100%, $E$9)</f>
        <v>31.168099999999999</v>
      </c>
      <c r="N572" s="14">
        <f>CHOOSE(CONTROL!$C$42, 31.1851, 31.1851) * CHOOSE(CONTROL!$C$21, $C$9, 100%, $E$9)</f>
        <v>31.185099999999998</v>
      </c>
      <c r="O572" s="14">
        <f>CHOOSE(CONTROL!$C$42, 31.3917, 31.3917) * CHOOSE(CONTROL!$C$21, $C$9, 100%, $E$9)</f>
        <v>31.3917</v>
      </c>
      <c r="P572" s="14">
        <f>CHOOSE(CONTROL!$C$42, 31.271, 31.271) * CHOOSE(CONTROL!$C$21, $C$9, 100%, $E$9)</f>
        <v>31.271000000000001</v>
      </c>
      <c r="Q572" s="14">
        <f>CHOOSE(CONTROL!$C$42, 31.9864, 31.9864) * CHOOSE(CONTROL!$C$21, $C$9, 100%, $E$9)</f>
        <v>31.9864</v>
      </c>
      <c r="R572" s="14">
        <f>CHOOSE(CONTROL!$C$42, 32.6534, 32.6534) * CHOOSE(CONTROL!$C$21, $C$9, 100%, $E$9)</f>
        <v>32.653399999999998</v>
      </c>
      <c r="S572" s="14">
        <f>CHOOSE(CONTROL!$C$42, 30.5381, 30.5381) * CHOOSE(CONTROL!$C$21, $C$9, 100%, $E$9)</f>
        <v>30.5381</v>
      </c>
      <c r="T57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72" s="57">
        <f>(1000*CHOOSE(CONTROL!$C$42, 695, 695)*CHOOSE(CONTROL!$C$42, 0.5599, 0.5599)*CHOOSE(CONTROL!$C$42, 31, 31))/1000000</f>
        <v>12.063045499999998</v>
      </c>
      <c r="V572" s="57">
        <f>(1000*CHOOSE(CONTROL!$C$42, 500, 500)*CHOOSE(CONTROL!$C$42, 0.275, 0.275)*CHOOSE(CONTROL!$C$42, 31, 31))/1000000</f>
        <v>4.2625000000000002</v>
      </c>
      <c r="W572" s="57">
        <f>(1000*CHOOSE(CONTROL!$C$42, 0.1146, 0.1146)*CHOOSE(CONTROL!$C$42, 121.5, 121.5)*CHOOSE(CONTROL!$C$42, 31, 31))/1000000</f>
        <v>0.43164089999999994</v>
      </c>
      <c r="X572" s="57">
        <f>(31*0.1790888*245000/1000000)+(31*0.2374*100000/1000000)</f>
        <v>2.0961194359999999</v>
      </c>
      <c r="Y572" s="57"/>
      <c r="Z572" s="14"/>
      <c r="AA572" s="56"/>
      <c r="AB572" s="50">
        <f>(B572*194.205+C572*267.466+D572*133.845+E572*53.484+F572*40+G572*185+H572*0+I572*100+J572*300)/(194.205+267.466+133.845+53.484+0+40+185+100+300)</f>
        <v>31.850613681318681</v>
      </c>
      <c r="AC572" s="45">
        <f>(M572*'RAP TEMPLATE-GAS AVAILABILITY'!O571+N572*'RAP TEMPLATE-GAS AVAILABILITY'!P571+O572*'RAP TEMPLATE-GAS AVAILABILITY'!Q571+P572*'RAP TEMPLATE-GAS AVAILABILITY'!R571)/('RAP TEMPLATE-GAS AVAILABILITY'!O571+'RAP TEMPLATE-GAS AVAILABILITY'!P571+'RAP TEMPLATE-GAS AVAILABILITY'!Q571+'RAP TEMPLATE-GAS AVAILABILITY'!R571)</f>
        <v>31.249556115107911</v>
      </c>
    </row>
    <row r="573" spans="1:29" ht="15.75" x14ac:dyDescent="0.25">
      <c r="A573" s="32">
        <v>58348</v>
      </c>
      <c r="B573" s="14">
        <f>CHOOSE(CONTROL!$C$42, 29.774, 29.774) * CHOOSE(CONTROL!$C$21, $C$9, 100%, $E$9)</f>
        <v>29.774000000000001</v>
      </c>
      <c r="C573" s="14">
        <f>CHOOSE(CONTROL!$C$42, 29.782, 29.782) * CHOOSE(CONTROL!$C$21, $C$9, 100%, $E$9)</f>
        <v>29.782</v>
      </c>
      <c r="D573" s="14">
        <f>CHOOSE(CONTROL!$C$42, 30.0026, 30.0026) * CHOOSE(CONTROL!$C$21, $C$9, 100%, $E$9)</f>
        <v>30.002600000000001</v>
      </c>
      <c r="E573" s="14">
        <f>CHOOSE(CONTROL!$C$42, 30.034, 30.034) * CHOOSE(CONTROL!$C$21, $C$9, 100%, $E$9)</f>
        <v>30.033999999999999</v>
      </c>
      <c r="F573" s="14">
        <f>CHOOSE(CONTROL!$C$42, 29.8013, 29.8013)*CHOOSE(CONTROL!$C$21, $C$9, 100%, $E$9)</f>
        <v>29.801300000000001</v>
      </c>
      <c r="G573" s="14">
        <f>CHOOSE(CONTROL!$C$42, 29.8187, 29.8187)*CHOOSE(CONTROL!$C$21, $C$9, 100%, $E$9)</f>
        <v>29.8187</v>
      </c>
      <c r="H573" s="14">
        <f>CHOOSE(CONTROL!$C$42, 30.0227, 30.0227) * CHOOSE(CONTROL!$C$21, $C$9, 100%, $E$9)</f>
        <v>30.0227</v>
      </c>
      <c r="I573" s="14">
        <f>CHOOSE(CONTROL!$C$42, 29.8951, 29.8951)* CHOOSE(CONTROL!$C$21, $C$9, 100%, $E$9)</f>
        <v>29.895099999999999</v>
      </c>
      <c r="J573" s="14">
        <f>CHOOSE(CONTROL!$C$42, 29.7943, 29.7943)* CHOOSE(CONTROL!$C$21, $C$9, 100%, $E$9)</f>
        <v>29.7943</v>
      </c>
      <c r="K573" s="53">
        <f>CHOOSE(CONTROL!$C$42, 29.8912, 29.8912) * CHOOSE(CONTROL!$C$21, $C$9, 100%, $E$9)</f>
        <v>29.891200000000001</v>
      </c>
      <c r="L573" s="14">
        <f>CHOOSE(CONTROL!$C$42, 30.6097, 30.6097) * CHOOSE(CONTROL!$C$21, $C$9, 100%, $E$9)</f>
        <v>30.6097</v>
      </c>
      <c r="M573" s="14">
        <f>CHOOSE(CONTROL!$C$42, 29.1915, 29.1915) * CHOOSE(CONTROL!$C$21, $C$9, 100%, $E$9)</f>
        <v>29.191500000000001</v>
      </c>
      <c r="N573" s="14">
        <f>CHOOSE(CONTROL!$C$42, 29.2086, 29.2086) * CHOOSE(CONTROL!$C$21, $C$9, 100%, $E$9)</f>
        <v>29.208600000000001</v>
      </c>
      <c r="O573" s="14">
        <f>CHOOSE(CONTROL!$C$42, 29.4152, 29.4152) * CHOOSE(CONTROL!$C$21, $C$9, 100%, $E$9)</f>
        <v>29.415199999999999</v>
      </c>
      <c r="P573" s="14">
        <f>CHOOSE(CONTROL!$C$42, 29.2885, 29.2885) * CHOOSE(CONTROL!$C$21, $C$9, 100%, $E$9)</f>
        <v>29.288499999999999</v>
      </c>
      <c r="Q573" s="14">
        <f>CHOOSE(CONTROL!$C$42, 30.0099, 30.0099) * CHOOSE(CONTROL!$C$21, $C$9, 100%, $E$9)</f>
        <v>30.009899999999998</v>
      </c>
      <c r="R573" s="14">
        <f>CHOOSE(CONTROL!$C$42, 30.6719, 30.6719) * CHOOSE(CONTROL!$C$21, $C$9, 100%, $E$9)</f>
        <v>30.671900000000001</v>
      </c>
      <c r="S573" s="14">
        <f>CHOOSE(CONTROL!$C$42, 28.5992, 28.5992) * CHOOSE(CONTROL!$C$21, $C$9, 100%, $E$9)</f>
        <v>28.5992</v>
      </c>
      <c r="T57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3" s="57">
        <f>(1000*CHOOSE(CONTROL!$C$42, 695, 695)*CHOOSE(CONTROL!$C$42, 0.5599, 0.5599)*CHOOSE(CONTROL!$C$42, 30, 30))/1000000</f>
        <v>11.673914999999997</v>
      </c>
      <c r="V573" s="57">
        <f>(1000*CHOOSE(CONTROL!$C$42, 500, 500)*CHOOSE(CONTROL!$C$42, 0.275, 0.275)*CHOOSE(CONTROL!$C$42, 30, 30))/1000000</f>
        <v>4.125</v>
      </c>
      <c r="W573" s="57">
        <f>(1000*CHOOSE(CONTROL!$C$42, 0.1146, 0.1146)*CHOOSE(CONTROL!$C$42, 121.5, 121.5)*CHOOSE(CONTROL!$C$42, 30, 30))/1000000</f>
        <v>0.417717</v>
      </c>
      <c r="X573" s="57">
        <f>(30*0.1790888*245000/1000000)+(30*0.2374*100000/1000000)</f>
        <v>2.0285026799999999</v>
      </c>
      <c r="Y573" s="57"/>
      <c r="Z573" s="14"/>
      <c r="AA573" s="56"/>
      <c r="AB573" s="50">
        <f>(B573*194.205+C573*267.466+D573*133.845+E573*53.484+F573*40+G573*185+H573*0+I573*100+J573*300)/(194.205+267.466+133.845+53.484+0+40+185+100+300)</f>
        <v>29.832244925431709</v>
      </c>
      <c r="AC573" s="45">
        <f>(M573*'RAP TEMPLATE-GAS AVAILABILITY'!O572+N573*'RAP TEMPLATE-GAS AVAILABILITY'!P572+O573*'RAP TEMPLATE-GAS AVAILABILITY'!Q572+P573*'RAP TEMPLATE-GAS AVAILABILITY'!R572)/('RAP TEMPLATE-GAS AVAILABILITY'!O572+'RAP TEMPLATE-GAS AVAILABILITY'!P572+'RAP TEMPLATE-GAS AVAILABILITY'!Q572+'RAP TEMPLATE-GAS AVAILABILITY'!R572)</f>
        <v>29.27215827338129</v>
      </c>
    </row>
    <row r="574" spans="1:29" ht="15.75" x14ac:dyDescent="0.25">
      <c r="A574" s="32">
        <v>58379</v>
      </c>
      <c r="B574" s="14">
        <f>CHOOSE(CONTROL!$C$42, 29.1679, 29.1679) * CHOOSE(CONTROL!$C$21, $C$9, 100%, $E$9)</f>
        <v>29.167899999999999</v>
      </c>
      <c r="C574" s="14">
        <f>CHOOSE(CONTROL!$C$42, 29.1732, 29.1732) * CHOOSE(CONTROL!$C$21, $C$9, 100%, $E$9)</f>
        <v>29.173200000000001</v>
      </c>
      <c r="D574" s="14">
        <f>CHOOSE(CONTROL!$C$42, 29.3988, 29.3988) * CHOOSE(CONTROL!$C$21, $C$9, 100%, $E$9)</f>
        <v>29.398800000000001</v>
      </c>
      <c r="E574" s="14">
        <f>CHOOSE(CONTROL!$C$42, 29.4279, 29.4279) * CHOOSE(CONTROL!$C$21, $C$9, 100%, $E$9)</f>
        <v>29.427900000000001</v>
      </c>
      <c r="F574" s="14">
        <f>CHOOSE(CONTROL!$C$42, 29.1973, 29.1973)*CHOOSE(CONTROL!$C$21, $C$9, 100%, $E$9)</f>
        <v>29.197299999999998</v>
      </c>
      <c r="G574" s="14">
        <f>CHOOSE(CONTROL!$C$42, 29.2145, 29.2145)*CHOOSE(CONTROL!$C$21, $C$9, 100%, $E$9)</f>
        <v>29.214500000000001</v>
      </c>
      <c r="H574" s="14">
        <f>CHOOSE(CONTROL!$C$42, 29.4184, 29.4184) * CHOOSE(CONTROL!$C$21, $C$9, 100%, $E$9)</f>
        <v>29.418399999999998</v>
      </c>
      <c r="I574" s="14">
        <f>CHOOSE(CONTROL!$C$42, 29.2889, 29.2889)* CHOOSE(CONTROL!$C$21, $C$9, 100%, $E$9)</f>
        <v>29.288900000000002</v>
      </c>
      <c r="J574" s="14">
        <f>CHOOSE(CONTROL!$C$42, 29.1903, 29.1903)* CHOOSE(CONTROL!$C$21, $C$9, 100%, $E$9)</f>
        <v>29.190300000000001</v>
      </c>
      <c r="K574" s="53">
        <f>CHOOSE(CONTROL!$C$42, 29.285, 29.285) * CHOOSE(CONTROL!$C$21, $C$9, 100%, $E$9)</f>
        <v>29.285</v>
      </c>
      <c r="L574" s="14">
        <f>CHOOSE(CONTROL!$C$42, 30.0054, 30.0054) * CHOOSE(CONTROL!$C$21, $C$9, 100%, $E$9)</f>
        <v>30.005400000000002</v>
      </c>
      <c r="M574" s="14">
        <f>CHOOSE(CONTROL!$C$42, 28.5999, 28.5999) * CHOOSE(CONTROL!$C$21, $C$9, 100%, $E$9)</f>
        <v>28.599900000000002</v>
      </c>
      <c r="N574" s="14">
        <f>CHOOSE(CONTROL!$C$42, 28.6168, 28.6168) * CHOOSE(CONTROL!$C$21, $C$9, 100%, $E$9)</f>
        <v>28.616800000000001</v>
      </c>
      <c r="O574" s="14">
        <f>CHOOSE(CONTROL!$C$42, 28.8233, 28.8233) * CHOOSE(CONTROL!$C$21, $C$9, 100%, $E$9)</f>
        <v>28.8233</v>
      </c>
      <c r="P574" s="14">
        <f>CHOOSE(CONTROL!$C$42, 28.6947, 28.6947) * CHOOSE(CONTROL!$C$21, $C$9, 100%, $E$9)</f>
        <v>28.694700000000001</v>
      </c>
      <c r="Q574" s="14">
        <f>CHOOSE(CONTROL!$C$42, 29.418, 29.418) * CHOOSE(CONTROL!$C$21, $C$9, 100%, $E$9)</f>
        <v>29.417999999999999</v>
      </c>
      <c r="R574" s="14">
        <f>CHOOSE(CONTROL!$C$42, 30.0786, 30.0786) * CHOOSE(CONTROL!$C$21, $C$9, 100%, $E$9)</f>
        <v>30.078600000000002</v>
      </c>
      <c r="S574" s="14">
        <f>CHOOSE(CONTROL!$C$42, 28.0185, 28.0185) * CHOOSE(CONTROL!$C$21, $C$9, 100%, $E$9)</f>
        <v>28.0185</v>
      </c>
      <c r="T57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74" s="57">
        <f>(1000*CHOOSE(CONTROL!$C$42, 695, 695)*CHOOSE(CONTROL!$C$42, 0.5599, 0.5599)*CHOOSE(CONTROL!$C$42, 31, 31))/1000000</f>
        <v>12.063045499999998</v>
      </c>
      <c r="V574" s="57">
        <f>(1000*CHOOSE(CONTROL!$C$42, 500, 500)*CHOOSE(CONTROL!$C$42, 0.275, 0.275)*CHOOSE(CONTROL!$C$42, 31, 31))/1000000</f>
        <v>4.2625000000000002</v>
      </c>
      <c r="W574" s="57">
        <f>(1000*CHOOSE(CONTROL!$C$42, 0.1146, 0.1146)*CHOOSE(CONTROL!$C$42, 121.5, 121.5)*CHOOSE(CONTROL!$C$42, 31, 31))/1000000</f>
        <v>0.43164089999999994</v>
      </c>
      <c r="X574" s="57">
        <f>(31*0.1790888*245000/1000000)+(31*0.2374*100000/1000000)</f>
        <v>2.0961194359999999</v>
      </c>
      <c r="Y574" s="57"/>
      <c r="Z574" s="14"/>
      <c r="AA574" s="56"/>
      <c r="AB574" s="50">
        <f>(B574*131.881+C574*277.167+D574*79.08+E574*125.872+F574*40+G574*185+H574*0+I574*100+J574*300)/(131.881+277.167+79.08+125.872+0+40+185+100+300)</f>
        <v>29.233333637691683</v>
      </c>
      <c r="AC574" s="45">
        <f>(M574*'RAP TEMPLATE-GAS AVAILABILITY'!O573+N574*'RAP TEMPLATE-GAS AVAILABILITY'!P573+O574*'RAP TEMPLATE-GAS AVAILABILITY'!Q573+P574*'RAP TEMPLATE-GAS AVAILABILITY'!R573)/('RAP TEMPLATE-GAS AVAILABILITY'!O573+'RAP TEMPLATE-GAS AVAILABILITY'!P573+'RAP TEMPLATE-GAS AVAILABILITY'!Q573+'RAP TEMPLATE-GAS AVAILABILITY'!R573)</f>
        <v>28.68011151079137</v>
      </c>
    </row>
    <row r="575" spans="1:29" ht="15.75" x14ac:dyDescent="0.25">
      <c r="A575" s="32">
        <v>58409</v>
      </c>
      <c r="B575" s="14">
        <f>CHOOSE(CONTROL!$C$42, 29.9357, 29.9357) * CHOOSE(CONTROL!$C$21, $C$9, 100%, $E$9)</f>
        <v>29.935700000000001</v>
      </c>
      <c r="C575" s="14">
        <f>CHOOSE(CONTROL!$C$42, 29.9407, 29.9407) * CHOOSE(CONTROL!$C$21, $C$9, 100%, $E$9)</f>
        <v>29.9407</v>
      </c>
      <c r="D575" s="14">
        <f>CHOOSE(CONTROL!$C$42, 30.0149, 30.0149) * CHOOSE(CONTROL!$C$21, $C$9, 100%, $E$9)</f>
        <v>30.014900000000001</v>
      </c>
      <c r="E575" s="14">
        <f>CHOOSE(CONTROL!$C$42, 30.049, 30.049) * CHOOSE(CONTROL!$C$21, $C$9, 100%, $E$9)</f>
        <v>30.048999999999999</v>
      </c>
      <c r="F575" s="14">
        <f>CHOOSE(CONTROL!$C$42, 29.9717, 29.9717)*CHOOSE(CONTROL!$C$21, $C$9, 100%, $E$9)</f>
        <v>29.971699999999998</v>
      </c>
      <c r="G575" s="14">
        <f>CHOOSE(CONTROL!$C$42, 29.9892, 29.9892)*CHOOSE(CONTROL!$C$21, $C$9, 100%, $E$9)</f>
        <v>29.9892</v>
      </c>
      <c r="H575" s="14">
        <f>CHOOSE(CONTROL!$C$42, 30.0382, 30.0382) * CHOOSE(CONTROL!$C$21, $C$9, 100%, $E$9)</f>
        <v>30.0382</v>
      </c>
      <c r="I575" s="14">
        <f>CHOOSE(CONTROL!$C$42, 30.0569, 30.0569)* CHOOSE(CONTROL!$C$21, $C$9, 100%, $E$9)</f>
        <v>30.056899999999999</v>
      </c>
      <c r="J575" s="14">
        <f>CHOOSE(CONTROL!$C$42, 29.9647, 29.9647)* CHOOSE(CONTROL!$C$21, $C$9, 100%, $E$9)</f>
        <v>29.964700000000001</v>
      </c>
      <c r="K575" s="53">
        <f>CHOOSE(CONTROL!$C$42, 30.053, 30.053) * CHOOSE(CONTROL!$C$21, $C$9, 100%, $E$9)</f>
        <v>30.053000000000001</v>
      </c>
      <c r="L575" s="14">
        <f>CHOOSE(CONTROL!$C$42, 30.6252, 30.6252) * CHOOSE(CONTROL!$C$21, $C$9, 100%, $E$9)</f>
        <v>30.6252</v>
      </c>
      <c r="M575" s="14">
        <f>CHOOSE(CONTROL!$C$42, 29.3584, 29.3584) * CHOOSE(CONTROL!$C$21, $C$9, 100%, $E$9)</f>
        <v>29.3584</v>
      </c>
      <c r="N575" s="14">
        <f>CHOOSE(CONTROL!$C$42, 29.3756, 29.3756) * CHOOSE(CONTROL!$C$21, $C$9, 100%, $E$9)</f>
        <v>29.375599999999999</v>
      </c>
      <c r="O575" s="14">
        <f>CHOOSE(CONTROL!$C$42, 29.4305, 29.4305) * CHOOSE(CONTROL!$C$21, $C$9, 100%, $E$9)</f>
        <v>29.430499999999999</v>
      </c>
      <c r="P575" s="14">
        <f>CHOOSE(CONTROL!$C$42, 29.4469, 29.4469) * CHOOSE(CONTROL!$C$21, $C$9, 100%, $E$9)</f>
        <v>29.446899999999999</v>
      </c>
      <c r="Q575" s="14">
        <f>CHOOSE(CONTROL!$C$42, 30.0252, 30.0252) * CHOOSE(CONTROL!$C$21, $C$9, 100%, $E$9)</f>
        <v>30.025200000000002</v>
      </c>
      <c r="R575" s="14">
        <f>CHOOSE(CONTROL!$C$42, 30.6872, 30.6872) * CHOOSE(CONTROL!$C$21, $C$9, 100%, $E$9)</f>
        <v>30.687200000000001</v>
      </c>
      <c r="S575" s="14">
        <f>CHOOSE(CONTROL!$C$42, 28.7566, 28.7566) * CHOOSE(CONTROL!$C$21, $C$9, 100%, $E$9)</f>
        <v>28.756599999999999</v>
      </c>
      <c r="T57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75" s="57">
        <f>(1000*CHOOSE(CONTROL!$C$42, 695, 695)*CHOOSE(CONTROL!$C$42, 0.5599, 0.5599)*CHOOSE(CONTROL!$C$42, 30, 30))/1000000</f>
        <v>11.673914999999997</v>
      </c>
      <c r="V575" s="57">
        <f>(1000*CHOOSE(CONTROL!$C$42, 500, 500)*CHOOSE(CONTROL!$C$42, 0.275, 0.275)*CHOOSE(CONTROL!$C$42, 30, 30))/1000000</f>
        <v>4.125</v>
      </c>
      <c r="W575" s="57">
        <f>(1000*CHOOSE(CONTROL!$C$42, 0.1146, 0.1146)*CHOOSE(CONTROL!$C$42, 121.5, 121.5)*CHOOSE(CONTROL!$C$42, 30, 30))/1000000</f>
        <v>0.417717</v>
      </c>
      <c r="X575" s="57">
        <f>(30*0.1790888*100000/1000000)+(30*0.2374*100000/1000000)</f>
        <v>1.2494664</v>
      </c>
      <c r="Y575" s="57"/>
      <c r="Z575" s="14"/>
      <c r="AA575" s="56"/>
      <c r="AB575" s="50">
        <f>(B575*122.58+C575*297.941+D575*89.177+E575*40.302+F575*40+G575*160+H575*0+I575*100+J575*300)/(122.58+297.941+89.177+40.302+0+40+160+100+300)</f>
        <v>29.973907599999993</v>
      </c>
      <c r="AC575" s="45">
        <f>(M575*'RAP TEMPLATE-GAS AVAILABILITY'!O574+N575*'RAP TEMPLATE-GAS AVAILABILITY'!P574+O575*'RAP TEMPLATE-GAS AVAILABILITY'!Q574+P575*'RAP TEMPLATE-GAS AVAILABILITY'!R574)/('RAP TEMPLATE-GAS AVAILABILITY'!O574+'RAP TEMPLATE-GAS AVAILABILITY'!P574+'RAP TEMPLATE-GAS AVAILABILITY'!Q574+'RAP TEMPLATE-GAS AVAILABILITY'!R574)</f>
        <v>29.404802158273377</v>
      </c>
    </row>
    <row r="576" spans="1:29" ht="15.75" x14ac:dyDescent="0.25">
      <c r="A576" s="32">
        <v>58440</v>
      </c>
      <c r="B576" s="14">
        <f>CHOOSE(CONTROL!$C$42, 31.976, 31.976) * CHOOSE(CONTROL!$C$21, $C$9, 100%, $E$9)</f>
        <v>31.975999999999999</v>
      </c>
      <c r="C576" s="14">
        <f>CHOOSE(CONTROL!$C$42, 31.9811, 31.9811) * CHOOSE(CONTROL!$C$21, $C$9, 100%, $E$9)</f>
        <v>31.981100000000001</v>
      </c>
      <c r="D576" s="14">
        <f>CHOOSE(CONTROL!$C$42, 32.0553, 32.0553) * CHOOSE(CONTROL!$C$21, $C$9, 100%, $E$9)</f>
        <v>32.055300000000003</v>
      </c>
      <c r="E576" s="14">
        <f>CHOOSE(CONTROL!$C$42, 32.0894, 32.0894) * CHOOSE(CONTROL!$C$21, $C$9, 100%, $E$9)</f>
        <v>32.089399999999998</v>
      </c>
      <c r="F576" s="14">
        <f>CHOOSE(CONTROL!$C$42, 32.0144, 32.0144)*CHOOSE(CONTROL!$C$21, $C$9, 100%, $E$9)</f>
        <v>32.014400000000002</v>
      </c>
      <c r="G576" s="14">
        <f>CHOOSE(CONTROL!$C$42, 32.0326, 32.0326)*CHOOSE(CONTROL!$C$21, $C$9, 100%, $E$9)</f>
        <v>32.032600000000002</v>
      </c>
      <c r="H576" s="14">
        <f>CHOOSE(CONTROL!$C$42, 32.0786, 32.0786) * CHOOSE(CONTROL!$C$21, $C$9, 100%, $E$9)</f>
        <v>32.078600000000002</v>
      </c>
      <c r="I576" s="14">
        <f>CHOOSE(CONTROL!$C$42, 32.1036, 32.1036)* CHOOSE(CONTROL!$C$21, $C$9, 100%, $E$9)</f>
        <v>32.1036</v>
      </c>
      <c r="J576" s="14">
        <f>CHOOSE(CONTROL!$C$42, 32.0074, 32.0074)* CHOOSE(CONTROL!$C$21, $C$9, 100%, $E$9)</f>
        <v>32.007399999999997</v>
      </c>
      <c r="K576" s="53">
        <f>CHOOSE(CONTROL!$C$42, 32.0997, 32.0997) * CHOOSE(CONTROL!$C$21, $C$9, 100%, $E$9)</f>
        <v>32.099699999999999</v>
      </c>
      <c r="L576" s="14">
        <f>CHOOSE(CONTROL!$C$42, 32.6656, 32.6656) * CHOOSE(CONTROL!$C$21, $C$9, 100%, $E$9)</f>
        <v>32.665599999999998</v>
      </c>
      <c r="M576" s="14">
        <f>CHOOSE(CONTROL!$C$42, 31.3593, 31.3593) * CHOOSE(CONTROL!$C$21, $C$9, 100%, $E$9)</f>
        <v>31.359300000000001</v>
      </c>
      <c r="N576" s="14">
        <f>CHOOSE(CONTROL!$C$42, 31.3771, 31.3771) * CHOOSE(CONTROL!$C$21, $C$9, 100%, $E$9)</f>
        <v>31.377099999999999</v>
      </c>
      <c r="O576" s="14">
        <f>CHOOSE(CONTROL!$C$42, 31.429, 31.429) * CHOOSE(CONTROL!$C$21, $C$9, 100%, $E$9)</f>
        <v>31.428999999999998</v>
      </c>
      <c r="P576" s="14">
        <f>CHOOSE(CONTROL!$C$42, 31.4516, 31.4516) * CHOOSE(CONTROL!$C$21, $C$9, 100%, $E$9)</f>
        <v>31.451599999999999</v>
      </c>
      <c r="Q576" s="14">
        <f>CHOOSE(CONTROL!$C$42, 32.0237, 32.0237) * CHOOSE(CONTROL!$C$21, $C$9, 100%, $E$9)</f>
        <v>32.023699999999998</v>
      </c>
      <c r="R576" s="14">
        <f>CHOOSE(CONTROL!$C$42, 32.6908, 32.6908) * CHOOSE(CONTROL!$C$21, $C$9, 100%, $E$9)</f>
        <v>32.690800000000003</v>
      </c>
      <c r="S576" s="14">
        <f>CHOOSE(CONTROL!$C$42, 30.7172, 30.7172) * CHOOSE(CONTROL!$C$21, $C$9, 100%, $E$9)</f>
        <v>30.717199999999998</v>
      </c>
      <c r="T57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76" s="57">
        <f>(1000*CHOOSE(CONTROL!$C$42, 695, 695)*CHOOSE(CONTROL!$C$42, 0.5599, 0.5599)*CHOOSE(CONTROL!$C$42, 31, 31))/1000000</f>
        <v>12.063045499999998</v>
      </c>
      <c r="V576" s="57">
        <f>(1000*CHOOSE(CONTROL!$C$42, 500, 500)*CHOOSE(CONTROL!$C$42, 0.275, 0.275)*CHOOSE(CONTROL!$C$42, 31, 31))/1000000</f>
        <v>4.2625000000000002</v>
      </c>
      <c r="W576" s="57">
        <f>(1000*CHOOSE(CONTROL!$C$42, 0.1146, 0.1146)*CHOOSE(CONTROL!$C$42, 121.5, 121.5)*CHOOSE(CONTROL!$C$42, 31, 31))/1000000</f>
        <v>0.43164089999999994</v>
      </c>
      <c r="X576" s="57">
        <f>(31*0.1790888*100000/1000000)+(31*0.2374*100000/1000000)</f>
        <v>1.2911152800000001</v>
      </c>
      <c r="Y576" s="57"/>
      <c r="Z576" s="14"/>
      <c r="AA576" s="56"/>
      <c r="AB576" s="50">
        <f>(B576*122.58+C576*297.941+D576*89.177+E576*40.302+F576*40+G576*160+H576*0+I576*100+J576*300)/(122.58+297.941+89.177+40.302+0+40+160+100+300)</f>
        <v>32.01594215826087</v>
      </c>
      <c r="AC576" s="45">
        <f>(M576*'RAP TEMPLATE-GAS AVAILABILITY'!O575+N576*'RAP TEMPLATE-GAS AVAILABILITY'!P575+O576*'RAP TEMPLATE-GAS AVAILABILITY'!Q575+P576*'RAP TEMPLATE-GAS AVAILABILITY'!R575)/('RAP TEMPLATE-GAS AVAILABILITY'!O575+'RAP TEMPLATE-GAS AVAILABILITY'!P575+'RAP TEMPLATE-GAS AVAILABILITY'!Q575+'RAP TEMPLATE-GAS AVAILABILITY'!R575)</f>
        <v>31.40519568345324</v>
      </c>
    </row>
    <row r="577" spans="1:29" ht="15.75" x14ac:dyDescent="0.25">
      <c r="A577" s="32">
        <v>58471</v>
      </c>
      <c r="B577" s="14">
        <f>CHOOSE(CONTROL!$C$42, 34.626, 34.626) * CHOOSE(CONTROL!$C$21, $C$9, 100%, $E$9)</f>
        <v>34.625999999999998</v>
      </c>
      <c r="C577" s="14">
        <f>CHOOSE(CONTROL!$C$42, 34.6311, 34.6311) * CHOOSE(CONTROL!$C$21, $C$9, 100%, $E$9)</f>
        <v>34.631100000000004</v>
      </c>
      <c r="D577" s="14">
        <f>CHOOSE(CONTROL!$C$42, 34.7079, 34.7079) * CHOOSE(CONTROL!$C$21, $C$9, 100%, $E$9)</f>
        <v>34.707900000000002</v>
      </c>
      <c r="E577" s="14">
        <f>CHOOSE(CONTROL!$C$42, 34.742, 34.742) * CHOOSE(CONTROL!$C$21, $C$9, 100%, $E$9)</f>
        <v>34.741999999999997</v>
      </c>
      <c r="F577" s="14">
        <f>CHOOSE(CONTROL!$C$42, 34.6508, 34.6508)*CHOOSE(CONTROL!$C$21, $C$9, 100%, $E$9)</f>
        <v>34.650799999999997</v>
      </c>
      <c r="G577" s="14">
        <f>CHOOSE(CONTROL!$C$42, 34.6688, 34.6688)*CHOOSE(CONTROL!$C$21, $C$9, 100%, $E$9)</f>
        <v>34.668799999999997</v>
      </c>
      <c r="H577" s="14">
        <f>CHOOSE(CONTROL!$C$42, 34.7312, 34.7312) * CHOOSE(CONTROL!$C$21, $C$9, 100%, $E$9)</f>
        <v>34.731200000000001</v>
      </c>
      <c r="I577" s="14">
        <f>CHOOSE(CONTROL!$C$42, 34.7682, 34.7682)* CHOOSE(CONTROL!$C$21, $C$9, 100%, $E$9)</f>
        <v>34.7682</v>
      </c>
      <c r="J577" s="14">
        <f>CHOOSE(CONTROL!$C$42, 34.6438, 34.6438)* CHOOSE(CONTROL!$C$21, $C$9, 100%, $E$9)</f>
        <v>34.643799999999999</v>
      </c>
      <c r="K577" s="53">
        <f>CHOOSE(CONTROL!$C$42, 34.7643, 34.7643) * CHOOSE(CONTROL!$C$21, $C$9, 100%, $E$9)</f>
        <v>34.764299999999999</v>
      </c>
      <c r="L577" s="14">
        <f>CHOOSE(CONTROL!$C$42, 35.3182, 35.3182) * CHOOSE(CONTROL!$C$21, $C$9, 100%, $E$9)</f>
        <v>35.318199999999997</v>
      </c>
      <c r="M577" s="14">
        <f>CHOOSE(CONTROL!$C$42, 33.9416, 33.9416) * CHOOSE(CONTROL!$C$21, $C$9, 100%, $E$9)</f>
        <v>33.941600000000001</v>
      </c>
      <c r="N577" s="14">
        <f>CHOOSE(CONTROL!$C$42, 33.9592, 33.9592) * CHOOSE(CONTROL!$C$21, $C$9, 100%, $E$9)</f>
        <v>33.959200000000003</v>
      </c>
      <c r="O577" s="14">
        <f>CHOOSE(CONTROL!$C$42, 34.0273, 34.0273) * CHOOSE(CONTROL!$C$21, $C$9, 100%, $E$9)</f>
        <v>34.027299999999997</v>
      </c>
      <c r="P577" s="14">
        <f>CHOOSE(CONTROL!$C$42, 34.0614, 34.0614) * CHOOSE(CONTROL!$C$21, $C$9, 100%, $E$9)</f>
        <v>34.061399999999999</v>
      </c>
      <c r="Q577" s="14">
        <f>CHOOSE(CONTROL!$C$42, 34.622, 34.622) * CHOOSE(CONTROL!$C$21, $C$9, 100%, $E$9)</f>
        <v>34.622</v>
      </c>
      <c r="R577" s="14">
        <f>CHOOSE(CONTROL!$C$42, 35.2956, 35.2956) * CHOOSE(CONTROL!$C$21, $C$9, 100%, $E$9)</f>
        <v>35.2956</v>
      </c>
      <c r="S577" s="14">
        <f>CHOOSE(CONTROL!$C$42, 33.2636, 33.2636) * CHOOSE(CONTROL!$C$21, $C$9, 100%, $E$9)</f>
        <v>33.263599999999997</v>
      </c>
      <c r="T57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77" s="57">
        <f>(1000*CHOOSE(CONTROL!$C$42, 695, 695)*CHOOSE(CONTROL!$C$42, 0.5599, 0.5599)*CHOOSE(CONTROL!$C$42, 31, 31))/1000000</f>
        <v>12.063045499999998</v>
      </c>
      <c r="V577" s="57">
        <f>(1000*CHOOSE(CONTROL!$C$42, 500, 500)*CHOOSE(CONTROL!$C$42, 0.275, 0.275)*CHOOSE(CONTROL!$C$42, 31, 31))/1000000</f>
        <v>4.2625000000000002</v>
      </c>
      <c r="W577" s="57">
        <f>(1000*CHOOSE(CONTROL!$C$42, 0.1146, 0.1146)*CHOOSE(CONTROL!$C$42, 121.5, 121.5)*CHOOSE(CONTROL!$C$42, 31, 31))/1000000</f>
        <v>0.43164089999999994</v>
      </c>
      <c r="X577" s="57">
        <f>(31*0.1790888*100000/1000000)+(31*0.2374*100000/1000000)</f>
        <v>1.2911152800000001</v>
      </c>
      <c r="Y577" s="57"/>
      <c r="Z577" s="14"/>
      <c r="AA577" s="56"/>
      <c r="AB577" s="50">
        <f>(B577*122.58+C577*297.941+D577*89.177+E577*40.302+F577*40+G577*160+H577*0+I577*100+J577*300)/(122.58+297.941+89.177+40.302+0+40+160+100+300)</f>
        <v>34.661563589043475</v>
      </c>
      <c r="AC577" s="45">
        <f>(M577*'RAP TEMPLATE-GAS AVAILABILITY'!O576+N577*'RAP TEMPLATE-GAS AVAILABILITY'!P576+O577*'RAP TEMPLATE-GAS AVAILABILITY'!Q576+P577*'RAP TEMPLATE-GAS AVAILABILITY'!R576)/('RAP TEMPLATE-GAS AVAILABILITY'!O576+'RAP TEMPLATE-GAS AVAILABILITY'!P576+'RAP TEMPLATE-GAS AVAILABILITY'!Q576+'RAP TEMPLATE-GAS AVAILABILITY'!R576)</f>
        <v>33.998692805755397</v>
      </c>
    </row>
    <row r="578" spans="1:29" ht="15.75" x14ac:dyDescent="0.25">
      <c r="A578" s="32">
        <v>58499</v>
      </c>
      <c r="B578" s="14">
        <f>CHOOSE(CONTROL!$C$42, 35.2423, 35.2423) * CHOOSE(CONTROL!$C$21, $C$9, 100%, $E$9)</f>
        <v>35.2423</v>
      </c>
      <c r="C578" s="14">
        <f>CHOOSE(CONTROL!$C$42, 35.2473, 35.2473) * CHOOSE(CONTROL!$C$21, $C$9, 100%, $E$9)</f>
        <v>35.247300000000003</v>
      </c>
      <c r="D578" s="14">
        <f>CHOOSE(CONTROL!$C$42, 35.3241, 35.3241) * CHOOSE(CONTROL!$C$21, $C$9, 100%, $E$9)</f>
        <v>35.324100000000001</v>
      </c>
      <c r="E578" s="14">
        <f>CHOOSE(CONTROL!$C$42, 35.3583, 35.3583) * CHOOSE(CONTROL!$C$21, $C$9, 100%, $E$9)</f>
        <v>35.3583</v>
      </c>
      <c r="F578" s="14">
        <f>CHOOSE(CONTROL!$C$42, 35.2666, 35.2666)*CHOOSE(CONTROL!$C$21, $C$9, 100%, $E$9)</f>
        <v>35.266599999999997</v>
      </c>
      <c r="G578" s="14">
        <f>CHOOSE(CONTROL!$C$42, 35.2845, 35.2845)*CHOOSE(CONTROL!$C$21, $C$9, 100%, $E$9)</f>
        <v>35.284500000000001</v>
      </c>
      <c r="H578" s="14">
        <f>CHOOSE(CONTROL!$C$42, 35.3475, 35.3475) * CHOOSE(CONTROL!$C$21, $C$9, 100%, $E$9)</f>
        <v>35.347499999999997</v>
      </c>
      <c r="I578" s="14">
        <f>CHOOSE(CONTROL!$C$42, 35.3864, 35.3864)* CHOOSE(CONTROL!$C$21, $C$9, 100%, $E$9)</f>
        <v>35.386400000000002</v>
      </c>
      <c r="J578" s="14">
        <f>CHOOSE(CONTROL!$C$42, 35.2596, 35.2596)* CHOOSE(CONTROL!$C$21, $C$9, 100%, $E$9)</f>
        <v>35.259599999999999</v>
      </c>
      <c r="K578" s="53">
        <f>CHOOSE(CONTROL!$C$42, 35.3825, 35.3825) * CHOOSE(CONTROL!$C$21, $C$9, 100%, $E$9)</f>
        <v>35.3825</v>
      </c>
      <c r="L578" s="14">
        <f>CHOOSE(CONTROL!$C$42, 35.9345, 35.9345) * CHOOSE(CONTROL!$C$21, $C$9, 100%, $E$9)</f>
        <v>35.9345</v>
      </c>
      <c r="M578" s="14">
        <f>CHOOSE(CONTROL!$C$42, 34.5448, 34.5448) * CHOOSE(CONTROL!$C$21, $C$9, 100%, $E$9)</f>
        <v>34.544800000000002</v>
      </c>
      <c r="N578" s="14">
        <f>CHOOSE(CONTROL!$C$42, 34.5623, 34.5623) * CHOOSE(CONTROL!$C$21, $C$9, 100%, $E$9)</f>
        <v>34.5623</v>
      </c>
      <c r="O578" s="14">
        <f>CHOOSE(CONTROL!$C$42, 34.6309, 34.6309) * CHOOSE(CONTROL!$C$21, $C$9, 100%, $E$9)</f>
        <v>34.630899999999997</v>
      </c>
      <c r="P578" s="14">
        <f>CHOOSE(CONTROL!$C$42, 34.6669, 34.6669) * CHOOSE(CONTROL!$C$21, $C$9, 100%, $E$9)</f>
        <v>34.666899999999998</v>
      </c>
      <c r="Q578" s="14">
        <f>CHOOSE(CONTROL!$C$42, 35.2256, 35.2256) * CHOOSE(CONTROL!$C$21, $C$9, 100%, $E$9)</f>
        <v>35.2256</v>
      </c>
      <c r="R578" s="14">
        <f>CHOOSE(CONTROL!$C$42, 35.9007, 35.9007) * CHOOSE(CONTROL!$C$21, $C$9, 100%, $E$9)</f>
        <v>35.900700000000001</v>
      </c>
      <c r="S578" s="14">
        <f>CHOOSE(CONTROL!$C$42, 33.8557, 33.8557) * CHOOSE(CONTROL!$C$21, $C$9, 100%, $E$9)</f>
        <v>33.855699999999999</v>
      </c>
      <c r="T57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78" s="57">
        <f>(1000*CHOOSE(CONTROL!$C$42, 695, 695)*CHOOSE(CONTROL!$C$42, 0.5599, 0.5599)*CHOOSE(CONTROL!$C$42, 29, 29))/1000000</f>
        <v>11.284784499999999</v>
      </c>
      <c r="V578" s="57">
        <f>(1000*CHOOSE(CONTROL!$C$42, 500, 500)*CHOOSE(CONTROL!$C$42, 0.275, 0.275)*CHOOSE(CONTROL!$C$42, 29, 29))/1000000</f>
        <v>3.9874999999999998</v>
      </c>
      <c r="W578" s="57">
        <f>(1000*CHOOSE(CONTROL!$C$42, 0.1146, 0.1146)*CHOOSE(CONTROL!$C$42, 121.5, 121.5)*CHOOSE(CONTROL!$C$42, 29, 29))/1000000</f>
        <v>0.40379309999999996</v>
      </c>
      <c r="X578" s="57">
        <f>(29*0.1790888*100000/1000000)+(29*0.2374*100000/1000000)</f>
        <v>1.2078175199999999</v>
      </c>
      <c r="Y578" s="57"/>
      <c r="Z578" s="14"/>
      <c r="AA578" s="56"/>
      <c r="AB578" s="50">
        <f>(B578*122.58+C578*297.941+D578*89.177+E578*40.302+F578*40+G578*160+H578*0+I578*100+J578*300)/(122.58+297.941+89.177+40.302+0+40+160+100+300)</f>
        <v>35.277763839652174</v>
      </c>
      <c r="AC578" s="45">
        <f>(M578*'RAP TEMPLATE-GAS AVAILABILITY'!O577+N578*'RAP TEMPLATE-GAS AVAILABILITY'!P577+O578*'RAP TEMPLATE-GAS AVAILABILITY'!Q577+P578*'RAP TEMPLATE-GAS AVAILABILITY'!R577)/('RAP TEMPLATE-GAS AVAILABILITY'!O577+'RAP TEMPLATE-GAS AVAILABILITY'!P577+'RAP TEMPLATE-GAS AVAILABILITY'!Q577+'RAP TEMPLATE-GAS AVAILABILITY'!R577)</f>
        <v>34.60239928057554</v>
      </c>
    </row>
    <row r="579" spans="1:29" ht="15.75" x14ac:dyDescent="0.25">
      <c r="A579" s="32">
        <v>58531</v>
      </c>
      <c r="B579" s="14">
        <f>CHOOSE(CONTROL!$C$42, 34.242, 34.242) * CHOOSE(CONTROL!$C$21, $C$9, 100%, $E$9)</f>
        <v>34.241999999999997</v>
      </c>
      <c r="C579" s="14">
        <f>CHOOSE(CONTROL!$C$42, 34.247, 34.247) * CHOOSE(CONTROL!$C$21, $C$9, 100%, $E$9)</f>
        <v>34.247</v>
      </c>
      <c r="D579" s="14">
        <f>CHOOSE(CONTROL!$C$42, 34.3239, 34.3239) * CHOOSE(CONTROL!$C$21, $C$9, 100%, $E$9)</f>
        <v>34.323900000000002</v>
      </c>
      <c r="E579" s="14">
        <f>CHOOSE(CONTROL!$C$42, 34.358, 34.358) * CHOOSE(CONTROL!$C$21, $C$9, 100%, $E$9)</f>
        <v>34.357999999999997</v>
      </c>
      <c r="F579" s="14">
        <f>CHOOSE(CONTROL!$C$42, 34.2654, 34.2654)*CHOOSE(CONTROL!$C$21, $C$9, 100%, $E$9)</f>
        <v>34.2654</v>
      </c>
      <c r="G579" s="14">
        <f>CHOOSE(CONTROL!$C$42, 34.2831, 34.2831)*CHOOSE(CONTROL!$C$21, $C$9, 100%, $E$9)</f>
        <v>34.283099999999997</v>
      </c>
      <c r="H579" s="14">
        <f>CHOOSE(CONTROL!$C$42, 34.3472, 34.3472) * CHOOSE(CONTROL!$C$21, $C$9, 100%, $E$9)</f>
        <v>34.347200000000001</v>
      </c>
      <c r="I579" s="14">
        <f>CHOOSE(CONTROL!$C$42, 34.3829, 34.3829)* CHOOSE(CONTROL!$C$21, $C$9, 100%, $E$9)</f>
        <v>34.382899999999999</v>
      </c>
      <c r="J579" s="14">
        <f>CHOOSE(CONTROL!$C$42, 34.2584, 34.2584)* CHOOSE(CONTROL!$C$21, $C$9, 100%, $E$9)</f>
        <v>34.258400000000002</v>
      </c>
      <c r="K579" s="53">
        <f>CHOOSE(CONTROL!$C$42, 34.3791, 34.3791) * CHOOSE(CONTROL!$C$21, $C$9, 100%, $E$9)</f>
        <v>34.379100000000001</v>
      </c>
      <c r="L579" s="14">
        <f>CHOOSE(CONTROL!$C$42, 34.9342, 34.9342) * CHOOSE(CONTROL!$C$21, $C$9, 100%, $E$9)</f>
        <v>34.934199999999997</v>
      </c>
      <c r="M579" s="14">
        <f>CHOOSE(CONTROL!$C$42, 33.5642, 33.5642) * CHOOSE(CONTROL!$C$21, $C$9, 100%, $E$9)</f>
        <v>33.5642</v>
      </c>
      <c r="N579" s="14">
        <f>CHOOSE(CONTROL!$C$42, 33.5815, 33.5815) * CHOOSE(CONTROL!$C$21, $C$9, 100%, $E$9)</f>
        <v>33.581499999999998</v>
      </c>
      <c r="O579" s="14">
        <f>CHOOSE(CONTROL!$C$42, 33.6511, 33.6511) * CHOOSE(CONTROL!$C$21, $C$9, 100%, $E$9)</f>
        <v>33.6511</v>
      </c>
      <c r="P579" s="14">
        <f>CHOOSE(CONTROL!$C$42, 33.6841, 33.6841) * CHOOSE(CONTROL!$C$21, $C$9, 100%, $E$9)</f>
        <v>33.684100000000001</v>
      </c>
      <c r="Q579" s="14">
        <f>CHOOSE(CONTROL!$C$42, 34.2458, 34.2458) * CHOOSE(CONTROL!$C$21, $C$9, 100%, $E$9)</f>
        <v>34.245800000000003</v>
      </c>
      <c r="R579" s="14">
        <f>CHOOSE(CONTROL!$C$42, 34.9184, 34.9184) * CHOOSE(CONTROL!$C$21, $C$9, 100%, $E$9)</f>
        <v>34.918399999999998</v>
      </c>
      <c r="S579" s="14">
        <f>CHOOSE(CONTROL!$C$42, 32.8946, 32.8946) * CHOOSE(CONTROL!$C$21, $C$9, 100%, $E$9)</f>
        <v>32.894599999999997</v>
      </c>
      <c r="T57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79" s="57">
        <f>(1000*CHOOSE(CONTROL!$C$42, 695, 695)*CHOOSE(CONTROL!$C$42, 0.5599, 0.5599)*CHOOSE(CONTROL!$C$42, 31, 31))/1000000</f>
        <v>12.063045499999998</v>
      </c>
      <c r="V579" s="57">
        <f>(1000*CHOOSE(CONTROL!$C$42, 500, 500)*CHOOSE(CONTROL!$C$42, 0.275, 0.275)*CHOOSE(CONTROL!$C$42, 31, 31))/1000000</f>
        <v>4.2625000000000002</v>
      </c>
      <c r="W579" s="57">
        <f>(1000*CHOOSE(CONTROL!$C$42, 0.1146, 0.1146)*CHOOSE(CONTROL!$C$42, 121.5, 121.5)*CHOOSE(CONTROL!$C$42, 31, 31))/1000000</f>
        <v>0.43164089999999994</v>
      </c>
      <c r="X579" s="57">
        <f>(31*0.1790888*100000/1000000)+(31*0.2374*100000/1000000)</f>
        <v>1.2911152800000001</v>
      </c>
      <c r="Y579" s="57"/>
      <c r="Z579" s="14"/>
      <c r="AA579" s="56"/>
      <c r="AB579" s="50">
        <f>(B579*122.58+C579*297.941+D579*89.177+E579*40.302+F579*40+G579*160+H579*0+I579*100+J579*300)/(122.58+297.941+89.177+40.302+0+40+160+100+300)</f>
        <v>34.276774202869568</v>
      </c>
      <c r="AC579" s="45">
        <f>(M579*'RAP TEMPLATE-GAS AVAILABILITY'!O578+N579*'RAP TEMPLATE-GAS AVAILABILITY'!P578+O579*'RAP TEMPLATE-GAS AVAILABILITY'!Q578+P579*'RAP TEMPLATE-GAS AVAILABILITY'!R578)/('RAP TEMPLATE-GAS AVAILABILITY'!O578+'RAP TEMPLATE-GAS AVAILABILITY'!P578+'RAP TEMPLATE-GAS AVAILABILITY'!Q578+'RAP TEMPLATE-GAS AVAILABILITY'!R578)</f>
        <v>33.621833812949639</v>
      </c>
    </row>
    <row r="580" spans="1:29" ht="15.75" x14ac:dyDescent="0.25">
      <c r="A580" s="32">
        <v>58561</v>
      </c>
      <c r="B580" s="14">
        <f>CHOOSE(CONTROL!$C$42, 34.1405, 34.1405) * CHOOSE(CONTROL!$C$21, $C$9, 100%, $E$9)</f>
        <v>34.140500000000003</v>
      </c>
      <c r="C580" s="14">
        <f>CHOOSE(CONTROL!$C$42, 34.145, 34.145) * CHOOSE(CONTROL!$C$21, $C$9, 100%, $E$9)</f>
        <v>34.145000000000003</v>
      </c>
      <c r="D580" s="14">
        <f>CHOOSE(CONTROL!$C$42, 34.3687, 34.3687) * CHOOSE(CONTROL!$C$21, $C$9, 100%, $E$9)</f>
        <v>34.368699999999997</v>
      </c>
      <c r="E580" s="14">
        <f>CHOOSE(CONTROL!$C$42, 34.4008, 34.4008) * CHOOSE(CONTROL!$C$21, $C$9, 100%, $E$9)</f>
        <v>34.400799999999997</v>
      </c>
      <c r="F580" s="14">
        <f>CHOOSE(CONTROL!$C$42, 34.1682, 34.1682)*CHOOSE(CONTROL!$C$21, $C$9, 100%, $E$9)</f>
        <v>34.168199999999999</v>
      </c>
      <c r="G580" s="14">
        <f>CHOOSE(CONTROL!$C$42, 34.1851, 34.1851)*CHOOSE(CONTROL!$C$21, $C$9, 100%, $E$9)</f>
        <v>34.185099999999998</v>
      </c>
      <c r="H580" s="14">
        <f>CHOOSE(CONTROL!$C$42, 34.3906, 34.3906) * CHOOSE(CONTROL!$C$21, $C$9, 100%, $E$9)</f>
        <v>34.390599999999999</v>
      </c>
      <c r="I580" s="14">
        <f>CHOOSE(CONTROL!$C$42, 34.2767, 34.2767)* CHOOSE(CONTROL!$C$21, $C$9, 100%, $E$9)</f>
        <v>34.276699999999998</v>
      </c>
      <c r="J580" s="14">
        <f>CHOOSE(CONTROL!$C$42, 34.1612, 34.1612)* CHOOSE(CONTROL!$C$21, $C$9, 100%, $E$9)</f>
        <v>34.161200000000001</v>
      </c>
      <c r="K580" s="53">
        <f>CHOOSE(CONTROL!$C$42, 34.2728, 34.2728) * CHOOSE(CONTROL!$C$21, $C$9, 100%, $E$9)</f>
        <v>34.272799999999997</v>
      </c>
      <c r="L580" s="14">
        <f>CHOOSE(CONTROL!$C$42, 34.9776, 34.9776) * CHOOSE(CONTROL!$C$21, $C$9, 100%, $E$9)</f>
        <v>34.977600000000002</v>
      </c>
      <c r="M580" s="14">
        <f>CHOOSE(CONTROL!$C$42, 33.4689, 33.4689) * CHOOSE(CONTROL!$C$21, $C$9, 100%, $E$9)</f>
        <v>33.468899999999998</v>
      </c>
      <c r="N580" s="14">
        <f>CHOOSE(CONTROL!$C$42, 33.4855, 33.4855) * CHOOSE(CONTROL!$C$21, $C$9, 100%, $E$9)</f>
        <v>33.485500000000002</v>
      </c>
      <c r="O580" s="14">
        <f>CHOOSE(CONTROL!$C$42, 33.6937, 33.6937) * CHOOSE(CONTROL!$C$21, $C$9, 100%, $E$9)</f>
        <v>33.6937</v>
      </c>
      <c r="P580" s="14">
        <f>CHOOSE(CONTROL!$C$42, 33.58, 33.58) * CHOOSE(CONTROL!$C$21, $C$9, 100%, $E$9)</f>
        <v>33.58</v>
      </c>
      <c r="Q580" s="14">
        <f>CHOOSE(CONTROL!$C$42, 34.2884, 34.2884) * CHOOSE(CONTROL!$C$21, $C$9, 100%, $E$9)</f>
        <v>34.288400000000003</v>
      </c>
      <c r="R580" s="14">
        <f>CHOOSE(CONTROL!$C$42, 34.9611, 34.9611) * CHOOSE(CONTROL!$C$21, $C$9, 100%, $E$9)</f>
        <v>34.961100000000002</v>
      </c>
      <c r="S580" s="14">
        <f>CHOOSE(CONTROL!$C$42, 32.7963, 32.7963) * CHOOSE(CONTROL!$C$21, $C$9, 100%, $E$9)</f>
        <v>32.796300000000002</v>
      </c>
      <c r="T58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80" s="57">
        <f>(1000*CHOOSE(CONTROL!$C$42, 695, 695)*CHOOSE(CONTROL!$C$42, 0.5599, 0.5599)*CHOOSE(CONTROL!$C$42, 30, 30))/1000000</f>
        <v>11.673914999999997</v>
      </c>
      <c r="V580" s="57">
        <f>(1000*CHOOSE(CONTROL!$C$42, 500, 500)*CHOOSE(CONTROL!$C$42, 0.275, 0.275)*CHOOSE(CONTROL!$C$42, 30, 30))/1000000</f>
        <v>4.125</v>
      </c>
      <c r="W580" s="57">
        <f>(1000*CHOOSE(CONTROL!$C$42, 0.1146, 0.1146)*CHOOSE(CONTROL!$C$42, 121.5, 121.5)*CHOOSE(CONTROL!$C$42, 30, 30))/1000000</f>
        <v>0.417717</v>
      </c>
      <c r="X580" s="57">
        <f>(30*0.1790888*245000/1000000)+(30*0.2374*100000/1000000)</f>
        <v>2.0285026799999999</v>
      </c>
      <c r="Y580" s="57"/>
      <c r="Z580" s="14"/>
      <c r="AA580" s="56"/>
      <c r="AB580" s="50">
        <f>(B580*141.293+C580*267.993+D580*115.016+E580*89.698+F580*40+G580*185+H580*0+I580*100+J580*300)/(141.293+267.993+115.016+89.698+0+40+185+100+300)</f>
        <v>34.205060136481038</v>
      </c>
      <c r="AC580" s="45">
        <f>(M580*'RAP TEMPLATE-GAS AVAILABILITY'!O579+N580*'RAP TEMPLATE-GAS AVAILABILITY'!P579+O580*'RAP TEMPLATE-GAS AVAILABILITY'!Q579+P580*'RAP TEMPLATE-GAS AVAILABILITY'!R579)/('RAP TEMPLATE-GAS AVAILABILITY'!O579+'RAP TEMPLATE-GAS AVAILABILITY'!P579+'RAP TEMPLATE-GAS AVAILABILITY'!Q579+'RAP TEMPLATE-GAS AVAILABILITY'!R579)</f>
        <v>33.551780575539567</v>
      </c>
    </row>
    <row r="581" spans="1:29" ht="15.75" x14ac:dyDescent="0.25">
      <c r="A581" s="32">
        <v>58592</v>
      </c>
      <c r="B581" s="14">
        <f>CHOOSE(CONTROL!$C$42, 34.4431, 34.4431) * CHOOSE(CONTROL!$C$21, $C$9, 100%, $E$9)</f>
        <v>34.443100000000001</v>
      </c>
      <c r="C581" s="14">
        <f>CHOOSE(CONTROL!$C$42, 34.4512, 34.4512) * CHOOSE(CONTROL!$C$21, $C$9, 100%, $E$9)</f>
        <v>34.4512</v>
      </c>
      <c r="D581" s="14">
        <f>CHOOSE(CONTROL!$C$42, 34.6717, 34.6717) * CHOOSE(CONTROL!$C$21, $C$9, 100%, $E$9)</f>
        <v>34.671700000000001</v>
      </c>
      <c r="E581" s="14">
        <f>CHOOSE(CONTROL!$C$42, 34.7032, 34.7032) * CHOOSE(CONTROL!$C$21, $C$9, 100%, $E$9)</f>
        <v>34.703200000000002</v>
      </c>
      <c r="F581" s="14">
        <f>CHOOSE(CONTROL!$C$42, 34.4694, 34.4694)*CHOOSE(CONTROL!$C$21, $C$9, 100%, $E$9)</f>
        <v>34.4694</v>
      </c>
      <c r="G581" s="14">
        <f>CHOOSE(CONTROL!$C$42, 34.4865, 34.4865)*CHOOSE(CONTROL!$C$21, $C$9, 100%, $E$9)</f>
        <v>34.486499999999999</v>
      </c>
      <c r="H581" s="14">
        <f>CHOOSE(CONTROL!$C$42, 34.6918, 34.6918) * CHOOSE(CONTROL!$C$21, $C$9, 100%, $E$9)</f>
        <v>34.691800000000001</v>
      </c>
      <c r="I581" s="14">
        <f>CHOOSE(CONTROL!$C$42, 34.5789, 34.5789)* CHOOSE(CONTROL!$C$21, $C$9, 100%, $E$9)</f>
        <v>34.578899999999997</v>
      </c>
      <c r="J581" s="14">
        <f>CHOOSE(CONTROL!$C$42, 34.4624, 34.4624)* CHOOSE(CONTROL!$C$21, $C$9, 100%, $E$9)</f>
        <v>34.462400000000002</v>
      </c>
      <c r="K581" s="53">
        <f>CHOOSE(CONTROL!$C$42, 34.575, 34.575) * CHOOSE(CONTROL!$C$21, $C$9, 100%, $E$9)</f>
        <v>34.575000000000003</v>
      </c>
      <c r="L581" s="14">
        <f>CHOOSE(CONTROL!$C$42, 35.2788, 35.2788) * CHOOSE(CONTROL!$C$21, $C$9, 100%, $E$9)</f>
        <v>35.278799999999997</v>
      </c>
      <c r="M581" s="14">
        <f>CHOOSE(CONTROL!$C$42, 33.764, 33.764) * CHOOSE(CONTROL!$C$21, $C$9, 100%, $E$9)</f>
        <v>33.764000000000003</v>
      </c>
      <c r="N581" s="14">
        <f>CHOOSE(CONTROL!$C$42, 33.7807, 33.7807) * CHOOSE(CONTROL!$C$21, $C$9, 100%, $E$9)</f>
        <v>33.780700000000003</v>
      </c>
      <c r="O581" s="14">
        <f>CHOOSE(CONTROL!$C$42, 33.9887, 33.9887) * CHOOSE(CONTROL!$C$21, $C$9, 100%, $E$9)</f>
        <v>33.988700000000001</v>
      </c>
      <c r="P581" s="14">
        <f>CHOOSE(CONTROL!$C$42, 33.876, 33.876) * CHOOSE(CONTROL!$C$21, $C$9, 100%, $E$9)</f>
        <v>33.875999999999998</v>
      </c>
      <c r="Q581" s="14">
        <f>CHOOSE(CONTROL!$C$42, 34.5834, 34.5834) * CHOOSE(CONTROL!$C$21, $C$9, 100%, $E$9)</f>
        <v>34.583399999999997</v>
      </c>
      <c r="R581" s="14">
        <f>CHOOSE(CONTROL!$C$42, 35.2569, 35.2569) * CHOOSE(CONTROL!$C$21, $C$9, 100%, $E$9)</f>
        <v>35.256900000000002</v>
      </c>
      <c r="S581" s="14">
        <f>CHOOSE(CONTROL!$C$42, 33.0858, 33.0858) * CHOOSE(CONTROL!$C$21, $C$9, 100%, $E$9)</f>
        <v>33.085799999999999</v>
      </c>
      <c r="T58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81" s="57">
        <f>(1000*CHOOSE(CONTROL!$C$42, 695, 695)*CHOOSE(CONTROL!$C$42, 0.5599, 0.5599)*CHOOSE(CONTROL!$C$42, 31, 31))/1000000</f>
        <v>12.063045499999998</v>
      </c>
      <c r="V581" s="57">
        <f>(1000*CHOOSE(CONTROL!$C$42, 500, 500)*CHOOSE(CONTROL!$C$42, 0.275, 0.275)*CHOOSE(CONTROL!$C$42, 31, 31))/1000000</f>
        <v>4.2625000000000002</v>
      </c>
      <c r="W581" s="57">
        <f>(1000*CHOOSE(CONTROL!$C$42, 0.1146, 0.1146)*CHOOSE(CONTROL!$C$42, 121.5, 121.5)*CHOOSE(CONTROL!$C$42, 31, 31))/1000000</f>
        <v>0.43164089999999994</v>
      </c>
      <c r="X581" s="57">
        <f>(31*0.1790888*245000/1000000)+(31*0.2374*100000/1000000)</f>
        <v>2.0961194359999999</v>
      </c>
      <c r="Y581" s="57"/>
      <c r="Z581" s="14"/>
      <c r="AA581" s="56"/>
      <c r="AB581" s="50">
        <f>(B581*194.205+C581*267.466+D581*133.845+E581*53.484+F581*40+G581*185+H581*0+I581*100+J581*300)/(194.205+267.466+133.845+53.484+0+40+185+100+300)</f>
        <v>34.502068312401889</v>
      </c>
      <c r="AC581" s="45">
        <f>(M581*'RAP TEMPLATE-GAS AVAILABILITY'!O580+N581*'RAP TEMPLATE-GAS AVAILABILITY'!P580+O581*'RAP TEMPLATE-GAS AVAILABILITY'!Q580+P581*'RAP TEMPLATE-GAS AVAILABILITY'!R580)/('RAP TEMPLATE-GAS AVAILABILITY'!O580+'RAP TEMPLATE-GAS AVAILABILITY'!P580+'RAP TEMPLATE-GAS AVAILABILITY'!Q580+'RAP TEMPLATE-GAS AVAILABILITY'!R580)</f>
        <v>33.847005035971222</v>
      </c>
    </row>
    <row r="582" spans="1:29" ht="15.75" x14ac:dyDescent="0.25">
      <c r="A582" s="32">
        <v>58622</v>
      </c>
      <c r="B582" s="14">
        <f>CHOOSE(CONTROL!$C$42, 35.4198, 35.4198) * CHOOSE(CONTROL!$C$21, $C$9, 100%, $E$9)</f>
        <v>35.419800000000002</v>
      </c>
      <c r="C582" s="14">
        <f>CHOOSE(CONTROL!$C$42, 35.4278, 35.4278) * CHOOSE(CONTROL!$C$21, $C$9, 100%, $E$9)</f>
        <v>35.427799999999998</v>
      </c>
      <c r="D582" s="14">
        <f>CHOOSE(CONTROL!$C$42, 35.6484, 35.6484) * CHOOSE(CONTROL!$C$21, $C$9, 100%, $E$9)</f>
        <v>35.648400000000002</v>
      </c>
      <c r="E582" s="14">
        <f>CHOOSE(CONTROL!$C$42, 35.6799, 35.6799) * CHOOSE(CONTROL!$C$21, $C$9, 100%, $E$9)</f>
        <v>35.679900000000004</v>
      </c>
      <c r="F582" s="14">
        <f>CHOOSE(CONTROL!$C$42, 35.4464, 35.4464)*CHOOSE(CONTROL!$C$21, $C$9, 100%, $E$9)</f>
        <v>35.446399999999997</v>
      </c>
      <c r="G582" s="14">
        <f>CHOOSE(CONTROL!$C$42, 35.4636, 35.4636)*CHOOSE(CONTROL!$C$21, $C$9, 100%, $E$9)</f>
        <v>35.4636</v>
      </c>
      <c r="H582" s="14">
        <f>CHOOSE(CONTROL!$C$42, 35.6685, 35.6685) * CHOOSE(CONTROL!$C$21, $C$9, 100%, $E$9)</f>
        <v>35.668500000000002</v>
      </c>
      <c r="I582" s="14">
        <f>CHOOSE(CONTROL!$C$42, 35.5586, 35.5586)* CHOOSE(CONTROL!$C$21, $C$9, 100%, $E$9)</f>
        <v>35.558599999999998</v>
      </c>
      <c r="J582" s="14">
        <f>CHOOSE(CONTROL!$C$42, 35.4394, 35.4394)* CHOOSE(CONTROL!$C$21, $C$9, 100%, $E$9)</f>
        <v>35.439399999999999</v>
      </c>
      <c r="K582" s="53">
        <f>CHOOSE(CONTROL!$C$42, 35.5547, 35.5547) * CHOOSE(CONTROL!$C$21, $C$9, 100%, $E$9)</f>
        <v>35.554699999999997</v>
      </c>
      <c r="L582" s="14">
        <f>CHOOSE(CONTROL!$C$42, 36.2555, 36.2555) * CHOOSE(CONTROL!$C$21, $C$9, 100%, $E$9)</f>
        <v>36.255499999999998</v>
      </c>
      <c r="M582" s="14">
        <f>CHOOSE(CONTROL!$C$42, 34.721, 34.721) * CHOOSE(CONTROL!$C$21, $C$9, 100%, $E$9)</f>
        <v>34.720999999999997</v>
      </c>
      <c r="N582" s="14">
        <f>CHOOSE(CONTROL!$C$42, 34.7378, 34.7378) * CHOOSE(CONTROL!$C$21, $C$9, 100%, $E$9)</f>
        <v>34.7378</v>
      </c>
      <c r="O582" s="14">
        <f>CHOOSE(CONTROL!$C$42, 34.9454, 34.9454) * CHOOSE(CONTROL!$C$21, $C$9, 100%, $E$9)</f>
        <v>34.945399999999999</v>
      </c>
      <c r="P582" s="14">
        <f>CHOOSE(CONTROL!$C$42, 34.8356, 34.8356) * CHOOSE(CONTROL!$C$21, $C$9, 100%, $E$9)</f>
        <v>34.835599999999999</v>
      </c>
      <c r="Q582" s="14">
        <f>CHOOSE(CONTROL!$C$42, 35.5401, 35.5401) * CHOOSE(CONTROL!$C$21, $C$9, 100%, $E$9)</f>
        <v>35.540100000000002</v>
      </c>
      <c r="R582" s="14">
        <f>CHOOSE(CONTROL!$C$42, 36.2159, 36.2159) * CHOOSE(CONTROL!$C$21, $C$9, 100%, $E$9)</f>
        <v>36.215899999999998</v>
      </c>
      <c r="S582" s="14">
        <f>CHOOSE(CONTROL!$C$42, 34.0243, 34.0243) * CHOOSE(CONTROL!$C$21, $C$9, 100%, $E$9)</f>
        <v>34.024299999999997</v>
      </c>
      <c r="T58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82" s="57">
        <f>(1000*CHOOSE(CONTROL!$C$42, 695, 695)*CHOOSE(CONTROL!$C$42, 0.5599, 0.5599)*CHOOSE(CONTROL!$C$42, 30, 30))/1000000</f>
        <v>11.673914999999997</v>
      </c>
      <c r="V582" s="57">
        <f>(1000*CHOOSE(CONTROL!$C$42, 500, 500)*CHOOSE(CONTROL!$C$42, 0.275, 0.275)*CHOOSE(CONTROL!$C$42, 30, 30))/1000000</f>
        <v>4.125</v>
      </c>
      <c r="W582" s="57">
        <f>(1000*CHOOSE(CONTROL!$C$42, 0.1146, 0.1146)*CHOOSE(CONTROL!$C$42, 121.5, 121.5)*CHOOSE(CONTROL!$C$42, 30, 30))/1000000</f>
        <v>0.417717</v>
      </c>
      <c r="X582" s="57">
        <f>(30*0.1790888*245000/1000000)+(30*0.2374*100000/1000000)</f>
        <v>2.0285026799999999</v>
      </c>
      <c r="Y582" s="57"/>
      <c r="Z582" s="14"/>
      <c r="AA582" s="56"/>
      <c r="AB582" s="50">
        <f>(B582*194.205+C582*267.466+D582*133.845+E582*53.484+F582*40+G582*185+H582*0+I582*100+J582*300)/(194.205+267.466+133.845+53.484+0+40+185+100+300)</f>
        <v>35.479120944583983</v>
      </c>
      <c r="AC582" s="45">
        <f>(M582*'RAP TEMPLATE-GAS AVAILABILITY'!O581+N582*'RAP TEMPLATE-GAS AVAILABILITY'!P581+O582*'RAP TEMPLATE-GAS AVAILABILITY'!Q581+P582*'RAP TEMPLATE-GAS AVAILABILITY'!R581)/('RAP TEMPLATE-GAS AVAILABILITY'!O581+'RAP TEMPLATE-GAS AVAILABILITY'!P581+'RAP TEMPLATE-GAS AVAILABILITY'!Q581+'RAP TEMPLATE-GAS AVAILABILITY'!R581)</f>
        <v>34.804317985611512</v>
      </c>
    </row>
    <row r="583" spans="1:29" ht="15.75" x14ac:dyDescent="0.25">
      <c r="A583" s="32">
        <v>58653</v>
      </c>
      <c r="B583" s="14">
        <f>CHOOSE(CONTROL!$C$42, 34.7405, 34.7405) * CHOOSE(CONTROL!$C$21, $C$9, 100%, $E$9)</f>
        <v>34.740499999999997</v>
      </c>
      <c r="C583" s="14">
        <f>CHOOSE(CONTROL!$C$42, 34.7485, 34.7485) * CHOOSE(CONTROL!$C$21, $C$9, 100%, $E$9)</f>
        <v>34.7485</v>
      </c>
      <c r="D583" s="14">
        <f>CHOOSE(CONTROL!$C$42, 34.9691, 34.9691) * CHOOSE(CONTROL!$C$21, $C$9, 100%, $E$9)</f>
        <v>34.969099999999997</v>
      </c>
      <c r="E583" s="14">
        <f>CHOOSE(CONTROL!$C$42, 35.0006, 35.0006) * CHOOSE(CONTROL!$C$21, $C$9, 100%, $E$9)</f>
        <v>35.000599999999999</v>
      </c>
      <c r="F583" s="14">
        <f>CHOOSE(CONTROL!$C$42, 34.7676, 34.7676)*CHOOSE(CONTROL!$C$21, $C$9, 100%, $E$9)</f>
        <v>34.767600000000002</v>
      </c>
      <c r="G583" s="14">
        <f>CHOOSE(CONTROL!$C$42, 34.7849, 34.7849)*CHOOSE(CONTROL!$C$21, $C$9, 100%, $E$9)</f>
        <v>34.7849</v>
      </c>
      <c r="H583" s="14">
        <f>CHOOSE(CONTROL!$C$42, 34.9892, 34.9892) * CHOOSE(CONTROL!$C$21, $C$9, 100%, $E$9)</f>
        <v>34.989199999999997</v>
      </c>
      <c r="I583" s="14">
        <f>CHOOSE(CONTROL!$C$42, 34.8772, 34.8772)* CHOOSE(CONTROL!$C$21, $C$9, 100%, $E$9)</f>
        <v>34.877200000000002</v>
      </c>
      <c r="J583" s="14">
        <f>CHOOSE(CONTROL!$C$42, 34.7606, 34.7606)* CHOOSE(CONTROL!$C$21, $C$9, 100%, $E$9)</f>
        <v>34.760599999999997</v>
      </c>
      <c r="K583" s="53">
        <f>CHOOSE(CONTROL!$C$42, 34.8733, 34.8733) * CHOOSE(CONTROL!$C$21, $C$9, 100%, $E$9)</f>
        <v>34.8733</v>
      </c>
      <c r="L583" s="14">
        <f>CHOOSE(CONTROL!$C$42, 35.5762, 35.5762) * CHOOSE(CONTROL!$C$21, $C$9, 100%, $E$9)</f>
        <v>35.5762</v>
      </c>
      <c r="M583" s="14">
        <f>CHOOSE(CONTROL!$C$42, 34.0561, 34.0561) * CHOOSE(CONTROL!$C$21, $C$9, 100%, $E$9)</f>
        <v>34.056100000000001</v>
      </c>
      <c r="N583" s="14">
        <f>CHOOSE(CONTROL!$C$42, 34.073, 34.073) * CHOOSE(CONTROL!$C$21, $C$9, 100%, $E$9)</f>
        <v>34.073</v>
      </c>
      <c r="O583" s="14">
        <f>CHOOSE(CONTROL!$C$42, 34.28, 34.28) * CHOOSE(CONTROL!$C$21, $C$9, 100%, $E$9)</f>
        <v>34.28</v>
      </c>
      <c r="P583" s="14">
        <f>CHOOSE(CONTROL!$C$42, 34.1682, 34.1682) * CHOOSE(CONTROL!$C$21, $C$9, 100%, $E$9)</f>
        <v>34.168199999999999</v>
      </c>
      <c r="Q583" s="14">
        <f>CHOOSE(CONTROL!$C$42, 34.8747, 34.8747) * CHOOSE(CONTROL!$C$21, $C$9, 100%, $E$9)</f>
        <v>34.874699999999997</v>
      </c>
      <c r="R583" s="14">
        <f>CHOOSE(CONTROL!$C$42, 35.5489, 35.5489) * CHOOSE(CONTROL!$C$21, $C$9, 100%, $E$9)</f>
        <v>35.548900000000003</v>
      </c>
      <c r="S583" s="14">
        <f>CHOOSE(CONTROL!$C$42, 33.3715, 33.3715) * CHOOSE(CONTROL!$C$21, $C$9, 100%, $E$9)</f>
        <v>33.371499999999997</v>
      </c>
      <c r="T58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83" s="57">
        <f>(1000*CHOOSE(CONTROL!$C$42, 695, 695)*CHOOSE(CONTROL!$C$42, 0.5599, 0.5599)*CHOOSE(CONTROL!$C$42, 31, 31))/1000000</f>
        <v>12.063045499999998</v>
      </c>
      <c r="V583" s="57">
        <f>(1000*CHOOSE(CONTROL!$C$42, 500, 500)*CHOOSE(CONTROL!$C$42, 0.275, 0.275)*CHOOSE(CONTROL!$C$42, 31, 31))/1000000</f>
        <v>4.2625000000000002</v>
      </c>
      <c r="W583" s="57">
        <f>(1000*CHOOSE(CONTROL!$C$42, 0.1146, 0.1146)*CHOOSE(CONTROL!$C$42, 121.5, 121.5)*CHOOSE(CONTROL!$C$42, 31, 31))/1000000</f>
        <v>0.43164089999999994</v>
      </c>
      <c r="X583" s="57">
        <f>(31*0.1790888*245000/1000000)+(31*0.2374*100000/1000000)</f>
        <v>2.0961194359999999</v>
      </c>
      <c r="Y583" s="57"/>
      <c r="Z583" s="14"/>
      <c r="AA583" s="56"/>
      <c r="AB583" s="50">
        <f>(B583*194.205+C583*267.466+D583*133.845+E583*53.484+F583*40+G583*185+H583*0+I583*100+J583*300)/(194.205+267.466+133.845+53.484+0+40+185+100+300)</f>
        <v>34.799876674568289</v>
      </c>
      <c r="AC583" s="45">
        <f>(M583*'RAP TEMPLATE-GAS AVAILABILITY'!O582+N583*'RAP TEMPLATE-GAS AVAILABILITY'!P582+O583*'RAP TEMPLATE-GAS AVAILABILITY'!Q582+P583*'RAP TEMPLATE-GAS AVAILABILITY'!R582)/('RAP TEMPLATE-GAS AVAILABILITY'!O582+'RAP TEMPLATE-GAS AVAILABILITY'!P582+'RAP TEMPLATE-GAS AVAILABILITY'!Q582+'RAP TEMPLATE-GAS AVAILABILITY'!R582)</f>
        <v>34.138941007194241</v>
      </c>
    </row>
    <row r="584" spans="1:29" ht="15.75" x14ac:dyDescent="0.25">
      <c r="A584" s="32">
        <v>58684</v>
      </c>
      <c r="B584" s="14">
        <f>CHOOSE(CONTROL!$C$42, 33.0251, 33.0251) * CHOOSE(CONTROL!$C$21, $C$9, 100%, $E$9)</f>
        <v>33.025100000000002</v>
      </c>
      <c r="C584" s="14">
        <f>CHOOSE(CONTROL!$C$42, 33.0331, 33.0331) * CHOOSE(CONTROL!$C$21, $C$9, 100%, $E$9)</f>
        <v>33.033099999999997</v>
      </c>
      <c r="D584" s="14">
        <f>CHOOSE(CONTROL!$C$42, 33.2537, 33.2537) * CHOOSE(CONTROL!$C$21, $C$9, 100%, $E$9)</f>
        <v>33.253700000000002</v>
      </c>
      <c r="E584" s="14">
        <f>CHOOSE(CONTROL!$C$42, 33.2852, 33.2852) * CHOOSE(CONTROL!$C$21, $C$9, 100%, $E$9)</f>
        <v>33.285200000000003</v>
      </c>
      <c r="F584" s="14">
        <f>CHOOSE(CONTROL!$C$42, 33.0525, 33.0525)*CHOOSE(CONTROL!$C$21, $C$9, 100%, $E$9)</f>
        <v>33.052500000000002</v>
      </c>
      <c r="G584" s="14">
        <f>CHOOSE(CONTROL!$C$42, 33.0699, 33.0699)*CHOOSE(CONTROL!$C$21, $C$9, 100%, $E$9)</f>
        <v>33.069899999999997</v>
      </c>
      <c r="H584" s="14">
        <f>CHOOSE(CONTROL!$C$42, 33.2738, 33.2738) * CHOOSE(CONTROL!$C$21, $C$9, 100%, $E$9)</f>
        <v>33.273800000000001</v>
      </c>
      <c r="I584" s="14">
        <f>CHOOSE(CONTROL!$C$42, 33.1564, 33.1564)* CHOOSE(CONTROL!$C$21, $C$9, 100%, $E$9)</f>
        <v>33.156399999999998</v>
      </c>
      <c r="J584" s="14">
        <f>CHOOSE(CONTROL!$C$42, 33.0455, 33.0455)* CHOOSE(CONTROL!$C$21, $C$9, 100%, $E$9)</f>
        <v>33.045499999999997</v>
      </c>
      <c r="K584" s="53">
        <f>CHOOSE(CONTROL!$C$42, 33.1525, 33.1525) * CHOOSE(CONTROL!$C$21, $C$9, 100%, $E$9)</f>
        <v>33.152500000000003</v>
      </c>
      <c r="L584" s="14">
        <f>CHOOSE(CONTROL!$C$42, 33.8608, 33.8608) * CHOOSE(CONTROL!$C$21, $C$9, 100%, $E$9)</f>
        <v>33.860799999999998</v>
      </c>
      <c r="M584" s="14">
        <f>CHOOSE(CONTROL!$C$42, 32.3761, 32.3761) * CHOOSE(CONTROL!$C$21, $C$9, 100%, $E$9)</f>
        <v>32.376100000000001</v>
      </c>
      <c r="N584" s="14">
        <f>CHOOSE(CONTROL!$C$42, 32.3931, 32.3931) * CHOOSE(CONTROL!$C$21, $C$9, 100%, $E$9)</f>
        <v>32.393099999999997</v>
      </c>
      <c r="O584" s="14">
        <f>CHOOSE(CONTROL!$C$42, 32.5997, 32.5997) * CHOOSE(CONTROL!$C$21, $C$9, 100%, $E$9)</f>
        <v>32.599699999999999</v>
      </c>
      <c r="P584" s="14">
        <f>CHOOSE(CONTROL!$C$42, 32.4827, 32.4827) * CHOOSE(CONTROL!$C$21, $C$9, 100%, $E$9)</f>
        <v>32.482700000000001</v>
      </c>
      <c r="Q584" s="14">
        <f>CHOOSE(CONTROL!$C$42, 33.1944, 33.1944) * CHOOSE(CONTROL!$C$21, $C$9, 100%, $E$9)</f>
        <v>33.194400000000002</v>
      </c>
      <c r="R584" s="14">
        <f>CHOOSE(CONTROL!$C$42, 33.8644, 33.8644) * CHOOSE(CONTROL!$C$21, $C$9, 100%, $E$9)</f>
        <v>33.864400000000003</v>
      </c>
      <c r="S584" s="14">
        <f>CHOOSE(CONTROL!$C$42, 31.7232, 31.7232) * CHOOSE(CONTROL!$C$21, $C$9, 100%, $E$9)</f>
        <v>31.723199999999999</v>
      </c>
      <c r="T58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84" s="57">
        <f>(1000*CHOOSE(CONTROL!$C$42, 695, 695)*CHOOSE(CONTROL!$C$42, 0.5599, 0.5599)*CHOOSE(CONTROL!$C$42, 31, 31))/1000000</f>
        <v>12.063045499999998</v>
      </c>
      <c r="V584" s="57">
        <f>(1000*CHOOSE(CONTROL!$C$42, 500, 500)*CHOOSE(CONTROL!$C$42, 0.275, 0.275)*CHOOSE(CONTROL!$C$42, 31, 31))/1000000</f>
        <v>4.2625000000000002</v>
      </c>
      <c r="W584" s="57">
        <f>(1000*CHOOSE(CONTROL!$C$42, 0.1146, 0.1146)*CHOOSE(CONTROL!$C$42, 121.5, 121.5)*CHOOSE(CONTROL!$C$42, 31, 31))/1000000</f>
        <v>0.43164089999999994</v>
      </c>
      <c r="X584" s="57">
        <f>(31*0.1790888*245000/1000000)+(31*0.2374*100000/1000000)</f>
        <v>2.0961194359999999</v>
      </c>
      <c r="Y584" s="57"/>
      <c r="Z584" s="14"/>
      <c r="AA584" s="56"/>
      <c r="AB584" s="50">
        <f>(B584*194.205+C584*267.466+D584*133.845+E584*53.484+F584*40+G584*185+H584*0+I584*100+J584*300)/(194.205+267.466+133.845+53.484+0+40+185+100+300)</f>
        <v>33.084190960282577</v>
      </c>
      <c r="AC584" s="45">
        <f>(M584*'RAP TEMPLATE-GAS AVAILABILITY'!O583+N584*'RAP TEMPLATE-GAS AVAILABILITY'!P583+O584*'RAP TEMPLATE-GAS AVAILABILITY'!Q583+P584*'RAP TEMPLATE-GAS AVAILABILITY'!R583)/('RAP TEMPLATE-GAS AVAILABILITY'!O583+'RAP TEMPLATE-GAS AVAILABILITY'!P583+'RAP TEMPLATE-GAS AVAILABILITY'!Q583+'RAP TEMPLATE-GAS AVAILABILITY'!R583)</f>
        <v>32.458088489208635</v>
      </c>
    </row>
    <row r="585" spans="1:29" ht="15.75" x14ac:dyDescent="0.25">
      <c r="A585" s="32">
        <v>58714</v>
      </c>
      <c r="B585" s="14">
        <f>CHOOSE(CONTROL!$C$42, 30.9289, 30.9289) * CHOOSE(CONTROL!$C$21, $C$9, 100%, $E$9)</f>
        <v>30.928899999999999</v>
      </c>
      <c r="C585" s="14">
        <f>CHOOSE(CONTROL!$C$42, 30.937, 30.937) * CHOOSE(CONTROL!$C$21, $C$9, 100%, $E$9)</f>
        <v>30.937000000000001</v>
      </c>
      <c r="D585" s="14">
        <f>CHOOSE(CONTROL!$C$42, 31.1575, 31.1575) * CHOOSE(CONTROL!$C$21, $C$9, 100%, $E$9)</f>
        <v>31.157499999999999</v>
      </c>
      <c r="E585" s="14">
        <f>CHOOSE(CONTROL!$C$42, 31.189, 31.189) * CHOOSE(CONTROL!$C$21, $C$9, 100%, $E$9)</f>
        <v>31.189</v>
      </c>
      <c r="F585" s="14">
        <f>CHOOSE(CONTROL!$C$42, 30.9563, 30.9563)*CHOOSE(CONTROL!$C$21, $C$9, 100%, $E$9)</f>
        <v>30.956299999999999</v>
      </c>
      <c r="G585" s="14">
        <f>CHOOSE(CONTROL!$C$42, 30.9737, 30.9737)*CHOOSE(CONTROL!$C$21, $C$9, 100%, $E$9)</f>
        <v>30.973700000000001</v>
      </c>
      <c r="H585" s="14">
        <f>CHOOSE(CONTROL!$C$42, 31.1776, 31.1776) * CHOOSE(CONTROL!$C$21, $C$9, 100%, $E$9)</f>
        <v>31.177600000000002</v>
      </c>
      <c r="I585" s="14">
        <f>CHOOSE(CONTROL!$C$42, 31.0537, 31.0537)* CHOOSE(CONTROL!$C$21, $C$9, 100%, $E$9)</f>
        <v>31.053699999999999</v>
      </c>
      <c r="J585" s="14">
        <f>CHOOSE(CONTROL!$C$42, 30.9493, 30.9493)* CHOOSE(CONTROL!$C$21, $C$9, 100%, $E$9)</f>
        <v>30.949300000000001</v>
      </c>
      <c r="K585" s="53">
        <f>CHOOSE(CONTROL!$C$42, 31.0498, 31.0498) * CHOOSE(CONTROL!$C$21, $C$9, 100%, $E$9)</f>
        <v>31.049800000000001</v>
      </c>
      <c r="L585" s="14">
        <f>CHOOSE(CONTROL!$C$42, 31.7646, 31.7646) * CHOOSE(CONTROL!$C$21, $C$9, 100%, $E$9)</f>
        <v>31.764600000000002</v>
      </c>
      <c r="M585" s="14">
        <f>CHOOSE(CONTROL!$C$42, 30.3228, 30.3228) * CHOOSE(CONTROL!$C$21, $C$9, 100%, $E$9)</f>
        <v>30.322800000000001</v>
      </c>
      <c r="N585" s="14">
        <f>CHOOSE(CONTROL!$C$42, 30.3399, 30.3399) * CHOOSE(CONTROL!$C$21, $C$9, 100%, $E$9)</f>
        <v>30.3399</v>
      </c>
      <c r="O585" s="14">
        <f>CHOOSE(CONTROL!$C$42, 30.5465, 30.5465) * CHOOSE(CONTROL!$C$21, $C$9, 100%, $E$9)</f>
        <v>30.546500000000002</v>
      </c>
      <c r="P585" s="14">
        <f>CHOOSE(CONTROL!$C$42, 30.4232, 30.4232) * CHOOSE(CONTROL!$C$21, $C$9, 100%, $E$9)</f>
        <v>30.423200000000001</v>
      </c>
      <c r="Q585" s="14">
        <f>CHOOSE(CONTROL!$C$42, 31.1412, 31.1412) * CHOOSE(CONTROL!$C$21, $C$9, 100%, $E$9)</f>
        <v>31.141200000000001</v>
      </c>
      <c r="R585" s="14">
        <f>CHOOSE(CONTROL!$C$42, 31.8061, 31.8061) * CHOOSE(CONTROL!$C$21, $C$9, 100%, $E$9)</f>
        <v>31.806100000000001</v>
      </c>
      <c r="S585" s="14">
        <f>CHOOSE(CONTROL!$C$42, 29.709, 29.709) * CHOOSE(CONTROL!$C$21, $C$9, 100%, $E$9)</f>
        <v>29.709</v>
      </c>
      <c r="T58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85" s="57">
        <f>(1000*CHOOSE(CONTROL!$C$42, 695, 695)*CHOOSE(CONTROL!$C$42, 0.5599, 0.5599)*CHOOSE(CONTROL!$C$42, 30, 30))/1000000</f>
        <v>11.673914999999997</v>
      </c>
      <c r="V585" s="57">
        <f>(1000*CHOOSE(CONTROL!$C$42, 500, 500)*CHOOSE(CONTROL!$C$42, 0.275, 0.275)*CHOOSE(CONTROL!$C$42, 30, 30))/1000000</f>
        <v>4.125</v>
      </c>
      <c r="W585" s="57">
        <f>(1000*CHOOSE(CONTROL!$C$42, 0.1146, 0.1146)*CHOOSE(CONTROL!$C$42, 121.5, 121.5)*CHOOSE(CONTROL!$C$42, 30, 30))/1000000</f>
        <v>0.417717</v>
      </c>
      <c r="X585" s="57">
        <f>(30*0.1790888*245000/1000000)+(30*0.2374*100000/1000000)</f>
        <v>2.0285026799999999</v>
      </c>
      <c r="Y585" s="57"/>
      <c r="Z585" s="14"/>
      <c r="AA585" s="56"/>
      <c r="AB585" s="50">
        <f>(B585*194.205+C585*267.466+D585*133.845+E585*53.484+F585*40+G585*185+H585*0+I585*100+J585*300)/(194.205+267.466+133.845+53.484+0+40+185+100+300)</f>
        <v>30.987501750392461</v>
      </c>
      <c r="AC585" s="45">
        <f>(M585*'RAP TEMPLATE-GAS AVAILABILITY'!O584+N585*'RAP TEMPLATE-GAS AVAILABILITY'!P584+O585*'RAP TEMPLATE-GAS AVAILABILITY'!Q584+P585*'RAP TEMPLATE-GAS AVAILABILITY'!R584)/('RAP TEMPLATE-GAS AVAILABILITY'!O584+'RAP TEMPLATE-GAS AVAILABILITY'!P584+'RAP TEMPLATE-GAS AVAILABILITY'!Q584+'RAP TEMPLATE-GAS AVAILABILITY'!R584)</f>
        <v>30.403947482014388</v>
      </c>
    </row>
    <row r="586" spans="1:29" ht="15.75" x14ac:dyDescent="0.25">
      <c r="A586" s="32">
        <v>58745</v>
      </c>
      <c r="B586" s="14">
        <f>CHOOSE(CONTROL!$C$42, 30.2994, 30.2994) * CHOOSE(CONTROL!$C$21, $C$9, 100%, $E$9)</f>
        <v>30.299399999999999</v>
      </c>
      <c r="C586" s="14">
        <f>CHOOSE(CONTROL!$C$42, 30.3048, 30.3048) * CHOOSE(CONTROL!$C$21, $C$9, 100%, $E$9)</f>
        <v>30.3048</v>
      </c>
      <c r="D586" s="14">
        <f>CHOOSE(CONTROL!$C$42, 30.5303, 30.5303) * CHOOSE(CONTROL!$C$21, $C$9, 100%, $E$9)</f>
        <v>30.5303</v>
      </c>
      <c r="E586" s="14">
        <f>CHOOSE(CONTROL!$C$42, 30.5594, 30.5594) * CHOOSE(CONTROL!$C$21, $C$9, 100%, $E$9)</f>
        <v>30.5594</v>
      </c>
      <c r="F586" s="14">
        <f>CHOOSE(CONTROL!$C$42, 30.3288, 30.3288)*CHOOSE(CONTROL!$C$21, $C$9, 100%, $E$9)</f>
        <v>30.328800000000001</v>
      </c>
      <c r="G586" s="14">
        <f>CHOOSE(CONTROL!$C$42, 30.346, 30.346)*CHOOSE(CONTROL!$C$21, $C$9, 100%, $E$9)</f>
        <v>30.346</v>
      </c>
      <c r="H586" s="14">
        <f>CHOOSE(CONTROL!$C$42, 30.5499, 30.5499) * CHOOSE(CONTROL!$C$21, $C$9, 100%, $E$9)</f>
        <v>30.549900000000001</v>
      </c>
      <c r="I586" s="14">
        <f>CHOOSE(CONTROL!$C$42, 30.424, 30.424)* CHOOSE(CONTROL!$C$21, $C$9, 100%, $E$9)</f>
        <v>30.423999999999999</v>
      </c>
      <c r="J586" s="14">
        <f>CHOOSE(CONTROL!$C$42, 30.3218, 30.3218)* CHOOSE(CONTROL!$C$21, $C$9, 100%, $E$9)</f>
        <v>30.3218</v>
      </c>
      <c r="K586" s="53">
        <f>CHOOSE(CONTROL!$C$42, 30.4201, 30.4201) * CHOOSE(CONTROL!$C$21, $C$9, 100%, $E$9)</f>
        <v>30.420100000000001</v>
      </c>
      <c r="L586" s="14">
        <f>CHOOSE(CONTROL!$C$42, 31.1369, 31.1369) * CHOOSE(CONTROL!$C$21, $C$9, 100%, $E$9)</f>
        <v>31.136900000000001</v>
      </c>
      <c r="M586" s="14">
        <f>CHOOSE(CONTROL!$C$42, 29.7082, 29.7082) * CHOOSE(CONTROL!$C$21, $C$9, 100%, $E$9)</f>
        <v>29.708200000000001</v>
      </c>
      <c r="N586" s="14">
        <f>CHOOSE(CONTROL!$C$42, 29.7251, 29.7251) * CHOOSE(CONTROL!$C$21, $C$9, 100%, $E$9)</f>
        <v>29.725100000000001</v>
      </c>
      <c r="O586" s="14">
        <f>CHOOSE(CONTROL!$C$42, 29.9316, 29.9316) * CHOOSE(CONTROL!$C$21, $C$9, 100%, $E$9)</f>
        <v>29.9316</v>
      </c>
      <c r="P586" s="14">
        <f>CHOOSE(CONTROL!$C$42, 29.8065, 29.8065) * CHOOSE(CONTROL!$C$21, $C$9, 100%, $E$9)</f>
        <v>29.8065</v>
      </c>
      <c r="Q586" s="14">
        <f>CHOOSE(CONTROL!$C$42, 30.5263, 30.5263) * CHOOSE(CONTROL!$C$21, $C$9, 100%, $E$9)</f>
        <v>30.526299999999999</v>
      </c>
      <c r="R586" s="14">
        <f>CHOOSE(CONTROL!$C$42, 31.1897, 31.1897) * CHOOSE(CONTROL!$C$21, $C$9, 100%, $E$9)</f>
        <v>31.189699999999998</v>
      </c>
      <c r="S586" s="14">
        <f>CHOOSE(CONTROL!$C$42, 29.1058, 29.1058) * CHOOSE(CONTROL!$C$21, $C$9, 100%, $E$9)</f>
        <v>29.105799999999999</v>
      </c>
      <c r="T58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6" s="57">
        <f>(1000*CHOOSE(CONTROL!$C$42, 695, 695)*CHOOSE(CONTROL!$C$42, 0.5599, 0.5599)*CHOOSE(CONTROL!$C$42, 31, 31))/1000000</f>
        <v>12.063045499999998</v>
      </c>
      <c r="V586" s="57">
        <f>(1000*CHOOSE(CONTROL!$C$42, 500, 500)*CHOOSE(CONTROL!$C$42, 0.275, 0.275)*CHOOSE(CONTROL!$C$42, 31, 31))/1000000</f>
        <v>4.2625000000000002</v>
      </c>
      <c r="W586" s="57">
        <f>(1000*CHOOSE(CONTROL!$C$42, 0.1146, 0.1146)*CHOOSE(CONTROL!$C$42, 121.5, 121.5)*CHOOSE(CONTROL!$C$42, 31, 31))/1000000</f>
        <v>0.43164089999999994</v>
      </c>
      <c r="X586" s="57">
        <f>(31*0.1790888*245000/1000000)+(31*0.2374*100000/1000000)</f>
        <v>2.0961194359999999</v>
      </c>
      <c r="Y586" s="57"/>
      <c r="Z586" s="14"/>
      <c r="AA586" s="56"/>
      <c r="AB586" s="50">
        <f>(B586*131.881+C586*277.167+D586*79.08+E586*125.872+F586*40+G586*185+H586*0+I586*100+J586*300)/(131.881+277.167+79.08+125.872+0+40+185+100+300)</f>
        <v>30.365146564810331</v>
      </c>
      <c r="AC586" s="45">
        <f>(M586*'RAP TEMPLATE-GAS AVAILABILITY'!O585+N586*'RAP TEMPLATE-GAS AVAILABILITY'!P585+O586*'RAP TEMPLATE-GAS AVAILABILITY'!Q585+P586*'RAP TEMPLATE-GAS AVAILABILITY'!R585)/('RAP TEMPLATE-GAS AVAILABILITY'!O585+'RAP TEMPLATE-GAS AVAILABILITY'!P585+'RAP TEMPLATE-GAS AVAILABILITY'!Q585+'RAP TEMPLATE-GAS AVAILABILITY'!R585)</f>
        <v>29.788915107913674</v>
      </c>
    </row>
    <row r="587" spans="1:29" ht="15.75" x14ac:dyDescent="0.25">
      <c r="A587" s="32">
        <v>58775</v>
      </c>
      <c r="B587" s="14">
        <f>CHOOSE(CONTROL!$C$42, 31.097, 31.097) * CHOOSE(CONTROL!$C$21, $C$9, 100%, $E$9)</f>
        <v>31.097000000000001</v>
      </c>
      <c r="C587" s="14">
        <f>CHOOSE(CONTROL!$C$42, 31.102, 31.102) * CHOOSE(CONTROL!$C$21, $C$9, 100%, $E$9)</f>
        <v>31.102</v>
      </c>
      <c r="D587" s="14">
        <f>CHOOSE(CONTROL!$C$42, 31.1763, 31.1763) * CHOOSE(CONTROL!$C$21, $C$9, 100%, $E$9)</f>
        <v>31.176300000000001</v>
      </c>
      <c r="E587" s="14">
        <f>CHOOSE(CONTROL!$C$42, 31.2104, 31.2104) * CHOOSE(CONTROL!$C$21, $C$9, 100%, $E$9)</f>
        <v>31.2104</v>
      </c>
      <c r="F587" s="14">
        <f>CHOOSE(CONTROL!$C$42, 31.133, 31.133)*CHOOSE(CONTROL!$C$21, $C$9, 100%, $E$9)</f>
        <v>31.132999999999999</v>
      </c>
      <c r="G587" s="14">
        <f>CHOOSE(CONTROL!$C$42, 31.1506, 31.1506)*CHOOSE(CONTROL!$C$21, $C$9, 100%, $E$9)</f>
        <v>31.150600000000001</v>
      </c>
      <c r="H587" s="14">
        <f>CHOOSE(CONTROL!$C$42, 31.1996, 31.1996) * CHOOSE(CONTROL!$C$21, $C$9, 100%, $E$9)</f>
        <v>31.1996</v>
      </c>
      <c r="I587" s="14">
        <f>CHOOSE(CONTROL!$C$42, 31.2218, 31.2218)* CHOOSE(CONTROL!$C$21, $C$9, 100%, $E$9)</f>
        <v>31.221800000000002</v>
      </c>
      <c r="J587" s="14">
        <f>CHOOSE(CONTROL!$C$42, 31.126, 31.126)* CHOOSE(CONTROL!$C$21, $C$9, 100%, $E$9)</f>
        <v>31.126000000000001</v>
      </c>
      <c r="K587" s="53">
        <f>CHOOSE(CONTROL!$C$42, 31.2179, 31.2179) * CHOOSE(CONTROL!$C$21, $C$9, 100%, $E$9)</f>
        <v>31.2179</v>
      </c>
      <c r="L587" s="14">
        <f>CHOOSE(CONTROL!$C$42, 31.7866, 31.7866) * CHOOSE(CONTROL!$C$21, $C$9, 100%, $E$9)</f>
        <v>31.7866</v>
      </c>
      <c r="M587" s="14">
        <f>CHOOSE(CONTROL!$C$42, 30.496, 30.496) * CHOOSE(CONTROL!$C$21, $C$9, 100%, $E$9)</f>
        <v>30.495999999999999</v>
      </c>
      <c r="N587" s="14">
        <f>CHOOSE(CONTROL!$C$42, 30.5131, 30.5131) * CHOOSE(CONTROL!$C$21, $C$9, 100%, $E$9)</f>
        <v>30.513100000000001</v>
      </c>
      <c r="O587" s="14">
        <f>CHOOSE(CONTROL!$C$42, 30.568, 30.568) * CHOOSE(CONTROL!$C$21, $C$9, 100%, $E$9)</f>
        <v>30.568000000000001</v>
      </c>
      <c r="P587" s="14">
        <f>CHOOSE(CONTROL!$C$42, 30.5879, 30.5879) * CHOOSE(CONTROL!$C$21, $C$9, 100%, $E$9)</f>
        <v>30.587900000000001</v>
      </c>
      <c r="Q587" s="14">
        <f>CHOOSE(CONTROL!$C$42, 31.1627, 31.1627) * CHOOSE(CONTROL!$C$21, $C$9, 100%, $E$9)</f>
        <v>31.162700000000001</v>
      </c>
      <c r="R587" s="14">
        <f>CHOOSE(CONTROL!$C$42, 31.8276, 31.8276) * CHOOSE(CONTROL!$C$21, $C$9, 100%, $E$9)</f>
        <v>31.8276</v>
      </c>
      <c r="S587" s="14">
        <f>CHOOSE(CONTROL!$C$42, 29.8725, 29.8725) * CHOOSE(CONTROL!$C$21, $C$9, 100%, $E$9)</f>
        <v>29.872499999999999</v>
      </c>
      <c r="T58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87" s="57">
        <f>(1000*CHOOSE(CONTROL!$C$42, 695, 695)*CHOOSE(CONTROL!$C$42, 0.5599, 0.5599)*CHOOSE(CONTROL!$C$42, 30, 30))/1000000</f>
        <v>11.673914999999997</v>
      </c>
      <c r="V587" s="57">
        <f>(1000*CHOOSE(CONTROL!$C$42, 500, 500)*CHOOSE(CONTROL!$C$42, 0.275, 0.275)*CHOOSE(CONTROL!$C$42, 30, 30))/1000000</f>
        <v>4.125</v>
      </c>
      <c r="W587" s="57">
        <f>(1000*CHOOSE(CONTROL!$C$42, 0.1146, 0.1146)*CHOOSE(CONTROL!$C$42, 121.5, 121.5)*CHOOSE(CONTROL!$C$42, 30, 30))/1000000</f>
        <v>0.417717</v>
      </c>
      <c r="X587" s="57">
        <f>(30*0.1790888*100000/1000000)+(30*0.2374*100000/1000000)</f>
        <v>1.2494664</v>
      </c>
      <c r="Y587" s="57"/>
      <c r="Z587" s="14"/>
      <c r="AA587" s="56"/>
      <c r="AB587" s="50">
        <f>(B587*122.58+C587*297.941+D587*89.177+E587*40.302+F587*40+G587*160+H587*0+I587*100+J587*300)/(122.58+297.941+89.177+40.302+0+40+160+100+300)</f>
        <v>31.135545815565216</v>
      </c>
      <c r="AC587" s="45">
        <f>(M587*'RAP TEMPLATE-GAS AVAILABILITY'!O586+N587*'RAP TEMPLATE-GAS AVAILABILITY'!P586+O587*'RAP TEMPLATE-GAS AVAILABILITY'!Q586+P587*'RAP TEMPLATE-GAS AVAILABILITY'!R586)/('RAP TEMPLATE-GAS AVAILABILITY'!O586+'RAP TEMPLATE-GAS AVAILABILITY'!P586+'RAP TEMPLATE-GAS AVAILABILITY'!Q586+'RAP TEMPLATE-GAS AVAILABILITY'!R586)</f>
        <v>30.542840287769785</v>
      </c>
    </row>
    <row r="588" spans="1:29" ht="15.75" x14ac:dyDescent="0.25">
      <c r="A588" s="32">
        <v>58806</v>
      </c>
      <c r="B588" s="14">
        <f>CHOOSE(CONTROL!$C$42, 33.2165, 33.2165) * CHOOSE(CONTROL!$C$21, $C$9, 100%, $E$9)</f>
        <v>33.216500000000003</v>
      </c>
      <c r="C588" s="14">
        <f>CHOOSE(CONTROL!$C$42, 33.2216, 33.2216) * CHOOSE(CONTROL!$C$21, $C$9, 100%, $E$9)</f>
        <v>33.221600000000002</v>
      </c>
      <c r="D588" s="14">
        <f>CHOOSE(CONTROL!$C$42, 33.2958, 33.2958) * CHOOSE(CONTROL!$C$21, $C$9, 100%, $E$9)</f>
        <v>33.2958</v>
      </c>
      <c r="E588" s="14">
        <f>CHOOSE(CONTROL!$C$42, 33.3299, 33.3299) * CHOOSE(CONTROL!$C$21, $C$9, 100%, $E$9)</f>
        <v>33.329900000000002</v>
      </c>
      <c r="F588" s="14">
        <f>CHOOSE(CONTROL!$C$42, 33.2549, 33.2549)*CHOOSE(CONTROL!$C$21, $C$9, 100%, $E$9)</f>
        <v>33.254899999999999</v>
      </c>
      <c r="G588" s="14">
        <f>CHOOSE(CONTROL!$C$42, 33.2731, 33.2731)*CHOOSE(CONTROL!$C$21, $C$9, 100%, $E$9)</f>
        <v>33.273099999999999</v>
      </c>
      <c r="H588" s="14">
        <f>CHOOSE(CONTROL!$C$42, 33.3191, 33.3191) * CHOOSE(CONTROL!$C$21, $C$9, 100%, $E$9)</f>
        <v>33.319099999999999</v>
      </c>
      <c r="I588" s="14">
        <f>CHOOSE(CONTROL!$C$42, 33.348, 33.348)* CHOOSE(CONTROL!$C$21, $C$9, 100%, $E$9)</f>
        <v>33.347999999999999</v>
      </c>
      <c r="J588" s="14">
        <f>CHOOSE(CONTROL!$C$42, 33.2479, 33.2479)* CHOOSE(CONTROL!$C$21, $C$9, 100%, $E$9)</f>
        <v>33.247900000000001</v>
      </c>
      <c r="K588" s="53">
        <f>CHOOSE(CONTROL!$C$42, 33.3441, 33.3441) * CHOOSE(CONTROL!$C$21, $C$9, 100%, $E$9)</f>
        <v>33.344099999999997</v>
      </c>
      <c r="L588" s="14">
        <f>CHOOSE(CONTROL!$C$42, 33.9061, 33.9061) * CHOOSE(CONTROL!$C$21, $C$9, 100%, $E$9)</f>
        <v>33.906100000000002</v>
      </c>
      <c r="M588" s="14">
        <f>CHOOSE(CONTROL!$C$42, 32.5744, 32.5744) * CHOOSE(CONTROL!$C$21, $C$9, 100%, $E$9)</f>
        <v>32.574399999999997</v>
      </c>
      <c r="N588" s="14">
        <f>CHOOSE(CONTROL!$C$42, 32.5922, 32.5922) * CHOOSE(CONTROL!$C$21, $C$9, 100%, $E$9)</f>
        <v>32.592199999999998</v>
      </c>
      <c r="O588" s="14">
        <f>CHOOSE(CONTROL!$C$42, 32.6441, 32.6441) * CHOOSE(CONTROL!$C$21, $C$9, 100%, $E$9)</f>
        <v>32.644100000000002</v>
      </c>
      <c r="P588" s="14">
        <f>CHOOSE(CONTROL!$C$42, 32.6704, 32.6704) * CHOOSE(CONTROL!$C$21, $C$9, 100%, $E$9)</f>
        <v>32.670400000000001</v>
      </c>
      <c r="Q588" s="14">
        <f>CHOOSE(CONTROL!$C$42, 33.2388, 33.2388) * CHOOSE(CONTROL!$C$21, $C$9, 100%, $E$9)</f>
        <v>33.238799999999998</v>
      </c>
      <c r="R588" s="14">
        <f>CHOOSE(CONTROL!$C$42, 33.9089, 33.9089) * CHOOSE(CONTROL!$C$21, $C$9, 100%, $E$9)</f>
        <v>33.908900000000003</v>
      </c>
      <c r="S588" s="14">
        <f>CHOOSE(CONTROL!$C$42, 31.9092, 31.9092) * CHOOSE(CONTROL!$C$21, $C$9, 100%, $E$9)</f>
        <v>31.909199999999998</v>
      </c>
      <c r="T58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88" s="57">
        <f>(1000*CHOOSE(CONTROL!$C$42, 695, 695)*CHOOSE(CONTROL!$C$42, 0.5599, 0.5599)*CHOOSE(CONTROL!$C$42, 31, 31))/1000000</f>
        <v>12.063045499999998</v>
      </c>
      <c r="V588" s="57">
        <f>(1000*CHOOSE(CONTROL!$C$42, 500, 500)*CHOOSE(CONTROL!$C$42, 0.275, 0.275)*CHOOSE(CONTROL!$C$42, 31, 31))/1000000</f>
        <v>4.2625000000000002</v>
      </c>
      <c r="W588" s="57">
        <f>(1000*CHOOSE(CONTROL!$C$42, 0.1146, 0.1146)*CHOOSE(CONTROL!$C$42, 121.5, 121.5)*CHOOSE(CONTROL!$C$42, 31, 31))/1000000</f>
        <v>0.43164089999999994</v>
      </c>
      <c r="X588" s="57">
        <f>(31*0.1790888*100000/1000000)+(31*0.2374*100000/1000000)</f>
        <v>1.2911152800000001</v>
      </c>
      <c r="Y588" s="57"/>
      <c r="Z588" s="14"/>
      <c r="AA588" s="56"/>
      <c r="AB588" s="50">
        <f>(B588*122.58+C588*297.941+D588*89.177+E588*40.302+F588*40+G588*160+H588*0+I588*100+J588*300)/(122.58+297.941+89.177+40.302+0+40+160+100+300)</f>
        <v>33.256781288695649</v>
      </c>
      <c r="AC588" s="45">
        <f>(M588*'RAP TEMPLATE-GAS AVAILABILITY'!O587+N588*'RAP TEMPLATE-GAS AVAILABILITY'!P587+O588*'RAP TEMPLATE-GAS AVAILABILITY'!Q587+P588*'RAP TEMPLATE-GAS AVAILABILITY'!R587)/('RAP TEMPLATE-GAS AVAILABILITY'!O587+'RAP TEMPLATE-GAS AVAILABILITY'!P587+'RAP TEMPLATE-GAS AVAILABILITY'!Q587+'RAP TEMPLATE-GAS AVAILABILITY'!R587)</f>
        <v>32.620828057553958</v>
      </c>
    </row>
    <row r="589" spans="1:29" ht="15.75" x14ac:dyDescent="0.25">
      <c r="A589" s="32">
        <v>58837</v>
      </c>
      <c r="B589" s="14">
        <f>CHOOSE(CONTROL!$C$42, 35.9694, 35.9694) * CHOOSE(CONTROL!$C$21, $C$9, 100%, $E$9)</f>
        <v>35.9694</v>
      </c>
      <c r="C589" s="14">
        <f>CHOOSE(CONTROL!$C$42, 35.9744, 35.9744) * CHOOSE(CONTROL!$C$21, $C$9, 100%, $E$9)</f>
        <v>35.974400000000003</v>
      </c>
      <c r="D589" s="14">
        <f>CHOOSE(CONTROL!$C$42, 36.0513, 36.0513) * CHOOSE(CONTROL!$C$21, $C$9, 100%, $E$9)</f>
        <v>36.051299999999998</v>
      </c>
      <c r="E589" s="14">
        <f>CHOOSE(CONTROL!$C$42, 36.0854, 36.0854) * CHOOSE(CONTROL!$C$21, $C$9, 100%, $E$9)</f>
        <v>36.0854</v>
      </c>
      <c r="F589" s="14">
        <f>CHOOSE(CONTROL!$C$42, 35.9941, 35.9941)*CHOOSE(CONTROL!$C$21, $C$9, 100%, $E$9)</f>
        <v>35.994100000000003</v>
      </c>
      <c r="G589" s="14">
        <f>CHOOSE(CONTROL!$C$42, 36.0121, 36.0121)*CHOOSE(CONTROL!$C$21, $C$9, 100%, $E$9)</f>
        <v>36.012099999999997</v>
      </c>
      <c r="H589" s="14">
        <f>CHOOSE(CONTROL!$C$42, 36.0746, 36.0746) * CHOOSE(CONTROL!$C$21, $C$9, 100%, $E$9)</f>
        <v>36.074599999999997</v>
      </c>
      <c r="I589" s="14">
        <f>CHOOSE(CONTROL!$C$42, 36.1158, 36.1158)* CHOOSE(CONTROL!$C$21, $C$9, 100%, $E$9)</f>
        <v>36.1158</v>
      </c>
      <c r="J589" s="14">
        <f>CHOOSE(CONTROL!$C$42, 35.9871, 35.9871)* CHOOSE(CONTROL!$C$21, $C$9, 100%, $E$9)</f>
        <v>35.987099999999998</v>
      </c>
      <c r="K589" s="53">
        <f>CHOOSE(CONTROL!$C$42, 36.1119, 36.1119) * CHOOSE(CONTROL!$C$21, $C$9, 100%, $E$9)</f>
        <v>36.111899999999999</v>
      </c>
      <c r="L589" s="14">
        <f>CHOOSE(CONTROL!$C$42, 36.6616, 36.6616) * CHOOSE(CONTROL!$C$21, $C$9, 100%, $E$9)</f>
        <v>36.6616</v>
      </c>
      <c r="M589" s="14">
        <f>CHOOSE(CONTROL!$C$42, 35.2575, 35.2575) * CHOOSE(CONTROL!$C$21, $C$9, 100%, $E$9)</f>
        <v>35.2575</v>
      </c>
      <c r="N589" s="14">
        <f>CHOOSE(CONTROL!$C$42, 35.2751, 35.2751) * CHOOSE(CONTROL!$C$21, $C$9, 100%, $E$9)</f>
        <v>35.275100000000002</v>
      </c>
      <c r="O589" s="14">
        <f>CHOOSE(CONTROL!$C$42, 35.3431, 35.3431) * CHOOSE(CONTROL!$C$21, $C$9, 100%, $E$9)</f>
        <v>35.3431</v>
      </c>
      <c r="P589" s="14">
        <f>CHOOSE(CONTROL!$C$42, 35.3813, 35.3813) * CHOOSE(CONTROL!$C$21, $C$9, 100%, $E$9)</f>
        <v>35.381300000000003</v>
      </c>
      <c r="Q589" s="14">
        <f>CHOOSE(CONTROL!$C$42, 35.9378, 35.9378) * CHOOSE(CONTROL!$C$21, $C$9, 100%, $E$9)</f>
        <v>35.937800000000003</v>
      </c>
      <c r="R589" s="14">
        <f>CHOOSE(CONTROL!$C$42, 36.6147, 36.6147) * CHOOSE(CONTROL!$C$21, $C$9, 100%, $E$9)</f>
        <v>36.614699999999999</v>
      </c>
      <c r="S589" s="14">
        <f>CHOOSE(CONTROL!$C$42, 34.5544, 34.5544) * CHOOSE(CONTROL!$C$21, $C$9, 100%, $E$9)</f>
        <v>34.554400000000001</v>
      </c>
      <c r="T58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89" s="57">
        <f>(1000*CHOOSE(CONTROL!$C$42, 695, 695)*CHOOSE(CONTROL!$C$42, 0.5599, 0.5599)*CHOOSE(CONTROL!$C$42, 31, 31))/1000000</f>
        <v>12.063045499999998</v>
      </c>
      <c r="V589" s="57">
        <f>(1000*CHOOSE(CONTROL!$C$42, 500, 500)*CHOOSE(CONTROL!$C$42, 0.275, 0.275)*CHOOSE(CONTROL!$C$42, 31, 31))/1000000</f>
        <v>4.2625000000000002</v>
      </c>
      <c r="W589" s="57">
        <f>(1000*CHOOSE(CONTROL!$C$42, 0.1146, 0.1146)*CHOOSE(CONTROL!$C$42, 121.5, 121.5)*CHOOSE(CONTROL!$C$42, 31, 31))/1000000</f>
        <v>0.43164089999999994</v>
      </c>
      <c r="X589" s="57">
        <f>(31*0.1790888*100000/1000000)+(31*0.2374*100000/1000000)</f>
        <v>1.2911152800000001</v>
      </c>
      <c r="Y589" s="57"/>
      <c r="Z589" s="14"/>
      <c r="AA589" s="56"/>
      <c r="AB589" s="50">
        <f>(B589*122.58+C589*297.941+D589*89.177+E589*40.302+F589*40+G589*160+H589*0+I589*100+J589*300)/(122.58+297.941+89.177+40.302+0+40+160+100+300)</f>
        <v>36.005259420260863</v>
      </c>
      <c r="AC589" s="45">
        <f>(M589*'RAP TEMPLATE-GAS AVAILABILITY'!O588+N589*'RAP TEMPLATE-GAS AVAILABILITY'!P588+O589*'RAP TEMPLATE-GAS AVAILABILITY'!Q588+P589*'RAP TEMPLATE-GAS AVAILABILITY'!R588)/('RAP TEMPLATE-GAS AVAILABILITY'!O588+'RAP TEMPLATE-GAS AVAILABILITY'!P588+'RAP TEMPLATE-GAS AVAILABILITY'!Q588+'RAP TEMPLATE-GAS AVAILABILITY'!R588)</f>
        <v>35.315123021582735</v>
      </c>
    </row>
    <row r="590" spans="1:29" ht="15.75" x14ac:dyDescent="0.25">
      <c r="A590" s="32">
        <v>58865</v>
      </c>
      <c r="B590" s="14">
        <f>CHOOSE(CONTROL!$C$42, 36.6095, 36.6095) * CHOOSE(CONTROL!$C$21, $C$9, 100%, $E$9)</f>
        <v>36.609499999999997</v>
      </c>
      <c r="C590" s="14">
        <f>CHOOSE(CONTROL!$C$42, 36.6146, 36.6146) * CHOOSE(CONTROL!$C$21, $C$9, 100%, $E$9)</f>
        <v>36.614600000000003</v>
      </c>
      <c r="D590" s="14">
        <f>CHOOSE(CONTROL!$C$42, 36.6914, 36.6914) * CHOOSE(CONTROL!$C$21, $C$9, 100%, $E$9)</f>
        <v>36.691400000000002</v>
      </c>
      <c r="E590" s="14">
        <f>CHOOSE(CONTROL!$C$42, 36.7255, 36.7255) * CHOOSE(CONTROL!$C$21, $C$9, 100%, $E$9)</f>
        <v>36.725499999999997</v>
      </c>
      <c r="F590" s="14">
        <f>CHOOSE(CONTROL!$C$42, 36.6339, 36.6339)*CHOOSE(CONTROL!$C$21, $C$9, 100%, $E$9)</f>
        <v>36.633899999999997</v>
      </c>
      <c r="G590" s="14">
        <f>CHOOSE(CONTROL!$C$42, 36.6517, 36.6517)*CHOOSE(CONTROL!$C$21, $C$9, 100%, $E$9)</f>
        <v>36.651699999999998</v>
      </c>
      <c r="H590" s="14">
        <f>CHOOSE(CONTROL!$C$42, 36.7147, 36.7147) * CHOOSE(CONTROL!$C$21, $C$9, 100%, $E$9)</f>
        <v>36.714700000000001</v>
      </c>
      <c r="I590" s="14">
        <f>CHOOSE(CONTROL!$C$42, 36.7579, 36.7579)* CHOOSE(CONTROL!$C$21, $C$9, 100%, $E$9)</f>
        <v>36.757899999999999</v>
      </c>
      <c r="J590" s="14">
        <f>CHOOSE(CONTROL!$C$42, 36.6269, 36.6269)* CHOOSE(CONTROL!$C$21, $C$9, 100%, $E$9)</f>
        <v>36.626899999999999</v>
      </c>
      <c r="K590" s="53">
        <f>CHOOSE(CONTROL!$C$42, 36.754, 36.754) * CHOOSE(CONTROL!$C$21, $C$9, 100%, $E$9)</f>
        <v>36.753999999999998</v>
      </c>
      <c r="L590" s="14">
        <f>CHOOSE(CONTROL!$C$42, 37.3017, 37.3017) * CHOOSE(CONTROL!$C$21, $C$9, 100%, $E$9)</f>
        <v>37.301699999999997</v>
      </c>
      <c r="M590" s="14">
        <f>CHOOSE(CONTROL!$C$42, 35.8841, 35.8841) * CHOOSE(CONTROL!$C$21, $C$9, 100%, $E$9)</f>
        <v>35.884099999999997</v>
      </c>
      <c r="N590" s="14">
        <f>CHOOSE(CONTROL!$C$42, 35.9016, 35.9016) * CHOOSE(CONTROL!$C$21, $C$9, 100%, $E$9)</f>
        <v>35.901600000000002</v>
      </c>
      <c r="O590" s="14">
        <f>CHOOSE(CONTROL!$C$42, 35.9701, 35.9701) * CHOOSE(CONTROL!$C$21, $C$9, 100%, $E$9)</f>
        <v>35.970100000000002</v>
      </c>
      <c r="P590" s="14">
        <f>CHOOSE(CONTROL!$C$42, 36.0102, 36.0102) * CHOOSE(CONTROL!$C$21, $C$9, 100%, $E$9)</f>
        <v>36.010199999999998</v>
      </c>
      <c r="Q590" s="14">
        <f>CHOOSE(CONTROL!$C$42, 36.5648, 36.5648) * CHOOSE(CONTROL!$C$21, $C$9, 100%, $E$9)</f>
        <v>36.564799999999998</v>
      </c>
      <c r="R590" s="14">
        <f>CHOOSE(CONTROL!$C$42, 37.2433, 37.2433) * CHOOSE(CONTROL!$C$21, $C$9, 100%, $E$9)</f>
        <v>37.243299999999998</v>
      </c>
      <c r="S590" s="14">
        <f>CHOOSE(CONTROL!$C$42, 35.1695, 35.1695) * CHOOSE(CONTROL!$C$21, $C$9, 100%, $E$9)</f>
        <v>35.169499999999999</v>
      </c>
      <c r="T59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90" s="57">
        <f>(1000*CHOOSE(CONTROL!$C$42, 695, 695)*CHOOSE(CONTROL!$C$42, 0.5599, 0.5599)*CHOOSE(CONTROL!$C$42, 28, 28))/1000000</f>
        <v>10.895653999999999</v>
      </c>
      <c r="V590" s="57">
        <f>(1000*CHOOSE(CONTROL!$C$42, 500, 500)*CHOOSE(CONTROL!$C$42, 0.275, 0.275)*CHOOSE(CONTROL!$C$42, 28, 28))/1000000</f>
        <v>3.85</v>
      </c>
      <c r="W590" s="57">
        <f>(1000*CHOOSE(CONTROL!$C$42, 0.1146, 0.1146)*CHOOSE(CONTROL!$C$42, 121.5, 121.5)*CHOOSE(CONTROL!$C$42, 28, 28))/1000000</f>
        <v>0.38986920000000003</v>
      </c>
      <c r="X590" s="57">
        <f>(28*0.1790888*100000/1000000)+(28*0.2374*100000/1000000)</f>
        <v>1.16616864</v>
      </c>
      <c r="Y590" s="57"/>
      <c r="Z590" s="14"/>
      <c r="AA590" s="56"/>
      <c r="AB590" s="50">
        <f>(B590*122.58+C590*297.941+D590*89.177+E590*40.302+F590*40+G590*160+H590*0+I590*100+J590*300)/(122.58+297.941+89.177+40.302+0+40+160+100+300)</f>
        <v>36.645400980347823</v>
      </c>
      <c r="AC590" s="45">
        <f>(M590*'RAP TEMPLATE-GAS AVAILABILITY'!O589+N590*'RAP TEMPLATE-GAS AVAILABILITY'!P589+O590*'RAP TEMPLATE-GAS AVAILABILITY'!Q589+P590*'RAP TEMPLATE-GAS AVAILABILITY'!R589)/('RAP TEMPLATE-GAS AVAILABILITY'!O589+'RAP TEMPLATE-GAS AVAILABILITY'!P589+'RAP TEMPLATE-GAS AVAILABILITY'!Q589+'RAP TEMPLATE-GAS AVAILABILITY'!R589)</f>
        <v>35.942229496402881</v>
      </c>
    </row>
    <row r="591" spans="1:29" ht="15.75" x14ac:dyDescent="0.25">
      <c r="A591" s="32">
        <v>58893</v>
      </c>
      <c r="B591" s="14">
        <f>CHOOSE(CONTROL!$C$42, 35.5704, 35.5704) * CHOOSE(CONTROL!$C$21, $C$9, 100%, $E$9)</f>
        <v>35.570399999999999</v>
      </c>
      <c r="C591" s="14">
        <f>CHOOSE(CONTROL!$C$42, 35.5755, 35.5755) * CHOOSE(CONTROL!$C$21, $C$9, 100%, $E$9)</f>
        <v>35.575499999999998</v>
      </c>
      <c r="D591" s="14">
        <f>CHOOSE(CONTROL!$C$42, 35.6523, 35.6523) * CHOOSE(CONTROL!$C$21, $C$9, 100%, $E$9)</f>
        <v>35.652299999999997</v>
      </c>
      <c r="E591" s="14">
        <f>CHOOSE(CONTROL!$C$42, 35.6864, 35.6864) * CHOOSE(CONTROL!$C$21, $C$9, 100%, $E$9)</f>
        <v>35.686399999999999</v>
      </c>
      <c r="F591" s="14">
        <f>CHOOSE(CONTROL!$C$42, 35.5939, 35.5939)*CHOOSE(CONTROL!$C$21, $C$9, 100%, $E$9)</f>
        <v>35.593899999999998</v>
      </c>
      <c r="G591" s="14">
        <f>CHOOSE(CONTROL!$C$42, 35.6115, 35.6115)*CHOOSE(CONTROL!$C$21, $C$9, 100%, $E$9)</f>
        <v>35.611499999999999</v>
      </c>
      <c r="H591" s="14">
        <f>CHOOSE(CONTROL!$C$42, 35.6756, 35.6756) * CHOOSE(CONTROL!$C$21, $C$9, 100%, $E$9)</f>
        <v>35.675600000000003</v>
      </c>
      <c r="I591" s="14">
        <f>CHOOSE(CONTROL!$C$42, 35.7155, 35.7155)* CHOOSE(CONTROL!$C$21, $C$9, 100%, $E$9)</f>
        <v>35.715499999999999</v>
      </c>
      <c r="J591" s="14">
        <f>CHOOSE(CONTROL!$C$42, 35.5869, 35.5869)* CHOOSE(CONTROL!$C$21, $C$9, 100%, $E$9)</f>
        <v>35.5869</v>
      </c>
      <c r="K591" s="53">
        <f>CHOOSE(CONTROL!$C$42, 35.7117, 35.7117) * CHOOSE(CONTROL!$C$21, $C$9, 100%, $E$9)</f>
        <v>35.7117</v>
      </c>
      <c r="L591" s="14">
        <f>CHOOSE(CONTROL!$C$42, 36.2626, 36.2626) * CHOOSE(CONTROL!$C$21, $C$9, 100%, $E$9)</f>
        <v>36.262599999999999</v>
      </c>
      <c r="M591" s="14">
        <f>CHOOSE(CONTROL!$C$42, 34.8654, 34.8654) * CHOOSE(CONTROL!$C$21, $C$9, 100%, $E$9)</f>
        <v>34.865400000000001</v>
      </c>
      <c r="N591" s="14">
        <f>CHOOSE(CONTROL!$C$42, 34.8827, 34.8827) * CHOOSE(CONTROL!$C$21, $C$9, 100%, $E$9)</f>
        <v>34.8827</v>
      </c>
      <c r="O591" s="14">
        <f>CHOOSE(CONTROL!$C$42, 34.9523, 34.9523) * CHOOSE(CONTROL!$C$21, $C$9, 100%, $E$9)</f>
        <v>34.952300000000001</v>
      </c>
      <c r="P591" s="14">
        <f>CHOOSE(CONTROL!$C$42, 34.9893, 34.9893) * CHOOSE(CONTROL!$C$21, $C$9, 100%, $E$9)</f>
        <v>34.9893</v>
      </c>
      <c r="Q591" s="14">
        <f>CHOOSE(CONTROL!$C$42, 35.547, 35.547) * CHOOSE(CONTROL!$C$21, $C$9, 100%, $E$9)</f>
        <v>35.546999999999997</v>
      </c>
      <c r="R591" s="14">
        <f>CHOOSE(CONTROL!$C$42, 36.2229, 36.2229) * CHOOSE(CONTROL!$C$21, $C$9, 100%, $E$9)</f>
        <v>36.222900000000003</v>
      </c>
      <c r="S591" s="14">
        <f>CHOOSE(CONTROL!$C$42, 34.1711, 34.1711) * CHOOSE(CONTROL!$C$21, $C$9, 100%, $E$9)</f>
        <v>34.171100000000003</v>
      </c>
      <c r="T59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91" s="57">
        <f>(1000*CHOOSE(CONTROL!$C$42, 695, 695)*CHOOSE(CONTROL!$C$42, 0.5599, 0.5599)*CHOOSE(CONTROL!$C$42, 31, 31))/1000000</f>
        <v>12.063045499999998</v>
      </c>
      <c r="V591" s="57">
        <f>(1000*CHOOSE(CONTROL!$C$42, 500, 500)*CHOOSE(CONTROL!$C$42, 0.275, 0.275)*CHOOSE(CONTROL!$C$42, 31, 31))/1000000</f>
        <v>4.2625000000000002</v>
      </c>
      <c r="W591" s="57">
        <f>(1000*CHOOSE(CONTROL!$C$42, 0.1146, 0.1146)*CHOOSE(CONTROL!$C$42, 121.5, 121.5)*CHOOSE(CONTROL!$C$42, 31, 31))/1000000</f>
        <v>0.43164089999999994</v>
      </c>
      <c r="X591" s="57">
        <f>(31*0.1790888*100000/1000000)+(31*0.2374*100000/1000000)</f>
        <v>1.2911152800000001</v>
      </c>
      <c r="Y591" s="57"/>
      <c r="Z591" s="14"/>
      <c r="AA591" s="56"/>
      <c r="AB591" s="50">
        <f>(B591*122.58+C591*297.941+D591*89.177+E591*40.302+F591*40+G591*160+H591*0+I591*100+J591*300)/(122.58+297.941+89.177+40.302+0+40+160+100+300)</f>
        <v>35.605594893391306</v>
      </c>
      <c r="AC591" s="45">
        <f>(M591*'RAP TEMPLATE-GAS AVAILABILITY'!O590+N591*'RAP TEMPLATE-GAS AVAILABILITY'!P590+O591*'RAP TEMPLATE-GAS AVAILABILITY'!Q590+P591*'RAP TEMPLATE-GAS AVAILABILITY'!R590)/('RAP TEMPLATE-GAS AVAILABILITY'!O590+'RAP TEMPLATE-GAS AVAILABILITY'!P590+'RAP TEMPLATE-GAS AVAILABILITY'!Q590+'RAP TEMPLATE-GAS AVAILABILITY'!R590)</f>
        <v>34.923609352517985</v>
      </c>
    </row>
    <row r="592" spans="1:29" ht="15.75" x14ac:dyDescent="0.25">
      <c r="A592" s="32">
        <v>58926</v>
      </c>
      <c r="B592" s="14">
        <f>CHOOSE(CONTROL!$C$42, 35.465, 35.465) * CHOOSE(CONTROL!$C$21, $C$9, 100%, $E$9)</f>
        <v>35.465000000000003</v>
      </c>
      <c r="C592" s="14">
        <f>CHOOSE(CONTROL!$C$42, 35.4694, 35.4694) * CHOOSE(CONTROL!$C$21, $C$9, 100%, $E$9)</f>
        <v>35.4694</v>
      </c>
      <c r="D592" s="14">
        <f>CHOOSE(CONTROL!$C$42, 35.6932, 35.6932) * CHOOSE(CONTROL!$C$21, $C$9, 100%, $E$9)</f>
        <v>35.693199999999997</v>
      </c>
      <c r="E592" s="14">
        <f>CHOOSE(CONTROL!$C$42, 35.7253, 35.7253) * CHOOSE(CONTROL!$C$21, $C$9, 100%, $E$9)</f>
        <v>35.725299999999997</v>
      </c>
      <c r="F592" s="14">
        <f>CHOOSE(CONTROL!$C$42, 35.4926, 35.4926)*CHOOSE(CONTROL!$C$21, $C$9, 100%, $E$9)</f>
        <v>35.492600000000003</v>
      </c>
      <c r="G592" s="14">
        <f>CHOOSE(CONTROL!$C$42, 35.5095, 35.5095)*CHOOSE(CONTROL!$C$21, $C$9, 100%, $E$9)</f>
        <v>35.509500000000003</v>
      </c>
      <c r="H592" s="14">
        <f>CHOOSE(CONTROL!$C$42, 35.7151, 35.7151) * CHOOSE(CONTROL!$C$21, $C$9, 100%, $E$9)</f>
        <v>35.7151</v>
      </c>
      <c r="I592" s="14">
        <f>CHOOSE(CONTROL!$C$42, 35.6053, 35.6053)* CHOOSE(CONTROL!$C$21, $C$9, 100%, $E$9)</f>
        <v>35.6053</v>
      </c>
      <c r="J592" s="14">
        <f>CHOOSE(CONTROL!$C$42, 35.4856, 35.4856)* CHOOSE(CONTROL!$C$21, $C$9, 100%, $E$9)</f>
        <v>35.485599999999998</v>
      </c>
      <c r="K592" s="53">
        <f>CHOOSE(CONTROL!$C$42, 35.6014, 35.6014) * CHOOSE(CONTROL!$C$21, $C$9, 100%, $E$9)</f>
        <v>35.601399999999998</v>
      </c>
      <c r="L592" s="14">
        <f>CHOOSE(CONTROL!$C$42, 36.3021, 36.3021) * CHOOSE(CONTROL!$C$21, $C$9, 100%, $E$9)</f>
        <v>36.302100000000003</v>
      </c>
      <c r="M592" s="14">
        <f>CHOOSE(CONTROL!$C$42, 34.7663, 34.7663) * CHOOSE(CONTROL!$C$21, $C$9, 100%, $E$9)</f>
        <v>34.766300000000001</v>
      </c>
      <c r="N592" s="14">
        <f>CHOOSE(CONTROL!$C$42, 34.7828, 34.7828) * CHOOSE(CONTROL!$C$21, $C$9, 100%, $E$9)</f>
        <v>34.782800000000002</v>
      </c>
      <c r="O592" s="14">
        <f>CHOOSE(CONTROL!$C$42, 34.991, 34.991) * CHOOSE(CONTROL!$C$21, $C$9, 100%, $E$9)</f>
        <v>34.991</v>
      </c>
      <c r="P592" s="14">
        <f>CHOOSE(CONTROL!$C$42, 34.8813, 34.8813) * CHOOSE(CONTROL!$C$21, $C$9, 100%, $E$9)</f>
        <v>34.881300000000003</v>
      </c>
      <c r="Q592" s="14">
        <f>CHOOSE(CONTROL!$C$42, 35.5857, 35.5857) * CHOOSE(CONTROL!$C$21, $C$9, 100%, $E$9)</f>
        <v>35.585700000000003</v>
      </c>
      <c r="R592" s="14">
        <f>CHOOSE(CONTROL!$C$42, 36.2616, 36.2616) * CHOOSE(CONTROL!$C$21, $C$9, 100%, $E$9)</f>
        <v>36.261600000000001</v>
      </c>
      <c r="S592" s="14">
        <f>CHOOSE(CONTROL!$C$42, 34.069, 34.069) * CHOOSE(CONTROL!$C$21, $C$9, 100%, $E$9)</f>
        <v>34.069000000000003</v>
      </c>
      <c r="T59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92" s="57">
        <f>(1000*CHOOSE(CONTROL!$C$42, 695, 695)*CHOOSE(CONTROL!$C$42, 0.5599, 0.5599)*CHOOSE(CONTROL!$C$42, 30, 30))/1000000</f>
        <v>11.673914999999997</v>
      </c>
      <c r="V592" s="57">
        <f>(1000*CHOOSE(CONTROL!$C$42, 500, 500)*CHOOSE(CONTROL!$C$42, 0.275, 0.275)*CHOOSE(CONTROL!$C$42, 30, 30))/1000000</f>
        <v>4.125</v>
      </c>
      <c r="W592" s="57">
        <f>(1000*CHOOSE(CONTROL!$C$42, 0.1146, 0.1146)*CHOOSE(CONTROL!$C$42, 121.5, 121.5)*CHOOSE(CONTROL!$C$42, 30, 30))/1000000</f>
        <v>0.417717</v>
      </c>
      <c r="X592" s="57">
        <f>(30*0.1790888*245000/1000000)+(30*0.2374*100000/1000000)</f>
        <v>2.0285026799999999</v>
      </c>
      <c r="Y592" s="57"/>
      <c r="Z592" s="14"/>
      <c r="AA592" s="56"/>
      <c r="AB592" s="50">
        <f>(B592*141.293+C592*267.993+D592*115.016+E592*89.698+F592*40+G592*185+H592*0+I592*100+J592*300)/(141.293+267.993+115.016+89.698+0+40+185+100+300)</f>
        <v>35.529827045843426</v>
      </c>
      <c r="AC592" s="45">
        <f>(M592*'RAP TEMPLATE-GAS AVAILABILITY'!O591+N592*'RAP TEMPLATE-GAS AVAILABILITY'!P591+O592*'RAP TEMPLATE-GAS AVAILABILITY'!Q591+P592*'RAP TEMPLATE-GAS AVAILABILITY'!R591)/('RAP TEMPLATE-GAS AVAILABILITY'!O591+'RAP TEMPLATE-GAS AVAILABILITY'!P591+'RAP TEMPLATE-GAS AVAILABILITY'!Q591+'RAP TEMPLATE-GAS AVAILABILITY'!R591)</f>
        <v>34.849690647482014</v>
      </c>
    </row>
    <row r="593" spans="1:29" ht="15.75" x14ac:dyDescent="0.25">
      <c r="A593" s="32">
        <v>58957</v>
      </c>
      <c r="B593" s="14">
        <f>CHOOSE(CONTROL!$C$42, 35.7793, 35.7793) * CHOOSE(CONTROL!$C$21, $C$9, 100%, $E$9)</f>
        <v>35.779299999999999</v>
      </c>
      <c r="C593" s="14">
        <f>CHOOSE(CONTROL!$C$42, 35.7873, 35.7873) * CHOOSE(CONTROL!$C$21, $C$9, 100%, $E$9)</f>
        <v>35.787300000000002</v>
      </c>
      <c r="D593" s="14">
        <f>CHOOSE(CONTROL!$C$42, 36.0079, 36.0079) * CHOOSE(CONTROL!$C$21, $C$9, 100%, $E$9)</f>
        <v>36.007899999999999</v>
      </c>
      <c r="E593" s="14">
        <f>CHOOSE(CONTROL!$C$42, 36.0394, 36.0394) * CHOOSE(CONTROL!$C$21, $C$9, 100%, $E$9)</f>
        <v>36.039400000000001</v>
      </c>
      <c r="F593" s="14">
        <f>CHOOSE(CONTROL!$C$42, 35.8055, 35.8055)*CHOOSE(CONTROL!$C$21, $C$9, 100%, $E$9)</f>
        <v>35.805500000000002</v>
      </c>
      <c r="G593" s="14">
        <f>CHOOSE(CONTROL!$C$42, 35.8227, 35.8227)*CHOOSE(CONTROL!$C$21, $C$9, 100%, $E$9)</f>
        <v>35.822699999999998</v>
      </c>
      <c r="H593" s="14">
        <f>CHOOSE(CONTROL!$C$42, 36.028, 36.028) * CHOOSE(CONTROL!$C$21, $C$9, 100%, $E$9)</f>
        <v>36.027999999999999</v>
      </c>
      <c r="I593" s="14">
        <f>CHOOSE(CONTROL!$C$42, 35.9192, 35.9192)* CHOOSE(CONTROL!$C$21, $C$9, 100%, $E$9)</f>
        <v>35.919199999999996</v>
      </c>
      <c r="J593" s="14">
        <f>CHOOSE(CONTROL!$C$42, 35.7985, 35.7985)* CHOOSE(CONTROL!$C$21, $C$9, 100%, $E$9)</f>
        <v>35.798499999999997</v>
      </c>
      <c r="K593" s="53">
        <f>CHOOSE(CONTROL!$C$42, 35.9153, 35.9153) * CHOOSE(CONTROL!$C$21, $C$9, 100%, $E$9)</f>
        <v>35.915300000000002</v>
      </c>
      <c r="L593" s="14">
        <f>CHOOSE(CONTROL!$C$42, 36.615, 36.615) * CHOOSE(CONTROL!$C$21, $C$9, 100%, $E$9)</f>
        <v>36.615000000000002</v>
      </c>
      <c r="M593" s="14">
        <f>CHOOSE(CONTROL!$C$42, 35.0727, 35.0727) * CHOOSE(CONTROL!$C$21, $C$9, 100%, $E$9)</f>
        <v>35.072699999999998</v>
      </c>
      <c r="N593" s="14">
        <f>CHOOSE(CONTROL!$C$42, 35.0895, 35.0895) * CHOOSE(CONTROL!$C$21, $C$9, 100%, $E$9)</f>
        <v>35.089500000000001</v>
      </c>
      <c r="O593" s="14">
        <f>CHOOSE(CONTROL!$C$42, 35.2975, 35.2975) * CHOOSE(CONTROL!$C$21, $C$9, 100%, $E$9)</f>
        <v>35.297499999999999</v>
      </c>
      <c r="P593" s="14">
        <f>CHOOSE(CONTROL!$C$42, 35.1888, 35.1888) * CHOOSE(CONTROL!$C$21, $C$9, 100%, $E$9)</f>
        <v>35.188800000000001</v>
      </c>
      <c r="Q593" s="14">
        <f>CHOOSE(CONTROL!$C$42, 35.8922, 35.8922) * CHOOSE(CONTROL!$C$21, $C$9, 100%, $E$9)</f>
        <v>35.892200000000003</v>
      </c>
      <c r="R593" s="14">
        <f>CHOOSE(CONTROL!$C$42, 36.5689, 36.5689) * CHOOSE(CONTROL!$C$21, $C$9, 100%, $E$9)</f>
        <v>36.568899999999999</v>
      </c>
      <c r="S593" s="14">
        <f>CHOOSE(CONTROL!$C$42, 34.3697, 34.3697) * CHOOSE(CONTROL!$C$21, $C$9, 100%, $E$9)</f>
        <v>34.369700000000002</v>
      </c>
      <c r="T59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93" s="57">
        <f>(1000*CHOOSE(CONTROL!$C$42, 695, 695)*CHOOSE(CONTROL!$C$42, 0.5599, 0.5599)*CHOOSE(CONTROL!$C$42, 31, 31))/1000000</f>
        <v>12.063045499999998</v>
      </c>
      <c r="V593" s="57">
        <f>(1000*CHOOSE(CONTROL!$C$42, 500, 500)*CHOOSE(CONTROL!$C$42, 0.275, 0.275)*CHOOSE(CONTROL!$C$42, 31, 31))/1000000</f>
        <v>4.2625000000000002</v>
      </c>
      <c r="W593" s="57">
        <f>(1000*CHOOSE(CONTROL!$C$42, 0.1146, 0.1146)*CHOOSE(CONTROL!$C$42, 121.5, 121.5)*CHOOSE(CONTROL!$C$42, 31, 31))/1000000</f>
        <v>0.43164089999999994</v>
      </c>
      <c r="X593" s="57">
        <f>(31*0.1790888*245000/1000000)+(31*0.2374*100000/1000000)</f>
        <v>2.0961194359999999</v>
      </c>
      <c r="Y593" s="57"/>
      <c r="Z593" s="14"/>
      <c r="AA593" s="56"/>
      <c r="AB593" s="50">
        <f>(B593*194.205+C593*267.466+D593*133.845+E593*53.484+F593*40+G593*185+H593*0+I593*100+J593*300)/(194.205+267.466+133.845+53.484+0+40+185+100+300)</f>
        <v>35.838542451648344</v>
      </c>
      <c r="AC593" s="45">
        <f>(M593*'RAP TEMPLATE-GAS AVAILABILITY'!O592+N593*'RAP TEMPLATE-GAS AVAILABILITY'!P592+O593*'RAP TEMPLATE-GAS AVAILABILITY'!Q592+P593*'RAP TEMPLATE-GAS AVAILABILITY'!R592)/('RAP TEMPLATE-GAS AVAILABILITY'!O592+'RAP TEMPLATE-GAS AVAILABILITY'!P592+'RAP TEMPLATE-GAS AVAILABILITY'!Q592+'RAP TEMPLATE-GAS AVAILABILITY'!R592)</f>
        <v>35.15634604316547</v>
      </c>
    </row>
    <row r="594" spans="1:29" ht="15.75" x14ac:dyDescent="0.25">
      <c r="A594" s="32">
        <v>58987</v>
      </c>
      <c r="B594" s="14">
        <f>CHOOSE(CONTROL!$C$42, 36.7939, 36.7939) * CHOOSE(CONTROL!$C$21, $C$9, 100%, $E$9)</f>
        <v>36.793900000000001</v>
      </c>
      <c r="C594" s="14">
        <f>CHOOSE(CONTROL!$C$42, 36.8019, 36.8019) * CHOOSE(CONTROL!$C$21, $C$9, 100%, $E$9)</f>
        <v>36.801900000000003</v>
      </c>
      <c r="D594" s="14">
        <f>CHOOSE(CONTROL!$C$42, 37.0225, 37.0225) * CHOOSE(CONTROL!$C$21, $C$9, 100%, $E$9)</f>
        <v>37.022500000000001</v>
      </c>
      <c r="E594" s="14">
        <f>CHOOSE(CONTROL!$C$42, 37.0539, 37.0539) * CHOOSE(CONTROL!$C$21, $C$9, 100%, $E$9)</f>
        <v>37.053899999999999</v>
      </c>
      <c r="F594" s="14">
        <f>CHOOSE(CONTROL!$C$42, 36.8205, 36.8205)*CHOOSE(CONTROL!$C$21, $C$9, 100%, $E$9)</f>
        <v>36.820500000000003</v>
      </c>
      <c r="G594" s="14">
        <f>CHOOSE(CONTROL!$C$42, 36.8377, 36.8377)*CHOOSE(CONTROL!$C$21, $C$9, 100%, $E$9)</f>
        <v>36.837699999999998</v>
      </c>
      <c r="H594" s="14">
        <f>CHOOSE(CONTROL!$C$42, 37.0426, 37.0426) * CHOOSE(CONTROL!$C$21, $C$9, 100%, $E$9)</f>
        <v>37.0426</v>
      </c>
      <c r="I594" s="14">
        <f>CHOOSE(CONTROL!$C$42, 36.937, 36.937)* CHOOSE(CONTROL!$C$21, $C$9, 100%, $E$9)</f>
        <v>36.936999999999998</v>
      </c>
      <c r="J594" s="14">
        <f>CHOOSE(CONTROL!$C$42, 36.8135, 36.8135)* CHOOSE(CONTROL!$C$21, $C$9, 100%, $E$9)</f>
        <v>36.813499999999998</v>
      </c>
      <c r="K594" s="53">
        <f>CHOOSE(CONTROL!$C$42, 36.9331, 36.9331) * CHOOSE(CONTROL!$C$21, $C$9, 100%, $E$9)</f>
        <v>36.933100000000003</v>
      </c>
      <c r="L594" s="14">
        <f>CHOOSE(CONTROL!$C$42, 37.6296, 37.6296) * CHOOSE(CONTROL!$C$21, $C$9, 100%, $E$9)</f>
        <v>37.629600000000003</v>
      </c>
      <c r="M594" s="14">
        <f>CHOOSE(CONTROL!$C$42, 36.0669, 36.0669) * CHOOSE(CONTROL!$C$21, $C$9, 100%, $E$9)</f>
        <v>36.066899999999997</v>
      </c>
      <c r="N594" s="14">
        <f>CHOOSE(CONTROL!$C$42, 36.0837, 36.0837) * CHOOSE(CONTROL!$C$21, $C$9, 100%, $E$9)</f>
        <v>36.0837</v>
      </c>
      <c r="O594" s="14">
        <f>CHOOSE(CONTROL!$C$42, 36.2913, 36.2913) * CHOOSE(CONTROL!$C$21, $C$9, 100%, $E$9)</f>
        <v>36.2913</v>
      </c>
      <c r="P594" s="14">
        <f>CHOOSE(CONTROL!$C$42, 36.1856, 36.1856) * CHOOSE(CONTROL!$C$21, $C$9, 100%, $E$9)</f>
        <v>36.185600000000001</v>
      </c>
      <c r="Q594" s="14">
        <f>CHOOSE(CONTROL!$C$42, 36.886, 36.886) * CHOOSE(CONTROL!$C$21, $C$9, 100%, $E$9)</f>
        <v>36.886000000000003</v>
      </c>
      <c r="R594" s="14">
        <f>CHOOSE(CONTROL!$C$42, 37.5652, 37.5652) * CHOOSE(CONTROL!$C$21, $C$9, 100%, $E$9)</f>
        <v>37.565199999999997</v>
      </c>
      <c r="S594" s="14">
        <f>CHOOSE(CONTROL!$C$42, 35.3446, 35.3446) * CHOOSE(CONTROL!$C$21, $C$9, 100%, $E$9)</f>
        <v>35.3446</v>
      </c>
      <c r="T59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94" s="57">
        <f>(1000*CHOOSE(CONTROL!$C$42, 695, 695)*CHOOSE(CONTROL!$C$42, 0.5599, 0.5599)*CHOOSE(CONTROL!$C$42, 30, 30))/1000000</f>
        <v>11.673914999999997</v>
      </c>
      <c r="V594" s="57">
        <f>(1000*CHOOSE(CONTROL!$C$42, 500, 500)*CHOOSE(CONTROL!$C$42, 0.275, 0.275)*CHOOSE(CONTROL!$C$42, 30, 30))/1000000</f>
        <v>4.125</v>
      </c>
      <c r="W594" s="57">
        <f>(1000*CHOOSE(CONTROL!$C$42, 0.1146, 0.1146)*CHOOSE(CONTROL!$C$42, 121.5, 121.5)*CHOOSE(CONTROL!$C$42, 30, 30))/1000000</f>
        <v>0.417717</v>
      </c>
      <c r="X594" s="57">
        <f>(30*0.1790888*245000/1000000)+(30*0.2374*100000/1000000)</f>
        <v>2.0285026799999999</v>
      </c>
      <c r="Y594" s="57"/>
      <c r="Z594" s="14"/>
      <c r="AA594" s="56"/>
      <c r="AB594" s="50">
        <f>(B594*194.205+C594*267.466+D594*133.845+E594*53.484+F594*40+G594*185+H594*0+I594*100+J594*300)/(194.205+267.466+133.845+53.484+0+40+185+100+300)</f>
        <v>36.853554266091045</v>
      </c>
      <c r="AC594" s="45">
        <f>(M594*'RAP TEMPLATE-GAS AVAILABILITY'!O593+N594*'RAP TEMPLATE-GAS AVAILABILITY'!P593+O594*'RAP TEMPLATE-GAS AVAILABILITY'!Q593+P594*'RAP TEMPLATE-GAS AVAILABILITY'!R593)/('RAP TEMPLATE-GAS AVAILABILITY'!O593+'RAP TEMPLATE-GAS AVAILABILITY'!P593+'RAP TEMPLATE-GAS AVAILABILITY'!Q593+'RAP TEMPLATE-GAS AVAILABILITY'!R593)</f>
        <v>36.150807913669063</v>
      </c>
    </row>
    <row r="595" spans="1:29" ht="15.75" x14ac:dyDescent="0.25">
      <c r="A595" s="32">
        <v>59018</v>
      </c>
      <c r="B595" s="14">
        <f>CHOOSE(CONTROL!$C$42, 36.0882, 36.0882) * CHOOSE(CONTROL!$C$21, $C$9, 100%, $E$9)</f>
        <v>36.088200000000001</v>
      </c>
      <c r="C595" s="14">
        <f>CHOOSE(CONTROL!$C$42, 36.0962, 36.0962) * CHOOSE(CONTROL!$C$21, $C$9, 100%, $E$9)</f>
        <v>36.096200000000003</v>
      </c>
      <c r="D595" s="14">
        <f>CHOOSE(CONTROL!$C$42, 36.3168, 36.3168) * CHOOSE(CONTROL!$C$21, $C$9, 100%, $E$9)</f>
        <v>36.316800000000001</v>
      </c>
      <c r="E595" s="14">
        <f>CHOOSE(CONTROL!$C$42, 36.3483, 36.3483) * CHOOSE(CONTROL!$C$21, $C$9, 100%, $E$9)</f>
        <v>36.348300000000002</v>
      </c>
      <c r="F595" s="14">
        <f>CHOOSE(CONTROL!$C$42, 36.1153, 36.1153)*CHOOSE(CONTROL!$C$21, $C$9, 100%, $E$9)</f>
        <v>36.115299999999998</v>
      </c>
      <c r="G595" s="14">
        <f>CHOOSE(CONTROL!$C$42, 36.1326, 36.1326)*CHOOSE(CONTROL!$C$21, $C$9, 100%, $E$9)</f>
        <v>36.132599999999996</v>
      </c>
      <c r="H595" s="14">
        <f>CHOOSE(CONTROL!$C$42, 36.3369, 36.3369) * CHOOSE(CONTROL!$C$21, $C$9, 100%, $E$9)</f>
        <v>36.3369</v>
      </c>
      <c r="I595" s="14">
        <f>CHOOSE(CONTROL!$C$42, 36.2291, 36.2291)* CHOOSE(CONTROL!$C$21, $C$9, 100%, $E$9)</f>
        <v>36.229100000000003</v>
      </c>
      <c r="J595" s="14">
        <f>CHOOSE(CONTROL!$C$42, 36.1083, 36.1083)* CHOOSE(CONTROL!$C$21, $C$9, 100%, $E$9)</f>
        <v>36.1083</v>
      </c>
      <c r="K595" s="53">
        <f>CHOOSE(CONTROL!$C$42, 36.2252, 36.2252) * CHOOSE(CONTROL!$C$21, $C$9, 100%, $E$9)</f>
        <v>36.225200000000001</v>
      </c>
      <c r="L595" s="14">
        <f>CHOOSE(CONTROL!$C$42, 36.9239, 36.9239) * CHOOSE(CONTROL!$C$21, $C$9, 100%, $E$9)</f>
        <v>36.923900000000003</v>
      </c>
      <c r="M595" s="14">
        <f>CHOOSE(CONTROL!$C$42, 35.3761, 35.3761) * CHOOSE(CONTROL!$C$21, $C$9, 100%, $E$9)</f>
        <v>35.376100000000001</v>
      </c>
      <c r="N595" s="14">
        <f>CHOOSE(CONTROL!$C$42, 35.3931, 35.3931) * CHOOSE(CONTROL!$C$21, $C$9, 100%, $E$9)</f>
        <v>35.393099999999997</v>
      </c>
      <c r="O595" s="14">
        <f>CHOOSE(CONTROL!$C$42, 35.6001, 35.6001) * CHOOSE(CONTROL!$C$21, $C$9, 100%, $E$9)</f>
        <v>35.600099999999998</v>
      </c>
      <c r="P595" s="14">
        <f>CHOOSE(CONTROL!$C$42, 35.4923, 35.4923) * CHOOSE(CONTROL!$C$21, $C$9, 100%, $E$9)</f>
        <v>35.4923</v>
      </c>
      <c r="Q595" s="14">
        <f>CHOOSE(CONTROL!$C$42, 36.1948, 36.1948) * CHOOSE(CONTROL!$C$21, $C$9, 100%, $E$9)</f>
        <v>36.194800000000001</v>
      </c>
      <c r="R595" s="14">
        <f>CHOOSE(CONTROL!$C$42, 36.8723, 36.8723) * CHOOSE(CONTROL!$C$21, $C$9, 100%, $E$9)</f>
        <v>36.872300000000003</v>
      </c>
      <c r="S595" s="14">
        <f>CHOOSE(CONTROL!$C$42, 34.6665, 34.6665) * CHOOSE(CONTROL!$C$21, $C$9, 100%, $E$9)</f>
        <v>34.666499999999999</v>
      </c>
      <c r="T59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95" s="57">
        <f>(1000*CHOOSE(CONTROL!$C$42, 695, 695)*CHOOSE(CONTROL!$C$42, 0.5599, 0.5599)*CHOOSE(CONTROL!$C$42, 31, 31))/1000000</f>
        <v>12.063045499999998</v>
      </c>
      <c r="V595" s="57">
        <f>(1000*CHOOSE(CONTROL!$C$42, 500, 500)*CHOOSE(CONTROL!$C$42, 0.275, 0.275)*CHOOSE(CONTROL!$C$42, 31, 31))/1000000</f>
        <v>4.2625000000000002</v>
      </c>
      <c r="W595" s="57">
        <f>(1000*CHOOSE(CONTROL!$C$42, 0.1146, 0.1146)*CHOOSE(CONTROL!$C$42, 121.5, 121.5)*CHOOSE(CONTROL!$C$42, 31, 31))/1000000</f>
        <v>0.43164089999999994</v>
      </c>
      <c r="X595" s="57">
        <f>(31*0.1790888*245000/1000000)+(31*0.2374*100000/1000000)</f>
        <v>2.0961194359999999</v>
      </c>
      <c r="Y595" s="57"/>
      <c r="Z595" s="14"/>
      <c r="AA595" s="56"/>
      <c r="AB595" s="50">
        <f>(B595*194.205+C595*267.466+D595*133.845+E595*53.484+F595*40+G595*185+H595*0+I595*100+J595*300)/(194.205+267.466+133.845+53.484+0+40+185+100+300)</f>
        <v>36.147906344897962</v>
      </c>
      <c r="AC595" s="45">
        <f>(M595*'RAP TEMPLATE-GAS AVAILABILITY'!O594+N595*'RAP TEMPLATE-GAS AVAILABILITY'!P594+O595*'RAP TEMPLATE-GAS AVAILABILITY'!Q594+P595*'RAP TEMPLATE-GAS AVAILABILITY'!R594)/('RAP TEMPLATE-GAS AVAILABILITY'!O594+'RAP TEMPLATE-GAS AVAILABILITY'!P594+'RAP TEMPLATE-GAS AVAILABILITY'!Q594+'RAP TEMPLATE-GAS AVAILABILITY'!R594)</f>
        <v>35.459582014388488</v>
      </c>
    </row>
    <row r="596" spans="1:29" ht="15.75" x14ac:dyDescent="0.25">
      <c r="A596" s="32">
        <v>59049</v>
      </c>
      <c r="B596" s="14">
        <f>CHOOSE(CONTROL!$C$42, 34.3062, 34.3062) * CHOOSE(CONTROL!$C$21, $C$9, 100%, $E$9)</f>
        <v>34.306199999999997</v>
      </c>
      <c r="C596" s="14">
        <f>CHOOSE(CONTROL!$C$42, 34.3142, 34.3142) * CHOOSE(CONTROL!$C$21, $C$9, 100%, $E$9)</f>
        <v>34.3142</v>
      </c>
      <c r="D596" s="14">
        <f>CHOOSE(CONTROL!$C$42, 34.5348, 34.5348) * CHOOSE(CONTROL!$C$21, $C$9, 100%, $E$9)</f>
        <v>34.534799999999997</v>
      </c>
      <c r="E596" s="14">
        <f>CHOOSE(CONTROL!$C$42, 34.5663, 34.5663) * CHOOSE(CONTROL!$C$21, $C$9, 100%, $E$9)</f>
        <v>34.566299999999998</v>
      </c>
      <c r="F596" s="14">
        <f>CHOOSE(CONTROL!$C$42, 34.3336, 34.3336)*CHOOSE(CONTROL!$C$21, $C$9, 100%, $E$9)</f>
        <v>34.333599999999997</v>
      </c>
      <c r="G596" s="14">
        <f>CHOOSE(CONTROL!$C$42, 34.351, 34.351)*CHOOSE(CONTROL!$C$21, $C$9, 100%, $E$9)</f>
        <v>34.350999999999999</v>
      </c>
      <c r="H596" s="14">
        <f>CHOOSE(CONTROL!$C$42, 34.5549, 34.5549) * CHOOSE(CONTROL!$C$21, $C$9, 100%, $E$9)</f>
        <v>34.554900000000004</v>
      </c>
      <c r="I596" s="14">
        <f>CHOOSE(CONTROL!$C$42, 34.4415, 34.4415)* CHOOSE(CONTROL!$C$21, $C$9, 100%, $E$9)</f>
        <v>34.441499999999998</v>
      </c>
      <c r="J596" s="14">
        <f>CHOOSE(CONTROL!$C$42, 34.3266, 34.3266)* CHOOSE(CONTROL!$C$21, $C$9, 100%, $E$9)</f>
        <v>34.326599999999999</v>
      </c>
      <c r="K596" s="53">
        <f>CHOOSE(CONTROL!$C$42, 34.4377, 34.4377) * CHOOSE(CONTROL!$C$21, $C$9, 100%, $E$9)</f>
        <v>34.4377</v>
      </c>
      <c r="L596" s="14">
        <f>CHOOSE(CONTROL!$C$42, 35.1419, 35.1419) * CHOOSE(CONTROL!$C$21, $C$9, 100%, $E$9)</f>
        <v>35.1419</v>
      </c>
      <c r="M596" s="14">
        <f>CHOOSE(CONTROL!$C$42, 33.6309, 33.6309) * CHOOSE(CONTROL!$C$21, $C$9, 100%, $E$9)</f>
        <v>33.630899999999997</v>
      </c>
      <c r="N596" s="14">
        <f>CHOOSE(CONTROL!$C$42, 33.648, 33.648) * CHOOSE(CONTROL!$C$21, $C$9, 100%, $E$9)</f>
        <v>33.648000000000003</v>
      </c>
      <c r="O596" s="14">
        <f>CHOOSE(CONTROL!$C$42, 33.8546, 33.8546) * CHOOSE(CONTROL!$C$21, $C$9, 100%, $E$9)</f>
        <v>33.854599999999998</v>
      </c>
      <c r="P596" s="14">
        <f>CHOOSE(CONTROL!$C$42, 33.7415, 33.7415) * CHOOSE(CONTROL!$C$21, $C$9, 100%, $E$9)</f>
        <v>33.741500000000002</v>
      </c>
      <c r="Q596" s="14">
        <f>CHOOSE(CONTROL!$C$42, 34.4493, 34.4493) * CHOOSE(CONTROL!$C$21, $C$9, 100%, $E$9)</f>
        <v>34.449300000000001</v>
      </c>
      <c r="R596" s="14">
        <f>CHOOSE(CONTROL!$C$42, 35.1224, 35.1224) * CHOOSE(CONTROL!$C$21, $C$9, 100%, $E$9)</f>
        <v>35.122399999999999</v>
      </c>
      <c r="S596" s="14">
        <f>CHOOSE(CONTROL!$C$42, 32.9542, 32.9542) * CHOOSE(CONTROL!$C$21, $C$9, 100%, $E$9)</f>
        <v>32.9542</v>
      </c>
      <c r="T59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96" s="57">
        <f>(1000*CHOOSE(CONTROL!$C$42, 695, 695)*CHOOSE(CONTROL!$C$42, 0.5599, 0.5599)*CHOOSE(CONTROL!$C$42, 31, 31))/1000000</f>
        <v>12.063045499999998</v>
      </c>
      <c r="V596" s="57">
        <f>(1000*CHOOSE(CONTROL!$C$42, 500, 500)*CHOOSE(CONTROL!$C$42, 0.275, 0.275)*CHOOSE(CONTROL!$C$42, 31, 31))/1000000</f>
        <v>4.2625000000000002</v>
      </c>
      <c r="W596" s="57">
        <f>(1000*CHOOSE(CONTROL!$C$42, 0.1146, 0.1146)*CHOOSE(CONTROL!$C$42, 121.5, 121.5)*CHOOSE(CONTROL!$C$42, 31, 31))/1000000</f>
        <v>0.43164089999999994</v>
      </c>
      <c r="X596" s="57">
        <f>(31*0.1790888*245000/1000000)+(31*0.2374*100000/1000000)</f>
        <v>2.0961194359999999</v>
      </c>
      <c r="Y596" s="57"/>
      <c r="Z596" s="14"/>
      <c r="AA596" s="56"/>
      <c r="AB596" s="50">
        <f>(B596*194.205+C596*267.466+D596*133.845+E596*53.484+F596*40+G596*185+H596*0+I596*100+J596*300)/(194.205+267.466+133.845+53.484+0+40+185+100+300)</f>
        <v>34.365604932025121</v>
      </c>
      <c r="AC596" s="45">
        <f>(M596*'RAP TEMPLATE-GAS AVAILABILITY'!O595+N596*'RAP TEMPLATE-GAS AVAILABILITY'!P595+O596*'RAP TEMPLATE-GAS AVAILABILITY'!Q595+P596*'RAP TEMPLATE-GAS AVAILABILITY'!R595)/('RAP TEMPLATE-GAS AVAILABILITY'!O595+'RAP TEMPLATE-GAS AVAILABILITY'!P595+'RAP TEMPLATE-GAS AVAILABILITY'!Q595+'RAP TEMPLATE-GAS AVAILABILITY'!R595)</f>
        <v>33.713515107913672</v>
      </c>
    </row>
    <row r="597" spans="1:29" ht="15.75" x14ac:dyDescent="0.25">
      <c r="A597" s="32">
        <v>59079</v>
      </c>
      <c r="B597" s="14">
        <f>CHOOSE(CONTROL!$C$42, 32.1287, 32.1287) * CHOOSE(CONTROL!$C$21, $C$9, 100%, $E$9)</f>
        <v>32.128700000000002</v>
      </c>
      <c r="C597" s="14">
        <f>CHOOSE(CONTROL!$C$42, 32.1367, 32.1367) * CHOOSE(CONTROL!$C$21, $C$9, 100%, $E$9)</f>
        <v>32.136699999999998</v>
      </c>
      <c r="D597" s="14">
        <f>CHOOSE(CONTROL!$C$42, 32.3573, 32.3573) * CHOOSE(CONTROL!$C$21, $C$9, 100%, $E$9)</f>
        <v>32.357300000000002</v>
      </c>
      <c r="E597" s="14">
        <f>CHOOSE(CONTROL!$C$42, 32.3888, 32.3888) * CHOOSE(CONTROL!$C$21, $C$9, 100%, $E$9)</f>
        <v>32.388800000000003</v>
      </c>
      <c r="F597" s="14">
        <f>CHOOSE(CONTROL!$C$42, 32.1561, 32.1561)*CHOOSE(CONTROL!$C$21, $C$9, 100%, $E$9)</f>
        <v>32.156100000000002</v>
      </c>
      <c r="G597" s="14">
        <f>CHOOSE(CONTROL!$C$42, 32.1735, 32.1735)*CHOOSE(CONTROL!$C$21, $C$9, 100%, $E$9)</f>
        <v>32.173499999999997</v>
      </c>
      <c r="H597" s="14">
        <f>CHOOSE(CONTROL!$C$42, 32.3774, 32.3774) * CHOOSE(CONTROL!$C$21, $C$9, 100%, $E$9)</f>
        <v>32.377400000000002</v>
      </c>
      <c r="I597" s="14">
        <f>CHOOSE(CONTROL!$C$42, 32.2572, 32.2572)* CHOOSE(CONTROL!$C$21, $C$9, 100%, $E$9)</f>
        <v>32.257199999999997</v>
      </c>
      <c r="J597" s="14">
        <f>CHOOSE(CONTROL!$C$42, 32.1491, 32.1491)* CHOOSE(CONTROL!$C$21, $C$9, 100%, $E$9)</f>
        <v>32.149099999999997</v>
      </c>
      <c r="K597" s="53">
        <f>CHOOSE(CONTROL!$C$42, 32.2533, 32.2533) * CHOOSE(CONTROL!$C$21, $C$9, 100%, $E$9)</f>
        <v>32.253300000000003</v>
      </c>
      <c r="L597" s="14">
        <f>CHOOSE(CONTROL!$C$42, 32.9644, 32.9644) * CHOOSE(CONTROL!$C$21, $C$9, 100%, $E$9)</f>
        <v>32.964399999999998</v>
      </c>
      <c r="M597" s="14">
        <f>CHOOSE(CONTROL!$C$42, 31.498, 31.498) * CHOOSE(CONTROL!$C$21, $C$9, 100%, $E$9)</f>
        <v>31.498000000000001</v>
      </c>
      <c r="N597" s="14">
        <f>CHOOSE(CONTROL!$C$42, 31.5151, 31.5151) * CHOOSE(CONTROL!$C$21, $C$9, 100%, $E$9)</f>
        <v>31.5151</v>
      </c>
      <c r="O597" s="14">
        <f>CHOOSE(CONTROL!$C$42, 31.7217, 31.7217) * CHOOSE(CONTROL!$C$21, $C$9, 100%, $E$9)</f>
        <v>31.721699999999998</v>
      </c>
      <c r="P597" s="14">
        <f>CHOOSE(CONTROL!$C$42, 31.602, 31.602) * CHOOSE(CONTROL!$C$21, $C$9, 100%, $E$9)</f>
        <v>31.602</v>
      </c>
      <c r="Q597" s="14">
        <f>CHOOSE(CONTROL!$C$42, 32.3164, 32.3164) * CHOOSE(CONTROL!$C$21, $C$9, 100%, $E$9)</f>
        <v>32.316400000000002</v>
      </c>
      <c r="R597" s="14">
        <f>CHOOSE(CONTROL!$C$42, 32.9842, 32.9842) * CHOOSE(CONTROL!$C$21, $C$9, 100%, $E$9)</f>
        <v>32.984200000000001</v>
      </c>
      <c r="S597" s="14">
        <f>CHOOSE(CONTROL!$C$42, 30.8619, 30.8619) * CHOOSE(CONTROL!$C$21, $C$9, 100%, $E$9)</f>
        <v>30.861899999999999</v>
      </c>
      <c r="T59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97" s="57">
        <f>(1000*CHOOSE(CONTROL!$C$42, 695, 695)*CHOOSE(CONTROL!$C$42, 0.5599, 0.5599)*CHOOSE(CONTROL!$C$42, 30, 30))/1000000</f>
        <v>11.673914999999997</v>
      </c>
      <c r="V597" s="57">
        <f>(1000*CHOOSE(CONTROL!$C$42, 500, 500)*CHOOSE(CONTROL!$C$42, 0.275, 0.275)*CHOOSE(CONTROL!$C$42, 30, 30))/1000000</f>
        <v>4.125</v>
      </c>
      <c r="W597" s="57">
        <f>(1000*CHOOSE(CONTROL!$C$42, 0.1146, 0.1146)*CHOOSE(CONTROL!$C$42, 121.5, 121.5)*CHOOSE(CONTROL!$C$42, 30, 30))/1000000</f>
        <v>0.417717</v>
      </c>
      <c r="X597" s="57">
        <f>(30*0.1790888*245000/1000000)+(30*0.2374*100000/1000000)</f>
        <v>2.0285026799999999</v>
      </c>
      <c r="Y597" s="57"/>
      <c r="Z597" s="14"/>
      <c r="AA597" s="56"/>
      <c r="AB597" s="50">
        <f>(B597*194.205+C597*267.466+D597*133.845+E597*53.484+F597*40+G597*185+H597*0+I597*100+J597*300)/(194.205+267.466+133.845+53.484+0+40+185+100+300)</f>
        <v>32.187571180062797</v>
      </c>
      <c r="AC597" s="45">
        <f>(M597*'RAP TEMPLATE-GAS AVAILABILITY'!O596+N597*'RAP TEMPLATE-GAS AVAILABILITY'!P596+O597*'RAP TEMPLATE-GAS AVAILABILITY'!Q596+P597*'RAP TEMPLATE-GAS AVAILABILITY'!R596)/('RAP TEMPLATE-GAS AVAILABILITY'!O596+'RAP TEMPLATE-GAS AVAILABILITY'!P596+'RAP TEMPLATE-GAS AVAILABILITY'!Q596+'RAP TEMPLATE-GAS AVAILABILITY'!R596)</f>
        <v>31.579665467625905</v>
      </c>
    </row>
    <row r="598" spans="1:29" ht="15.75" x14ac:dyDescent="0.25">
      <c r="A598" s="32">
        <v>59110</v>
      </c>
      <c r="B598" s="14">
        <f>CHOOSE(CONTROL!$C$42, 31.4749, 31.4749) * CHOOSE(CONTROL!$C$21, $C$9, 100%, $E$9)</f>
        <v>31.474900000000002</v>
      </c>
      <c r="C598" s="14">
        <f>CHOOSE(CONTROL!$C$42, 31.4802, 31.4802) * CHOOSE(CONTROL!$C$21, $C$9, 100%, $E$9)</f>
        <v>31.4802</v>
      </c>
      <c r="D598" s="14">
        <f>CHOOSE(CONTROL!$C$42, 31.7057, 31.7057) * CHOOSE(CONTROL!$C$21, $C$9, 100%, $E$9)</f>
        <v>31.7057</v>
      </c>
      <c r="E598" s="14">
        <f>CHOOSE(CONTROL!$C$42, 31.7349, 31.7349) * CHOOSE(CONTROL!$C$21, $C$9, 100%, $E$9)</f>
        <v>31.7349</v>
      </c>
      <c r="F598" s="14">
        <f>CHOOSE(CONTROL!$C$42, 31.5042, 31.5042)*CHOOSE(CONTROL!$C$21, $C$9, 100%, $E$9)</f>
        <v>31.504200000000001</v>
      </c>
      <c r="G598" s="14">
        <f>CHOOSE(CONTROL!$C$42, 31.5215, 31.5215)*CHOOSE(CONTROL!$C$21, $C$9, 100%, $E$9)</f>
        <v>31.5215</v>
      </c>
      <c r="H598" s="14">
        <f>CHOOSE(CONTROL!$C$42, 31.7253, 31.7253) * CHOOSE(CONTROL!$C$21, $C$9, 100%, $E$9)</f>
        <v>31.725300000000001</v>
      </c>
      <c r="I598" s="14">
        <f>CHOOSE(CONTROL!$C$42, 31.6031, 31.6031)* CHOOSE(CONTROL!$C$21, $C$9, 100%, $E$9)</f>
        <v>31.603100000000001</v>
      </c>
      <c r="J598" s="14">
        <f>CHOOSE(CONTROL!$C$42, 31.4972, 31.4972)* CHOOSE(CONTROL!$C$21, $C$9, 100%, $E$9)</f>
        <v>31.497199999999999</v>
      </c>
      <c r="K598" s="53">
        <f>CHOOSE(CONTROL!$C$42, 31.5992, 31.5992) * CHOOSE(CONTROL!$C$21, $C$9, 100%, $E$9)</f>
        <v>31.5992</v>
      </c>
      <c r="L598" s="14">
        <f>CHOOSE(CONTROL!$C$42, 32.3123, 32.3123) * CHOOSE(CONTROL!$C$21, $C$9, 100%, $E$9)</f>
        <v>32.3123</v>
      </c>
      <c r="M598" s="14">
        <f>CHOOSE(CONTROL!$C$42, 30.8596, 30.8596) * CHOOSE(CONTROL!$C$21, $C$9, 100%, $E$9)</f>
        <v>30.8596</v>
      </c>
      <c r="N598" s="14">
        <f>CHOOSE(CONTROL!$C$42, 30.8764, 30.8764) * CHOOSE(CONTROL!$C$21, $C$9, 100%, $E$9)</f>
        <v>30.8764</v>
      </c>
      <c r="O598" s="14">
        <f>CHOOSE(CONTROL!$C$42, 31.083, 31.083) * CHOOSE(CONTROL!$C$21, $C$9, 100%, $E$9)</f>
        <v>31.082999999999998</v>
      </c>
      <c r="P598" s="14">
        <f>CHOOSE(CONTROL!$C$42, 30.9613, 30.9613) * CHOOSE(CONTROL!$C$21, $C$9, 100%, $E$9)</f>
        <v>30.961300000000001</v>
      </c>
      <c r="Q598" s="14">
        <f>CHOOSE(CONTROL!$C$42, 31.6777, 31.6777) * CHOOSE(CONTROL!$C$21, $C$9, 100%, $E$9)</f>
        <v>31.677700000000002</v>
      </c>
      <c r="R598" s="14">
        <f>CHOOSE(CONTROL!$C$42, 32.3439, 32.3439) * CHOOSE(CONTROL!$C$21, $C$9, 100%, $E$9)</f>
        <v>32.343899999999998</v>
      </c>
      <c r="S598" s="14">
        <f>CHOOSE(CONTROL!$C$42, 30.2352, 30.2352) * CHOOSE(CONTROL!$C$21, $C$9, 100%, $E$9)</f>
        <v>30.235199999999999</v>
      </c>
      <c r="T59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98" s="57">
        <f>(1000*CHOOSE(CONTROL!$C$42, 695, 695)*CHOOSE(CONTROL!$C$42, 0.5599, 0.5599)*CHOOSE(CONTROL!$C$42, 31, 31))/1000000</f>
        <v>12.063045499999998</v>
      </c>
      <c r="V598" s="57">
        <f>(1000*CHOOSE(CONTROL!$C$42, 500, 500)*CHOOSE(CONTROL!$C$42, 0.275, 0.275)*CHOOSE(CONTROL!$C$42, 31, 31))/1000000</f>
        <v>4.2625000000000002</v>
      </c>
      <c r="W598" s="57">
        <f>(1000*CHOOSE(CONTROL!$C$42, 0.1146, 0.1146)*CHOOSE(CONTROL!$C$42, 121.5, 121.5)*CHOOSE(CONTROL!$C$42, 31, 31))/1000000</f>
        <v>0.43164089999999994</v>
      </c>
      <c r="X598" s="57">
        <f>(31*0.1790888*245000/1000000)+(31*0.2374*100000/1000000)</f>
        <v>2.0961194359999999</v>
      </c>
      <c r="Y598" s="57"/>
      <c r="Z598" s="14"/>
      <c r="AA598" s="56"/>
      <c r="AB598" s="50">
        <f>(B598*131.881+C598*277.167+D598*79.08+E598*125.872+F598*40+G598*185+H598*0+I598*100+J598*300)/(131.881+277.167+79.08+125.872+0+40+185+100+300)</f>
        <v>31.540880927441489</v>
      </c>
      <c r="AC598" s="45">
        <f>(M598*'RAP TEMPLATE-GAS AVAILABILITY'!O597+N598*'RAP TEMPLATE-GAS AVAILABILITY'!P597+O598*'RAP TEMPLATE-GAS AVAILABILITY'!Q597+P598*'RAP TEMPLATE-GAS AVAILABILITY'!R597)/('RAP TEMPLATE-GAS AVAILABILITY'!O597+'RAP TEMPLATE-GAS AVAILABILITY'!P597+'RAP TEMPLATE-GAS AVAILABILITY'!Q597+'RAP TEMPLATE-GAS AVAILABILITY'!R597)</f>
        <v>30.94078129496403</v>
      </c>
    </row>
    <row r="599" spans="1:29" ht="15.75" x14ac:dyDescent="0.25">
      <c r="A599" s="32">
        <v>59140</v>
      </c>
      <c r="B599" s="14">
        <f>CHOOSE(CONTROL!$C$42, 32.3034, 32.3034) * CHOOSE(CONTROL!$C$21, $C$9, 100%, $E$9)</f>
        <v>32.303400000000003</v>
      </c>
      <c r="C599" s="14">
        <f>CHOOSE(CONTROL!$C$42, 32.3084, 32.3084) * CHOOSE(CONTROL!$C$21, $C$9, 100%, $E$9)</f>
        <v>32.308399999999999</v>
      </c>
      <c r="D599" s="14">
        <f>CHOOSE(CONTROL!$C$42, 32.3827, 32.3827) * CHOOSE(CONTROL!$C$21, $C$9, 100%, $E$9)</f>
        <v>32.3827</v>
      </c>
      <c r="E599" s="14">
        <f>CHOOSE(CONTROL!$C$42, 32.4168, 32.4168) * CHOOSE(CONTROL!$C$21, $C$9, 100%, $E$9)</f>
        <v>32.416800000000002</v>
      </c>
      <c r="F599" s="14">
        <f>CHOOSE(CONTROL!$C$42, 32.3394, 32.3394)*CHOOSE(CONTROL!$C$21, $C$9, 100%, $E$9)</f>
        <v>32.339399999999998</v>
      </c>
      <c r="G599" s="14">
        <f>CHOOSE(CONTROL!$C$42, 32.357, 32.357)*CHOOSE(CONTROL!$C$21, $C$9, 100%, $E$9)</f>
        <v>32.356999999999999</v>
      </c>
      <c r="H599" s="14">
        <f>CHOOSE(CONTROL!$C$42, 32.406, 32.406) * CHOOSE(CONTROL!$C$21, $C$9, 100%, $E$9)</f>
        <v>32.405999999999999</v>
      </c>
      <c r="I599" s="14">
        <f>CHOOSE(CONTROL!$C$42, 32.432, 32.432)* CHOOSE(CONTROL!$C$21, $C$9, 100%, $E$9)</f>
        <v>32.432000000000002</v>
      </c>
      <c r="J599" s="14">
        <f>CHOOSE(CONTROL!$C$42, 32.3324, 32.3324)* CHOOSE(CONTROL!$C$21, $C$9, 100%, $E$9)</f>
        <v>32.3324</v>
      </c>
      <c r="K599" s="53">
        <f>CHOOSE(CONTROL!$C$42, 32.4281, 32.4281) * CHOOSE(CONTROL!$C$21, $C$9, 100%, $E$9)</f>
        <v>32.428100000000001</v>
      </c>
      <c r="L599" s="14">
        <f>CHOOSE(CONTROL!$C$42, 32.993, 32.993) * CHOOSE(CONTROL!$C$21, $C$9, 100%, $E$9)</f>
        <v>32.993000000000002</v>
      </c>
      <c r="M599" s="14">
        <f>CHOOSE(CONTROL!$C$42, 31.6776, 31.6776) * CHOOSE(CONTROL!$C$21, $C$9, 100%, $E$9)</f>
        <v>31.677600000000002</v>
      </c>
      <c r="N599" s="14">
        <f>CHOOSE(CONTROL!$C$42, 31.6948, 31.6948) * CHOOSE(CONTROL!$C$21, $C$9, 100%, $E$9)</f>
        <v>31.694800000000001</v>
      </c>
      <c r="O599" s="14">
        <f>CHOOSE(CONTROL!$C$42, 31.7497, 31.7497) * CHOOSE(CONTROL!$C$21, $C$9, 100%, $E$9)</f>
        <v>31.749700000000001</v>
      </c>
      <c r="P599" s="14">
        <f>CHOOSE(CONTROL!$C$42, 31.7732, 31.7732) * CHOOSE(CONTROL!$C$21, $C$9, 100%, $E$9)</f>
        <v>31.773199999999999</v>
      </c>
      <c r="Q599" s="14">
        <f>CHOOSE(CONTROL!$C$42, 32.3444, 32.3444) * CHOOSE(CONTROL!$C$21, $C$9, 100%, $E$9)</f>
        <v>32.3444</v>
      </c>
      <c r="R599" s="14">
        <f>CHOOSE(CONTROL!$C$42, 33.0122, 33.0122) * CHOOSE(CONTROL!$C$21, $C$9, 100%, $E$9)</f>
        <v>33.0122</v>
      </c>
      <c r="S599" s="14">
        <f>CHOOSE(CONTROL!$C$42, 31.0318, 31.0318) * CHOOSE(CONTROL!$C$21, $C$9, 100%, $E$9)</f>
        <v>31.0318</v>
      </c>
      <c r="T59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9" s="57">
        <f>(1000*CHOOSE(CONTROL!$C$42, 695, 695)*CHOOSE(CONTROL!$C$42, 0.5599, 0.5599)*CHOOSE(CONTROL!$C$42, 30, 30))/1000000</f>
        <v>11.673914999999997</v>
      </c>
      <c r="V599" s="57">
        <f>(1000*CHOOSE(CONTROL!$C$42, 500, 500)*CHOOSE(CONTROL!$C$42, 0.275, 0.275)*CHOOSE(CONTROL!$C$42, 30, 30))/1000000</f>
        <v>4.125</v>
      </c>
      <c r="W599" s="57">
        <f>(1000*CHOOSE(CONTROL!$C$42, 0.1146, 0.1146)*CHOOSE(CONTROL!$C$42, 121.5, 121.5)*CHOOSE(CONTROL!$C$42, 30, 30))/1000000</f>
        <v>0.417717</v>
      </c>
      <c r="X599" s="57">
        <f>(30*0.1790888*100000/1000000)+(30*0.2374*100000/1000000)</f>
        <v>1.2494664</v>
      </c>
      <c r="Y599" s="57"/>
      <c r="Z599" s="14"/>
      <c r="AA599" s="56"/>
      <c r="AB599" s="50">
        <f>(B599*122.58+C599*297.941+D599*89.177+E599*40.302+F599*40+G599*160+H599*0+I599*100+J599*300)/(122.58+297.941+89.177+40.302+0+40+160+100+300)</f>
        <v>32.342276250347822</v>
      </c>
      <c r="AC599" s="45">
        <f>(M599*'RAP TEMPLATE-GAS AVAILABILITY'!O598+N599*'RAP TEMPLATE-GAS AVAILABILITY'!P598+O599*'RAP TEMPLATE-GAS AVAILABILITY'!Q598+P599*'RAP TEMPLATE-GAS AVAILABILITY'!R598)/('RAP TEMPLATE-GAS AVAILABILITY'!O598+'RAP TEMPLATE-GAS AVAILABILITY'!P598+'RAP TEMPLATE-GAS AVAILABILITY'!Q598+'RAP TEMPLATE-GAS AVAILABILITY'!R598)</f>
        <v>31.725023741007195</v>
      </c>
    </row>
    <row r="600" spans="1:29" ht="15.75" x14ac:dyDescent="0.25">
      <c r="A600" s="32">
        <v>59171</v>
      </c>
      <c r="B600" s="14">
        <f>CHOOSE(CONTROL!$C$42, 34.5051, 34.5051) * CHOOSE(CONTROL!$C$21, $C$9, 100%, $E$9)</f>
        <v>34.505099999999999</v>
      </c>
      <c r="C600" s="14">
        <f>CHOOSE(CONTROL!$C$42, 34.5102, 34.5102) * CHOOSE(CONTROL!$C$21, $C$9, 100%, $E$9)</f>
        <v>34.510199999999998</v>
      </c>
      <c r="D600" s="14">
        <f>CHOOSE(CONTROL!$C$42, 34.5844, 34.5844) * CHOOSE(CONTROL!$C$21, $C$9, 100%, $E$9)</f>
        <v>34.584400000000002</v>
      </c>
      <c r="E600" s="14">
        <f>CHOOSE(CONTROL!$C$42, 34.6185, 34.6185) * CHOOSE(CONTROL!$C$21, $C$9, 100%, $E$9)</f>
        <v>34.618499999999997</v>
      </c>
      <c r="F600" s="14">
        <f>CHOOSE(CONTROL!$C$42, 34.5436, 34.5436)*CHOOSE(CONTROL!$C$21, $C$9, 100%, $E$9)</f>
        <v>34.543599999999998</v>
      </c>
      <c r="G600" s="14">
        <f>CHOOSE(CONTROL!$C$42, 34.5617, 34.5617)*CHOOSE(CONTROL!$C$21, $C$9, 100%, $E$9)</f>
        <v>34.561700000000002</v>
      </c>
      <c r="H600" s="14">
        <f>CHOOSE(CONTROL!$C$42, 34.6077, 34.6077) * CHOOSE(CONTROL!$C$21, $C$9, 100%, $E$9)</f>
        <v>34.607700000000001</v>
      </c>
      <c r="I600" s="14">
        <f>CHOOSE(CONTROL!$C$42, 34.6407, 34.6407)* CHOOSE(CONTROL!$C$21, $C$9, 100%, $E$9)</f>
        <v>34.640700000000002</v>
      </c>
      <c r="J600" s="14">
        <f>CHOOSE(CONTROL!$C$42, 34.5366, 34.5366)* CHOOSE(CONTROL!$C$21, $C$9, 100%, $E$9)</f>
        <v>34.5366</v>
      </c>
      <c r="K600" s="53">
        <f>CHOOSE(CONTROL!$C$42, 34.6368, 34.6368) * CHOOSE(CONTROL!$C$21, $C$9, 100%, $E$9)</f>
        <v>34.636800000000001</v>
      </c>
      <c r="L600" s="14">
        <f>CHOOSE(CONTROL!$C$42, 35.1947, 35.1947) * CHOOSE(CONTROL!$C$21, $C$9, 100%, $E$9)</f>
        <v>35.194699999999997</v>
      </c>
      <c r="M600" s="14">
        <f>CHOOSE(CONTROL!$C$42, 33.8366, 33.8366) * CHOOSE(CONTROL!$C$21, $C$9, 100%, $E$9)</f>
        <v>33.836599999999997</v>
      </c>
      <c r="N600" s="14">
        <f>CHOOSE(CONTROL!$C$42, 33.8544, 33.8544) * CHOOSE(CONTROL!$C$21, $C$9, 100%, $E$9)</f>
        <v>33.854399999999998</v>
      </c>
      <c r="O600" s="14">
        <f>CHOOSE(CONTROL!$C$42, 33.9063, 33.9063) * CHOOSE(CONTROL!$C$21, $C$9, 100%, $E$9)</f>
        <v>33.906300000000002</v>
      </c>
      <c r="P600" s="14">
        <f>CHOOSE(CONTROL!$C$42, 33.9365, 33.9365) * CHOOSE(CONTROL!$C$21, $C$9, 100%, $E$9)</f>
        <v>33.936500000000002</v>
      </c>
      <c r="Q600" s="14">
        <f>CHOOSE(CONTROL!$C$42, 34.501, 34.501) * CHOOSE(CONTROL!$C$21, $C$9, 100%, $E$9)</f>
        <v>34.500999999999998</v>
      </c>
      <c r="R600" s="14">
        <f>CHOOSE(CONTROL!$C$42, 35.1743, 35.1743) * CHOOSE(CONTROL!$C$21, $C$9, 100%, $E$9)</f>
        <v>35.174300000000002</v>
      </c>
      <c r="S600" s="14">
        <f>CHOOSE(CONTROL!$C$42, 33.1475, 33.1475) * CHOOSE(CONTROL!$C$21, $C$9, 100%, $E$9)</f>
        <v>33.147500000000001</v>
      </c>
      <c r="T60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0" s="57">
        <f>(1000*CHOOSE(CONTROL!$C$42, 695, 695)*CHOOSE(CONTROL!$C$42, 0.5599, 0.5599)*CHOOSE(CONTROL!$C$42, 31, 31))/1000000</f>
        <v>12.063045499999998</v>
      </c>
      <c r="V600" s="57">
        <f>(1000*CHOOSE(CONTROL!$C$42, 500, 500)*CHOOSE(CONTROL!$C$42, 0.275, 0.275)*CHOOSE(CONTROL!$C$42, 31, 31))/1000000</f>
        <v>4.2625000000000002</v>
      </c>
      <c r="W600" s="57">
        <f>(1000*CHOOSE(CONTROL!$C$42, 0.1146, 0.1146)*CHOOSE(CONTROL!$C$42, 121.5, 121.5)*CHOOSE(CONTROL!$C$42, 31, 31))/1000000</f>
        <v>0.43164089999999994</v>
      </c>
      <c r="X600" s="57">
        <f>(31*0.1790888*100000/1000000)+(31*0.2374*100000/1000000)</f>
        <v>1.2911152800000001</v>
      </c>
      <c r="Y600" s="57"/>
      <c r="Z600" s="14"/>
      <c r="AA600" s="56"/>
      <c r="AB600" s="50">
        <f>(B600*122.58+C600*297.941+D600*89.177+E600*40.302+F600*40+G600*160+H600*0+I600*100+J600*300)/(122.58+297.941+89.177+40.302+0+40+160+100+300)</f>
        <v>34.545767375652169</v>
      </c>
      <c r="AC600" s="45">
        <f>(M600*'RAP TEMPLATE-GAS AVAILABILITY'!O599+N600*'RAP TEMPLATE-GAS AVAILABILITY'!P599+O600*'RAP TEMPLATE-GAS AVAILABILITY'!Q599+P600*'RAP TEMPLATE-GAS AVAILABILITY'!R599)/('RAP TEMPLATE-GAS AVAILABILITY'!O599+'RAP TEMPLATE-GAS AVAILABILITY'!P599+'RAP TEMPLATE-GAS AVAILABILITY'!Q599+'RAP TEMPLATE-GAS AVAILABILITY'!R599)</f>
        <v>33.88358920863309</v>
      </c>
    </row>
    <row r="601" spans="1:29" ht="15.75" x14ac:dyDescent="0.25">
      <c r="A601" s="32">
        <v>59202</v>
      </c>
      <c r="B601" s="14">
        <f>CHOOSE(CONTROL!$C$42, 37.3649, 37.3649) * CHOOSE(CONTROL!$C$21, $C$9, 100%, $E$9)</f>
        <v>37.364899999999999</v>
      </c>
      <c r="C601" s="14">
        <f>CHOOSE(CONTROL!$C$42, 37.3699, 37.3699) * CHOOSE(CONTROL!$C$21, $C$9, 100%, $E$9)</f>
        <v>37.369900000000001</v>
      </c>
      <c r="D601" s="14">
        <f>CHOOSE(CONTROL!$C$42, 37.4467, 37.4467) * CHOOSE(CONTROL!$C$21, $C$9, 100%, $E$9)</f>
        <v>37.4467</v>
      </c>
      <c r="E601" s="14">
        <f>CHOOSE(CONTROL!$C$42, 37.4808, 37.4808) * CHOOSE(CONTROL!$C$21, $C$9, 100%, $E$9)</f>
        <v>37.480800000000002</v>
      </c>
      <c r="F601" s="14">
        <f>CHOOSE(CONTROL!$C$42, 37.3896, 37.3896)*CHOOSE(CONTROL!$C$21, $C$9, 100%, $E$9)</f>
        <v>37.389600000000002</v>
      </c>
      <c r="G601" s="14">
        <f>CHOOSE(CONTROL!$C$42, 37.4076, 37.4076)*CHOOSE(CONTROL!$C$21, $C$9, 100%, $E$9)</f>
        <v>37.407600000000002</v>
      </c>
      <c r="H601" s="14">
        <f>CHOOSE(CONTROL!$C$42, 37.47, 37.47) * CHOOSE(CONTROL!$C$21, $C$9, 100%, $E$9)</f>
        <v>37.47</v>
      </c>
      <c r="I601" s="14">
        <f>CHOOSE(CONTROL!$C$42, 37.5156, 37.5156)* CHOOSE(CONTROL!$C$21, $C$9, 100%, $E$9)</f>
        <v>37.515599999999999</v>
      </c>
      <c r="J601" s="14">
        <f>CHOOSE(CONTROL!$C$42, 37.3826, 37.3826)* CHOOSE(CONTROL!$C$21, $C$9, 100%, $E$9)</f>
        <v>37.382599999999996</v>
      </c>
      <c r="K601" s="53">
        <f>CHOOSE(CONTROL!$C$42, 37.5117, 37.5117) * CHOOSE(CONTROL!$C$21, $C$9, 100%, $E$9)</f>
        <v>37.511699999999998</v>
      </c>
      <c r="L601" s="14">
        <f>CHOOSE(CONTROL!$C$42, 38.057, 38.057) * CHOOSE(CONTROL!$C$21, $C$9, 100%, $E$9)</f>
        <v>38.057000000000002</v>
      </c>
      <c r="M601" s="14">
        <f>CHOOSE(CONTROL!$C$42, 36.6243, 36.6243) * CHOOSE(CONTROL!$C$21, $C$9, 100%, $E$9)</f>
        <v>36.624299999999998</v>
      </c>
      <c r="N601" s="14">
        <f>CHOOSE(CONTROL!$C$42, 36.6419, 36.6419) * CHOOSE(CONTROL!$C$21, $C$9, 100%, $E$9)</f>
        <v>36.6419</v>
      </c>
      <c r="O601" s="14">
        <f>CHOOSE(CONTROL!$C$42, 36.71, 36.71) * CHOOSE(CONTROL!$C$21, $C$9, 100%, $E$9)</f>
        <v>36.71</v>
      </c>
      <c r="P601" s="14">
        <f>CHOOSE(CONTROL!$C$42, 36.7523, 36.7523) * CHOOSE(CONTROL!$C$21, $C$9, 100%, $E$9)</f>
        <v>36.752299999999998</v>
      </c>
      <c r="Q601" s="14">
        <f>CHOOSE(CONTROL!$C$42, 37.3047, 37.3047) * CHOOSE(CONTROL!$C$21, $C$9, 100%, $E$9)</f>
        <v>37.304699999999997</v>
      </c>
      <c r="R601" s="14">
        <f>CHOOSE(CONTROL!$C$42, 37.985, 37.985) * CHOOSE(CONTROL!$C$21, $C$9, 100%, $E$9)</f>
        <v>37.984999999999999</v>
      </c>
      <c r="S601" s="14">
        <f>CHOOSE(CONTROL!$C$42, 35.8953, 35.8953) * CHOOSE(CONTROL!$C$21, $C$9, 100%, $E$9)</f>
        <v>35.895299999999999</v>
      </c>
      <c r="T60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01" s="57">
        <f>(1000*CHOOSE(CONTROL!$C$42, 695, 695)*CHOOSE(CONTROL!$C$42, 0.5599, 0.5599)*CHOOSE(CONTROL!$C$42, 31, 31))/1000000</f>
        <v>12.063045499999998</v>
      </c>
      <c r="V601" s="57">
        <f>(1000*CHOOSE(CONTROL!$C$42, 500, 500)*CHOOSE(CONTROL!$C$42, 0.275, 0.275)*CHOOSE(CONTROL!$C$42, 31, 31))/1000000</f>
        <v>4.2625000000000002</v>
      </c>
      <c r="W601" s="57">
        <f>(1000*CHOOSE(CONTROL!$C$42, 0.1146, 0.1146)*CHOOSE(CONTROL!$C$42, 121.5, 121.5)*CHOOSE(CONTROL!$C$42, 31, 31))/1000000</f>
        <v>0.43164089999999994</v>
      </c>
      <c r="X601" s="57">
        <f>(31*0.1790888*100000/1000000)+(31*0.2374*100000/1000000)</f>
        <v>1.2911152800000001</v>
      </c>
      <c r="Y601" s="57"/>
      <c r="Z601" s="14"/>
      <c r="AA601" s="56"/>
      <c r="AB601" s="50">
        <f>(B601*122.58+C601*297.941+D601*89.177+E601*40.302+F601*40+G601*160+H601*0+I601*100+J601*300)/(122.58+297.941+89.177+40.302+0+40+160+100+300)</f>
        <v>37.401122074260876</v>
      </c>
      <c r="AC601" s="45">
        <f>(M601*'RAP TEMPLATE-GAS AVAILABILITY'!O600+N601*'RAP TEMPLATE-GAS AVAILABILITY'!P600+O601*'RAP TEMPLATE-GAS AVAILABILITY'!Q600+P601*'RAP TEMPLATE-GAS AVAILABILITY'!R600)/('RAP TEMPLATE-GAS AVAILABILITY'!O600+'RAP TEMPLATE-GAS AVAILABILITY'!P600+'RAP TEMPLATE-GAS AVAILABILITY'!Q600+'RAP TEMPLATE-GAS AVAILABILITY'!R600)</f>
        <v>36.682572661870502</v>
      </c>
    </row>
    <row r="602" spans="1:29" ht="15.75" x14ac:dyDescent="0.25">
      <c r="A602" s="32">
        <v>59230</v>
      </c>
      <c r="B602" s="14">
        <f>CHOOSE(CONTROL!$C$42, 38.0298, 38.0298) * CHOOSE(CONTROL!$C$21, $C$9, 100%, $E$9)</f>
        <v>38.029800000000002</v>
      </c>
      <c r="C602" s="14">
        <f>CHOOSE(CONTROL!$C$42, 38.0349, 38.0349) * CHOOSE(CONTROL!$C$21, $C$9, 100%, $E$9)</f>
        <v>38.0349</v>
      </c>
      <c r="D602" s="14">
        <f>CHOOSE(CONTROL!$C$42, 38.1117, 38.1117) * CHOOSE(CONTROL!$C$21, $C$9, 100%, $E$9)</f>
        <v>38.111699999999999</v>
      </c>
      <c r="E602" s="14">
        <f>CHOOSE(CONTROL!$C$42, 38.1458, 38.1458) * CHOOSE(CONTROL!$C$21, $C$9, 100%, $E$9)</f>
        <v>38.145800000000001</v>
      </c>
      <c r="F602" s="14">
        <f>CHOOSE(CONTROL!$C$42, 38.0542, 38.0542)*CHOOSE(CONTROL!$C$21, $C$9, 100%, $E$9)</f>
        <v>38.054200000000002</v>
      </c>
      <c r="G602" s="14">
        <f>CHOOSE(CONTROL!$C$42, 38.072, 38.072)*CHOOSE(CONTROL!$C$21, $C$9, 100%, $E$9)</f>
        <v>38.072000000000003</v>
      </c>
      <c r="H602" s="14">
        <f>CHOOSE(CONTROL!$C$42, 38.135, 38.135) * CHOOSE(CONTROL!$C$21, $C$9, 100%, $E$9)</f>
        <v>38.134999999999998</v>
      </c>
      <c r="I602" s="14">
        <f>CHOOSE(CONTROL!$C$42, 38.1827, 38.1827)* CHOOSE(CONTROL!$C$21, $C$9, 100%, $E$9)</f>
        <v>38.182699999999997</v>
      </c>
      <c r="J602" s="14">
        <f>CHOOSE(CONTROL!$C$42, 38.0472, 38.0472)* CHOOSE(CONTROL!$C$21, $C$9, 100%, $E$9)</f>
        <v>38.047199999999997</v>
      </c>
      <c r="K602" s="53">
        <f>CHOOSE(CONTROL!$C$42, 38.1788, 38.1788) * CHOOSE(CONTROL!$C$21, $C$9, 100%, $E$9)</f>
        <v>38.178800000000003</v>
      </c>
      <c r="L602" s="14">
        <f>CHOOSE(CONTROL!$C$42, 38.722, 38.722) * CHOOSE(CONTROL!$C$21, $C$9, 100%, $E$9)</f>
        <v>38.722000000000001</v>
      </c>
      <c r="M602" s="14">
        <f>CHOOSE(CONTROL!$C$42, 37.2753, 37.2753) * CHOOSE(CONTROL!$C$21, $C$9, 100%, $E$9)</f>
        <v>37.275300000000001</v>
      </c>
      <c r="N602" s="14">
        <f>CHOOSE(CONTROL!$C$42, 37.2928, 37.2928) * CHOOSE(CONTROL!$C$21, $C$9, 100%, $E$9)</f>
        <v>37.2928</v>
      </c>
      <c r="O602" s="14">
        <f>CHOOSE(CONTROL!$C$42, 37.3614, 37.3614) * CHOOSE(CONTROL!$C$21, $C$9, 100%, $E$9)</f>
        <v>37.361400000000003</v>
      </c>
      <c r="P602" s="14">
        <f>CHOOSE(CONTROL!$C$42, 37.4057, 37.4057) * CHOOSE(CONTROL!$C$21, $C$9, 100%, $E$9)</f>
        <v>37.405700000000003</v>
      </c>
      <c r="Q602" s="14">
        <f>CHOOSE(CONTROL!$C$42, 37.9561, 37.9561) * CHOOSE(CONTROL!$C$21, $C$9, 100%, $E$9)</f>
        <v>37.956099999999999</v>
      </c>
      <c r="R602" s="14">
        <f>CHOOSE(CONTROL!$C$42, 38.6379, 38.6379) * CHOOSE(CONTROL!$C$21, $C$9, 100%, $E$9)</f>
        <v>38.637900000000002</v>
      </c>
      <c r="S602" s="14">
        <f>CHOOSE(CONTROL!$C$42, 36.5343, 36.5343) * CHOOSE(CONTROL!$C$21, $C$9, 100%, $E$9)</f>
        <v>36.534300000000002</v>
      </c>
      <c r="T60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02" s="57">
        <f>(1000*CHOOSE(CONTROL!$C$42, 695, 695)*CHOOSE(CONTROL!$C$42, 0.5599, 0.5599)*CHOOSE(CONTROL!$C$42, 28, 28))/1000000</f>
        <v>10.895653999999999</v>
      </c>
      <c r="V602" s="57">
        <f>(1000*CHOOSE(CONTROL!$C$42, 500, 500)*CHOOSE(CONTROL!$C$42, 0.275, 0.275)*CHOOSE(CONTROL!$C$42, 28, 28))/1000000</f>
        <v>3.85</v>
      </c>
      <c r="W602" s="57">
        <f>(1000*CHOOSE(CONTROL!$C$42, 0.1146, 0.1146)*CHOOSE(CONTROL!$C$42, 121.5, 121.5)*CHOOSE(CONTROL!$C$42, 28, 28))/1000000</f>
        <v>0.38986920000000003</v>
      </c>
      <c r="X602" s="57">
        <f>(28*0.1790888*100000/1000000)+(28*0.2374*100000/1000000)</f>
        <v>1.16616864</v>
      </c>
      <c r="Y602" s="57"/>
      <c r="Z602" s="14"/>
      <c r="AA602" s="56"/>
      <c r="AB602" s="50">
        <f>(B602*122.58+C602*297.941+D602*89.177+E602*40.302+F602*40+G602*160+H602*0+I602*100+J602*300)/(122.58+297.941+89.177+40.302+0+40+160+100+300)</f>
        <v>38.066092284695657</v>
      </c>
      <c r="AC602" s="45">
        <f>(M602*'RAP TEMPLATE-GAS AVAILABILITY'!O601+N602*'RAP TEMPLATE-GAS AVAILABILITY'!P601+O602*'RAP TEMPLATE-GAS AVAILABILITY'!Q601+P602*'RAP TEMPLATE-GAS AVAILABILITY'!R601)/('RAP TEMPLATE-GAS AVAILABILITY'!O601+'RAP TEMPLATE-GAS AVAILABILITY'!P601+'RAP TEMPLATE-GAS AVAILABILITY'!Q601+'RAP TEMPLATE-GAS AVAILABILITY'!R601)</f>
        <v>37.334093525179853</v>
      </c>
    </row>
    <row r="603" spans="1:29" ht="15.75" x14ac:dyDescent="0.25">
      <c r="A603" s="32">
        <v>59261</v>
      </c>
      <c r="B603" s="14">
        <f>CHOOSE(CONTROL!$C$42, 36.9504, 36.9504) * CHOOSE(CONTROL!$C$21, $C$9, 100%, $E$9)</f>
        <v>36.950400000000002</v>
      </c>
      <c r="C603" s="14">
        <f>CHOOSE(CONTROL!$C$42, 36.9555, 36.9555) * CHOOSE(CONTROL!$C$21, $C$9, 100%, $E$9)</f>
        <v>36.955500000000001</v>
      </c>
      <c r="D603" s="14">
        <f>CHOOSE(CONTROL!$C$42, 37.0323, 37.0323) * CHOOSE(CONTROL!$C$21, $C$9, 100%, $E$9)</f>
        <v>37.032299999999999</v>
      </c>
      <c r="E603" s="14">
        <f>CHOOSE(CONTROL!$C$42, 37.0664, 37.0664) * CHOOSE(CONTROL!$C$21, $C$9, 100%, $E$9)</f>
        <v>37.066400000000002</v>
      </c>
      <c r="F603" s="14">
        <f>CHOOSE(CONTROL!$C$42, 36.9739, 36.9739)*CHOOSE(CONTROL!$C$21, $C$9, 100%, $E$9)</f>
        <v>36.9739</v>
      </c>
      <c r="G603" s="14">
        <f>CHOOSE(CONTROL!$C$42, 36.9915, 36.9915)*CHOOSE(CONTROL!$C$21, $C$9, 100%, $E$9)</f>
        <v>36.991500000000002</v>
      </c>
      <c r="H603" s="14">
        <f>CHOOSE(CONTROL!$C$42, 37.0556, 37.0556) * CHOOSE(CONTROL!$C$21, $C$9, 100%, $E$9)</f>
        <v>37.055599999999998</v>
      </c>
      <c r="I603" s="14">
        <f>CHOOSE(CONTROL!$C$42, 37.0999, 37.0999)* CHOOSE(CONTROL!$C$21, $C$9, 100%, $E$9)</f>
        <v>37.099899999999998</v>
      </c>
      <c r="J603" s="14">
        <f>CHOOSE(CONTROL!$C$42, 36.9669, 36.9669)* CHOOSE(CONTROL!$C$21, $C$9, 100%, $E$9)</f>
        <v>36.966900000000003</v>
      </c>
      <c r="K603" s="53">
        <f>CHOOSE(CONTROL!$C$42, 37.096, 37.096) * CHOOSE(CONTROL!$C$21, $C$9, 100%, $E$9)</f>
        <v>37.095999999999997</v>
      </c>
      <c r="L603" s="14">
        <f>CHOOSE(CONTROL!$C$42, 37.6426, 37.6426) * CHOOSE(CONTROL!$C$21, $C$9, 100%, $E$9)</f>
        <v>37.642600000000002</v>
      </c>
      <c r="M603" s="14">
        <f>CHOOSE(CONTROL!$C$42, 36.2171, 36.2171) * CHOOSE(CONTROL!$C$21, $C$9, 100%, $E$9)</f>
        <v>36.217100000000002</v>
      </c>
      <c r="N603" s="14">
        <f>CHOOSE(CONTROL!$C$42, 36.2344, 36.2344) * CHOOSE(CONTROL!$C$21, $C$9, 100%, $E$9)</f>
        <v>36.234400000000001</v>
      </c>
      <c r="O603" s="14">
        <f>CHOOSE(CONTROL!$C$42, 36.304, 36.304) * CHOOSE(CONTROL!$C$21, $C$9, 100%, $E$9)</f>
        <v>36.304000000000002</v>
      </c>
      <c r="P603" s="14">
        <f>CHOOSE(CONTROL!$C$42, 36.3451, 36.3451) * CHOOSE(CONTROL!$C$21, $C$9, 100%, $E$9)</f>
        <v>36.345100000000002</v>
      </c>
      <c r="Q603" s="14">
        <f>CHOOSE(CONTROL!$C$42, 36.8987, 36.8987) * CHOOSE(CONTROL!$C$21, $C$9, 100%, $E$9)</f>
        <v>36.898699999999998</v>
      </c>
      <c r="R603" s="14">
        <f>CHOOSE(CONTROL!$C$42, 37.578, 37.578) * CHOOSE(CONTROL!$C$21, $C$9, 100%, $E$9)</f>
        <v>37.578000000000003</v>
      </c>
      <c r="S603" s="14">
        <f>CHOOSE(CONTROL!$C$42, 35.4971, 35.4971) * CHOOSE(CONTROL!$C$21, $C$9, 100%, $E$9)</f>
        <v>35.497100000000003</v>
      </c>
      <c r="T60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03" s="57">
        <f>(1000*CHOOSE(CONTROL!$C$42, 695, 695)*CHOOSE(CONTROL!$C$42, 0.5599, 0.5599)*CHOOSE(CONTROL!$C$42, 31, 31))/1000000</f>
        <v>12.063045499999998</v>
      </c>
      <c r="V603" s="57">
        <f>(1000*CHOOSE(CONTROL!$C$42, 500, 500)*CHOOSE(CONTROL!$C$42, 0.275, 0.275)*CHOOSE(CONTROL!$C$42, 31, 31))/1000000</f>
        <v>4.2625000000000002</v>
      </c>
      <c r="W603" s="57">
        <f>(1000*CHOOSE(CONTROL!$C$42, 0.1146, 0.1146)*CHOOSE(CONTROL!$C$42, 121.5, 121.5)*CHOOSE(CONTROL!$C$42, 31, 31))/1000000</f>
        <v>0.43164089999999994</v>
      </c>
      <c r="X603" s="57">
        <f>(31*0.1790888*100000/1000000)+(31*0.2374*100000/1000000)</f>
        <v>1.2911152800000001</v>
      </c>
      <c r="Y603" s="57"/>
      <c r="Z603" s="14"/>
      <c r="AA603" s="56"/>
      <c r="AB603" s="50">
        <f>(B603*122.58+C603*297.941+D603*89.177+E603*40.302+F603*40+G603*160+H603*0+I603*100+J603*300)/(122.58+297.941+89.177+40.302+0+40+160+100+300)</f>
        <v>36.985977502086953</v>
      </c>
      <c r="AC603" s="45">
        <f>(M603*'RAP TEMPLATE-GAS AVAILABILITY'!O602+N603*'RAP TEMPLATE-GAS AVAILABILITY'!P602+O603*'RAP TEMPLATE-GAS AVAILABILITY'!Q602+P603*'RAP TEMPLATE-GAS AVAILABILITY'!R602)/('RAP TEMPLATE-GAS AVAILABILITY'!O602+'RAP TEMPLATE-GAS AVAILABILITY'!P602+'RAP TEMPLATE-GAS AVAILABILITY'!Q602+'RAP TEMPLATE-GAS AVAILABILITY'!R602)</f>
        <v>36.275899280575537</v>
      </c>
    </row>
    <row r="604" spans="1:29" ht="15.75" x14ac:dyDescent="0.25">
      <c r="A604" s="32">
        <v>59291</v>
      </c>
      <c r="B604" s="14">
        <f>CHOOSE(CONTROL!$C$42, 36.8408, 36.8408) * CHOOSE(CONTROL!$C$21, $C$9, 100%, $E$9)</f>
        <v>36.840800000000002</v>
      </c>
      <c r="C604" s="14">
        <f>CHOOSE(CONTROL!$C$42, 36.8453, 36.8453) * CHOOSE(CONTROL!$C$21, $C$9, 100%, $E$9)</f>
        <v>36.845300000000002</v>
      </c>
      <c r="D604" s="14">
        <f>CHOOSE(CONTROL!$C$42, 37.069, 37.069) * CHOOSE(CONTROL!$C$21, $C$9, 100%, $E$9)</f>
        <v>37.069000000000003</v>
      </c>
      <c r="E604" s="14">
        <f>CHOOSE(CONTROL!$C$42, 37.1011, 37.1011) * CHOOSE(CONTROL!$C$21, $C$9, 100%, $E$9)</f>
        <v>37.101100000000002</v>
      </c>
      <c r="F604" s="14">
        <f>CHOOSE(CONTROL!$C$42, 36.8685, 36.8685)*CHOOSE(CONTROL!$C$21, $C$9, 100%, $E$9)</f>
        <v>36.868499999999997</v>
      </c>
      <c r="G604" s="14">
        <f>CHOOSE(CONTROL!$C$42, 36.8854, 36.8854)*CHOOSE(CONTROL!$C$21, $C$9, 100%, $E$9)</f>
        <v>36.885399999999997</v>
      </c>
      <c r="H604" s="14">
        <f>CHOOSE(CONTROL!$C$42, 37.0909, 37.0909) * CHOOSE(CONTROL!$C$21, $C$9, 100%, $E$9)</f>
        <v>37.090899999999998</v>
      </c>
      <c r="I604" s="14">
        <f>CHOOSE(CONTROL!$C$42, 36.9855, 36.9855)* CHOOSE(CONTROL!$C$21, $C$9, 100%, $E$9)</f>
        <v>36.985500000000002</v>
      </c>
      <c r="J604" s="14">
        <f>CHOOSE(CONTROL!$C$42, 36.8615, 36.8615)* CHOOSE(CONTROL!$C$21, $C$9, 100%, $E$9)</f>
        <v>36.861499999999999</v>
      </c>
      <c r="K604" s="53">
        <f>CHOOSE(CONTROL!$C$42, 36.9816, 36.9816) * CHOOSE(CONTROL!$C$21, $C$9, 100%, $E$9)</f>
        <v>36.9816</v>
      </c>
      <c r="L604" s="14">
        <f>CHOOSE(CONTROL!$C$42, 37.6779, 37.6779) * CHOOSE(CONTROL!$C$21, $C$9, 100%, $E$9)</f>
        <v>37.677900000000001</v>
      </c>
      <c r="M604" s="14">
        <f>CHOOSE(CONTROL!$C$42, 36.1139, 36.1139) * CHOOSE(CONTROL!$C$21, $C$9, 100%, $E$9)</f>
        <v>36.113900000000001</v>
      </c>
      <c r="N604" s="14">
        <f>CHOOSE(CONTROL!$C$42, 36.1305, 36.1305) * CHOOSE(CONTROL!$C$21, $C$9, 100%, $E$9)</f>
        <v>36.130499999999998</v>
      </c>
      <c r="O604" s="14">
        <f>CHOOSE(CONTROL!$C$42, 36.3386, 36.3386) * CHOOSE(CONTROL!$C$21, $C$9, 100%, $E$9)</f>
        <v>36.3386</v>
      </c>
      <c r="P604" s="14">
        <f>CHOOSE(CONTROL!$C$42, 36.2331, 36.2331) * CHOOSE(CONTROL!$C$21, $C$9, 100%, $E$9)</f>
        <v>36.2331</v>
      </c>
      <c r="Q604" s="14">
        <f>CHOOSE(CONTROL!$C$42, 36.9333, 36.9333) * CHOOSE(CONTROL!$C$21, $C$9, 100%, $E$9)</f>
        <v>36.933300000000003</v>
      </c>
      <c r="R604" s="14">
        <f>CHOOSE(CONTROL!$C$42, 37.6127, 37.6127) * CHOOSE(CONTROL!$C$21, $C$9, 100%, $E$9)</f>
        <v>37.612699999999997</v>
      </c>
      <c r="S604" s="14">
        <f>CHOOSE(CONTROL!$C$42, 35.391, 35.391) * CHOOSE(CONTROL!$C$21, $C$9, 100%, $E$9)</f>
        <v>35.390999999999998</v>
      </c>
      <c r="T60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04" s="57">
        <f>(1000*CHOOSE(CONTROL!$C$42, 695, 695)*CHOOSE(CONTROL!$C$42, 0.5599, 0.5599)*CHOOSE(CONTROL!$C$42, 30, 30))/1000000</f>
        <v>11.673914999999997</v>
      </c>
      <c r="V604" s="57">
        <f>(1000*CHOOSE(CONTROL!$C$42, 500, 500)*CHOOSE(CONTROL!$C$42, 0.275, 0.275)*CHOOSE(CONTROL!$C$42, 30, 30))/1000000</f>
        <v>4.125</v>
      </c>
      <c r="W604" s="57">
        <f>(1000*CHOOSE(CONTROL!$C$42, 0.1146, 0.1146)*CHOOSE(CONTROL!$C$42, 121.5, 121.5)*CHOOSE(CONTROL!$C$42, 30, 30))/1000000</f>
        <v>0.417717</v>
      </c>
      <c r="X604" s="57">
        <f>(30*0.1790888*245000/1000000)+(30*0.2374*100000/1000000)</f>
        <v>2.0285026799999999</v>
      </c>
      <c r="Y604" s="57"/>
      <c r="Z604" s="14"/>
      <c r="AA604" s="56"/>
      <c r="AB604" s="50">
        <f>(B604*141.293+C604*267.993+D604*115.016+E604*89.698+F604*40+G604*185+H604*0+I604*100+J604*300)/(141.293+267.993+115.016+89.698+0+40+185+100+300)</f>
        <v>36.906046173607756</v>
      </c>
      <c r="AC604" s="45">
        <f>(M604*'RAP TEMPLATE-GAS AVAILABILITY'!O603+N604*'RAP TEMPLATE-GAS AVAILABILITY'!P603+O604*'RAP TEMPLATE-GAS AVAILABILITY'!Q603+P604*'RAP TEMPLATE-GAS AVAILABILITY'!R603)/('RAP TEMPLATE-GAS AVAILABILITY'!O603+'RAP TEMPLATE-GAS AVAILABILITY'!P603+'RAP TEMPLATE-GAS AVAILABILITY'!Q603+'RAP TEMPLATE-GAS AVAILABILITY'!R603)</f>
        <v>36.233848920863309</v>
      </c>
    </row>
    <row r="605" spans="1:29" ht="15.75" x14ac:dyDescent="0.25">
      <c r="A605" s="32">
        <v>59322</v>
      </c>
      <c r="B605" s="14">
        <f>CHOOSE(CONTROL!$C$42, 37.1673, 37.1673) * CHOOSE(CONTROL!$C$21, $C$9, 100%, $E$9)</f>
        <v>37.167299999999997</v>
      </c>
      <c r="C605" s="14">
        <f>CHOOSE(CONTROL!$C$42, 37.1753, 37.1753) * CHOOSE(CONTROL!$C$21, $C$9, 100%, $E$9)</f>
        <v>37.1753</v>
      </c>
      <c r="D605" s="14">
        <f>CHOOSE(CONTROL!$C$42, 37.3959, 37.3959) * CHOOSE(CONTROL!$C$21, $C$9, 100%, $E$9)</f>
        <v>37.395899999999997</v>
      </c>
      <c r="E605" s="14">
        <f>CHOOSE(CONTROL!$C$42, 37.4274, 37.4274) * CHOOSE(CONTROL!$C$21, $C$9, 100%, $E$9)</f>
        <v>37.427399999999999</v>
      </c>
      <c r="F605" s="14">
        <f>CHOOSE(CONTROL!$C$42, 37.1935, 37.1935)*CHOOSE(CONTROL!$C$21, $C$9, 100%, $E$9)</f>
        <v>37.1935</v>
      </c>
      <c r="G605" s="14">
        <f>CHOOSE(CONTROL!$C$42, 37.2107, 37.2107)*CHOOSE(CONTROL!$C$21, $C$9, 100%, $E$9)</f>
        <v>37.210700000000003</v>
      </c>
      <c r="H605" s="14">
        <f>CHOOSE(CONTROL!$C$42, 37.416, 37.416) * CHOOSE(CONTROL!$C$21, $C$9, 100%, $E$9)</f>
        <v>37.415999999999997</v>
      </c>
      <c r="I605" s="14">
        <f>CHOOSE(CONTROL!$C$42, 37.3116, 37.3116)* CHOOSE(CONTROL!$C$21, $C$9, 100%, $E$9)</f>
        <v>37.311599999999999</v>
      </c>
      <c r="J605" s="14">
        <f>CHOOSE(CONTROL!$C$42, 37.1865, 37.1865)* CHOOSE(CONTROL!$C$21, $C$9, 100%, $E$9)</f>
        <v>37.186500000000002</v>
      </c>
      <c r="K605" s="53">
        <f>CHOOSE(CONTROL!$C$42, 37.3077, 37.3077) * CHOOSE(CONTROL!$C$21, $C$9, 100%, $E$9)</f>
        <v>37.307699999999997</v>
      </c>
      <c r="L605" s="14">
        <f>CHOOSE(CONTROL!$C$42, 38.003, 38.003) * CHOOSE(CONTROL!$C$21, $C$9, 100%, $E$9)</f>
        <v>38.003</v>
      </c>
      <c r="M605" s="14">
        <f>CHOOSE(CONTROL!$C$42, 36.4323, 36.4323) * CHOOSE(CONTROL!$C$21, $C$9, 100%, $E$9)</f>
        <v>36.432299999999998</v>
      </c>
      <c r="N605" s="14">
        <f>CHOOSE(CONTROL!$C$42, 36.4491, 36.4491) * CHOOSE(CONTROL!$C$21, $C$9, 100%, $E$9)</f>
        <v>36.449100000000001</v>
      </c>
      <c r="O605" s="14">
        <f>CHOOSE(CONTROL!$C$42, 36.657, 36.657) * CHOOSE(CONTROL!$C$21, $C$9, 100%, $E$9)</f>
        <v>36.656999999999996</v>
      </c>
      <c r="P605" s="14">
        <f>CHOOSE(CONTROL!$C$42, 36.5525, 36.5525) * CHOOSE(CONTROL!$C$21, $C$9, 100%, $E$9)</f>
        <v>36.552500000000002</v>
      </c>
      <c r="Q605" s="14">
        <f>CHOOSE(CONTROL!$C$42, 37.2517, 37.2517) * CHOOSE(CONTROL!$C$21, $C$9, 100%, $E$9)</f>
        <v>37.2517</v>
      </c>
      <c r="R605" s="14">
        <f>CHOOSE(CONTROL!$C$42, 37.9319, 37.9319) * CHOOSE(CONTROL!$C$21, $C$9, 100%, $E$9)</f>
        <v>37.931899999999999</v>
      </c>
      <c r="S605" s="14">
        <f>CHOOSE(CONTROL!$C$42, 35.7034, 35.7034) * CHOOSE(CONTROL!$C$21, $C$9, 100%, $E$9)</f>
        <v>35.703400000000002</v>
      </c>
      <c r="T60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05" s="57">
        <f>(1000*CHOOSE(CONTROL!$C$42, 695, 695)*CHOOSE(CONTROL!$C$42, 0.5599, 0.5599)*CHOOSE(CONTROL!$C$42, 31, 31))/1000000</f>
        <v>12.063045499999998</v>
      </c>
      <c r="V605" s="57">
        <f>(1000*CHOOSE(CONTROL!$C$42, 500, 500)*CHOOSE(CONTROL!$C$42, 0.275, 0.275)*CHOOSE(CONTROL!$C$42, 31, 31))/1000000</f>
        <v>4.2625000000000002</v>
      </c>
      <c r="W605" s="57">
        <f>(1000*CHOOSE(CONTROL!$C$42, 0.1146, 0.1146)*CHOOSE(CONTROL!$C$42, 121.5, 121.5)*CHOOSE(CONTROL!$C$42, 31, 31))/1000000</f>
        <v>0.43164089999999994</v>
      </c>
      <c r="X605" s="57">
        <f>(31*0.1790888*245000/1000000)+(31*0.2374*100000/1000000)</f>
        <v>2.0961194359999999</v>
      </c>
      <c r="Y605" s="57"/>
      <c r="Z605" s="14"/>
      <c r="AA605" s="56"/>
      <c r="AB605" s="50">
        <f>(B605*194.205+C605*267.466+D605*133.845+E605*53.484+F605*40+G605*185+H605*0+I605*100+J605*300)/(194.205+267.466+133.845+53.484+0+40+185+100+300)</f>
        <v>37.226887820565153</v>
      </c>
      <c r="AC605" s="45">
        <f>(M605*'RAP TEMPLATE-GAS AVAILABILITY'!O604+N605*'RAP TEMPLATE-GAS AVAILABILITY'!P604+O605*'RAP TEMPLATE-GAS AVAILABILITY'!Q604+P605*'RAP TEMPLATE-GAS AVAILABILITY'!R604)/('RAP TEMPLATE-GAS AVAILABILITY'!O604+'RAP TEMPLATE-GAS AVAILABILITY'!P604+'RAP TEMPLATE-GAS AVAILABILITY'!Q604+'RAP TEMPLATE-GAS AVAILABILITY'!R604)</f>
        <v>36.552404316546763</v>
      </c>
    </row>
    <row r="606" spans="1:29" ht="15.75" x14ac:dyDescent="0.25">
      <c r="A606" s="32">
        <v>59352</v>
      </c>
      <c r="B606" s="14">
        <f>CHOOSE(CONTROL!$C$42, 38.2212, 38.2212) * CHOOSE(CONTROL!$C$21, $C$9, 100%, $E$9)</f>
        <v>38.221200000000003</v>
      </c>
      <c r="C606" s="14">
        <f>CHOOSE(CONTROL!$C$42, 38.2293, 38.2293) * CHOOSE(CONTROL!$C$21, $C$9, 100%, $E$9)</f>
        <v>38.229300000000002</v>
      </c>
      <c r="D606" s="14">
        <f>CHOOSE(CONTROL!$C$42, 38.4499, 38.4499) * CHOOSE(CONTROL!$C$21, $C$9, 100%, $E$9)</f>
        <v>38.4499</v>
      </c>
      <c r="E606" s="14">
        <f>CHOOSE(CONTROL!$C$42, 38.4813, 38.4813) * CHOOSE(CONTROL!$C$21, $C$9, 100%, $E$9)</f>
        <v>38.481299999999997</v>
      </c>
      <c r="F606" s="14">
        <f>CHOOSE(CONTROL!$C$42, 38.2479, 38.2479)*CHOOSE(CONTROL!$C$21, $C$9, 100%, $E$9)</f>
        <v>38.247900000000001</v>
      </c>
      <c r="G606" s="14">
        <f>CHOOSE(CONTROL!$C$42, 38.2651, 38.2651)*CHOOSE(CONTROL!$C$21, $C$9, 100%, $E$9)</f>
        <v>38.265099999999997</v>
      </c>
      <c r="H606" s="14">
        <f>CHOOSE(CONTROL!$C$42, 38.4699, 38.4699) * CHOOSE(CONTROL!$C$21, $C$9, 100%, $E$9)</f>
        <v>38.469900000000003</v>
      </c>
      <c r="I606" s="14">
        <f>CHOOSE(CONTROL!$C$42, 38.3688, 38.3688)* CHOOSE(CONTROL!$C$21, $C$9, 100%, $E$9)</f>
        <v>38.3688</v>
      </c>
      <c r="J606" s="14">
        <f>CHOOSE(CONTROL!$C$42, 38.2409, 38.2409)* CHOOSE(CONTROL!$C$21, $C$9, 100%, $E$9)</f>
        <v>38.240900000000003</v>
      </c>
      <c r="K606" s="53">
        <f>CHOOSE(CONTROL!$C$42, 38.3649, 38.3649) * CHOOSE(CONTROL!$C$21, $C$9, 100%, $E$9)</f>
        <v>38.364899999999999</v>
      </c>
      <c r="L606" s="14">
        <f>CHOOSE(CONTROL!$C$42, 39.0569, 39.0569) * CHOOSE(CONTROL!$C$21, $C$9, 100%, $E$9)</f>
        <v>39.056899999999999</v>
      </c>
      <c r="M606" s="14">
        <f>CHOOSE(CONTROL!$C$42, 37.465, 37.465) * CHOOSE(CONTROL!$C$21, $C$9, 100%, $E$9)</f>
        <v>37.465000000000003</v>
      </c>
      <c r="N606" s="14">
        <f>CHOOSE(CONTROL!$C$42, 37.4819, 37.4819) * CHOOSE(CONTROL!$C$21, $C$9, 100%, $E$9)</f>
        <v>37.481900000000003</v>
      </c>
      <c r="O606" s="14">
        <f>CHOOSE(CONTROL!$C$42, 37.6894, 37.6894) * CHOOSE(CONTROL!$C$21, $C$9, 100%, $E$9)</f>
        <v>37.689399999999999</v>
      </c>
      <c r="P606" s="14">
        <f>CHOOSE(CONTROL!$C$42, 37.588, 37.588) * CHOOSE(CONTROL!$C$21, $C$9, 100%, $E$9)</f>
        <v>37.588000000000001</v>
      </c>
      <c r="Q606" s="14">
        <f>CHOOSE(CONTROL!$C$42, 38.2841, 38.2841) * CHOOSE(CONTROL!$C$21, $C$9, 100%, $E$9)</f>
        <v>38.284100000000002</v>
      </c>
      <c r="R606" s="14">
        <f>CHOOSE(CONTROL!$C$42, 38.9668, 38.9668) * CHOOSE(CONTROL!$C$21, $C$9, 100%, $E$9)</f>
        <v>38.966799999999999</v>
      </c>
      <c r="S606" s="14">
        <f>CHOOSE(CONTROL!$C$42, 36.7162, 36.7162) * CHOOSE(CONTROL!$C$21, $C$9, 100%, $E$9)</f>
        <v>36.716200000000001</v>
      </c>
      <c r="T60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06" s="57">
        <f>(1000*CHOOSE(CONTROL!$C$42, 695, 695)*CHOOSE(CONTROL!$C$42, 0.5599, 0.5599)*CHOOSE(CONTROL!$C$42, 30, 30))/1000000</f>
        <v>11.673914999999997</v>
      </c>
      <c r="V606" s="57">
        <f>(1000*CHOOSE(CONTROL!$C$42, 500, 500)*CHOOSE(CONTROL!$C$42, 0.275, 0.275)*CHOOSE(CONTROL!$C$42, 30, 30))/1000000</f>
        <v>4.125</v>
      </c>
      <c r="W606" s="57">
        <f>(1000*CHOOSE(CONTROL!$C$42, 0.1146, 0.1146)*CHOOSE(CONTROL!$C$42, 121.5, 121.5)*CHOOSE(CONTROL!$C$42, 30, 30))/1000000</f>
        <v>0.417717</v>
      </c>
      <c r="X606" s="57">
        <f>(30*0.1790888*245000/1000000)+(30*0.2374*100000/1000000)</f>
        <v>2.0285026799999999</v>
      </c>
      <c r="Y606" s="57"/>
      <c r="Z606" s="14"/>
      <c r="AA606" s="56"/>
      <c r="AB606" s="50">
        <f>(B606*194.205+C606*267.466+D606*133.845+E606*53.484+F606*40+G606*185+H606*0+I606*100+J606*300)/(194.205+267.466+133.845+53.484+0+40+185+100+300)</f>
        <v>38.281284391287279</v>
      </c>
      <c r="AC606" s="45">
        <f>(M606*'RAP TEMPLATE-GAS AVAILABILITY'!O605+N606*'RAP TEMPLATE-GAS AVAILABILITY'!P605+O606*'RAP TEMPLATE-GAS AVAILABILITY'!Q605+P606*'RAP TEMPLATE-GAS AVAILABILITY'!R605)/('RAP TEMPLATE-GAS AVAILABILITY'!O605+'RAP TEMPLATE-GAS AVAILABILITY'!P605+'RAP TEMPLATE-GAS AVAILABILITY'!Q605+'RAP TEMPLATE-GAS AVAILABILITY'!R605)</f>
        <v>37.585376978417266</v>
      </c>
    </row>
    <row r="607" spans="1:29" ht="15.75" x14ac:dyDescent="0.25">
      <c r="A607" s="32">
        <v>59383</v>
      </c>
      <c r="B607" s="14">
        <f>CHOOSE(CONTROL!$C$42, 37.4882, 37.4882) * CHOOSE(CONTROL!$C$21, $C$9, 100%, $E$9)</f>
        <v>37.488199999999999</v>
      </c>
      <c r="C607" s="14">
        <f>CHOOSE(CONTROL!$C$42, 37.4962, 37.4962) * CHOOSE(CONTROL!$C$21, $C$9, 100%, $E$9)</f>
        <v>37.496200000000002</v>
      </c>
      <c r="D607" s="14">
        <f>CHOOSE(CONTROL!$C$42, 37.7168, 37.7168) * CHOOSE(CONTROL!$C$21, $C$9, 100%, $E$9)</f>
        <v>37.716799999999999</v>
      </c>
      <c r="E607" s="14">
        <f>CHOOSE(CONTROL!$C$42, 37.7483, 37.7483) * CHOOSE(CONTROL!$C$21, $C$9, 100%, $E$9)</f>
        <v>37.7483</v>
      </c>
      <c r="F607" s="14">
        <f>CHOOSE(CONTROL!$C$42, 37.5153, 37.5153)*CHOOSE(CONTROL!$C$21, $C$9, 100%, $E$9)</f>
        <v>37.515300000000003</v>
      </c>
      <c r="G607" s="14">
        <f>CHOOSE(CONTROL!$C$42, 37.5326, 37.5326)*CHOOSE(CONTROL!$C$21, $C$9, 100%, $E$9)</f>
        <v>37.532600000000002</v>
      </c>
      <c r="H607" s="14">
        <f>CHOOSE(CONTROL!$C$42, 37.7369, 37.7369) * CHOOSE(CONTROL!$C$21, $C$9, 100%, $E$9)</f>
        <v>37.736899999999999</v>
      </c>
      <c r="I607" s="14">
        <f>CHOOSE(CONTROL!$C$42, 37.6335, 37.6335)* CHOOSE(CONTROL!$C$21, $C$9, 100%, $E$9)</f>
        <v>37.633499999999998</v>
      </c>
      <c r="J607" s="14">
        <f>CHOOSE(CONTROL!$C$42, 37.5083, 37.5083)* CHOOSE(CONTROL!$C$21, $C$9, 100%, $E$9)</f>
        <v>37.508299999999998</v>
      </c>
      <c r="K607" s="53">
        <f>CHOOSE(CONTROL!$C$42, 37.6296, 37.6296) * CHOOSE(CONTROL!$C$21, $C$9, 100%, $E$9)</f>
        <v>37.629600000000003</v>
      </c>
      <c r="L607" s="14">
        <f>CHOOSE(CONTROL!$C$42, 38.3239, 38.3239) * CHOOSE(CONTROL!$C$21, $C$9, 100%, $E$9)</f>
        <v>38.323900000000002</v>
      </c>
      <c r="M607" s="14">
        <f>CHOOSE(CONTROL!$C$42, 36.7474, 36.7474) * CHOOSE(CONTROL!$C$21, $C$9, 100%, $E$9)</f>
        <v>36.747399999999999</v>
      </c>
      <c r="N607" s="14">
        <f>CHOOSE(CONTROL!$C$42, 36.7644, 36.7644) * CHOOSE(CONTROL!$C$21, $C$9, 100%, $E$9)</f>
        <v>36.764400000000002</v>
      </c>
      <c r="O607" s="14">
        <f>CHOOSE(CONTROL!$C$42, 36.9714, 36.9714) * CHOOSE(CONTROL!$C$21, $C$9, 100%, $E$9)</f>
        <v>36.971400000000003</v>
      </c>
      <c r="P607" s="14">
        <f>CHOOSE(CONTROL!$C$42, 36.8678, 36.8678) * CHOOSE(CONTROL!$C$21, $C$9, 100%, $E$9)</f>
        <v>36.867800000000003</v>
      </c>
      <c r="Q607" s="14">
        <f>CHOOSE(CONTROL!$C$42, 37.5661, 37.5661) * CHOOSE(CONTROL!$C$21, $C$9, 100%, $E$9)</f>
        <v>37.566099999999999</v>
      </c>
      <c r="R607" s="14">
        <f>CHOOSE(CONTROL!$C$42, 38.247, 38.247) * CHOOSE(CONTROL!$C$21, $C$9, 100%, $E$9)</f>
        <v>38.247</v>
      </c>
      <c r="S607" s="14">
        <f>CHOOSE(CONTROL!$C$42, 36.0118, 36.0118) * CHOOSE(CONTROL!$C$21, $C$9, 100%, $E$9)</f>
        <v>36.011800000000001</v>
      </c>
      <c r="T60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07" s="57">
        <f>(1000*CHOOSE(CONTROL!$C$42, 695, 695)*CHOOSE(CONTROL!$C$42, 0.5599, 0.5599)*CHOOSE(CONTROL!$C$42, 31, 31))/1000000</f>
        <v>12.063045499999998</v>
      </c>
      <c r="V607" s="57">
        <f>(1000*CHOOSE(CONTROL!$C$42, 500, 500)*CHOOSE(CONTROL!$C$42, 0.275, 0.275)*CHOOSE(CONTROL!$C$42, 31, 31))/1000000</f>
        <v>4.2625000000000002</v>
      </c>
      <c r="W607" s="57">
        <f>(1000*CHOOSE(CONTROL!$C$42, 0.1146, 0.1146)*CHOOSE(CONTROL!$C$42, 121.5, 121.5)*CHOOSE(CONTROL!$C$42, 31, 31))/1000000</f>
        <v>0.43164089999999994</v>
      </c>
      <c r="X607" s="57">
        <f>(31*0.1790888*245000/1000000)+(31*0.2374*100000/1000000)</f>
        <v>2.0961194359999999</v>
      </c>
      <c r="Y607" s="57"/>
      <c r="Z607" s="14"/>
      <c r="AA607" s="56"/>
      <c r="AB607" s="50">
        <f>(B607*194.205+C607*267.466+D607*133.845+E607*53.484+F607*40+G607*185+H607*0+I607*100+J607*300)/(194.205+267.466+133.845+53.484+0+40+185+100+300)</f>
        <v>37.54825171381475</v>
      </c>
      <c r="AC607" s="45">
        <f>(M607*'RAP TEMPLATE-GAS AVAILABILITY'!O606+N607*'RAP TEMPLATE-GAS AVAILABILITY'!P606+O607*'RAP TEMPLATE-GAS AVAILABILITY'!Q606+P607*'RAP TEMPLATE-GAS AVAILABILITY'!R606)/('RAP TEMPLATE-GAS AVAILABILITY'!O606+'RAP TEMPLATE-GAS AVAILABILITY'!P606+'RAP TEMPLATE-GAS AVAILABILITY'!Q606+'RAP TEMPLATE-GAS AVAILABILITY'!R606)</f>
        <v>36.867227338129496</v>
      </c>
    </row>
    <row r="608" spans="1:29" ht="15.75" x14ac:dyDescent="0.25">
      <c r="A608" s="32">
        <v>59414</v>
      </c>
      <c r="B608" s="14">
        <f>CHOOSE(CONTROL!$C$42, 35.6371, 35.6371) * CHOOSE(CONTROL!$C$21, $C$9, 100%, $E$9)</f>
        <v>35.637099999999997</v>
      </c>
      <c r="C608" s="14">
        <f>CHOOSE(CONTROL!$C$42, 35.6451, 35.6451) * CHOOSE(CONTROL!$C$21, $C$9, 100%, $E$9)</f>
        <v>35.645099999999999</v>
      </c>
      <c r="D608" s="14">
        <f>CHOOSE(CONTROL!$C$42, 35.8657, 35.8657) * CHOOSE(CONTROL!$C$21, $C$9, 100%, $E$9)</f>
        <v>35.865699999999997</v>
      </c>
      <c r="E608" s="14">
        <f>CHOOSE(CONTROL!$C$42, 35.8971, 35.8971) * CHOOSE(CONTROL!$C$21, $C$9, 100%, $E$9)</f>
        <v>35.897100000000002</v>
      </c>
      <c r="F608" s="14">
        <f>CHOOSE(CONTROL!$C$42, 35.6644, 35.6644)*CHOOSE(CONTROL!$C$21, $C$9, 100%, $E$9)</f>
        <v>35.664400000000001</v>
      </c>
      <c r="G608" s="14">
        <f>CHOOSE(CONTROL!$C$42, 35.6818, 35.6818)*CHOOSE(CONTROL!$C$21, $C$9, 100%, $E$9)</f>
        <v>35.681800000000003</v>
      </c>
      <c r="H608" s="14">
        <f>CHOOSE(CONTROL!$C$42, 35.8858, 35.8858) * CHOOSE(CONTROL!$C$21, $C$9, 100%, $E$9)</f>
        <v>35.885800000000003</v>
      </c>
      <c r="I608" s="14">
        <f>CHOOSE(CONTROL!$C$42, 35.7765, 35.7765)* CHOOSE(CONTROL!$C$21, $C$9, 100%, $E$9)</f>
        <v>35.776499999999999</v>
      </c>
      <c r="J608" s="14">
        <f>CHOOSE(CONTROL!$C$42, 35.6574, 35.6574)* CHOOSE(CONTROL!$C$21, $C$9, 100%, $E$9)</f>
        <v>35.657400000000003</v>
      </c>
      <c r="K608" s="53">
        <f>CHOOSE(CONTROL!$C$42, 35.7727, 35.7727) * CHOOSE(CONTROL!$C$21, $C$9, 100%, $E$9)</f>
        <v>35.7727</v>
      </c>
      <c r="L608" s="14">
        <f>CHOOSE(CONTROL!$C$42, 36.4728, 36.4728) * CHOOSE(CONTROL!$C$21, $C$9, 100%, $E$9)</f>
        <v>36.472799999999999</v>
      </c>
      <c r="M608" s="14">
        <f>CHOOSE(CONTROL!$C$42, 34.9345, 34.9345) * CHOOSE(CONTROL!$C$21, $C$9, 100%, $E$9)</f>
        <v>34.9345</v>
      </c>
      <c r="N608" s="14">
        <f>CHOOSE(CONTROL!$C$42, 34.9516, 34.9516) * CHOOSE(CONTROL!$C$21, $C$9, 100%, $E$9)</f>
        <v>34.951599999999999</v>
      </c>
      <c r="O608" s="14">
        <f>CHOOSE(CONTROL!$C$42, 35.1582, 35.1582) * CHOOSE(CONTROL!$C$21, $C$9, 100%, $E$9)</f>
        <v>35.158200000000001</v>
      </c>
      <c r="P608" s="14">
        <f>CHOOSE(CONTROL!$C$42, 35.049, 35.049) * CHOOSE(CONTROL!$C$21, $C$9, 100%, $E$9)</f>
        <v>35.048999999999999</v>
      </c>
      <c r="Q608" s="14">
        <f>CHOOSE(CONTROL!$C$42, 35.7529, 35.7529) * CHOOSE(CONTROL!$C$21, $C$9, 100%, $E$9)</f>
        <v>35.752899999999997</v>
      </c>
      <c r="R608" s="14">
        <f>CHOOSE(CONTROL!$C$42, 36.4293, 36.4293) * CHOOSE(CONTROL!$C$21, $C$9, 100%, $E$9)</f>
        <v>36.429299999999998</v>
      </c>
      <c r="S608" s="14">
        <f>CHOOSE(CONTROL!$C$42, 34.233, 34.233) * CHOOSE(CONTROL!$C$21, $C$9, 100%, $E$9)</f>
        <v>34.232999999999997</v>
      </c>
      <c r="T60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08" s="57">
        <f>(1000*CHOOSE(CONTROL!$C$42, 695, 695)*CHOOSE(CONTROL!$C$42, 0.5599, 0.5599)*CHOOSE(CONTROL!$C$42, 31, 31))/1000000</f>
        <v>12.063045499999998</v>
      </c>
      <c r="V608" s="57">
        <f>(1000*CHOOSE(CONTROL!$C$42, 500, 500)*CHOOSE(CONTROL!$C$42, 0.275, 0.275)*CHOOSE(CONTROL!$C$42, 31, 31))/1000000</f>
        <v>4.2625000000000002</v>
      </c>
      <c r="W608" s="57">
        <f>(1000*CHOOSE(CONTROL!$C$42, 0.1146, 0.1146)*CHOOSE(CONTROL!$C$42, 121.5, 121.5)*CHOOSE(CONTROL!$C$42, 31, 31))/1000000</f>
        <v>0.43164089999999994</v>
      </c>
      <c r="X608" s="57">
        <f>(31*0.1790888*245000/1000000)+(31*0.2374*100000/1000000)</f>
        <v>2.0961194359999999</v>
      </c>
      <c r="Y608" s="57"/>
      <c r="Z608" s="14"/>
      <c r="AA608" s="56"/>
      <c r="AB608" s="50">
        <f>(B608*194.205+C608*267.466+D608*133.845+E608*53.484+F608*40+G608*185+H608*0+I608*100+J608*300)/(194.205+267.466+133.845+53.484+0+40+185+100+300)</f>
        <v>35.696781346153848</v>
      </c>
      <c r="AC608" s="45">
        <f>(M608*'RAP TEMPLATE-GAS AVAILABILITY'!O607+N608*'RAP TEMPLATE-GAS AVAILABILITY'!P607+O608*'RAP TEMPLATE-GAS AVAILABILITY'!Q607+P608*'RAP TEMPLATE-GAS AVAILABILITY'!R607)/('RAP TEMPLATE-GAS AVAILABILITY'!O607+'RAP TEMPLATE-GAS AVAILABILITY'!P607+'RAP TEMPLATE-GAS AVAILABILITY'!Q607+'RAP TEMPLATE-GAS AVAILABILITY'!R607)</f>
        <v>35.053348201438858</v>
      </c>
    </row>
    <row r="609" spans="1:29" ht="15.75" x14ac:dyDescent="0.25">
      <c r="A609" s="32">
        <v>59444</v>
      </c>
      <c r="B609" s="14">
        <f>CHOOSE(CONTROL!$C$42, 33.3751, 33.3751) * CHOOSE(CONTROL!$C$21, $C$9, 100%, $E$9)</f>
        <v>33.375100000000003</v>
      </c>
      <c r="C609" s="14">
        <f>CHOOSE(CONTROL!$C$42, 33.3831, 33.3831) * CHOOSE(CONTROL!$C$21, $C$9, 100%, $E$9)</f>
        <v>33.383099999999999</v>
      </c>
      <c r="D609" s="14">
        <f>CHOOSE(CONTROL!$C$42, 33.6037, 33.6037) * CHOOSE(CONTROL!$C$21, $C$9, 100%, $E$9)</f>
        <v>33.603700000000003</v>
      </c>
      <c r="E609" s="14">
        <f>CHOOSE(CONTROL!$C$42, 33.6351, 33.6351) * CHOOSE(CONTROL!$C$21, $C$9, 100%, $E$9)</f>
        <v>33.635100000000001</v>
      </c>
      <c r="F609" s="14">
        <f>CHOOSE(CONTROL!$C$42, 33.4024, 33.4024)*CHOOSE(CONTROL!$C$21, $C$9, 100%, $E$9)</f>
        <v>33.4024</v>
      </c>
      <c r="G609" s="14">
        <f>CHOOSE(CONTROL!$C$42, 33.4198, 33.4198)*CHOOSE(CONTROL!$C$21, $C$9, 100%, $E$9)</f>
        <v>33.419800000000002</v>
      </c>
      <c r="H609" s="14">
        <f>CHOOSE(CONTROL!$C$42, 33.6238, 33.6238) * CHOOSE(CONTROL!$C$21, $C$9, 100%, $E$9)</f>
        <v>33.623800000000003</v>
      </c>
      <c r="I609" s="14">
        <f>CHOOSE(CONTROL!$C$42, 33.5075, 33.5075)* CHOOSE(CONTROL!$C$21, $C$9, 100%, $E$9)</f>
        <v>33.5075</v>
      </c>
      <c r="J609" s="14">
        <f>CHOOSE(CONTROL!$C$42, 33.3954, 33.3954)* CHOOSE(CONTROL!$C$21, $C$9, 100%, $E$9)</f>
        <v>33.395400000000002</v>
      </c>
      <c r="K609" s="53">
        <f>CHOOSE(CONTROL!$C$42, 33.5036, 33.5036) * CHOOSE(CONTROL!$C$21, $C$9, 100%, $E$9)</f>
        <v>33.503599999999999</v>
      </c>
      <c r="L609" s="14">
        <f>CHOOSE(CONTROL!$C$42, 34.2108, 34.2108) * CHOOSE(CONTROL!$C$21, $C$9, 100%, $E$9)</f>
        <v>34.210799999999999</v>
      </c>
      <c r="M609" s="14">
        <f>CHOOSE(CONTROL!$C$42, 32.7189, 32.7189) * CHOOSE(CONTROL!$C$21, $C$9, 100%, $E$9)</f>
        <v>32.718899999999998</v>
      </c>
      <c r="N609" s="14">
        <f>CHOOSE(CONTROL!$C$42, 32.7359, 32.7359) * CHOOSE(CONTROL!$C$21, $C$9, 100%, $E$9)</f>
        <v>32.735900000000001</v>
      </c>
      <c r="O609" s="14">
        <f>CHOOSE(CONTROL!$C$42, 32.9425, 32.9425) * CHOOSE(CONTROL!$C$21, $C$9, 100%, $E$9)</f>
        <v>32.942500000000003</v>
      </c>
      <c r="P609" s="14">
        <f>CHOOSE(CONTROL!$C$42, 32.8266, 32.8266) * CHOOSE(CONTROL!$C$21, $C$9, 100%, $E$9)</f>
        <v>32.826599999999999</v>
      </c>
      <c r="Q609" s="14">
        <f>CHOOSE(CONTROL!$C$42, 33.5372, 33.5372) * CHOOSE(CONTROL!$C$21, $C$9, 100%, $E$9)</f>
        <v>33.537199999999999</v>
      </c>
      <c r="R609" s="14">
        <f>CHOOSE(CONTROL!$C$42, 34.2081, 34.2081) * CHOOSE(CONTROL!$C$21, $C$9, 100%, $E$9)</f>
        <v>34.208100000000002</v>
      </c>
      <c r="S609" s="14">
        <f>CHOOSE(CONTROL!$C$42, 32.0595, 32.0595) * CHOOSE(CONTROL!$C$21, $C$9, 100%, $E$9)</f>
        <v>32.0595</v>
      </c>
      <c r="T60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09" s="57">
        <f>(1000*CHOOSE(CONTROL!$C$42, 695, 695)*CHOOSE(CONTROL!$C$42, 0.5599, 0.5599)*CHOOSE(CONTROL!$C$42, 30, 30))/1000000</f>
        <v>11.673914999999997</v>
      </c>
      <c r="V609" s="57">
        <f>(1000*CHOOSE(CONTROL!$C$42, 500, 500)*CHOOSE(CONTROL!$C$42, 0.275, 0.275)*CHOOSE(CONTROL!$C$42, 30, 30))/1000000</f>
        <v>4.125</v>
      </c>
      <c r="W609" s="57">
        <f>(1000*CHOOSE(CONTROL!$C$42, 0.1146, 0.1146)*CHOOSE(CONTROL!$C$42, 121.5, 121.5)*CHOOSE(CONTROL!$C$42, 30, 30))/1000000</f>
        <v>0.417717</v>
      </c>
      <c r="X609" s="57">
        <f>(30*0.1790888*245000/1000000)+(30*0.2374*100000/1000000)</f>
        <v>2.0285026799999999</v>
      </c>
      <c r="Y609" s="57"/>
      <c r="Z609" s="14"/>
      <c r="AA609" s="56"/>
      <c r="AB609" s="50">
        <f>(B609*194.205+C609*267.466+D609*133.845+E609*53.484+F609*40+G609*185+H609*0+I609*100+J609*300)/(194.205+267.466+133.845+53.484+0+40+185+100+300)</f>
        <v>33.434231895604398</v>
      </c>
      <c r="AC609" s="45">
        <f>(M609*'RAP TEMPLATE-GAS AVAILABILITY'!O608+N609*'RAP TEMPLATE-GAS AVAILABILITY'!P608+O609*'RAP TEMPLATE-GAS AVAILABILITY'!Q608+P609*'RAP TEMPLATE-GAS AVAILABILITY'!R608)/('RAP TEMPLATE-GAS AVAILABILITY'!O608+'RAP TEMPLATE-GAS AVAILABILITY'!P608+'RAP TEMPLATE-GAS AVAILABILITY'!Q608+'RAP TEMPLATE-GAS AVAILABILITY'!R608)</f>
        <v>32.83671870503597</v>
      </c>
    </row>
    <row r="610" spans="1:29" ht="15.75" x14ac:dyDescent="0.25">
      <c r="A610" s="32">
        <v>59475</v>
      </c>
      <c r="B610" s="14">
        <f>CHOOSE(CONTROL!$C$42, 32.6959, 32.6959) * CHOOSE(CONTROL!$C$21, $C$9, 100%, $E$9)</f>
        <v>32.695900000000002</v>
      </c>
      <c r="C610" s="14">
        <f>CHOOSE(CONTROL!$C$42, 32.7012, 32.7012) * CHOOSE(CONTROL!$C$21, $C$9, 100%, $E$9)</f>
        <v>32.7012</v>
      </c>
      <c r="D610" s="14">
        <f>CHOOSE(CONTROL!$C$42, 32.9268, 32.9268) * CHOOSE(CONTROL!$C$21, $C$9, 100%, $E$9)</f>
        <v>32.9268</v>
      </c>
      <c r="E610" s="14">
        <f>CHOOSE(CONTROL!$C$42, 32.9559, 32.9559) * CHOOSE(CONTROL!$C$21, $C$9, 100%, $E$9)</f>
        <v>32.9559</v>
      </c>
      <c r="F610" s="14">
        <f>CHOOSE(CONTROL!$C$42, 32.7253, 32.7253)*CHOOSE(CONTROL!$C$21, $C$9, 100%, $E$9)</f>
        <v>32.725299999999997</v>
      </c>
      <c r="G610" s="14">
        <f>CHOOSE(CONTROL!$C$42, 32.7425, 32.7425)*CHOOSE(CONTROL!$C$21, $C$9, 100%, $E$9)</f>
        <v>32.7425</v>
      </c>
      <c r="H610" s="14">
        <f>CHOOSE(CONTROL!$C$42, 32.9464, 32.9464) * CHOOSE(CONTROL!$C$21, $C$9, 100%, $E$9)</f>
        <v>32.946399999999997</v>
      </c>
      <c r="I610" s="14">
        <f>CHOOSE(CONTROL!$C$42, 32.8279, 32.8279)* CHOOSE(CONTROL!$C$21, $C$9, 100%, $E$9)</f>
        <v>32.8279</v>
      </c>
      <c r="J610" s="14">
        <f>CHOOSE(CONTROL!$C$42, 32.7183, 32.7183)* CHOOSE(CONTROL!$C$21, $C$9, 100%, $E$9)</f>
        <v>32.718299999999999</v>
      </c>
      <c r="K610" s="53">
        <f>CHOOSE(CONTROL!$C$42, 32.8241, 32.8241) * CHOOSE(CONTROL!$C$21, $C$9, 100%, $E$9)</f>
        <v>32.824100000000001</v>
      </c>
      <c r="L610" s="14">
        <f>CHOOSE(CONTROL!$C$42, 33.5334, 33.5334) * CHOOSE(CONTROL!$C$21, $C$9, 100%, $E$9)</f>
        <v>33.5334</v>
      </c>
      <c r="M610" s="14">
        <f>CHOOSE(CONTROL!$C$42, 32.0556, 32.0556) * CHOOSE(CONTROL!$C$21, $C$9, 100%, $E$9)</f>
        <v>32.055599999999998</v>
      </c>
      <c r="N610" s="14">
        <f>CHOOSE(CONTROL!$C$42, 32.0725, 32.0725) * CHOOSE(CONTROL!$C$21, $C$9, 100%, $E$9)</f>
        <v>32.072499999999998</v>
      </c>
      <c r="O610" s="14">
        <f>CHOOSE(CONTROL!$C$42, 32.279, 32.279) * CHOOSE(CONTROL!$C$21, $C$9, 100%, $E$9)</f>
        <v>32.279000000000003</v>
      </c>
      <c r="P610" s="14">
        <f>CHOOSE(CONTROL!$C$42, 32.161, 32.161) * CHOOSE(CONTROL!$C$21, $C$9, 100%, $E$9)</f>
        <v>32.161000000000001</v>
      </c>
      <c r="Q610" s="14">
        <f>CHOOSE(CONTROL!$C$42, 32.8737, 32.8737) * CHOOSE(CONTROL!$C$21, $C$9, 100%, $E$9)</f>
        <v>32.873699999999999</v>
      </c>
      <c r="R610" s="14">
        <f>CHOOSE(CONTROL!$C$42, 33.5429, 33.5429) * CHOOSE(CONTROL!$C$21, $C$9, 100%, $E$9)</f>
        <v>33.542900000000003</v>
      </c>
      <c r="S610" s="14">
        <f>CHOOSE(CONTROL!$C$42, 31.4085, 31.4085) * CHOOSE(CONTROL!$C$21, $C$9, 100%, $E$9)</f>
        <v>31.4085</v>
      </c>
      <c r="T61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10" s="57">
        <f>(1000*CHOOSE(CONTROL!$C$42, 695, 695)*CHOOSE(CONTROL!$C$42, 0.5599, 0.5599)*CHOOSE(CONTROL!$C$42, 31, 31))/1000000</f>
        <v>12.063045499999998</v>
      </c>
      <c r="V610" s="57">
        <f>(1000*CHOOSE(CONTROL!$C$42, 500, 500)*CHOOSE(CONTROL!$C$42, 0.275, 0.275)*CHOOSE(CONTROL!$C$42, 31, 31))/1000000</f>
        <v>4.2625000000000002</v>
      </c>
      <c r="W610" s="57">
        <f>(1000*CHOOSE(CONTROL!$C$42, 0.1146, 0.1146)*CHOOSE(CONTROL!$C$42, 121.5, 121.5)*CHOOSE(CONTROL!$C$42, 31, 31))/1000000</f>
        <v>0.43164089999999994</v>
      </c>
      <c r="X610" s="57">
        <f>(31*0.1790888*245000/1000000)+(31*0.2374*100000/1000000)</f>
        <v>2.0961194359999999</v>
      </c>
      <c r="Y610" s="57"/>
      <c r="Z610" s="14"/>
      <c r="AA610" s="56"/>
      <c r="AB610" s="50">
        <f>(B610*131.881+C610*277.167+D610*79.08+E610*125.872+F610*40+G610*185+H610*0+I610*100+J610*300)/(131.881+277.167+79.08+125.872+0+40+185+100+300)</f>
        <v>32.762221450443903</v>
      </c>
      <c r="AC610" s="45">
        <f>(M610*'RAP TEMPLATE-GAS AVAILABILITY'!O609+N610*'RAP TEMPLATE-GAS AVAILABILITY'!P609+O610*'RAP TEMPLATE-GAS AVAILABILITY'!Q609+P610*'RAP TEMPLATE-GAS AVAILABILITY'!R609)/('RAP TEMPLATE-GAS AVAILABILITY'!O609+'RAP TEMPLATE-GAS AVAILABILITY'!P609+'RAP TEMPLATE-GAS AVAILABILITY'!Q609+'RAP TEMPLATE-GAS AVAILABILITY'!R609)</f>
        <v>32.172991366906473</v>
      </c>
    </row>
    <row r="611" spans="1:29" ht="15.75" x14ac:dyDescent="0.25">
      <c r="A611" s="32">
        <v>59505</v>
      </c>
      <c r="B611" s="14">
        <f>CHOOSE(CONTROL!$C$42, 33.5566, 33.5566) * CHOOSE(CONTROL!$C$21, $C$9, 100%, $E$9)</f>
        <v>33.556600000000003</v>
      </c>
      <c r="C611" s="14">
        <f>CHOOSE(CONTROL!$C$42, 33.5616, 33.5616) * CHOOSE(CONTROL!$C$21, $C$9, 100%, $E$9)</f>
        <v>33.561599999999999</v>
      </c>
      <c r="D611" s="14">
        <f>CHOOSE(CONTROL!$C$42, 33.6359, 33.6359) * CHOOSE(CONTROL!$C$21, $C$9, 100%, $E$9)</f>
        <v>33.635899999999999</v>
      </c>
      <c r="E611" s="14">
        <f>CHOOSE(CONTROL!$C$42, 33.67, 33.67) * CHOOSE(CONTROL!$C$21, $C$9, 100%, $E$9)</f>
        <v>33.67</v>
      </c>
      <c r="F611" s="14">
        <f>CHOOSE(CONTROL!$C$42, 33.5926, 33.5926)*CHOOSE(CONTROL!$C$21, $C$9, 100%, $E$9)</f>
        <v>33.592599999999997</v>
      </c>
      <c r="G611" s="14">
        <f>CHOOSE(CONTROL!$C$42, 33.6102, 33.6102)*CHOOSE(CONTROL!$C$21, $C$9, 100%, $E$9)</f>
        <v>33.610199999999999</v>
      </c>
      <c r="H611" s="14">
        <f>CHOOSE(CONTROL!$C$42, 33.6592, 33.6592) * CHOOSE(CONTROL!$C$21, $C$9, 100%, $E$9)</f>
        <v>33.659199999999998</v>
      </c>
      <c r="I611" s="14">
        <f>CHOOSE(CONTROL!$C$42, 33.6891, 33.6891)* CHOOSE(CONTROL!$C$21, $C$9, 100%, $E$9)</f>
        <v>33.689100000000003</v>
      </c>
      <c r="J611" s="14">
        <f>CHOOSE(CONTROL!$C$42, 33.5856, 33.5856)* CHOOSE(CONTROL!$C$21, $C$9, 100%, $E$9)</f>
        <v>33.585599999999999</v>
      </c>
      <c r="K611" s="53">
        <f>CHOOSE(CONTROL!$C$42, 33.6852, 33.6852) * CHOOSE(CONTROL!$C$21, $C$9, 100%, $E$9)</f>
        <v>33.685200000000002</v>
      </c>
      <c r="L611" s="14">
        <f>CHOOSE(CONTROL!$C$42, 34.2462, 34.2462) * CHOOSE(CONTROL!$C$21, $C$9, 100%, $E$9)</f>
        <v>34.246200000000002</v>
      </c>
      <c r="M611" s="14">
        <f>CHOOSE(CONTROL!$C$42, 32.9052, 32.9052) * CHOOSE(CONTROL!$C$21, $C$9, 100%, $E$9)</f>
        <v>32.905200000000001</v>
      </c>
      <c r="N611" s="14">
        <f>CHOOSE(CONTROL!$C$42, 32.9223, 32.9223) * CHOOSE(CONTROL!$C$21, $C$9, 100%, $E$9)</f>
        <v>32.9223</v>
      </c>
      <c r="O611" s="14">
        <f>CHOOSE(CONTROL!$C$42, 32.9772, 32.9772) * CHOOSE(CONTROL!$C$21, $C$9, 100%, $E$9)</f>
        <v>32.977200000000003</v>
      </c>
      <c r="P611" s="14">
        <f>CHOOSE(CONTROL!$C$42, 33.0045, 33.0045) * CHOOSE(CONTROL!$C$21, $C$9, 100%, $E$9)</f>
        <v>33.0045</v>
      </c>
      <c r="Q611" s="14">
        <f>CHOOSE(CONTROL!$C$42, 33.5719, 33.5719) * CHOOSE(CONTROL!$C$21, $C$9, 100%, $E$9)</f>
        <v>33.571899999999999</v>
      </c>
      <c r="R611" s="14">
        <f>CHOOSE(CONTROL!$C$42, 34.2428, 34.2428) * CHOOSE(CONTROL!$C$21, $C$9, 100%, $E$9)</f>
        <v>34.242800000000003</v>
      </c>
      <c r="S611" s="14">
        <f>CHOOSE(CONTROL!$C$42, 32.236, 32.236) * CHOOSE(CONTROL!$C$21, $C$9, 100%, $E$9)</f>
        <v>32.235999999999997</v>
      </c>
      <c r="T61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11" s="57">
        <f>(1000*CHOOSE(CONTROL!$C$42, 695, 695)*CHOOSE(CONTROL!$C$42, 0.5599, 0.5599)*CHOOSE(CONTROL!$C$42, 30, 30))/1000000</f>
        <v>11.673914999999997</v>
      </c>
      <c r="V611" s="57">
        <f>(1000*CHOOSE(CONTROL!$C$42, 500, 500)*CHOOSE(CONTROL!$C$42, 0.275, 0.275)*CHOOSE(CONTROL!$C$42, 30, 30))/1000000</f>
        <v>4.125</v>
      </c>
      <c r="W611" s="57">
        <f>(1000*CHOOSE(CONTROL!$C$42, 0.1146, 0.1146)*CHOOSE(CONTROL!$C$42, 121.5, 121.5)*CHOOSE(CONTROL!$C$42, 30, 30))/1000000</f>
        <v>0.417717</v>
      </c>
      <c r="X611" s="57">
        <f>(30*0.1790888*100000/1000000)+(30*0.2374*100000/1000000)</f>
        <v>1.2494664</v>
      </c>
      <c r="Y611" s="57"/>
      <c r="Z611" s="14"/>
      <c r="AA611" s="56"/>
      <c r="AB611" s="50">
        <f>(B611*122.58+C611*297.941+D611*89.177+E611*40.302+F611*40+G611*160+H611*0+I611*100+J611*300)/(122.58+297.941+89.177+40.302+0+40+160+100+300)</f>
        <v>33.595815380782611</v>
      </c>
      <c r="AC611" s="45">
        <f>(M611*'RAP TEMPLATE-GAS AVAILABILITY'!O610+N611*'RAP TEMPLATE-GAS AVAILABILITY'!P610+O611*'RAP TEMPLATE-GAS AVAILABILITY'!Q610+P611*'RAP TEMPLATE-GAS AVAILABILITY'!R610)/('RAP TEMPLATE-GAS AVAILABILITY'!O610+'RAP TEMPLATE-GAS AVAILABILITY'!P610+'RAP TEMPLATE-GAS AVAILABILITY'!Q610+'RAP TEMPLATE-GAS AVAILABILITY'!R610)</f>
        <v>32.953105035971227</v>
      </c>
    </row>
    <row r="612" spans="1:29" ht="15.75" x14ac:dyDescent="0.25">
      <c r="A612" s="32">
        <v>59536</v>
      </c>
      <c r="B612" s="14">
        <f>CHOOSE(CONTROL!$C$42, 35.8438, 35.8438) * CHOOSE(CONTROL!$C$21, $C$9, 100%, $E$9)</f>
        <v>35.843800000000002</v>
      </c>
      <c r="C612" s="14">
        <f>CHOOSE(CONTROL!$C$42, 35.8489, 35.8489) * CHOOSE(CONTROL!$C$21, $C$9, 100%, $E$9)</f>
        <v>35.8489</v>
      </c>
      <c r="D612" s="14">
        <f>CHOOSE(CONTROL!$C$42, 35.9231, 35.9231) * CHOOSE(CONTROL!$C$21, $C$9, 100%, $E$9)</f>
        <v>35.923099999999998</v>
      </c>
      <c r="E612" s="14">
        <f>CHOOSE(CONTROL!$C$42, 35.9572, 35.9572) * CHOOSE(CONTROL!$C$21, $C$9, 100%, $E$9)</f>
        <v>35.9572</v>
      </c>
      <c r="F612" s="14">
        <f>CHOOSE(CONTROL!$C$42, 35.8822, 35.8822)*CHOOSE(CONTROL!$C$21, $C$9, 100%, $E$9)</f>
        <v>35.882199999999997</v>
      </c>
      <c r="G612" s="14">
        <f>CHOOSE(CONTROL!$C$42, 35.9004, 35.9004)*CHOOSE(CONTROL!$C$21, $C$9, 100%, $E$9)</f>
        <v>35.900399999999998</v>
      </c>
      <c r="H612" s="14">
        <f>CHOOSE(CONTROL!$C$42, 35.9464, 35.9464) * CHOOSE(CONTROL!$C$21, $C$9, 100%, $E$9)</f>
        <v>35.946399999999997</v>
      </c>
      <c r="I612" s="14">
        <f>CHOOSE(CONTROL!$C$42, 35.9835, 35.9835)* CHOOSE(CONTROL!$C$21, $C$9, 100%, $E$9)</f>
        <v>35.983499999999999</v>
      </c>
      <c r="J612" s="14">
        <f>CHOOSE(CONTROL!$C$42, 35.8752, 35.8752)* CHOOSE(CONTROL!$C$21, $C$9, 100%, $E$9)</f>
        <v>35.8752</v>
      </c>
      <c r="K612" s="53">
        <f>CHOOSE(CONTROL!$C$42, 35.9796, 35.9796) * CHOOSE(CONTROL!$C$21, $C$9, 100%, $E$9)</f>
        <v>35.979599999999998</v>
      </c>
      <c r="L612" s="14">
        <f>CHOOSE(CONTROL!$C$42, 36.5334, 36.5334) * CHOOSE(CONTROL!$C$21, $C$9, 100%, $E$9)</f>
        <v>36.5334</v>
      </c>
      <c r="M612" s="14">
        <f>CHOOSE(CONTROL!$C$42, 35.1478, 35.1478) * CHOOSE(CONTROL!$C$21, $C$9, 100%, $E$9)</f>
        <v>35.147799999999997</v>
      </c>
      <c r="N612" s="14">
        <f>CHOOSE(CONTROL!$C$42, 35.1656, 35.1656) * CHOOSE(CONTROL!$C$21, $C$9, 100%, $E$9)</f>
        <v>35.165599999999998</v>
      </c>
      <c r="O612" s="14">
        <f>CHOOSE(CONTROL!$C$42, 35.2176, 35.2176) * CHOOSE(CONTROL!$C$21, $C$9, 100%, $E$9)</f>
        <v>35.217599999999997</v>
      </c>
      <c r="P612" s="14">
        <f>CHOOSE(CONTROL!$C$42, 35.2517, 35.2517) * CHOOSE(CONTROL!$C$21, $C$9, 100%, $E$9)</f>
        <v>35.2517</v>
      </c>
      <c r="Q612" s="14">
        <f>CHOOSE(CONTROL!$C$42, 35.8123, 35.8123) * CHOOSE(CONTROL!$C$21, $C$9, 100%, $E$9)</f>
        <v>35.8123</v>
      </c>
      <c r="R612" s="14">
        <f>CHOOSE(CONTROL!$C$42, 36.4888, 36.4888) * CHOOSE(CONTROL!$C$21, $C$9, 100%, $E$9)</f>
        <v>36.488799999999998</v>
      </c>
      <c r="S612" s="14">
        <f>CHOOSE(CONTROL!$C$42, 34.4338, 34.4338) * CHOOSE(CONTROL!$C$21, $C$9, 100%, $E$9)</f>
        <v>34.433799999999998</v>
      </c>
      <c r="T61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12" s="57">
        <f>(1000*CHOOSE(CONTROL!$C$42, 695, 695)*CHOOSE(CONTROL!$C$42, 0.5599, 0.5599)*CHOOSE(CONTROL!$C$42, 31, 31))/1000000</f>
        <v>12.063045499999998</v>
      </c>
      <c r="V612" s="57">
        <f>(1000*CHOOSE(CONTROL!$C$42, 500, 500)*CHOOSE(CONTROL!$C$42, 0.275, 0.275)*CHOOSE(CONTROL!$C$42, 31, 31))/1000000</f>
        <v>4.2625000000000002</v>
      </c>
      <c r="W612" s="57">
        <f>(1000*CHOOSE(CONTROL!$C$42, 0.1146, 0.1146)*CHOOSE(CONTROL!$C$42, 121.5, 121.5)*CHOOSE(CONTROL!$C$42, 31, 31))/1000000</f>
        <v>0.43164089999999994</v>
      </c>
      <c r="X612" s="57">
        <f>(31*0.1790888*100000/1000000)+(31*0.2374*100000/1000000)</f>
        <v>1.2911152800000001</v>
      </c>
      <c r="Y612" s="57"/>
      <c r="Z612" s="14"/>
      <c r="AA612" s="56"/>
      <c r="AB612" s="50">
        <f>(B612*122.58+C612*297.941+D612*89.177+E612*40.302+F612*40+G612*160+H612*0+I612*100+J612*300)/(122.58+297.941+89.177+40.302+0+40+160+100+300)</f>
        <v>35.884794332173911</v>
      </c>
      <c r="AC612" s="45">
        <f>(M612*'RAP TEMPLATE-GAS AVAILABILITY'!O611+N612*'RAP TEMPLATE-GAS AVAILABILITY'!P611+O612*'RAP TEMPLATE-GAS AVAILABILITY'!Q611+P612*'RAP TEMPLATE-GAS AVAILABILITY'!R611)/('RAP TEMPLATE-GAS AVAILABILITY'!O611+'RAP TEMPLATE-GAS AVAILABILITY'!P611+'RAP TEMPLATE-GAS AVAILABILITY'!Q611+'RAP TEMPLATE-GAS AVAILABILITY'!R611)</f>
        <v>35.19541007194244</v>
      </c>
    </row>
    <row r="613" spans="1:29" ht="15.75" x14ac:dyDescent="0.25">
      <c r="A613" s="32">
        <v>59567</v>
      </c>
      <c r="B613" s="14">
        <f>CHOOSE(CONTROL!$C$42, 38.8145, 38.8145) * CHOOSE(CONTROL!$C$21, $C$9, 100%, $E$9)</f>
        <v>38.814500000000002</v>
      </c>
      <c r="C613" s="14">
        <f>CHOOSE(CONTROL!$C$42, 38.8195, 38.8195) * CHOOSE(CONTROL!$C$21, $C$9, 100%, $E$9)</f>
        <v>38.819499999999998</v>
      </c>
      <c r="D613" s="14">
        <f>CHOOSE(CONTROL!$C$42, 38.8964, 38.8964) * CHOOSE(CONTROL!$C$21, $C$9, 100%, $E$9)</f>
        <v>38.8964</v>
      </c>
      <c r="E613" s="14">
        <f>CHOOSE(CONTROL!$C$42, 38.9305, 38.9305) * CHOOSE(CONTROL!$C$21, $C$9, 100%, $E$9)</f>
        <v>38.930500000000002</v>
      </c>
      <c r="F613" s="14">
        <f>CHOOSE(CONTROL!$C$42, 38.8392, 38.8392)*CHOOSE(CONTROL!$C$21, $C$9, 100%, $E$9)</f>
        <v>38.839199999999998</v>
      </c>
      <c r="G613" s="14">
        <f>CHOOSE(CONTROL!$C$42, 38.8572, 38.8572)*CHOOSE(CONTROL!$C$21, $C$9, 100%, $E$9)</f>
        <v>38.857199999999999</v>
      </c>
      <c r="H613" s="14">
        <f>CHOOSE(CONTROL!$C$42, 38.9197, 38.9197) * CHOOSE(CONTROL!$C$21, $C$9, 100%, $E$9)</f>
        <v>38.919699999999999</v>
      </c>
      <c r="I613" s="14">
        <f>CHOOSE(CONTROL!$C$42, 38.9698, 38.9698)* CHOOSE(CONTROL!$C$21, $C$9, 100%, $E$9)</f>
        <v>38.969799999999999</v>
      </c>
      <c r="J613" s="14">
        <f>CHOOSE(CONTROL!$C$42, 38.8322, 38.8322)* CHOOSE(CONTROL!$C$21, $C$9, 100%, $E$9)</f>
        <v>38.8322</v>
      </c>
      <c r="K613" s="53">
        <f>CHOOSE(CONTROL!$C$42, 38.9659, 38.9659) * CHOOSE(CONTROL!$C$21, $C$9, 100%, $E$9)</f>
        <v>38.965899999999998</v>
      </c>
      <c r="L613" s="14">
        <f>CHOOSE(CONTROL!$C$42, 39.5067, 39.5067) * CHOOSE(CONTROL!$C$21, $C$9, 100%, $E$9)</f>
        <v>39.506700000000002</v>
      </c>
      <c r="M613" s="14">
        <f>CHOOSE(CONTROL!$C$42, 38.0443, 38.0443) * CHOOSE(CONTROL!$C$21, $C$9, 100%, $E$9)</f>
        <v>38.0443</v>
      </c>
      <c r="N613" s="14">
        <f>CHOOSE(CONTROL!$C$42, 38.0619, 38.0619) * CHOOSE(CONTROL!$C$21, $C$9, 100%, $E$9)</f>
        <v>38.061900000000001</v>
      </c>
      <c r="O613" s="14">
        <f>CHOOSE(CONTROL!$C$42, 38.1299, 38.1299) * CHOOSE(CONTROL!$C$21, $C$9, 100%, $E$9)</f>
        <v>38.129899999999999</v>
      </c>
      <c r="P613" s="14">
        <f>CHOOSE(CONTROL!$C$42, 38.1766, 38.1766) * CHOOSE(CONTROL!$C$21, $C$9, 100%, $E$9)</f>
        <v>38.176600000000001</v>
      </c>
      <c r="Q613" s="14">
        <f>CHOOSE(CONTROL!$C$42, 38.7246, 38.7246) * CHOOSE(CONTROL!$C$21, $C$9, 100%, $E$9)</f>
        <v>38.724600000000002</v>
      </c>
      <c r="R613" s="14">
        <f>CHOOSE(CONTROL!$C$42, 39.4084, 39.4084) * CHOOSE(CONTROL!$C$21, $C$9, 100%, $E$9)</f>
        <v>39.4084</v>
      </c>
      <c r="S613" s="14">
        <f>CHOOSE(CONTROL!$C$42, 37.2883, 37.2883) * CHOOSE(CONTROL!$C$21, $C$9, 100%, $E$9)</f>
        <v>37.2883</v>
      </c>
      <c r="T61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3" s="57">
        <f>(1000*CHOOSE(CONTROL!$C$42, 695, 695)*CHOOSE(CONTROL!$C$42, 0.5599, 0.5599)*CHOOSE(CONTROL!$C$42, 31, 31))/1000000</f>
        <v>12.063045499999998</v>
      </c>
      <c r="V613" s="57">
        <f>(1000*CHOOSE(CONTROL!$C$42, 500, 500)*CHOOSE(CONTROL!$C$42, 0.275, 0.275)*CHOOSE(CONTROL!$C$42, 31, 31))/1000000</f>
        <v>4.2625000000000002</v>
      </c>
      <c r="W613" s="57">
        <f>(1000*CHOOSE(CONTROL!$C$42, 0.1146, 0.1146)*CHOOSE(CONTROL!$C$42, 121.5, 121.5)*CHOOSE(CONTROL!$C$42, 31, 31))/1000000</f>
        <v>0.43164089999999994</v>
      </c>
      <c r="X613" s="57">
        <f>(31*0.1790888*100000/1000000)+(31*0.2374*100000/1000000)</f>
        <v>1.2911152800000001</v>
      </c>
      <c r="Y613" s="57"/>
      <c r="Z613" s="14"/>
      <c r="AA613" s="56"/>
      <c r="AB613" s="50">
        <f>(B613*122.58+C613*297.941+D613*89.177+E613*40.302+F613*40+G613*160+H613*0+I613*100+J613*300)/(122.58+297.941+89.177+40.302+0+40+160+100+300)</f>
        <v>38.851133333304354</v>
      </c>
      <c r="AC613" s="45">
        <f>(M613*'RAP TEMPLATE-GAS AVAILABILITY'!O612+N613*'RAP TEMPLATE-GAS AVAILABILITY'!P612+O613*'RAP TEMPLATE-GAS AVAILABILITY'!Q612+P613*'RAP TEMPLATE-GAS AVAILABILITY'!R612)/('RAP TEMPLATE-GAS AVAILABILITY'!O612+'RAP TEMPLATE-GAS AVAILABILITY'!P612+'RAP TEMPLATE-GAS AVAILABILITY'!Q612+'RAP TEMPLATE-GAS AVAILABILITY'!R612)</f>
        <v>38.103146043165466</v>
      </c>
    </row>
    <row r="614" spans="1:29" ht="15.75" x14ac:dyDescent="0.25">
      <c r="A614" s="32">
        <v>59595</v>
      </c>
      <c r="B614" s="14">
        <f>CHOOSE(CONTROL!$C$42, 39.5053, 39.5053) * CHOOSE(CONTROL!$C$21, $C$9, 100%, $E$9)</f>
        <v>39.505299999999998</v>
      </c>
      <c r="C614" s="14">
        <f>CHOOSE(CONTROL!$C$42, 39.5103, 39.5103) * CHOOSE(CONTROL!$C$21, $C$9, 100%, $E$9)</f>
        <v>39.510300000000001</v>
      </c>
      <c r="D614" s="14">
        <f>CHOOSE(CONTROL!$C$42, 39.5871, 39.5871) * CHOOSE(CONTROL!$C$21, $C$9, 100%, $E$9)</f>
        <v>39.5871</v>
      </c>
      <c r="E614" s="14">
        <f>CHOOSE(CONTROL!$C$42, 39.6213, 39.6213) * CHOOSE(CONTROL!$C$21, $C$9, 100%, $E$9)</f>
        <v>39.621299999999998</v>
      </c>
      <c r="F614" s="14">
        <f>CHOOSE(CONTROL!$C$42, 39.5296, 39.5296)*CHOOSE(CONTROL!$C$21, $C$9, 100%, $E$9)</f>
        <v>39.529600000000002</v>
      </c>
      <c r="G614" s="14">
        <f>CHOOSE(CONTROL!$C$42, 39.5475, 39.5475)*CHOOSE(CONTROL!$C$21, $C$9, 100%, $E$9)</f>
        <v>39.547499999999999</v>
      </c>
      <c r="H614" s="14">
        <f>CHOOSE(CONTROL!$C$42, 39.6105, 39.6105) * CHOOSE(CONTROL!$C$21, $C$9, 100%, $E$9)</f>
        <v>39.610500000000002</v>
      </c>
      <c r="I614" s="14">
        <f>CHOOSE(CONTROL!$C$42, 39.6627, 39.6627)* CHOOSE(CONTROL!$C$21, $C$9, 100%, $E$9)</f>
        <v>39.662700000000001</v>
      </c>
      <c r="J614" s="14">
        <f>CHOOSE(CONTROL!$C$42, 39.5226, 39.5226)* CHOOSE(CONTROL!$C$21, $C$9, 100%, $E$9)</f>
        <v>39.522599999999997</v>
      </c>
      <c r="K614" s="53">
        <f>CHOOSE(CONTROL!$C$42, 39.6588, 39.6588) * CHOOSE(CONTROL!$C$21, $C$9, 100%, $E$9)</f>
        <v>39.658799999999999</v>
      </c>
      <c r="L614" s="14">
        <f>CHOOSE(CONTROL!$C$42, 40.1975, 40.1975) * CHOOSE(CONTROL!$C$21, $C$9, 100%, $E$9)</f>
        <v>40.197499999999998</v>
      </c>
      <c r="M614" s="14">
        <f>CHOOSE(CONTROL!$C$42, 38.7205, 38.7205) * CHOOSE(CONTROL!$C$21, $C$9, 100%, $E$9)</f>
        <v>38.720500000000001</v>
      </c>
      <c r="N614" s="14">
        <f>CHOOSE(CONTROL!$C$42, 38.738, 38.738) * CHOOSE(CONTROL!$C$21, $C$9, 100%, $E$9)</f>
        <v>38.738</v>
      </c>
      <c r="O614" s="14">
        <f>CHOOSE(CONTROL!$C$42, 38.8066, 38.8066) * CHOOSE(CONTROL!$C$21, $C$9, 100%, $E$9)</f>
        <v>38.806600000000003</v>
      </c>
      <c r="P614" s="14">
        <f>CHOOSE(CONTROL!$C$42, 38.8553, 38.8553) * CHOOSE(CONTROL!$C$21, $C$9, 100%, $E$9)</f>
        <v>38.8553</v>
      </c>
      <c r="Q614" s="14">
        <f>CHOOSE(CONTROL!$C$42, 39.4013, 39.4013) * CHOOSE(CONTROL!$C$21, $C$9, 100%, $E$9)</f>
        <v>39.401299999999999</v>
      </c>
      <c r="R614" s="14">
        <f>CHOOSE(CONTROL!$C$42, 40.0868, 40.0868) * CHOOSE(CONTROL!$C$21, $C$9, 100%, $E$9)</f>
        <v>40.086799999999997</v>
      </c>
      <c r="S614" s="14">
        <f>CHOOSE(CONTROL!$C$42, 37.9521, 37.9521) * CHOOSE(CONTROL!$C$21, $C$9, 100%, $E$9)</f>
        <v>37.952100000000002</v>
      </c>
      <c r="T61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14" s="57">
        <f>(1000*CHOOSE(CONTROL!$C$42, 695, 695)*CHOOSE(CONTROL!$C$42, 0.5599, 0.5599)*CHOOSE(CONTROL!$C$42, 28, 28))/1000000</f>
        <v>10.895653999999999</v>
      </c>
      <c r="V614" s="57">
        <f>(1000*CHOOSE(CONTROL!$C$42, 500, 500)*CHOOSE(CONTROL!$C$42, 0.275, 0.275)*CHOOSE(CONTROL!$C$42, 28, 28))/1000000</f>
        <v>3.85</v>
      </c>
      <c r="W614" s="57">
        <f>(1000*CHOOSE(CONTROL!$C$42, 0.1146, 0.1146)*CHOOSE(CONTROL!$C$42, 121.5, 121.5)*CHOOSE(CONTROL!$C$42, 28, 28))/1000000</f>
        <v>0.38986920000000003</v>
      </c>
      <c r="X614" s="57">
        <f>(28*0.1790888*100000/1000000)+(28*0.2374*100000/1000000)</f>
        <v>1.16616864</v>
      </c>
      <c r="Y614" s="57"/>
      <c r="Z614" s="14"/>
      <c r="AA614" s="56"/>
      <c r="AB614" s="50">
        <f>(B614*122.58+C614*297.941+D614*89.177+E614*40.302+F614*40+G614*160+H614*0+I614*100+J614*300)/(122.58+297.941+89.177+40.302+0+40+160+100+300)</f>
        <v>39.541920361391306</v>
      </c>
      <c r="AC614" s="45">
        <f>(M614*'RAP TEMPLATE-GAS AVAILABILITY'!O613+N614*'RAP TEMPLATE-GAS AVAILABILITY'!P613+O614*'RAP TEMPLATE-GAS AVAILABILITY'!Q613+P614*'RAP TEMPLATE-GAS AVAILABILITY'!R613)/('RAP TEMPLATE-GAS AVAILABILITY'!O613+'RAP TEMPLATE-GAS AVAILABILITY'!P613+'RAP TEMPLATE-GAS AVAILABILITY'!Q613+'RAP TEMPLATE-GAS AVAILABILITY'!R613)</f>
        <v>38.779926618705034</v>
      </c>
    </row>
    <row r="615" spans="1:29" ht="15.75" x14ac:dyDescent="0.25">
      <c r="A615" s="32">
        <v>59626</v>
      </c>
      <c r="B615" s="14">
        <f>CHOOSE(CONTROL!$C$42, 38.384, 38.384) * CHOOSE(CONTROL!$C$21, $C$9, 100%, $E$9)</f>
        <v>38.384</v>
      </c>
      <c r="C615" s="14">
        <f>CHOOSE(CONTROL!$C$42, 38.389, 38.389) * CHOOSE(CONTROL!$C$21, $C$9, 100%, $E$9)</f>
        <v>38.389000000000003</v>
      </c>
      <c r="D615" s="14">
        <f>CHOOSE(CONTROL!$C$42, 38.4658, 38.4658) * CHOOSE(CONTROL!$C$21, $C$9, 100%, $E$9)</f>
        <v>38.465800000000002</v>
      </c>
      <c r="E615" s="14">
        <f>CHOOSE(CONTROL!$C$42, 38.4999, 38.4999) * CHOOSE(CONTROL!$C$21, $C$9, 100%, $E$9)</f>
        <v>38.499899999999997</v>
      </c>
      <c r="F615" s="14">
        <f>CHOOSE(CONTROL!$C$42, 38.4074, 38.4074)*CHOOSE(CONTROL!$C$21, $C$9, 100%, $E$9)</f>
        <v>38.407400000000003</v>
      </c>
      <c r="G615" s="14">
        <f>CHOOSE(CONTROL!$C$42, 38.4251, 38.4251)*CHOOSE(CONTROL!$C$21, $C$9, 100%, $E$9)</f>
        <v>38.4251</v>
      </c>
      <c r="H615" s="14">
        <f>CHOOSE(CONTROL!$C$42, 38.4891, 38.4891) * CHOOSE(CONTROL!$C$21, $C$9, 100%, $E$9)</f>
        <v>38.489100000000001</v>
      </c>
      <c r="I615" s="14">
        <f>CHOOSE(CONTROL!$C$42, 38.5379, 38.5379)* CHOOSE(CONTROL!$C$21, $C$9, 100%, $E$9)</f>
        <v>38.5379</v>
      </c>
      <c r="J615" s="14">
        <f>CHOOSE(CONTROL!$C$42, 38.4004, 38.4004)* CHOOSE(CONTROL!$C$21, $C$9, 100%, $E$9)</f>
        <v>38.400399999999998</v>
      </c>
      <c r="K615" s="53">
        <f>CHOOSE(CONTROL!$C$42, 38.534, 38.534) * CHOOSE(CONTROL!$C$21, $C$9, 100%, $E$9)</f>
        <v>38.533999999999999</v>
      </c>
      <c r="L615" s="14">
        <f>CHOOSE(CONTROL!$C$42, 39.0761, 39.0761) * CHOOSE(CONTROL!$C$21, $C$9, 100%, $E$9)</f>
        <v>39.076099999999997</v>
      </c>
      <c r="M615" s="14">
        <f>CHOOSE(CONTROL!$C$42, 37.6213, 37.6213) * CHOOSE(CONTROL!$C$21, $C$9, 100%, $E$9)</f>
        <v>37.621299999999998</v>
      </c>
      <c r="N615" s="14">
        <f>CHOOSE(CONTROL!$C$42, 37.6386, 37.6386) * CHOOSE(CONTROL!$C$21, $C$9, 100%, $E$9)</f>
        <v>37.638599999999997</v>
      </c>
      <c r="O615" s="14">
        <f>CHOOSE(CONTROL!$C$42, 37.7082, 37.7082) * CHOOSE(CONTROL!$C$21, $C$9, 100%, $E$9)</f>
        <v>37.708199999999998</v>
      </c>
      <c r="P615" s="14">
        <f>CHOOSE(CONTROL!$C$42, 37.7536, 37.7536) * CHOOSE(CONTROL!$C$21, $C$9, 100%, $E$9)</f>
        <v>37.753599999999999</v>
      </c>
      <c r="Q615" s="14">
        <f>CHOOSE(CONTROL!$C$42, 38.3029, 38.3029) * CHOOSE(CONTROL!$C$21, $C$9, 100%, $E$9)</f>
        <v>38.302900000000001</v>
      </c>
      <c r="R615" s="14">
        <f>CHOOSE(CONTROL!$C$42, 38.9857, 38.9857) * CHOOSE(CONTROL!$C$21, $C$9, 100%, $E$9)</f>
        <v>38.985700000000001</v>
      </c>
      <c r="S615" s="14">
        <f>CHOOSE(CONTROL!$C$42, 36.8746, 36.8746) * CHOOSE(CONTROL!$C$21, $C$9, 100%, $E$9)</f>
        <v>36.874600000000001</v>
      </c>
      <c r="T61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15" s="57">
        <f>(1000*CHOOSE(CONTROL!$C$42, 695, 695)*CHOOSE(CONTROL!$C$42, 0.5599, 0.5599)*CHOOSE(CONTROL!$C$42, 31, 31))/1000000</f>
        <v>12.063045499999998</v>
      </c>
      <c r="V615" s="57">
        <f>(1000*CHOOSE(CONTROL!$C$42, 500, 500)*CHOOSE(CONTROL!$C$42, 0.275, 0.275)*CHOOSE(CONTROL!$C$42, 31, 31))/1000000</f>
        <v>4.2625000000000002</v>
      </c>
      <c r="W615" s="57">
        <f>(1000*CHOOSE(CONTROL!$C$42, 0.1146, 0.1146)*CHOOSE(CONTROL!$C$42, 121.5, 121.5)*CHOOSE(CONTROL!$C$42, 31, 31))/1000000</f>
        <v>0.43164089999999994</v>
      </c>
      <c r="X615" s="57">
        <f>(31*0.1790888*100000/1000000)+(31*0.2374*100000/1000000)</f>
        <v>1.2911152800000001</v>
      </c>
      <c r="Y615" s="57"/>
      <c r="Z615" s="14"/>
      <c r="AA615" s="56"/>
      <c r="AB615" s="50">
        <f>(B615*122.58+C615*297.941+D615*89.177+E615*40.302+F615*40+G615*160+H615*0+I615*100+J615*300)/(122.58+297.941+89.177+40.302+0+40+160+100+300)</f>
        <v>38.419893378608691</v>
      </c>
      <c r="AC615" s="45">
        <f>(M615*'RAP TEMPLATE-GAS AVAILABILITY'!O614+N615*'RAP TEMPLATE-GAS AVAILABILITY'!P614+O615*'RAP TEMPLATE-GAS AVAILABILITY'!Q614+P615*'RAP TEMPLATE-GAS AVAILABILITY'!R614)/('RAP TEMPLATE-GAS AVAILABILITY'!O614+'RAP TEMPLATE-GAS AVAILABILITY'!P614+'RAP TEMPLATE-GAS AVAILABILITY'!Q614+'RAP TEMPLATE-GAS AVAILABILITY'!R614)</f>
        <v>37.680717985611508</v>
      </c>
    </row>
    <row r="616" spans="1:29" ht="15.75" x14ac:dyDescent="0.25">
      <c r="A616" s="32">
        <v>59656</v>
      </c>
      <c r="B616" s="14">
        <f>CHOOSE(CONTROL!$C$42, 38.2701, 38.2701) * CHOOSE(CONTROL!$C$21, $C$9, 100%, $E$9)</f>
        <v>38.270099999999999</v>
      </c>
      <c r="C616" s="14">
        <f>CHOOSE(CONTROL!$C$42, 38.2745, 38.2745) * CHOOSE(CONTROL!$C$21, $C$9, 100%, $E$9)</f>
        <v>38.274500000000003</v>
      </c>
      <c r="D616" s="14">
        <f>CHOOSE(CONTROL!$C$42, 38.4983, 38.4983) * CHOOSE(CONTROL!$C$21, $C$9, 100%, $E$9)</f>
        <v>38.4983</v>
      </c>
      <c r="E616" s="14">
        <f>CHOOSE(CONTROL!$C$42, 38.5304, 38.5304) * CHOOSE(CONTROL!$C$21, $C$9, 100%, $E$9)</f>
        <v>38.5304</v>
      </c>
      <c r="F616" s="14">
        <f>CHOOSE(CONTROL!$C$42, 38.2977, 38.2977)*CHOOSE(CONTROL!$C$21, $C$9, 100%, $E$9)</f>
        <v>38.297699999999999</v>
      </c>
      <c r="G616" s="14">
        <f>CHOOSE(CONTROL!$C$42, 38.3146, 38.3146)*CHOOSE(CONTROL!$C$21, $C$9, 100%, $E$9)</f>
        <v>38.314599999999999</v>
      </c>
      <c r="H616" s="14">
        <f>CHOOSE(CONTROL!$C$42, 38.5202, 38.5202) * CHOOSE(CONTROL!$C$21, $C$9, 100%, $E$9)</f>
        <v>38.520200000000003</v>
      </c>
      <c r="I616" s="14">
        <f>CHOOSE(CONTROL!$C$42, 38.4192, 38.4192)* CHOOSE(CONTROL!$C$21, $C$9, 100%, $E$9)</f>
        <v>38.419199999999996</v>
      </c>
      <c r="J616" s="14">
        <f>CHOOSE(CONTROL!$C$42, 38.2907, 38.2907)* CHOOSE(CONTROL!$C$21, $C$9, 100%, $E$9)</f>
        <v>38.290700000000001</v>
      </c>
      <c r="K616" s="53">
        <f>CHOOSE(CONTROL!$C$42, 38.4153, 38.4153) * CHOOSE(CONTROL!$C$21, $C$9, 100%, $E$9)</f>
        <v>38.415300000000002</v>
      </c>
      <c r="L616" s="14">
        <f>CHOOSE(CONTROL!$C$42, 39.1072, 39.1072) * CHOOSE(CONTROL!$C$21, $C$9, 100%, $E$9)</f>
        <v>39.107199999999999</v>
      </c>
      <c r="M616" s="14">
        <f>CHOOSE(CONTROL!$C$42, 37.5139, 37.5139) * CHOOSE(CONTROL!$C$21, $C$9, 100%, $E$9)</f>
        <v>37.5139</v>
      </c>
      <c r="N616" s="14">
        <f>CHOOSE(CONTROL!$C$42, 37.5304, 37.5304) * CHOOSE(CONTROL!$C$21, $C$9, 100%, $E$9)</f>
        <v>37.5304</v>
      </c>
      <c r="O616" s="14">
        <f>CHOOSE(CONTROL!$C$42, 37.7386, 37.7386) * CHOOSE(CONTROL!$C$21, $C$9, 100%, $E$9)</f>
        <v>37.738599999999998</v>
      </c>
      <c r="P616" s="14">
        <f>CHOOSE(CONTROL!$C$42, 37.6374, 37.6374) * CHOOSE(CONTROL!$C$21, $C$9, 100%, $E$9)</f>
        <v>37.6374</v>
      </c>
      <c r="Q616" s="14">
        <f>CHOOSE(CONTROL!$C$42, 38.3333, 38.3333) * CHOOSE(CONTROL!$C$21, $C$9, 100%, $E$9)</f>
        <v>38.333300000000001</v>
      </c>
      <c r="R616" s="14">
        <f>CHOOSE(CONTROL!$C$42, 39.0161, 39.0161) * CHOOSE(CONTROL!$C$21, $C$9, 100%, $E$9)</f>
        <v>39.016100000000002</v>
      </c>
      <c r="S616" s="14">
        <f>CHOOSE(CONTROL!$C$42, 36.7644, 36.7644) * CHOOSE(CONTROL!$C$21, $C$9, 100%, $E$9)</f>
        <v>36.764400000000002</v>
      </c>
      <c r="T61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16" s="57">
        <f>(1000*CHOOSE(CONTROL!$C$42, 695, 695)*CHOOSE(CONTROL!$C$42, 0.5599, 0.5599)*CHOOSE(CONTROL!$C$42, 30, 30))/1000000</f>
        <v>11.673914999999997</v>
      </c>
      <c r="V616" s="57">
        <f>(1000*CHOOSE(CONTROL!$C$42, 500, 500)*CHOOSE(CONTROL!$C$42, 0.275, 0.275)*CHOOSE(CONTROL!$C$42, 30, 30))/1000000</f>
        <v>4.125</v>
      </c>
      <c r="W616" s="57">
        <f>(1000*CHOOSE(CONTROL!$C$42, 0.1146, 0.1146)*CHOOSE(CONTROL!$C$42, 121.5, 121.5)*CHOOSE(CONTROL!$C$42, 30, 30))/1000000</f>
        <v>0.417717</v>
      </c>
      <c r="X616" s="57">
        <f>(30*0.1790888*245000/1000000)+(30*0.2374*100000/1000000)</f>
        <v>2.0285026799999999</v>
      </c>
      <c r="Y616" s="57"/>
      <c r="Z616" s="14"/>
      <c r="AA616" s="56"/>
      <c r="AB616" s="50">
        <f>(B616*141.293+C616*267.993+D616*115.016+E616*89.698+F616*40+G616*185+H616*0+I616*100+J616*300)/(141.293+267.993+115.016+89.698+0+40+185+100+300)</f>
        <v>38.335637296045199</v>
      </c>
      <c r="AC616" s="45">
        <f>(M616*'RAP TEMPLATE-GAS AVAILABILITY'!O615+N616*'RAP TEMPLATE-GAS AVAILABILITY'!P615+O616*'RAP TEMPLATE-GAS AVAILABILITY'!Q615+P616*'RAP TEMPLATE-GAS AVAILABILITY'!R615)/('RAP TEMPLATE-GAS AVAILABILITY'!O615+'RAP TEMPLATE-GAS AVAILABILITY'!P615+'RAP TEMPLATE-GAS AVAILABILITY'!Q615+'RAP TEMPLATE-GAS AVAILABILITY'!R615)</f>
        <v>37.6344618705036</v>
      </c>
    </row>
    <row r="617" spans="1:29" ht="15.75" x14ac:dyDescent="0.25">
      <c r="A617" s="32">
        <v>59687</v>
      </c>
      <c r="B617" s="14">
        <f>CHOOSE(CONTROL!$C$42, 38.6091, 38.6091) * CHOOSE(CONTROL!$C$21, $C$9, 100%, $E$9)</f>
        <v>38.609099999999998</v>
      </c>
      <c r="C617" s="14">
        <f>CHOOSE(CONTROL!$C$42, 38.6172, 38.6172) * CHOOSE(CONTROL!$C$21, $C$9, 100%, $E$9)</f>
        <v>38.617199999999997</v>
      </c>
      <c r="D617" s="14">
        <f>CHOOSE(CONTROL!$C$42, 38.8378, 38.8378) * CHOOSE(CONTROL!$C$21, $C$9, 100%, $E$9)</f>
        <v>38.837800000000001</v>
      </c>
      <c r="E617" s="14">
        <f>CHOOSE(CONTROL!$C$42, 38.8692, 38.8692) * CHOOSE(CONTROL!$C$21, $C$9, 100%, $E$9)</f>
        <v>38.869199999999999</v>
      </c>
      <c r="F617" s="14">
        <f>CHOOSE(CONTROL!$C$42, 38.6354, 38.6354)*CHOOSE(CONTROL!$C$21, $C$9, 100%, $E$9)</f>
        <v>38.635399999999997</v>
      </c>
      <c r="G617" s="14">
        <f>CHOOSE(CONTROL!$C$42, 38.6525, 38.6525)*CHOOSE(CONTROL!$C$21, $C$9, 100%, $E$9)</f>
        <v>38.652500000000003</v>
      </c>
      <c r="H617" s="14">
        <f>CHOOSE(CONTROL!$C$42, 38.8579, 38.8579) * CHOOSE(CONTROL!$C$21, $C$9, 100%, $E$9)</f>
        <v>38.857900000000001</v>
      </c>
      <c r="I617" s="14">
        <f>CHOOSE(CONTROL!$C$42, 38.7579, 38.7579)* CHOOSE(CONTROL!$C$21, $C$9, 100%, $E$9)</f>
        <v>38.757899999999999</v>
      </c>
      <c r="J617" s="14">
        <f>CHOOSE(CONTROL!$C$42, 38.6284, 38.6284)* CHOOSE(CONTROL!$C$21, $C$9, 100%, $E$9)</f>
        <v>38.628399999999999</v>
      </c>
      <c r="K617" s="53">
        <f>CHOOSE(CONTROL!$C$42, 38.7541, 38.7541) * CHOOSE(CONTROL!$C$21, $C$9, 100%, $E$9)</f>
        <v>38.754100000000001</v>
      </c>
      <c r="L617" s="14">
        <f>CHOOSE(CONTROL!$C$42, 39.4449, 39.4449) * CHOOSE(CONTROL!$C$21, $C$9, 100%, $E$9)</f>
        <v>39.444899999999997</v>
      </c>
      <c r="M617" s="14">
        <f>CHOOSE(CONTROL!$C$42, 37.8446, 37.8446) * CHOOSE(CONTROL!$C$21, $C$9, 100%, $E$9)</f>
        <v>37.8446</v>
      </c>
      <c r="N617" s="14">
        <f>CHOOSE(CONTROL!$C$42, 37.8614, 37.8614) * CHOOSE(CONTROL!$C$21, $C$9, 100%, $E$9)</f>
        <v>37.861400000000003</v>
      </c>
      <c r="O617" s="14">
        <f>CHOOSE(CONTROL!$C$42, 38.0694, 38.0694) * CHOOSE(CONTROL!$C$21, $C$9, 100%, $E$9)</f>
        <v>38.069400000000002</v>
      </c>
      <c r="P617" s="14">
        <f>CHOOSE(CONTROL!$C$42, 37.9692, 37.9692) * CHOOSE(CONTROL!$C$21, $C$9, 100%, $E$9)</f>
        <v>37.969200000000001</v>
      </c>
      <c r="Q617" s="14">
        <f>CHOOSE(CONTROL!$C$42, 38.6641, 38.6641) * CHOOSE(CONTROL!$C$21, $C$9, 100%, $E$9)</f>
        <v>38.664099999999998</v>
      </c>
      <c r="R617" s="14">
        <f>CHOOSE(CONTROL!$C$42, 39.3477, 39.3477) * CHOOSE(CONTROL!$C$21, $C$9, 100%, $E$9)</f>
        <v>39.347700000000003</v>
      </c>
      <c r="S617" s="14">
        <f>CHOOSE(CONTROL!$C$42, 37.0889, 37.0889) * CHOOSE(CONTROL!$C$21, $C$9, 100%, $E$9)</f>
        <v>37.088900000000002</v>
      </c>
      <c r="T61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17" s="57">
        <f>(1000*CHOOSE(CONTROL!$C$42, 695, 695)*CHOOSE(CONTROL!$C$42, 0.5599, 0.5599)*CHOOSE(CONTROL!$C$42, 31, 31))/1000000</f>
        <v>12.063045499999998</v>
      </c>
      <c r="V617" s="57">
        <f>(1000*CHOOSE(CONTROL!$C$42, 500, 500)*CHOOSE(CONTROL!$C$42, 0.275, 0.275)*CHOOSE(CONTROL!$C$42, 31, 31))/1000000</f>
        <v>4.2625000000000002</v>
      </c>
      <c r="W617" s="57">
        <f>(1000*CHOOSE(CONTROL!$C$42, 0.1146, 0.1146)*CHOOSE(CONTROL!$C$42, 121.5, 121.5)*CHOOSE(CONTROL!$C$42, 31, 31))/1000000</f>
        <v>0.43164089999999994</v>
      </c>
      <c r="X617" s="57">
        <f>(31*0.1790888*245000/1000000)+(31*0.2374*100000/1000000)</f>
        <v>2.0961194359999999</v>
      </c>
      <c r="Y617" s="57"/>
      <c r="Z617" s="14"/>
      <c r="AA617" s="56"/>
      <c r="AB617" s="50">
        <f>(B617*194.205+C617*267.466+D617*133.845+E617*53.484+F617*40+G617*185+H617*0+I617*100+J617*300)/(194.205+267.466+133.845+53.484+0+40+185+100+300)</f>
        <v>38.669099226452119</v>
      </c>
      <c r="AC617" s="45">
        <f>(M617*'RAP TEMPLATE-GAS AVAILABILITY'!O616+N617*'RAP TEMPLATE-GAS AVAILABILITY'!P616+O617*'RAP TEMPLATE-GAS AVAILABILITY'!Q616+P617*'RAP TEMPLATE-GAS AVAILABILITY'!R616)/('RAP TEMPLATE-GAS AVAILABILITY'!O616+'RAP TEMPLATE-GAS AVAILABILITY'!P616+'RAP TEMPLATE-GAS AVAILABILITY'!Q616+'RAP TEMPLATE-GAS AVAILABILITY'!R616)</f>
        <v>37.965382733812945</v>
      </c>
    </row>
    <row r="618" spans="1:29" ht="15.75" x14ac:dyDescent="0.25">
      <c r="A618" s="32">
        <v>59717</v>
      </c>
      <c r="B618" s="14">
        <f>CHOOSE(CONTROL!$C$42, 39.704, 39.704) * CHOOSE(CONTROL!$C$21, $C$9, 100%, $E$9)</f>
        <v>39.704000000000001</v>
      </c>
      <c r="C618" s="14">
        <f>CHOOSE(CONTROL!$C$42, 39.712, 39.712) * CHOOSE(CONTROL!$C$21, $C$9, 100%, $E$9)</f>
        <v>39.712000000000003</v>
      </c>
      <c r="D618" s="14">
        <f>CHOOSE(CONTROL!$C$42, 39.9326, 39.9326) * CHOOSE(CONTROL!$C$21, $C$9, 100%, $E$9)</f>
        <v>39.932600000000001</v>
      </c>
      <c r="E618" s="14">
        <f>CHOOSE(CONTROL!$C$42, 39.9641, 39.9641) * CHOOSE(CONTROL!$C$21, $C$9, 100%, $E$9)</f>
        <v>39.964100000000002</v>
      </c>
      <c r="F618" s="14">
        <f>CHOOSE(CONTROL!$C$42, 39.7306, 39.7306)*CHOOSE(CONTROL!$C$21, $C$9, 100%, $E$9)</f>
        <v>39.730600000000003</v>
      </c>
      <c r="G618" s="14">
        <f>CHOOSE(CONTROL!$C$42, 39.7478, 39.7478)*CHOOSE(CONTROL!$C$21, $C$9, 100%, $E$9)</f>
        <v>39.747799999999998</v>
      </c>
      <c r="H618" s="14">
        <f>CHOOSE(CONTROL!$C$42, 39.9527, 39.9527) * CHOOSE(CONTROL!$C$21, $C$9, 100%, $E$9)</f>
        <v>39.9527</v>
      </c>
      <c r="I618" s="14">
        <f>CHOOSE(CONTROL!$C$42, 39.8562, 39.8562)* CHOOSE(CONTROL!$C$21, $C$9, 100%, $E$9)</f>
        <v>39.856200000000001</v>
      </c>
      <c r="J618" s="14">
        <f>CHOOSE(CONTROL!$C$42, 39.7236, 39.7236)* CHOOSE(CONTROL!$C$21, $C$9, 100%, $E$9)</f>
        <v>39.723599999999998</v>
      </c>
      <c r="K618" s="53">
        <f>CHOOSE(CONTROL!$C$42, 39.8523, 39.8523) * CHOOSE(CONTROL!$C$21, $C$9, 100%, $E$9)</f>
        <v>39.8523</v>
      </c>
      <c r="L618" s="14">
        <f>CHOOSE(CONTROL!$C$42, 40.5397, 40.5397) * CHOOSE(CONTROL!$C$21, $C$9, 100%, $E$9)</f>
        <v>40.539700000000003</v>
      </c>
      <c r="M618" s="14">
        <f>CHOOSE(CONTROL!$C$42, 38.9174, 38.9174) * CHOOSE(CONTROL!$C$21, $C$9, 100%, $E$9)</f>
        <v>38.917400000000001</v>
      </c>
      <c r="N618" s="14">
        <f>CHOOSE(CONTROL!$C$42, 38.9343, 38.9343) * CHOOSE(CONTROL!$C$21, $C$9, 100%, $E$9)</f>
        <v>38.9343</v>
      </c>
      <c r="O618" s="14">
        <f>CHOOSE(CONTROL!$C$42, 39.1418, 39.1418) * CHOOSE(CONTROL!$C$21, $C$9, 100%, $E$9)</f>
        <v>39.141800000000003</v>
      </c>
      <c r="P618" s="14">
        <f>CHOOSE(CONTROL!$C$42, 39.0449, 39.0449) * CHOOSE(CONTROL!$C$21, $C$9, 100%, $E$9)</f>
        <v>39.044899999999998</v>
      </c>
      <c r="Q618" s="14">
        <f>CHOOSE(CONTROL!$C$42, 39.7365, 39.7365) * CHOOSE(CONTROL!$C$21, $C$9, 100%, $E$9)</f>
        <v>39.736499999999999</v>
      </c>
      <c r="R618" s="14">
        <f>CHOOSE(CONTROL!$C$42, 40.4228, 40.4228) * CHOOSE(CONTROL!$C$21, $C$9, 100%, $E$9)</f>
        <v>40.422800000000002</v>
      </c>
      <c r="S618" s="14">
        <f>CHOOSE(CONTROL!$C$42, 38.1409, 38.1409) * CHOOSE(CONTROL!$C$21, $C$9, 100%, $E$9)</f>
        <v>38.140900000000002</v>
      </c>
      <c r="T61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18" s="57">
        <f>(1000*CHOOSE(CONTROL!$C$42, 695, 695)*CHOOSE(CONTROL!$C$42, 0.5599, 0.5599)*CHOOSE(CONTROL!$C$42, 30, 30))/1000000</f>
        <v>11.673914999999997</v>
      </c>
      <c r="V618" s="57">
        <f>(1000*CHOOSE(CONTROL!$C$42, 500, 500)*CHOOSE(CONTROL!$C$42, 0.275, 0.275)*CHOOSE(CONTROL!$C$42, 30, 30))/1000000</f>
        <v>4.125</v>
      </c>
      <c r="W618" s="57">
        <f>(1000*CHOOSE(CONTROL!$C$42, 0.1146, 0.1146)*CHOOSE(CONTROL!$C$42, 121.5, 121.5)*CHOOSE(CONTROL!$C$42, 30, 30))/1000000</f>
        <v>0.417717</v>
      </c>
      <c r="X618" s="57">
        <f>(30*0.1790888*245000/1000000)+(30*0.2374*100000/1000000)</f>
        <v>2.0285026799999999</v>
      </c>
      <c r="Y618" s="57"/>
      <c r="Z618" s="14"/>
      <c r="AA618" s="56"/>
      <c r="AB618" s="50">
        <f>(B618*194.205+C618*267.466+D618*133.845+E618*53.484+F618*40+G618*185+H618*0+I618*100+J618*300)/(194.205+267.466+133.845+53.484+0+40+185+100+300)</f>
        <v>39.764372749921513</v>
      </c>
      <c r="AC618" s="45">
        <f>(M618*'RAP TEMPLATE-GAS AVAILABILITY'!O617+N618*'RAP TEMPLATE-GAS AVAILABILITY'!P617+O618*'RAP TEMPLATE-GAS AVAILABILITY'!Q617+P618*'RAP TEMPLATE-GAS AVAILABILITY'!R617)/('RAP TEMPLATE-GAS AVAILABILITY'!O617+'RAP TEMPLATE-GAS AVAILABILITY'!P617+'RAP TEMPLATE-GAS AVAILABILITY'!Q617+'RAP TEMPLATE-GAS AVAILABILITY'!R617)</f>
        <v>39.038424460431656</v>
      </c>
    </row>
    <row r="619" spans="1:29" ht="15.75" x14ac:dyDescent="0.25">
      <c r="A619" s="32">
        <v>59748</v>
      </c>
      <c r="B619" s="14">
        <f>CHOOSE(CONTROL!$C$42, 38.9425, 38.9425) * CHOOSE(CONTROL!$C$21, $C$9, 100%, $E$9)</f>
        <v>38.942500000000003</v>
      </c>
      <c r="C619" s="14">
        <f>CHOOSE(CONTROL!$C$42, 38.9506, 38.9506) * CHOOSE(CONTROL!$C$21, $C$9, 100%, $E$9)</f>
        <v>38.950600000000001</v>
      </c>
      <c r="D619" s="14">
        <f>CHOOSE(CONTROL!$C$42, 39.1711, 39.1711) * CHOOSE(CONTROL!$C$21, $C$9, 100%, $E$9)</f>
        <v>39.171100000000003</v>
      </c>
      <c r="E619" s="14">
        <f>CHOOSE(CONTROL!$C$42, 39.2026, 39.2026) * CHOOSE(CONTROL!$C$21, $C$9, 100%, $E$9)</f>
        <v>39.202599999999997</v>
      </c>
      <c r="F619" s="14">
        <f>CHOOSE(CONTROL!$C$42, 38.9696, 38.9696)*CHOOSE(CONTROL!$C$21, $C$9, 100%, $E$9)</f>
        <v>38.9696</v>
      </c>
      <c r="G619" s="14">
        <f>CHOOSE(CONTROL!$C$42, 38.9869, 38.9869)*CHOOSE(CONTROL!$C$21, $C$9, 100%, $E$9)</f>
        <v>38.986899999999999</v>
      </c>
      <c r="H619" s="14">
        <f>CHOOSE(CONTROL!$C$42, 39.1912, 39.1912) * CHOOSE(CONTROL!$C$21, $C$9, 100%, $E$9)</f>
        <v>39.191200000000002</v>
      </c>
      <c r="I619" s="14">
        <f>CHOOSE(CONTROL!$C$42, 39.0924, 39.0924)* CHOOSE(CONTROL!$C$21, $C$9, 100%, $E$9)</f>
        <v>39.092399999999998</v>
      </c>
      <c r="J619" s="14">
        <f>CHOOSE(CONTROL!$C$42, 38.9626, 38.9626)* CHOOSE(CONTROL!$C$21, $C$9, 100%, $E$9)</f>
        <v>38.962600000000002</v>
      </c>
      <c r="K619" s="53">
        <f>CHOOSE(CONTROL!$C$42, 39.0885, 39.0885) * CHOOSE(CONTROL!$C$21, $C$9, 100%, $E$9)</f>
        <v>39.088500000000003</v>
      </c>
      <c r="L619" s="14">
        <f>CHOOSE(CONTROL!$C$42, 39.7782, 39.7782) * CHOOSE(CONTROL!$C$21, $C$9, 100%, $E$9)</f>
        <v>39.778199999999998</v>
      </c>
      <c r="M619" s="14">
        <f>CHOOSE(CONTROL!$C$42, 38.172, 38.172) * CHOOSE(CONTROL!$C$21, $C$9, 100%, $E$9)</f>
        <v>38.171999999999997</v>
      </c>
      <c r="N619" s="14">
        <f>CHOOSE(CONTROL!$C$42, 38.1889, 38.1889) * CHOOSE(CONTROL!$C$21, $C$9, 100%, $E$9)</f>
        <v>38.188899999999997</v>
      </c>
      <c r="O619" s="14">
        <f>CHOOSE(CONTROL!$C$42, 38.3959, 38.3959) * CHOOSE(CONTROL!$C$21, $C$9, 100%, $E$9)</f>
        <v>38.395899999999997</v>
      </c>
      <c r="P619" s="14">
        <f>CHOOSE(CONTROL!$C$42, 38.2967, 38.2967) * CHOOSE(CONTROL!$C$21, $C$9, 100%, $E$9)</f>
        <v>38.296700000000001</v>
      </c>
      <c r="Q619" s="14">
        <f>CHOOSE(CONTROL!$C$42, 38.9906, 38.9906) * CHOOSE(CONTROL!$C$21, $C$9, 100%, $E$9)</f>
        <v>38.990600000000001</v>
      </c>
      <c r="R619" s="14">
        <f>CHOOSE(CONTROL!$C$42, 39.6751, 39.6751) * CHOOSE(CONTROL!$C$21, $C$9, 100%, $E$9)</f>
        <v>39.6751</v>
      </c>
      <c r="S619" s="14">
        <f>CHOOSE(CONTROL!$C$42, 37.4092, 37.4092) * CHOOSE(CONTROL!$C$21, $C$9, 100%, $E$9)</f>
        <v>37.409199999999998</v>
      </c>
      <c r="T61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19" s="57">
        <f>(1000*CHOOSE(CONTROL!$C$42, 695, 695)*CHOOSE(CONTROL!$C$42, 0.5599, 0.5599)*CHOOSE(CONTROL!$C$42, 31, 31))/1000000</f>
        <v>12.063045499999998</v>
      </c>
      <c r="V619" s="57">
        <f>(1000*CHOOSE(CONTROL!$C$42, 500, 500)*CHOOSE(CONTROL!$C$42, 0.275, 0.275)*CHOOSE(CONTROL!$C$42, 31, 31))/1000000</f>
        <v>4.2625000000000002</v>
      </c>
      <c r="W619" s="57">
        <f>(1000*CHOOSE(CONTROL!$C$42, 0.1146, 0.1146)*CHOOSE(CONTROL!$C$42, 121.5, 121.5)*CHOOSE(CONTROL!$C$42, 31, 31))/1000000</f>
        <v>0.43164089999999994</v>
      </c>
      <c r="X619" s="57">
        <f>(31*0.1790888*245000/1000000)+(31*0.2374*100000/1000000)</f>
        <v>2.0961194359999999</v>
      </c>
      <c r="Y619" s="57"/>
      <c r="Z619" s="14"/>
      <c r="AA619" s="56"/>
      <c r="AB619" s="50">
        <f>(B619*194.205+C619*267.466+D619*133.845+E619*53.484+F619*40+G619*185+H619*0+I619*100+J619*300)/(194.205+267.466+133.845+53.484+0+40+185+100+300)</f>
        <v>39.002933775510208</v>
      </c>
      <c r="AC619" s="45">
        <f>(M619*'RAP TEMPLATE-GAS AVAILABILITY'!O618+N619*'RAP TEMPLATE-GAS AVAILABILITY'!P618+O619*'RAP TEMPLATE-GAS AVAILABILITY'!Q618+P619*'RAP TEMPLATE-GAS AVAILABILITY'!R618)/('RAP TEMPLATE-GAS AVAILABILITY'!O618+'RAP TEMPLATE-GAS AVAILABILITY'!P618+'RAP TEMPLATE-GAS AVAILABILITY'!Q618+'RAP TEMPLATE-GAS AVAILABILITY'!R618)</f>
        <v>38.292394964028766</v>
      </c>
    </row>
    <row r="620" spans="1:29" ht="15.75" x14ac:dyDescent="0.25">
      <c r="A620" s="32">
        <v>59779</v>
      </c>
      <c r="B620" s="14">
        <f>CHOOSE(CONTROL!$C$42, 37.0195, 37.0195) * CHOOSE(CONTROL!$C$21, $C$9, 100%, $E$9)</f>
        <v>37.019500000000001</v>
      </c>
      <c r="C620" s="14">
        <f>CHOOSE(CONTROL!$C$42, 37.0276, 37.0276) * CHOOSE(CONTROL!$C$21, $C$9, 100%, $E$9)</f>
        <v>37.0276</v>
      </c>
      <c r="D620" s="14">
        <f>CHOOSE(CONTROL!$C$42, 37.2481, 37.2481) * CHOOSE(CONTROL!$C$21, $C$9, 100%, $E$9)</f>
        <v>37.248100000000001</v>
      </c>
      <c r="E620" s="14">
        <f>CHOOSE(CONTROL!$C$42, 37.2796, 37.2796) * CHOOSE(CONTROL!$C$21, $C$9, 100%, $E$9)</f>
        <v>37.279600000000002</v>
      </c>
      <c r="F620" s="14">
        <f>CHOOSE(CONTROL!$C$42, 37.0469, 37.0469)*CHOOSE(CONTROL!$C$21, $C$9, 100%, $E$9)</f>
        <v>37.046900000000001</v>
      </c>
      <c r="G620" s="14">
        <f>CHOOSE(CONTROL!$C$42, 37.0643, 37.0643)*CHOOSE(CONTROL!$C$21, $C$9, 100%, $E$9)</f>
        <v>37.064300000000003</v>
      </c>
      <c r="H620" s="14">
        <f>CHOOSE(CONTROL!$C$42, 37.2682, 37.2682) * CHOOSE(CONTROL!$C$21, $C$9, 100%, $E$9)</f>
        <v>37.2682</v>
      </c>
      <c r="I620" s="14">
        <f>CHOOSE(CONTROL!$C$42, 37.1634, 37.1634)* CHOOSE(CONTROL!$C$21, $C$9, 100%, $E$9)</f>
        <v>37.163400000000003</v>
      </c>
      <c r="J620" s="14">
        <f>CHOOSE(CONTROL!$C$42, 37.0399, 37.0399)* CHOOSE(CONTROL!$C$21, $C$9, 100%, $E$9)</f>
        <v>37.039900000000003</v>
      </c>
      <c r="K620" s="53">
        <f>CHOOSE(CONTROL!$C$42, 37.1595, 37.1595) * CHOOSE(CONTROL!$C$21, $C$9, 100%, $E$9)</f>
        <v>37.159500000000001</v>
      </c>
      <c r="L620" s="14">
        <f>CHOOSE(CONTROL!$C$42, 37.8552, 37.8552) * CHOOSE(CONTROL!$C$21, $C$9, 100%, $E$9)</f>
        <v>37.855200000000004</v>
      </c>
      <c r="M620" s="14">
        <f>CHOOSE(CONTROL!$C$42, 36.2887, 36.2887) * CHOOSE(CONTROL!$C$21, $C$9, 100%, $E$9)</f>
        <v>36.288699999999999</v>
      </c>
      <c r="N620" s="14">
        <f>CHOOSE(CONTROL!$C$42, 36.3057, 36.3057) * CHOOSE(CONTROL!$C$21, $C$9, 100%, $E$9)</f>
        <v>36.305700000000002</v>
      </c>
      <c r="O620" s="14">
        <f>CHOOSE(CONTROL!$C$42, 36.5123, 36.5123) * CHOOSE(CONTROL!$C$21, $C$9, 100%, $E$9)</f>
        <v>36.512300000000003</v>
      </c>
      <c r="P620" s="14">
        <f>CHOOSE(CONTROL!$C$42, 36.4073, 36.4073) * CHOOSE(CONTROL!$C$21, $C$9, 100%, $E$9)</f>
        <v>36.407299999999999</v>
      </c>
      <c r="Q620" s="14">
        <f>CHOOSE(CONTROL!$C$42, 37.107, 37.107) * CHOOSE(CONTROL!$C$21, $C$9, 100%, $E$9)</f>
        <v>37.106999999999999</v>
      </c>
      <c r="R620" s="14">
        <f>CHOOSE(CONTROL!$C$42, 37.7868, 37.7868) * CHOOSE(CONTROL!$C$21, $C$9, 100%, $E$9)</f>
        <v>37.786799999999999</v>
      </c>
      <c r="S620" s="14">
        <f>CHOOSE(CONTROL!$C$42, 35.5614, 35.5614) * CHOOSE(CONTROL!$C$21, $C$9, 100%, $E$9)</f>
        <v>35.561399999999999</v>
      </c>
      <c r="T62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20" s="57">
        <f>(1000*CHOOSE(CONTROL!$C$42, 695, 695)*CHOOSE(CONTROL!$C$42, 0.5599, 0.5599)*CHOOSE(CONTROL!$C$42, 31, 31))/1000000</f>
        <v>12.063045499999998</v>
      </c>
      <c r="V620" s="57">
        <f>(1000*CHOOSE(CONTROL!$C$42, 500, 500)*CHOOSE(CONTROL!$C$42, 0.275, 0.275)*CHOOSE(CONTROL!$C$42, 31, 31))/1000000</f>
        <v>4.2625000000000002</v>
      </c>
      <c r="W620" s="57">
        <f>(1000*CHOOSE(CONTROL!$C$42, 0.1146, 0.1146)*CHOOSE(CONTROL!$C$42, 121.5, 121.5)*CHOOSE(CONTROL!$C$42, 31, 31))/1000000</f>
        <v>0.43164089999999994</v>
      </c>
      <c r="X620" s="57">
        <f>(31*0.1790888*245000/1000000)+(31*0.2374*100000/1000000)</f>
        <v>2.0961194359999999</v>
      </c>
      <c r="Y620" s="57"/>
      <c r="Z620" s="14"/>
      <c r="AA620" s="56"/>
      <c r="AB620" s="50">
        <f>(B620*194.205+C620*267.466+D620*133.845+E620*53.484+F620*40+G620*185+H620*0+I620*100+J620*300)/(194.205+267.466+133.845+53.484+0+40+185+100+300)</f>
        <v>37.079600965463108</v>
      </c>
      <c r="AC620" s="45">
        <f>(M620*'RAP TEMPLATE-GAS AVAILABILITY'!O619+N620*'RAP TEMPLATE-GAS AVAILABILITY'!P619+O620*'RAP TEMPLATE-GAS AVAILABILITY'!Q619+P620*'RAP TEMPLATE-GAS AVAILABILITY'!R619)/('RAP TEMPLATE-GAS AVAILABILITY'!O619+'RAP TEMPLATE-GAS AVAILABILITY'!P619+'RAP TEMPLATE-GAS AVAILABILITY'!Q619+'RAP TEMPLATE-GAS AVAILABILITY'!R619)</f>
        <v>36.408087050359711</v>
      </c>
    </row>
    <row r="621" spans="1:29" ht="15.75" x14ac:dyDescent="0.25">
      <c r="A621" s="32">
        <v>59809</v>
      </c>
      <c r="B621" s="14">
        <f>CHOOSE(CONTROL!$C$42, 34.6698, 34.6698) * CHOOSE(CONTROL!$C$21, $C$9, 100%, $E$9)</f>
        <v>34.669800000000002</v>
      </c>
      <c r="C621" s="14">
        <f>CHOOSE(CONTROL!$C$42, 34.6778, 34.6778) * CHOOSE(CONTROL!$C$21, $C$9, 100%, $E$9)</f>
        <v>34.677799999999998</v>
      </c>
      <c r="D621" s="14">
        <f>CHOOSE(CONTROL!$C$42, 34.8984, 34.8984) * CHOOSE(CONTROL!$C$21, $C$9, 100%, $E$9)</f>
        <v>34.898400000000002</v>
      </c>
      <c r="E621" s="14">
        <f>CHOOSE(CONTROL!$C$42, 34.9298, 34.9298) * CHOOSE(CONTROL!$C$21, $C$9, 100%, $E$9)</f>
        <v>34.9298</v>
      </c>
      <c r="F621" s="14">
        <f>CHOOSE(CONTROL!$C$42, 34.6971, 34.6971)*CHOOSE(CONTROL!$C$21, $C$9, 100%, $E$9)</f>
        <v>34.697099999999999</v>
      </c>
      <c r="G621" s="14">
        <f>CHOOSE(CONTROL!$C$42, 34.7145, 34.7145)*CHOOSE(CONTROL!$C$21, $C$9, 100%, $E$9)</f>
        <v>34.714500000000001</v>
      </c>
      <c r="H621" s="14">
        <f>CHOOSE(CONTROL!$C$42, 34.9185, 34.9185) * CHOOSE(CONTROL!$C$21, $C$9, 100%, $E$9)</f>
        <v>34.918500000000002</v>
      </c>
      <c r="I621" s="14">
        <f>CHOOSE(CONTROL!$C$42, 34.8062, 34.8062)* CHOOSE(CONTROL!$C$21, $C$9, 100%, $E$9)</f>
        <v>34.806199999999997</v>
      </c>
      <c r="J621" s="14">
        <f>CHOOSE(CONTROL!$C$42, 34.6901, 34.6901)* CHOOSE(CONTROL!$C$21, $C$9, 100%, $E$9)</f>
        <v>34.690100000000001</v>
      </c>
      <c r="K621" s="53">
        <f>CHOOSE(CONTROL!$C$42, 34.8023, 34.8023) * CHOOSE(CONTROL!$C$21, $C$9, 100%, $E$9)</f>
        <v>34.802300000000002</v>
      </c>
      <c r="L621" s="14">
        <f>CHOOSE(CONTROL!$C$42, 35.5055, 35.5055) * CHOOSE(CONTROL!$C$21, $C$9, 100%, $E$9)</f>
        <v>35.505499999999998</v>
      </c>
      <c r="M621" s="14">
        <f>CHOOSE(CONTROL!$C$42, 33.987, 33.987) * CHOOSE(CONTROL!$C$21, $C$9, 100%, $E$9)</f>
        <v>33.987000000000002</v>
      </c>
      <c r="N621" s="14">
        <f>CHOOSE(CONTROL!$C$42, 34.0041, 34.0041) * CHOOSE(CONTROL!$C$21, $C$9, 100%, $E$9)</f>
        <v>34.004100000000001</v>
      </c>
      <c r="O621" s="14">
        <f>CHOOSE(CONTROL!$C$42, 34.2107, 34.2107) * CHOOSE(CONTROL!$C$21, $C$9, 100%, $E$9)</f>
        <v>34.210700000000003</v>
      </c>
      <c r="P621" s="14">
        <f>CHOOSE(CONTROL!$C$42, 34.0987, 34.0987) * CHOOSE(CONTROL!$C$21, $C$9, 100%, $E$9)</f>
        <v>34.098700000000001</v>
      </c>
      <c r="Q621" s="14">
        <f>CHOOSE(CONTROL!$C$42, 34.8054, 34.8054) * CHOOSE(CONTROL!$C$21, $C$9, 100%, $E$9)</f>
        <v>34.805399999999999</v>
      </c>
      <c r="R621" s="14">
        <f>CHOOSE(CONTROL!$C$42, 35.4794, 35.4794) * CHOOSE(CONTROL!$C$21, $C$9, 100%, $E$9)</f>
        <v>35.479399999999998</v>
      </c>
      <c r="S621" s="14">
        <f>CHOOSE(CONTROL!$C$42, 33.3036, 33.3036) * CHOOSE(CONTROL!$C$21, $C$9, 100%, $E$9)</f>
        <v>33.303600000000003</v>
      </c>
      <c r="T62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21" s="57">
        <f>(1000*CHOOSE(CONTROL!$C$42, 695, 695)*CHOOSE(CONTROL!$C$42, 0.5599, 0.5599)*CHOOSE(CONTROL!$C$42, 30, 30))/1000000</f>
        <v>11.673914999999997</v>
      </c>
      <c r="V621" s="57">
        <f>(1000*CHOOSE(CONTROL!$C$42, 500, 500)*CHOOSE(CONTROL!$C$42, 0.275, 0.275)*CHOOSE(CONTROL!$C$42, 30, 30))/1000000</f>
        <v>4.125</v>
      </c>
      <c r="W621" s="57">
        <f>(1000*CHOOSE(CONTROL!$C$42, 0.1146, 0.1146)*CHOOSE(CONTROL!$C$42, 121.5, 121.5)*CHOOSE(CONTROL!$C$42, 30, 30))/1000000</f>
        <v>0.417717</v>
      </c>
      <c r="X621" s="57">
        <f>(30*0.1790888*245000/1000000)+(30*0.2374*100000/1000000)</f>
        <v>2.0285026799999999</v>
      </c>
      <c r="Y621" s="57"/>
      <c r="Z621" s="14"/>
      <c r="AA621" s="56"/>
      <c r="AB621" s="50">
        <f>(B621*194.205+C621*267.466+D621*133.845+E621*53.484+F621*40+G621*185+H621*0+I621*100+J621*300)/(194.205+267.466+133.845+53.484+0+40+185+100+300)</f>
        <v>34.72924586734694</v>
      </c>
      <c r="AC621" s="45">
        <f>(M621*'RAP TEMPLATE-GAS AVAILABILITY'!O620+N621*'RAP TEMPLATE-GAS AVAILABILITY'!P620+O621*'RAP TEMPLATE-GAS AVAILABILITY'!Q620+P621*'RAP TEMPLATE-GAS AVAILABILITY'!R620)/('RAP TEMPLATE-GAS AVAILABILITY'!O620+'RAP TEMPLATE-GAS AVAILABILITY'!P620+'RAP TEMPLATE-GAS AVAILABILITY'!Q620+'RAP TEMPLATE-GAS AVAILABILITY'!R620)</f>
        <v>34.105445323741002</v>
      </c>
    </row>
    <row r="622" spans="1:29" ht="15.75" x14ac:dyDescent="0.25">
      <c r="A622" s="32">
        <v>59840</v>
      </c>
      <c r="B622" s="14">
        <f>CHOOSE(CONTROL!$C$42, 33.9643, 33.9643) * CHOOSE(CONTROL!$C$21, $C$9, 100%, $E$9)</f>
        <v>33.964300000000001</v>
      </c>
      <c r="C622" s="14">
        <f>CHOOSE(CONTROL!$C$42, 33.9696, 33.9696) * CHOOSE(CONTROL!$C$21, $C$9, 100%, $E$9)</f>
        <v>33.9696</v>
      </c>
      <c r="D622" s="14">
        <f>CHOOSE(CONTROL!$C$42, 34.1952, 34.1952) * CHOOSE(CONTROL!$C$21, $C$9, 100%, $E$9)</f>
        <v>34.1952</v>
      </c>
      <c r="E622" s="14">
        <f>CHOOSE(CONTROL!$C$42, 34.2243, 34.2243) * CHOOSE(CONTROL!$C$21, $C$9, 100%, $E$9)</f>
        <v>34.224299999999999</v>
      </c>
      <c r="F622" s="14">
        <f>CHOOSE(CONTROL!$C$42, 33.9937, 33.9937)*CHOOSE(CONTROL!$C$21, $C$9, 100%, $E$9)</f>
        <v>33.993699999999997</v>
      </c>
      <c r="G622" s="14">
        <f>CHOOSE(CONTROL!$C$42, 34.0109, 34.0109)*CHOOSE(CONTROL!$C$21, $C$9, 100%, $E$9)</f>
        <v>34.010899999999999</v>
      </c>
      <c r="H622" s="14">
        <f>CHOOSE(CONTROL!$C$42, 34.2148, 34.2148) * CHOOSE(CONTROL!$C$21, $C$9, 100%, $E$9)</f>
        <v>34.214799999999997</v>
      </c>
      <c r="I622" s="14">
        <f>CHOOSE(CONTROL!$C$42, 34.1003, 34.1003)* CHOOSE(CONTROL!$C$21, $C$9, 100%, $E$9)</f>
        <v>34.100299999999997</v>
      </c>
      <c r="J622" s="14">
        <f>CHOOSE(CONTROL!$C$42, 33.9867, 33.9867)* CHOOSE(CONTROL!$C$21, $C$9, 100%, $E$9)</f>
        <v>33.986699999999999</v>
      </c>
      <c r="K622" s="53">
        <f>CHOOSE(CONTROL!$C$42, 34.0964, 34.0964) * CHOOSE(CONTROL!$C$21, $C$9, 100%, $E$9)</f>
        <v>34.096400000000003</v>
      </c>
      <c r="L622" s="14">
        <f>CHOOSE(CONTROL!$C$42, 34.8018, 34.8018) * CHOOSE(CONTROL!$C$21, $C$9, 100%, $E$9)</f>
        <v>34.8018</v>
      </c>
      <c r="M622" s="14">
        <f>CHOOSE(CONTROL!$C$42, 33.298, 33.298) * CHOOSE(CONTROL!$C$21, $C$9, 100%, $E$9)</f>
        <v>33.298000000000002</v>
      </c>
      <c r="N622" s="14">
        <f>CHOOSE(CONTROL!$C$42, 33.3149, 33.3149) * CHOOSE(CONTROL!$C$21, $C$9, 100%, $E$9)</f>
        <v>33.314900000000002</v>
      </c>
      <c r="O622" s="14">
        <f>CHOOSE(CONTROL!$C$42, 33.5214, 33.5214) * CHOOSE(CONTROL!$C$21, $C$9, 100%, $E$9)</f>
        <v>33.5214</v>
      </c>
      <c r="P622" s="14">
        <f>CHOOSE(CONTROL!$C$42, 33.4073, 33.4073) * CHOOSE(CONTROL!$C$21, $C$9, 100%, $E$9)</f>
        <v>33.407299999999999</v>
      </c>
      <c r="Q622" s="14">
        <f>CHOOSE(CONTROL!$C$42, 34.1161, 34.1161) * CHOOSE(CONTROL!$C$21, $C$9, 100%, $E$9)</f>
        <v>34.116100000000003</v>
      </c>
      <c r="R622" s="14">
        <f>CHOOSE(CONTROL!$C$42, 34.7884, 34.7884) * CHOOSE(CONTROL!$C$21, $C$9, 100%, $E$9)</f>
        <v>34.788400000000003</v>
      </c>
      <c r="S622" s="14">
        <f>CHOOSE(CONTROL!$C$42, 32.6274, 32.6274) * CHOOSE(CONTROL!$C$21, $C$9, 100%, $E$9)</f>
        <v>32.627400000000002</v>
      </c>
      <c r="T62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22" s="57">
        <f>(1000*CHOOSE(CONTROL!$C$42, 695, 695)*CHOOSE(CONTROL!$C$42, 0.5599, 0.5599)*CHOOSE(CONTROL!$C$42, 31, 31))/1000000</f>
        <v>12.063045499999998</v>
      </c>
      <c r="V622" s="57">
        <f>(1000*CHOOSE(CONTROL!$C$42, 500, 500)*CHOOSE(CONTROL!$C$42, 0.275, 0.275)*CHOOSE(CONTROL!$C$42, 31, 31))/1000000</f>
        <v>4.2625000000000002</v>
      </c>
      <c r="W622" s="57">
        <f>(1000*CHOOSE(CONTROL!$C$42, 0.1146, 0.1146)*CHOOSE(CONTROL!$C$42, 121.5, 121.5)*CHOOSE(CONTROL!$C$42, 31, 31))/1000000</f>
        <v>0.43164089999999994</v>
      </c>
      <c r="X622" s="57">
        <f>(31*0.1790888*245000/1000000)+(31*0.2374*100000/1000000)</f>
        <v>2.0961194359999999</v>
      </c>
      <c r="Y622" s="57"/>
      <c r="Z622" s="14"/>
      <c r="AA622" s="56"/>
      <c r="AB622" s="50">
        <f>(B622*131.881+C622*277.167+D622*79.08+E622*125.872+F622*40+G622*185+H622*0+I622*100+J622*300)/(131.881+277.167+79.08+125.872+0+40+185+100+300)</f>
        <v>34.030944291444712</v>
      </c>
      <c r="AC622" s="45">
        <f>(M622*'RAP TEMPLATE-GAS AVAILABILITY'!O621+N622*'RAP TEMPLATE-GAS AVAILABILITY'!P621+O622*'RAP TEMPLATE-GAS AVAILABILITY'!Q621+P622*'RAP TEMPLATE-GAS AVAILABILITY'!R621)/('RAP TEMPLATE-GAS AVAILABILITY'!O621+'RAP TEMPLATE-GAS AVAILABILITY'!P621+'RAP TEMPLATE-GAS AVAILABILITY'!Q621+'RAP TEMPLATE-GAS AVAILABILITY'!R621)</f>
        <v>33.415952517985609</v>
      </c>
    </row>
    <row r="623" spans="1:29" ht="15.75" x14ac:dyDescent="0.25">
      <c r="A623" s="32">
        <v>59870</v>
      </c>
      <c r="B623" s="14">
        <f>CHOOSE(CONTROL!$C$42, 34.8584, 34.8584) * CHOOSE(CONTROL!$C$21, $C$9, 100%, $E$9)</f>
        <v>34.858400000000003</v>
      </c>
      <c r="C623" s="14">
        <f>CHOOSE(CONTROL!$C$42, 34.8635, 34.8635) * CHOOSE(CONTROL!$C$21, $C$9, 100%, $E$9)</f>
        <v>34.863500000000002</v>
      </c>
      <c r="D623" s="14">
        <f>CHOOSE(CONTROL!$C$42, 34.9377, 34.9377) * CHOOSE(CONTROL!$C$21, $C$9, 100%, $E$9)</f>
        <v>34.9377</v>
      </c>
      <c r="E623" s="14">
        <f>CHOOSE(CONTROL!$C$42, 34.9718, 34.9718) * CHOOSE(CONTROL!$C$21, $C$9, 100%, $E$9)</f>
        <v>34.971800000000002</v>
      </c>
      <c r="F623" s="14">
        <f>CHOOSE(CONTROL!$C$42, 34.8945, 34.8945)*CHOOSE(CONTROL!$C$21, $C$9, 100%, $E$9)</f>
        <v>34.894500000000001</v>
      </c>
      <c r="G623" s="14">
        <f>CHOOSE(CONTROL!$C$42, 34.912, 34.912)*CHOOSE(CONTROL!$C$21, $C$9, 100%, $E$9)</f>
        <v>34.911999999999999</v>
      </c>
      <c r="H623" s="14">
        <f>CHOOSE(CONTROL!$C$42, 34.961, 34.961) * CHOOSE(CONTROL!$C$21, $C$9, 100%, $E$9)</f>
        <v>34.960999999999999</v>
      </c>
      <c r="I623" s="14">
        <f>CHOOSE(CONTROL!$C$42, 34.995, 34.995)* CHOOSE(CONTROL!$C$21, $C$9, 100%, $E$9)</f>
        <v>34.994999999999997</v>
      </c>
      <c r="J623" s="14">
        <f>CHOOSE(CONTROL!$C$42, 34.8875, 34.8875)* CHOOSE(CONTROL!$C$21, $C$9, 100%, $E$9)</f>
        <v>34.887500000000003</v>
      </c>
      <c r="K623" s="53">
        <f>CHOOSE(CONTROL!$C$42, 34.9912, 34.9912) * CHOOSE(CONTROL!$C$21, $C$9, 100%, $E$9)</f>
        <v>34.991199999999999</v>
      </c>
      <c r="L623" s="14">
        <f>CHOOSE(CONTROL!$C$42, 35.548, 35.548) * CHOOSE(CONTROL!$C$21, $C$9, 100%, $E$9)</f>
        <v>35.548000000000002</v>
      </c>
      <c r="M623" s="14">
        <f>CHOOSE(CONTROL!$C$42, 34.1803, 34.1803) * CHOOSE(CONTROL!$C$21, $C$9, 100%, $E$9)</f>
        <v>34.180300000000003</v>
      </c>
      <c r="N623" s="14">
        <f>CHOOSE(CONTROL!$C$42, 34.1975, 34.1975) * CHOOSE(CONTROL!$C$21, $C$9, 100%, $E$9)</f>
        <v>34.197499999999998</v>
      </c>
      <c r="O623" s="14">
        <f>CHOOSE(CONTROL!$C$42, 34.2524, 34.2524) * CHOOSE(CONTROL!$C$21, $C$9, 100%, $E$9)</f>
        <v>34.252400000000002</v>
      </c>
      <c r="P623" s="14">
        <f>CHOOSE(CONTROL!$C$42, 34.2836, 34.2836) * CHOOSE(CONTROL!$C$21, $C$9, 100%, $E$9)</f>
        <v>34.2836</v>
      </c>
      <c r="Q623" s="14">
        <f>CHOOSE(CONTROL!$C$42, 34.8471, 34.8471) * CHOOSE(CONTROL!$C$21, $C$9, 100%, $E$9)</f>
        <v>34.847099999999998</v>
      </c>
      <c r="R623" s="14">
        <f>CHOOSE(CONTROL!$C$42, 35.5212, 35.5212) * CHOOSE(CONTROL!$C$21, $C$9, 100%, $E$9)</f>
        <v>35.5212</v>
      </c>
      <c r="S623" s="14">
        <f>CHOOSE(CONTROL!$C$42, 33.4869, 33.4869) * CHOOSE(CONTROL!$C$21, $C$9, 100%, $E$9)</f>
        <v>33.486899999999999</v>
      </c>
      <c r="T62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23" s="57">
        <f>(1000*CHOOSE(CONTROL!$C$42, 695, 695)*CHOOSE(CONTROL!$C$42, 0.5599, 0.5599)*CHOOSE(CONTROL!$C$42, 30, 30))/1000000</f>
        <v>11.673914999999997</v>
      </c>
      <c r="V623" s="57">
        <f>(1000*CHOOSE(CONTROL!$C$42, 500, 500)*CHOOSE(CONTROL!$C$42, 0.275, 0.275)*CHOOSE(CONTROL!$C$42, 30, 30))/1000000</f>
        <v>4.125</v>
      </c>
      <c r="W623" s="57">
        <f>(1000*CHOOSE(CONTROL!$C$42, 0.1146, 0.1146)*CHOOSE(CONTROL!$C$42, 121.5, 121.5)*CHOOSE(CONTROL!$C$42, 30, 30))/1000000</f>
        <v>0.417717</v>
      </c>
      <c r="X623" s="57">
        <f>(30*0.1790888*100000/1000000)+(30*0.2374*100000/1000000)</f>
        <v>1.2494664</v>
      </c>
      <c r="Y623" s="57"/>
      <c r="Z623" s="14"/>
      <c r="AA623" s="56"/>
      <c r="AB623" s="50">
        <f>(B623*122.58+C623*297.941+D623*89.177+E623*40.302+F623*40+G623*160+H623*0+I623*100+J623*300)/(122.58+297.941+89.177+40.302+0+40+160+100+300)</f>
        <v>34.898027375652177</v>
      </c>
      <c r="AC623" s="45">
        <f>(M623*'RAP TEMPLATE-GAS AVAILABILITY'!O622+N623*'RAP TEMPLATE-GAS AVAILABILITY'!P622+O623*'RAP TEMPLATE-GAS AVAILABILITY'!Q622+P623*'RAP TEMPLATE-GAS AVAILABILITY'!R622)/('RAP TEMPLATE-GAS AVAILABILITY'!O622+'RAP TEMPLATE-GAS AVAILABILITY'!P622+'RAP TEMPLATE-GAS AVAILABILITY'!Q622+'RAP TEMPLATE-GAS AVAILABILITY'!R622)</f>
        <v>34.228831654676263</v>
      </c>
    </row>
    <row r="624" spans="1:29" ht="15.75" x14ac:dyDescent="0.25">
      <c r="A624" s="32">
        <v>59901</v>
      </c>
      <c r="B624" s="14">
        <f>CHOOSE(CONTROL!$C$42, 37.2344, 37.2344) * CHOOSE(CONTROL!$C$21, $C$9, 100%, $E$9)</f>
        <v>37.234400000000001</v>
      </c>
      <c r="C624" s="14">
        <f>CHOOSE(CONTROL!$C$42, 37.2395, 37.2395) * CHOOSE(CONTROL!$C$21, $C$9, 100%, $E$9)</f>
        <v>37.2395</v>
      </c>
      <c r="D624" s="14">
        <f>CHOOSE(CONTROL!$C$42, 37.3137, 37.3137) * CHOOSE(CONTROL!$C$21, $C$9, 100%, $E$9)</f>
        <v>37.313699999999997</v>
      </c>
      <c r="E624" s="14">
        <f>CHOOSE(CONTROL!$C$42, 37.3478, 37.3478) * CHOOSE(CONTROL!$C$21, $C$9, 100%, $E$9)</f>
        <v>37.347799999999999</v>
      </c>
      <c r="F624" s="14">
        <f>CHOOSE(CONTROL!$C$42, 37.2728, 37.2728)*CHOOSE(CONTROL!$C$21, $C$9, 100%, $E$9)</f>
        <v>37.272799999999997</v>
      </c>
      <c r="G624" s="14">
        <f>CHOOSE(CONTROL!$C$42, 37.291, 37.291)*CHOOSE(CONTROL!$C$21, $C$9, 100%, $E$9)</f>
        <v>37.290999999999997</v>
      </c>
      <c r="H624" s="14">
        <f>CHOOSE(CONTROL!$C$42, 37.337, 37.337) * CHOOSE(CONTROL!$C$21, $C$9, 100%, $E$9)</f>
        <v>37.337000000000003</v>
      </c>
      <c r="I624" s="14">
        <f>CHOOSE(CONTROL!$C$42, 37.3785, 37.3785)* CHOOSE(CONTROL!$C$21, $C$9, 100%, $E$9)</f>
        <v>37.378500000000003</v>
      </c>
      <c r="J624" s="14">
        <f>CHOOSE(CONTROL!$C$42, 37.2658, 37.2658)* CHOOSE(CONTROL!$C$21, $C$9, 100%, $E$9)</f>
        <v>37.265799999999999</v>
      </c>
      <c r="K624" s="53">
        <f>CHOOSE(CONTROL!$C$42, 37.3746, 37.3746) * CHOOSE(CONTROL!$C$21, $C$9, 100%, $E$9)</f>
        <v>37.374600000000001</v>
      </c>
      <c r="L624" s="14">
        <f>CHOOSE(CONTROL!$C$42, 37.924, 37.924) * CHOOSE(CONTROL!$C$21, $C$9, 100%, $E$9)</f>
        <v>37.923999999999999</v>
      </c>
      <c r="M624" s="14">
        <f>CHOOSE(CONTROL!$C$42, 36.5099, 36.5099) * CHOOSE(CONTROL!$C$21, $C$9, 100%, $E$9)</f>
        <v>36.509900000000002</v>
      </c>
      <c r="N624" s="14">
        <f>CHOOSE(CONTROL!$C$42, 36.5277, 36.5277) * CHOOSE(CONTROL!$C$21, $C$9, 100%, $E$9)</f>
        <v>36.527700000000003</v>
      </c>
      <c r="O624" s="14">
        <f>CHOOSE(CONTROL!$C$42, 36.5797, 36.5797) * CHOOSE(CONTROL!$C$21, $C$9, 100%, $E$9)</f>
        <v>36.579700000000003</v>
      </c>
      <c r="P624" s="14">
        <f>CHOOSE(CONTROL!$C$42, 36.618, 36.618) * CHOOSE(CONTROL!$C$21, $C$9, 100%, $E$9)</f>
        <v>36.618000000000002</v>
      </c>
      <c r="Q624" s="14">
        <f>CHOOSE(CONTROL!$C$42, 37.1744, 37.1744) * CHOOSE(CONTROL!$C$21, $C$9, 100%, $E$9)</f>
        <v>37.174399999999999</v>
      </c>
      <c r="R624" s="14">
        <f>CHOOSE(CONTROL!$C$42, 37.8543, 37.8543) * CHOOSE(CONTROL!$C$21, $C$9, 100%, $E$9)</f>
        <v>37.854300000000002</v>
      </c>
      <c r="S624" s="14">
        <f>CHOOSE(CONTROL!$C$42, 35.77, 35.77) * CHOOSE(CONTROL!$C$21, $C$9, 100%, $E$9)</f>
        <v>35.770000000000003</v>
      </c>
      <c r="T62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24" s="57">
        <f>(1000*CHOOSE(CONTROL!$C$42, 695, 695)*CHOOSE(CONTROL!$C$42, 0.5599, 0.5599)*CHOOSE(CONTROL!$C$42, 31, 31))/1000000</f>
        <v>12.063045499999998</v>
      </c>
      <c r="V624" s="57">
        <f>(1000*CHOOSE(CONTROL!$C$42, 500, 500)*CHOOSE(CONTROL!$C$42, 0.275, 0.275)*CHOOSE(CONTROL!$C$42, 31, 31))/1000000</f>
        <v>4.2625000000000002</v>
      </c>
      <c r="W624" s="57">
        <f>(1000*CHOOSE(CONTROL!$C$42, 0.1146, 0.1146)*CHOOSE(CONTROL!$C$42, 121.5, 121.5)*CHOOSE(CONTROL!$C$42, 31, 31))/1000000</f>
        <v>0.43164089999999994</v>
      </c>
      <c r="X624" s="57">
        <f>(31*0.1790888*100000/1000000)+(31*0.2374*100000/1000000)</f>
        <v>1.2911152800000001</v>
      </c>
      <c r="Y624" s="57"/>
      <c r="Z624" s="14"/>
      <c r="AA624" s="56"/>
      <c r="AB624" s="50">
        <f>(B624*122.58+C624*297.941+D624*89.177+E624*40.302+F624*40+G624*160+H624*0+I624*100+J624*300)/(122.58+297.941+89.177+40.302+0+40+160+100+300)</f>
        <v>37.275776940869555</v>
      </c>
      <c r="AC624" s="45">
        <f>(M624*'RAP TEMPLATE-GAS AVAILABILITY'!O623+N624*'RAP TEMPLATE-GAS AVAILABILITY'!P623+O624*'RAP TEMPLATE-GAS AVAILABILITY'!Q623+P624*'RAP TEMPLATE-GAS AVAILABILITY'!R623)/('RAP TEMPLATE-GAS AVAILABILITY'!O623+'RAP TEMPLATE-GAS AVAILABILITY'!P623+'RAP TEMPLATE-GAS AVAILABILITY'!Q623+'RAP TEMPLATE-GAS AVAILABILITY'!R623)</f>
        <v>36.558114388489209</v>
      </c>
    </row>
    <row r="625" spans="1:29" ht="15.75" x14ac:dyDescent="0.25">
      <c r="A625" s="32">
        <v>59932</v>
      </c>
      <c r="B625" s="14">
        <f>CHOOSE(CONTROL!$C$42, 40.3204, 40.3204) * CHOOSE(CONTROL!$C$21, $C$9, 100%, $E$9)</f>
        <v>40.320399999999999</v>
      </c>
      <c r="C625" s="14">
        <f>CHOOSE(CONTROL!$C$42, 40.3254, 40.3254) * CHOOSE(CONTROL!$C$21, $C$9, 100%, $E$9)</f>
        <v>40.325400000000002</v>
      </c>
      <c r="D625" s="14">
        <f>CHOOSE(CONTROL!$C$42, 40.4022, 40.4022) * CHOOSE(CONTROL!$C$21, $C$9, 100%, $E$9)</f>
        <v>40.402200000000001</v>
      </c>
      <c r="E625" s="14">
        <f>CHOOSE(CONTROL!$C$42, 40.4364, 40.4364) * CHOOSE(CONTROL!$C$21, $C$9, 100%, $E$9)</f>
        <v>40.436399999999999</v>
      </c>
      <c r="F625" s="14">
        <f>CHOOSE(CONTROL!$C$42, 40.3451, 40.3451)*CHOOSE(CONTROL!$C$21, $C$9, 100%, $E$9)</f>
        <v>40.345100000000002</v>
      </c>
      <c r="G625" s="14">
        <f>CHOOSE(CONTROL!$C$42, 40.3631, 40.3631)*CHOOSE(CONTROL!$C$21, $C$9, 100%, $E$9)</f>
        <v>40.363100000000003</v>
      </c>
      <c r="H625" s="14">
        <f>CHOOSE(CONTROL!$C$42, 40.4255, 40.4255) * CHOOSE(CONTROL!$C$21, $C$9, 100%, $E$9)</f>
        <v>40.4255</v>
      </c>
      <c r="I625" s="14">
        <f>CHOOSE(CONTROL!$C$42, 40.4804, 40.4804)* CHOOSE(CONTROL!$C$21, $C$9, 100%, $E$9)</f>
        <v>40.480400000000003</v>
      </c>
      <c r="J625" s="14">
        <f>CHOOSE(CONTROL!$C$42, 40.3381, 40.3381)* CHOOSE(CONTROL!$C$21, $C$9, 100%, $E$9)</f>
        <v>40.338099999999997</v>
      </c>
      <c r="K625" s="53">
        <f>CHOOSE(CONTROL!$C$42, 40.4765, 40.4765) * CHOOSE(CONTROL!$C$21, $C$9, 100%, $E$9)</f>
        <v>40.476500000000001</v>
      </c>
      <c r="L625" s="14">
        <f>CHOOSE(CONTROL!$C$42, 41.0125, 41.0125) * CHOOSE(CONTROL!$C$21, $C$9, 100%, $E$9)</f>
        <v>41.012500000000003</v>
      </c>
      <c r="M625" s="14">
        <f>CHOOSE(CONTROL!$C$42, 39.5193, 39.5193) * CHOOSE(CONTROL!$C$21, $C$9, 100%, $E$9)</f>
        <v>39.519300000000001</v>
      </c>
      <c r="N625" s="14">
        <f>CHOOSE(CONTROL!$C$42, 39.5369, 39.5369) * CHOOSE(CONTROL!$C$21, $C$9, 100%, $E$9)</f>
        <v>39.536900000000003</v>
      </c>
      <c r="O625" s="14">
        <f>CHOOSE(CONTROL!$C$42, 39.6049, 39.6049) * CHOOSE(CONTROL!$C$21, $C$9, 100%, $E$9)</f>
        <v>39.604900000000001</v>
      </c>
      <c r="P625" s="14">
        <f>CHOOSE(CONTROL!$C$42, 39.6562, 39.6562) * CHOOSE(CONTROL!$C$21, $C$9, 100%, $E$9)</f>
        <v>39.656199999999998</v>
      </c>
      <c r="Q625" s="14">
        <f>CHOOSE(CONTROL!$C$42, 40.1996, 40.1996) * CHOOSE(CONTROL!$C$21, $C$9, 100%, $E$9)</f>
        <v>40.199599999999997</v>
      </c>
      <c r="R625" s="14">
        <f>CHOOSE(CONTROL!$C$42, 40.8871, 40.8871) * CHOOSE(CONTROL!$C$21, $C$9, 100%, $E$9)</f>
        <v>40.887099999999997</v>
      </c>
      <c r="S625" s="14">
        <f>CHOOSE(CONTROL!$C$42, 38.7353, 38.7353) * CHOOSE(CONTROL!$C$21, $C$9, 100%, $E$9)</f>
        <v>38.735300000000002</v>
      </c>
      <c r="T6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25" s="57">
        <f>(1000*CHOOSE(CONTROL!$C$42, 695, 695)*CHOOSE(CONTROL!$C$42, 0.5599, 0.5599)*CHOOSE(CONTROL!$C$42, 31, 31))/1000000</f>
        <v>12.063045499999998</v>
      </c>
      <c r="V625" s="57">
        <f>(1000*CHOOSE(CONTROL!$C$42, 500, 500)*CHOOSE(CONTROL!$C$42, 0.275, 0.275)*CHOOSE(CONTROL!$C$42, 31, 31))/1000000</f>
        <v>4.2625000000000002</v>
      </c>
      <c r="W625" s="57">
        <f>(1000*CHOOSE(CONTROL!$C$42, 0.1146, 0.1146)*CHOOSE(CONTROL!$C$42, 121.5, 121.5)*CHOOSE(CONTROL!$C$42, 31, 31))/1000000</f>
        <v>0.43164089999999994</v>
      </c>
      <c r="X625" s="57">
        <f>(31*0.1790888*100000/1000000)+(31*0.2374*100000/1000000)</f>
        <v>1.2911152800000001</v>
      </c>
      <c r="Y625" s="57"/>
      <c r="Z625" s="14"/>
      <c r="AA625" s="56"/>
      <c r="AB625" s="50">
        <f>(B625*122.58+C625*297.941+D625*89.177+E625*40.302+F625*40+G625*160+H625*0+I625*100+J625*300)/(122.58+297.941+89.177+40.302+0+40+160+100+300)</f>
        <v>40.35743427443478</v>
      </c>
      <c r="AC625" s="45">
        <f>(M625*'RAP TEMPLATE-GAS AVAILABILITY'!O624+N625*'RAP TEMPLATE-GAS AVAILABILITY'!P624+O625*'RAP TEMPLATE-GAS AVAILABILITY'!Q624+P625*'RAP TEMPLATE-GAS AVAILABILITY'!R624)/('RAP TEMPLATE-GAS AVAILABILITY'!O624+'RAP TEMPLATE-GAS AVAILABILITY'!P624+'RAP TEMPLATE-GAS AVAILABILITY'!Q624+'RAP TEMPLATE-GAS AVAILABILITY'!R624)</f>
        <v>39.57880791366906</v>
      </c>
    </row>
    <row r="626" spans="1:29" ht="15.75" x14ac:dyDescent="0.25">
      <c r="A626" s="32">
        <v>59961</v>
      </c>
      <c r="B626" s="14">
        <f>CHOOSE(CONTROL!$C$42, 41.038, 41.038) * CHOOSE(CONTROL!$C$21, $C$9, 100%, $E$9)</f>
        <v>41.037999999999997</v>
      </c>
      <c r="C626" s="14">
        <f>CHOOSE(CONTROL!$C$42, 41.043, 41.043) * CHOOSE(CONTROL!$C$21, $C$9, 100%, $E$9)</f>
        <v>41.042999999999999</v>
      </c>
      <c r="D626" s="14">
        <f>CHOOSE(CONTROL!$C$42, 41.1198, 41.1198) * CHOOSE(CONTROL!$C$21, $C$9, 100%, $E$9)</f>
        <v>41.119799999999998</v>
      </c>
      <c r="E626" s="14">
        <f>CHOOSE(CONTROL!$C$42, 41.1539, 41.1539) * CHOOSE(CONTROL!$C$21, $C$9, 100%, $E$9)</f>
        <v>41.1539</v>
      </c>
      <c r="F626" s="14">
        <f>CHOOSE(CONTROL!$C$42, 41.0623, 41.0623)*CHOOSE(CONTROL!$C$21, $C$9, 100%, $E$9)</f>
        <v>41.0623</v>
      </c>
      <c r="G626" s="14">
        <f>CHOOSE(CONTROL!$C$42, 41.0802, 41.0802)*CHOOSE(CONTROL!$C$21, $C$9, 100%, $E$9)</f>
        <v>41.080199999999998</v>
      </c>
      <c r="H626" s="14">
        <f>CHOOSE(CONTROL!$C$42, 41.1431, 41.1431) * CHOOSE(CONTROL!$C$21, $C$9, 100%, $E$9)</f>
        <v>41.143099999999997</v>
      </c>
      <c r="I626" s="14">
        <f>CHOOSE(CONTROL!$C$42, 41.2002, 41.2002)* CHOOSE(CONTROL!$C$21, $C$9, 100%, $E$9)</f>
        <v>41.200200000000002</v>
      </c>
      <c r="J626" s="14">
        <f>CHOOSE(CONTROL!$C$42, 41.0553, 41.0553)* CHOOSE(CONTROL!$C$21, $C$9, 100%, $E$9)</f>
        <v>41.055300000000003</v>
      </c>
      <c r="K626" s="53">
        <f>CHOOSE(CONTROL!$C$42, 41.1963, 41.1963) * CHOOSE(CONTROL!$C$21, $C$9, 100%, $E$9)</f>
        <v>41.196300000000001</v>
      </c>
      <c r="L626" s="14">
        <f>CHOOSE(CONTROL!$C$42, 41.7301, 41.7301) * CHOOSE(CONTROL!$C$21, $C$9, 100%, $E$9)</f>
        <v>41.7301</v>
      </c>
      <c r="M626" s="14">
        <f>CHOOSE(CONTROL!$C$42, 40.2218, 40.2218) * CHOOSE(CONTROL!$C$21, $C$9, 100%, $E$9)</f>
        <v>40.221800000000002</v>
      </c>
      <c r="N626" s="14">
        <f>CHOOSE(CONTROL!$C$42, 40.2393, 40.2393) * CHOOSE(CONTROL!$C$21, $C$9, 100%, $E$9)</f>
        <v>40.2393</v>
      </c>
      <c r="O626" s="14">
        <f>CHOOSE(CONTROL!$C$42, 40.3078, 40.3078) * CHOOSE(CONTROL!$C$21, $C$9, 100%, $E$9)</f>
        <v>40.3078</v>
      </c>
      <c r="P626" s="14">
        <f>CHOOSE(CONTROL!$C$42, 40.3612, 40.3612) * CHOOSE(CONTROL!$C$21, $C$9, 100%, $E$9)</f>
        <v>40.361199999999997</v>
      </c>
      <c r="Q626" s="14">
        <f>CHOOSE(CONTROL!$C$42, 40.9025, 40.9025) * CHOOSE(CONTROL!$C$21, $C$9, 100%, $E$9)</f>
        <v>40.902500000000003</v>
      </c>
      <c r="R626" s="14">
        <f>CHOOSE(CONTROL!$C$42, 41.5918, 41.5918) * CHOOSE(CONTROL!$C$21, $C$9, 100%, $E$9)</f>
        <v>41.591799999999999</v>
      </c>
      <c r="S626" s="14">
        <f>CHOOSE(CONTROL!$C$42, 39.4248, 39.4248) * CHOOSE(CONTROL!$C$21, $C$9, 100%, $E$9)</f>
        <v>39.424799999999998</v>
      </c>
      <c r="T62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26" s="57">
        <f>(1000*CHOOSE(CONTROL!$C$42, 695, 695)*CHOOSE(CONTROL!$C$42, 0.5599, 0.5599)*CHOOSE(CONTROL!$C$42, 29, 29))/1000000</f>
        <v>11.284784499999999</v>
      </c>
      <c r="V626" s="57">
        <f>(1000*CHOOSE(CONTROL!$C$42, 500, 500)*CHOOSE(CONTROL!$C$42, 0.275, 0.275)*CHOOSE(CONTROL!$C$42, 29, 29))/1000000</f>
        <v>3.9874999999999998</v>
      </c>
      <c r="W626" s="57">
        <f>(1000*CHOOSE(CONTROL!$C$42, 0.1146, 0.1146)*CHOOSE(CONTROL!$C$42, 121.5, 121.5)*CHOOSE(CONTROL!$C$42, 29, 29))/1000000</f>
        <v>0.40379309999999996</v>
      </c>
      <c r="X626" s="57">
        <f>(29*0.1790888*100000/1000000)+(29*0.2374*100000/1000000)</f>
        <v>1.2078175199999999</v>
      </c>
      <c r="Y626" s="57"/>
      <c r="Z626" s="14"/>
      <c r="AA626" s="56"/>
      <c r="AB626" s="50">
        <f>(B626*122.58+C626*297.941+D626*89.177+E626*40.302+F626*40+G626*160+H626*0+I626*100+J626*300)/(122.58+297.941+89.177+40.302+0+40+160+100+300)</f>
        <v>41.0750342481739</v>
      </c>
      <c r="AC626" s="45">
        <f>(M626*'RAP TEMPLATE-GAS AVAILABILITY'!O625+N626*'RAP TEMPLATE-GAS AVAILABILITY'!P625+O626*'RAP TEMPLATE-GAS AVAILABILITY'!Q625+P626*'RAP TEMPLATE-GAS AVAILABILITY'!R625)/('RAP TEMPLATE-GAS AVAILABILITY'!O625+'RAP TEMPLATE-GAS AVAILABILITY'!P625+'RAP TEMPLATE-GAS AVAILABILITY'!Q625+'RAP TEMPLATE-GAS AVAILABILITY'!R625)</f>
        <v>40.28184316546762</v>
      </c>
    </row>
    <row r="627" spans="1:29" ht="15.75" x14ac:dyDescent="0.25">
      <c r="A627" s="32">
        <v>59992</v>
      </c>
      <c r="B627" s="14">
        <f>CHOOSE(CONTROL!$C$42, 39.8731, 39.8731) * CHOOSE(CONTROL!$C$21, $C$9, 100%, $E$9)</f>
        <v>39.873100000000001</v>
      </c>
      <c r="C627" s="14">
        <f>CHOOSE(CONTROL!$C$42, 39.8782, 39.8782) * CHOOSE(CONTROL!$C$21, $C$9, 100%, $E$9)</f>
        <v>39.8782</v>
      </c>
      <c r="D627" s="14">
        <f>CHOOSE(CONTROL!$C$42, 39.955, 39.955) * CHOOSE(CONTROL!$C$21, $C$9, 100%, $E$9)</f>
        <v>39.954999999999998</v>
      </c>
      <c r="E627" s="14">
        <f>CHOOSE(CONTROL!$C$42, 39.9891, 39.9891) * CHOOSE(CONTROL!$C$21, $C$9, 100%, $E$9)</f>
        <v>39.989100000000001</v>
      </c>
      <c r="F627" s="14">
        <f>CHOOSE(CONTROL!$C$42, 39.8966, 39.8966)*CHOOSE(CONTROL!$C$21, $C$9, 100%, $E$9)</f>
        <v>39.896599999999999</v>
      </c>
      <c r="G627" s="14">
        <f>CHOOSE(CONTROL!$C$42, 39.9142, 39.9142)*CHOOSE(CONTROL!$C$21, $C$9, 100%, $E$9)</f>
        <v>39.914200000000001</v>
      </c>
      <c r="H627" s="14">
        <f>CHOOSE(CONTROL!$C$42, 39.9783, 39.9783) * CHOOSE(CONTROL!$C$21, $C$9, 100%, $E$9)</f>
        <v>39.978299999999997</v>
      </c>
      <c r="I627" s="14">
        <f>CHOOSE(CONTROL!$C$42, 40.0317, 40.0317)* CHOOSE(CONTROL!$C$21, $C$9, 100%, $E$9)</f>
        <v>40.031700000000001</v>
      </c>
      <c r="J627" s="14">
        <f>CHOOSE(CONTROL!$C$42, 39.8896, 39.8896)* CHOOSE(CONTROL!$C$21, $C$9, 100%, $E$9)</f>
        <v>39.889600000000002</v>
      </c>
      <c r="K627" s="53">
        <f>CHOOSE(CONTROL!$C$42, 40.0278, 40.0278) * CHOOSE(CONTROL!$C$21, $C$9, 100%, $E$9)</f>
        <v>40.027799999999999</v>
      </c>
      <c r="L627" s="14">
        <f>CHOOSE(CONTROL!$C$42, 40.5653, 40.5653) * CHOOSE(CONTROL!$C$21, $C$9, 100%, $E$9)</f>
        <v>40.565300000000001</v>
      </c>
      <c r="M627" s="14">
        <f>CHOOSE(CONTROL!$C$42, 39.08, 39.08) * CHOOSE(CONTROL!$C$21, $C$9, 100%, $E$9)</f>
        <v>39.08</v>
      </c>
      <c r="N627" s="14">
        <f>CHOOSE(CONTROL!$C$42, 39.0973, 39.0973) * CHOOSE(CONTROL!$C$21, $C$9, 100%, $E$9)</f>
        <v>39.097299999999997</v>
      </c>
      <c r="O627" s="14">
        <f>CHOOSE(CONTROL!$C$42, 39.1669, 39.1669) * CHOOSE(CONTROL!$C$21, $C$9, 100%, $E$9)</f>
        <v>39.166899999999998</v>
      </c>
      <c r="P627" s="14">
        <f>CHOOSE(CONTROL!$C$42, 39.2168, 39.2168) * CHOOSE(CONTROL!$C$21, $C$9, 100%, $E$9)</f>
        <v>39.216799999999999</v>
      </c>
      <c r="Q627" s="14">
        <f>CHOOSE(CONTROL!$C$42, 39.7616, 39.7616) * CHOOSE(CONTROL!$C$21, $C$9, 100%, $E$9)</f>
        <v>39.761600000000001</v>
      </c>
      <c r="R627" s="14">
        <f>CHOOSE(CONTROL!$C$42, 40.448, 40.448) * CHOOSE(CONTROL!$C$21, $C$9, 100%, $E$9)</f>
        <v>40.448</v>
      </c>
      <c r="S627" s="14">
        <f>CHOOSE(CONTROL!$C$42, 38.3055, 38.3055) * CHOOSE(CONTROL!$C$21, $C$9, 100%, $E$9)</f>
        <v>38.305500000000002</v>
      </c>
      <c r="T6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27" s="57">
        <f>(1000*CHOOSE(CONTROL!$C$42, 695, 695)*CHOOSE(CONTROL!$C$42, 0.5599, 0.5599)*CHOOSE(CONTROL!$C$42, 31, 31))/1000000</f>
        <v>12.063045499999998</v>
      </c>
      <c r="V627" s="57">
        <f>(1000*CHOOSE(CONTROL!$C$42, 500, 500)*CHOOSE(CONTROL!$C$42, 0.275, 0.275)*CHOOSE(CONTROL!$C$42, 31, 31))/1000000</f>
        <v>4.2625000000000002</v>
      </c>
      <c r="W627" s="57">
        <f>(1000*CHOOSE(CONTROL!$C$42, 0.1146, 0.1146)*CHOOSE(CONTROL!$C$42, 121.5, 121.5)*CHOOSE(CONTROL!$C$42, 31, 31))/1000000</f>
        <v>0.43164089999999994</v>
      </c>
      <c r="X627" s="57">
        <f>(31*0.1790888*100000/1000000)+(31*0.2374*100000/1000000)</f>
        <v>1.2911152800000001</v>
      </c>
      <c r="Y627" s="57"/>
      <c r="Z627" s="14"/>
      <c r="AA627" s="56"/>
      <c r="AB627" s="50">
        <f>(B627*122.58+C627*297.941+D627*89.177+E627*40.302+F627*40+G627*160+H627*0+I627*100+J627*300)/(122.58+297.941+89.177+40.302+0+40+160+100+300)</f>
        <v>39.909468806434788</v>
      </c>
      <c r="AC627" s="45">
        <f>(M627*'RAP TEMPLATE-GAS AVAILABILITY'!O626+N627*'RAP TEMPLATE-GAS AVAILABILITY'!P626+O627*'RAP TEMPLATE-GAS AVAILABILITY'!Q626+P627*'RAP TEMPLATE-GAS AVAILABILITY'!R626)/('RAP TEMPLATE-GAS AVAILABILITY'!O626+'RAP TEMPLATE-GAS AVAILABILITY'!P626+'RAP TEMPLATE-GAS AVAILABILITY'!Q626+'RAP TEMPLATE-GAS AVAILABILITY'!R626)</f>
        <v>39.140065467625895</v>
      </c>
    </row>
    <row r="628" spans="1:29" ht="15.75" x14ac:dyDescent="0.25">
      <c r="A628" s="32">
        <v>60022</v>
      </c>
      <c r="B628" s="14">
        <f>CHOOSE(CONTROL!$C$42, 39.7548, 39.7548) * CHOOSE(CONTROL!$C$21, $C$9, 100%, $E$9)</f>
        <v>39.754800000000003</v>
      </c>
      <c r="C628" s="14">
        <f>CHOOSE(CONTROL!$C$42, 39.7593, 39.7593) * CHOOSE(CONTROL!$C$21, $C$9, 100%, $E$9)</f>
        <v>39.759300000000003</v>
      </c>
      <c r="D628" s="14">
        <f>CHOOSE(CONTROL!$C$42, 39.983, 39.983) * CHOOSE(CONTROL!$C$21, $C$9, 100%, $E$9)</f>
        <v>39.982999999999997</v>
      </c>
      <c r="E628" s="14">
        <f>CHOOSE(CONTROL!$C$42, 40.0151, 40.0151) * CHOOSE(CONTROL!$C$21, $C$9, 100%, $E$9)</f>
        <v>40.015099999999997</v>
      </c>
      <c r="F628" s="14">
        <f>CHOOSE(CONTROL!$C$42, 39.7825, 39.7825)*CHOOSE(CONTROL!$C$21, $C$9, 100%, $E$9)</f>
        <v>39.782499999999999</v>
      </c>
      <c r="G628" s="14">
        <f>CHOOSE(CONTROL!$C$42, 39.7994, 39.7994)*CHOOSE(CONTROL!$C$21, $C$9, 100%, $E$9)</f>
        <v>39.799399999999999</v>
      </c>
      <c r="H628" s="14">
        <f>CHOOSE(CONTROL!$C$42, 40.0049, 40.0049) * CHOOSE(CONTROL!$C$21, $C$9, 100%, $E$9)</f>
        <v>40.004899999999999</v>
      </c>
      <c r="I628" s="14">
        <f>CHOOSE(CONTROL!$C$42, 39.9086, 39.9086)* CHOOSE(CONTROL!$C$21, $C$9, 100%, $E$9)</f>
        <v>39.9086</v>
      </c>
      <c r="J628" s="14">
        <f>CHOOSE(CONTROL!$C$42, 39.7755, 39.7755)* CHOOSE(CONTROL!$C$21, $C$9, 100%, $E$9)</f>
        <v>39.775500000000001</v>
      </c>
      <c r="K628" s="53">
        <f>CHOOSE(CONTROL!$C$42, 39.9047, 39.9047) * CHOOSE(CONTROL!$C$21, $C$9, 100%, $E$9)</f>
        <v>39.904699999999998</v>
      </c>
      <c r="L628" s="14">
        <f>CHOOSE(CONTROL!$C$42, 40.5919, 40.5919) * CHOOSE(CONTROL!$C$21, $C$9, 100%, $E$9)</f>
        <v>40.591900000000003</v>
      </c>
      <c r="M628" s="14">
        <f>CHOOSE(CONTROL!$C$42, 38.9682, 38.9682) * CHOOSE(CONTROL!$C$21, $C$9, 100%, $E$9)</f>
        <v>38.968200000000003</v>
      </c>
      <c r="N628" s="14">
        <f>CHOOSE(CONTROL!$C$42, 38.9847, 38.9847) * CHOOSE(CONTROL!$C$21, $C$9, 100%, $E$9)</f>
        <v>38.984699999999997</v>
      </c>
      <c r="O628" s="14">
        <f>CHOOSE(CONTROL!$C$42, 39.1929, 39.1929) * CHOOSE(CONTROL!$C$21, $C$9, 100%, $E$9)</f>
        <v>39.192900000000002</v>
      </c>
      <c r="P628" s="14">
        <f>CHOOSE(CONTROL!$C$42, 39.0961, 39.0961) * CHOOSE(CONTROL!$C$21, $C$9, 100%, $E$9)</f>
        <v>39.0961</v>
      </c>
      <c r="Q628" s="14">
        <f>CHOOSE(CONTROL!$C$42, 39.7876, 39.7876) * CHOOSE(CONTROL!$C$21, $C$9, 100%, $E$9)</f>
        <v>39.787599999999998</v>
      </c>
      <c r="R628" s="14">
        <f>CHOOSE(CONTROL!$C$42, 40.4741, 40.4741) * CHOOSE(CONTROL!$C$21, $C$9, 100%, $E$9)</f>
        <v>40.4741</v>
      </c>
      <c r="S628" s="14">
        <f>CHOOSE(CONTROL!$C$42, 38.1911, 38.1911) * CHOOSE(CONTROL!$C$21, $C$9, 100%, $E$9)</f>
        <v>38.191099999999999</v>
      </c>
      <c r="T6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28" s="57">
        <f>(1000*CHOOSE(CONTROL!$C$42, 695, 695)*CHOOSE(CONTROL!$C$42, 0.5599, 0.5599)*CHOOSE(CONTROL!$C$42, 30, 30))/1000000</f>
        <v>11.673914999999997</v>
      </c>
      <c r="V628" s="57">
        <f>(1000*CHOOSE(CONTROL!$C$42, 500, 500)*CHOOSE(CONTROL!$C$42, 0.275, 0.275)*CHOOSE(CONTROL!$C$42, 30, 30))/1000000</f>
        <v>4.125</v>
      </c>
      <c r="W628" s="57">
        <f>(1000*CHOOSE(CONTROL!$C$42, 0.1146, 0.1146)*CHOOSE(CONTROL!$C$42, 121.5, 121.5)*CHOOSE(CONTROL!$C$42, 30, 30))/1000000</f>
        <v>0.417717</v>
      </c>
      <c r="X628" s="57">
        <f>(30*0.1790888*245000/1000000)+(30*0.2374*100000/1000000)</f>
        <v>2.0285026799999999</v>
      </c>
      <c r="Y628" s="57"/>
      <c r="Z628" s="14"/>
      <c r="AA628" s="56"/>
      <c r="AB628" s="50">
        <f>(B628*141.293+C628*267.993+D628*115.016+E628*89.698+F628*40+G628*185+H628*0+I628*100+J628*300)/(141.293+267.993+115.016+89.698+0+40+185+100+300)</f>
        <v>39.820780636884592</v>
      </c>
      <c r="AC628" s="45">
        <f>(M628*'RAP TEMPLATE-GAS AVAILABILITY'!O627+N628*'RAP TEMPLATE-GAS AVAILABILITY'!P627+O628*'RAP TEMPLATE-GAS AVAILABILITY'!Q627+P628*'RAP TEMPLATE-GAS AVAILABILITY'!R627)/('RAP TEMPLATE-GAS AVAILABILITY'!O627+'RAP TEMPLATE-GAS AVAILABILITY'!P627+'RAP TEMPLATE-GAS AVAILABILITY'!Q627+'RAP TEMPLATE-GAS AVAILABILITY'!R627)</f>
        <v>39.089394964028784</v>
      </c>
    </row>
    <row r="629" spans="1:29" ht="15.75" x14ac:dyDescent="0.25">
      <c r="A629" s="32">
        <v>60053</v>
      </c>
      <c r="B629" s="14">
        <f>CHOOSE(CONTROL!$C$42, 40.107, 40.107) * CHOOSE(CONTROL!$C$21, $C$9, 100%, $E$9)</f>
        <v>40.106999999999999</v>
      </c>
      <c r="C629" s="14">
        <f>CHOOSE(CONTROL!$C$42, 40.115, 40.115) * CHOOSE(CONTROL!$C$21, $C$9, 100%, $E$9)</f>
        <v>40.115000000000002</v>
      </c>
      <c r="D629" s="14">
        <f>CHOOSE(CONTROL!$C$42, 40.3356, 40.3356) * CHOOSE(CONTROL!$C$21, $C$9, 100%, $E$9)</f>
        <v>40.335599999999999</v>
      </c>
      <c r="E629" s="14">
        <f>CHOOSE(CONTROL!$C$42, 40.367, 40.367) * CHOOSE(CONTROL!$C$21, $C$9, 100%, $E$9)</f>
        <v>40.366999999999997</v>
      </c>
      <c r="F629" s="14">
        <f>CHOOSE(CONTROL!$C$42, 40.1332, 40.1332)*CHOOSE(CONTROL!$C$21, $C$9, 100%, $E$9)</f>
        <v>40.133200000000002</v>
      </c>
      <c r="G629" s="14">
        <f>CHOOSE(CONTROL!$C$42, 40.1503, 40.1503)*CHOOSE(CONTROL!$C$21, $C$9, 100%, $E$9)</f>
        <v>40.150300000000001</v>
      </c>
      <c r="H629" s="14">
        <f>CHOOSE(CONTROL!$C$42, 40.3557, 40.3557) * CHOOSE(CONTROL!$C$21, $C$9, 100%, $E$9)</f>
        <v>40.355699999999999</v>
      </c>
      <c r="I629" s="14">
        <f>CHOOSE(CONTROL!$C$42, 40.2605, 40.2605)* CHOOSE(CONTROL!$C$21, $C$9, 100%, $E$9)</f>
        <v>40.2605</v>
      </c>
      <c r="J629" s="14">
        <f>CHOOSE(CONTROL!$C$42, 40.1262, 40.1262)* CHOOSE(CONTROL!$C$21, $C$9, 100%, $E$9)</f>
        <v>40.126199999999997</v>
      </c>
      <c r="K629" s="53">
        <f>CHOOSE(CONTROL!$C$42, 40.2566, 40.2566) * CHOOSE(CONTROL!$C$21, $C$9, 100%, $E$9)</f>
        <v>40.256599999999999</v>
      </c>
      <c r="L629" s="14">
        <f>CHOOSE(CONTROL!$C$42, 40.9427, 40.9427) * CHOOSE(CONTROL!$C$21, $C$9, 100%, $E$9)</f>
        <v>40.942700000000002</v>
      </c>
      <c r="M629" s="14">
        <f>CHOOSE(CONTROL!$C$42, 39.3118, 39.3118) * CHOOSE(CONTROL!$C$21, $C$9, 100%, $E$9)</f>
        <v>39.311799999999998</v>
      </c>
      <c r="N629" s="14">
        <f>CHOOSE(CONTROL!$C$42, 39.3285, 39.3285) * CHOOSE(CONTROL!$C$21, $C$9, 100%, $E$9)</f>
        <v>39.328499999999998</v>
      </c>
      <c r="O629" s="14">
        <f>CHOOSE(CONTROL!$C$42, 39.5365, 39.5365) * CHOOSE(CONTROL!$C$21, $C$9, 100%, $E$9)</f>
        <v>39.536499999999997</v>
      </c>
      <c r="P629" s="14">
        <f>CHOOSE(CONTROL!$C$42, 39.4408, 39.4408) * CHOOSE(CONTROL!$C$21, $C$9, 100%, $E$9)</f>
        <v>39.440800000000003</v>
      </c>
      <c r="Q629" s="14">
        <f>CHOOSE(CONTROL!$C$42, 40.1312, 40.1312) * CHOOSE(CONTROL!$C$21, $C$9, 100%, $E$9)</f>
        <v>40.1312</v>
      </c>
      <c r="R629" s="14">
        <f>CHOOSE(CONTROL!$C$42, 40.8185, 40.8185) * CHOOSE(CONTROL!$C$21, $C$9, 100%, $E$9)</f>
        <v>40.8185</v>
      </c>
      <c r="S629" s="14">
        <f>CHOOSE(CONTROL!$C$42, 38.5281, 38.5281) * CHOOSE(CONTROL!$C$21, $C$9, 100%, $E$9)</f>
        <v>38.528100000000002</v>
      </c>
      <c r="T62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29" s="57">
        <f>(1000*CHOOSE(CONTROL!$C$42, 695, 695)*CHOOSE(CONTROL!$C$42, 0.5599, 0.5599)*CHOOSE(CONTROL!$C$42, 31, 31))/1000000</f>
        <v>12.063045499999998</v>
      </c>
      <c r="V629" s="57">
        <f>(1000*CHOOSE(CONTROL!$C$42, 500, 500)*CHOOSE(CONTROL!$C$42, 0.275, 0.275)*CHOOSE(CONTROL!$C$42, 31, 31))/1000000</f>
        <v>4.2625000000000002</v>
      </c>
      <c r="W629" s="57">
        <f>(1000*CHOOSE(CONTROL!$C$42, 0.1146, 0.1146)*CHOOSE(CONTROL!$C$42, 121.5, 121.5)*CHOOSE(CONTROL!$C$42, 31, 31))/1000000</f>
        <v>0.43164089999999994</v>
      </c>
      <c r="X629" s="57">
        <f>(31*0.1790888*245000/1000000)+(31*0.2374*100000/1000000)</f>
        <v>2.0961194359999999</v>
      </c>
      <c r="Y629" s="57"/>
      <c r="Z629" s="14"/>
      <c r="AA629" s="56"/>
      <c r="AB629" s="50">
        <f>(B629*194.205+C629*267.466+D629*133.845+E629*53.484+F629*40+G629*185+H629*0+I629*100+J629*300)/(194.205+267.466+133.845+53.484+0+40+185+100+300)</f>
        <v>40.167291236263743</v>
      </c>
      <c r="AC629" s="45">
        <f>(M629*'RAP TEMPLATE-GAS AVAILABILITY'!O628+N629*'RAP TEMPLATE-GAS AVAILABILITY'!P628+O629*'RAP TEMPLATE-GAS AVAILABILITY'!Q628+P629*'RAP TEMPLATE-GAS AVAILABILITY'!R628)/('RAP TEMPLATE-GAS AVAILABILITY'!O628+'RAP TEMPLATE-GAS AVAILABILITY'!P628+'RAP TEMPLATE-GAS AVAILABILITY'!Q628+'RAP TEMPLATE-GAS AVAILABILITY'!R628)</f>
        <v>39.433164748201442</v>
      </c>
    </row>
    <row r="630" spans="1:29" ht="15.75" x14ac:dyDescent="0.25">
      <c r="A630" s="32">
        <v>60083</v>
      </c>
      <c r="B630" s="14">
        <f>CHOOSE(CONTROL!$C$42, 41.2443, 41.2443) * CHOOSE(CONTROL!$C$21, $C$9, 100%, $E$9)</f>
        <v>41.244300000000003</v>
      </c>
      <c r="C630" s="14">
        <f>CHOOSE(CONTROL!$C$42, 41.2523, 41.2523) * CHOOSE(CONTROL!$C$21, $C$9, 100%, $E$9)</f>
        <v>41.252299999999998</v>
      </c>
      <c r="D630" s="14">
        <f>CHOOSE(CONTROL!$C$42, 41.4729, 41.4729) * CHOOSE(CONTROL!$C$21, $C$9, 100%, $E$9)</f>
        <v>41.472900000000003</v>
      </c>
      <c r="E630" s="14">
        <f>CHOOSE(CONTROL!$C$42, 41.5044, 41.5044) * CHOOSE(CONTROL!$C$21, $C$9, 100%, $E$9)</f>
        <v>41.504399999999997</v>
      </c>
      <c r="F630" s="14">
        <f>CHOOSE(CONTROL!$C$42, 41.2709, 41.2709)*CHOOSE(CONTROL!$C$21, $C$9, 100%, $E$9)</f>
        <v>41.270899999999997</v>
      </c>
      <c r="G630" s="14">
        <f>CHOOSE(CONTROL!$C$42, 41.2881, 41.2881)*CHOOSE(CONTROL!$C$21, $C$9, 100%, $E$9)</f>
        <v>41.2881</v>
      </c>
      <c r="H630" s="14">
        <f>CHOOSE(CONTROL!$C$42, 41.493, 41.493) * CHOOSE(CONTROL!$C$21, $C$9, 100%, $E$9)</f>
        <v>41.493000000000002</v>
      </c>
      <c r="I630" s="14">
        <f>CHOOSE(CONTROL!$C$42, 41.4014, 41.4014)* CHOOSE(CONTROL!$C$21, $C$9, 100%, $E$9)</f>
        <v>41.401400000000002</v>
      </c>
      <c r="J630" s="14">
        <f>CHOOSE(CONTROL!$C$42, 41.2639, 41.2639)* CHOOSE(CONTROL!$C$21, $C$9, 100%, $E$9)</f>
        <v>41.2639</v>
      </c>
      <c r="K630" s="53">
        <f>CHOOSE(CONTROL!$C$42, 41.3975, 41.3975) * CHOOSE(CONTROL!$C$21, $C$9, 100%, $E$9)</f>
        <v>41.397500000000001</v>
      </c>
      <c r="L630" s="14">
        <f>CHOOSE(CONTROL!$C$42, 42.08, 42.08) * CHOOSE(CONTROL!$C$21, $C$9, 100%, $E$9)</f>
        <v>42.08</v>
      </c>
      <c r="M630" s="14">
        <f>CHOOSE(CONTROL!$C$42, 40.4261, 40.4261) * CHOOSE(CONTROL!$C$21, $C$9, 100%, $E$9)</f>
        <v>40.426099999999998</v>
      </c>
      <c r="N630" s="14">
        <f>CHOOSE(CONTROL!$C$42, 40.443, 40.443) * CHOOSE(CONTROL!$C$21, $C$9, 100%, $E$9)</f>
        <v>40.442999999999998</v>
      </c>
      <c r="O630" s="14">
        <f>CHOOSE(CONTROL!$C$42, 40.6506, 40.6506) * CHOOSE(CONTROL!$C$21, $C$9, 100%, $E$9)</f>
        <v>40.650599999999997</v>
      </c>
      <c r="P630" s="14">
        <f>CHOOSE(CONTROL!$C$42, 40.5583, 40.5583) * CHOOSE(CONTROL!$C$21, $C$9, 100%, $E$9)</f>
        <v>40.558300000000003</v>
      </c>
      <c r="Q630" s="14">
        <f>CHOOSE(CONTROL!$C$42, 41.2453, 41.2453) * CHOOSE(CONTROL!$C$21, $C$9, 100%, $E$9)</f>
        <v>41.2453</v>
      </c>
      <c r="R630" s="14">
        <f>CHOOSE(CONTROL!$C$42, 41.9354, 41.9354) * CHOOSE(CONTROL!$C$21, $C$9, 100%, $E$9)</f>
        <v>41.935400000000001</v>
      </c>
      <c r="S630" s="14">
        <f>CHOOSE(CONTROL!$C$42, 39.621, 39.621) * CHOOSE(CONTROL!$C$21, $C$9, 100%, $E$9)</f>
        <v>39.621000000000002</v>
      </c>
      <c r="T63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30" s="57">
        <f>(1000*CHOOSE(CONTROL!$C$42, 695, 695)*CHOOSE(CONTROL!$C$42, 0.5599, 0.5599)*CHOOSE(CONTROL!$C$42, 30, 30))/1000000</f>
        <v>11.673914999999997</v>
      </c>
      <c r="V630" s="57">
        <f>(1000*CHOOSE(CONTROL!$C$42, 500, 500)*CHOOSE(CONTROL!$C$42, 0.275, 0.275)*CHOOSE(CONTROL!$C$42, 30, 30))/1000000</f>
        <v>4.125</v>
      </c>
      <c r="W630" s="57">
        <f>(1000*CHOOSE(CONTROL!$C$42, 0.1146, 0.1146)*CHOOSE(CONTROL!$C$42, 121.5, 121.5)*CHOOSE(CONTROL!$C$42, 30, 30))/1000000</f>
        <v>0.417717</v>
      </c>
      <c r="X630" s="57">
        <f>(30*0.1790888*245000/1000000)+(30*0.2374*100000/1000000)</f>
        <v>2.0285026799999999</v>
      </c>
      <c r="Y630" s="57"/>
      <c r="Z630" s="14"/>
      <c r="AA630" s="56"/>
      <c r="AB630" s="50">
        <f>(B630*194.205+C630*267.466+D630*133.845+E630*53.484+F630*40+G630*185+H630*0+I630*100+J630*300)/(194.205+267.466+133.845+53.484+0+40+185+100+300)</f>
        <v>41.305057365306112</v>
      </c>
      <c r="AC630" s="45">
        <f>(M630*'RAP TEMPLATE-GAS AVAILABILITY'!O629+N630*'RAP TEMPLATE-GAS AVAILABILITY'!P629+O630*'RAP TEMPLATE-GAS AVAILABILITY'!Q629+P630*'RAP TEMPLATE-GAS AVAILABILITY'!R629)/('RAP TEMPLATE-GAS AVAILABILITY'!O629+'RAP TEMPLATE-GAS AVAILABILITY'!P629+'RAP TEMPLATE-GAS AVAILABILITY'!Q629+'RAP TEMPLATE-GAS AVAILABILITY'!R629)</f>
        <v>40.547846043165464</v>
      </c>
    </row>
    <row r="631" spans="1:29" ht="15.75" x14ac:dyDescent="0.25">
      <c r="A631" s="32">
        <v>60114</v>
      </c>
      <c r="B631" s="14">
        <f>CHOOSE(CONTROL!$C$42, 40.4533, 40.4533) * CHOOSE(CONTROL!$C$21, $C$9, 100%, $E$9)</f>
        <v>40.453299999999999</v>
      </c>
      <c r="C631" s="14">
        <f>CHOOSE(CONTROL!$C$42, 40.4613, 40.4613) * CHOOSE(CONTROL!$C$21, $C$9, 100%, $E$9)</f>
        <v>40.461300000000001</v>
      </c>
      <c r="D631" s="14">
        <f>CHOOSE(CONTROL!$C$42, 40.6819, 40.6819) * CHOOSE(CONTROL!$C$21, $C$9, 100%, $E$9)</f>
        <v>40.681899999999999</v>
      </c>
      <c r="E631" s="14">
        <f>CHOOSE(CONTROL!$C$42, 40.7134, 40.7134) * CHOOSE(CONTROL!$C$21, $C$9, 100%, $E$9)</f>
        <v>40.7134</v>
      </c>
      <c r="F631" s="14">
        <f>CHOOSE(CONTROL!$C$42, 40.4803, 40.4803)*CHOOSE(CONTROL!$C$21, $C$9, 100%, $E$9)</f>
        <v>40.4803</v>
      </c>
      <c r="G631" s="14">
        <f>CHOOSE(CONTROL!$C$42, 40.4977, 40.4977)*CHOOSE(CONTROL!$C$21, $C$9, 100%, $E$9)</f>
        <v>40.497700000000002</v>
      </c>
      <c r="H631" s="14">
        <f>CHOOSE(CONTROL!$C$42, 40.702, 40.702) * CHOOSE(CONTROL!$C$21, $C$9, 100%, $E$9)</f>
        <v>40.701999999999998</v>
      </c>
      <c r="I631" s="14">
        <f>CHOOSE(CONTROL!$C$42, 40.6079, 40.6079)* CHOOSE(CONTROL!$C$21, $C$9, 100%, $E$9)</f>
        <v>40.607900000000001</v>
      </c>
      <c r="J631" s="14">
        <f>CHOOSE(CONTROL!$C$42, 40.4733, 40.4733)* CHOOSE(CONTROL!$C$21, $C$9, 100%, $E$9)</f>
        <v>40.473300000000002</v>
      </c>
      <c r="K631" s="53">
        <f>CHOOSE(CONTROL!$C$42, 40.604, 40.604) * CHOOSE(CONTROL!$C$21, $C$9, 100%, $E$9)</f>
        <v>40.603999999999999</v>
      </c>
      <c r="L631" s="14">
        <f>CHOOSE(CONTROL!$C$42, 41.289, 41.289) * CHOOSE(CONTROL!$C$21, $C$9, 100%, $E$9)</f>
        <v>41.289000000000001</v>
      </c>
      <c r="M631" s="14">
        <f>CHOOSE(CONTROL!$C$42, 39.6518, 39.6518) * CHOOSE(CONTROL!$C$21, $C$9, 100%, $E$9)</f>
        <v>39.651800000000001</v>
      </c>
      <c r="N631" s="14">
        <f>CHOOSE(CONTROL!$C$42, 39.6687, 39.6687) * CHOOSE(CONTROL!$C$21, $C$9, 100%, $E$9)</f>
        <v>39.668700000000001</v>
      </c>
      <c r="O631" s="14">
        <f>CHOOSE(CONTROL!$C$42, 39.8757, 39.8757) * CHOOSE(CONTROL!$C$21, $C$9, 100%, $E$9)</f>
        <v>39.875700000000002</v>
      </c>
      <c r="P631" s="14">
        <f>CHOOSE(CONTROL!$C$42, 39.781, 39.781) * CHOOSE(CONTROL!$C$21, $C$9, 100%, $E$9)</f>
        <v>39.780999999999999</v>
      </c>
      <c r="Q631" s="14">
        <f>CHOOSE(CONTROL!$C$42, 40.4704, 40.4704) * CHOOSE(CONTROL!$C$21, $C$9, 100%, $E$9)</f>
        <v>40.470399999999998</v>
      </c>
      <c r="R631" s="14">
        <f>CHOOSE(CONTROL!$C$42, 41.1586, 41.1586) * CHOOSE(CONTROL!$C$21, $C$9, 100%, $E$9)</f>
        <v>41.1586</v>
      </c>
      <c r="S631" s="14">
        <f>CHOOSE(CONTROL!$C$42, 38.8609, 38.8609) * CHOOSE(CONTROL!$C$21, $C$9, 100%, $E$9)</f>
        <v>38.860900000000001</v>
      </c>
      <c r="T63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31" s="57">
        <f>(1000*CHOOSE(CONTROL!$C$42, 695, 695)*CHOOSE(CONTROL!$C$42, 0.5599, 0.5599)*CHOOSE(CONTROL!$C$42, 31, 31))/1000000</f>
        <v>12.063045499999998</v>
      </c>
      <c r="V631" s="57">
        <f>(1000*CHOOSE(CONTROL!$C$42, 500, 500)*CHOOSE(CONTROL!$C$42, 0.275, 0.275)*CHOOSE(CONTROL!$C$42, 31, 31))/1000000</f>
        <v>4.2625000000000002</v>
      </c>
      <c r="W631" s="57">
        <f>(1000*CHOOSE(CONTROL!$C$42, 0.1146, 0.1146)*CHOOSE(CONTROL!$C$42, 121.5, 121.5)*CHOOSE(CONTROL!$C$42, 31, 31))/1000000</f>
        <v>0.43164089999999994</v>
      </c>
      <c r="X631" s="57">
        <f>(31*0.1790888*245000/1000000)+(31*0.2374*100000/1000000)</f>
        <v>2.0961194359999999</v>
      </c>
      <c r="Y631" s="57"/>
      <c r="Z631" s="14"/>
      <c r="AA631" s="56"/>
      <c r="AB631" s="50">
        <f>(B631*194.205+C631*267.466+D631*133.845+E631*53.484+F631*40+G631*185+H631*0+I631*100+J631*300)/(194.205+267.466+133.845+53.484+0+40+185+100+300)</f>
        <v>40.514055010518049</v>
      </c>
      <c r="AC631" s="45">
        <f>(M631*'RAP TEMPLATE-GAS AVAILABILITY'!O630+N631*'RAP TEMPLATE-GAS AVAILABILITY'!P630+O631*'RAP TEMPLATE-GAS AVAILABILITY'!Q630+P631*'RAP TEMPLATE-GAS AVAILABILITY'!R630)/('RAP TEMPLATE-GAS AVAILABILITY'!O630+'RAP TEMPLATE-GAS AVAILABILITY'!P630+'RAP TEMPLATE-GAS AVAILABILITY'!Q630+'RAP TEMPLATE-GAS AVAILABILITY'!R630)</f>
        <v>39.772842446043171</v>
      </c>
    </row>
    <row r="632" spans="1:29" ht="15.75" x14ac:dyDescent="0.25">
      <c r="A632" s="32">
        <v>60145</v>
      </c>
      <c r="B632" s="14">
        <f>CHOOSE(CONTROL!$C$42, 38.4557, 38.4557) * CHOOSE(CONTROL!$C$21, $C$9, 100%, $E$9)</f>
        <v>38.4557</v>
      </c>
      <c r="C632" s="14">
        <f>CHOOSE(CONTROL!$C$42, 38.4637, 38.4637) * CHOOSE(CONTROL!$C$21, $C$9, 100%, $E$9)</f>
        <v>38.463700000000003</v>
      </c>
      <c r="D632" s="14">
        <f>CHOOSE(CONTROL!$C$42, 38.6843, 38.6843) * CHOOSE(CONTROL!$C$21, $C$9, 100%, $E$9)</f>
        <v>38.6843</v>
      </c>
      <c r="E632" s="14">
        <f>CHOOSE(CONTROL!$C$42, 38.7157, 38.7157) * CHOOSE(CONTROL!$C$21, $C$9, 100%, $E$9)</f>
        <v>38.715699999999998</v>
      </c>
      <c r="F632" s="14">
        <f>CHOOSE(CONTROL!$C$42, 38.483, 38.483)*CHOOSE(CONTROL!$C$21, $C$9, 100%, $E$9)</f>
        <v>38.482999999999997</v>
      </c>
      <c r="G632" s="14">
        <f>CHOOSE(CONTROL!$C$42, 38.5004, 38.5004)*CHOOSE(CONTROL!$C$21, $C$9, 100%, $E$9)</f>
        <v>38.500399999999999</v>
      </c>
      <c r="H632" s="14">
        <f>CHOOSE(CONTROL!$C$42, 38.7044, 38.7044) * CHOOSE(CONTROL!$C$21, $C$9, 100%, $E$9)</f>
        <v>38.7044</v>
      </c>
      <c r="I632" s="14">
        <f>CHOOSE(CONTROL!$C$42, 38.604, 38.604)* CHOOSE(CONTROL!$C$21, $C$9, 100%, $E$9)</f>
        <v>38.603999999999999</v>
      </c>
      <c r="J632" s="14">
        <f>CHOOSE(CONTROL!$C$42, 38.476, 38.476)* CHOOSE(CONTROL!$C$21, $C$9, 100%, $E$9)</f>
        <v>38.475999999999999</v>
      </c>
      <c r="K632" s="53">
        <f>CHOOSE(CONTROL!$C$42, 38.6001, 38.6001) * CHOOSE(CONTROL!$C$21, $C$9, 100%, $E$9)</f>
        <v>38.600099999999998</v>
      </c>
      <c r="L632" s="14">
        <f>CHOOSE(CONTROL!$C$42, 39.2914, 39.2914) * CHOOSE(CONTROL!$C$21, $C$9, 100%, $E$9)</f>
        <v>39.291400000000003</v>
      </c>
      <c r="M632" s="14">
        <f>CHOOSE(CONTROL!$C$42, 37.6954, 37.6954) * CHOOSE(CONTROL!$C$21, $C$9, 100%, $E$9)</f>
        <v>37.695399999999999</v>
      </c>
      <c r="N632" s="14">
        <f>CHOOSE(CONTROL!$C$42, 37.7124, 37.7124) * CHOOSE(CONTROL!$C$21, $C$9, 100%, $E$9)</f>
        <v>37.712400000000002</v>
      </c>
      <c r="O632" s="14">
        <f>CHOOSE(CONTROL!$C$42, 37.919, 37.919) * CHOOSE(CONTROL!$C$21, $C$9, 100%, $E$9)</f>
        <v>37.918999999999997</v>
      </c>
      <c r="P632" s="14">
        <f>CHOOSE(CONTROL!$C$42, 37.8184, 37.8184) * CHOOSE(CONTROL!$C$21, $C$9, 100%, $E$9)</f>
        <v>37.818399999999997</v>
      </c>
      <c r="Q632" s="14">
        <f>CHOOSE(CONTROL!$C$42, 38.5137, 38.5137) * CHOOSE(CONTROL!$C$21, $C$9, 100%, $E$9)</f>
        <v>38.5137</v>
      </c>
      <c r="R632" s="14">
        <f>CHOOSE(CONTROL!$C$42, 39.197, 39.197) * CHOOSE(CONTROL!$C$21, $C$9, 100%, $E$9)</f>
        <v>39.197000000000003</v>
      </c>
      <c r="S632" s="14">
        <f>CHOOSE(CONTROL!$C$42, 36.9414, 36.9414) * CHOOSE(CONTROL!$C$21, $C$9, 100%, $E$9)</f>
        <v>36.941400000000002</v>
      </c>
      <c r="T63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32" s="57">
        <f>(1000*CHOOSE(CONTROL!$C$42, 695, 695)*CHOOSE(CONTROL!$C$42, 0.5599, 0.5599)*CHOOSE(CONTROL!$C$42, 31, 31))/1000000</f>
        <v>12.063045499999998</v>
      </c>
      <c r="V632" s="57">
        <f>(1000*CHOOSE(CONTROL!$C$42, 500, 500)*CHOOSE(CONTROL!$C$42, 0.275, 0.275)*CHOOSE(CONTROL!$C$42, 31, 31))/1000000</f>
        <v>4.2625000000000002</v>
      </c>
      <c r="W632" s="57">
        <f>(1000*CHOOSE(CONTROL!$C$42, 0.1146, 0.1146)*CHOOSE(CONTROL!$C$42, 121.5, 121.5)*CHOOSE(CONTROL!$C$42, 31, 31))/1000000</f>
        <v>0.43164089999999994</v>
      </c>
      <c r="X632" s="57">
        <f>(31*0.1790888*245000/1000000)+(31*0.2374*100000/1000000)</f>
        <v>2.0961194359999999</v>
      </c>
      <c r="Y632" s="57"/>
      <c r="Z632" s="14"/>
      <c r="AA632" s="56"/>
      <c r="AB632" s="50">
        <f>(B632*194.205+C632*267.466+D632*133.845+E632*53.484+F632*40+G632*185+H632*0+I632*100+J632*300)/(194.205+267.466+133.845+53.484+0+40+185+100+300)</f>
        <v>38.516079933281006</v>
      </c>
      <c r="AC632" s="45">
        <f>(M632*'RAP TEMPLATE-GAS AVAILABILITY'!O631+N632*'RAP TEMPLATE-GAS AVAILABILITY'!P631+O632*'RAP TEMPLATE-GAS AVAILABILITY'!Q631+P632*'RAP TEMPLATE-GAS AVAILABILITY'!R631)/('RAP TEMPLATE-GAS AVAILABILITY'!O631+'RAP TEMPLATE-GAS AVAILABILITY'!P631+'RAP TEMPLATE-GAS AVAILABILITY'!Q631+'RAP TEMPLATE-GAS AVAILABILITY'!R631)</f>
        <v>37.815420143884893</v>
      </c>
    </row>
    <row r="633" spans="1:29" ht="15.75" x14ac:dyDescent="0.25">
      <c r="A633" s="32">
        <v>60175</v>
      </c>
      <c r="B633" s="14">
        <f>CHOOSE(CONTROL!$C$42, 36.0147, 36.0147) * CHOOSE(CONTROL!$C$21, $C$9, 100%, $E$9)</f>
        <v>36.014699999999998</v>
      </c>
      <c r="C633" s="14">
        <f>CHOOSE(CONTROL!$C$42, 36.0228, 36.0228) * CHOOSE(CONTROL!$C$21, $C$9, 100%, $E$9)</f>
        <v>36.022799999999997</v>
      </c>
      <c r="D633" s="14">
        <f>CHOOSE(CONTROL!$C$42, 36.2433, 36.2433) * CHOOSE(CONTROL!$C$21, $C$9, 100%, $E$9)</f>
        <v>36.243299999999998</v>
      </c>
      <c r="E633" s="14">
        <f>CHOOSE(CONTROL!$C$42, 36.2748, 36.2748) * CHOOSE(CONTROL!$C$21, $C$9, 100%, $E$9)</f>
        <v>36.274799999999999</v>
      </c>
      <c r="F633" s="14">
        <f>CHOOSE(CONTROL!$C$42, 36.0421, 36.0421)*CHOOSE(CONTROL!$C$21, $C$9, 100%, $E$9)</f>
        <v>36.042099999999998</v>
      </c>
      <c r="G633" s="14">
        <f>CHOOSE(CONTROL!$C$42, 36.0595, 36.0595)*CHOOSE(CONTROL!$C$21, $C$9, 100%, $E$9)</f>
        <v>36.0595</v>
      </c>
      <c r="H633" s="14">
        <f>CHOOSE(CONTROL!$C$42, 36.2634, 36.2634) * CHOOSE(CONTROL!$C$21, $C$9, 100%, $E$9)</f>
        <v>36.263399999999997</v>
      </c>
      <c r="I633" s="14">
        <f>CHOOSE(CONTROL!$C$42, 36.1554, 36.1554)* CHOOSE(CONTROL!$C$21, $C$9, 100%, $E$9)</f>
        <v>36.1554</v>
      </c>
      <c r="J633" s="14">
        <f>CHOOSE(CONTROL!$C$42, 36.0351, 36.0351)* CHOOSE(CONTROL!$C$21, $C$9, 100%, $E$9)</f>
        <v>36.0351</v>
      </c>
      <c r="K633" s="53">
        <f>CHOOSE(CONTROL!$C$42, 36.1515, 36.1515) * CHOOSE(CONTROL!$C$21, $C$9, 100%, $E$9)</f>
        <v>36.151499999999999</v>
      </c>
      <c r="L633" s="14">
        <f>CHOOSE(CONTROL!$C$42, 36.8504, 36.8504) * CHOOSE(CONTROL!$C$21, $C$9, 100%, $E$9)</f>
        <v>36.8504</v>
      </c>
      <c r="M633" s="14">
        <f>CHOOSE(CONTROL!$C$42, 35.3044, 35.3044) * CHOOSE(CONTROL!$C$21, $C$9, 100%, $E$9)</f>
        <v>35.304400000000001</v>
      </c>
      <c r="N633" s="14">
        <f>CHOOSE(CONTROL!$C$42, 35.3215, 35.3215) * CHOOSE(CONTROL!$C$21, $C$9, 100%, $E$9)</f>
        <v>35.3215</v>
      </c>
      <c r="O633" s="14">
        <f>CHOOSE(CONTROL!$C$42, 35.5281, 35.5281) * CHOOSE(CONTROL!$C$21, $C$9, 100%, $E$9)</f>
        <v>35.528100000000002</v>
      </c>
      <c r="P633" s="14">
        <f>CHOOSE(CONTROL!$C$42, 35.4201, 35.4201) * CHOOSE(CONTROL!$C$21, $C$9, 100%, $E$9)</f>
        <v>35.420099999999998</v>
      </c>
      <c r="Q633" s="14">
        <f>CHOOSE(CONTROL!$C$42, 36.1228, 36.1228) * CHOOSE(CONTROL!$C$21, $C$9, 100%, $E$9)</f>
        <v>36.122799999999998</v>
      </c>
      <c r="R633" s="14">
        <f>CHOOSE(CONTROL!$C$42, 36.8001, 36.8001) * CHOOSE(CONTROL!$C$21, $C$9, 100%, $E$9)</f>
        <v>36.8001</v>
      </c>
      <c r="S633" s="14">
        <f>CHOOSE(CONTROL!$C$42, 34.5959, 34.5959) * CHOOSE(CONTROL!$C$21, $C$9, 100%, $E$9)</f>
        <v>34.5959</v>
      </c>
      <c r="T63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33" s="57">
        <f>(1000*CHOOSE(CONTROL!$C$42, 695, 695)*CHOOSE(CONTROL!$C$42, 0.5599, 0.5599)*CHOOSE(CONTROL!$C$42, 30, 30))/1000000</f>
        <v>11.673914999999997</v>
      </c>
      <c r="V633" s="57">
        <f>(1000*CHOOSE(CONTROL!$C$42, 500, 500)*CHOOSE(CONTROL!$C$42, 0.275, 0.275)*CHOOSE(CONTROL!$C$42, 30, 30))/1000000</f>
        <v>4.125</v>
      </c>
      <c r="W633" s="57">
        <f>(1000*CHOOSE(CONTROL!$C$42, 0.1146, 0.1146)*CHOOSE(CONTROL!$C$42, 121.5, 121.5)*CHOOSE(CONTROL!$C$42, 30, 30))/1000000</f>
        <v>0.417717</v>
      </c>
      <c r="X633" s="57">
        <f>(30*0.1790888*245000/1000000)+(30*0.2374*100000/1000000)</f>
        <v>2.0285026799999999</v>
      </c>
      <c r="Y633" s="57"/>
      <c r="Z633" s="14"/>
      <c r="AA633" s="56"/>
      <c r="AB633" s="50">
        <f>(B633*194.205+C633*267.466+D633*133.845+E633*53.484+F633*40+G633*185+H633*0+I633*100+J633*300)/(194.205+267.466+133.845+53.484+0+40+185+100+300)</f>
        <v>36.074549788069071</v>
      </c>
      <c r="AC633" s="45">
        <f>(M633*'RAP TEMPLATE-GAS AVAILABILITY'!O632+N633*'RAP TEMPLATE-GAS AVAILABILITY'!P632+O633*'RAP TEMPLATE-GAS AVAILABILITY'!Q632+P633*'RAP TEMPLATE-GAS AVAILABILITY'!R632)/('RAP TEMPLATE-GAS AVAILABILITY'!O632+'RAP TEMPLATE-GAS AVAILABILITY'!P632+'RAP TEMPLATE-GAS AVAILABILITY'!Q632+'RAP TEMPLATE-GAS AVAILABILITY'!R632)</f>
        <v>35.423420863309353</v>
      </c>
    </row>
    <row r="634" spans="1:29" ht="15.75" x14ac:dyDescent="0.25">
      <c r="A634" s="32">
        <v>60206</v>
      </c>
      <c r="B634" s="14">
        <f>CHOOSE(CONTROL!$C$42, 35.282, 35.282) * CHOOSE(CONTROL!$C$21, $C$9, 100%, $E$9)</f>
        <v>35.281999999999996</v>
      </c>
      <c r="C634" s="14">
        <f>CHOOSE(CONTROL!$C$42, 35.2873, 35.2873) * CHOOSE(CONTROL!$C$21, $C$9, 100%, $E$9)</f>
        <v>35.287300000000002</v>
      </c>
      <c r="D634" s="14">
        <f>CHOOSE(CONTROL!$C$42, 35.5128, 35.5128) * CHOOSE(CONTROL!$C$21, $C$9, 100%, $E$9)</f>
        <v>35.512799999999999</v>
      </c>
      <c r="E634" s="14">
        <f>CHOOSE(CONTROL!$C$42, 35.542, 35.542) * CHOOSE(CONTROL!$C$21, $C$9, 100%, $E$9)</f>
        <v>35.542000000000002</v>
      </c>
      <c r="F634" s="14">
        <f>CHOOSE(CONTROL!$C$42, 35.3113, 35.3113)*CHOOSE(CONTROL!$C$21, $C$9, 100%, $E$9)</f>
        <v>35.311300000000003</v>
      </c>
      <c r="G634" s="14">
        <f>CHOOSE(CONTROL!$C$42, 35.3286, 35.3286)*CHOOSE(CONTROL!$C$21, $C$9, 100%, $E$9)</f>
        <v>35.328600000000002</v>
      </c>
      <c r="H634" s="14">
        <f>CHOOSE(CONTROL!$C$42, 35.5324, 35.5324) * CHOOSE(CONTROL!$C$21, $C$9, 100%, $E$9)</f>
        <v>35.532400000000003</v>
      </c>
      <c r="I634" s="14">
        <f>CHOOSE(CONTROL!$C$42, 35.4221, 35.4221)* CHOOSE(CONTROL!$C$21, $C$9, 100%, $E$9)</f>
        <v>35.4221</v>
      </c>
      <c r="J634" s="14">
        <f>CHOOSE(CONTROL!$C$42, 35.3043, 35.3043)* CHOOSE(CONTROL!$C$21, $C$9, 100%, $E$9)</f>
        <v>35.304299999999998</v>
      </c>
      <c r="K634" s="53">
        <f>CHOOSE(CONTROL!$C$42, 35.4182, 35.4182) * CHOOSE(CONTROL!$C$21, $C$9, 100%, $E$9)</f>
        <v>35.418199999999999</v>
      </c>
      <c r="L634" s="14">
        <f>CHOOSE(CONTROL!$C$42, 36.1194, 36.1194) * CHOOSE(CONTROL!$C$21, $C$9, 100%, $E$9)</f>
        <v>36.119399999999999</v>
      </c>
      <c r="M634" s="14">
        <f>CHOOSE(CONTROL!$C$42, 34.5887, 34.5887) * CHOOSE(CONTROL!$C$21, $C$9, 100%, $E$9)</f>
        <v>34.588700000000003</v>
      </c>
      <c r="N634" s="14">
        <f>CHOOSE(CONTROL!$C$42, 34.6055, 34.6055) * CHOOSE(CONTROL!$C$21, $C$9, 100%, $E$9)</f>
        <v>34.605499999999999</v>
      </c>
      <c r="O634" s="14">
        <f>CHOOSE(CONTROL!$C$42, 34.8121, 34.8121) * CHOOSE(CONTROL!$C$21, $C$9, 100%, $E$9)</f>
        <v>34.812100000000001</v>
      </c>
      <c r="P634" s="14">
        <f>CHOOSE(CONTROL!$C$42, 34.7019, 34.7019) * CHOOSE(CONTROL!$C$21, $C$9, 100%, $E$9)</f>
        <v>34.701900000000002</v>
      </c>
      <c r="Q634" s="14">
        <f>CHOOSE(CONTROL!$C$42, 35.4068, 35.4068) * CHOOSE(CONTROL!$C$21, $C$9, 100%, $E$9)</f>
        <v>35.406799999999997</v>
      </c>
      <c r="R634" s="14">
        <f>CHOOSE(CONTROL!$C$42, 36.0823, 36.0823) * CHOOSE(CONTROL!$C$21, $C$9, 100%, $E$9)</f>
        <v>36.082299999999996</v>
      </c>
      <c r="S634" s="14">
        <f>CHOOSE(CONTROL!$C$42, 33.8935, 33.8935) * CHOOSE(CONTROL!$C$21, $C$9, 100%, $E$9)</f>
        <v>33.893500000000003</v>
      </c>
      <c r="T6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34" s="57">
        <f>(1000*CHOOSE(CONTROL!$C$42, 695, 695)*CHOOSE(CONTROL!$C$42, 0.5599, 0.5599)*CHOOSE(CONTROL!$C$42, 31, 31))/1000000</f>
        <v>12.063045499999998</v>
      </c>
      <c r="V634" s="57">
        <f>(1000*CHOOSE(CONTROL!$C$42, 500, 500)*CHOOSE(CONTROL!$C$42, 0.275, 0.275)*CHOOSE(CONTROL!$C$42, 31, 31))/1000000</f>
        <v>4.2625000000000002</v>
      </c>
      <c r="W634" s="57">
        <f>(1000*CHOOSE(CONTROL!$C$42, 0.1146, 0.1146)*CHOOSE(CONTROL!$C$42, 121.5, 121.5)*CHOOSE(CONTROL!$C$42, 31, 31))/1000000</f>
        <v>0.43164089999999994</v>
      </c>
      <c r="X634" s="57">
        <f>(31*0.1790888*245000/1000000)+(31*0.2374*100000/1000000)</f>
        <v>2.0961194359999999</v>
      </c>
      <c r="Y634" s="57"/>
      <c r="Z634" s="14"/>
      <c r="AA634" s="56"/>
      <c r="AB634" s="50">
        <f>(B634*131.881+C634*277.167+D634*79.08+E634*125.872+F634*40+G634*185+H634*0+I634*100+J634*300)/(131.881+277.167+79.08+125.872+0+40+185+100+300)</f>
        <v>35.348941379418882</v>
      </c>
      <c r="AC634" s="45">
        <f>(M634*'RAP TEMPLATE-GAS AVAILABILITY'!O633+N634*'RAP TEMPLATE-GAS AVAILABILITY'!P633+O634*'RAP TEMPLATE-GAS AVAILABILITY'!Q633+P634*'RAP TEMPLATE-GAS AVAILABILITY'!R633)/('RAP TEMPLATE-GAS AVAILABILITY'!O633+'RAP TEMPLATE-GAS AVAILABILITY'!P633+'RAP TEMPLATE-GAS AVAILABILITY'!Q633+'RAP TEMPLATE-GAS AVAILABILITY'!R633)</f>
        <v>34.707207913669059</v>
      </c>
    </row>
    <row r="635" spans="1:29" ht="15.75" x14ac:dyDescent="0.25">
      <c r="A635" s="32">
        <v>60236</v>
      </c>
      <c r="B635" s="14">
        <f>CHOOSE(CONTROL!$C$42, 36.2108, 36.2108) * CHOOSE(CONTROL!$C$21, $C$9, 100%, $E$9)</f>
        <v>36.210799999999999</v>
      </c>
      <c r="C635" s="14">
        <f>CHOOSE(CONTROL!$C$42, 36.2158, 36.2158) * CHOOSE(CONTROL!$C$21, $C$9, 100%, $E$9)</f>
        <v>36.215800000000002</v>
      </c>
      <c r="D635" s="14">
        <f>CHOOSE(CONTROL!$C$42, 36.2901, 36.2901) * CHOOSE(CONTROL!$C$21, $C$9, 100%, $E$9)</f>
        <v>36.290100000000002</v>
      </c>
      <c r="E635" s="14">
        <f>CHOOSE(CONTROL!$C$42, 36.3242, 36.3242) * CHOOSE(CONTROL!$C$21, $C$9, 100%, $E$9)</f>
        <v>36.324199999999998</v>
      </c>
      <c r="F635" s="14">
        <f>CHOOSE(CONTROL!$C$42, 36.2468, 36.2468)*CHOOSE(CONTROL!$C$21, $C$9, 100%, $E$9)</f>
        <v>36.2468</v>
      </c>
      <c r="G635" s="14">
        <f>CHOOSE(CONTROL!$C$42, 36.2644, 36.2644)*CHOOSE(CONTROL!$C$21, $C$9, 100%, $E$9)</f>
        <v>36.264400000000002</v>
      </c>
      <c r="H635" s="14">
        <f>CHOOSE(CONTROL!$C$42, 36.3134, 36.3134) * CHOOSE(CONTROL!$C$21, $C$9, 100%, $E$9)</f>
        <v>36.313400000000001</v>
      </c>
      <c r="I635" s="14">
        <f>CHOOSE(CONTROL!$C$42, 36.3516, 36.3516)* CHOOSE(CONTROL!$C$21, $C$9, 100%, $E$9)</f>
        <v>36.351599999999998</v>
      </c>
      <c r="J635" s="14">
        <f>CHOOSE(CONTROL!$C$42, 36.2398, 36.2398)* CHOOSE(CONTROL!$C$21, $C$9, 100%, $E$9)</f>
        <v>36.239800000000002</v>
      </c>
      <c r="K635" s="53">
        <f>CHOOSE(CONTROL!$C$42, 36.3478, 36.3478) * CHOOSE(CONTROL!$C$21, $C$9, 100%, $E$9)</f>
        <v>36.347799999999999</v>
      </c>
      <c r="L635" s="14">
        <f>CHOOSE(CONTROL!$C$42, 36.9004, 36.9004) * CHOOSE(CONTROL!$C$21, $C$9, 100%, $E$9)</f>
        <v>36.900399999999998</v>
      </c>
      <c r="M635" s="14">
        <f>CHOOSE(CONTROL!$C$42, 35.505, 35.505) * CHOOSE(CONTROL!$C$21, $C$9, 100%, $E$9)</f>
        <v>35.505000000000003</v>
      </c>
      <c r="N635" s="14">
        <f>CHOOSE(CONTROL!$C$42, 35.5222, 35.5222) * CHOOSE(CONTROL!$C$21, $C$9, 100%, $E$9)</f>
        <v>35.522199999999998</v>
      </c>
      <c r="O635" s="14">
        <f>CHOOSE(CONTROL!$C$42, 35.577, 35.577) * CHOOSE(CONTROL!$C$21, $C$9, 100%, $E$9)</f>
        <v>35.576999999999998</v>
      </c>
      <c r="P635" s="14">
        <f>CHOOSE(CONTROL!$C$42, 35.6123, 35.6123) * CHOOSE(CONTROL!$C$21, $C$9, 100%, $E$9)</f>
        <v>35.612299999999998</v>
      </c>
      <c r="Q635" s="14">
        <f>CHOOSE(CONTROL!$C$42, 36.1717, 36.1717) * CHOOSE(CONTROL!$C$21, $C$9, 100%, $E$9)</f>
        <v>36.171700000000001</v>
      </c>
      <c r="R635" s="14">
        <f>CHOOSE(CONTROL!$C$42, 36.8492, 36.8492) * CHOOSE(CONTROL!$C$21, $C$9, 100%, $E$9)</f>
        <v>36.849200000000003</v>
      </c>
      <c r="S635" s="14">
        <f>CHOOSE(CONTROL!$C$42, 34.7864, 34.7864) * CHOOSE(CONTROL!$C$21, $C$9, 100%, $E$9)</f>
        <v>34.7864</v>
      </c>
      <c r="T6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35" s="57">
        <f>(1000*CHOOSE(CONTROL!$C$42, 695, 695)*CHOOSE(CONTROL!$C$42, 0.5599, 0.5599)*CHOOSE(CONTROL!$C$42, 30, 30))/1000000</f>
        <v>11.673914999999997</v>
      </c>
      <c r="V635" s="57">
        <f>(1000*CHOOSE(CONTROL!$C$42, 500, 500)*CHOOSE(CONTROL!$C$42, 0.275, 0.275)*CHOOSE(CONTROL!$C$42, 30, 30))/1000000</f>
        <v>4.125</v>
      </c>
      <c r="W635" s="57">
        <f>(1000*CHOOSE(CONTROL!$C$42, 0.1146, 0.1146)*CHOOSE(CONTROL!$C$42, 121.5, 121.5)*CHOOSE(CONTROL!$C$42, 30, 30))/1000000</f>
        <v>0.417717</v>
      </c>
      <c r="X635" s="57">
        <f>(30*0.1790888*100000/1000000)+(30*0.2374*100000/1000000)</f>
        <v>1.2494664</v>
      </c>
      <c r="Y635" s="57"/>
      <c r="Z635" s="14"/>
      <c r="AA635" s="56"/>
      <c r="AB635" s="50">
        <f>(B635*122.58+C635*297.941+D635*89.177+E635*40.302+F635*40+G635*160+H635*0+I635*100+J635*300)/(122.58+297.941+89.177+40.302+0+40+160+100+300)</f>
        <v>36.250737119913047</v>
      </c>
      <c r="AC635" s="45">
        <f>(M635*'RAP TEMPLATE-GAS AVAILABILITY'!O634+N635*'RAP TEMPLATE-GAS AVAILABILITY'!P634+O635*'RAP TEMPLATE-GAS AVAILABILITY'!Q634+P635*'RAP TEMPLATE-GAS AVAILABILITY'!R634)/('RAP TEMPLATE-GAS AVAILABILITY'!O634+'RAP TEMPLATE-GAS AVAILABILITY'!P634+'RAP TEMPLATE-GAS AVAILABILITY'!Q634+'RAP TEMPLATE-GAS AVAILABILITY'!R634)</f>
        <v>35.554061870503595</v>
      </c>
    </row>
    <row r="636" spans="1:29" ht="15.75" x14ac:dyDescent="0.25">
      <c r="A636" s="32">
        <v>60267</v>
      </c>
      <c r="B636" s="14">
        <f>CHOOSE(CONTROL!$C$42, 38.679, 38.679) * CHOOSE(CONTROL!$C$21, $C$9, 100%, $E$9)</f>
        <v>38.679000000000002</v>
      </c>
      <c r="C636" s="14">
        <f>CHOOSE(CONTROL!$C$42, 38.684, 38.684) * CHOOSE(CONTROL!$C$21, $C$9, 100%, $E$9)</f>
        <v>38.683999999999997</v>
      </c>
      <c r="D636" s="14">
        <f>CHOOSE(CONTROL!$C$42, 38.7582, 38.7582) * CHOOSE(CONTROL!$C$21, $C$9, 100%, $E$9)</f>
        <v>38.758200000000002</v>
      </c>
      <c r="E636" s="14">
        <f>CHOOSE(CONTROL!$C$42, 38.7923, 38.7923) * CHOOSE(CONTROL!$C$21, $C$9, 100%, $E$9)</f>
        <v>38.792299999999997</v>
      </c>
      <c r="F636" s="14">
        <f>CHOOSE(CONTROL!$C$42, 38.7174, 38.7174)*CHOOSE(CONTROL!$C$21, $C$9, 100%, $E$9)</f>
        <v>38.717399999999998</v>
      </c>
      <c r="G636" s="14">
        <f>CHOOSE(CONTROL!$C$42, 38.7355, 38.7355)*CHOOSE(CONTROL!$C$21, $C$9, 100%, $E$9)</f>
        <v>38.735500000000002</v>
      </c>
      <c r="H636" s="14">
        <f>CHOOSE(CONTROL!$C$42, 38.7815, 38.7815) * CHOOSE(CONTROL!$C$21, $C$9, 100%, $E$9)</f>
        <v>38.781500000000001</v>
      </c>
      <c r="I636" s="14">
        <f>CHOOSE(CONTROL!$C$42, 38.8276, 38.8276)* CHOOSE(CONTROL!$C$21, $C$9, 100%, $E$9)</f>
        <v>38.827599999999997</v>
      </c>
      <c r="J636" s="14">
        <f>CHOOSE(CONTROL!$C$42, 38.7104, 38.7104)* CHOOSE(CONTROL!$C$21, $C$9, 100%, $E$9)</f>
        <v>38.7104</v>
      </c>
      <c r="K636" s="53">
        <f>CHOOSE(CONTROL!$C$42, 38.8237, 38.8237) * CHOOSE(CONTROL!$C$21, $C$9, 100%, $E$9)</f>
        <v>38.823700000000002</v>
      </c>
      <c r="L636" s="14">
        <f>CHOOSE(CONTROL!$C$42, 39.3685, 39.3685) * CHOOSE(CONTROL!$C$21, $C$9, 100%, $E$9)</f>
        <v>39.368499999999997</v>
      </c>
      <c r="M636" s="14">
        <f>CHOOSE(CONTROL!$C$42, 37.9249, 37.9249) * CHOOSE(CONTROL!$C$21, $C$9, 100%, $E$9)</f>
        <v>37.924900000000001</v>
      </c>
      <c r="N636" s="14">
        <f>CHOOSE(CONTROL!$C$42, 37.9427, 37.9427) * CHOOSE(CONTROL!$C$21, $C$9, 100%, $E$9)</f>
        <v>37.942700000000002</v>
      </c>
      <c r="O636" s="14">
        <f>CHOOSE(CONTROL!$C$42, 37.9946, 37.9946) * CHOOSE(CONTROL!$C$21, $C$9, 100%, $E$9)</f>
        <v>37.994599999999998</v>
      </c>
      <c r="P636" s="14">
        <f>CHOOSE(CONTROL!$C$42, 38.0373, 38.0373) * CHOOSE(CONTROL!$C$21, $C$9, 100%, $E$9)</f>
        <v>38.037300000000002</v>
      </c>
      <c r="Q636" s="14">
        <f>CHOOSE(CONTROL!$C$42, 38.5893, 38.5893) * CHOOSE(CONTROL!$C$21, $C$9, 100%, $E$9)</f>
        <v>38.589300000000001</v>
      </c>
      <c r="R636" s="14">
        <f>CHOOSE(CONTROL!$C$42, 39.2728, 39.2728) * CHOOSE(CONTROL!$C$21, $C$9, 100%, $E$9)</f>
        <v>39.272799999999997</v>
      </c>
      <c r="S636" s="14">
        <f>CHOOSE(CONTROL!$C$42, 37.1581, 37.1581) * CHOOSE(CONTROL!$C$21, $C$9, 100%, $E$9)</f>
        <v>37.158099999999997</v>
      </c>
      <c r="T6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36" s="57">
        <f>(1000*CHOOSE(CONTROL!$C$42, 695, 695)*CHOOSE(CONTROL!$C$42, 0.5599, 0.5599)*CHOOSE(CONTROL!$C$42, 31, 31))/1000000</f>
        <v>12.063045499999998</v>
      </c>
      <c r="V636" s="57">
        <f>(1000*CHOOSE(CONTROL!$C$42, 500, 500)*CHOOSE(CONTROL!$C$42, 0.275, 0.275)*CHOOSE(CONTROL!$C$42, 31, 31))/1000000</f>
        <v>4.2625000000000002</v>
      </c>
      <c r="W636" s="57">
        <f>(1000*CHOOSE(CONTROL!$C$42, 0.1146, 0.1146)*CHOOSE(CONTROL!$C$42, 121.5, 121.5)*CHOOSE(CONTROL!$C$42, 31, 31))/1000000</f>
        <v>0.43164089999999994</v>
      </c>
      <c r="X636" s="57">
        <f>(31*0.1790888*100000/1000000)+(31*0.2374*100000/1000000)</f>
        <v>1.2911152800000001</v>
      </c>
      <c r="Y636" s="57"/>
      <c r="Z636" s="14"/>
      <c r="AA636" s="56"/>
      <c r="AB636" s="50">
        <f>(B636*122.58+C636*297.941+D636*89.177+E636*40.302+F636*40+G636*160+H636*0+I636*100+J636*300)/(122.58+297.941+89.177+40.302+0+40+160+100+300)</f>
        <v>38.720717165217394</v>
      </c>
      <c r="AC636" s="45">
        <f>(M636*'RAP TEMPLATE-GAS AVAILABILITY'!O635+N636*'RAP TEMPLATE-GAS AVAILABILITY'!P635+O636*'RAP TEMPLATE-GAS AVAILABILITY'!Q635+P636*'RAP TEMPLATE-GAS AVAILABILITY'!R635)/('RAP TEMPLATE-GAS AVAILABILITY'!O635+'RAP TEMPLATE-GAS AVAILABILITY'!P635+'RAP TEMPLATE-GAS AVAILABILITY'!Q635+'RAP TEMPLATE-GAS AVAILABILITY'!R635)</f>
        <v>37.973687769784171</v>
      </c>
    </row>
    <row r="637" spans="1:29" ht="15.75" x14ac:dyDescent="0.25">
      <c r="A637" s="32">
        <v>60298</v>
      </c>
      <c r="B637" s="14">
        <f>CHOOSE(CONTROL!$C$42, 41.8847, 41.8847) * CHOOSE(CONTROL!$C$21, $C$9, 100%, $E$9)</f>
        <v>41.884700000000002</v>
      </c>
      <c r="C637" s="14">
        <f>CHOOSE(CONTROL!$C$42, 41.8897, 41.8897) * CHOOSE(CONTROL!$C$21, $C$9, 100%, $E$9)</f>
        <v>41.889699999999998</v>
      </c>
      <c r="D637" s="14">
        <f>CHOOSE(CONTROL!$C$42, 41.9666, 41.9666) * CHOOSE(CONTROL!$C$21, $C$9, 100%, $E$9)</f>
        <v>41.9666</v>
      </c>
      <c r="E637" s="14">
        <f>CHOOSE(CONTROL!$C$42, 42.0007, 42.0007) * CHOOSE(CONTROL!$C$21, $C$9, 100%, $E$9)</f>
        <v>42.000700000000002</v>
      </c>
      <c r="F637" s="14">
        <f>CHOOSE(CONTROL!$C$42, 41.9094, 41.9094)*CHOOSE(CONTROL!$C$21, $C$9, 100%, $E$9)</f>
        <v>41.909399999999998</v>
      </c>
      <c r="G637" s="14">
        <f>CHOOSE(CONTROL!$C$42, 41.9274, 41.9274)*CHOOSE(CONTROL!$C$21, $C$9, 100%, $E$9)</f>
        <v>41.927399999999999</v>
      </c>
      <c r="H637" s="14">
        <f>CHOOSE(CONTROL!$C$42, 41.9899, 41.9899) * CHOOSE(CONTROL!$C$21, $C$9, 100%, $E$9)</f>
        <v>41.989899999999999</v>
      </c>
      <c r="I637" s="14">
        <f>CHOOSE(CONTROL!$C$42, 42.0496, 42.0496)* CHOOSE(CONTROL!$C$21, $C$9, 100%, $E$9)</f>
        <v>42.049599999999998</v>
      </c>
      <c r="J637" s="14">
        <f>CHOOSE(CONTROL!$C$42, 41.9024, 41.9024)* CHOOSE(CONTROL!$C$21, $C$9, 100%, $E$9)</f>
        <v>41.9024</v>
      </c>
      <c r="K637" s="53">
        <f>CHOOSE(CONTROL!$C$42, 42.0457, 42.0457) * CHOOSE(CONTROL!$C$21, $C$9, 100%, $E$9)</f>
        <v>42.045699999999997</v>
      </c>
      <c r="L637" s="14">
        <f>CHOOSE(CONTROL!$C$42, 42.5769, 42.5769) * CHOOSE(CONTROL!$C$21, $C$9, 100%, $E$9)</f>
        <v>42.576900000000002</v>
      </c>
      <c r="M637" s="14">
        <f>CHOOSE(CONTROL!$C$42, 41.0516, 41.0516) * CHOOSE(CONTROL!$C$21, $C$9, 100%, $E$9)</f>
        <v>41.051600000000001</v>
      </c>
      <c r="N637" s="14">
        <f>CHOOSE(CONTROL!$C$42, 41.0692, 41.0692) * CHOOSE(CONTROL!$C$21, $C$9, 100%, $E$9)</f>
        <v>41.069200000000002</v>
      </c>
      <c r="O637" s="14">
        <f>CHOOSE(CONTROL!$C$42, 41.1372, 41.1372) * CHOOSE(CONTROL!$C$21, $C$9, 100%, $E$9)</f>
        <v>41.1372</v>
      </c>
      <c r="P637" s="14">
        <f>CHOOSE(CONTROL!$C$42, 41.1931, 41.1931) * CHOOSE(CONTROL!$C$21, $C$9, 100%, $E$9)</f>
        <v>41.193100000000001</v>
      </c>
      <c r="Q637" s="14">
        <f>CHOOSE(CONTROL!$C$42, 41.7319, 41.7319) * CHOOSE(CONTROL!$C$21, $C$9, 100%, $E$9)</f>
        <v>41.731900000000003</v>
      </c>
      <c r="R637" s="14">
        <f>CHOOSE(CONTROL!$C$42, 42.4232, 42.4232) * CHOOSE(CONTROL!$C$21, $C$9, 100%, $E$9)</f>
        <v>42.423200000000001</v>
      </c>
      <c r="S637" s="14">
        <f>CHOOSE(CONTROL!$C$42, 40.2384, 40.2384) * CHOOSE(CONTROL!$C$21, $C$9, 100%, $E$9)</f>
        <v>40.238399999999999</v>
      </c>
      <c r="T6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37" s="57">
        <f>(1000*CHOOSE(CONTROL!$C$42, 695, 695)*CHOOSE(CONTROL!$C$42, 0.5599, 0.5599)*CHOOSE(CONTROL!$C$42, 31, 31))/1000000</f>
        <v>12.063045499999998</v>
      </c>
      <c r="V637" s="57">
        <f>(1000*CHOOSE(CONTROL!$C$42, 500, 500)*CHOOSE(CONTROL!$C$42, 0.275, 0.275)*CHOOSE(CONTROL!$C$42, 31, 31))/1000000</f>
        <v>4.2625000000000002</v>
      </c>
      <c r="W637" s="57">
        <f>(1000*CHOOSE(CONTROL!$C$42, 0.1146, 0.1146)*CHOOSE(CONTROL!$C$42, 121.5, 121.5)*CHOOSE(CONTROL!$C$42, 31, 31))/1000000</f>
        <v>0.43164089999999994</v>
      </c>
      <c r="X637" s="57">
        <f>(31*0.1790888*100000/1000000)+(31*0.2374*100000/1000000)</f>
        <v>1.2911152800000001</v>
      </c>
      <c r="Y637" s="57"/>
      <c r="Z637" s="14"/>
      <c r="AA637" s="56"/>
      <c r="AB637" s="50">
        <f>(B637*122.58+C637*297.941+D637*89.177+E637*40.302+F637*40+G637*160+H637*0+I637*100+J637*300)/(122.58+297.941+89.177+40.302+0+40+160+100+300)</f>
        <v>41.922168115913045</v>
      </c>
      <c r="AC637" s="45">
        <f>(M637*'RAP TEMPLATE-GAS AVAILABILITY'!O636+N637*'RAP TEMPLATE-GAS AVAILABILITY'!P636+O637*'RAP TEMPLATE-GAS AVAILABILITY'!Q636+P637*'RAP TEMPLATE-GAS AVAILABILITY'!R636)/('RAP TEMPLATE-GAS AVAILABILITY'!O636+'RAP TEMPLATE-GAS AVAILABILITY'!P636+'RAP TEMPLATE-GAS AVAILABILITY'!Q636+'RAP TEMPLATE-GAS AVAILABILITY'!R636)</f>
        <v>41.111769784172665</v>
      </c>
    </row>
    <row r="638" spans="1:29" ht="15.75" x14ac:dyDescent="0.25">
      <c r="A638" s="32">
        <v>60326</v>
      </c>
      <c r="B638" s="14">
        <f>CHOOSE(CONTROL!$C$42, 42.6301, 42.6301) * CHOOSE(CONTROL!$C$21, $C$9, 100%, $E$9)</f>
        <v>42.630099999999999</v>
      </c>
      <c r="C638" s="14">
        <f>CHOOSE(CONTROL!$C$42, 42.6352, 42.6352) * CHOOSE(CONTROL!$C$21, $C$9, 100%, $E$9)</f>
        <v>42.635199999999998</v>
      </c>
      <c r="D638" s="14">
        <f>CHOOSE(CONTROL!$C$42, 42.712, 42.712) * CHOOSE(CONTROL!$C$21, $C$9, 100%, $E$9)</f>
        <v>42.712000000000003</v>
      </c>
      <c r="E638" s="14">
        <f>CHOOSE(CONTROL!$C$42, 42.7461, 42.7461) * CHOOSE(CONTROL!$C$21, $C$9, 100%, $E$9)</f>
        <v>42.746099999999998</v>
      </c>
      <c r="F638" s="14">
        <f>CHOOSE(CONTROL!$C$42, 42.6545, 42.6545)*CHOOSE(CONTROL!$C$21, $C$9, 100%, $E$9)</f>
        <v>42.654499999999999</v>
      </c>
      <c r="G638" s="14">
        <f>CHOOSE(CONTROL!$C$42, 42.6723, 42.6723)*CHOOSE(CONTROL!$C$21, $C$9, 100%, $E$9)</f>
        <v>42.6723</v>
      </c>
      <c r="H638" s="14">
        <f>CHOOSE(CONTROL!$C$42, 42.7353, 42.7353) * CHOOSE(CONTROL!$C$21, $C$9, 100%, $E$9)</f>
        <v>42.735300000000002</v>
      </c>
      <c r="I638" s="14">
        <f>CHOOSE(CONTROL!$C$42, 42.7974, 42.7974)* CHOOSE(CONTROL!$C$21, $C$9, 100%, $E$9)</f>
        <v>42.797400000000003</v>
      </c>
      <c r="J638" s="14">
        <f>CHOOSE(CONTROL!$C$42, 42.6475, 42.6475)* CHOOSE(CONTROL!$C$21, $C$9, 100%, $E$9)</f>
        <v>42.647500000000001</v>
      </c>
      <c r="K638" s="53">
        <f>CHOOSE(CONTROL!$C$42, 42.7935, 42.7935) * CHOOSE(CONTROL!$C$21, $C$9, 100%, $E$9)</f>
        <v>42.793500000000002</v>
      </c>
      <c r="L638" s="14">
        <f>CHOOSE(CONTROL!$C$42, 43.3223, 43.3223) * CHOOSE(CONTROL!$C$21, $C$9, 100%, $E$9)</f>
        <v>43.322299999999998</v>
      </c>
      <c r="M638" s="14">
        <f>CHOOSE(CONTROL!$C$42, 41.7813, 41.7813) * CHOOSE(CONTROL!$C$21, $C$9, 100%, $E$9)</f>
        <v>41.781300000000002</v>
      </c>
      <c r="N638" s="14">
        <f>CHOOSE(CONTROL!$C$42, 41.7988, 41.7988) * CHOOSE(CONTROL!$C$21, $C$9, 100%, $E$9)</f>
        <v>41.7988</v>
      </c>
      <c r="O638" s="14">
        <f>CHOOSE(CONTROL!$C$42, 41.8674, 41.8674) * CHOOSE(CONTROL!$C$21, $C$9, 100%, $E$9)</f>
        <v>41.867400000000004</v>
      </c>
      <c r="P638" s="14">
        <f>CHOOSE(CONTROL!$C$42, 41.9255, 41.9255) * CHOOSE(CONTROL!$C$21, $C$9, 100%, $E$9)</f>
        <v>41.9255</v>
      </c>
      <c r="Q638" s="14">
        <f>CHOOSE(CONTROL!$C$42, 42.4621, 42.4621) * CHOOSE(CONTROL!$C$21, $C$9, 100%, $E$9)</f>
        <v>42.4621</v>
      </c>
      <c r="R638" s="14">
        <f>CHOOSE(CONTROL!$C$42, 43.1552, 43.1552) * CHOOSE(CONTROL!$C$21, $C$9, 100%, $E$9)</f>
        <v>43.155200000000001</v>
      </c>
      <c r="S638" s="14">
        <f>CHOOSE(CONTROL!$C$42, 40.9547, 40.9547) * CHOOSE(CONTROL!$C$21, $C$9, 100%, $E$9)</f>
        <v>40.954700000000003</v>
      </c>
      <c r="T63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38" s="57">
        <f>(1000*CHOOSE(CONTROL!$C$42, 695, 695)*CHOOSE(CONTROL!$C$42, 0.5599, 0.5599)*CHOOSE(CONTROL!$C$42, 28, 28))/1000000</f>
        <v>10.895653999999999</v>
      </c>
      <c r="V638" s="57">
        <f>(1000*CHOOSE(CONTROL!$C$42, 500, 500)*CHOOSE(CONTROL!$C$42, 0.275, 0.275)*CHOOSE(CONTROL!$C$42, 28, 28))/1000000</f>
        <v>3.85</v>
      </c>
      <c r="W638" s="57">
        <f>(1000*CHOOSE(CONTROL!$C$42, 0.1146, 0.1146)*CHOOSE(CONTROL!$C$42, 121.5, 121.5)*CHOOSE(CONTROL!$C$42, 28, 28))/1000000</f>
        <v>0.38986920000000003</v>
      </c>
      <c r="X638" s="57">
        <f>(28*0.1790888*100000/1000000)+(28*0.2374*100000/1000000)</f>
        <v>1.16616864</v>
      </c>
      <c r="Y638" s="57"/>
      <c r="Z638" s="14"/>
      <c r="AA638" s="56"/>
      <c r="AB638" s="50">
        <f>(B638*122.58+C638*297.941+D638*89.177+E638*40.302+F638*40+G638*160+H638*0+I638*100+J638*300)/(122.58+297.941+89.177+40.302+0+40+160+100+300)</f>
        <v>42.667644458608699</v>
      </c>
      <c r="AC638" s="45">
        <f>(M638*'RAP TEMPLATE-GAS AVAILABILITY'!O637+N638*'RAP TEMPLATE-GAS AVAILABILITY'!P637+O638*'RAP TEMPLATE-GAS AVAILABILITY'!Q637+P638*'RAP TEMPLATE-GAS AVAILABILITY'!R637)/('RAP TEMPLATE-GAS AVAILABILITY'!O637+'RAP TEMPLATE-GAS AVAILABILITY'!P637+'RAP TEMPLATE-GAS AVAILABILITY'!Q637+'RAP TEMPLATE-GAS AVAILABILITY'!R637)</f>
        <v>41.842079136690643</v>
      </c>
    </row>
    <row r="639" spans="1:29" ht="15.75" x14ac:dyDescent="0.25">
      <c r="A639" s="32">
        <v>60357</v>
      </c>
      <c r="B639" s="14">
        <f>CHOOSE(CONTROL!$C$42, 41.4201, 41.4201) * CHOOSE(CONTROL!$C$21, $C$9, 100%, $E$9)</f>
        <v>41.420099999999998</v>
      </c>
      <c r="C639" s="14">
        <f>CHOOSE(CONTROL!$C$42, 41.4252, 41.4252) * CHOOSE(CONTROL!$C$21, $C$9, 100%, $E$9)</f>
        <v>41.425199999999997</v>
      </c>
      <c r="D639" s="14">
        <f>CHOOSE(CONTROL!$C$42, 41.502, 41.502) * CHOOSE(CONTROL!$C$21, $C$9, 100%, $E$9)</f>
        <v>41.502000000000002</v>
      </c>
      <c r="E639" s="14">
        <f>CHOOSE(CONTROL!$C$42, 41.5361, 41.5361) * CHOOSE(CONTROL!$C$21, $C$9, 100%, $E$9)</f>
        <v>41.536099999999998</v>
      </c>
      <c r="F639" s="14">
        <f>CHOOSE(CONTROL!$C$42, 41.4436, 41.4436)*CHOOSE(CONTROL!$C$21, $C$9, 100%, $E$9)</f>
        <v>41.443600000000004</v>
      </c>
      <c r="G639" s="14">
        <f>CHOOSE(CONTROL!$C$42, 41.4612, 41.4612)*CHOOSE(CONTROL!$C$21, $C$9, 100%, $E$9)</f>
        <v>41.461199999999998</v>
      </c>
      <c r="H639" s="14">
        <f>CHOOSE(CONTROL!$C$42, 41.5253, 41.5253) * CHOOSE(CONTROL!$C$21, $C$9, 100%, $E$9)</f>
        <v>41.525300000000001</v>
      </c>
      <c r="I639" s="14">
        <f>CHOOSE(CONTROL!$C$42, 41.5835, 41.5835)* CHOOSE(CONTROL!$C$21, $C$9, 100%, $E$9)</f>
        <v>41.583500000000001</v>
      </c>
      <c r="J639" s="14">
        <f>CHOOSE(CONTROL!$C$42, 41.4366, 41.4366)* CHOOSE(CONTROL!$C$21, $C$9, 100%, $E$9)</f>
        <v>41.436599999999999</v>
      </c>
      <c r="K639" s="53">
        <f>CHOOSE(CONTROL!$C$42, 41.5796, 41.5796) * CHOOSE(CONTROL!$C$21, $C$9, 100%, $E$9)</f>
        <v>41.579599999999999</v>
      </c>
      <c r="L639" s="14">
        <f>CHOOSE(CONTROL!$C$42, 42.1123, 42.1123) * CHOOSE(CONTROL!$C$21, $C$9, 100%, $E$9)</f>
        <v>42.112299999999998</v>
      </c>
      <c r="M639" s="14">
        <f>CHOOSE(CONTROL!$C$42, 40.5952, 40.5952) * CHOOSE(CONTROL!$C$21, $C$9, 100%, $E$9)</f>
        <v>40.595199999999998</v>
      </c>
      <c r="N639" s="14">
        <f>CHOOSE(CONTROL!$C$42, 40.6125, 40.6125) * CHOOSE(CONTROL!$C$21, $C$9, 100%, $E$9)</f>
        <v>40.612499999999997</v>
      </c>
      <c r="O639" s="14">
        <f>CHOOSE(CONTROL!$C$42, 40.6821, 40.6821) * CHOOSE(CONTROL!$C$21, $C$9, 100%, $E$9)</f>
        <v>40.682099999999998</v>
      </c>
      <c r="P639" s="14">
        <f>CHOOSE(CONTROL!$C$42, 40.7367, 40.7367) * CHOOSE(CONTROL!$C$21, $C$9, 100%, $E$9)</f>
        <v>40.736699999999999</v>
      </c>
      <c r="Q639" s="14">
        <f>CHOOSE(CONTROL!$C$42, 41.2768, 41.2768) * CHOOSE(CONTROL!$C$21, $C$9, 100%, $E$9)</f>
        <v>41.276800000000001</v>
      </c>
      <c r="R639" s="14">
        <f>CHOOSE(CONTROL!$C$42, 41.967, 41.967) * CHOOSE(CONTROL!$C$21, $C$9, 100%, $E$9)</f>
        <v>41.966999999999999</v>
      </c>
      <c r="S639" s="14">
        <f>CHOOSE(CONTROL!$C$42, 39.792, 39.792) * CHOOSE(CONTROL!$C$21, $C$9, 100%, $E$9)</f>
        <v>39.792000000000002</v>
      </c>
      <c r="T6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9" s="57">
        <f>(1000*CHOOSE(CONTROL!$C$42, 695, 695)*CHOOSE(CONTROL!$C$42, 0.5599, 0.5599)*CHOOSE(CONTROL!$C$42, 31, 31))/1000000</f>
        <v>12.063045499999998</v>
      </c>
      <c r="V639" s="57">
        <f>(1000*CHOOSE(CONTROL!$C$42, 500, 500)*CHOOSE(CONTROL!$C$42, 0.275, 0.275)*CHOOSE(CONTROL!$C$42, 31, 31))/1000000</f>
        <v>4.2625000000000002</v>
      </c>
      <c r="W639" s="57">
        <f>(1000*CHOOSE(CONTROL!$C$42, 0.1146, 0.1146)*CHOOSE(CONTROL!$C$42, 121.5, 121.5)*CHOOSE(CONTROL!$C$42, 31, 31))/1000000</f>
        <v>0.43164089999999994</v>
      </c>
      <c r="X639" s="57">
        <f>(31*0.1790888*100000/1000000)+(31*0.2374*100000/1000000)</f>
        <v>1.2911152800000001</v>
      </c>
      <c r="Y639" s="57"/>
      <c r="Z639" s="14"/>
      <c r="AA639" s="56"/>
      <c r="AB639" s="50">
        <f>(B639*122.58+C639*297.941+D639*89.177+E639*40.302+F639*40+G639*160+H639*0+I639*100+J639*300)/(122.58+297.941+89.177+40.302+0+40+160+100+300)</f>
        <v>41.456886197739124</v>
      </c>
      <c r="AC639" s="45">
        <f>(M639*'RAP TEMPLATE-GAS AVAILABILITY'!O638+N639*'RAP TEMPLATE-GAS AVAILABILITY'!P638+O639*'RAP TEMPLATE-GAS AVAILABILITY'!Q638+P639*'RAP TEMPLATE-GAS AVAILABILITY'!R638)/('RAP TEMPLATE-GAS AVAILABILITY'!O638+'RAP TEMPLATE-GAS AVAILABILITY'!P638+'RAP TEMPLATE-GAS AVAILABILITY'!Q638+'RAP TEMPLATE-GAS AVAILABILITY'!R638)</f>
        <v>40.6559417266187</v>
      </c>
    </row>
    <row r="640" spans="1:29" ht="15.75" x14ac:dyDescent="0.25">
      <c r="A640" s="32">
        <v>60387</v>
      </c>
      <c r="B640" s="14">
        <f>CHOOSE(CONTROL!$C$42, 41.2971, 41.2971) * CHOOSE(CONTROL!$C$21, $C$9, 100%, $E$9)</f>
        <v>41.2971</v>
      </c>
      <c r="C640" s="14">
        <f>CHOOSE(CONTROL!$C$42, 41.3016, 41.3016) * CHOOSE(CONTROL!$C$21, $C$9, 100%, $E$9)</f>
        <v>41.301600000000001</v>
      </c>
      <c r="D640" s="14">
        <f>CHOOSE(CONTROL!$C$42, 41.5253, 41.5253) * CHOOSE(CONTROL!$C$21, $C$9, 100%, $E$9)</f>
        <v>41.525300000000001</v>
      </c>
      <c r="E640" s="14">
        <f>CHOOSE(CONTROL!$C$42, 41.5574, 41.5574) * CHOOSE(CONTROL!$C$21, $C$9, 100%, $E$9)</f>
        <v>41.557400000000001</v>
      </c>
      <c r="F640" s="14">
        <f>CHOOSE(CONTROL!$C$42, 41.3248, 41.3248)*CHOOSE(CONTROL!$C$21, $C$9, 100%, $E$9)</f>
        <v>41.324800000000003</v>
      </c>
      <c r="G640" s="14">
        <f>CHOOSE(CONTROL!$C$42, 41.3417, 41.3417)*CHOOSE(CONTROL!$C$21, $C$9, 100%, $E$9)</f>
        <v>41.341700000000003</v>
      </c>
      <c r="H640" s="14">
        <f>CHOOSE(CONTROL!$C$42, 41.5472, 41.5472) * CHOOSE(CONTROL!$C$21, $C$9, 100%, $E$9)</f>
        <v>41.547199999999997</v>
      </c>
      <c r="I640" s="14">
        <f>CHOOSE(CONTROL!$C$42, 41.4557, 41.4557)* CHOOSE(CONTROL!$C$21, $C$9, 100%, $E$9)</f>
        <v>41.4557</v>
      </c>
      <c r="J640" s="14">
        <f>CHOOSE(CONTROL!$C$42, 41.3178, 41.3178)* CHOOSE(CONTROL!$C$21, $C$9, 100%, $E$9)</f>
        <v>41.317799999999998</v>
      </c>
      <c r="K640" s="53">
        <f>CHOOSE(CONTROL!$C$42, 41.4518, 41.4518) * CHOOSE(CONTROL!$C$21, $C$9, 100%, $E$9)</f>
        <v>41.451799999999999</v>
      </c>
      <c r="L640" s="14">
        <f>CHOOSE(CONTROL!$C$42, 42.1342, 42.1342) * CHOOSE(CONTROL!$C$21, $C$9, 100%, $E$9)</f>
        <v>42.1342</v>
      </c>
      <c r="M640" s="14">
        <f>CHOOSE(CONTROL!$C$42, 40.4789, 40.4789) * CHOOSE(CONTROL!$C$21, $C$9, 100%, $E$9)</f>
        <v>40.478900000000003</v>
      </c>
      <c r="N640" s="14">
        <f>CHOOSE(CONTROL!$C$42, 40.4955, 40.4955) * CHOOSE(CONTROL!$C$21, $C$9, 100%, $E$9)</f>
        <v>40.4955</v>
      </c>
      <c r="O640" s="14">
        <f>CHOOSE(CONTROL!$C$42, 40.7036, 40.7036) * CHOOSE(CONTROL!$C$21, $C$9, 100%, $E$9)</f>
        <v>40.703600000000002</v>
      </c>
      <c r="P640" s="14">
        <f>CHOOSE(CONTROL!$C$42, 40.6115, 40.6115) * CHOOSE(CONTROL!$C$21, $C$9, 100%, $E$9)</f>
        <v>40.611499999999999</v>
      </c>
      <c r="Q640" s="14">
        <f>CHOOSE(CONTROL!$C$42, 41.2983, 41.2983) * CHOOSE(CONTROL!$C$21, $C$9, 100%, $E$9)</f>
        <v>41.298299999999998</v>
      </c>
      <c r="R640" s="14">
        <f>CHOOSE(CONTROL!$C$42, 41.9886, 41.9886) * CHOOSE(CONTROL!$C$21, $C$9, 100%, $E$9)</f>
        <v>41.988599999999998</v>
      </c>
      <c r="S640" s="14">
        <f>CHOOSE(CONTROL!$C$42, 39.6731, 39.6731) * CHOOSE(CONTROL!$C$21, $C$9, 100%, $E$9)</f>
        <v>39.673099999999998</v>
      </c>
      <c r="T6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0" s="57">
        <f>(1000*CHOOSE(CONTROL!$C$42, 695, 695)*CHOOSE(CONTROL!$C$42, 0.5599, 0.5599)*CHOOSE(CONTROL!$C$42, 30, 30))/1000000</f>
        <v>11.673914999999997</v>
      </c>
      <c r="V640" s="57">
        <f>(1000*CHOOSE(CONTROL!$C$42, 500, 500)*CHOOSE(CONTROL!$C$42, 0.275, 0.275)*CHOOSE(CONTROL!$C$42, 30, 30))/1000000</f>
        <v>4.125</v>
      </c>
      <c r="W640" s="57">
        <f>(1000*CHOOSE(CONTROL!$C$42, 0.1146, 0.1146)*CHOOSE(CONTROL!$C$42, 121.5, 121.5)*CHOOSE(CONTROL!$C$42, 30, 30))/1000000</f>
        <v>0.417717</v>
      </c>
      <c r="X640" s="57">
        <f>(30*0.1790888*245000/1000000)+(30*0.2374*100000/1000000)</f>
        <v>2.0285026799999999</v>
      </c>
      <c r="Y640" s="57"/>
      <c r="Z640" s="14"/>
      <c r="AA640" s="56"/>
      <c r="AB640" s="50">
        <f>(B640*141.293+C640*267.993+D640*115.016+E640*89.698+F640*40+G640*185+H640*0+I640*100+J640*300)/(141.293+267.993+115.016+89.698+0+40+185+100+300)</f>
        <v>41.363468046085558</v>
      </c>
      <c r="AC640" s="45">
        <f>(M640*'RAP TEMPLATE-GAS AVAILABILITY'!O639+N640*'RAP TEMPLATE-GAS AVAILABILITY'!P639+O640*'RAP TEMPLATE-GAS AVAILABILITY'!Q639+P640*'RAP TEMPLATE-GAS AVAILABILITY'!R639)/('RAP TEMPLATE-GAS AVAILABILITY'!O639+'RAP TEMPLATE-GAS AVAILABILITY'!P639+'RAP TEMPLATE-GAS AVAILABILITY'!Q639+'RAP TEMPLATE-GAS AVAILABILITY'!R639)</f>
        <v>40.600776978417265</v>
      </c>
    </row>
    <row r="641" spans="1:29" ht="15.75" x14ac:dyDescent="0.25">
      <c r="A641" s="32">
        <v>60418</v>
      </c>
      <c r="B641" s="14">
        <f>CHOOSE(CONTROL!$C$42, 41.6629, 41.6629) * CHOOSE(CONTROL!$C$21, $C$9, 100%, $E$9)</f>
        <v>41.6629</v>
      </c>
      <c r="C641" s="14">
        <f>CHOOSE(CONTROL!$C$42, 41.6709, 41.6709) * CHOOSE(CONTROL!$C$21, $C$9, 100%, $E$9)</f>
        <v>41.670900000000003</v>
      </c>
      <c r="D641" s="14">
        <f>CHOOSE(CONTROL!$C$42, 41.8915, 41.8915) * CHOOSE(CONTROL!$C$21, $C$9, 100%, $E$9)</f>
        <v>41.891500000000001</v>
      </c>
      <c r="E641" s="14">
        <f>CHOOSE(CONTROL!$C$42, 41.923, 41.923) * CHOOSE(CONTROL!$C$21, $C$9, 100%, $E$9)</f>
        <v>41.923000000000002</v>
      </c>
      <c r="F641" s="14">
        <f>CHOOSE(CONTROL!$C$42, 41.6892, 41.6892)*CHOOSE(CONTROL!$C$21, $C$9, 100%, $E$9)</f>
        <v>41.6892</v>
      </c>
      <c r="G641" s="14">
        <f>CHOOSE(CONTROL!$C$42, 41.7063, 41.7063)*CHOOSE(CONTROL!$C$21, $C$9, 100%, $E$9)</f>
        <v>41.706299999999999</v>
      </c>
      <c r="H641" s="14">
        <f>CHOOSE(CONTROL!$C$42, 41.9116, 41.9116) * CHOOSE(CONTROL!$C$21, $C$9, 100%, $E$9)</f>
        <v>41.9116</v>
      </c>
      <c r="I641" s="14">
        <f>CHOOSE(CONTROL!$C$42, 41.8213, 41.8213)* CHOOSE(CONTROL!$C$21, $C$9, 100%, $E$9)</f>
        <v>41.821300000000001</v>
      </c>
      <c r="J641" s="14">
        <f>CHOOSE(CONTROL!$C$42, 41.6822, 41.6822)* CHOOSE(CONTROL!$C$21, $C$9, 100%, $E$9)</f>
        <v>41.682200000000002</v>
      </c>
      <c r="K641" s="53">
        <f>CHOOSE(CONTROL!$C$42, 41.8174, 41.8174) * CHOOSE(CONTROL!$C$21, $C$9, 100%, $E$9)</f>
        <v>41.817399999999999</v>
      </c>
      <c r="L641" s="14">
        <f>CHOOSE(CONTROL!$C$42, 42.4986, 42.4986) * CHOOSE(CONTROL!$C$21, $C$9, 100%, $E$9)</f>
        <v>42.498600000000003</v>
      </c>
      <c r="M641" s="14">
        <f>CHOOSE(CONTROL!$C$42, 40.8358, 40.8358) * CHOOSE(CONTROL!$C$21, $C$9, 100%, $E$9)</f>
        <v>40.835799999999999</v>
      </c>
      <c r="N641" s="14">
        <f>CHOOSE(CONTROL!$C$42, 40.8526, 40.8526) * CHOOSE(CONTROL!$C$21, $C$9, 100%, $E$9)</f>
        <v>40.852600000000002</v>
      </c>
      <c r="O641" s="14">
        <f>CHOOSE(CONTROL!$C$42, 41.0606, 41.0606) * CHOOSE(CONTROL!$C$21, $C$9, 100%, $E$9)</f>
        <v>41.060600000000001</v>
      </c>
      <c r="P641" s="14">
        <f>CHOOSE(CONTROL!$C$42, 40.9695, 40.9695) * CHOOSE(CONTROL!$C$21, $C$9, 100%, $E$9)</f>
        <v>40.969499999999996</v>
      </c>
      <c r="Q641" s="14">
        <f>CHOOSE(CONTROL!$C$42, 41.6553, 41.6553) * CHOOSE(CONTROL!$C$21, $C$9, 100%, $E$9)</f>
        <v>41.655299999999997</v>
      </c>
      <c r="R641" s="14">
        <f>CHOOSE(CONTROL!$C$42, 42.3464, 42.3464) * CHOOSE(CONTROL!$C$21, $C$9, 100%, $E$9)</f>
        <v>42.346400000000003</v>
      </c>
      <c r="S641" s="14">
        <f>CHOOSE(CONTROL!$C$42, 40.0233, 40.0233) * CHOOSE(CONTROL!$C$21, $C$9, 100%, $E$9)</f>
        <v>40.023299999999999</v>
      </c>
      <c r="T64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41" s="57">
        <f>(1000*CHOOSE(CONTROL!$C$42, 695, 695)*CHOOSE(CONTROL!$C$42, 0.5599, 0.5599)*CHOOSE(CONTROL!$C$42, 31, 31))/1000000</f>
        <v>12.063045499999998</v>
      </c>
      <c r="V641" s="57">
        <f>(1000*CHOOSE(CONTROL!$C$42, 500, 500)*CHOOSE(CONTROL!$C$42, 0.275, 0.275)*CHOOSE(CONTROL!$C$42, 31, 31))/1000000</f>
        <v>4.2625000000000002</v>
      </c>
      <c r="W641" s="57">
        <f>(1000*CHOOSE(CONTROL!$C$42, 0.1146, 0.1146)*CHOOSE(CONTROL!$C$42, 121.5, 121.5)*CHOOSE(CONTROL!$C$42, 31, 31))/1000000</f>
        <v>0.43164089999999994</v>
      </c>
      <c r="X641" s="57">
        <f>(31*0.1790888*245000/1000000)+(31*0.2374*100000/1000000)</f>
        <v>2.0961194359999999</v>
      </c>
      <c r="Y641" s="57"/>
      <c r="Z641" s="14"/>
      <c r="AA641" s="56"/>
      <c r="AB641" s="50">
        <f>(B641*194.205+C641*267.466+D641*133.845+E641*53.484+F641*40+G641*185+H641*0+I641*100+J641*300)/(194.205+267.466+133.845+53.484+0+40+185+100+300)</f>
        <v>41.723621258555724</v>
      </c>
      <c r="AC641" s="45">
        <f>(M641*'RAP TEMPLATE-GAS AVAILABILITY'!O640+N641*'RAP TEMPLATE-GAS AVAILABILITY'!P640+O641*'RAP TEMPLATE-GAS AVAILABILITY'!Q640+P641*'RAP TEMPLATE-GAS AVAILABILITY'!R640)/('RAP TEMPLATE-GAS AVAILABILITY'!O640+'RAP TEMPLATE-GAS AVAILABILITY'!P640+'RAP TEMPLATE-GAS AVAILABILITY'!Q640+'RAP TEMPLATE-GAS AVAILABILITY'!R640)</f>
        <v>40.957892086330936</v>
      </c>
    </row>
    <row r="642" spans="1:29" ht="15.75" x14ac:dyDescent="0.25">
      <c r="A642" s="32">
        <v>60448</v>
      </c>
      <c r="B642" s="14">
        <f>CHOOSE(CONTROL!$C$42, 42.8444, 42.8444) * CHOOSE(CONTROL!$C$21, $C$9, 100%, $E$9)</f>
        <v>42.8444</v>
      </c>
      <c r="C642" s="14">
        <f>CHOOSE(CONTROL!$C$42, 42.8524, 42.8524) * CHOOSE(CONTROL!$C$21, $C$9, 100%, $E$9)</f>
        <v>42.852400000000003</v>
      </c>
      <c r="D642" s="14">
        <f>CHOOSE(CONTROL!$C$42, 43.073, 43.073) * CHOOSE(CONTROL!$C$21, $C$9, 100%, $E$9)</f>
        <v>43.073</v>
      </c>
      <c r="E642" s="14">
        <f>CHOOSE(CONTROL!$C$42, 43.1045, 43.1045) * CHOOSE(CONTROL!$C$21, $C$9, 100%, $E$9)</f>
        <v>43.104500000000002</v>
      </c>
      <c r="F642" s="14">
        <f>CHOOSE(CONTROL!$C$42, 42.871, 42.871)*CHOOSE(CONTROL!$C$21, $C$9, 100%, $E$9)</f>
        <v>42.871000000000002</v>
      </c>
      <c r="G642" s="14">
        <f>CHOOSE(CONTROL!$C$42, 42.8882, 42.8882)*CHOOSE(CONTROL!$C$21, $C$9, 100%, $E$9)</f>
        <v>42.888199999999998</v>
      </c>
      <c r="H642" s="14">
        <f>CHOOSE(CONTROL!$C$42, 43.0931, 43.0931) * CHOOSE(CONTROL!$C$21, $C$9, 100%, $E$9)</f>
        <v>43.0931</v>
      </c>
      <c r="I642" s="14">
        <f>CHOOSE(CONTROL!$C$42, 43.0065, 43.0065)* CHOOSE(CONTROL!$C$21, $C$9, 100%, $E$9)</f>
        <v>43.006500000000003</v>
      </c>
      <c r="J642" s="14">
        <f>CHOOSE(CONTROL!$C$42, 42.864, 42.864)* CHOOSE(CONTROL!$C$21, $C$9, 100%, $E$9)</f>
        <v>42.863999999999997</v>
      </c>
      <c r="K642" s="53">
        <f>CHOOSE(CONTROL!$C$42, 43.0026, 43.0026) * CHOOSE(CONTROL!$C$21, $C$9, 100%, $E$9)</f>
        <v>43.002600000000001</v>
      </c>
      <c r="L642" s="14">
        <f>CHOOSE(CONTROL!$C$42, 43.6801, 43.6801) * CHOOSE(CONTROL!$C$21, $C$9, 100%, $E$9)</f>
        <v>43.680100000000003</v>
      </c>
      <c r="M642" s="14">
        <f>CHOOSE(CONTROL!$C$42, 41.9934, 41.9934) * CHOOSE(CONTROL!$C$21, $C$9, 100%, $E$9)</f>
        <v>41.993400000000001</v>
      </c>
      <c r="N642" s="14">
        <f>CHOOSE(CONTROL!$C$42, 42.0103, 42.0103) * CHOOSE(CONTROL!$C$21, $C$9, 100%, $E$9)</f>
        <v>42.010300000000001</v>
      </c>
      <c r="O642" s="14">
        <f>CHOOSE(CONTROL!$C$42, 42.2178, 42.2178) * CHOOSE(CONTROL!$C$21, $C$9, 100%, $E$9)</f>
        <v>42.217799999999997</v>
      </c>
      <c r="P642" s="14">
        <f>CHOOSE(CONTROL!$C$42, 42.1304, 42.1304) * CHOOSE(CONTROL!$C$21, $C$9, 100%, $E$9)</f>
        <v>42.130400000000002</v>
      </c>
      <c r="Q642" s="14">
        <f>CHOOSE(CONTROL!$C$42, 42.8125, 42.8125) * CHOOSE(CONTROL!$C$21, $C$9, 100%, $E$9)</f>
        <v>42.8125</v>
      </c>
      <c r="R642" s="14">
        <f>CHOOSE(CONTROL!$C$42, 43.5066, 43.5066) * CHOOSE(CONTROL!$C$21, $C$9, 100%, $E$9)</f>
        <v>43.506599999999999</v>
      </c>
      <c r="S642" s="14">
        <f>CHOOSE(CONTROL!$C$42, 41.1585, 41.1585) * CHOOSE(CONTROL!$C$21, $C$9, 100%, $E$9)</f>
        <v>41.158499999999997</v>
      </c>
      <c r="T64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42" s="57">
        <f>(1000*CHOOSE(CONTROL!$C$42, 695, 695)*CHOOSE(CONTROL!$C$42, 0.5599, 0.5599)*CHOOSE(CONTROL!$C$42, 30, 30))/1000000</f>
        <v>11.673914999999997</v>
      </c>
      <c r="V642" s="57">
        <f>(1000*CHOOSE(CONTROL!$C$42, 500, 500)*CHOOSE(CONTROL!$C$42, 0.275, 0.275)*CHOOSE(CONTROL!$C$42, 30, 30))/1000000</f>
        <v>4.125</v>
      </c>
      <c r="W642" s="57">
        <f>(1000*CHOOSE(CONTROL!$C$42, 0.1146, 0.1146)*CHOOSE(CONTROL!$C$42, 121.5, 121.5)*CHOOSE(CONTROL!$C$42, 30, 30))/1000000</f>
        <v>0.417717</v>
      </c>
      <c r="X642" s="57">
        <f>(30*0.1790888*245000/1000000)+(30*0.2374*100000/1000000)</f>
        <v>2.0285026799999999</v>
      </c>
      <c r="Y642" s="57"/>
      <c r="Z642" s="14"/>
      <c r="AA642" s="56"/>
      <c r="AB642" s="50">
        <f>(B642*194.205+C642*267.466+D642*133.845+E642*53.484+F642*40+G642*185+H642*0+I642*100+J642*300)/(194.205+267.466+133.845+53.484+0+40+185+100+300)</f>
        <v>42.905549829984302</v>
      </c>
      <c r="AC642" s="45">
        <f>(M642*'RAP TEMPLATE-GAS AVAILABILITY'!O641+N642*'RAP TEMPLATE-GAS AVAILABILITY'!P641+O642*'RAP TEMPLATE-GAS AVAILABILITY'!Q641+P642*'RAP TEMPLATE-GAS AVAILABILITY'!R641)/('RAP TEMPLATE-GAS AVAILABILITY'!O641+'RAP TEMPLATE-GAS AVAILABILITY'!P641+'RAP TEMPLATE-GAS AVAILABILITY'!Q641+'RAP TEMPLATE-GAS AVAILABILITY'!R641)</f>
        <v>42.115791366906471</v>
      </c>
    </row>
    <row r="643" spans="1:29" ht="15.75" x14ac:dyDescent="0.25">
      <c r="A643" s="32">
        <v>60479</v>
      </c>
      <c r="B643" s="14">
        <f>CHOOSE(CONTROL!$C$42, 42.0227, 42.0227) * CHOOSE(CONTROL!$C$21, $C$9, 100%, $E$9)</f>
        <v>42.0227</v>
      </c>
      <c r="C643" s="14">
        <f>CHOOSE(CONTROL!$C$42, 42.0307, 42.0307) * CHOOSE(CONTROL!$C$21, $C$9, 100%, $E$9)</f>
        <v>42.030700000000003</v>
      </c>
      <c r="D643" s="14">
        <f>CHOOSE(CONTROL!$C$42, 42.2513, 42.2513) * CHOOSE(CONTROL!$C$21, $C$9, 100%, $E$9)</f>
        <v>42.251300000000001</v>
      </c>
      <c r="E643" s="14">
        <f>CHOOSE(CONTROL!$C$42, 42.2827, 42.2827) * CHOOSE(CONTROL!$C$21, $C$9, 100%, $E$9)</f>
        <v>42.282699999999998</v>
      </c>
      <c r="F643" s="14">
        <f>CHOOSE(CONTROL!$C$42, 42.0497, 42.0497)*CHOOSE(CONTROL!$C$21, $C$9, 100%, $E$9)</f>
        <v>42.049700000000001</v>
      </c>
      <c r="G643" s="14">
        <f>CHOOSE(CONTROL!$C$42, 42.0671, 42.0671)*CHOOSE(CONTROL!$C$21, $C$9, 100%, $E$9)</f>
        <v>42.067100000000003</v>
      </c>
      <c r="H643" s="14">
        <f>CHOOSE(CONTROL!$C$42, 42.2714, 42.2714) * CHOOSE(CONTROL!$C$21, $C$9, 100%, $E$9)</f>
        <v>42.2714</v>
      </c>
      <c r="I643" s="14">
        <f>CHOOSE(CONTROL!$C$42, 42.1822, 42.1822)* CHOOSE(CONTROL!$C$21, $C$9, 100%, $E$9)</f>
        <v>42.182200000000002</v>
      </c>
      <c r="J643" s="14">
        <f>CHOOSE(CONTROL!$C$42, 42.0427, 42.0427)* CHOOSE(CONTROL!$C$21, $C$9, 100%, $E$9)</f>
        <v>42.042700000000004</v>
      </c>
      <c r="K643" s="53">
        <f>CHOOSE(CONTROL!$C$42, 42.1783, 42.1783) * CHOOSE(CONTROL!$C$21, $C$9, 100%, $E$9)</f>
        <v>42.1783</v>
      </c>
      <c r="L643" s="14">
        <f>CHOOSE(CONTROL!$C$42, 42.8584, 42.8584) * CHOOSE(CONTROL!$C$21, $C$9, 100%, $E$9)</f>
        <v>42.858400000000003</v>
      </c>
      <c r="M643" s="14">
        <f>CHOOSE(CONTROL!$C$42, 41.189, 41.189) * CHOOSE(CONTROL!$C$21, $C$9, 100%, $E$9)</f>
        <v>41.189</v>
      </c>
      <c r="N643" s="14">
        <f>CHOOSE(CONTROL!$C$42, 41.206, 41.206) * CHOOSE(CONTROL!$C$21, $C$9, 100%, $E$9)</f>
        <v>41.206000000000003</v>
      </c>
      <c r="O643" s="14">
        <f>CHOOSE(CONTROL!$C$42, 41.413, 41.413) * CHOOSE(CONTROL!$C$21, $C$9, 100%, $E$9)</f>
        <v>41.412999999999997</v>
      </c>
      <c r="P643" s="14">
        <f>CHOOSE(CONTROL!$C$42, 41.323, 41.323) * CHOOSE(CONTROL!$C$21, $C$9, 100%, $E$9)</f>
        <v>41.323</v>
      </c>
      <c r="Q643" s="14">
        <f>CHOOSE(CONTROL!$C$42, 42.0077, 42.0077) * CHOOSE(CONTROL!$C$21, $C$9, 100%, $E$9)</f>
        <v>42.0077</v>
      </c>
      <c r="R643" s="14">
        <f>CHOOSE(CONTROL!$C$42, 42.6997, 42.6997) * CHOOSE(CONTROL!$C$21, $C$9, 100%, $E$9)</f>
        <v>42.6997</v>
      </c>
      <c r="S643" s="14">
        <f>CHOOSE(CONTROL!$C$42, 40.3689, 40.3689) * CHOOSE(CONTROL!$C$21, $C$9, 100%, $E$9)</f>
        <v>40.368899999999996</v>
      </c>
      <c r="T64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43" s="57">
        <f>(1000*CHOOSE(CONTROL!$C$42, 695, 695)*CHOOSE(CONTROL!$C$42, 0.5599, 0.5599)*CHOOSE(CONTROL!$C$42, 31, 31))/1000000</f>
        <v>12.063045499999998</v>
      </c>
      <c r="V643" s="57">
        <f>(1000*CHOOSE(CONTROL!$C$42, 500, 500)*CHOOSE(CONTROL!$C$42, 0.275, 0.275)*CHOOSE(CONTROL!$C$42, 31, 31))/1000000</f>
        <v>4.2625000000000002</v>
      </c>
      <c r="W643" s="57">
        <f>(1000*CHOOSE(CONTROL!$C$42, 0.1146, 0.1146)*CHOOSE(CONTROL!$C$42, 121.5, 121.5)*CHOOSE(CONTROL!$C$42, 31, 31))/1000000</f>
        <v>0.43164089999999994</v>
      </c>
      <c r="X643" s="57">
        <f>(31*0.1790888*245000/1000000)+(31*0.2374*100000/1000000)</f>
        <v>2.0961194359999999</v>
      </c>
      <c r="Y643" s="57"/>
      <c r="Z643" s="14"/>
      <c r="AA643" s="56"/>
      <c r="AB643" s="50">
        <f>(B643*194.205+C643*267.466+D643*133.845+E643*53.484+F643*40+G643*185+H643*0+I643*100+J643*300)/(194.205+267.466+133.845+53.484+0+40+185+100+300)</f>
        <v>42.083835427786497</v>
      </c>
      <c r="AC643" s="45">
        <f>(M643*'RAP TEMPLATE-GAS AVAILABILITY'!O642+N643*'RAP TEMPLATE-GAS AVAILABILITY'!P642+O643*'RAP TEMPLATE-GAS AVAILABILITY'!Q642+P643*'RAP TEMPLATE-GAS AVAILABILITY'!R642)/('RAP TEMPLATE-GAS AVAILABILITY'!O642+'RAP TEMPLATE-GAS AVAILABILITY'!P642+'RAP TEMPLATE-GAS AVAILABILITY'!Q642+'RAP TEMPLATE-GAS AVAILABILITY'!R642)</f>
        <v>41.310784172661869</v>
      </c>
    </row>
    <row r="644" spans="1:29" ht="15.75" x14ac:dyDescent="0.25">
      <c r="A644" s="32">
        <v>60510</v>
      </c>
      <c r="B644" s="14">
        <f>CHOOSE(CONTROL!$C$42, 39.9475, 39.9475) * CHOOSE(CONTROL!$C$21, $C$9, 100%, $E$9)</f>
        <v>39.947499999999998</v>
      </c>
      <c r="C644" s="14">
        <f>CHOOSE(CONTROL!$C$42, 39.9556, 39.9556) * CHOOSE(CONTROL!$C$21, $C$9, 100%, $E$9)</f>
        <v>39.955599999999997</v>
      </c>
      <c r="D644" s="14">
        <f>CHOOSE(CONTROL!$C$42, 40.1761, 40.1761) * CHOOSE(CONTROL!$C$21, $C$9, 100%, $E$9)</f>
        <v>40.176099999999998</v>
      </c>
      <c r="E644" s="14">
        <f>CHOOSE(CONTROL!$C$42, 40.2076, 40.2076) * CHOOSE(CONTROL!$C$21, $C$9, 100%, $E$9)</f>
        <v>40.207599999999999</v>
      </c>
      <c r="F644" s="14">
        <f>CHOOSE(CONTROL!$C$42, 39.9749, 39.9749)*CHOOSE(CONTROL!$C$21, $C$9, 100%, $E$9)</f>
        <v>39.974899999999998</v>
      </c>
      <c r="G644" s="14">
        <f>CHOOSE(CONTROL!$C$42, 39.9923, 39.9923)*CHOOSE(CONTROL!$C$21, $C$9, 100%, $E$9)</f>
        <v>39.9923</v>
      </c>
      <c r="H644" s="14">
        <f>CHOOSE(CONTROL!$C$42, 40.1962, 40.1962) * CHOOSE(CONTROL!$C$21, $C$9, 100%, $E$9)</f>
        <v>40.196199999999997</v>
      </c>
      <c r="I644" s="14">
        <f>CHOOSE(CONTROL!$C$42, 40.1005, 40.1005)* CHOOSE(CONTROL!$C$21, $C$9, 100%, $E$9)</f>
        <v>40.100499999999997</v>
      </c>
      <c r="J644" s="14">
        <f>CHOOSE(CONTROL!$C$42, 39.9679, 39.9679)* CHOOSE(CONTROL!$C$21, $C$9, 100%, $E$9)</f>
        <v>39.9679</v>
      </c>
      <c r="K644" s="53">
        <f>CHOOSE(CONTROL!$C$42, 40.0966, 40.0966) * CHOOSE(CONTROL!$C$21, $C$9, 100%, $E$9)</f>
        <v>40.096600000000002</v>
      </c>
      <c r="L644" s="14">
        <f>CHOOSE(CONTROL!$C$42, 40.7832, 40.7832) * CHOOSE(CONTROL!$C$21, $C$9, 100%, $E$9)</f>
        <v>40.783200000000001</v>
      </c>
      <c r="M644" s="14">
        <f>CHOOSE(CONTROL!$C$42, 39.1567, 39.1567) * CHOOSE(CONTROL!$C$21, $C$9, 100%, $E$9)</f>
        <v>39.156700000000001</v>
      </c>
      <c r="N644" s="14">
        <f>CHOOSE(CONTROL!$C$42, 39.1737, 39.1737) * CHOOSE(CONTROL!$C$21, $C$9, 100%, $E$9)</f>
        <v>39.173699999999997</v>
      </c>
      <c r="O644" s="14">
        <f>CHOOSE(CONTROL!$C$42, 39.3803, 39.3803) * CHOOSE(CONTROL!$C$21, $C$9, 100%, $E$9)</f>
        <v>39.380299999999998</v>
      </c>
      <c r="P644" s="14">
        <f>CHOOSE(CONTROL!$C$42, 39.2841, 39.2841) * CHOOSE(CONTROL!$C$21, $C$9, 100%, $E$9)</f>
        <v>39.284100000000002</v>
      </c>
      <c r="Q644" s="14">
        <f>CHOOSE(CONTROL!$C$42, 39.975, 39.975) * CHOOSE(CONTROL!$C$21, $C$9, 100%, $E$9)</f>
        <v>39.975000000000001</v>
      </c>
      <c r="R644" s="14">
        <f>CHOOSE(CONTROL!$C$42, 40.662, 40.662) * CHOOSE(CONTROL!$C$21, $C$9, 100%, $E$9)</f>
        <v>40.661999999999999</v>
      </c>
      <c r="S644" s="14">
        <f>CHOOSE(CONTROL!$C$42, 38.3749, 38.3749) * CHOOSE(CONTROL!$C$21, $C$9, 100%, $E$9)</f>
        <v>38.374899999999997</v>
      </c>
      <c r="T64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44" s="57">
        <f>(1000*CHOOSE(CONTROL!$C$42, 695, 695)*CHOOSE(CONTROL!$C$42, 0.5599, 0.5599)*CHOOSE(CONTROL!$C$42, 31, 31))/1000000</f>
        <v>12.063045499999998</v>
      </c>
      <c r="V644" s="57">
        <f>(1000*CHOOSE(CONTROL!$C$42, 500, 500)*CHOOSE(CONTROL!$C$42, 0.275, 0.275)*CHOOSE(CONTROL!$C$42, 31, 31))/1000000</f>
        <v>4.2625000000000002</v>
      </c>
      <c r="W644" s="57">
        <f>(1000*CHOOSE(CONTROL!$C$42, 0.1146, 0.1146)*CHOOSE(CONTROL!$C$42, 121.5, 121.5)*CHOOSE(CONTROL!$C$42, 31, 31))/1000000</f>
        <v>0.43164089999999994</v>
      </c>
      <c r="X644" s="57">
        <f>(31*0.1790888*245000/1000000)+(31*0.2374*100000/1000000)</f>
        <v>2.0961194359999999</v>
      </c>
      <c r="Y644" s="57"/>
      <c r="Z644" s="14"/>
      <c r="AA644" s="56"/>
      <c r="AB644" s="50">
        <f>(B644*194.205+C644*267.466+D644*133.845+E644*53.484+F644*40+G644*185+H644*0+I644*100+J644*300)/(194.205+267.466+133.845+53.484+0+40+185+100+300)</f>
        <v>40.008315251177393</v>
      </c>
      <c r="AC644" s="45">
        <f>(M644*'RAP TEMPLATE-GAS AVAILABILITY'!O643+N644*'RAP TEMPLATE-GAS AVAILABILITY'!P643+O644*'RAP TEMPLATE-GAS AVAILABILITY'!Q643+P644*'RAP TEMPLATE-GAS AVAILABILITY'!R643)/('RAP TEMPLATE-GAS AVAILABILITY'!O643+'RAP TEMPLATE-GAS AVAILABILITY'!P643+'RAP TEMPLATE-GAS AVAILABILITY'!Q643+'RAP TEMPLATE-GAS AVAILABILITY'!R643)</f>
        <v>39.277353237410075</v>
      </c>
    </row>
    <row r="645" spans="1:29" ht="15.75" x14ac:dyDescent="0.25">
      <c r="A645" s="32">
        <v>60540</v>
      </c>
      <c r="B645" s="14">
        <f>CHOOSE(CONTROL!$C$42, 37.4119, 37.4119) * CHOOSE(CONTROL!$C$21, $C$9, 100%, $E$9)</f>
        <v>37.411900000000003</v>
      </c>
      <c r="C645" s="14">
        <f>CHOOSE(CONTROL!$C$42, 37.4199, 37.4199) * CHOOSE(CONTROL!$C$21, $C$9, 100%, $E$9)</f>
        <v>37.419899999999998</v>
      </c>
      <c r="D645" s="14">
        <f>CHOOSE(CONTROL!$C$42, 37.6405, 37.6405) * CHOOSE(CONTROL!$C$21, $C$9, 100%, $E$9)</f>
        <v>37.640500000000003</v>
      </c>
      <c r="E645" s="14">
        <f>CHOOSE(CONTROL!$C$42, 37.672, 37.672) * CHOOSE(CONTROL!$C$21, $C$9, 100%, $E$9)</f>
        <v>37.671999999999997</v>
      </c>
      <c r="F645" s="14">
        <f>CHOOSE(CONTROL!$C$42, 37.4392, 37.4392)*CHOOSE(CONTROL!$C$21, $C$9, 100%, $E$9)</f>
        <v>37.4392</v>
      </c>
      <c r="G645" s="14">
        <f>CHOOSE(CONTROL!$C$42, 37.4566, 37.4566)*CHOOSE(CONTROL!$C$21, $C$9, 100%, $E$9)</f>
        <v>37.456600000000002</v>
      </c>
      <c r="H645" s="14">
        <f>CHOOSE(CONTROL!$C$42, 37.6606, 37.6606) * CHOOSE(CONTROL!$C$21, $C$9, 100%, $E$9)</f>
        <v>37.660600000000002</v>
      </c>
      <c r="I645" s="14">
        <f>CHOOSE(CONTROL!$C$42, 37.5569, 37.5569)* CHOOSE(CONTROL!$C$21, $C$9, 100%, $E$9)</f>
        <v>37.556899999999999</v>
      </c>
      <c r="J645" s="14">
        <f>CHOOSE(CONTROL!$C$42, 37.4322, 37.4322)* CHOOSE(CONTROL!$C$21, $C$9, 100%, $E$9)</f>
        <v>37.432200000000002</v>
      </c>
      <c r="K645" s="53">
        <f>CHOOSE(CONTROL!$C$42, 37.553, 37.553) * CHOOSE(CONTROL!$C$21, $C$9, 100%, $E$9)</f>
        <v>37.552999999999997</v>
      </c>
      <c r="L645" s="14">
        <f>CHOOSE(CONTROL!$C$42, 38.2476, 38.2476) * CHOOSE(CONTROL!$C$21, $C$9, 100%, $E$9)</f>
        <v>38.247599999999998</v>
      </c>
      <c r="M645" s="14">
        <f>CHOOSE(CONTROL!$C$42, 36.673, 36.673) * CHOOSE(CONTROL!$C$21, $C$9, 100%, $E$9)</f>
        <v>36.673000000000002</v>
      </c>
      <c r="N645" s="14">
        <f>CHOOSE(CONTROL!$C$42, 36.69, 36.69) * CHOOSE(CONTROL!$C$21, $C$9, 100%, $E$9)</f>
        <v>36.69</v>
      </c>
      <c r="O645" s="14">
        <f>CHOOSE(CONTROL!$C$42, 36.8966, 36.8966) * CHOOSE(CONTROL!$C$21, $C$9, 100%, $E$9)</f>
        <v>36.896599999999999</v>
      </c>
      <c r="P645" s="14">
        <f>CHOOSE(CONTROL!$C$42, 36.7928, 36.7928) * CHOOSE(CONTROL!$C$21, $C$9, 100%, $E$9)</f>
        <v>36.7928</v>
      </c>
      <c r="Q645" s="14">
        <f>CHOOSE(CONTROL!$C$42, 37.4913, 37.4913) * CHOOSE(CONTROL!$C$21, $C$9, 100%, $E$9)</f>
        <v>37.491300000000003</v>
      </c>
      <c r="R645" s="14">
        <f>CHOOSE(CONTROL!$C$42, 38.1721, 38.1721) * CHOOSE(CONTROL!$C$21, $C$9, 100%, $E$9)</f>
        <v>38.1721</v>
      </c>
      <c r="S645" s="14">
        <f>CHOOSE(CONTROL!$C$42, 35.9384, 35.9384) * CHOOSE(CONTROL!$C$21, $C$9, 100%, $E$9)</f>
        <v>35.938400000000001</v>
      </c>
      <c r="T64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45" s="57">
        <f>(1000*CHOOSE(CONTROL!$C$42, 695, 695)*CHOOSE(CONTROL!$C$42, 0.5599, 0.5599)*CHOOSE(CONTROL!$C$42, 30, 30))/1000000</f>
        <v>11.673914999999997</v>
      </c>
      <c r="V645" s="57">
        <f>(1000*CHOOSE(CONTROL!$C$42, 500, 500)*CHOOSE(CONTROL!$C$42, 0.275, 0.275)*CHOOSE(CONTROL!$C$42, 30, 30))/1000000</f>
        <v>4.125</v>
      </c>
      <c r="W645" s="57">
        <f>(1000*CHOOSE(CONTROL!$C$42, 0.1146, 0.1146)*CHOOSE(CONTROL!$C$42, 121.5, 121.5)*CHOOSE(CONTROL!$C$42, 30, 30))/1000000</f>
        <v>0.417717</v>
      </c>
      <c r="X645" s="57">
        <f>(30*0.1790888*245000/1000000)+(30*0.2374*100000/1000000)</f>
        <v>2.0285026799999999</v>
      </c>
      <c r="Y645" s="57"/>
      <c r="Z645" s="14"/>
      <c r="AA645" s="56"/>
      <c r="AB645" s="50">
        <f>(B645*194.205+C645*267.466+D645*133.845+E645*53.484+F645*40+G645*185+H645*0+I645*100+J645*300)/(194.205+267.466+133.845+53.484+0+40+185+100+300)</f>
        <v>37.47202510470958</v>
      </c>
      <c r="AC645" s="45">
        <f>(M645*'RAP TEMPLATE-GAS AVAILABILITY'!O644+N645*'RAP TEMPLATE-GAS AVAILABILITY'!P644+O645*'RAP TEMPLATE-GAS AVAILABILITY'!Q644+P645*'RAP TEMPLATE-GAS AVAILABILITY'!R644)/('RAP TEMPLATE-GAS AVAILABILITY'!O644+'RAP TEMPLATE-GAS AVAILABILITY'!P644+'RAP TEMPLATE-GAS AVAILABILITY'!Q644+'RAP TEMPLATE-GAS AVAILABILITY'!R644)</f>
        <v>36.792559712230215</v>
      </c>
    </row>
    <row r="646" spans="1:29" ht="15.75" x14ac:dyDescent="0.25">
      <c r="A646" s="32">
        <v>60571</v>
      </c>
      <c r="B646" s="14">
        <f>CHOOSE(CONTROL!$C$42, 36.6507, 36.6507) * CHOOSE(CONTROL!$C$21, $C$9, 100%, $E$9)</f>
        <v>36.650700000000001</v>
      </c>
      <c r="C646" s="14">
        <f>CHOOSE(CONTROL!$C$42, 36.6561, 36.6561) * CHOOSE(CONTROL!$C$21, $C$9, 100%, $E$9)</f>
        <v>36.656100000000002</v>
      </c>
      <c r="D646" s="14">
        <f>CHOOSE(CONTROL!$C$42, 36.8816, 36.8816) * CHOOSE(CONTROL!$C$21, $C$9, 100%, $E$9)</f>
        <v>36.881599999999999</v>
      </c>
      <c r="E646" s="14">
        <f>CHOOSE(CONTROL!$C$42, 36.9107, 36.9107) * CHOOSE(CONTROL!$C$21, $C$9, 100%, $E$9)</f>
        <v>36.910699999999999</v>
      </c>
      <c r="F646" s="14">
        <f>CHOOSE(CONTROL!$C$42, 36.6801, 36.6801)*CHOOSE(CONTROL!$C$21, $C$9, 100%, $E$9)</f>
        <v>36.680100000000003</v>
      </c>
      <c r="G646" s="14">
        <f>CHOOSE(CONTROL!$C$42, 36.6973, 36.6973)*CHOOSE(CONTROL!$C$21, $C$9, 100%, $E$9)</f>
        <v>36.697299999999998</v>
      </c>
      <c r="H646" s="14">
        <f>CHOOSE(CONTROL!$C$42, 36.9012, 36.9012) * CHOOSE(CONTROL!$C$21, $C$9, 100%, $E$9)</f>
        <v>36.901200000000003</v>
      </c>
      <c r="I646" s="14">
        <f>CHOOSE(CONTROL!$C$42, 36.7952, 36.7952)* CHOOSE(CONTROL!$C$21, $C$9, 100%, $E$9)</f>
        <v>36.795200000000001</v>
      </c>
      <c r="J646" s="14">
        <f>CHOOSE(CONTROL!$C$42, 36.6731, 36.6731)* CHOOSE(CONTROL!$C$21, $C$9, 100%, $E$9)</f>
        <v>36.673099999999998</v>
      </c>
      <c r="K646" s="53">
        <f>CHOOSE(CONTROL!$C$42, 36.7913, 36.7913) * CHOOSE(CONTROL!$C$21, $C$9, 100%, $E$9)</f>
        <v>36.7913</v>
      </c>
      <c r="L646" s="14">
        <f>CHOOSE(CONTROL!$C$42, 37.4882, 37.4882) * CHOOSE(CONTROL!$C$21, $C$9, 100%, $E$9)</f>
        <v>37.488199999999999</v>
      </c>
      <c r="M646" s="14">
        <f>CHOOSE(CONTROL!$C$42, 35.9294, 35.9294) * CHOOSE(CONTROL!$C$21, $C$9, 100%, $E$9)</f>
        <v>35.929400000000001</v>
      </c>
      <c r="N646" s="14">
        <f>CHOOSE(CONTROL!$C$42, 35.9463, 35.9463) * CHOOSE(CONTROL!$C$21, $C$9, 100%, $E$9)</f>
        <v>35.946300000000001</v>
      </c>
      <c r="O646" s="14">
        <f>CHOOSE(CONTROL!$C$42, 36.1528, 36.1528) * CHOOSE(CONTROL!$C$21, $C$9, 100%, $E$9)</f>
        <v>36.152799999999999</v>
      </c>
      <c r="P646" s="14">
        <f>CHOOSE(CONTROL!$C$42, 36.0467, 36.0467) * CHOOSE(CONTROL!$C$21, $C$9, 100%, $E$9)</f>
        <v>36.046700000000001</v>
      </c>
      <c r="Q646" s="14">
        <f>CHOOSE(CONTROL!$C$42, 36.7475, 36.7475) * CHOOSE(CONTROL!$C$21, $C$9, 100%, $E$9)</f>
        <v>36.747500000000002</v>
      </c>
      <c r="R646" s="14">
        <f>CHOOSE(CONTROL!$C$42, 37.4264, 37.4264) * CHOOSE(CONTROL!$C$21, $C$9, 100%, $E$9)</f>
        <v>37.426400000000001</v>
      </c>
      <c r="S646" s="14">
        <f>CHOOSE(CONTROL!$C$42, 35.2088, 35.2088) * CHOOSE(CONTROL!$C$21, $C$9, 100%, $E$9)</f>
        <v>35.208799999999997</v>
      </c>
      <c r="T6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46" s="57">
        <f>(1000*CHOOSE(CONTROL!$C$42, 695, 695)*CHOOSE(CONTROL!$C$42, 0.5599, 0.5599)*CHOOSE(CONTROL!$C$42, 31, 31))/1000000</f>
        <v>12.063045499999998</v>
      </c>
      <c r="V646" s="57">
        <f>(1000*CHOOSE(CONTROL!$C$42, 500, 500)*CHOOSE(CONTROL!$C$42, 0.275, 0.275)*CHOOSE(CONTROL!$C$42, 31, 31))/1000000</f>
        <v>4.2625000000000002</v>
      </c>
      <c r="W646" s="57">
        <f>(1000*CHOOSE(CONTROL!$C$42, 0.1146, 0.1146)*CHOOSE(CONTROL!$C$42, 121.5, 121.5)*CHOOSE(CONTROL!$C$42, 31, 31))/1000000</f>
        <v>0.43164089999999994</v>
      </c>
      <c r="X646" s="57">
        <f>(31*0.1790888*245000/1000000)+(31*0.2374*100000/1000000)</f>
        <v>2.0961194359999999</v>
      </c>
      <c r="Y646" s="57"/>
      <c r="Z646" s="14"/>
      <c r="AA646" s="56"/>
      <c r="AB646" s="50">
        <f>(B646*131.881+C646*277.167+D646*79.08+E646*125.872+F646*40+G646*185+H646*0+I646*100+J646*300)/(131.881+277.167+79.08+125.872+0+40+185+100+300)</f>
        <v>36.718052698789343</v>
      </c>
      <c r="AC646" s="45">
        <f>(M646*'RAP TEMPLATE-GAS AVAILABILITY'!O645+N646*'RAP TEMPLATE-GAS AVAILABILITY'!P645+O646*'RAP TEMPLATE-GAS AVAILABILITY'!Q645+P646*'RAP TEMPLATE-GAS AVAILABILITY'!R645)/('RAP TEMPLATE-GAS AVAILABILITY'!O645+'RAP TEMPLATE-GAS AVAILABILITY'!P645+'RAP TEMPLATE-GAS AVAILABILITY'!Q645+'RAP TEMPLATE-GAS AVAILABILITY'!R645)</f>
        <v>36.048503597122298</v>
      </c>
    </row>
    <row r="647" spans="1:29" ht="15.75" x14ac:dyDescent="0.25">
      <c r="A647" s="32">
        <v>60601</v>
      </c>
      <c r="B647" s="14">
        <f>CHOOSE(CONTROL!$C$42, 37.6156, 37.6156) * CHOOSE(CONTROL!$C$21, $C$9, 100%, $E$9)</f>
        <v>37.615600000000001</v>
      </c>
      <c r="C647" s="14">
        <f>CHOOSE(CONTROL!$C$42, 37.6207, 37.6207) * CHOOSE(CONTROL!$C$21, $C$9, 100%, $E$9)</f>
        <v>37.620699999999999</v>
      </c>
      <c r="D647" s="14">
        <f>CHOOSE(CONTROL!$C$42, 37.6949, 37.6949) * CHOOSE(CONTROL!$C$21, $C$9, 100%, $E$9)</f>
        <v>37.694899999999997</v>
      </c>
      <c r="E647" s="14">
        <f>CHOOSE(CONTROL!$C$42, 37.729, 37.729) * CHOOSE(CONTROL!$C$21, $C$9, 100%, $E$9)</f>
        <v>37.728999999999999</v>
      </c>
      <c r="F647" s="14">
        <f>CHOOSE(CONTROL!$C$42, 37.6517, 37.6517)*CHOOSE(CONTROL!$C$21, $C$9, 100%, $E$9)</f>
        <v>37.651699999999998</v>
      </c>
      <c r="G647" s="14">
        <f>CHOOSE(CONTROL!$C$42, 37.6692, 37.6692)*CHOOSE(CONTROL!$C$21, $C$9, 100%, $E$9)</f>
        <v>37.669199999999996</v>
      </c>
      <c r="H647" s="14">
        <f>CHOOSE(CONTROL!$C$42, 37.7182, 37.7182) * CHOOSE(CONTROL!$C$21, $C$9, 100%, $E$9)</f>
        <v>37.718200000000003</v>
      </c>
      <c r="I647" s="14">
        <f>CHOOSE(CONTROL!$C$42, 37.7609, 37.7609)* CHOOSE(CONTROL!$C$21, $C$9, 100%, $E$9)</f>
        <v>37.760899999999999</v>
      </c>
      <c r="J647" s="14">
        <f>CHOOSE(CONTROL!$C$42, 37.6447, 37.6447)* CHOOSE(CONTROL!$C$21, $C$9, 100%, $E$9)</f>
        <v>37.6447</v>
      </c>
      <c r="K647" s="53">
        <f>CHOOSE(CONTROL!$C$42, 37.757, 37.757) * CHOOSE(CONTROL!$C$21, $C$9, 100%, $E$9)</f>
        <v>37.756999999999998</v>
      </c>
      <c r="L647" s="14">
        <f>CHOOSE(CONTROL!$C$42, 38.3052, 38.3052) * CHOOSE(CONTROL!$C$21, $C$9, 100%, $E$9)</f>
        <v>38.305199999999999</v>
      </c>
      <c r="M647" s="14">
        <f>CHOOSE(CONTROL!$C$42, 36.8811, 36.8811) * CHOOSE(CONTROL!$C$21, $C$9, 100%, $E$9)</f>
        <v>36.881100000000004</v>
      </c>
      <c r="N647" s="14">
        <f>CHOOSE(CONTROL!$C$42, 36.8982, 36.8982) * CHOOSE(CONTROL!$C$21, $C$9, 100%, $E$9)</f>
        <v>36.898200000000003</v>
      </c>
      <c r="O647" s="14">
        <f>CHOOSE(CONTROL!$C$42, 36.9531, 36.9531) * CHOOSE(CONTROL!$C$21, $C$9, 100%, $E$9)</f>
        <v>36.953099999999999</v>
      </c>
      <c r="P647" s="14">
        <f>CHOOSE(CONTROL!$C$42, 36.9926, 36.9926) * CHOOSE(CONTROL!$C$21, $C$9, 100%, $E$9)</f>
        <v>36.992600000000003</v>
      </c>
      <c r="Q647" s="14">
        <f>CHOOSE(CONTROL!$C$42, 37.5478, 37.5478) * CHOOSE(CONTROL!$C$21, $C$9, 100%, $E$9)</f>
        <v>37.547800000000002</v>
      </c>
      <c r="R647" s="14">
        <f>CHOOSE(CONTROL!$C$42, 38.2286, 38.2286) * CHOOSE(CONTROL!$C$21, $C$9, 100%, $E$9)</f>
        <v>38.2286</v>
      </c>
      <c r="S647" s="14">
        <f>CHOOSE(CONTROL!$C$42, 36.1363, 36.1363) * CHOOSE(CONTROL!$C$21, $C$9, 100%, $E$9)</f>
        <v>36.136299999999999</v>
      </c>
      <c r="T6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47" s="57">
        <f>(1000*CHOOSE(CONTROL!$C$42, 695, 695)*CHOOSE(CONTROL!$C$42, 0.5599, 0.5599)*CHOOSE(CONTROL!$C$42, 30, 30))/1000000</f>
        <v>11.673914999999997</v>
      </c>
      <c r="V647" s="57">
        <f>(1000*CHOOSE(CONTROL!$C$42, 500, 500)*CHOOSE(CONTROL!$C$42, 0.275, 0.275)*CHOOSE(CONTROL!$C$42, 30, 30))/1000000</f>
        <v>4.125</v>
      </c>
      <c r="W647" s="57">
        <f>(1000*CHOOSE(CONTROL!$C$42, 0.1146, 0.1146)*CHOOSE(CONTROL!$C$42, 121.5, 121.5)*CHOOSE(CONTROL!$C$42, 30, 30))/1000000</f>
        <v>0.417717</v>
      </c>
      <c r="X647" s="57">
        <f>(30*0.1790888*100000/1000000)+(30*0.2374*100000/1000000)</f>
        <v>1.2494664</v>
      </c>
      <c r="Y647" s="57"/>
      <c r="Z647" s="14"/>
      <c r="AA647" s="56"/>
      <c r="AB647" s="50">
        <f>(B647*122.58+C647*297.941+D647*89.177+E647*40.302+F647*40+G647*160+H647*0+I647*100+J647*300)/(122.58+297.941+89.177+40.302+0+40+160+100+300)</f>
        <v>37.655983897391302</v>
      </c>
      <c r="AC647" s="45">
        <f>(M647*'RAP TEMPLATE-GAS AVAILABILITY'!O646+N647*'RAP TEMPLATE-GAS AVAILABILITY'!P646+O647*'RAP TEMPLATE-GAS AVAILABILITY'!Q646+P647*'RAP TEMPLATE-GAS AVAILABILITY'!R646)/('RAP TEMPLATE-GAS AVAILABILITY'!O646+'RAP TEMPLATE-GAS AVAILABILITY'!P646+'RAP TEMPLATE-GAS AVAILABILITY'!Q646+'RAP TEMPLATE-GAS AVAILABILITY'!R646)</f>
        <v>36.930760431654676</v>
      </c>
    </row>
    <row r="648" spans="1:29" ht="15.75" x14ac:dyDescent="0.25">
      <c r="A648" s="32">
        <v>60632</v>
      </c>
      <c r="B648" s="14">
        <f>CHOOSE(CONTROL!$C$42, 40.1796, 40.1796) * CHOOSE(CONTROL!$C$21, $C$9, 100%, $E$9)</f>
        <v>40.179600000000001</v>
      </c>
      <c r="C648" s="14">
        <f>CHOOSE(CONTROL!$C$42, 40.1846, 40.1846) * CHOOSE(CONTROL!$C$21, $C$9, 100%, $E$9)</f>
        <v>40.184600000000003</v>
      </c>
      <c r="D648" s="14">
        <f>CHOOSE(CONTROL!$C$42, 40.2589, 40.2589) * CHOOSE(CONTROL!$C$21, $C$9, 100%, $E$9)</f>
        <v>40.258899999999997</v>
      </c>
      <c r="E648" s="14">
        <f>CHOOSE(CONTROL!$C$42, 40.293, 40.293) * CHOOSE(CONTROL!$C$21, $C$9, 100%, $E$9)</f>
        <v>40.292999999999999</v>
      </c>
      <c r="F648" s="14">
        <f>CHOOSE(CONTROL!$C$42, 40.218, 40.218)*CHOOSE(CONTROL!$C$21, $C$9, 100%, $E$9)</f>
        <v>40.218000000000004</v>
      </c>
      <c r="G648" s="14">
        <f>CHOOSE(CONTROL!$C$42, 40.2361, 40.2361)*CHOOSE(CONTROL!$C$21, $C$9, 100%, $E$9)</f>
        <v>40.2361</v>
      </c>
      <c r="H648" s="14">
        <f>CHOOSE(CONTROL!$C$42, 40.2822, 40.2822) * CHOOSE(CONTROL!$C$21, $C$9, 100%, $E$9)</f>
        <v>40.282200000000003</v>
      </c>
      <c r="I648" s="14">
        <f>CHOOSE(CONTROL!$C$42, 40.3329, 40.3329)* CHOOSE(CONTROL!$C$21, $C$9, 100%, $E$9)</f>
        <v>40.332900000000002</v>
      </c>
      <c r="J648" s="14">
        <f>CHOOSE(CONTROL!$C$42, 40.211, 40.211)* CHOOSE(CONTROL!$C$21, $C$9, 100%, $E$9)</f>
        <v>40.210999999999999</v>
      </c>
      <c r="K648" s="53">
        <f>CHOOSE(CONTROL!$C$42, 40.329, 40.329) * CHOOSE(CONTROL!$C$21, $C$9, 100%, $E$9)</f>
        <v>40.329000000000001</v>
      </c>
      <c r="L648" s="14">
        <f>CHOOSE(CONTROL!$C$42, 40.8692, 40.8692) * CHOOSE(CONTROL!$C$21, $C$9, 100%, $E$9)</f>
        <v>40.869199999999999</v>
      </c>
      <c r="M648" s="14">
        <f>CHOOSE(CONTROL!$C$42, 39.3948, 39.3948) * CHOOSE(CONTROL!$C$21, $C$9, 100%, $E$9)</f>
        <v>39.394799999999996</v>
      </c>
      <c r="N648" s="14">
        <f>CHOOSE(CONTROL!$C$42, 39.4126, 39.4126) * CHOOSE(CONTROL!$C$21, $C$9, 100%, $E$9)</f>
        <v>39.412599999999998</v>
      </c>
      <c r="O648" s="14">
        <f>CHOOSE(CONTROL!$C$42, 39.4645, 39.4645) * CHOOSE(CONTROL!$C$21, $C$9, 100%, $E$9)</f>
        <v>39.464500000000001</v>
      </c>
      <c r="P648" s="14">
        <f>CHOOSE(CONTROL!$C$42, 39.5117, 39.5117) * CHOOSE(CONTROL!$C$21, $C$9, 100%, $E$9)</f>
        <v>39.511699999999998</v>
      </c>
      <c r="Q648" s="14">
        <f>CHOOSE(CONTROL!$C$42, 40.0592, 40.0592) * CHOOSE(CONTROL!$C$21, $C$9, 100%, $E$9)</f>
        <v>40.059199999999997</v>
      </c>
      <c r="R648" s="14">
        <f>CHOOSE(CONTROL!$C$42, 40.7464, 40.7464) * CHOOSE(CONTROL!$C$21, $C$9, 100%, $E$9)</f>
        <v>40.746400000000001</v>
      </c>
      <c r="S648" s="14">
        <f>CHOOSE(CONTROL!$C$42, 38.6, 38.6) * CHOOSE(CONTROL!$C$21, $C$9, 100%, $E$9)</f>
        <v>38.6</v>
      </c>
      <c r="T6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48" s="57">
        <f>(1000*CHOOSE(CONTROL!$C$42, 695, 695)*CHOOSE(CONTROL!$C$42, 0.5599, 0.5599)*CHOOSE(CONTROL!$C$42, 31, 31))/1000000</f>
        <v>12.063045499999998</v>
      </c>
      <c r="V648" s="57">
        <f>(1000*CHOOSE(CONTROL!$C$42, 500, 500)*CHOOSE(CONTROL!$C$42, 0.275, 0.275)*CHOOSE(CONTROL!$C$42, 31, 31))/1000000</f>
        <v>4.2625000000000002</v>
      </c>
      <c r="W648" s="57">
        <f>(1000*CHOOSE(CONTROL!$C$42, 0.1146, 0.1146)*CHOOSE(CONTROL!$C$42, 121.5, 121.5)*CHOOSE(CONTROL!$C$42, 31, 31))/1000000</f>
        <v>0.43164089999999994</v>
      </c>
      <c r="X648" s="57">
        <f>(31*0.1790888*100000/1000000)+(31*0.2374*100000/1000000)</f>
        <v>1.2911152800000001</v>
      </c>
      <c r="Y648" s="57"/>
      <c r="Z648" s="14"/>
      <c r="AA648" s="56"/>
      <c r="AB648" s="50">
        <f>(B648*122.58+C648*297.941+D648*89.177+E648*40.302+F648*40+G648*160+H648*0+I648*100+J648*300)/(122.58+297.941+89.177+40.302+0+40+160+100+300)</f>
        <v>40.221737119913044</v>
      </c>
      <c r="AC648" s="45">
        <f>(M648*'RAP TEMPLATE-GAS AVAILABILITY'!O647+N648*'RAP TEMPLATE-GAS AVAILABILITY'!P647+O648*'RAP TEMPLATE-GAS AVAILABILITY'!Q647+P648*'RAP TEMPLATE-GAS AVAILABILITY'!R647)/('RAP TEMPLATE-GAS AVAILABILITY'!O647+'RAP TEMPLATE-GAS AVAILABILITY'!P647+'RAP TEMPLATE-GAS AVAILABILITY'!Q647+'RAP TEMPLATE-GAS AVAILABILITY'!R647)</f>
        <v>39.44423525179856</v>
      </c>
    </row>
    <row r="649" spans="1:29" ht="15.75" x14ac:dyDescent="0.25">
      <c r="A649" s="32">
        <v>60663</v>
      </c>
      <c r="B649" s="14">
        <f>CHOOSE(CONTROL!$C$42, 43.5097, 43.5097) * CHOOSE(CONTROL!$C$21, $C$9, 100%, $E$9)</f>
        <v>43.509700000000002</v>
      </c>
      <c r="C649" s="14">
        <f>CHOOSE(CONTROL!$C$42, 43.5148, 43.5148) * CHOOSE(CONTROL!$C$21, $C$9, 100%, $E$9)</f>
        <v>43.514800000000001</v>
      </c>
      <c r="D649" s="14">
        <f>CHOOSE(CONTROL!$C$42, 43.5916, 43.5916) * CHOOSE(CONTROL!$C$21, $C$9, 100%, $E$9)</f>
        <v>43.5916</v>
      </c>
      <c r="E649" s="14">
        <f>CHOOSE(CONTROL!$C$42, 43.6257, 43.6257) * CHOOSE(CONTROL!$C$21, $C$9, 100%, $E$9)</f>
        <v>43.625700000000002</v>
      </c>
      <c r="F649" s="14">
        <f>CHOOSE(CONTROL!$C$42, 43.5344, 43.5344)*CHOOSE(CONTROL!$C$21, $C$9, 100%, $E$9)</f>
        <v>43.534399999999998</v>
      </c>
      <c r="G649" s="14">
        <f>CHOOSE(CONTROL!$C$42, 43.5524, 43.5524)*CHOOSE(CONTROL!$C$21, $C$9, 100%, $E$9)</f>
        <v>43.552399999999999</v>
      </c>
      <c r="H649" s="14">
        <f>CHOOSE(CONTROL!$C$42, 43.6149, 43.6149) * CHOOSE(CONTROL!$C$21, $C$9, 100%, $E$9)</f>
        <v>43.614899999999999</v>
      </c>
      <c r="I649" s="14">
        <f>CHOOSE(CONTROL!$C$42, 43.6797, 43.6797)* CHOOSE(CONTROL!$C$21, $C$9, 100%, $E$9)</f>
        <v>43.679699999999997</v>
      </c>
      <c r="J649" s="14">
        <f>CHOOSE(CONTROL!$C$42, 43.5274, 43.5274)* CHOOSE(CONTROL!$C$21, $C$9, 100%, $E$9)</f>
        <v>43.5274</v>
      </c>
      <c r="K649" s="53">
        <f>CHOOSE(CONTROL!$C$42, 43.6758, 43.6758) * CHOOSE(CONTROL!$C$21, $C$9, 100%, $E$9)</f>
        <v>43.675800000000002</v>
      </c>
      <c r="L649" s="14">
        <f>CHOOSE(CONTROL!$C$42, 44.2019, 44.2019) * CHOOSE(CONTROL!$C$21, $C$9, 100%, $E$9)</f>
        <v>44.201900000000002</v>
      </c>
      <c r="M649" s="14">
        <f>CHOOSE(CONTROL!$C$42, 42.6433, 42.6433) * CHOOSE(CONTROL!$C$21, $C$9, 100%, $E$9)</f>
        <v>42.643300000000004</v>
      </c>
      <c r="N649" s="14">
        <f>CHOOSE(CONTROL!$C$42, 42.6609, 42.6609) * CHOOSE(CONTROL!$C$21, $C$9, 100%, $E$9)</f>
        <v>42.660899999999998</v>
      </c>
      <c r="O649" s="14">
        <f>CHOOSE(CONTROL!$C$42, 42.7289, 42.7289) * CHOOSE(CONTROL!$C$21, $C$9, 100%, $E$9)</f>
        <v>42.728900000000003</v>
      </c>
      <c r="P649" s="14">
        <f>CHOOSE(CONTROL!$C$42, 42.7898, 42.7898) * CHOOSE(CONTROL!$C$21, $C$9, 100%, $E$9)</f>
        <v>42.7898</v>
      </c>
      <c r="Q649" s="14">
        <f>CHOOSE(CONTROL!$C$42, 43.3236, 43.3236) * CHOOSE(CONTROL!$C$21, $C$9, 100%, $E$9)</f>
        <v>43.323599999999999</v>
      </c>
      <c r="R649" s="14">
        <f>CHOOSE(CONTROL!$C$42, 44.019, 44.019) * CHOOSE(CONTROL!$C$21, $C$9, 100%, $E$9)</f>
        <v>44.018999999999998</v>
      </c>
      <c r="S649" s="14">
        <f>CHOOSE(CONTROL!$C$42, 41.7999, 41.7999) * CHOOSE(CONTROL!$C$21, $C$9, 100%, $E$9)</f>
        <v>41.799900000000001</v>
      </c>
      <c r="T6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49" s="57">
        <f>(1000*CHOOSE(CONTROL!$C$42, 695, 695)*CHOOSE(CONTROL!$C$42, 0.5599, 0.5599)*CHOOSE(CONTROL!$C$42, 31, 31))/1000000</f>
        <v>12.063045499999998</v>
      </c>
      <c r="V649" s="57">
        <f>(1000*CHOOSE(CONTROL!$C$42, 500, 500)*CHOOSE(CONTROL!$C$42, 0.275, 0.275)*CHOOSE(CONTROL!$C$42, 31, 31))/1000000</f>
        <v>4.2625000000000002</v>
      </c>
      <c r="W649" s="57">
        <f>(1000*CHOOSE(CONTROL!$C$42, 0.1146, 0.1146)*CHOOSE(CONTROL!$C$42, 121.5, 121.5)*CHOOSE(CONTROL!$C$42, 31, 31))/1000000</f>
        <v>0.43164089999999994</v>
      </c>
      <c r="X649" s="57">
        <f>(31*0.1790888*100000/1000000)+(31*0.2374*100000/1000000)</f>
        <v>1.2911152800000001</v>
      </c>
      <c r="Y649" s="57"/>
      <c r="Z649" s="14"/>
      <c r="AA649" s="56"/>
      <c r="AB649" s="50">
        <f>(B649*122.58+C649*297.941+D649*89.177+E649*40.302+F649*40+G649*160+H649*0+I649*100+J649*300)/(122.58+297.941+89.177+40.302+0+40+160+100+300)</f>
        <v>43.547637502086964</v>
      </c>
      <c r="AC649" s="45">
        <f>(M649*'RAP TEMPLATE-GAS AVAILABILITY'!O648+N649*'RAP TEMPLATE-GAS AVAILABILITY'!P648+O649*'RAP TEMPLATE-GAS AVAILABILITY'!Q648+P649*'RAP TEMPLATE-GAS AVAILABILITY'!R648)/('RAP TEMPLATE-GAS AVAILABILITY'!O648+'RAP TEMPLATE-GAS AVAILABILITY'!P648+'RAP TEMPLATE-GAS AVAILABILITY'!Q648+'RAP TEMPLATE-GAS AVAILABILITY'!R648)</f>
        <v>42.704189208633096</v>
      </c>
    </row>
    <row r="650" spans="1:29" ht="15.75" x14ac:dyDescent="0.25">
      <c r="A650" s="32">
        <v>60691</v>
      </c>
      <c r="B650" s="14">
        <f>CHOOSE(CONTROL!$C$42, 44.2841, 44.2841) * CHOOSE(CONTROL!$C$21, $C$9, 100%, $E$9)</f>
        <v>44.284100000000002</v>
      </c>
      <c r="C650" s="14">
        <f>CHOOSE(CONTROL!$C$42, 44.2891, 44.2891) * CHOOSE(CONTROL!$C$21, $C$9, 100%, $E$9)</f>
        <v>44.289099999999998</v>
      </c>
      <c r="D650" s="14">
        <f>CHOOSE(CONTROL!$C$42, 44.366, 44.366) * CHOOSE(CONTROL!$C$21, $C$9, 100%, $E$9)</f>
        <v>44.366</v>
      </c>
      <c r="E650" s="14">
        <f>CHOOSE(CONTROL!$C$42, 44.4001, 44.4001) * CHOOSE(CONTROL!$C$21, $C$9, 100%, $E$9)</f>
        <v>44.400100000000002</v>
      </c>
      <c r="F650" s="14">
        <f>CHOOSE(CONTROL!$C$42, 44.3084, 44.3084)*CHOOSE(CONTROL!$C$21, $C$9, 100%, $E$9)</f>
        <v>44.308399999999999</v>
      </c>
      <c r="G650" s="14">
        <f>CHOOSE(CONTROL!$C$42, 44.3263, 44.3263)*CHOOSE(CONTROL!$C$21, $C$9, 100%, $E$9)</f>
        <v>44.326300000000003</v>
      </c>
      <c r="H650" s="14">
        <f>CHOOSE(CONTROL!$C$42, 44.3893, 44.3893) * CHOOSE(CONTROL!$C$21, $C$9, 100%, $E$9)</f>
        <v>44.389299999999999</v>
      </c>
      <c r="I650" s="14">
        <f>CHOOSE(CONTROL!$C$42, 44.4565, 44.4565)* CHOOSE(CONTROL!$C$21, $C$9, 100%, $E$9)</f>
        <v>44.456499999999998</v>
      </c>
      <c r="J650" s="14">
        <f>CHOOSE(CONTROL!$C$42, 44.3014, 44.3014)* CHOOSE(CONTROL!$C$21, $C$9, 100%, $E$9)</f>
        <v>44.301400000000001</v>
      </c>
      <c r="K650" s="53">
        <f>CHOOSE(CONTROL!$C$42, 44.4526, 44.4526) * CHOOSE(CONTROL!$C$21, $C$9, 100%, $E$9)</f>
        <v>44.452599999999997</v>
      </c>
      <c r="L650" s="14">
        <f>CHOOSE(CONTROL!$C$42, 44.9763, 44.9763) * CHOOSE(CONTROL!$C$21, $C$9, 100%, $E$9)</f>
        <v>44.976300000000002</v>
      </c>
      <c r="M650" s="14">
        <f>CHOOSE(CONTROL!$C$42, 43.4014, 43.4014) * CHOOSE(CONTROL!$C$21, $C$9, 100%, $E$9)</f>
        <v>43.401400000000002</v>
      </c>
      <c r="N650" s="14">
        <f>CHOOSE(CONTROL!$C$42, 43.4189, 43.4189) * CHOOSE(CONTROL!$C$21, $C$9, 100%, $E$9)</f>
        <v>43.418900000000001</v>
      </c>
      <c r="O650" s="14">
        <f>CHOOSE(CONTROL!$C$42, 43.4874, 43.4874) * CHOOSE(CONTROL!$C$21, $C$9, 100%, $E$9)</f>
        <v>43.487400000000001</v>
      </c>
      <c r="P650" s="14">
        <f>CHOOSE(CONTROL!$C$42, 43.5506, 43.5506) * CHOOSE(CONTROL!$C$21, $C$9, 100%, $E$9)</f>
        <v>43.550600000000003</v>
      </c>
      <c r="Q650" s="14">
        <f>CHOOSE(CONTROL!$C$42, 44.0821, 44.0821) * CHOOSE(CONTROL!$C$21, $C$9, 100%, $E$9)</f>
        <v>44.082099999999997</v>
      </c>
      <c r="R650" s="14">
        <f>CHOOSE(CONTROL!$C$42, 44.7793, 44.7793) * CHOOSE(CONTROL!$C$21, $C$9, 100%, $E$9)</f>
        <v>44.779299999999999</v>
      </c>
      <c r="S650" s="14">
        <f>CHOOSE(CONTROL!$C$42, 42.544, 42.544) * CHOOSE(CONTROL!$C$21, $C$9, 100%, $E$9)</f>
        <v>42.543999999999997</v>
      </c>
      <c r="T65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50" s="57">
        <f>(1000*CHOOSE(CONTROL!$C$42, 695, 695)*CHOOSE(CONTROL!$C$42, 0.5599, 0.5599)*CHOOSE(CONTROL!$C$42, 28, 28))/1000000</f>
        <v>10.895653999999999</v>
      </c>
      <c r="V650" s="57">
        <f>(1000*CHOOSE(CONTROL!$C$42, 500, 500)*CHOOSE(CONTROL!$C$42, 0.275, 0.275)*CHOOSE(CONTROL!$C$42, 28, 28))/1000000</f>
        <v>3.85</v>
      </c>
      <c r="W650" s="57">
        <f>(1000*CHOOSE(CONTROL!$C$42, 0.1146, 0.1146)*CHOOSE(CONTROL!$C$42, 121.5, 121.5)*CHOOSE(CONTROL!$C$42, 28, 28))/1000000</f>
        <v>0.38986920000000003</v>
      </c>
      <c r="X650" s="57">
        <f>(28*0.1790888*100000/1000000)+(28*0.2374*100000/1000000)</f>
        <v>1.16616864</v>
      </c>
      <c r="Y650" s="57"/>
      <c r="Z650" s="14"/>
      <c r="AA650" s="56"/>
      <c r="AB650" s="50">
        <f>(B650*122.58+C650*297.941+D650*89.177+E650*40.302+F650*40+G650*160+H650*0+I650*100+J650*300)/(122.58+297.941+89.177+40.302+0+40+160+100+300)</f>
        <v>44.322032463739127</v>
      </c>
      <c r="AC650" s="45">
        <f>(M650*'RAP TEMPLATE-GAS AVAILABILITY'!O649+N650*'RAP TEMPLATE-GAS AVAILABILITY'!P649+O650*'RAP TEMPLATE-GAS AVAILABILITY'!Q649+P650*'RAP TEMPLATE-GAS AVAILABILITY'!R649)/('RAP TEMPLATE-GAS AVAILABILITY'!O649+'RAP TEMPLATE-GAS AVAILABILITY'!P649+'RAP TEMPLATE-GAS AVAILABILITY'!Q649+'RAP TEMPLATE-GAS AVAILABILITY'!R649)</f>
        <v>43.462853237410073</v>
      </c>
    </row>
    <row r="651" spans="1:29" ht="15.75" x14ac:dyDescent="0.25">
      <c r="A651" s="32">
        <v>60722</v>
      </c>
      <c r="B651" s="14">
        <f>CHOOSE(CONTROL!$C$42, 43.0271, 43.0271) * CHOOSE(CONTROL!$C$21, $C$9, 100%, $E$9)</f>
        <v>43.027099999999997</v>
      </c>
      <c r="C651" s="14">
        <f>CHOOSE(CONTROL!$C$42, 43.0321, 43.0321) * CHOOSE(CONTROL!$C$21, $C$9, 100%, $E$9)</f>
        <v>43.0321</v>
      </c>
      <c r="D651" s="14">
        <f>CHOOSE(CONTROL!$C$42, 43.109, 43.109) * CHOOSE(CONTROL!$C$21, $C$9, 100%, $E$9)</f>
        <v>43.109000000000002</v>
      </c>
      <c r="E651" s="14">
        <f>CHOOSE(CONTROL!$C$42, 43.1431, 43.1431) * CHOOSE(CONTROL!$C$21, $C$9, 100%, $E$9)</f>
        <v>43.143099999999997</v>
      </c>
      <c r="F651" s="14">
        <f>CHOOSE(CONTROL!$C$42, 43.0506, 43.0506)*CHOOSE(CONTROL!$C$21, $C$9, 100%, $E$9)</f>
        <v>43.050600000000003</v>
      </c>
      <c r="G651" s="14">
        <f>CHOOSE(CONTROL!$C$42, 43.0682, 43.0682)*CHOOSE(CONTROL!$C$21, $C$9, 100%, $E$9)</f>
        <v>43.068199999999997</v>
      </c>
      <c r="H651" s="14">
        <f>CHOOSE(CONTROL!$C$42, 43.1323, 43.1323) * CHOOSE(CONTROL!$C$21, $C$9, 100%, $E$9)</f>
        <v>43.132300000000001</v>
      </c>
      <c r="I651" s="14">
        <f>CHOOSE(CONTROL!$C$42, 43.1956, 43.1956)* CHOOSE(CONTROL!$C$21, $C$9, 100%, $E$9)</f>
        <v>43.195599999999999</v>
      </c>
      <c r="J651" s="14">
        <f>CHOOSE(CONTROL!$C$42, 43.0436, 43.0436)* CHOOSE(CONTROL!$C$21, $C$9, 100%, $E$9)</f>
        <v>43.043599999999998</v>
      </c>
      <c r="K651" s="53">
        <f>CHOOSE(CONTROL!$C$42, 43.1917, 43.1917) * CHOOSE(CONTROL!$C$21, $C$9, 100%, $E$9)</f>
        <v>43.191699999999997</v>
      </c>
      <c r="L651" s="14">
        <f>CHOOSE(CONTROL!$C$42, 43.7193, 43.7193) * CHOOSE(CONTROL!$C$21, $C$9, 100%, $E$9)</f>
        <v>43.719299999999997</v>
      </c>
      <c r="M651" s="14">
        <f>CHOOSE(CONTROL!$C$42, 42.1693, 42.1693) * CHOOSE(CONTROL!$C$21, $C$9, 100%, $E$9)</f>
        <v>42.1693</v>
      </c>
      <c r="N651" s="14">
        <f>CHOOSE(CONTROL!$C$42, 42.1866, 42.1866) * CHOOSE(CONTROL!$C$21, $C$9, 100%, $E$9)</f>
        <v>42.186599999999999</v>
      </c>
      <c r="O651" s="14">
        <f>CHOOSE(CONTROL!$C$42, 42.2562, 42.2562) * CHOOSE(CONTROL!$C$21, $C$9, 100%, $E$9)</f>
        <v>42.2562</v>
      </c>
      <c r="P651" s="14">
        <f>CHOOSE(CONTROL!$C$42, 42.3156, 42.3156) * CHOOSE(CONTROL!$C$21, $C$9, 100%, $E$9)</f>
        <v>42.315600000000003</v>
      </c>
      <c r="Q651" s="14">
        <f>CHOOSE(CONTROL!$C$42, 42.8509, 42.8509) * CHOOSE(CONTROL!$C$21, $C$9, 100%, $E$9)</f>
        <v>42.850900000000003</v>
      </c>
      <c r="R651" s="14">
        <f>CHOOSE(CONTROL!$C$42, 43.545, 43.545) * CHOOSE(CONTROL!$C$21, $C$9, 100%, $E$9)</f>
        <v>43.545000000000002</v>
      </c>
      <c r="S651" s="14">
        <f>CHOOSE(CONTROL!$C$42, 41.3362, 41.3362) * CHOOSE(CONTROL!$C$21, $C$9, 100%, $E$9)</f>
        <v>41.336199999999998</v>
      </c>
      <c r="T6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51" s="57">
        <f>(1000*CHOOSE(CONTROL!$C$42, 695, 695)*CHOOSE(CONTROL!$C$42, 0.5599, 0.5599)*CHOOSE(CONTROL!$C$42, 31, 31))/1000000</f>
        <v>12.063045499999998</v>
      </c>
      <c r="V651" s="57">
        <f>(1000*CHOOSE(CONTROL!$C$42, 500, 500)*CHOOSE(CONTROL!$C$42, 0.275, 0.275)*CHOOSE(CONTROL!$C$42, 31, 31))/1000000</f>
        <v>4.2625000000000002</v>
      </c>
      <c r="W651" s="57">
        <f>(1000*CHOOSE(CONTROL!$C$42, 0.1146, 0.1146)*CHOOSE(CONTROL!$C$42, 121.5, 121.5)*CHOOSE(CONTROL!$C$42, 31, 31))/1000000</f>
        <v>0.43164089999999994</v>
      </c>
      <c r="X651" s="57">
        <f>(31*0.1790888*100000/1000000)+(31*0.2374*100000/1000000)</f>
        <v>1.2911152800000001</v>
      </c>
      <c r="Y651" s="57"/>
      <c r="Z651" s="14"/>
      <c r="AA651" s="56"/>
      <c r="AB651" s="50">
        <f>(B651*122.58+C651*297.941+D651*89.177+E651*40.302+F651*40+G651*160+H651*0+I651*100+J651*300)/(122.58+297.941+89.177+40.302+0+40+160+100+300)</f>
        <v>43.064303768086958</v>
      </c>
      <c r="AC651" s="45">
        <f>(M651*'RAP TEMPLATE-GAS AVAILABILITY'!O650+N651*'RAP TEMPLATE-GAS AVAILABILITY'!P650+O651*'RAP TEMPLATE-GAS AVAILABILITY'!Q650+P651*'RAP TEMPLATE-GAS AVAILABILITY'!R650)/('RAP TEMPLATE-GAS AVAILABILITY'!O650+'RAP TEMPLATE-GAS AVAILABILITY'!P650+'RAP TEMPLATE-GAS AVAILABILITY'!Q650+'RAP TEMPLATE-GAS AVAILABILITY'!R650)</f>
        <v>42.230732374100718</v>
      </c>
    </row>
    <row r="652" spans="1:29" ht="15.75" x14ac:dyDescent="0.25">
      <c r="A652" s="32">
        <v>60752</v>
      </c>
      <c r="B652" s="14">
        <f>CHOOSE(CONTROL!$C$42, 42.8993, 42.8993) * CHOOSE(CONTROL!$C$21, $C$9, 100%, $E$9)</f>
        <v>42.899299999999997</v>
      </c>
      <c r="C652" s="14">
        <f>CHOOSE(CONTROL!$C$42, 42.9038, 42.9038) * CHOOSE(CONTROL!$C$21, $C$9, 100%, $E$9)</f>
        <v>42.903799999999997</v>
      </c>
      <c r="D652" s="14">
        <f>CHOOSE(CONTROL!$C$42, 43.1275, 43.1275) * CHOOSE(CONTROL!$C$21, $C$9, 100%, $E$9)</f>
        <v>43.127499999999998</v>
      </c>
      <c r="E652" s="14">
        <f>CHOOSE(CONTROL!$C$42, 43.1596, 43.1596) * CHOOSE(CONTROL!$C$21, $C$9, 100%, $E$9)</f>
        <v>43.159599999999998</v>
      </c>
      <c r="F652" s="14">
        <f>CHOOSE(CONTROL!$C$42, 42.927, 42.927)*CHOOSE(CONTROL!$C$21, $C$9, 100%, $E$9)</f>
        <v>42.927</v>
      </c>
      <c r="G652" s="14">
        <f>CHOOSE(CONTROL!$C$42, 42.9439, 42.9439)*CHOOSE(CONTROL!$C$21, $C$9, 100%, $E$9)</f>
        <v>42.943899999999999</v>
      </c>
      <c r="H652" s="14">
        <f>CHOOSE(CONTROL!$C$42, 43.1494, 43.1494) * CHOOSE(CONTROL!$C$21, $C$9, 100%, $E$9)</f>
        <v>43.1494</v>
      </c>
      <c r="I652" s="14">
        <f>CHOOSE(CONTROL!$C$42, 43.0629, 43.0629)* CHOOSE(CONTROL!$C$21, $C$9, 100%, $E$9)</f>
        <v>43.062899999999999</v>
      </c>
      <c r="J652" s="14">
        <f>CHOOSE(CONTROL!$C$42, 42.92, 42.92)* CHOOSE(CONTROL!$C$21, $C$9, 100%, $E$9)</f>
        <v>42.92</v>
      </c>
      <c r="K652" s="53">
        <f>CHOOSE(CONTROL!$C$42, 43.059, 43.059) * CHOOSE(CONTROL!$C$21, $C$9, 100%, $E$9)</f>
        <v>43.058999999999997</v>
      </c>
      <c r="L652" s="14">
        <f>CHOOSE(CONTROL!$C$42, 43.7364, 43.7364) * CHOOSE(CONTROL!$C$21, $C$9, 100%, $E$9)</f>
        <v>43.736400000000003</v>
      </c>
      <c r="M652" s="14">
        <f>CHOOSE(CONTROL!$C$42, 42.0483, 42.0483) * CHOOSE(CONTROL!$C$21, $C$9, 100%, $E$9)</f>
        <v>42.048299999999998</v>
      </c>
      <c r="N652" s="14">
        <f>CHOOSE(CONTROL!$C$42, 42.0648, 42.0648) * CHOOSE(CONTROL!$C$21, $C$9, 100%, $E$9)</f>
        <v>42.064799999999998</v>
      </c>
      <c r="O652" s="14">
        <f>CHOOSE(CONTROL!$C$42, 42.273, 42.273) * CHOOSE(CONTROL!$C$21, $C$9, 100%, $E$9)</f>
        <v>42.273000000000003</v>
      </c>
      <c r="P652" s="14">
        <f>CHOOSE(CONTROL!$C$42, 42.1857, 42.1857) * CHOOSE(CONTROL!$C$21, $C$9, 100%, $E$9)</f>
        <v>42.185699999999997</v>
      </c>
      <c r="Q652" s="14">
        <f>CHOOSE(CONTROL!$C$42, 42.8677, 42.8677) * CHOOSE(CONTROL!$C$21, $C$9, 100%, $E$9)</f>
        <v>42.867699999999999</v>
      </c>
      <c r="R652" s="14">
        <f>CHOOSE(CONTROL!$C$42, 43.5619, 43.5619) * CHOOSE(CONTROL!$C$21, $C$9, 100%, $E$9)</f>
        <v>43.561900000000001</v>
      </c>
      <c r="S652" s="14">
        <f>CHOOSE(CONTROL!$C$42, 41.2126, 41.2126) * CHOOSE(CONTROL!$C$21, $C$9, 100%, $E$9)</f>
        <v>41.212600000000002</v>
      </c>
      <c r="T6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52" s="57">
        <f>(1000*CHOOSE(CONTROL!$C$42, 695, 695)*CHOOSE(CONTROL!$C$42, 0.5599, 0.5599)*CHOOSE(CONTROL!$C$42, 30, 30))/1000000</f>
        <v>11.673914999999997</v>
      </c>
      <c r="V652" s="57">
        <f>(1000*CHOOSE(CONTROL!$C$42, 500, 500)*CHOOSE(CONTROL!$C$42, 0.275, 0.275)*CHOOSE(CONTROL!$C$42, 30, 30))/1000000</f>
        <v>4.125</v>
      </c>
      <c r="W652" s="57">
        <f>(1000*CHOOSE(CONTROL!$C$42, 0.1146, 0.1146)*CHOOSE(CONTROL!$C$42, 121.5, 121.5)*CHOOSE(CONTROL!$C$42, 30, 30))/1000000</f>
        <v>0.417717</v>
      </c>
      <c r="X652" s="57">
        <f>(30*0.1790888*245000/1000000)+(30*0.2374*100000/1000000)</f>
        <v>2.0285026799999999</v>
      </c>
      <c r="Y652" s="57"/>
      <c r="Z652" s="14"/>
      <c r="AA652" s="56"/>
      <c r="AB652" s="50">
        <f>(B652*141.293+C652*267.993+D652*115.016+E652*89.698+F652*40+G652*185+H652*0+I652*100+J652*300)/(141.293+267.993+115.016+89.698+0+40+185+100+300)</f>
        <v>42.966071597336565</v>
      </c>
      <c r="AC652" s="45">
        <f>(M652*'RAP TEMPLATE-GAS AVAILABILITY'!O651+N652*'RAP TEMPLATE-GAS AVAILABILITY'!P651+O652*'RAP TEMPLATE-GAS AVAILABILITY'!Q651+P652*'RAP TEMPLATE-GAS AVAILABILITY'!R651)/('RAP TEMPLATE-GAS AVAILABILITY'!O651+'RAP TEMPLATE-GAS AVAILABILITY'!P651+'RAP TEMPLATE-GAS AVAILABILITY'!Q651+'RAP TEMPLATE-GAS AVAILABILITY'!R651)</f>
        <v>42.1708618705036</v>
      </c>
    </row>
    <row r="653" spans="1:29" ht="15.75" x14ac:dyDescent="0.25">
      <c r="A653" s="32">
        <v>60783</v>
      </c>
      <c r="B653" s="14">
        <f>CHOOSE(CONTROL!$C$42, 43.2792, 43.2792) * CHOOSE(CONTROL!$C$21, $C$9, 100%, $E$9)</f>
        <v>43.279200000000003</v>
      </c>
      <c r="C653" s="14">
        <f>CHOOSE(CONTROL!$C$42, 43.2873, 43.2873) * CHOOSE(CONTROL!$C$21, $C$9, 100%, $E$9)</f>
        <v>43.287300000000002</v>
      </c>
      <c r="D653" s="14">
        <f>CHOOSE(CONTROL!$C$42, 43.5078, 43.5078) * CHOOSE(CONTROL!$C$21, $C$9, 100%, $E$9)</f>
        <v>43.507800000000003</v>
      </c>
      <c r="E653" s="14">
        <f>CHOOSE(CONTROL!$C$42, 43.5393, 43.5393) * CHOOSE(CONTROL!$C$21, $C$9, 100%, $E$9)</f>
        <v>43.539299999999997</v>
      </c>
      <c r="F653" s="14">
        <f>CHOOSE(CONTROL!$C$42, 43.3055, 43.3055)*CHOOSE(CONTROL!$C$21, $C$9, 100%, $E$9)</f>
        <v>43.305500000000002</v>
      </c>
      <c r="G653" s="14">
        <f>CHOOSE(CONTROL!$C$42, 43.3226, 43.3226)*CHOOSE(CONTROL!$C$21, $C$9, 100%, $E$9)</f>
        <v>43.322600000000001</v>
      </c>
      <c r="H653" s="14">
        <f>CHOOSE(CONTROL!$C$42, 43.5279, 43.5279) * CHOOSE(CONTROL!$C$21, $C$9, 100%, $E$9)</f>
        <v>43.527900000000002</v>
      </c>
      <c r="I653" s="14">
        <f>CHOOSE(CONTROL!$C$42, 43.4427, 43.4427)* CHOOSE(CONTROL!$C$21, $C$9, 100%, $E$9)</f>
        <v>43.442700000000002</v>
      </c>
      <c r="J653" s="14">
        <f>CHOOSE(CONTROL!$C$42, 43.2985, 43.2985)* CHOOSE(CONTROL!$C$21, $C$9, 100%, $E$9)</f>
        <v>43.298499999999997</v>
      </c>
      <c r="K653" s="53">
        <f>CHOOSE(CONTROL!$C$42, 43.4388, 43.4388) * CHOOSE(CONTROL!$C$21, $C$9, 100%, $E$9)</f>
        <v>43.438800000000001</v>
      </c>
      <c r="L653" s="14">
        <f>CHOOSE(CONTROL!$C$42, 44.1149, 44.1149) * CHOOSE(CONTROL!$C$21, $C$9, 100%, $E$9)</f>
        <v>44.114899999999999</v>
      </c>
      <c r="M653" s="14">
        <f>CHOOSE(CONTROL!$C$42, 42.419, 42.419) * CHOOSE(CONTROL!$C$21, $C$9, 100%, $E$9)</f>
        <v>42.418999999999997</v>
      </c>
      <c r="N653" s="14">
        <f>CHOOSE(CONTROL!$C$42, 42.4358, 42.4358) * CHOOSE(CONTROL!$C$21, $C$9, 100%, $E$9)</f>
        <v>42.4358</v>
      </c>
      <c r="O653" s="14">
        <f>CHOOSE(CONTROL!$C$42, 42.6438, 42.6438) * CHOOSE(CONTROL!$C$21, $C$9, 100%, $E$9)</f>
        <v>42.643799999999999</v>
      </c>
      <c r="P653" s="14">
        <f>CHOOSE(CONTROL!$C$42, 42.5576, 42.5576) * CHOOSE(CONTROL!$C$21, $C$9, 100%, $E$9)</f>
        <v>42.557600000000001</v>
      </c>
      <c r="Q653" s="14">
        <f>CHOOSE(CONTROL!$C$42, 43.2385, 43.2385) * CHOOSE(CONTROL!$C$21, $C$9, 100%, $E$9)</f>
        <v>43.238500000000002</v>
      </c>
      <c r="R653" s="14">
        <f>CHOOSE(CONTROL!$C$42, 43.9336, 43.9336) * CHOOSE(CONTROL!$C$21, $C$9, 100%, $E$9)</f>
        <v>43.933599999999998</v>
      </c>
      <c r="S653" s="14">
        <f>CHOOSE(CONTROL!$C$42, 41.5764, 41.5764) * CHOOSE(CONTROL!$C$21, $C$9, 100%, $E$9)</f>
        <v>41.5764</v>
      </c>
      <c r="T6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3" s="57">
        <f>(1000*CHOOSE(CONTROL!$C$42, 695, 695)*CHOOSE(CONTROL!$C$42, 0.5599, 0.5599)*CHOOSE(CONTROL!$C$42, 31, 31))/1000000</f>
        <v>12.063045499999998</v>
      </c>
      <c r="V653" s="57">
        <f>(1000*CHOOSE(CONTROL!$C$42, 500, 500)*CHOOSE(CONTROL!$C$42, 0.275, 0.275)*CHOOSE(CONTROL!$C$42, 31, 31))/1000000</f>
        <v>4.2625000000000002</v>
      </c>
      <c r="W653" s="57">
        <f>(1000*CHOOSE(CONTROL!$C$42, 0.1146, 0.1146)*CHOOSE(CONTROL!$C$42, 121.5, 121.5)*CHOOSE(CONTROL!$C$42, 31, 31))/1000000</f>
        <v>0.43164089999999994</v>
      </c>
      <c r="X653" s="57">
        <f>(31*0.1790888*245000/1000000)+(31*0.2374*100000/1000000)</f>
        <v>2.0961194359999999</v>
      </c>
      <c r="Y653" s="57"/>
      <c r="Z653" s="14"/>
      <c r="AA653" s="56"/>
      <c r="AB653" s="50">
        <f>(B653*194.205+C653*267.466+D653*133.845+E653*53.484+F653*40+G653*185+H653*0+I653*100+J653*300)/(194.205+267.466+133.845+53.484+0+40+185+100+300)</f>
        <v>43.340342566719002</v>
      </c>
      <c r="AC653" s="45">
        <f>(M653*'RAP TEMPLATE-GAS AVAILABILITY'!O652+N653*'RAP TEMPLATE-GAS AVAILABILITY'!P652+O653*'RAP TEMPLATE-GAS AVAILABILITY'!Q652+P653*'RAP TEMPLATE-GAS AVAILABILITY'!R652)/('RAP TEMPLATE-GAS AVAILABILITY'!O652+'RAP TEMPLATE-GAS AVAILABILITY'!P652+'RAP TEMPLATE-GAS AVAILABILITY'!Q652+'RAP TEMPLATE-GAS AVAILABILITY'!R652)</f>
        <v>42.541797122302157</v>
      </c>
    </row>
    <row r="654" spans="1:29" ht="15.75" x14ac:dyDescent="0.25">
      <c r="A654" s="32">
        <v>60813</v>
      </c>
      <c r="B654" s="14">
        <f>CHOOSE(CONTROL!$C$42, 44.5066, 44.5066) * CHOOSE(CONTROL!$C$21, $C$9, 100%, $E$9)</f>
        <v>44.506599999999999</v>
      </c>
      <c r="C654" s="14">
        <f>CHOOSE(CONTROL!$C$42, 44.5146, 44.5146) * CHOOSE(CONTROL!$C$21, $C$9, 100%, $E$9)</f>
        <v>44.514600000000002</v>
      </c>
      <c r="D654" s="14">
        <f>CHOOSE(CONTROL!$C$42, 44.7352, 44.7352) * CHOOSE(CONTROL!$C$21, $C$9, 100%, $E$9)</f>
        <v>44.735199999999999</v>
      </c>
      <c r="E654" s="14">
        <f>CHOOSE(CONTROL!$C$42, 44.7666, 44.7666) * CHOOSE(CONTROL!$C$21, $C$9, 100%, $E$9)</f>
        <v>44.766599999999997</v>
      </c>
      <c r="F654" s="14">
        <f>CHOOSE(CONTROL!$C$42, 44.5332, 44.5332)*CHOOSE(CONTROL!$C$21, $C$9, 100%, $E$9)</f>
        <v>44.533200000000001</v>
      </c>
      <c r="G654" s="14">
        <f>CHOOSE(CONTROL!$C$42, 44.5504, 44.5504)*CHOOSE(CONTROL!$C$21, $C$9, 100%, $E$9)</f>
        <v>44.550400000000003</v>
      </c>
      <c r="H654" s="14">
        <f>CHOOSE(CONTROL!$C$42, 44.7553, 44.7553) * CHOOSE(CONTROL!$C$21, $C$9, 100%, $E$9)</f>
        <v>44.755299999999998</v>
      </c>
      <c r="I654" s="14">
        <f>CHOOSE(CONTROL!$C$42, 44.6738, 44.6738)* CHOOSE(CONTROL!$C$21, $C$9, 100%, $E$9)</f>
        <v>44.6738</v>
      </c>
      <c r="J654" s="14">
        <f>CHOOSE(CONTROL!$C$42, 44.5262, 44.5262)* CHOOSE(CONTROL!$C$21, $C$9, 100%, $E$9)</f>
        <v>44.526200000000003</v>
      </c>
      <c r="K654" s="53">
        <f>CHOOSE(CONTROL!$C$42, 44.67, 44.67) * CHOOSE(CONTROL!$C$21, $C$9, 100%, $E$9)</f>
        <v>44.67</v>
      </c>
      <c r="L654" s="14">
        <f>CHOOSE(CONTROL!$C$42, 45.3423, 45.3423) * CHOOSE(CONTROL!$C$21, $C$9, 100%, $E$9)</f>
        <v>45.342300000000002</v>
      </c>
      <c r="M654" s="14">
        <f>CHOOSE(CONTROL!$C$42, 43.6216, 43.6216) * CHOOSE(CONTROL!$C$21, $C$9, 100%, $E$9)</f>
        <v>43.621600000000001</v>
      </c>
      <c r="N654" s="14">
        <f>CHOOSE(CONTROL!$C$42, 43.6384, 43.6384) * CHOOSE(CONTROL!$C$21, $C$9, 100%, $E$9)</f>
        <v>43.638399999999997</v>
      </c>
      <c r="O654" s="14">
        <f>CHOOSE(CONTROL!$C$42, 43.846, 43.846) * CHOOSE(CONTROL!$C$21, $C$9, 100%, $E$9)</f>
        <v>43.845999999999997</v>
      </c>
      <c r="P654" s="14">
        <f>CHOOSE(CONTROL!$C$42, 43.7635, 43.7635) * CHOOSE(CONTROL!$C$21, $C$9, 100%, $E$9)</f>
        <v>43.763500000000001</v>
      </c>
      <c r="Q654" s="14">
        <f>CHOOSE(CONTROL!$C$42, 44.4407, 44.4407) * CHOOSE(CONTROL!$C$21, $C$9, 100%, $E$9)</f>
        <v>44.4407</v>
      </c>
      <c r="R654" s="14">
        <f>CHOOSE(CONTROL!$C$42, 45.1388, 45.1388) * CHOOSE(CONTROL!$C$21, $C$9, 100%, $E$9)</f>
        <v>45.138800000000003</v>
      </c>
      <c r="S654" s="14">
        <f>CHOOSE(CONTROL!$C$42, 42.7557, 42.7557) * CHOOSE(CONTROL!$C$21, $C$9, 100%, $E$9)</f>
        <v>42.755699999999997</v>
      </c>
      <c r="T6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54" s="57">
        <f>(1000*CHOOSE(CONTROL!$C$42, 695, 695)*CHOOSE(CONTROL!$C$42, 0.5599, 0.5599)*CHOOSE(CONTROL!$C$42, 30, 30))/1000000</f>
        <v>11.673914999999997</v>
      </c>
      <c r="V654" s="57">
        <f>(1000*CHOOSE(CONTROL!$C$42, 500, 500)*CHOOSE(CONTROL!$C$42, 0.275, 0.275)*CHOOSE(CONTROL!$C$42, 30, 30))/1000000</f>
        <v>4.125</v>
      </c>
      <c r="W654" s="57">
        <f>(1000*CHOOSE(CONTROL!$C$42, 0.1146, 0.1146)*CHOOSE(CONTROL!$C$42, 121.5, 121.5)*CHOOSE(CONTROL!$C$42, 30, 30))/1000000</f>
        <v>0.417717</v>
      </c>
      <c r="X654" s="57">
        <f>(30*0.1790888*245000/1000000)+(30*0.2374*100000/1000000)</f>
        <v>2.0285026799999999</v>
      </c>
      <c r="Y654" s="57"/>
      <c r="Z654" s="14"/>
      <c r="AA654" s="56"/>
      <c r="AB654" s="50">
        <f>(B654*194.205+C654*267.466+D654*133.845+E654*53.484+F654*40+G654*185+H654*0+I654*100+J654*300)/(194.205+267.466+133.845+53.484+0+40+185+100+300)</f>
        <v>44.568145945839873</v>
      </c>
      <c r="AC654" s="45">
        <f>(M654*'RAP TEMPLATE-GAS AVAILABILITY'!O653+N654*'RAP TEMPLATE-GAS AVAILABILITY'!P653+O654*'RAP TEMPLATE-GAS AVAILABILITY'!Q653+P654*'RAP TEMPLATE-GAS AVAILABILITY'!R653)/('RAP TEMPLATE-GAS AVAILABILITY'!O653+'RAP TEMPLATE-GAS AVAILABILITY'!P653+'RAP TEMPLATE-GAS AVAILABILITY'!Q653+'RAP TEMPLATE-GAS AVAILABILITY'!R653)</f>
        <v>43.74469064748201</v>
      </c>
    </row>
    <row r="655" spans="1:29" ht="15.75" x14ac:dyDescent="0.25">
      <c r="A655" s="32">
        <v>60844</v>
      </c>
      <c r="B655" s="14">
        <f>CHOOSE(CONTROL!$C$42, 43.6529, 43.6529) * CHOOSE(CONTROL!$C$21, $C$9, 100%, $E$9)</f>
        <v>43.652900000000002</v>
      </c>
      <c r="C655" s="14">
        <f>CHOOSE(CONTROL!$C$42, 43.661, 43.661) * CHOOSE(CONTROL!$C$21, $C$9, 100%, $E$9)</f>
        <v>43.661000000000001</v>
      </c>
      <c r="D655" s="14">
        <f>CHOOSE(CONTROL!$C$42, 43.8816, 43.8816) * CHOOSE(CONTROL!$C$21, $C$9, 100%, $E$9)</f>
        <v>43.881599999999999</v>
      </c>
      <c r="E655" s="14">
        <f>CHOOSE(CONTROL!$C$42, 43.913, 43.913) * CHOOSE(CONTROL!$C$21, $C$9, 100%, $E$9)</f>
        <v>43.912999999999997</v>
      </c>
      <c r="F655" s="14">
        <f>CHOOSE(CONTROL!$C$42, 43.68, 43.68)*CHOOSE(CONTROL!$C$21, $C$9, 100%, $E$9)</f>
        <v>43.68</v>
      </c>
      <c r="G655" s="14">
        <f>CHOOSE(CONTROL!$C$42, 43.6973, 43.6973)*CHOOSE(CONTROL!$C$21, $C$9, 100%, $E$9)</f>
        <v>43.697299999999998</v>
      </c>
      <c r="H655" s="14">
        <f>CHOOSE(CONTROL!$C$42, 43.9017, 43.9017) * CHOOSE(CONTROL!$C$21, $C$9, 100%, $E$9)</f>
        <v>43.901699999999998</v>
      </c>
      <c r="I655" s="14">
        <f>CHOOSE(CONTROL!$C$42, 43.8175, 43.8175)* CHOOSE(CONTROL!$C$21, $C$9, 100%, $E$9)</f>
        <v>43.817500000000003</v>
      </c>
      <c r="J655" s="14">
        <f>CHOOSE(CONTROL!$C$42, 43.673, 43.673)* CHOOSE(CONTROL!$C$21, $C$9, 100%, $E$9)</f>
        <v>43.673000000000002</v>
      </c>
      <c r="K655" s="53">
        <f>CHOOSE(CONTROL!$C$42, 43.8137, 43.8137) * CHOOSE(CONTROL!$C$21, $C$9, 100%, $E$9)</f>
        <v>43.813699999999997</v>
      </c>
      <c r="L655" s="14">
        <f>CHOOSE(CONTROL!$C$42, 44.4887, 44.4887) * CHOOSE(CONTROL!$C$21, $C$9, 100%, $E$9)</f>
        <v>44.488700000000001</v>
      </c>
      <c r="M655" s="14">
        <f>CHOOSE(CONTROL!$C$42, 42.7859, 42.7859) * CHOOSE(CONTROL!$C$21, $C$9, 100%, $E$9)</f>
        <v>42.785899999999998</v>
      </c>
      <c r="N655" s="14">
        <f>CHOOSE(CONTROL!$C$42, 42.8029, 42.8029) * CHOOSE(CONTROL!$C$21, $C$9, 100%, $E$9)</f>
        <v>42.802900000000001</v>
      </c>
      <c r="O655" s="14">
        <f>CHOOSE(CONTROL!$C$42, 43.0098, 43.0098) * CHOOSE(CONTROL!$C$21, $C$9, 100%, $E$9)</f>
        <v>43.009799999999998</v>
      </c>
      <c r="P655" s="14">
        <f>CHOOSE(CONTROL!$C$42, 42.9248, 42.9248) * CHOOSE(CONTROL!$C$21, $C$9, 100%, $E$9)</f>
        <v>42.924799999999998</v>
      </c>
      <c r="Q655" s="14">
        <f>CHOOSE(CONTROL!$C$42, 43.6045, 43.6045) * CHOOSE(CONTROL!$C$21, $C$9, 100%, $E$9)</f>
        <v>43.604500000000002</v>
      </c>
      <c r="R655" s="14">
        <f>CHOOSE(CONTROL!$C$42, 44.3005, 44.3005) * CHOOSE(CONTROL!$C$21, $C$9, 100%, $E$9)</f>
        <v>44.3005</v>
      </c>
      <c r="S655" s="14">
        <f>CHOOSE(CONTROL!$C$42, 41.9355, 41.9355) * CHOOSE(CONTROL!$C$21, $C$9, 100%, $E$9)</f>
        <v>41.935499999999998</v>
      </c>
      <c r="T6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55" s="57">
        <f>(1000*CHOOSE(CONTROL!$C$42, 695, 695)*CHOOSE(CONTROL!$C$42, 0.5599, 0.5599)*CHOOSE(CONTROL!$C$42, 31, 31))/1000000</f>
        <v>12.063045499999998</v>
      </c>
      <c r="V655" s="57">
        <f>(1000*CHOOSE(CONTROL!$C$42, 500, 500)*CHOOSE(CONTROL!$C$42, 0.275, 0.275)*CHOOSE(CONTROL!$C$42, 31, 31))/1000000</f>
        <v>4.2625000000000002</v>
      </c>
      <c r="W655" s="57">
        <f>(1000*CHOOSE(CONTROL!$C$42, 0.1146, 0.1146)*CHOOSE(CONTROL!$C$42, 121.5, 121.5)*CHOOSE(CONTROL!$C$42, 31, 31))/1000000</f>
        <v>0.43164089999999994</v>
      </c>
      <c r="X655" s="57">
        <f>(31*0.1790888*245000/1000000)+(31*0.2374*100000/1000000)</f>
        <v>2.0961194359999999</v>
      </c>
      <c r="Y655" s="57"/>
      <c r="Z655" s="14"/>
      <c r="AA655" s="56"/>
      <c r="AB655" s="50">
        <f>(B655*194.205+C655*267.466+D655*133.845+E655*53.484+F655*40+G655*185+H655*0+I655*100+J655*300)/(194.205+267.466+133.845+53.484+0+40+185+100+300)</f>
        <v>43.714498127551018</v>
      </c>
      <c r="AC655" s="45">
        <f>(M655*'RAP TEMPLATE-GAS AVAILABILITY'!O654+N655*'RAP TEMPLATE-GAS AVAILABILITY'!P654+O655*'RAP TEMPLATE-GAS AVAILABILITY'!Q654+P655*'RAP TEMPLATE-GAS AVAILABILITY'!R654)/('RAP TEMPLATE-GAS AVAILABILITY'!O654+'RAP TEMPLATE-GAS AVAILABILITY'!P654+'RAP TEMPLATE-GAS AVAILABILITY'!Q654+'RAP TEMPLATE-GAS AVAILABILITY'!R654)</f>
        <v>42.908343884892084</v>
      </c>
    </row>
    <row r="656" spans="1:29" ht="15.75" x14ac:dyDescent="0.25">
      <c r="A656" s="32">
        <v>60875</v>
      </c>
      <c r="B656" s="14">
        <f>CHOOSE(CONTROL!$C$42, 41.4973, 41.4973) * CHOOSE(CONTROL!$C$21, $C$9, 100%, $E$9)</f>
        <v>41.497300000000003</v>
      </c>
      <c r="C656" s="14">
        <f>CHOOSE(CONTROL!$C$42, 41.5053, 41.5053) * CHOOSE(CONTROL!$C$21, $C$9, 100%, $E$9)</f>
        <v>41.505299999999998</v>
      </c>
      <c r="D656" s="14">
        <f>CHOOSE(CONTROL!$C$42, 41.7259, 41.7259) * CHOOSE(CONTROL!$C$21, $C$9, 100%, $E$9)</f>
        <v>41.725900000000003</v>
      </c>
      <c r="E656" s="14">
        <f>CHOOSE(CONTROL!$C$42, 41.7574, 41.7574) * CHOOSE(CONTROL!$C$21, $C$9, 100%, $E$9)</f>
        <v>41.757399999999997</v>
      </c>
      <c r="F656" s="14">
        <f>CHOOSE(CONTROL!$C$42, 41.5246, 41.5246)*CHOOSE(CONTROL!$C$21, $C$9, 100%, $E$9)</f>
        <v>41.5246</v>
      </c>
      <c r="G656" s="14">
        <f>CHOOSE(CONTROL!$C$42, 41.5421, 41.5421)*CHOOSE(CONTROL!$C$21, $C$9, 100%, $E$9)</f>
        <v>41.542099999999998</v>
      </c>
      <c r="H656" s="14">
        <f>CHOOSE(CONTROL!$C$42, 41.746, 41.746) * CHOOSE(CONTROL!$C$21, $C$9, 100%, $E$9)</f>
        <v>41.746000000000002</v>
      </c>
      <c r="I656" s="14">
        <f>CHOOSE(CONTROL!$C$42, 41.6551, 41.6551)* CHOOSE(CONTROL!$C$21, $C$9, 100%, $E$9)</f>
        <v>41.655099999999997</v>
      </c>
      <c r="J656" s="14">
        <f>CHOOSE(CONTROL!$C$42, 41.5176, 41.5176)* CHOOSE(CONTROL!$C$21, $C$9, 100%, $E$9)</f>
        <v>41.517600000000002</v>
      </c>
      <c r="K656" s="53">
        <f>CHOOSE(CONTROL!$C$42, 41.6512, 41.6512) * CHOOSE(CONTROL!$C$21, $C$9, 100%, $E$9)</f>
        <v>41.651200000000003</v>
      </c>
      <c r="L656" s="14">
        <f>CHOOSE(CONTROL!$C$42, 42.333, 42.333) * CHOOSE(CONTROL!$C$21, $C$9, 100%, $E$9)</f>
        <v>42.332999999999998</v>
      </c>
      <c r="M656" s="14">
        <f>CHOOSE(CONTROL!$C$42, 40.6747, 40.6747) * CHOOSE(CONTROL!$C$21, $C$9, 100%, $E$9)</f>
        <v>40.674700000000001</v>
      </c>
      <c r="N656" s="14">
        <f>CHOOSE(CONTROL!$C$42, 40.6917, 40.6917) * CHOOSE(CONTROL!$C$21, $C$9, 100%, $E$9)</f>
        <v>40.691699999999997</v>
      </c>
      <c r="O656" s="14">
        <f>CHOOSE(CONTROL!$C$42, 40.8983, 40.8983) * CHOOSE(CONTROL!$C$21, $C$9, 100%, $E$9)</f>
        <v>40.898299999999999</v>
      </c>
      <c r="P656" s="14">
        <f>CHOOSE(CONTROL!$C$42, 40.8068, 40.8068) * CHOOSE(CONTROL!$C$21, $C$9, 100%, $E$9)</f>
        <v>40.806800000000003</v>
      </c>
      <c r="Q656" s="14">
        <f>CHOOSE(CONTROL!$C$42, 41.493, 41.493) * CHOOSE(CONTROL!$C$21, $C$9, 100%, $E$9)</f>
        <v>41.493000000000002</v>
      </c>
      <c r="R656" s="14">
        <f>CHOOSE(CONTROL!$C$42, 42.1838, 42.1838) * CHOOSE(CONTROL!$C$21, $C$9, 100%, $E$9)</f>
        <v>42.183799999999998</v>
      </c>
      <c r="S656" s="14">
        <f>CHOOSE(CONTROL!$C$42, 39.8641, 39.8641) * CHOOSE(CONTROL!$C$21, $C$9, 100%, $E$9)</f>
        <v>39.864100000000001</v>
      </c>
      <c r="T6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56" s="57">
        <f>(1000*CHOOSE(CONTROL!$C$42, 695, 695)*CHOOSE(CONTROL!$C$42, 0.5599, 0.5599)*CHOOSE(CONTROL!$C$42, 31, 31))/1000000</f>
        <v>12.063045499999998</v>
      </c>
      <c r="V656" s="57">
        <f>(1000*CHOOSE(CONTROL!$C$42, 500, 500)*CHOOSE(CONTROL!$C$42, 0.275, 0.275)*CHOOSE(CONTROL!$C$42, 31, 31))/1000000</f>
        <v>4.2625000000000002</v>
      </c>
      <c r="W656" s="57">
        <f>(1000*CHOOSE(CONTROL!$C$42, 0.1146, 0.1146)*CHOOSE(CONTROL!$C$42, 121.5, 121.5)*CHOOSE(CONTROL!$C$42, 31, 31))/1000000</f>
        <v>0.43164089999999994</v>
      </c>
      <c r="X656" s="57">
        <f>(31*0.1790888*245000/1000000)+(31*0.2374*100000/1000000)</f>
        <v>2.0961194359999999</v>
      </c>
      <c r="Y656" s="57"/>
      <c r="Z656" s="14"/>
      <c r="AA656" s="56"/>
      <c r="AB656" s="50">
        <f>(B656*194.205+C656*267.466+D656*133.845+E656*53.484+F656*40+G656*185+H656*0+I656*100+J656*300)/(194.205+267.466+133.845+53.484+0+40+185+100+300)</f>
        <v>41.558444335478811</v>
      </c>
      <c r="AC656" s="45">
        <f>(M656*'RAP TEMPLATE-GAS AVAILABILITY'!O655+N656*'RAP TEMPLATE-GAS AVAILABILITY'!P655+O656*'RAP TEMPLATE-GAS AVAILABILITY'!Q655+P656*'RAP TEMPLATE-GAS AVAILABILITY'!R655)/('RAP TEMPLATE-GAS AVAILABILITY'!O655+'RAP TEMPLATE-GAS AVAILABILITY'!P655+'RAP TEMPLATE-GAS AVAILABILITY'!Q655+'RAP TEMPLATE-GAS AVAILABILITY'!R655)</f>
        <v>40.79602949640288</v>
      </c>
    </row>
    <row r="657" spans="1:29" ht="15.75" x14ac:dyDescent="0.25">
      <c r="A657" s="32">
        <v>60905</v>
      </c>
      <c r="B657" s="14">
        <f>CHOOSE(CONTROL!$C$42, 38.8632, 38.8632) * CHOOSE(CONTROL!$C$21, $C$9, 100%, $E$9)</f>
        <v>38.863199999999999</v>
      </c>
      <c r="C657" s="14">
        <f>CHOOSE(CONTROL!$C$42, 38.8713, 38.8713) * CHOOSE(CONTROL!$C$21, $C$9, 100%, $E$9)</f>
        <v>38.871299999999998</v>
      </c>
      <c r="D657" s="14">
        <f>CHOOSE(CONTROL!$C$42, 39.0919, 39.0919) * CHOOSE(CONTROL!$C$21, $C$9, 100%, $E$9)</f>
        <v>39.091900000000003</v>
      </c>
      <c r="E657" s="14">
        <f>CHOOSE(CONTROL!$C$42, 39.1233, 39.1233) * CHOOSE(CONTROL!$C$21, $C$9, 100%, $E$9)</f>
        <v>39.1233</v>
      </c>
      <c r="F657" s="14">
        <f>CHOOSE(CONTROL!$C$42, 38.8906, 38.8906)*CHOOSE(CONTROL!$C$21, $C$9, 100%, $E$9)</f>
        <v>38.890599999999999</v>
      </c>
      <c r="G657" s="14">
        <f>CHOOSE(CONTROL!$C$42, 38.908, 38.908)*CHOOSE(CONTROL!$C$21, $C$9, 100%, $E$9)</f>
        <v>38.908000000000001</v>
      </c>
      <c r="H657" s="14">
        <f>CHOOSE(CONTROL!$C$42, 39.1119, 39.1119) * CHOOSE(CONTROL!$C$21, $C$9, 100%, $E$9)</f>
        <v>39.111899999999999</v>
      </c>
      <c r="I657" s="14">
        <f>CHOOSE(CONTROL!$C$42, 39.0128, 39.0128)* CHOOSE(CONTROL!$C$21, $C$9, 100%, $E$9)</f>
        <v>39.012799999999999</v>
      </c>
      <c r="J657" s="14">
        <f>CHOOSE(CONTROL!$C$42, 38.8836, 38.8836)* CHOOSE(CONTROL!$C$21, $C$9, 100%, $E$9)</f>
        <v>38.883600000000001</v>
      </c>
      <c r="K657" s="53">
        <f>CHOOSE(CONTROL!$C$42, 39.009, 39.009) * CHOOSE(CONTROL!$C$21, $C$9, 100%, $E$9)</f>
        <v>39.009</v>
      </c>
      <c r="L657" s="14">
        <f>CHOOSE(CONTROL!$C$42, 39.6989, 39.6989) * CHOOSE(CONTROL!$C$21, $C$9, 100%, $E$9)</f>
        <v>39.698900000000002</v>
      </c>
      <c r="M657" s="14">
        <f>CHOOSE(CONTROL!$C$42, 38.0946, 38.0946) * CHOOSE(CONTROL!$C$21, $C$9, 100%, $E$9)</f>
        <v>38.0946</v>
      </c>
      <c r="N657" s="14">
        <f>CHOOSE(CONTROL!$C$42, 38.1116, 38.1116) * CHOOSE(CONTROL!$C$21, $C$9, 100%, $E$9)</f>
        <v>38.111600000000003</v>
      </c>
      <c r="O657" s="14">
        <f>CHOOSE(CONTROL!$C$42, 38.3183, 38.3183) * CHOOSE(CONTROL!$C$21, $C$9, 100%, $E$9)</f>
        <v>38.318300000000001</v>
      </c>
      <c r="P657" s="14">
        <f>CHOOSE(CONTROL!$C$42, 38.2188, 38.2188) * CHOOSE(CONTROL!$C$21, $C$9, 100%, $E$9)</f>
        <v>38.218800000000002</v>
      </c>
      <c r="Q657" s="14">
        <f>CHOOSE(CONTROL!$C$42, 38.913, 38.913) * CHOOSE(CONTROL!$C$21, $C$9, 100%, $E$9)</f>
        <v>38.912999999999997</v>
      </c>
      <c r="R657" s="14">
        <f>CHOOSE(CONTROL!$C$42, 39.5972, 39.5972) * CHOOSE(CONTROL!$C$21, $C$9, 100%, $E$9)</f>
        <v>39.597200000000001</v>
      </c>
      <c r="S657" s="14">
        <f>CHOOSE(CONTROL!$C$42, 37.3331, 37.3331) * CHOOSE(CONTROL!$C$21, $C$9, 100%, $E$9)</f>
        <v>37.333100000000002</v>
      </c>
      <c r="T6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57" s="57">
        <f>(1000*CHOOSE(CONTROL!$C$42, 695, 695)*CHOOSE(CONTROL!$C$42, 0.5599, 0.5599)*CHOOSE(CONTROL!$C$42, 30, 30))/1000000</f>
        <v>11.673914999999997</v>
      </c>
      <c r="V657" s="57">
        <f>(1000*CHOOSE(CONTROL!$C$42, 500, 500)*CHOOSE(CONTROL!$C$42, 0.275, 0.275)*CHOOSE(CONTROL!$C$42, 30, 30))/1000000</f>
        <v>4.125</v>
      </c>
      <c r="W657" s="57">
        <f>(1000*CHOOSE(CONTROL!$C$42, 0.1146, 0.1146)*CHOOSE(CONTROL!$C$42, 121.5, 121.5)*CHOOSE(CONTROL!$C$42, 30, 30))/1000000</f>
        <v>0.417717</v>
      </c>
      <c r="X657" s="57">
        <f>(30*0.1790888*245000/1000000)+(30*0.2374*100000/1000000)</f>
        <v>2.0285026799999999</v>
      </c>
      <c r="Y657" s="57"/>
      <c r="Z657" s="14"/>
      <c r="AA657" s="56"/>
      <c r="AB657" s="50">
        <f>(B657*194.205+C657*267.466+D657*133.845+E657*53.484+F657*40+G657*185+H657*0+I657*100+J657*300)/(194.205+267.466+133.845+53.484+0+40+185+100+300)</f>
        <v>38.923758881083209</v>
      </c>
      <c r="AC657" s="45">
        <f>(M657*'RAP TEMPLATE-GAS AVAILABILITY'!O656+N657*'RAP TEMPLATE-GAS AVAILABILITY'!P656+O657*'RAP TEMPLATE-GAS AVAILABILITY'!Q656+P657*'RAP TEMPLATE-GAS AVAILABILITY'!R656)/('RAP TEMPLATE-GAS AVAILABILITY'!O656+'RAP TEMPLATE-GAS AVAILABILITY'!P656+'RAP TEMPLATE-GAS AVAILABILITY'!Q656+'RAP TEMPLATE-GAS AVAILABILITY'!R656)</f>
        <v>38.2148381294964</v>
      </c>
    </row>
    <row r="658" spans="1:29" ht="15.75" x14ac:dyDescent="0.25">
      <c r="A658" s="32">
        <v>60936</v>
      </c>
      <c r="B658" s="14">
        <f>CHOOSE(CONTROL!$C$42, 38.0726, 38.0726) * CHOOSE(CONTROL!$C$21, $C$9, 100%, $E$9)</f>
        <v>38.072600000000001</v>
      </c>
      <c r="C658" s="14">
        <f>CHOOSE(CONTROL!$C$42, 38.078, 38.078) * CHOOSE(CONTROL!$C$21, $C$9, 100%, $E$9)</f>
        <v>38.078000000000003</v>
      </c>
      <c r="D658" s="14">
        <f>CHOOSE(CONTROL!$C$42, 38.3035, 38.3035) * CHOOSE(CONTROL!$C$21, $C$9, 100%, $E$9)</f>
        <v>38.3035</v>
      </c>
      <c r="E658" s="14">
        <f>CHOOSE(CONTROL!$C$42, 38.3326, 38.3326) * CHOOSE(CONTROL!$C$21, $C$9, 100%, $E$9)</f>
        <v>38.332599999999999</v>
      </c>
      <c r="F658" s="14">
        <f>CHOOSE(CONTROL!$C$42, 38.102, 38.102)*CHOOSE(CONTROL!$C$21, $C$9, 100%, $E$9)</f>
        <v>38.101999999999997</v>
      </c>
      <c r="G658" s="14">
        <f>CHOOSE(CONTROL!$C$42, 38.1192, 38.1192)*CHOOSE(CONTROL!$C$21, $C$9, 100%, $E$9)</f>
        <v>38.119199999999999</v>
      </c>
      <c r="H658" s="14">
        <f>CHOOSE(CONTROL!$C$42, 38.3231, 38.3231) * CHOOSE(CONTROL!$C$21, $C$9, 100%, $E$9)</f>
        <v>38.323099999999997</v>
      </c>
      <c r="I658" s="14">
        <f>CHOOSE(CONTROL!$C$42, 38.2215, 38.2215)* CHOOSE(CONTROL!$C$21, $C$9, 100%, $E$9)</f>
        <v>38.221499999999999</v>
      </c>
      <c r="J658" s="14">
        <f>CHOOSE(CONTROL!$C$42, 38.095, 38.095)* CHOOSE(CONTROL!$C$21, $C$9, 100%, $E$9)</f>
        <v>38.094999999999999</v>
      </c>
      <c r="K658" s="53">
        <f>CHOOSE(CONTROL!$C$42, 38.2176, 38.2176) * CHOOSE(CONTROL!$C$21, $C$9, 100%, $E$9)</f>
        <v>38.217599999999997</v>
      </c>
      <c r="L658" s="14">
        <f>CHOOSE(CONTROL!$C$42, 38.9101, 38.9101) * CHOOSE(CONTROL!$C$21, $C$9, 100%, $E$9)</f>
        <v>38.9101</v>
      </c>
      <c r="M658" s="14">
        <f>CHOOSE(CONTROL!$C$42, 37.3222, 37.3222) * CHOOSE(CONTROL!$C$21, $C$9, 100%, $E$9)</f>
        <v>37.322200000000002</v>
      </c>
      <c r="N658" s="14">
        <f>CHOOSE(CONTROL!$C$42, 37.339, 37.339) * CHOOSE(CONTROL!$C$21, $C$9, 100%, $E$9)</f>
        <v>37.338999999999999</v>
      </c>
      <c r="O658" s="14">
        <f>CHOOSE(CONTROL!$C$42, 37.5456, 37.5456) * CHOOSE(CONTROL!$C$21, $C$9, 100%, $E$9)</f>
        <v>37.5456</v>
      </c>
      <c r="P658" s="14">
        <f>CHOOSE(CONTROL!$C$42, 37.4438, 37.4438) * CHOOSE(CONTROL!$C$21, $C$9, 100%, $E$9)</f>
        <v>37.443800000000003</v>
      </c>
      <c r="Q658" s="14">
        <f>CHOOSE(CONTROL!$C$42, 38.1403, 38.1403) * CHOOSE(CONTROL!$C$21, $C$9, 100%, $E$9)</f>
        <v>38.140300000000003</v>
      </c>
      <c r="R658" s="14">
        <f>CHOOSE(CONTROL!$C$42, 38.8226, 38.8226) * CHOOSE(CONTROL!$C$21, $C$9, 100%, $E$9)</f>
        <v>38.822600000000001</v>
      </c>
      <c r="S658" s="14">
        <f>CHOOSE(CONTROL!$C$42, 36.5751, 36.5751) * CHOOSE(CONTROL!$C$21, $C$9, 100%, $E$9)</f>
        <v>36.575099999999999</v>
      </c>
      <c r="T6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58" s="57">
        <f>(1000*CHOOSE(CONTROL!$C$42, 695, 695)*CHOOSE(CONTROL!$C$42, 0.5599, 0.5599)*CHOOSE(CONTROL!$C$42, 31, 31))/1000000</f>
        <v>12.063045499999998</v>
      </c>
      <c r="V658" s="57">
        <f>(1000*CHOOSE(CONTROL!$C$42, 500, 500)*CHOOSE(CONTROL!$C$42, 0.275, 0.275)*CHOOSE(CONTROL!$C$42, 31, 31))/1000000</f>
        <v>4.2625000000000002</v>
      </c>
      <c r="W658" s="57">
        <f>(1000*CHOOSE(CONTROL!$C$42, 0.1146, 0.1146)*CHOOSE(CONTROL!$C$42, 121.5, 121.5)*CHOOSE(CONTROL!$C$42, 31, 31))/1000000</f>
        <v>0.43164089999999994</v>
      </c>
      <c r="X658" s="57">
        <f>(31*0.1790888*245000/1000000)+(31*0.2374*100000/1000000)</f>
        <v>2.0961194359999999</v>
      </c>
      <c r="Y658" s="57"/>
      <c r="Z658" s="14"/>
      <c r="AA658" s="56"/>
      <c r="AB658" s="50">
        <f>(B658*131.881+C658*277.167+D658*79.08+E658*125.872+F658*40+G658*185+H658*0+I658*100+J658*300)/(131.881+277.167+79.08+125.872+0+40+185+100+300)</f>
        <v>38.140307823890232</v>
      </c>
      <c r="AC658" s="45">
        <f>(M658*'RAP TEMPLATE-GAS AVAILABILITY'!O657+N658*'RAP TEMPLATE-GAS AVAILABILITY'!P657+O658*'RAP TEMPLATE-GAS AVAILABILITY'!Q657+P658*'RAP TEMPLATE-GAS AVAILABILITY'!R657)/('RAP TEMPLATE-GAS AVAILABILITY'!O657+'RAP TEMPLATE-GAS AVAILABILITY'!P657+'RAP TEMPLATE-GAS AVAILABILITY'!Q657+'RAP TEMPLATE-GAS AVAILABILITY'!R657)</f>
        <v>37.441916546762592</v>
      </c>
    </row>
    <row r="659" spans="1:29" ht="15.75" x14ac:dyDescent="0.25">
      <c r="A659" s="32">
        <v>60966</v>
      </c>
      <c r="B659" s="14">
        <f>CHOOSE(CONTROL!$C$42, 39.075, 39.075) * CHOOSE(CONTROL!$C$21, $C$9, 100%, $E$9)</f>
        <v>39.075000000000003</v>
      </c>
      <c r="C659" s="14">
        <f>CHOOSE(CONTROL!$C$42, 39.08, 39.08) * CHOOSE(CONTROL!$C$21, $C$9, 100%, $E$9)</f>
        <v>39.08</v>
      </c>
      <c r="D659" s="14">
        <f>CHOOSE(CONTROL!$C$42, 39.1543, 39.1543) * CHOOSE(CONTROL!$C$21, $C$9, 100%, $E$9)</f>
        <v>39.154299999999999</v>
      </c>
      <c r="E659" s="14">
        <f>CHOOSE(CONTROL!$C$42, 39.1884, 39.1884) * CHOOSE(CONTROL!$C$21, $C$9, 100%, $E$9)</f>
        <v>39.188400000000001</v>
      </c>
      <c r="F659" s="14">
        <f>CHOOSE(CONTROL!$C$42, 39.111, 39.111)*CHOOSE(CONTROL!$C$21, $C$9, 100%, $E$9)</f>
        <v>39.110999999999997</v>
      </c>
      <c r="G659" s="14">
        <f>CHOOSE(CONTROL!$C$42, 39.1286, 39.1286)*CHOOSE(CONTROL!$C$21, $C$9, 100%, $E$9)</f>
        <v>39.128599999999999</v>
      </c>
      <c r="H659" s="14">
        <f>CHOOSE(CONTROL!$C$42, 39.1776, 39.1776) * CHOOSE(CONTROL!$C$21, $C$9, 100%, $E$9)</f>
        <v>39.177599999999998</v>
      </c>
      <c r="I659" s="14">
        <f>CHOOSE(CONTROL!$C$42, 39.2248, 39.2248)* CHOOSE(CONTROL!$C$21, $C$9, 100%, $E$9)</f>
        <v>39.224800000000002</v>
      </c>
      <c r="J659" s="14">
        <f>CHOOSE(CONTROL!$C$42, 39.104, 39.104)* CHOOSE(CONTROL!$C$21, $C$9, 100%, $E$9)</f>
        <v>39.103999999999999</v>
      </c>
      <c r="K659" s="53">
        <f>CHOOSE(CONTROL!$C$42, 39.2209, 39.2209) * CHOOSE(CONTROL!$C$21, $C$9, 100%, $E$9)</f>
        <v>39.2209</v>
      </c>
      <c r="L659" s="14">
        <f>CHOOSE(CONTROL!$C$42, 39.7646, 39.7646) * CHOOSE(CONTROL!$C$21, $C$9, 100%, $E$9)</f>
        <v>39.764600000000002</v>
      </c>
      <c r="M659" s="14">
        <f>CHOOSE(CONTROL!$C$42, 38.3105, 38.3105) * CHOOSE(CONTROL!$C$21, $C$9, 100%, $E$9)</f>
        <v>38.310499999999998</v>
      </c>
      <c r="N659" s="14">
        <f>CHOOSE(CONTROL!$C$42, 38.3277, 38.3277) * CHOOSE(CONTROL!$C$21, $C$9, 100%, $E$9)</f>
        <v>38.3277</v>
      </c>
      <c r="O659" s="14">
        <f>CHOOSE(CONTROL!$C$42, 38.3825, 38.3825) * CHOOSE(CONTROL!$C$21, $C$9, 100%, $E$9)</f>
        <v>38.3825</v>
      </c>
      <c r="P659" s="14">
        <f>CHOOSE(CONTROL!$C$42, 38.4264, 38.4264) * CHOOSE(CONTROL!$C$21, $C$9, 100%, $E$9)</f>
        <v>38.426400000000001</v>
      </c>
      <c r="Q659" s="14">
        <f>CHOOSE(CONTROL!$C$42, 38.9772, 38.9772) * CHOOSE(CONTROL!$C$21, $C$9, 100%, $E$9)</f>
        <v>38.977200000000003</v>
      </c>
      <c r="R659" s="14">
        <f>CHOOSE(CONTROL!$C$42, 39.6617, 39.6617) * CHOOSE(CONTROL!$C$21, $C$9, 100%, $E$9)</f>
        <v>39.661700000000003</v>
      </c>
      <c r="S659" s="14">
        <f>CHOOSE(CONTROL!$C$42, 37.5386, 37.5386) * CHOOSE(CONTROL!$C$21, $C$9, 100%, $E$9)</f>
        <v>37.538600000000002</v>
      </c>
      <c r="T6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59" s="57">
        <f>(1000*CHOOSE(CONTROL!$C$42, 695, 695)*CHOOSE(CONTROL!$C$42, 0.5599, 0.5599)*CHOOSE(CONTROL!$C$42, 30, 30))/1000000</f>
        <v>11.673914999999997</v>
      </c>
      <c r="V659" s="57">
        <f>(1000*CHOOSE(CONTROL!$C$42, 500, 500)*CHOOSE(CONTROL!$C$42, 0.275, 0.275)*CHOOSE(CONTROL!$C$42, 30, 30))/1000000</f>
        <v>4.125</v>
      </c>
      <c r="W659" s="57">
        <f>(1000*CHOOSE(CONTROL!$C$42, 0.1146, 0.1146)*CHOOSE(CONTROL!$C$42, 121.5, 121.5)*CHOOSE(CONTROL!$C$42, 30, 30))/1000000</f>
        <v>0.417717</v>
      </c>
      <c r="X659" s="57">
        <f>(30*0.1790888*100000/1000000)+(30*0.2374*100000/1000000)</f>
        <v>1.2494664</v>
      </c>
      <c r="Y659" s="57"/>
      <c r="Z659" s="14"/>
      <c r="AA659" s="56"/>
      <c r="AB659" s="50">
        <f>(B659*122.58+C659*297.941+D659*89.177+E659*40.302+F659*40+G659*160+H659*0+I659*100+J659*300)/(122.58+297.941+89.177+40.302+0+40+160+100+300)</f>
        <v>39.115719728608696</v>
      </c>
      <c r="AC659" s="45">
        <f>(M659*'RAP TEMPLATE-GAS AVAILABILITY'!O658+N659*'RAP TEMPLATE-GAS AVAILABILITY'!P658+O659*'RAP TEMPLATE-GAS AVAILABILITY'!Q658+P659*'RAP TEMPLATE-GAS AVAILABILITY'!R658)/('RAP TEMPLATE-GAS AVAILABILITY'!O658+'RAP TEMPLATE-GAS AVAILABILITY'!P658+'RAP TEMPLATE-GAS AVAILABILITY'!Q658+'RAP TEMPLATE-GAS AVAILABILITY'!R658)</f>
        <v>38.360799280575542</v>
      </c>
    </row>
    <row r="660" spans="1:29" ht="15.75" x14ac:dyDescent="0.25">
      <c r="A660" s="32">
        <v>60997</v>
      </c>
      <c r="B660" s="14">
        <f>CHOOSE(CONTROL!$C$42, 41.7384, 41.7384) * CHOOSE(CONTROL!$C$21, $C$9, 100%, $E$9)</f>
        <v>41.738399999999999</v>
      </c>
      <c r="C660" s="14">
        <f>CHOOSE(CONTROL!$C$42, 41.7435, 41.7435) * CHOOSE(CONTROL!$C$21, $C$9, 100%, $E$9)</f>
        <v>41.743499999999997</v>
      </c>
      <c r="D660" s="14">
        <f>CHOOSE(CONTROL!$C$42, 41.8177, 41.8177) * CHOOSE(CONTROL!$C$21, $C$9, 100%, $E$9)</f>
        <v>41.817700000000002</v>
      </c>
      <c r="E660" s="14">
        <f>CHOOSE(CONTROL!$C$42, 41.8518, 41.8518) * CHOOSE(CONTROL!$C$21, $C$9, 100%, $E$9)</f>
        <v>41.851799999999997</v>
      </c>
      <c r="F660" s="14">
        <f>CHOOSE(CONTROL!$C$42, 41.7768, 41.7768)*CHOOSE(CONTROL!$C$21, $C$9, 100%, $E$9)</f>
        <v>41.776800000000001</v>
      </c>
      <c r="G660" s="14">
        <f>CHOOSE(CONTROL!$C$42, 41.795, 41.795)*CHOOSE(CONTROL!$C$21, $C$9, 100%, $E$9)</f>
        <v>41.795000000000002</v>
      </c>
      <c r="H660" s="14">
        <f>CHOOSE(CONTROL!$C$42, 41.841, 41.841) * CHOOSE(CONTROL!$C$21, $C$9, 100%, $E$9)</f>
        <v>41.841000000000001</v>
      </c>
      <c r="I660" s="14">
        <f>CHOOSE(CONTROL!$C$42, 41.8966, 41.8966)* CHOOSE(CONTROL!$C$21, $C$9, 100%, $E$9)</f>
        <v>41.896599999999999</v>
      </c>
      <c r="J660" s="14">
        <f>CHOOSE(CONTROL!$C$42, 41.7698, 41.7698)* CHOOSE(CONTROL!$C$21, $C$9, 100%, $E$9)</f>
        <v>41.769799999999996</v>
      </c>
      <c r="K660" s="53">
        <f>CHOOSE(CONTROL!$C$42, 41.8927, 41.8927) * CHOOSE(CONTROL!$C$21, $C$9, 100%, $E$9)</f>
        <v>41.892699999999998</v>
      </c>
      <c r="L660" s="14">
        <f>CHOOSE(CONTROL!$C$42, 42.428, 42.428) * CHOOSE(CONTROL!$C$21, $C$9, 100%, $E$9)</f>
        <v>42.427999999999997</v>
      </c>
      <c r="M660" s="14">
        <f>CHOOSE(CONTROL!$C$42, 40.9217, 40.9217) * CHOOSE(CONTROL!$C$21, $C$9, 100%, $E$9)</f>
        <v>40.921700000000001</v>
      </c>
      <c r="N660" s="14">
        <f>CHOOSE(CONTROL!$C$42, 40.9395, 40.9395) * CHOOSE(CONTROL!$C$21, $C$9, 100%, $E$9)</f>
        <v>40.939500000000002</v>
      </c>
      <c r="O660" s="14">
        <f>CHOOSE(CONTROL!$C$42, 40.9914, 40.9914) * CHOOSE(CONTROL!$C$21, $C$9, 100%, $E$9)</f>
        <v>40.991399999999999</v>
      </c>
      <c r="P660" s="14">
        <f>CHOOSE(CONTROL!$C$42, 41.0433, 41.0433) * CHOOSE(CONTROL!$C$21, $C$9, 100%, $E$9)</f>
        <v>41.043300000000002</v>
      </c>
      <c r="Q660" s="14">
        <f>CHOOSE(CONTROL!$C$42, 41.5861, 41.5861) * CHOOSE(CONTROL!$C$21, $C$9, 100%, $E$9)</f>
        <v>41.586100000000002</v>
      </c>
      <c r="R660" s="14">
        <f>CHOOSE(CONTROL!$C$42, 42.2771, 42.2771) * CHOOSE(CONTROL!$C$21, $C$9, 100%, $E$9)</f>
        <v>42.277099999999997</v>
      </c>
      <c r="S660" s="14">
        <f>CHOOSE(CONTROL!$C$42, 40.0979, 40.0979) * CHOOSE(CONTROL!$C$21, $C$9, 100%, $E$9)</f>
        <v>40.097900000000003</v>
      </c>
      <c r="T6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60" s="57">
        <f>(1000*CHOOSE(CONTROL!$C$42, 695, 695)*CHOOSE(CONTROL!$C$42, 0.5599, 0.5599)*CHOOSE(CONTROL!$C$42, 31, 31))/1000000</f>
        <v>12.063045499999998</v>
      </c>
      <c r="V660" s="57">
        <f>(1000*CHOOSE(CONTROL!$C$42, 500, 500)*CHOOSE(CONTROL!$C$42, 0.275, 0.275)*CHOOSE(CONTROL!$C$42, 31, 31))/1000000</f>
        <v>4.2625000000000002</v>
      </c>
      <c r="W660" s="57">
        <f>(1000*CHOOSE(CONTROL!$C$42, 0.1146, 0.1146)*CHOOSE(CONTROL!$C$42, 121.5, 121.5)*CHOOSE(CONTROL!$C$42, 31, 31))/1000000</f>
        <v>0.43164089999999994</v>
      </c>
      <c r="X660" s="57">
        <f>(31*0.1790888*100000/1000000)+(31*0.2374*100000/1000000)</f>
        <v>1.2911152800000001</v>
      </c>
      <c r="Y660" s="57"/>
      <c r="Z660" s="14"/>
      <c r="AA660" s="56"/>
      <c r="AB660" s="50">
        <f>(B660*122.58+C660*297.941+D660*89.177+E660*40.302+F660*40+G660*160+H660*0+I660*100+J660*300)/(122.58+297.941+89.177+40.302+0+40+160+100+300)</f>
        <v>41.781003027826081</v>
      </c>
      <c r="AC660" s="45">
        <f>(M660*'RAP TEMPLATE-GAS AVAILABILITY'!O659+N660*'RAP TEMPLATE-GAS AVAILABILITY'!P659+O660*'RAP TEMPLATE-GAS AVAILABILITY'!Q659+P660*'RAP TEMPLATE-GAS AVAILABILITY'!R659)/('RAP TEMPLATE-GAS AVAILABILITY'!O659+'RAP TEMPLATE-GAS AVAILABILITY'!P659+'RAP TEMPLATE-GAS AVAILABILITY'!Q659+'RAP TEMPLATE-GAS AVAILABILITY'!R659)</f>
        <v>40.971811510791369</v>
      </c>
    </row>
    <row r="661" spans="1:29" ht="15.75" x14ac:dyDescent="0.25">
      <c r="A661" s="32">
        <v>61028</v>
      </c>
      <c r="B661" s="14">
        <f>CHOOSE(CONTROL!$C$42, 45.1978, 45.1978) * CHOOSE(CONTROL!$C$21, $C$9, 100%, $E$9)</f>
        <v>45.197800000000001</v>
      </c>
      <c r="C661" s="14">
        <f>CHOOSE(CONTROL!$C$42, 45.2029, 45.2029) * CHOOSE(CONTROL!$C$21, $C$9, 100%, $E$9)</f>
        <v>45.2029</v>
      </c>
      <c r="D661" s="14">
        <f>CHOOSE(CONTROL!$C$42, 45.2797, 45.2797) * CHOOSE(CONTROL!$C$21, $C$9, 100%, $E$9)</f>
        <v>45.279699999999998</v>
      </c>
      <c r="E661" s="14">
        <f>CHOOSE(CONTROL!$C$42, 45.3138, 45.3138) * CHOOSE(CONTROL!$C$21, $C$9, 100%, $E$9)</f>
        <v>45.313800000000001</v>
      </c>
      <c r="F661" s="14">
        <f>CHOOSE(CONTROL!$C$42, 45.2225, 45.2225)*CHOOSE(CONTROL!$C$21, $C$9, 100%, $E$9)</f>
        <v>45.222499999999997</v>
      </c>
      <c r="G661" s="14">
        <f>CHOOSE(CONTROL!$C$42, 45.2405, 45.2405)*CHOOSE(CONTROL!$C$21, $C$9, 100%, $E$9)</f>
        <v>45.240499999999997</v>
      </c>
      <c r="H661" s="14">
        <f>CHOOSE(CONTROL!$C$42, 45.303, 45.303) * CHOOSE(CONTROL!$C$21, $C$9, 100%, $E$9)</f>
        <v>45.302999999999997</v>
      </c>
      <c r="I661" s="14">
        <f>CHOOSE(CONTROL!$C$42, 45.3731, 45.3731)* CHOOSE(CONTROL!$C$21, $C$9, 100%, $E$9)</f>
        <v>45.373100000000001</v>
      </c>
      <c r="J661" s="14">
        <f>CHOOSE(CONTROL!$C$42, 45.2155, 45.2155)* CHOOSE(CONTROL!$C$21, $C$9, 100%, $E$9)</f>
        <v>45.215499999999999</v>
      </c>
      <c r="K661" s="53">
        <f>CHOOSE(CONTROL!$C$42, 45.3692, 45.3692) * CHOOSE(CONTROL!$C$21, $C$9, 100%, $E$9)</f>
        <v>45.369199999999999</v>
      </c>
      <c r="L661" s="14">
        <f>CHOOSE(CONTROL!$C$42, 45.89, 45.89) * CHOOSE(CONTROL!$C$21, $C$9, 100%, $E$9)</f>
        <v>45.89</v>
      </c>
      <c r="M661" s="14">
        <f>CHOOSE(CONTROL!$C$42, 44.2968, 44.2968) * CHOOSE(CONTROL!$C$21, $C$9, 100%, $E$9)</f>
        <v>44.296799999999998</v>
      </c>
      <c r="N661" s="14">
        <f>CHOOSE(CONTROL!$C$42, 44.3144, 44.3144) * CHOOSE(CONTROL!$C$21, $C$9, 100%, $E$9)</f>
        <v>44.314399999999999</v>
      </c>
      <c r="O661" s="14">
        <f>CHOOSE(CONTROL!$C$42, 44.3824, 44.3824) * CHOOSE(CONTROL!$C$21, $C$9, 100%, $E$9)</f>
        <v>44.382399999999997</v>
      </c>
      <c r="P661" s="14">
        <f>CHOOSE(CONTROL!$C$42, 44.4483, 44.4483) * CHOOSE(CONTROL!$C$21, $C$9, 100%, $E$9)</f>
        <v>44.448300000000003</v>
      </c>
      <c r="Q661" s="14">
        <f>CHOOSE(CONTROL!$C$42, 44.9771, 44.9771) * CHOOSE(CONTROL!$C$21, $C$9, 100%, $E$9)</f>
        <v>44.9771</v>
      </c>
      <c r="R661" s="14">
        <f>CHOOSE(CONTROL!$C$42, 45.6766, 45.6766) * CHOOSE(CONTROL!$C$21, $C$9, 100%, $E$9)</f>
        <v>45.676600000000001</v>
      </c>
      <c r="S661" s="14">
        <f>CHOOSE(CONTROL!$C$42, 43.422, 43.422) * CHOOSE(CONTROL!$C$21, $C$9, 100%, $E$9)</f>
        <v>43.421999999999997</v>
      </c>
      <c r="T6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61" s="57">
        <f>(1000*CHOOSE(CONTROL!$C$42, 695, 695)*CHOOSE(CONTROL!$C$42, 0.5599, 0.5599)*CHOOSE(CONTROL!$C$42, 31, 31))/1000000</f>
        <v>12.063045499999998</v>
      </c>
      <c r="V661" s="57">
        <f>(1000*CHOOSE(CONTROL!$C$42, 500, 500)*CHOOSE(CONTROL!$C$42, 0.275, 0.275)*CHOOSE(CONTROL!$C$42, 31, 31))/1000000</f>
        <v>4.2625000000000002</v>
      </c>
      <c r="W661" s="57">
        <f>(1000*CHOOSE(CONTROL!$C$42, 0.1146, 0.1146)*CHOOSE(CONTROL!$C$42, 121.5, 121.5)*CHOOSE(CONTROL!$C$42, 31, 31))/1000000</f>
        <v>0.43164089999999994</v>
      </c>
      <c r="X661" s="57">
        <f>(31*0.1790888*100000/1000000)+(31*0.2374*100000/1000000)</f>
        <v>1.2911152800000001</v>
      </c>
      <c r="Y661" s="57"/>
      <c r="Z661" s="14"/>
      <c r="AA661" s="56"/>
      <c r="AB661" s="50">
        <f>(B661*122.58+C661*297.941+D661*89.177+E661*40.302+F661*40+G661*160+H661*0+I661*100+J661*300)/(122.58+297.941+89.177+40.302+0+40+160+100+300)</f>
        <v>45.236198371652172</v>
      </c>
      <c r="AC661" s="45">
        <f>(M661*'RAP TEMPLATE-GAS AVAILABILITY'!O660+N661*'RAP TEMPLATE-GAS AVAILABILITY'!P660+O661*'RAP TEMPLATE-GAS AVAILABILITY'!Q660+P661*'RAP TEMPLATE-GAS AVAILABILITY'!R660)/('RAP TEMPLATE-GAS AVAILABILITY'!O660+'RAP TEMPLATE-GAS AVAILABILITY'!P660+'RAP TEMPLATE-GAS AVAILABILITY'!Q660+'RAP TEMPLATE-GAS AVAILABILITY'!R660)</f>
        <v>44.358408633093518</v>
      </c>
    </row>
    <row r="662" spans="1:29" ht="15.75" x14ac:dyDescent="0.25">
      <c r="A662" s="32">
        <v>61056</v>
      </c>
      <c r="B662" s="14">
        <f>CHOOSE(CONTROL!$C$42, 46.0022, 46.0022) * CHOOSE(CONTROL!$C$21, $C$9, 100%, $E$9)</f>
        <v>46.002200000000002</v>
      </c>
      <c r="C662" s="14">
        <f>CHOOSE(CONTROL!$C$42, 46.0073, 46.0073) * CHOOSE(CONTROL!$C$21, $C$9, 100%, $E$9)</f>
        <v>46.007300000000001</v>
      </c>
      <c r="D662" s="14">
        <f>CHOOSE(CONTROL!$C$42, 46.0841, 46.0841) * CHOOSE(CONTROL!$C$21, $C$9, 100%, $E$9)</f>
        <v>46.084099999999999</v>
      </c>
      <c r="E662" s="14">
        <f>CHOOSE(CONTROL!$C$42, 46.1182, 46.1182) * CHOOSE(CONTROL!$C$21, $C$9, 100%, $E$9)</f>
        <v>46.118200000000002</v>
      </c>
      <c r="F662" s="14">
        <f>CHOOSE(CONTROL!$C$42, 46.0265, 46.0265)*CHOOSE(CONTROL!$C$21, $C$9, 100%, $E$9)</f>
        <v>46.026499999999999</v>
      </c>
      <c r="G662" s="14">
        <f>CHOOSE(CONTROL!$C$42, 46.0444, 46.0444)*CHOOSE(CONTROL!$C$21, $C$9, 100%, $E$9)</f>
        <v>46.044400000000003</v>
      </c>
      <c r="H662" s="14">
        <f>CHOOSE(CONTROL!$C$42, 46.1074, 46.1074) * CHOOSE(CONTROL!$C$21, $C$9, 100%, $E$9)</f>
        <v>46.107399999999998</v>
      </c>
      <c r="I662" s="14">
        <f>CHOOSE(CONTROL!$C$42, 46.18, 46.18)* CHOOSE(CONTROL!$C$21, $C$9, 100%, $E$9)</f>
        <v>46.18</v>
      </c>
      <c r="J662" s="14">
        <f>CHOOSE(CONTROL!$C$42, 46.0195, 46.0195)* CHOOSE(CONTROL!$C$21, $C$9, 100%, $E$9)</f>
        <v>46.019500000000001</v>
      </c>
      <c r="K662" s="53">
        <f>CHOOSE(CONTROL!$C$42, 46.1761, 46.1761) * CHOOSE(CONTROL!$C$21, $C$9, 100%, $E$9)</f>
        <v>46.176099999999998</v>
      </c>
      <c r="L662" s="14">
        <f>CHOOSE(CONTROL!$C$42, 46.6944, 46.6944) * CHOOSE(CONTROL!$C$21, $C$9, 100%, $E$9)</f>
        <v>46.694400000000002</v>
      </c>
      <c r="M662" s="14">
        <f>CHOOSE(CONTROL!$C$42, 45.0843, 45.0843) * CHOOSE(CONTROL!$C$21, $C$9, 100%, $E$9)</f>
        <v>45.084299999999999</v>
      </c>
      <c r="N662" s="14">
        <f>CHOOSE(CONTROL!$C$42, 45.1018, 45.1018) * CHOOSE(CONTROL!$C$21, $C$9, 100%, $E$9)</f>
        <v>45.101799999999997</v>
      </c>
      <c r="O662" s="14">
        <f>CHOOSE(CONTROL!$C$42, 45.1704, 45.1704) * CHOOSE(CONTROL!$C$21, $C$9, 100%, $E$9)</f>
        <v>45.170400000000001</v>
      </c>
      <c r="P662" s="14">
        <f>CHOOSE(CONTROL!$C$42, 45.2387, 45.2387) * CHOOSE(CONTROL!$C$21, $C$9, 100%, $E$9)</f>
        <v>45.238700000000001</v>
      </c>
      <c r="Q662" s="14">
        <f>CHOOSE(CONTROL!$C$42, 45.7651, 45.7651) * CHOOSE(CONTROL!$C$21, $C$9, 100%, $E$9)</f>
        <v>45.765099999999997</v>
      </c>
      <c r="R662" s="14">
        <f>CHOOSE(CONTROL!$C$42, 46.4665, 46.4665) * CHOOSE(CONTROL!$C$21, $C$9, 100%, $E$9)</f>
        <v>46.466500000000003</v>
      </c>
      <c r="S662" s="14">
        <f>CHOOSE(CONTROL!$C$42, 44.195, 44.195) * CHOOSE(CONTROL!$C$21, $C$9, 100%, $E$9)</f>
        <v>44.195</v>
      </c>
      <c r="T66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62" s="57">
        <f>(1000*CHOOSE(CONTROL!$C$42, 695, 695)*CHOOSE(CONTROL!$C$42, 0.5599, 0.5599)*CHOOSE(CONTROL!$C$42, 28, 28))/1000000</f>
        <v>10.895653999999999</v>
      </c>
      <c r="V662" s="57">
        <f>(1000*CHOOSE(CONTROL!$C$42, 500, 500)*CHOOSE(CONTROL!$C$42, 0.275, 0.275)*CHOOSE(CONTROL!$C$42, 28, 28))/1000000</f>
        <v>3.85</v>
      </c>
      <c r="W662" s="57">
        <f>(1000*CHOOSE(CONTROL!$C$42, 0.1146, 0.1146)*CHOOSE(CONTROL!$C$42, 121.5, 121.5)*CHOOSE(CONTROL!$C$42, 28, 28))/1000000</f>
        <v>0.38986920000000003</v>
      </c>
      <c r="X662" s="57">
        <f>(28*0.1790888*100000/1000000)+(28*0.2374*100000/1000000)</f>
        <v>1.16616864</v>
      </c>
      <c r="Y662" s="57"/>
      <c r="Z662" s="14"/>
      <c r="AA662" s="56"/>
      <c r="AB662" s="50">
        <f>(B662*122.58+C662*297.941+D662*89.177+E662*40.302+F662*40+G662*160+H662*0+I662*100+J662*300)/(122.58+297.941+89.177+40.302+0+40+160+100+300)</f>
        <v>46.040627936869569</v>
      </c>
      <c r="AC662" s="45">
        <f>(M662*'RAP TEMPLATE-GAS AVAILABILITY'!O661+N662*'RAP TEMPLATE-GAS AVAILABILITY'!P661+O662*'RAP TEMPLATE-GAS AVAILABILITY'!Q661+P662*'RAP TEMPLATE-GAS AVAILABILITY'!R661)/('RAP TEMPLATE-GAS AVAILABILITY'!O661+'RAP TEMPLATE-GAS AVAILABILITY'!P661+'RAP TEMPLATE-GAS AVAILABILITY'!Q661+'RAP TEMPLATE-GAS AVAILABILITY'!R661)</f>
        <v>45.146546762589928</v>
      </c>
    </row>
    <row r="663" spans="1:29" ht="15.75" x14ac:dyDescent="0.25">
      <c r="A663" s="32">
        <v>61087</v>
      </c>
      <c r="B663" s="14">
        <f>CHOOSE(CONTROL!$C$42, 44.6964, 44.6964) * CHOOSE(CONTROL!$C$21, $C$9, 100%, $E$9)</f>
        <v>44.696399999999997</v>
      </c>
      <c r="C663" s="14">
        <f>CHOOSE(CONTROL!$C$42, 44.7015, 44.7015) * CHOOSE(CONTROL!$C$21, $C$9, 100%, $E$9)</f>
        <v>44.701500000000003</v>
      </c>
      <c r="D663" s="14">
        <f>CHOOSE(CONTROL!$C$42, 44.7783, 44.7783) * CHOOSE(CONTROL!$C$21, $C$9, 100%, $E$9)</f>
        <v>44.778300000000002</v>
      </c>
      <c r="E663" s="14">
        <f>CHOOSE(CONTROL!$C$42, 44.8124, 44.8124) * CHOOSE(CONTROL!$C$21, $C$9, 100%, $E$9)</f>
        <v>44.812399999999997</v>
      </c>
      <c r="F663" s="14">
        <f>CHOOSE(CONTROL!$C$42, 44.7199, 44.7199)*CHOOSE(CONTROL!$C$21, $C$9, 100%, $E$9)</f>
        <v>44.719900000000003</v>
      </c>
      <c r="G663" s="14">
        <f>CHOOSE(CONTROL!$C$42, 44.7375, 44.7375)*CHOOSE(CONTROL!$C$21, $C$9, 100%, $E$9)</f>
        <v>44.737499999999997</v>
      </c>
      <c r="H663" s="14">
        <f>CHOOSE(CONTROL!$C$42, 44.8016, 44.8016) * CHOOSE(CONTROL!$C$21, $C$9, 100%, $E$9)</f>
        <v>44.801600000000001</v>
      </c>
      <c r="I663" s="14">
        <f>CHOOSE(CONTROL!$C$42, 44.8701, 44.8701)* CHOOSE(CONTROL!$C$21, $C$9, 100%, $E$9)</f>
        <v>44.870100000000001</v>
      </c>
      <c r="J663" s="14">
        <f>CHOOSE(CONTROL!$C$42, 44.7129, 44.7129)* CHOOSE(CONTROL!$C$21, $C$9, 100%, $E$9)</f>
        <v>44.712899999999998</v>
      </c>
      <c r="K663" s="53">
        <f>CHOOSE(CONTROL!$C$42, 44.8663, 44.8663) * CHOOSE(CONTROL!$C$21, $C$9, 100%, $E$9)</f>
        <v>44.866300000000003</v>
      </c>
      <c r="L663" s="14">
        <f>CHOOSE(CONTROL!$C$42, 45.3886, 45.3886) * CHOOSE(CONTROL!$C$21, $C$9, 100%, $E$9)</f>
        <v>45.388599999999997</v>
      </c>
      <c r="M663" s="14">
        <f>CHOOSE(CONTROL!$C$42, 43.8045, 43.8045) * CHOOSE(CONTROL!$C$21, $C$9, 100%, $E$9)</f>
        <v>43.804499999999997</v>
      </c>
      <c r="N663" s="14">
        <f>CHOOSE(CONTROL!$C$42, 43.8217, 43.8217) * CHOOSE(CONTROL!$C$21, $C$9, 100%, $E$9)</f>
        <v>43.8217</v>
      </c>
      <c r="O663" s="14">
        <f>CHOOSE(CONTROL!$C$42, 43.8914, 43.8914) * CHOOSE(CONTROL!$C$21, $C$9, 100%, $E$9)</f>
        <v>43.891399999999997</v>
      </c>
      <c r="P663" s="14">
        <f>CHOOSE(CONTROL!$C$42, 43.9557, 43.9557) * CHOOSE(CONTROL!$C$21, $C$9, 100%, $E$9)</f>
        <v>43.9557</v>
      </c>
      <c r="Q663" s="14">
        <f>CHOOSE(CONTROL!$C$42, 44.4861, 44.4861) * CHOOSE(CONTROL!$C$21, $C$9, 100%, $E$9)</f>
        <v>44.4861</v>
      </c>
      <c r="R663" s="14">
        <f>CHOOSE(CONTROL!$C$42, 45.1843, 45.1843) * CHOOSE(CONTROL!$C$21, $C$9, 100%, $E$9)</f>
        <v>45.1843</v>
      </c>
      <c r="S663" s="14">
        <f>CHOOSE(CONTROL!$C$42, 42.9403, 42.9403) * CHOOSE(CONTROL!$C$21, $C$9, 100%, $E$9)</f>
        <v>42.940300000000001</v>
      </c>
      <c r="T6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63" s="57">
        <f>(1000*CHOOSE(CONTROL!$C$42, 695, 695)*CHOOSE(CONTROL!$C$42, 0.5599, 0.5599)*CHOOSE(CONTROL!$C$42, 31, 31))/1000000</f>
        <v>12.063045499999998</v>
      </c>
      <c r="V663" s="57">
        <f>(1000*CHOOSE(CONTROL!$C$42, 500, 500)*CHOOSE(CONTROL!$C$42, 0.275, 0.275)*CHOOSE(CONTROL!$C$42, 31, 31))/1000000</f>
        <v>4.2625000000000002</v>
      </c>
      <c r="W663" s="57">
        <f>(1000*CHOOSE(CONTROL!$C$42, 0.1146, 0.1146)*CHOOSE(CONTROL!$C$42, 121.5, 121.5)*CHOOSE(CONTROL!$C$42, 31, 31))/1000000</f>
        <v>0.43164089999999994</v>
      </c>
      <c r="X663" s="57">
        <f>(31*0.1790888*100000/1000000)+(31*0.2374*100000/1000000)</f>
        <v>1.2911152800000001</v>
      </c>
      <c r="Y663" s="57"/>
      <c r="Z663" s="14"/>
      <c r="AA663" s="56"/>
      <c r="AB663" s="50">
        <f>(B663*122.58+C663*297.941+D663*89.177+E663*40.302+F663*40+G663*160+H663*0+I663*100+J663*300)/(122.58+297.941+89.177+40.302+0+40+160+100+300)</f>
        <v>44.734081849913039</v>
      </c>
      <c r="AC663" s="45">
        <f>(M663*'RAP TEMPLATE-GAS AVAILABILITY'!O662+N663*'RAP TEMPLATE-GAS AVAILABILITY'!P662+O663*'RAP TEMPLATE-GAS AVAILABILITY'!Q662+P663*'RAP TEMPLATE-GAS AVAILABILITY'!R662)/('RAP TEMPLATE-GAS AVAILABILITY'!O662+'RAP TEMPLATE-GAS AVAILABILITY'!P662+'RAP TEMPLATE-GAS AVAILABILITY'!Q662+'RAP TEMPLATE-GAS AVAILABILITY'!R662)</f>
        <v>43.866631654676262</v>
      </c>
    </row>
    <row r="664" spans="1:29" ht="15.75" x14ac:dyDescent="0.25">
      <c r="A664" s="32">
        <v>61117</v>
      </c>
      <c r="B664" s="14">
        <f>CHOOSE(CONTROL!$C$42, 44.5637, 44.5637) * CHOOSE(CONTROL!$C$21, $C$9, 100%, $E$9)</f>
        <v>44.563699999999997</v>
      </c>
      <c r="C664" s="14">
        <f>CHOOSE(CONTROL!$C$42, 44.5681, 44.5681) * CHOOSE(CONTROL!$C$21, $C$9, 100%, $E$9)</f>
        <v>44.568100000000001</v>
      </c>
      <c r="D664" s="14">
        <f>CHOOSE(CONTROL!$C$42, 44.7919, 44.7919) * CHOOSE(CONTROL!$C$21, $C$9, 100%, $E$9)</f>
        <v>44.791899999999998</v>
      </c>
      <c r="E664" s="14">
        <f>CHOOSE(CONTROL!$C$42, 44.824, 44.824) * CHOOSE(CONTROL!$C$21, $C$9, 100%, $E$9)</f>
        <v>44.823999999999998</v>
      </c>
      <c r="F664" s="14">
        <f>CHOOSE(CONTROL!$C$42, 44.5913, 44.5913)*CHOOSE(CONTROL!$C$21, $C$9, 100%, $E$9)</f>
        <v>44.591299999999997</v>
      </c>
      <c r="G664" s="14">
        <f>CHOOSE(CONTROL!$C$42, 44.6082, 44.6082)*CHOOSE(CONTROL!$C$21, $C$9, 100%, $E$9)</f>
        <v>44.608199999999997</v>
      </c>
      <c r="H664" s="14">
        <f>CHOOSE(CONTROL!$C$42, 44.8138, 44.8138) * CHOOSE(CONTROL!$C$21, $C$9, 100%, $E$9)</f>
        <v>44.813800000000001</v>
      </c>
      <c r="I664" s="14">
        <f>CHOOSE(CONTROL!$C$42, 44.7325, 44.7325)* CHOOSE(CONTROL!$C$21, $C$9, 100%, $E$9)</f>
        <v>44.732500000000002</v>
      </c>
      <c r="J664" s="14">
        <f>CHOOSE(CONTROL!$C$42, 44.5843, 44.5843)* CHOOSE(CONTROL!$C$21, $C$9, 100%, $E$9)</f>
        <v>44.584299999999999</v>
      </c>
      <c r="K664" s="53">
        <f>CHOOSE(CONTROL!$C$42, 44.7286, 44.7286) * CHOOSE(CONTROL!$C$21, $C$9, 100%, $E$9)</f>
        <v>44.7286</v>
      </c>
      <c r="L664" s="14">
        <f>CHOOSE(CONTROL!$C$42, 45.4008, 45.4008) * CHOOSE(CONTROL!$C$21, $C$9, 100%, $E$9)</f>
        <v>45.400799999999997</v>
      </c>
      <c r="M664" s="14">
        <f>CHOOSE(CONTROL!$C$42, 43.6785, 43.6785) * CHOOSE(CONTROL!$C$21, $C$9, 100%, $E$9)</f>
        <v>43.6785</v>
      </c>
      <c r="N664" s="14">
        <f>CHOOSE(CONTROL!$C$42, 43.6951, 43.6951) * CHOOSE(CONTROL!$C$21, $C$9, 100%, $E$9)</f>
        <v>43.695099999999996</v>
      </c>
      <c r="O664" s="14">
        <f>CHOOSE(CONTROL!$C$42, 43.9032, 43.9032) * CHOOSE(CONTROL!$C$21, $C$9, 100%, $E$9)</f>
        <v>43.903199999999998</v>
      </c>
      <c r="P664" s="14">
        <f>CHOOSE(CONTROL!$C$42, 43.8209, 43.8209) * CHOOSE(CONTROL!$C$21, $C$9, 100%, $E$9)</f>
        <v>43.820900000000002</v>
      </c>
      <c r="Q664" s="14">
        <f>CHOOSE(CONTROL!$C$42, 44.4979, 44.4979) * CHOOSE(CONTROL!$C$21, $C$9, 100%, $E$9)</f>
        <v>44.497900000000001</v>
      </c>
      <c r="R664" s="14">
        <f>CHOOSE(CONTROL!$C$42, 45.1962, 45.1962) * CHOOSE(CONTROL!$C$21, $C$9, 100%, $E$9)</f>
        <v>45.196199999999997</v>
      </c>
      <c r="S664" s="14">
        <f>CHOOSE(CONTROL!$C$42, 42.8119, 42.8119) * CHOOSE(CONTROL!$C$21, $C$9, 100%, $E$9)</f>
        <v>42.811900000000001</v>
      </c>
      <c r="T6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64" s="57">
        <f>(1000*CHOOSE(CONTROL!$C$42, 695, 695)*CHOOSE(CONTROL!$C$42, 0.5599, 0.5599)*CHOOSE(CONTROL!$C$42, 30, 30))/1000000</f>
        <v>11.673914999999997</v>
      </c>
      <c r="V664" s="57">
        <f>(1000*CHOOSE(CONTROL!$C$42, 500, 500)*CHOOSE(CONTROL!$C$42, 0.275, 0.275)*CHOOSE(CONTROL!$C$42, 30, 30))/1000000</f>
        <v>4.125</v>
      </c>
      <c r="W664" s="57">
        <f>(1000*CHOOSE(CONTROL!$C$42, 0.1146, 0.1146)*CHOOSE(CONTROL!$C$42, 121.5, 121.5)*CHOOSE(CONTROL!$C$42, 30, 30))/1000000</f>
        <v>0.417717</v>
      </c>
      <c r="X664" s="57">
        <f>(30*0.1790888*245000/1000000)+(30*0.2374*100000/1000000)</f>
        <v>2.0285026799999999</v>
      </c>
      <c r="Y664" s="57"/>
      <c r="Z664" s="14"/>
      <c r="AA664" s="56"/>
      <c r="AB664" s="50">
        <f>(B664*141.293+C664*267.993+D664*115.016+E664*89.698+F664*40+G664*185+H664*0+I664*100+J664*300)/(141.293+267.993+115.016+89.698+0+40+185+100+300)</f>
        <v>44.630827287974171</v>
      </c>
      <c r="AC664" s="45">
        <f>(M664*'RAP TEMPLATE-GAS AVAILABILITY'!O663+N664*'RAP TEMPLATE-GAS AVAILABILITY'!P663+O664*'RAP TEMPLATE-GAS AVAILABILITY'!Q663+P664*'RAP TEMPLATE-GAS AVAILABILITY'!R663)/('RAP TEMPLATE-GAS AVAILABILITY'!O663+'RAP TEMPLATE-GAS AVAILABILITY'!P663+'RAP TEMPLATE-GAS AVAILABILITY'!Q663+'RAP TEMPLATE-GAS AVAILABILITY'!R663)</f>
        <v>43.801787050359714</v>
      </c>
    </row>
    <row r="665" spans="1:29" ht="15.75" x14ac:dyDescent="0.25">
      <c r="A665" s="32">
        <v>61148</v>
      </c>
      <c r="B665" s="14">
        <f>CHOOSE(CONTROL!$C$42, 44.9583, 44.9583) * CHOOSE(CONTROL!$C$21, $C$9, 100%, $E$9)</f>
        <v>44.958300000000001</v>
      </c>
      <c r="C665" s="14">
        <f>CHOOSE(CONTROL!$C$42, 44.9663, 44.9663) * CHOOSE(CONTROL!$C$21, $C$9, 100%, $E$9)</f>
        <v>44.966299999999997</v>
      </c>
      <c r="D665" s="14">
        <f>CHOOSE(CONTROL!$C$42, 45.1869, 45.1869) * CHOOSE(CONTROL!$C$21, $C$9, 100%, $E$9)</f>
        <v>45.186900000000001</v>
      </c>
      <c r="E665" s="14">
        <f>CHOOSE(CONTROL!$C$42, 45.2184, 45.2184) * CHOOSE(CONTROL!$C$21, $C$9, 100%, $E$9)</f>
        <v>45.218400000000003</v>
      </c>
      <c r="F665" s="14">
        <f>CHOOSE(CONTROL!$C$42, 44.9845, 44.9845)*CHOOSE(CONTROL!$C$21, $C$9, 100%, $E$9)</f>
        <v>44.984499999999997</v>
      </c>
      <c r="G665" s="14">
        <f>CHOOSE(CONTROL!$C$42, 45.0017, 45.0017)*CHOOSE(CONTROL!$C$21, $C$9, 100%, $E$9)</f>
        <v>45.0017</v>
      </c>
      <c r="H665" s="14">
        <f>CHOOSE(CONTROL!$C$42, 45.207, 45.207) * CHOOSE(CONTROL!$C$21, $C$9, 100%, $E$9)</f>
        <v>45.207000000000001</v>
      </c>
      <c r="I665" s="14">
        <f>CHOOSE(CONTROL!$C$42, 45.127, 45.127)* CHOOSE(CONTROL!$C$21, $C$9, 100%, $E$9)</f>
        <v>45.127000000000002</v>
      </c>
      <c r="J665" s="14">
        <f>CHOOSE(CONTROL!$C$42, 44.9775, 44.9775)* CHOOSE(CONTROL!$C$21, $C$9, 100%, $E$9)</f>
        <v>44.977499999999999</v>
      </c>
      <c r="K665" s="53">
        <f>CHOOSE(CONTROL!$C$42, 45.1231, 45.1231) * CHOOSE(CONTROL!$C$21, $C$9, 100%, $E$9)</f>
        <v>45.123100000000001</v>
      </c>
      <c r="L665" s="14">
        <f>CHOOSE(CONTROL!$C$42, 45.794, 45.794) * CHOOSE(CONTROL!$C$21, $C$9, 100%, $E$9)</f>
        <v>45.793999999999997</v>
      </c>
      <c r="M665" s="14">
        <f>CHOOSE(CONTROL!$C$42, 44.0637, 44.0637) * CHOOSE(CONTROL!$C$21, $C$9, 100%, $E$9)</f>
        <v>44.063699999999997</v>
      </c>
      <c r="N665" s="14">
        <f>CHOOSE(CONTROL!$C$42, 44.0804, 44.0804) * CHOOSE(CONTROL!$C$21, $C$9, 100%, $E$9)</f>
        <v>44.080399999999997</v>
      </c>
      <c r="O665" s="14">
        <f>CHOOSE(CONTROL!$C$42, 44.2884, 44.2884) * CHOOSE(CONTROL!$C$21, $C$9, 100%, $E$9)</f>
        <v>44.288400000000003</v>
      </c>
      <c r="P665" s="14">
        <f>CHOOSE(CONTROL!$C$42, 44.2073, 44.2073) * CHOOSE(CONTROL!$C$21, $C$9, 100%, $E$9)</f>
        <v>44.207299999999996</v>
      </c>
      <c r="Q665" s="14">
        <f>CHOOSE(CONTROL!$C$42, 44.8831, 44.8831) * CHOOSE(CONTROL!$C$21, $C$9, 100%, $E$9)</f>
        <v>44.883099999999999</v>
      </c>
      <c r="R665" s="14">
        <f>CHOOSE(CONTROL!$C$42, 45.5823, 45.5823) * CHOOSE(CONTROL!$C$21, $C$9, 100%, $E$9)</f>
        <v>45.582299999999996</v>
      </c>
      <c r="S665" s="14">
        <f>CHOOSE(CONTROL!$C$42, 43.1898, 43.1898) * CHOOSE(CONTROL!$C$21, $C$9, 100%, $E$9)</f>
        <v>43.189799999999998</v>
      </c>
      <c r="T6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65" s="57">
        <f>(1000*CHOOSE(CONTROL!$C$42, 695, 695)*CHOOSE(CONTROL!$C$42, 0.5599, 0.5599)*CHOOSE(CONTROL!$C$42, 31, 31))/1000000</f>
        <v>12.063045499999998</v>
      </c>
      <c r="V665" s="57">
        <f>(1000*CHOOSE(CONTROL!$C$42, 500, 500)*CHOOSE(CONTROL!$C$42, 0.275, 0.275)*CHOOSE(CONTROL!$C$42, 31, 31))/1000000</f>
        <v>4.2625000000000002</v>
      </c>
      <c r="W665" s="57">
        <f>(1000*CHOOSE(CONTROL!$C$42, 0.1146, 0.1146)*CHOOSE(CONTROL!$C$42, 121.5, 121.5)*CHOOSE(CONTROL!$C$42, 31, 31))/1000000</f>
        <v>0.43164089999999994</v>
      </c>
      <c r="X665" s="57">
        <f>(31*0.1790888*245000/1000000)+(31*0.2374*100000/1000000)</f>
        <v>2.0961194359999999</v>
      </c>
      <c r="Y665" s="57"/>
      <c r="Z665" s="14"/>
      <c r="AA665" s="56"/>
      <c r="AB665" s="50">
        <f>(B665*194.205+C665*267.466+D665*133.845+E665*53.484+F665*40+G665*185+H665*0+I665*100+J665*300)/(194.205+267.466+133.845+53.484+0+40+185+100+300)</f>
        <v>45.01980304819466</v>
      </c>
      <c r="AC665" s="45">
        <f>(M665*'RAP TEMPLATE-GAS AVAILABILITY'!O664+N665*'RAP TEMPLATE-GAS AVAILABILITY'!P664+O665*'RAP TEMPLATE-GAS AVAILABILITY'!Q664+P665*'RAP TEMPLATE-GAS AVAILABILITY'!R664)/('RAP TEMPLATE-GAS AVAILABILITY'!O664+'RAP TEMPLATE-GAS AVAILABILITY'!P664+'RAP TEMPLATE-GAS AVAILABILITY'!Q664+'RAP TEMPLATE-GAS AVAILABILITY'!R664)</f>
        <v>44.187165467625896</v>
      </c>
    </row>
    <row r="666" spans="1:29" ht="15.75" x14ac:dyDescent="0.25">
      <c r="A666" s="32">
        <v>61178</v>
      </c>
      <c r="B666" s="14">
        <f>CHOOSE(CONTROL!$C$42, 46.2332, 46.2332) * CHOOSE(CONTROL!$C$21, $C$9, 100%, $E$9)</f>
        <v>46.233199999999997</v>
      </c>
      <c r="C666" s="14">
        <f>CHOOSE(CONTROL!$C$42, 46.2413, 46.2413) * CHOOSE(CONTROL!$C$21, $C$9, 100%, $E$9)</f>
        <v>46.241300000000003</v>
      </c>
      <c r="D666" s="14">
        <f>CHOOSE(CONTROL!$C$42, 46.4619, 46.4619) * CHOOSE(CONTROL!$C$21, $C$9, 100%, $E$9)</f>
        <v>46.4619</v>
      </c>
      <c r="E666" s="14">
        <f>CHOOSE(CONTROL!$C$42, 46.4933, 46.4933) * CHOOSE(CONTROL!$C$21, $C$9, 100%, $E$9)</f>
        <v>46.493299999999998</v>
      </c>
      <c r="F666" s="14">
        <f>CHOOSE(CONTROL!$C$42, 46.2599, 46.2599)*CHOOSE(CONTROL!$C$21, $C$9, 100%, $E$9)</f>
        <v>46.259900000000002</v>
      </c>
      <c r="G666" s="14">
        <f>CHOOSE(CONTROL!$C$42, 46.2771, 46.2771)*CHOOSE(CONTROL!$C$21, $C$9, 100%, $E$9)</f>
        <v>46.277099999999997</v>
      </c>
      <c r="H666" s="14">
        <f>CHOOSE(CONTROL!$C$42, 46.482, 46.482) * CHOOSE(CONTROL!$C$21, $C$9, 100%, $E$9)</f>
        <v>46.481999999999999</v>
      </c>
      <c r="I666" s="14">
        <f>CHOOSE(CONTROL!$C$42, 46.4059, 46.4059)* CHOOSE(CONTROL!$C$21, $C$9, 100%, $E$9)</f>
        <v>46.405900000000003</v>
      </c>
      <c r="J666" s="14">
        <f>CHOOSE(CONTROL!$C$42, 46.2529, 46.2529)* CHOOSE(CONTROL!$C$21, $C$9, 100%, $E$9)</f>
        <v>46.252899999999997</v>
      </c>
      <c r="K666" s="53">
        <f>CHOOSE(CONTROL!$C$42, 46.402, 46.402) * CHOOSE(CONTROL!$C$21, $C$9, 100%, $E$9)</f>
        <v>46.402000000000001</v>
      </c>
      <c r="L666" s="14">
        <f>CHOOSE(CONTROL!$C$42, 47.069, 47.069) * CHOOSE(CONTROL!$C$21, $C$9, 100%, $E$9)</f>
        <v>47.069000000000003</v>
      </c>
      <c r="M666" s="14">
        <f>CHOOSE(CONTROL!$C$42, 45.3129, 45.3129) * CHOOSE(CONTROL!$C$21, $C$9, 100%, $E$9)</f>
        <v>45.312899999999999</v>
      </c>
      <c r="N666" s="14">
        <f>CHOOSE(CONTROL!$C$42, 45.3297, 45.3297) * CHOOSE(CONTROL!$C$21, $C$9, 100%, $E$9)</f>
        <v>45.329700000000003</v>
      </c>
      <c r="O666" s="14">
        <f>CHOOSE(CONTROL!$C$42, 45.5373, 45.5373) * CHOOSE(CONTROL!$C$21, $C$9, 100%, $E$9)</f>
        <v>45.537300000000002</v>
      </c>
      <c r="P666" s="14">
        <f>CHOOSE(CONTROL!$C$42, 45.46, 45.46) * CHOOSE(CONTROL!$C$21, $C$9, 100%, $E$9)</f>
        <v>45.46</v>
      </c>
      <c r="Q666" s="14">
        <f>CHOOSE(CONTROL!$C$42, 46.132, 46.132) * CHOOSE(CONTROL!$C$21, $C$9, 100%, $E$9)</f>
        <v>46.131999999999998</v>
      </c>
      <c r="R666" s="14">
        <f>CHOOSE(CONTROL!$C$42, 46.8343, 46.8343) * CHOOSE(CONTROL!$C$21, $C$9, 100%, $E$9)</f>
        <v>46.834299999999999</v>
      </c>
      <c r="S666" s="14">
        <f>CHOOSE(CONTROL!$C$42, 44.4149, 44.4149) * CHOOSE(CONTROL!$C$21, $C$9, 100%, $E$9)</f>
        <v>44.414900000000003</v>
      </c>
      <c r="T6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6" s="57">
        <f>(1000*CHOOSE(CONTROL!$C$42, 695, 695)*CHOOSE(CONTROL!$C$42, 0.5599, 0.5599)*CHOOSE(CONTROL!$C$42, 30, 30))/1000000</f>
        <v>11.673914999999997</v>
      </c>
      <c r="V666" s="57">
        <f>(1000*CHOOSE(CONTROL!$C$42, 500, 500)*CHOOSE(CONTROL!$C$42, 0.275, 0.275)*CHOOSE(CONTROL!$C$42, 30, 30))/1000000</f>
        <v>4.125</v>
      </c>
      <c r="W666" s="57">
        <f>(1000*CHOOSE(CONTROL!$C$42, 0.1146, 0.1146)*CHOOSE(CONTROL!$C$42, 121.5, 121.5)*CHOOSE(CONTROL!$C$42, 30, 30))/1000000</f>
        <v>0.417717</v>
      </c>
      <c r="X666" s="57">
        <f>(30*0.1790888*245000/1000000)+(30*0.2374*100000/1000000)</f>
        <v>2.0285026799999999</v>
      </c>
      <c r="Y666" s="57"/>
      <c r="Z666" s="14"/>
      <c r="AA666" s="56"/>
      <c r="AB666" s="50">
        <f>(B666*194.205+C666*267.466+D666*133.845+E666*53.484+F666*40+G666*185+H666*0+I666*100+J666*300)/(194.205+267.466+133.845+53.484+0+40+185+100+300)</f>
        <v>46.295254563971746</v>
      </c>
      <c r="AC666" s="45">
        <f>(M666*'RAP TEMPLATE-GAS AVAILABILITY'!O665+N666*'RAP TEMPLATE-GAS AVAILABILITY'!P665+O666*'RAP TEMPLATE-GAS AVAILABILITY'!Q665+P666*'RAP TEMPLATE-GAS AVAILABILITY'!R665)/('RAP TEMPLATE-GAS AVAILABILITY'!O665+'RAP TEMPLATE-GAS AVAILABILITY'!P665+'RAP TEMPLATE-GAS AVAILABILITY'!Q665+'RAP TEMPLATE-GAS AVAILABILITY'!R665)</f>
        <v>45.436738848920861</v>
      </c>
    </row>
    <row r="667" spans="1:29" ht="15.75" x14ac:dyDescent="0.25">
      <c r="A667" s="32">
        <v>61209</v>
      </c>
      <c r="B667" s="14">
        <f>CHOOSE(CONTROL!$C$42, 45.3465, 45.3465) * CHOOSE(CONTROL!$C$21, $C$9, 100%, $E$9)</f>
        <v>45.346499999999999</v>
      </c>
      <c r="C667" s="14">
        <f>CHOOSE(CONTROL!$C$42, 45.3545, 45.3545) * CHOOSE(CONTROL!$C$21, $C$9, 100%, $E$9)</f>
        <v>45.354500000000002</v>
      </c>
      <c r="D667" s="14">
        <f>CHOOSE(CONTROL!$C$42, 45.5751, 45.5751) * CHOOSE(CONTROL!$C$21, $C$9, 100%, $E$9)</f>
        <v>45.575099999999999</v>
      </c>
      <c r="E667" s="14">
        <f>CHOOSE(CONTROL!$C$42, 45.6066, 45.6066) * CHOOSE(CONTROL!$C$21, $C$9, 100%, $E$9)</f>
        <v>45.6066</v>
      </c>
      <c r="F667" s="14">
        <f>CHOOSE(CONTROL!$C$42, 45.3736, 45.3736)*CHOOSE(CONTROL!$C$21, $C$9, 100%, $E$9)</f>
        <v>45.373600000000003</v>
      </c>
      <c r="G667" s="14">
        <f>CHOOSE(CONTROL!$C$42, 45.3909, 45.3909)*CHOOSE(CONTROL!$C$21, $C$9, 100%, $E$9)</f>
        <v>45.390900000000002</v>
      </c>
      <c r="H667" s="14">
        <f>CHOOSE(CONTROL!$C$42, 45.5952, 45.5952) * CHOOSE(CONTROL!$C$21, $C$9, 100%, $E$9)</f>
        <v>45.595199999999998</v>
      </c>
      <c r="I667" s="14">
        <f>CHOOSE(CONTROL!$C$42, 45.5164, 45.5164)* CHOOSE(CONTROL!$C$21, $C$9, 100%, $E$9)</f>
        <v>45.516399999999997</v>
      </c>
      <c r="J667" s="14">
        <f>CHOOSE(CONTROL!$C$42, 45.3666, 45.3666)* CHOOSE(CONTROL!$C$21, $C$9, 100%, $E$9)</f>
        <v>45.366599999999998</v>
      </c>
      <c r="K667" s="53">
        <f>CHOOSE(CONTROL!$C$42, 45.5125, 45.5125) * CHOOSE(CONTROL!$C$21, $C$9, 100%, $E$9)</f>
        <v>45.512500000000003</v>
      </c>
      <c r="L667" s="14">
        <f>CHOOSE(CONTROL!$C$42, 46.1822, 46.1822) * CHOOSE(CONTROL!$C$21, $C$9, 100%, $E$9)</f>
        <v>46.182200000000002</v>
      </c>
      <c r="M667" s="14">
        <f>CHOOSE(CONTROL!$C$42, 44.4447, 44.4447) * CHOOSE(CONTROL!$C$21, $C$9, 100%, $E$9)</f>
        <v>44.444699999999997</v>
      </c>
      <c r="N667" s="14">
        <f>CHOOSE(CONTROL!$C$42, 44.4617, 44.4617) * CHOOSE(CONTROL!$C$21, $C$9, 100%, $E$9)</f>
        <v>44.4617</v>
      </c>
      <c r="O667" s="14">
        <f>CHOOSE(CONTROL!$C$42, 44.6687, 44.6687) * CHOOSE(CONTROL!$C$21, $C$9, 100%, $E$9)</f>
        <v>44.668700000000001</v>
      </c>
      <c r="P667" s="14">
        <f>CHOOSE(CONTROL!$C$42, 44.5887, 44.5887) * CHOOSE(CONTROL!$C$21, $C$9, 100%, $E$9)</f>
        <v>44.588700000000003</v>
      </c>
      <c r="Q667" s="14">
        <f>CHOOSE(CONTROL!$C$42, 45.2634, 45.2634) * CHOOSE(CONTROL!$C$21, $C$9, 100%, $E$9)</f>
        <v>45.263399999999997</v>
      </c>
      <c r="R667" s="14">
        <f>CHOOSE(CONTROL!$C$42, 45.9635, 45.9635) * CHOOSE(CONTROL!$C$21, $C$9, 100%, $E$9)</f>
        <v>45.963500000000003</v>
      </c>
      <c r="S667" s="14">
        <f>CHOOSE(CONTROL!$C$42, 43.5628, 43.5628) * CHOOSE(CONTROL!$C$21, $C$9, 100%, $E$9)</f>
        <v>43.562800000000003</v>
      </c>
      <c r="T6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67" s="57">
        <f>(1000*CHOOSE(CONTROL!$C$42, 695, 695)*CHOOSE(CONTROL!$C$42, 0.5599, 0.5599)*CHOOSE(CONTROL!$C$42, 31, 31))/1000000</f>
        <v>12.063045499999998</v>
      </c>
      <c r="V667" s="57">
        <f>(1000*CHOOSE(CONTROL!$C$42, 500, 500)*CHOOSE(CONTROL!$C$42, 0.275, 0.275)*CHOOSE(CONTROL!$C$42, 31, 31))/1000000</f>
        <v>4.2625000000000002</v>
      </c>
      <c r="W667" s="57">
        <f>(1000*CHOOSE(CONTROL!$C$42, 0.1146, 0.1146)*CHOOSE(CONTROL!$C$42, 121.5, 121.5)*CHOOSE(CONTROL!$C$42, 31, 31))/1000000</f>
        <v>0.43164089999999994</v>
      </c>
      <c r="X667" s="57">
        <f>(31*0.1790888*245000/1000000)+(31*0.2374*100000/1000000)</f>
        <v>2.0961194359999999</v>
      </c>
      <c r="Y667" s="57"/>
      <c r="Z667" s="14"/>
      <c r="AA667" s="56"/>
      <c r="AB667" s="50">
        <f>(B667*194.205+C667*267.466+D667*133.845+E667*53.484+F667*40+G667*185+H667*0+I667*100+J667*300)/(194.205+267.466+133.845+53.484+0+40+185+100+300)</f>
        <v>45.408482640031401</v>
      </c>
      <c r="AC667" s="45">
        <f>(M667*'RAP TEMPLATE-GAS AVAILABILITY'!O666+N667*'RAP TEMPLATE-GAS AVAILABILITY'!P666+O667*'RAP TEMPLATE-GAS AVAILABILITY'!Q666+P667*'RAP TEMPLATE-GAS AVAILABILITY'!R666)/('RAP TEMPLATE-GAS AVAILABILITY'!O666+'RAP TEMPLATE-GAS AVAILABILITY'!P666+'RAP TEMPLATE-GAS AVAILABILITY'!Q666+'RAP TEMPLATE-GAS AVAILABILITY'!R666)</f>
        <v>44.567923021582729</v>
      </c>
    </row>
    <row r="668" spans="1:29" ht="15.75" x14ac:dyDescent="0.25">
      <c r="A668" s="32">
        <v>61240</v>
      </c>
      <c r="B668" s="14">
        <f>CHOOSE(CONTROL!$C$42, 43.1072, 43.1072) * CHOOSE(CONTROL!$C$21, $C$9, 100%, $E$9)</f>
        <v>43.107199999999999</v>
      </c>
      <c r="C668" s="14">
        <f>CHOOSE(CONTROL!$C$42, 43.1152, 43.1152) * CHOOSE(CONTROL!$C$21, $C$9, 100%, $E$9)</f>
        <v>43.115200000000002</v>
      </c>
      <c r="D668" s="14">
        <f>CHOOSE(CONTROL!$C$42, 43.3358, 43.3358) * CHOOSE(CONTROL!$C$21, $C$9, 100%, $E$9)</f>
        <v>43.335799999999999</v>
      </c>
      <c r="E668" s="14">
        <f>CHOOSE(CONTROL!$C$42, 43.3673, 43.3673) * CHOOSE(CONTROL!$C$21, $C$9, 100%, $E$9)</f>
        <v>43.3673</v>
      </c>
      <c r="F668" s="14">
        <f>CHOOSE(CONTROL!$C$42, 43.1345, 43.1345)*CHOOSE(CONTROL!$C$21, $C$9, 100%, $E$9)</f>
        <v>43.134500000000003</v>
      </c>
      <c r="G668" s="14">
        <f>CHOOSE(CONTROL!$C$42, 43.152, 43.152)*CHOOSE(CONTROL!$C$21, $C$9, 100%, $E$9)</f>
        <v>43.152000000000001</v>
      </c>
      <c r="H668" s="14">
        <f>CHOOSE(CONTROL!$C$42, 43.3559, 43.3559) * CHOOSE(CONTROL!$C$21, $C$9, 100%, $E$9)</f>
        <v>43.355899999999998</v>
      </c>
      <c r="I668" s="14">
        <f>CHOOSE(CONTROL!$C$42, 43.2701, 43.2701)* CHOOSE(CONTROL!$C$21, $C$9, 100%, $E$9)</f>
        <v>43.270099999999999</v>
      </c>
      <c r="J668" s="14">
        <f>CHOOSE(CONTROL!$C$42, 43.1275, 43.1275)* CHOOSE(CONTROL!$C$21, $C$9, 100%, $E$9)</f>
        <v>43.127499999999998</v>
      </c>
      <c r="K668" s="53">
        <f>CHOOSE(CONTROL!$C$42, 43.2662, 43.2662) * CHOOSE(CONTROL!$C$21, $C$9, 100%, $E$9)</f>
        <v>43.266199999999998</v>
      </c>
      <c r="L668" s="14">
        <f>CHOOSE(CONTROL!$C$42, 43.9429, 43.9429) * CHOOSE(CONTROL!$C$21, $C$9, 100%, $E$9)</f>
        <v>43.942900000000002</v>
      </c>
      <c r="M668" s="14">
        <f>CHOOSE(CONTROL!$C$42, 42.2516, 42.2516) * CHOOSE(CONTROL!$C$21, $C$9, 100%, $E$9)</f>
        <v>42.251600000000003</v>
      </c>
      <c r="N668" s="14">
        <f>CHOOSE(CONTROL!$C$42, 42.2686, 42.2686) * CHOOSE(CONTROL!$C$21, $C$9, 100%, $E$9)</f>
        <v>42.268599999999999</v>
      </c>
      <c r="O668" s="14">
        <f>CHOOSE(CONTROL!$C$42, 42.4753, 42.4753) * CHOOSE(CONTROL!$C$21, $C$9, 100%, $E$9)</f>
        <v>42.475299999999997</v>
      </c>
      <c r="P668" s="14">
        <f>CHOOSE(CONTROL!$C$42, 42.3886, 42.3886) * CHOOSE(CONTROL!$C$21, $C$9, 100%, $E$9)</f>
        <v>42.388599999999997</v>
      </c>
      <c r="Q668" s="14">
        <f>CHOOSE(CONTROL!$C$42, 43.07, 43.07) * CHOOSE(CONTROL!$C$21, $C$9, 100%, $E$9)</f>
        <v>43.07</v>
      </c>
      <c r="R668" s="14">
        <f>CHOOSE(CONTROL!$C$42, 43.7646, 43.7646) * CHOOSE(CONTROL!$C$21, $C$9, 100%, $E$9)</f>
        <v>43.764600000000002</v>
      </c>
      <c r="S668" s="14">
        <f>CHOOSE(CONTROL!$C$42, 41.4111, 41.4111) * CHOOSE(CONTROL!$C$21, $C$9, 100%, $E$9)</f>
        <v>41.411099999999998</v>
      </c>
      <c r="T6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68" s="57">
        <f>(1000*CHOOSE(CONTROL!$C$42, 695, 695)*CHOOSE(CONTROL!$C$42, 0.5599, 0.5599)*CHOOSE(CONTROL!$C$42, 31, 31))/1000000</f>
        <v>12.063045499999998</v>
      </c>
      <c r="V668" s="57">
        <f>(1000*CHOOSE(CONTROL!$C$42, 500, 500)*CHOOSE(CONTROL!$C$42, 0.275, 0.275)*CHOOSE(CONTROL!$C$42, 31, 31))/1000000</f>
        <v>4.2625000000000002</v>
      </c>
      <c r="W668" s="57">
        <f>(1000*CHOOSE(CONTROL!$C$42, 0.1146, 0.1146)*CHOOSE(CONTROL!$C$42, 121.5, 121.5)*CHOOSE(CONTROL!$C$42, 31, 31))/1000000</f>
        <v>0.43164089999999994</v>
      </c>
      <c r="X668" s="57">
        <f>(31*0.1790888*245000/1000000)+(31*0.2374*100000/1000000)</f>
        <v>2.0961194359999999</v>
      </c>
      <c r="Y668" s="57"/>
      <c r="Z668" s="14"/>
      <c r="AA668" s="56"/>
      <c r="AB668" s="50">
        <f>(B668*194.205+C668*267.466+D668*133.845+E668*53.484+F668*40+G668*185+H668*0+I668*100+J668*300)/(194.205+267.466+133.845+53.484+0+40+185+100+300)</f>
        <v>43.168744649450552</v>
      </c>
      <c r="AC668" s="45">
        <f>(M668*'RAP TEMPLATE-GAS AVAILABILITY'!O667+N668*'RAP TEMPLATE-GAS AVAILABILITY'!P667+O668*'RAP TEMPLATE-GAS AVAILABILITY'!Q667+P668*'RAP TEMPLATE-GAS AVAILABILITY'!R667)/('RAP TEMPLATE-GAS AVAILABILITY'!O667+'RAP TEMPLATE-GAS AVAILABILITY'!P667+'RAP TEMPLATE-GAS AVAILABILITY'!Q667+'RAP TEMPLATE-GAS AVAILABILITY'!R667)</f>
        <v>42.37367985611511</v>
      </c>
    </row>
    <row r="669" spans="1:29" ht="15.75" x14ac:dyDescent="0.25">
      <c r="A669" s="32">
        <v>61270</v>
      </c>
      <c r="B669" s="14">
        <f>CHOOSE(CONTROL!$C$42, 40.3709, 40.3709) * CHOOSE(CONTROL!$C$21, $C$9, 100%, $E$9)</f>
        <v>40.370899999999999</v>
      </c>
      <c r="C669" s="14">
        <f>CHOOSE(CONTROL!$C$42, 40.379, 40.379) * CHOOSE(CONTROL!$C$21, $C$9, 100%, $E$9)</f>
        <v>40.378999999999998</v>
      </c>
      <c r="D669" s="14">
        <f>CHOOSE(CONTROL!$C$42, 40.5995, 40.5995) * CHOOSE(CONTROL!$C$21, $C$9, 100%, $E$9)</f>
        <v>40.599499999999999</v>
      </c>
      <c r="E669" s="14">
        <f>CHOOSE(CONTROL!$C$42, 40.631, 40.631) * CHOOSE(CONTROL!$C$21, $C$9, 100%, $E$9)</f>
        <v>40.631</v>
      </c>
      <c r="F669" s="14">
        <f>CHOOSE(CONTROL!$C$42, 40.3983, 40.3983)*CHOOSE(CONTROL!$C$21, $C$9, 100%, $E$9)</f>
        <v>40.398299999999999</v>
      </c>
      <c r="G669" s="14">
        <f>CHOOSE(CONTROL!$C$42, 40.4157, 40.4157)*CHOOSE(CONTROL!$C$21, $C$9, 100%, $E$9)</f>
        <v>40.415700000000001</v>
      </c>
      <c r="H669" s="14">
        <f>CHOOSE(CONTROL!$C$42, 40.6196, 40.6196) * CHOOSE(CONTROL!$C$21, $C$9, 100%, $E$9)</f>
        <v>40.619599999999998</v>
      </c>
      <c r="I669" s="14">
        <f>CHOOSE(CONTROL!$C$42, 40.5253, 40.5253)* CHOOSE(CONTROL!$C$21, $C$9, 100%, $E$9)</f>
        <v>40.525300000000001</v>
      </c>
      <c r="J669" s="14">
        <f>CHOOSE(CONTROL!$C$42, 40.3913, 40.3913)* CHOOSE(CONTROL!$C$21, $C$9, 100%, $E$9)</f>
        <v>40.391300000000001</v>
      </c>
      <c r="K669" s="53">
        <f>CHOOSE(CONTROL!$C$42, 40.5214, 40.5214) * CHOOSE(CONTROL!$C$21, $C$9, 100%, $E$9)</f>
        <v>40.5214</v>
      </c>
      <c r="L669" s="14">
        <f>CHOOSE(CONTROL!$C$42, 41.2066, 41.2066) * CHOOSE(CONTROL!$C$21, $C$9, 100%, $E$9)</f>
        <v>41.206600000000002</v>
      </c>
      <c r="M669" s="14">
        <f>CHOOSE(CONTROL!$C$42, 39.5714, 39.5714) * CHOOSE(CONTROL!$C$21, $C$9, 100%, $E$9)</f>
        <v>39.571399999999997</v>
      </c>
      <c r="N669" s="14">
        <f>CHOOSE(CONTROL!$C$42, 39.5884, 39.5884) * CHOOSE(CONTROL!$C$21, $C$9, 100%, $E$9)</f>
        <v>39.5884</v>
      </c>
      <c r="O669" s="14">
        <f>CHOOSE(CONTROL!$C$42, 39.7951, 39.7951) * CHOOSE(CONTROL!$C$21, $C$9, 100%, $E$9)</f>
        <v>39.795099999999998</v>
      </c>
      <c r="P669" s="14">
        <f>CHOOSE(CONTROL!$C$42, 39.7001, 39.7001) * CHOOSE(CONTROL!$C$21, $C$9, 100%, $E$9)</f>
        <v>39.700099999999999</v>
      </c>
      <c r="Q669" s="14">
        <f>CHOOSE(CONTROL!$C$42, 40.3898, 40.3898) * CHOOSE(CONTROL!$C$21, $C$9, 100%, $E$9)</f>
        <v>40.389800000000001</v>
      </c>
      <c r="R669" s="14">
        <f>CHOOSE(CONTROL!$C$42, 41.0777, 41.0777) * CHOOSE(CONTROL!$C$21, $C$9, 100%, $E$9)</f>
        <v>41.0777</v>
      </c>
      <c r="S669" s="14">
        <f>CHOOSE(CONTROL!$C$42, 38.7818, 38.7818) * CHOOSE(CONTROL!$C$21, $C$9, 100%, $E$9)</f>
        <v>38.781799999999997</v>
      </c>
      <c r="T6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69" s="57">
        <f>(1000*CHOOSE(CONTROL!$C$42, 695, 695)*CHOOSE(CONTROL!$C$42, 0.5599, 0.5599)*CHOOSE(CONTROL!$C$42, 30, 30))/1000000</f>
        <v>11.673914999999997</v>
      </c>
      <c r="V669" s="57">
        <f>(1000*CHOOSE(CONTROL!$C$42, 500, 500)*CHOOSE(CONTROL!$C$42, 0.275, 0.275)*CHOOSE(CONTROL!$C$42, 30, 30))/1000000</f>
        <v>4.125</v>
      </c>
      <c r="W669" s="57">
        <f>(1000*CHOOSE(CONTROL!$C$42, 0.1146, 0.1146)*CHOOSE(CONTROL!$C$42, 121.5, 121.5)*CHOOSE(CONTROL!$C$42, 30, 30))/1000000</f>
        <v>0.417717</v>
      </c>
      <c r="X669" s="57">
        <f>(30*0.1790888*245000/1000000)+(30*0.2374*100000/1000000)</f>
        <v>2.0285026799999999</v>
      </c>
      <c r="Y669" s="57"/>
      <c r="Z669" s="14"/>
      <c r="AA669" s="56"/>
      <c r="AB669" s="50">
        <f>(B669*194.205+C669*267.466+D669*133.845+E669*53.484+F669*40+G669*185+H669*0+I669*100+J669*300)/(194.205+267.466+133.845+53.484+0+40+185+100+300)</f>
        <v>40.431825141287277</v>
      </c>
      <c r="AC669" s="45">
        <f>(M669*'RAP TEMPLATE-GAS AVAILABILITY'!O668+N669*'RAP TEMPLATE-GAS AVAILABILITY'!P668+O669*'RAP TEMPLATE-GAS AVAILABILITY'!Q668+P669*'RAP TEMPLATE-GAS AVAILABILITY'!R668)/('RAP TEMPLATE-GAS AVAILABILITY'!O668+'RAP TEMPLATE-GAS AVAILABILITY'!P668+'RAP TEMPLATE-GAS AVAILABILITY'!Q668+'RAP TEMPLATE-GAS AVAILABILITY'!R668)</f>
        <v>39.69228561151079</v>
      </c>
    </row>
    <row r="670" spans="1:29" ht="15.75" x14ac:dyDescent="0.25">
      <c r="A670" s="32">
        <v>61301</v>
      </c>
      <c r="B670" s="14">
        <f>CHOOSE(CONTROL!$C$42, 39.5497, 39.5497) * CHOOSE(CONTROL!$C$21, $C$9, 100%, $E$9)</f>
        <v>39.549700000000001</v>
      </c>
      <c r="C670" s="14">
        <f>CHOOSE(CONTROL!$C$42, 39.555, 39.555) * CHOOSE(CONTROL!$C$21, $C$9, 100%, $E$9)</f>
        <v>39.555</v>
      </c>
      <c r="D670" s="14">
        <f>CHOOSE(CONTROL!$C$42, 39.7806, 39.7806) * CHOOSE(CONTROL!$C$21, $C$9, 100%, $E$9)</f>
        <v>39.7806</v>
      </c>
      <c r="E670" s="14">
        <f>CHOOSE(CONTROL!$C$42, 39.8097, 39.8097) * CHOOSE(CONTROL!$C$21, $C$9, 100%, $E$9)</f>
        <v>39.809699999999999</v>
      </c>
      <c r="F670" s="14">
        <f>CHOOSE(CONTROL!$C$42, 39.5791, 39.5791)*CHOOSE(CONTROL!$C$21, $C$9, 100%, $E$9)</f>
        <v>39.579099999999997</v>
      </c>
      <c r="G670" s="14">
        <f>CHOOSE(CONTROL!$C$42, 39.5963, 39.5963)*CHOOSE(CONTROL!$C$21, $C$9, 100%, $E$9)</f>
        <v>39.596299999999999</v>
      </c>
      <c r="H670" s="14">
        <f>CHOOSE(CONTROL!$C$42, 39.8002, 39.8002) * CHOOSE(CONTROL!$C$21, $C$9, 100%, $E$9)</f>
        <v>39.800199999999997</v>
      </c>
      <c r="I670" s="14">
        <f>CHOOSE(CONTROL!$C$42, 39.7032, 39.7032)* CHOOSE(CONTROL!$C$21, $C$9, 100%, $E$9)</f>
        <v>39.703200000000002</v>
      </c>
      <c r="J670" s="14">
        <f>CHOOSE(CONTROL!$C$42, 39.5721, 39.5721)* CHOOSE(CONTROL!$C$21, $C$9, 100%, $E$9)</f>
        <v>39.572099999999999</v>
      </c>
      <c r="K670" s="53">
        <f>CHOOSE(CONTROL!$C$42, 39.6993, 39.6993) * CHOOSE(CONTROL!$C$21, $C$9, 100%, $E$9)</f>
        <v>39.699300000000001</v>
      </c>
      <c r="L670" s="14">
        <f>CHOOSE(CONTROL!$C$42, 40.3872, 40.3872) * CHOOSE(CONTROL!$C$21, $C$9, 100%, $E$9)</f>
        <v>40.3872</v>
      </c>
      <c r="M670" s="14">
        <f>CHOOSE(CONTROL!$C$42, 38.769, 38.769) * CHOOSE(CONTROL!$C$21, $C$9, 100%, $E$9)</f>
        <v>38.768999999999998</v>
      </c>
      <c r="N670" s="14">
        <f>CHOOSE(CONTROL!$C$42, 38.7859, 38.7859) * CHOOSE(CONTROL!$C$21, $C$9, 100%, $E$9)</f>
        <v>38.785899999999998</v>
      </c>
      <c r="O670" s="14">
        <f>CHOOSE(CONTROL!$C$42, 38.9924, 38.9924) * CHOOSE(CONTROL!$C$21, $C$9, 100%, $E$9)</f>
        <v>38.992400000000004</v>
      </c>
      <c r="P670" s="14">
        <f>CHOOSE(CONTROL!$C$42, 38.895, 38.895) * CHOOSE(CONTROL!$C$21, $C$9, 100%, $E$9)</f>
        <v>38.895000000000003</v>
      </c>
      <c r="Q670" s="14">
        <f>CHOOSE(CONTROL!$C$42, 39.5871, 39.5871) * CHOOSE(CONTROL!$C$21, $C$9, 100%, $E$9)</f>
        <v>39.5871</v>
      </c>
      <c r="R670" s="14">
        <f>CHOOSE(CONTROL!$C$42, 40.2731, 40.2731) * CHOOSE(CONTROL!$C$21, $C$9, 100%, $E$9)</f>
        <v>40.273099999999999</v>
      </c>
      <c r="S670" s="14">
        <f>CHOOSE(CONTROL!$C$42, 37.9944, 37.9944) * CHOOSE(CONTROL!$C$21, $C$9, 100%, $E$9)</f>
        <v>37.994399999999999</v>
      </c>
      <c r="T6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70" s="57">
        <f>(1000*CHOOSE(CONTROL!$C$42, 695, 695)*CHOOSE(CONTROL!$C$42, 0.5599, 0.5599)*CHOOSE(CONTROL!$C$42, 31, 31))/1000000</f>
        <v>12.063045499999998</v>
      </c>
      <c r="V670" s="57">
        <f>(1000*CHOOSE(CONTROL!$C$42, 500, 500)*CHOOSE(CONTROL!$C$42, 0.275, 0.275)*CHOOSE(CONTROL!$C$42, 31, 31))/1000000</f>
        <v>4.2625000000000002</v>
      </c>
      <c r="W670" s="57">
        <f>(1000*CHOOSE(CONTROL!$C$42, 0.1146, 0.1146)*CHOOSE(CONTROL!$C$42, 121.5, 121.5)*CHOOSE(CONTROL!$C$42, 31, 31))/1000000</f>
        <v>0.43164089999999994</v>
      </c>
      <c r="X670" s="57">
        <f>(31*0.1790888*245000/1000000)+(31*0.2374*100000/1000000)</f>
        <v>2.0961194359999999</v>
      </c>
      <c r="Y670" s="57"/>
      <c r="Z670" s="14"/>
      <c r="AA670" s="56"/>
      <c r="AB670" s="50">
        <f>(B670*131.881+C670*277.167+D670*79.08+E670*125.872+F670*40+G670*185+H670*0+I670*100+J670*300)/(131.881+277.167+79.08+125.872+0+40+185+100+300)</f>
        <v>39.617756720823238</v>
      </c>
      <c r="AC670" s="45">
        <f>(M670*'RAP TEMPLATE-GAS AVAILABILITY'!O669+N670*'RAP TEMPLATE-GAS AVAILABILITY'!P669+O670*'RAP TEMPLATE-GAS AVAILABILITY'!Q669+P670*'RAP TEMPLATE-GAS AVAILABILITY'!R669)/('RAP TEMPLATE-GAS AVAILABILITY'!O669+'RAP TEMPLATE-GAS AVAILABILITY'!P669+'RAP TEMPLATE-GAS AVAILABILITY'!Q669+'RAP TEMPLATE-GAS AVAILABILITY'!R669)</f>
        <v>38.889355395683452</v>
      </c>
    </row>
    <row r="671" spans="1:29" ht="15.75" x14ac:dyDescent="0.25">
      <c r="A671" s="32">
        <v>61331</v>
      </c>
      <c r="B671" s="14">
        <f>CHOOSE(CONTROL!$C$42, 40.591, 40.591) * CHOOSE(CONTROL!$C$21, $C$9, 100%, $E$9)</f>
        <v>40.591000000000001</v>
      </c>
      <c r="C671" s="14">
        <f>CHOOSE(CONTROL!$C$42, 40.596, 40.596) * CHOOSE(CONTROL!$C$21, $C$9, 100%, $E$9)</f>
        <v>40.595999999999997</v>
      </c>
      <c r="D671" s="14">
        <f>CHOOSE(CONTROL!$C$42, 40.6702, 40.6702) * CHOOSE(CONTROL!$C$21, $C$9, 100%, $E$9)</f>
        <v>40.670200000000001</v>
      </c>
      <c r="E671" s="14">
        <f>CHOOSE(CONTROL!$C$42, 40.7044, 40.7044) * CHOOSE(CONTROL!$C$21, $C$9, 100%, $E$9)</f>
        <v>40.7044</v>
      </c>
      <c r="F671" s="14">
        <f>CHOOSE(CONTROL!$C$42, 40.627, 40.627)*CHOOSE(CONTROL!$C$21, $C$9, 100%, $E$9)</f>
        <v>40.627000000000002</v>
      </c>
      <c r="G671" s="14">
        <f>CHOOSE(CONTROL!$C$42, 40.6445, 40.6445)*CHOOSE(CONTROL!$C$21, $C$9, 100%, $E$9)</f>
        <v>40.644500000000001</v>
      </c>
      <c r="H671" s="14">
        <f>CHOOSE(CONTROL!$C$42, 40.6936, 40.6936) * CHOOSE(CONTROL!$C$21, $C$9, 100%, $E$9)</f>
        <v>40.693600000000004</v>
      </c>
      <c r="I671" s="14">
        <f>CHOOSE(CONTROL!$C$42, 40.7455, 40.7455)* CHOOSE(CONTROL!$C$21, $C$9, 100%, $E$9)</f>
        <v>40.7455</v>
      </c>
      <c r="J671" s="14">
        <f>CHOOSE(CONTROL!$C$42, 40.62, 40.62)* CHOOSE(CONTROL!$C$21, $C$9, 100%, $E$9)</f>
        <v>40.619999999999997</v>
      </c>
      <c r="K671" s="53">
        <f>CHOOSE(CONTROL!$C$42, 40.7417, 40.7417) * CHOOSE(CONTROL!$C$21, $C$9, 100%, $E$9)</f>
        <v>40.741700000000002</v>
      </c>
      <c r="L671" s="14">
        <f>CHOOSE(CONTROL!$C$42, 41.2806, 41.2806) * CHOOSE(CONTROL!$C$21, $C$9, 100%, $E$9)</f>
        <v>41.2806</v>
      </c>
      <c r="M671" s="14">
        <f>CHOOSE(CONTROL!$C$42, 39.7954, 39.7954) * CHOOSE(CONTROL!$C$21, $C$9, 100%, $E$9)</f>
        <v>39.795400000000001</v>
      </c>
      <c r="N671" s="14">
        <f>CHOOSE(CONTROL!$C$42, 39.8126, 39.8126) * CHOOSE(CONTROL!$C$21, $C$9, 100%, $E$9)</f>
        <v>39.812600000000003</v>
      </c>
      <c r="O671" s="14">
        <f>CHOOSE(CONTROL!$C$42, 39.8675, 39.8675) * CHOOSE(CONTROL!$C$21, $C$9, 100%, $E$9)</f>
        <v>39.8675</v>
      </c>
      <c r="P671" s="14">
        <f>CHOOSE(CONTROL!$C$42, 39.9159, 39.9159) * CHOOSE(CONTROL!$C$21, $C$9, 100%, $E$9)</f>
        <v>39.915900000000001</v>
      </c>
      <c r="Q671" s="14">
        <f>CHOOSE(CONTROL!$C$42, 40.4622, 40.4622) * CHOOSE(CONTROL!$C$21, $C$9, 100%, $E$9)</f>
        <v>40.462200000000003</v>
      </c>
      <c r="R671" s="14">
        <f>CHOOSE(CONTROL!$C$42, 41.1503, 41.1503) * CHOOSE(CONTROL!$C$21, $C$9, 100%, $E$9)</f>
        <v>41.150300000000001</v>
      </c>
      <c r="S671" s="14">
        <f>CHOOSE(CONTROL!$C$42, 38.9953, 38.9953) * CHOOSE(CONTROL!$C$21, $C$9, 100%, $E$9)</f>
        <v>38.9953</v>
      </c>
      <c r="T6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71" s="57">
        <f>(1000*CHOOSE(CONTROL!$C$42, 695, 695)*CHOOSE(CONTROL!$C$42, 0.5599, 0.5599)*CHOOSE(CONTROL!$C$42, 30, 30))/1000000</f>
        <v>11.673914999999997</v>
      </c>
      <c r="V671" s="57">
        <f>(1000*CHOOSE(CONTROL!$C$42, 500, 500)*CHOOSE(CONTROL!$C$42, 0.275, 0.275)*CHOOSE(CONTROL!$C$42, 30, 30))/1000000</f>
        <v>4.125</v>
      </c>
      <c r="W671" s="57">
        <f>(1000*CHOOSE(CONTROL!$C$42, 0.1146, 0.1146)*CHOOSE(CONTROL!$C$42, 121.5, 121.5)*CHOOSE(CONTROL!$C$42, 30, 30))/1000000</f>
        <v>0.417717</v>
      </c>
      <c r="X671" s="57">
        <f>(30*0.1790888*100000/1000000)+(30*0.2374*100000/1000000)</f>
        <v>1.2494664</v>
      </c>
      <c r="Y671" s="57"/>
      <c r="Z671" s="14"/>
      <c r="AA671" s="56"/>
      <c r="AB671" s="50">
        <f>(B671*122.58+C671*297.941+D671*89.177+E671*40.302+F671*40+G671*160+H671*0+I671*100+J671*300)/(122.58+297.941+89.177+40.302+0+40+160+100+300)</f>
        <v>40.632106756695649</v>
      </c>
      <c r="AC671" s="45">
        <f>(M671*'RAP TEMPLATE-GAS AVAILABILITY'!O670+N671*'RAP TEMPLATE-GAS AVAILABILITY'!P670+O671*'RAP TEMPLATE-GAS AVAILABILITY'!Q670+P671*'RAP TEMPLATE-GAS AVAILABILITY'!R670)/('RAP TEMPLATE-GAS AVAILABILITY'!O670+'RAP TEMPLATE-GAS AVAILABILITY'!P670+'RAP TEMPLATE-GAS AVAILABILITY'!Q670+'RAP TEMPLATE-GAS AVAILABILITY'!R670)</f>
        <v>39.846406474820149</v>
      </c>
    </row>
    <row r="672" spans="1:29" ht="15.75" x14ac:dyDescent="0.25">
      <c r="A672" s="32">
        <v>61362</v>
      </c>
      <c r="B672" s="14">
        <f>CHOOSE(CONTROL!$C$42, 43.3578, 43.3578) * CHOOSE(CONTROL!$C$21, $C$9, 100%, $E$9)</f>
        <v>43.357799999999997</v>
      </c>
      <c r="C672" s="14">
        <f>CHOOSE(CONTROL!$C$42, 43.3628, 43.3628) * CHOOSE(CONTROL!$C$21, $C$9, 100%, $E$9)</f>
        <v>43.3628</v>
      </c>
      <c r="D672" s="14">
        <f>CHOOSE(CONTROL!$C$42, 43.4371, 43.4371) * CHOOSE(CONTROL!$C$21, $C$9, 100%, $E$9)</f>
        <v>43.437100000000001</v>
      </c>
      <c r="E672" s="14">
        <f>CHOOSE(CONTROL!$C$42, 43.4712, 43.4712) * CHOOSE(CONTROL!$C$21, $C$9, 100%, $E$9)</f>
        <v>43.471200000000003</v>
      </c>
      <c r="F672" s="14">
        <f>CHOOSE(CONTROL!$C$42, 43.3962, 43.3962)*CHOOSE(CONTROL!$C$21, $C$9, 100%, $E$9)</f>
        <v>43.3962</v>
      </c>
      <c r="G672" s="14">
        <f>CHOOSE(CONTROL!$C$42, 43.4143, 43.4143)*CHOOSE(CONTROL!$C$21, $C$9, 100%, $E$9)</f>
        <v>43.414299999999997</v>
      </c>
      <c r="H672" s="14">
        <f>CHOOSE(CONTROL!$C$42, 43.4604, 43.4604) * CHOOSE(CONTROL!$C$21, $C$9, 100%, $E$9)</f>
        <v>43.4604</v>
      </c>
      <c r="I672" s="14">
        <f>CHOOSE(CONTROL!$C$42, 43.521, 43.521)* CHOOSE(CONTROL!$C$21, $C$9, 100%, $E$9)</f>
        <v>43.521000000000001</v>
      </c>
      <c r="J672" s="14">
        <f>CHOOSE(CONTROL!$C$42, 43.3892, 43.3892)* CHOOSE(CONTROL!$C$21, $C$9, 100%, $E$9)</f>
        <v>43.389200000000002</v>
      </c>
      <c r="K672" s="53">
        <f>CHOOSE(CONTROL!$C$42, 43.5171, 43.5171) * CHOOSE(CONTROL!$C$21, $C$9, 100%, $E$9)</f>
        <v>43.517099999999999</v>
      </c>
      <c r="L672" s="14">
        <f>CHOOSE(CONTROL!$C$42, 44.0474, 44.0474) * CHOOSE(CONTROL!$C$21, $C$9, 100%, $E$9)</f>
        <v>44.047400000000003</v>
      </c>
      <c r="M672" s="14">
        <f>CHOOSE(CONTROL!$C$42, 42.5079, 42.5079) * CHOOSE(CONTROL!$C$21, $C$9, 100%, $E$9)</f>
        <v>42.507899999999999</v>
      </c>
      <c r="N672" s="14">
        <f>CHOOSE(CONTROL!$C$42, 42.5256, 42.5256) * CHOOSE(CONTROL!$C$21, $C$9, 100%, $E$9)</f>
        <v>42.525599999999997</v>
      </c>
      <c r="O672" s="14">
        <f>CHOOSE(CONTROL!$C$42, 42.5776, 42.5776) * CHOOSE(CONTROL!$C$21, $C$9, 100%, $E$9)</f>
        <v>42.577599999999997</v>
      </c>
      <c r="P672" s="14">
        <f>CHOOSE(CONTROL!$C$42, 42.6344, 42.6344) * CHOOSE(CONTROL!$C$21, $C$9, 100%, $E$9)</f>
        <v>42.634399999999999</v>
      </c>
      <c r="Q672" s="14">
        <f>CHOOSE(CONTROL!$C$42, 43.1723, 43.1723) * CHOOSE(CONTROL!$C$21, $C$9, 100%, $E$9)</f>
        <v>43.1723</v>
      </c>
      <c r="R672" s="14">
        <f>CHOOSE(CONTROL!$C$42, 43.8672, 43.8672) * CHOOSE(CONTROL!$C$21, $C$9, 100%, $E$9)</f>
        <v>43.867199999999997</v>
      </c>
      <c r="S672" s="14">
        <f>CHOOSE(CONTROL!$C$42, 41.654, 41.654) * CHOOSE(CONTROL!$C$21, $C$9, 100%, $E$9)</f>
        <v>41.654000000000003</v>
      </c>
      <c r="T6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72" s="57">
        <f>(1000*CHOOSE(CONTROL!$C$42, 695, 695)*CHOOSE(CONTROL!$C$42, 0.5599, 0.5599)*CHOOSE(CONTROL!$C$42, 31, 31))/1000000</f>
        <v>12.063045499999998</v>
      </c>
      <c r="V672" s="57">
        <f>(1000*CHOOSE(CONTROL!$C$42, 500, 500)*CHOOSE(CONTROL!$C$42, 0.275, 0.275)*CHOOSE(CONTROL!$C$42, 31, 31))/1000000</f>
        <v>4.2625000000000002</v>
      </c>
      <c r="W672" s="57">
        <f>(1000*CHOOSE(CONTROL!$C$42, 0.1146, 0.1146)*CHOOSE(CONTROL!$C$42, 121.5, 121.5)*CHOOSE(CONTROL!$C$42, 31, 31))/1000000</f>
        <v>0.43164089999999994</v>
      </c>
      <c r="X672" s="57">
        <f>(31*0.1790888*100000/1000000)+(31*0.2374*100000/1000000)</f>
        <v>1.2911152800000001</v>
      </c>
      <c r="Y672" s="57"/>
      <c r="Z672" s="14"/>
      <c r="AA672" s="56"/>
      <c r="AB672" s="50">
        <f>(B672*122.58+C672*297.941+D672*89.177+E672*40.302+F672*40+G672*160+H672*0+I672*100+J672*300)/(122.58+297.941+89.177+40.302+0+40+160+100+300)</f>
        <v>43.400797989478264</v>
      </c>
      <c r="AC672" s="45">
        <f>(M672*'RAP TEMPLATE-GAS AVAILABILITY'!O671+N672*'RAP TEMPLATE-GAS AVAILABILITY'!P671+O672*'RAP TEMPLATE-GAS AVAILABILITY'!Q671+P672*'RAP TEMPLATE-GAS AVAILABILITY'!R671)/('RAP TEMPLATE-GAS AVAILABILITY'!O671+'RAP TEMPLATE-GAS AVAILABILITY'!P671+'RAP TEMPLATE-GAS AVAILABILITY'!Q671+'RAP TEMPLATE-GAS AVAILABILITY'!R671)</f>
        <v>42.558710791366906</v>
      </c>
    </row>
    <row r="673" spans="1:29" ht="15.75" x14ac:dyDescent="0.25">
      <c r="A673" s="32">
        <v>61393</v>
      </c>
      <c r="B673" s="14">
        <f>CHOOSE(CONTROL!$C$42, 46.9514, 46.9514) * CHOOSE(CONTROL!$C$21, $C$9, 100%, $E$9)</f>
        <v>46.9514</v>
      </c>
      <c r="C673" s="14">
        <f>CHOOSE(CONTROL!$C$42, 46.9564, 46.9564) * CHOOSE(CONTROL!$C$21, $C$9, 100%, $E$9)</f>
        <v>46.956400000000002</v>
      </c>
      <c r="D673" s="14">
        <f>CHOOSE(CONTROL!$C$42, 47.0333, 47.0333) * CHOOSE(CONTROL!$C$21, $C$9, 100%, $E$9)</f>
        <v>47.033299999999997</v>
      </c>
      <c r="E673" s="14">
        <f>CHOOSE(CONTROL!$C$42, 47.0674, 47.0674) * CHOOSE(CONTROL!$C$21, $C$9, 100%, $E$9)</f>
        <v>47.067399999999999</v>
      </c>
      <c r="F673" s="14">
        <f>CHOOSE(CONTROL!$C$42, 46.9761, 46.9761)*CHOOSE(CONTROL!$C$21, $C$9, 100%, $E$9)</f>
        <v>46.976100000000002</v>
      </c>
      <c r="G673" s="14">
        <f>CHOOSE(CONTROL!$C$42, 46.9941, 46.9941)*CHOOSE(CONTROL!$C$21, $C$9, 100%, $E$9)</f>
        <v>46.994100000000003</v>
      </c>
      <c r="H673" s="14">
        <f>CHOOSE(CONTROL!$C$42, 47.0566, 47.0566) * CHOOSE(CONTROL!$C$21, $C$9, 100%, $E$9)</f>
        <v>47.056600000000003</v>
      </c>
      <c r="I673" s="14">
        <f>CHOOSE(CONTROL!$C$42, 47.1322, 47.1322)* CHOOSE(CONTROL!$C$21, $C$9, 100%, $E$9)</f>
        <v>47.132199999999997</v>
      </c>
      <c r="J673" s="14">
        <f>CHOOSE(CONTROL!$C$42, 46.9691, 46.9691)* CHOOSE(CONTROL!$C$21, $C$9, 100%, $E$9)</f>
        <v>46.969099999999997</v>
      </c>
      <c r="K673" s="53">
        <f>CHOOSE(CONTROL!$C$42, 47.1283, 47.1283) * CHOOSE(CONTROL!$C$21, $C$9, 100%, $E$9)</f>
        <v>47.128300000000003</v>
      </c>
      <c r="L673" s="14">
        <f>CHOOSE(CONTROL!$C$42, 47.6436, 47.6436) * CHOOSE(CONTROL!$C$21, $C$9, 100%, $E$9)</f>
        <v>47.643599999999999</v>
      </c>
      <c r="M673" s="14">
        <f>CHOOSE(CONTROL!$C$42, 46.0144, 46.0144) * CHOOSE(CONTROL!$C$21, $C$9, 100%, $E$9)</f>
        <v>46.014400000000002</v>
      </c>
      <c r="N673" s="14">
        <f>CHOOSE(CONTROL!$C$42, 46.0321, 46.0321) * CHOOSE(CONTROL!$C$21, $C$9, 100%, $E$9)</f>
        <v>46.0321</v>
      </c>
      <c r="O673" s="14">
        <f>CHOOSE(CONTROL!$C$42, 46.1001, 46.1001) * CHOOSE(CONTROL!$C$21, $C$9, 100%, $E$9)</f>
        <v>46.100099999999998</v>
      </c>
      <c r="P673" s="14">
        <f>CHOOSE(CONTROL!$C$42, 46.1713, 46.1713) * CHOOSE(CONTROL!$C$21, $C$9, 100%, $E$9)</f>
        <v>46.171300000000002</v>
      </c>
      <c r="Q673" s="14">
        <f>CHOOSE(CONTROL!$C$42, 46.6948, 46.6948) * CHOOSE(CONTROL!$C$21, $C$9, 100%, $E$9)</f>
        <v>46.694800000000001</v>
      </c>
      <c r="R673" s="14">
        <f>CHOOSE(CONTROL!$C$42, 47.3985, 47.3985) * CHOOSE(CONTROL!$C$21, $C$9, 100%, $E$9)</f>
        <v>47.398499999999999</v>
      </c>
      <c r="S673" s="14">
        <f>CHOOSE(CONTROL!$C$42, 45.107, 45.107) * CHOOSE(CONTROL!$C$21, $C$9, 100%, $E$9)</f>
        <v>45.106999999999999</v>
      </c>
      <c r="T6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73" s="57">
        <f>(1000*CHOOSE(CONTROL!$C$42, 695, 695)*CHOOSE(CONTROL!$C$42, 0.5599, 0.5599)*CHOOSE(CONTROL!$C$42, 31, 31))/1000000</f>
        <v>12.063045499999998</v>
      </c>
      <c r="V673" s="57">
        <f>(1000*CHOOSE(CONTROL!$C$42, 500, 500)*CHOOSE(CONTROL!$C$42, 0.275, 0.275)*CHOOSE(CONTROL!$C$42, 31, 31))/1000000</f>
        <v>4.2625000000000002</v>
      </c>
      <c r="W673" s="57">
        <f>(1000*CHOOSE(CONTROL!$C$42, 0.1146, 0.1146)*CHOOSE(CONTROL!$C$42, 121.5, 121.5)*CHOOSE(CONTROL!$C$42, 31, 31))/1000000</f>
        <v>0.43164089999999994</v>
      </c>
      <c r="X673" s="57">
        <f>(31*0.1790888*100000/1000000)+(31*0.2374*100000/1000000)</f>
        <v>1.2911152800000001</v>
      </c>
      <c r="Y673" s="57"/>
      <c r="Z673" s="14"/>
      <c r="AA673" s="56"/>
      <c r="AB673" s="50">
        <f>(B673*122.58+C673*297.941+D673*89.177+E673*40.302+F673*40+G673*160+H673*0+I673*100+J673*300)/(122.58+297.941+89.177+40.302+0+40+160+100+300)</f>
        <v>46.990250724608686</v>
      </c>
      <c r="AC673" s="45">
        <f>(M673*'RAP TEMPLATE-GAS AVAILABILITY'!O672+N673*'RAP TEMPLATE-GAS AVAILABILITY'!P672+O673*'RAP TEMPLATE-GAS AVAILABILITY'!Q672+P673*'RAP TEMPLATE-GAS AVAILABILITY'!R672)/('RAP TEMPLATE-GAS AVAILABILITY'!O672+'RAP TEMPLATE-GAS AVAILABILITY'!P672+'RAP TEMPLATE-GAS AVAILABILITY'!Q672+'RAP TEMPLATE-GAS AVAILABILITY'!R672)</f>
        <v>46.076836690647482</v>
      </c>
    </row>
    <row r="674" spans="1:29" ht="15.75" x14ac:dyDescent="0.25">
      <c r="A674" s="32">
        <v>61422</v>
      </c>
      <c r="B674" s="14">
        <f>CHOOSE(CONTROL!$C$42, 47.787, 47.787) * CHOOSE(CONTROL!$C$21, $C$9, 100%, $E$9)</f>
        <v>47.786999999999999</v>
      </c>
      <c r="C674" s="14">
        <f>CHOOSE(CONTROL!$C$42, 47.7921, 47.7921) * CHOOSE(CONTROL!$C$21, $C$9, 100%, $E$9)</f>
        <v>47.792099999999998</v>
      </c>
      <c r="D674" s="14">
        <f>CHOOSE(CONTROL!$C$42, 47.8689, 47.8689) * CHOOSE(CONTROL!$C$21, $C$9, 100%, $E$9)</f>
        <v>47.868899999999996</v>
      </c>
      <c r="E674" s="14">
        <f>CHOOSE(CONTROL!$C$42, 47.903, 47.903) * CHOOSE(CONTROL!$C$21, $C$9, 100%, $E$9)</f>
        <v>47.902999999999999</v>
      </c>
      <c r="F674" s="14">
        <f>CHOOSE(CONTROL!$C$42, 47.8114, 47.8114)*CHOOSE(CONTROL!$C$21, $C$9, 100%, $E$9)</f>
        <v>47.811399999999999</v>
      </c>
      <c r="G674" s="14">
        <f>CHOOSE(CONTROL!$C$42, 47.8292, 47.8292)*CHOOSE(CONTROL!$C$21, $C$9, 100%, $E$9)</f>
        <v>47.8292</v>
      </c>
      <c r="H674" s="14">
        <f>CHOOSE(CONTROL!$C$42, 47.8922, 47.8922) * CHOOSE(CONTROL!$C$21, $C$9, 100%, $E$9)</f>
        <v>47.892200000000003</v>
      </c>
      <c r="I674" s="14">
        <f>CHOOSE(CONTROL!$C$42, 47.9704, 47.9704)* CHOOSE(CONTROL!$C$21, $C$9, 100%, $E$9)</f>
        <v>47.970399999999998</v>
      </c>
      <c r="J674" s="14">
        <f>CHOOSE(CONTROL!$C$42, 47.8044, 47.8044)* CHOOSE(CONTROL!$C$21, $C$9, 100%, $E$9)</f>
        <v>47.804400000000001</v>
      </c>
      <c r="K674" s="53">
        <f>CHOOSE(CONTROL!$C$42, 47.9665, 47.9665) * CHOOSE(CONTROL!$C$21, $C$9, 100%, $E$9)</f>
        <v>47.966500000000003</v>
      </c>
      <c r="L674" s="14">
        <f>CHOOSE(CONTROL!$C$42, 48.4792, 48.4792) * CHOOSE(CONTROL!$C$21, $C$9, 100%, $E$9)</f>
        <v>48.479199999999999</v>
      </c>
      <c r="M674" s="14">
        <f>CHOOSE(CONTROL!$C$42, 46.8326, 46.8326) * CHOOSE(CONTROL!$C$21, $C$9, 100%, $E$9)</f>
        <v>46.832599999999999</v>
      </c>
      <c r="N674" s="14">
        <f>CHOOSE(CONTROL!$C$42, 46.8501, 46.8501) * CHOOSE(CONTROL!$C$21, $C$9, 100%, $E$9)</f>
        <v>46.850099999999998</v>
      </c>
      <c r="O674" s="14">
        <f>CHOOSE(CONTROL!$C$42, 46.9186, 46.9186) * CHOOSE(CONTROL!$C$21, $C$9, 100%, $E$9)</f>
        <v>46.918599999999998</v>
      </c>
      <c r="P674" s="14">
        <f>CHOOSE(CONTROL!$C$42, 46.9923, 46.9923) * CHOOSE(CONTROL!$C$21, $C$9, 100%, $E$9)</f>
        <v>46.9923</v>
      </c>
      <c r="Q674" s="14">
        <f>CHOOSE(CONTROL!$C$42, 47.5133, 47.5133) * CHOOSE(CONTROL!$C$21, $C$9, 100%, $E$9)</f>
        <v>47.513300000000001</v>
      </c>
      <c r="R674" s="14">
        <f>CHOOSE(CONTROL!$C$42, 48.2191, 48.2191) * CHOOSE(CONTROL!$C$21, $C$9, 100%, $E$9)</f>
        <v>48.219099999999997</v>
      </c>
      <c r="S674" s="14">
        <f>CHOOSE(CONTROL!$C$42, 45.91, 45.91) * CHOOSE(CONTROL!$C$21, $C$9, 100%, $E$9)</f>
        <v>45.91</v>
      </c>
      <c r="T67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74" s="57">
        <f>(1000*CHOOSE(CONTROL!$C$42, 695, 695)*CHOOSE(CONTROL!$C$42, 0.5599, 0.5599)*CHOOSE(CONTROL!$C$42, 29, 29))/1000000</f>
        <v>11.284784499999999</v>
      </c>
      <c r="V674" s="57">
        <f>(1000*CHOOSE(CONTROL!$C$42, 500, 500)*CHOOSE(CONTROL!$C$42, 0.275, 0.275)*CHOOSE(CONTROL!$C$42, 29, 29))/1000000</f>
        <v>3.9874999999999998</v>
      </c>
      <c r="W674" s="57">
        <f>(1000*CHOOSE(CONTROL!$C$42, 0.1146, 0.1146)*CHOOSE(CONTROL!$C$42, 121.5, 121.5)*CHOOSE(CONTROL!$C$42, 29, 29))/1000000</f>
        <v>0.40379309999999996</v>
      </c>
      <c r="X674" s="57">
        <f>(29*0.1790888*100000/1000000)+(29*0.2374*100000/1000000)</f>
        <v>1.2078175199999999</v>
      </c>
      <c r="Y674" s="57"/>
      <c r="Z674" s="14"/>
      <c r="AA674" s="56"/>
      <c r="AB674" s="50">
        <f>(B674*122.58+C674*297.941+D674*89.177+E674*40.302+F674*40+G674*160+H674*0+I674*100+J674*300)/(122.58+297.941+89.177+40.302+0+40+160+100+300)</f>
        <v>47.825944458608696</v>
      </c>
      <c r="AC674" s="45">
        <f>(M674*'RAP TEMPLATE-GAS AVAILABILITY'!O673+N674*'RAP TEMPLATE-GAS AVAILABILITY'!P673+O674*'RAP TEMPLATE-GAS AVAILABILITY'!Q673+P674*'RAP TEMPLATE-GAS AVAILABILITY'!R673)/('RAP TEMPLATE-GAS AVAILABILITY'!O673+'RAP TEMPLATE-GAS AVAILABILITY'!P673+'RAP TEMPLATE-GAS AVAILABILITY'!Q673+'RAP TEMPLATE-GAS AVAILABILITY'!R673)</f>
        <v>46.895564028776974</v>
      </c>
    </row>
    <row r="675" spans="1:29" ht="15.75" x14ac:dyDescent="0.25">
      <c r="A675" s="32">
        <v>61453</v>
      </c>
      <c r="B675" s="14">
        <f>CHOOSE(CONTROL!$C$42, 46.4306, 46.4306) * CHOOSE(CONTROL!$C$21, $C$9, 100%, $E$9)</f>
        <v>46.430599999999998</v>
      </c>
      <c r="C675" s="14">
        <f>CHOOSE(CONTROL!$C$42, 46.4356, 46.4356) * CHOOSE(CONTROL!$C$21, $C$9, 100%, $E$9)</f>
        <v>46.435600000000001</v>
      </c>
      <c r="D675" s="14">
        <f>CHOOSE(CONTROL!$C$42, 46.5125, 46.5125) * CHOOSE(CONTROL!$C$21, $C$9, 100%, $E$9)</f>
        <v>46.512500000000003</v>
      </c>
      <c r="E675" s="14">
        <f>CHOOSE(CONTROL!$C$42, 46.5466, 46.5466) * CHOOSE(CONTROL!$C$21, $C$9, 100%, $E$9)</f>
        <v>46.546599999999998</v>
      </c>
      <c r="F675" s="14">
        <f>CHOOSE(CONTROL!$C$42, 46.454, 46.454)*CHOOSE(CONTROL!$C$21, $C$9, 100%, $E$9)</f>
        <v>46.454000000000001</v>
      </c>
      <c r="G675" s="14">
        <f>CHOOSE(CONTROL!$C$42, 46.4717, 46.4717)*CHOOSE(CONTROL!$C$21, $C$9, 100%, $E$9)</f>
        <v>46.471699999999998</v>
      </c>
      <c r="H675" s="14">
        <f>CHOOSE(CONTROL!$C$42, 46.5358, 46.5358) * CHOOSE(CONTROL!$C$21, $C$9, 100%, $E$9)</f>
        <v>46.535800000000002</v>
      </c>
      <c r="I675" s="14">
        <f>CHOOSE(CONTROL!$C$42, 46.6097, 46.6097)* CHOOSE(CONTROL!$C$21, $C$9, 100%, $E$9)</f>
        <v>46.609699999999997</v>
      </c>
      <c r="J675" s="14">
        <f>CHOOSE(CONTROL!$C$42, 46.447, 46.447)* CHOOSE(CONTROL!$C$21, $C$9, 100%, $E$9)</f>
        <v>46.447000000000003</v>
      </c>
      <c r="K675" s="53">
        <f>CHOOSE(CONTROL!$C$42, 46.6058, 46.6058) * CHOOSE(CONTROL!$C$21, $C$9, 100%, $E$9)</f>
        <v>46.605800000000002</v>
      </c>
      <c r="L675" s="14">
        <f>CHOOSE(CONTROL!$C$42, 47.1228, 47.1228) * CHOOSE(CONTROL!$C$21, $C$9, 100%, $E$9)</f>
        <v>47.122799999999998</v>
      </c>
      <c r="M675" s="14">
        <f>CHOOSE(CONTROL!$C$42, 45.5031, 45.5031) * CHOOSE(CONTROL!$C$21, $C$9, 100%, $E$9)</f>
        <v>45.503100000000003</v>
      </c>
      <c r="N675" s="14">
        <f>CHOOSE(CONTROL!$C$42, 45.5203, 45.5203) * CHOOSE(CONTROL!$C$21, $C$9, 100%, $E$9)</f>
        <v>45.520299999999999</v>
      </c>
      <c r="O675" s="14">
        <f>CHOOSE(CONTROL!$C$42, 45.59, 45.59) * CHOOSE(CONTROL!$C$21, $C$9, 100%, $E$9)</f>
        <v>45.59</v>
      </c>
      <c r="P675" s="14">
        <f>CHOOSE(CONTROL!$C$42, 45.6596, 45.6596) * CHOOSE(CONTROL!$C$21, $C$9, 100%, $E$9)</f>
        <v>45.659599999999998</v>
      </c>
      <c r="Q675" s="14">
        <f>CHOOSE(CONTROL!$C$42, 46.1847, 46.1847) * CHOOSE(CONTROL!$C$21, $C$9, 100%, $E$9)</f>
        <v>46.184699999999999</v>
      </c>
      <c r="R675" s="14">
        <f>CHOOSE(CONTROL!$C$42, 46.8871, 46.8871) * CHOOSE(CONTROL!$C$21, $C$9, 100%, $E$9)</f>
        <v>46.887099999999997</v>
      </c>
      <c r="S675" s="14">
        <f>CHOOSE(CONTROL!$C$42, 44.6066, 44.6066) * CHOOSE(CONTROL!$C$21, $C$9, 100%, $E$9)</f>
        <v>44.6066</v>
      </c>
      <c r="T6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75" s="57">
        <f>(1000*CHOOSE(CONTROL!$C$42, 695, 695)*CHOOSE(CONTROL!$C$42, 0.5599, 0.5599)*CHOOSE(CONTROL!$C$42, 31, 31))/1000000</f>
        <v>12.063045499999998</v>
      </c>
      <c r="V675" s="57">
        <f>(1000*CHOOSE(CONTROL!$C$42, 500, 500)*CHOOSE(CONTROL!$C$42, 0.275, 0.275)*CHOOSE(CONTROL!$C$42, 31, 31))/1000000</f>
        <v>4.2625000000000002</v>
      </c>
      <c r="W675" s="57">
        <f>(1000*CHOOSE(CONTROL!$C$42, 0.1146, 0.1146)*CHOOSE(CONTROL!$C$42, 121.5, 121.5)*CHOOSE(CONTROL!$C$42, 31, 31))/1000000</f>
        <v>0.43164089999999994</v>
      </c>
      <c r="X675" s="57">
        <f>(31*0.1790888*100000/1000000)+(31*0.2374*100000/1000000)</f>
        <v>1.2911152800000001</v>
      </c>
      <c r="Y675" s="57"/>
      <c r="Z675" s="14"/>
      <c r="AA675" s="56"/>
      <c r="AB675" s="50">
        <f>(B675*122.58+C675*297.941+D675*89.177+E675*40.302+F675*40+G675*160+H675*0+I675*100+J675*300)/(122.58+297.941+89.177+40.302+0+40+160+100+300)</f>
        <v>46.468695941999997</v>
      </c>
      <c r="AC675" s="45">
        <f>(M675*'RAP TEMPLATE-GAS AVAILABILITY'!O674+N675*'RAP TEMPLATE-GAS AVAILABILITY'!P674+O675*'RAP TEMPLATE-GAS AVAILABILITY'!Q674+P675*'RAP TEMPLATE-GAS AVAILABILITY'!R674)/('RAP TEMPLATE-GAS AVAILABILITY'!O674+'RAP TEMPLATE-GAS AVAILABILITY'!P674+'RAP TEMPLATE-GAS AVAILABILITY'!Q674+'RAP TEMPLATE-GAS AVAILABILITY'!R674)</f>
        <v>45.565994244604319</v>
      </c>
    </row>
    <row r="676" spans="1:29" ht="15.75" x14ac:dyDescent="0.25">
      <c r="A676" s="32">
        <v>61483</v>
      </c>
      <c r="B676" s="14">
        <f>CHOOSE(CONTROL!$C$42, 46.2926, 46.2926) * CHOOSE(CONTROL!$C$21, $C$9, 100%, $E$9)</f>
        <v>46.2926</v>
      </c>
      <c r="C676" s="14">
        <f>CHOOSE(CONTROL!$C$42, 46.2971, 46.2971) * CHOOSE(CONTROL!$C$21, $C$9, 100%, $E$9)</f>
        <v>46.2971</v>
      </c>
      <c r="D676" s="14">
        <f>CHOOSE(CONTROL!$C$42, 46.5208, 46.5208) * CHOOSE(CONTROL!$C$21, $C$9, 100%, $E$9)</f>
        <v>46.520800000000001</v>
      </c>
      <c r="E676" s="14">
        <f>CHOOSE(CONTROL!$C$42, 46.5529, 46.5529) * CHOOSE(CONTROL!$C$21, $C$9, 100%, $E$9)</f>
        <v>46.552900000000001</v>
      </c>
      <c r="F676" s="14">
        <f>CHOOSE(CONTROL!$C$42, 46.3203, 46.3203)*CHOOSE(CONTROL!$C$21, $C$9, 100%, $E$9)</f>
        <v>46.320300000000003</v>
      </c>
      <c r="G676" s="14">
        <f>CHOOSE(CONTROL!$C$42, 46.3372, 46.3372)*CHOOSE(CONTROL!$C$21, $C$9, 100%, $E$9)</f>
        <v>46.337200000000003</v>
      </c>
      <c r="H676" s="14">
        <f>CHOOSE(CONTROL!$C$42, 46.5427, 46.5427) * CHOOSE(CONTROL!$C$21, $C$9, 100%, $E$9)</f>
        <v>46.542700000000004</v>
      </c>
      <c r="I676" s="14">
        <f>CHOOSE(CONTROL!$C$42, 46.4669, 46.4669)* CHOOSE(CONTROL!$C$21, $C$9, 100%, $E$9)</f>
        <v>46.466900000000003</v>
      </c>
      <c r="J676" s="14">
        <f>CHOOSE(CONTROL!$C$42, 46.3133, 46.3133)* CHOOSE(CONTROL!$C$21, $C$9, 100%, $E$9)</f>
        <v>46.313299999999998</v>
      </c>
      <c r="K676" s="53">
        <f>CHOOSE(CONTROL!$C$42, 46.463, 46.463) * CHOOSE(CONTROL!$C$21, $C$9, 100%, $E$9)</f>
        <v>46.463000000000001</v>
      </c>
      <c r="L676" s="14">
        <f>CHOOSE(CONTROL!$C$42, 47.1297, 47.1297) * CHOOSE(CONTROL!$C$21, $C$9, 100%, $E$9)</f>
        <v>47.1297</v>
      </c>
      <c r="M676" s="14">
        <f>CHOOSE(CONTROL!$C$42, 45.372, 45.372) * CHOOSE(CONTROL!$C$21, $C$9, 100%, $E$9)</f>
        <v>45.372</v>
      </c>
      <c r="N676" s="14">
        <f>CHOOSE(CONTROL!$C$42, 45.3886, 45.3886) * CHOOSE(CONTROL!$C$21, $C$9, 100%, $E$9)</f>
        <v>45.388599999999997</v>
      </c>
      <c r="O676" s="14">
        <f>CHOOSE(CONTROL!$C$42, 45.5968, 45.5968) * CHOOSE(CONTROL!$C$21, $C$9, 100%, $E$9)</f>
        <v>45.596800000000002</v>
      </c>
      <c r="P676" s="14">
        <f>CHOOSE(CONTROL!$C$42, 45.5196, 45.5196) * CHOOSE(CONTROL!$C$21, $C$9, 100%, $E$9)</f>
        <v>45.519599999999997</v>
      </c>
      <c r="Q676" s="14">
        <f>CHOOSE(CONTROL!$C$42, 46.1915, 46.1915) * CHOOSE(CONTROL!$C$21, $C$9, 100%, $E$9)</f>
        <v>46.191499999999998</v>
      </c>
      <c r="R676" s="14">
        <f>CHOOSE(CONTROL!$C$42, 46.8939, 46.8939) * CHOOSE(CONTROL!$C$21, $C$9, 100%, $E$9)</f>
        <v>46.893900000000002</v>
      </c>
      <c r="S676" s="14">
        <f>CHOOSE(CONTROL!$C$42, 44.4733, 44.4733) * CHOOSE(CONTROL!$C$21, $C$9, 100%, $E$9)</f>
        <v>44.473300000000002</v>
      </c>
      <c r="T6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76" s="57">
        <f>(1000*CHOOSE(CONTROL!$C$42, 695, 695)*CHOOSE(CONTROL!$C$42, 0.5599, 0.5599)*CHOOSE(CONTROL!$C$42, 30, 30))/1000000</f>
        <v>11.673914999999997</v>
      </c>
      <c r="V676" s="57">
        <f>(1000*CHOOSE(CONTROL!$C$42, 500, 500)*CHOOSE(CONTROL!$C$42, 0.275, 0.275)*CHOOSE(CONTROL!$C$42, 30, 30))/1000000</f>
        <v>4.125</v>
      </c>
      <c r="W676" s="57">
        <f>(1000*CHOOSE(CONTROL!$C$42, 0.1146, 0.1146)*CHOOSE(CONTROL!$C$42, 121.5, 121.5)*CHOOSE(CONTROL!$C$42, 30, 30))/1000000</f>
        <v>0.417717</v>
      </c>
      <c r="X676" s="57">
        <f>(30*0.1790888*245000/1000000)+(30*0.2374*100000/1000000)</f>
        <v>2.0285026799999999</v>
      </c>
      <c r="Y676" s="57"/>
      <c r="Z676" s="14"/>
      <c r="AA676" s="56"/>
      <c r="AB676" s="50">
        <f>(B676*141.293+C676*267.993+D676*115.016+E676*89.698+F676*40+G676*185+H676*0+I676*100+J676*300)/(141.293+267.993+115.016+89.698+0+40+185+100+300)</f>
        <v>46.360235197013722</v>
      </c>
      <c r="AC676" s="45">
        <f>(M676*'RAP TEMPLATE-GAS AVAILABILITY'!O675+N676*'RAP TEMPLATE-GAS AVAILABILITY'!P675+O676*'RAP TEMPLATE-GAS AVAILABILITY'!Q675+P676*'RAP TEMPLATE-GAS AVAILABILITY'!R675)/('RAP TEMPLATE-GAS AVAILABILITY'!O675+'RAP TEMPLATE-GAS AVAILABILITY'!P675+'RAP TEMPLATE-GAS AVAILABILITY'!Q675+'RAP TEMPLATE-GAS AVAILABILITY'!R675)</f>
        <v>45.496080575539565</v>
      </c>
    </row>
    <row r="677" spans="1:29" ht="15.75" x14ac:dyDescent="0.25">
      <c r="A677" s="32">
        <v>61514</v>
      </c>
      <c r="B677" s="14">
        <f>CHOOSE(CONTROL!$C$42, 46.7025, 46.7025) * CHOOSE(CONTROL!$C$21, $C$9, 100%, $E$9)</f>
        <v>46.702500000000001</v>
      </c>
      <c r="C677" s="14">
        <f>CHOOSE(CONTROL!$C$42, 46.7105, 46.7105) * CHOOSE(CONTROL!$C$21, $C$9, 100%, $E$9)</f>
        <v>46.710500000000003</v>
      </c>
      <c r="D677" s="14">
        <f>CHOOSE(CONTROL!$C$42, 46.9311, 46.9311) * CHOOSE(CONTROL!$C$21, $C$9, 100%, $E$9)</f>
        <v>46.931100000000001</v>
      </c>
      <c r="E677" s="14">
        <f>CHOOSE(CONTROL!$C$42, 46.9626, 46.9626) * CHOOSE(CONTROL!$C$21, $C$9, 100%, $E$9)</f>
        <v>46.962600000000002</v>
      </c>
      <c r="F677" s="14">
        <f>CHOOSE(CONTROL!$C$42, 46.7287, 46.7287)*CHOOSE(CONTROL!$C$21, $C$9, 100%, $E$9)</f>
        <v>46.728700000000003</v>
      </c>
      <c r="G677" s="14">
        <f>CHOOSE(CONTROL!$C$42, 46.7459, 46.7459)*CHOOSE(CONTROL!$C$21, $C$9, 100%, $E$9)</f>
        <v>46.745899999999999</v>
      </c>
      <c r="H677" s="14">
        <f>CHOOSE(CONTROL!$C$42, 46.9512, 46.9512) * CHOOSE(CONTROL!$C$21, $C$9, 100%, $E$9)</f>
        <v>46.9512</v>
      </c>
      <c r="I677" s="14">
        <f>CHOOSE(CONTROL!$C$42, 46.8766, 46.8766)* CHOOSE(CONTROL!$C$21, $C$9, 100%, $E$9)</f>
        <v>46.876600000000003</v>
      </c>
      <c r="J677" s="14">
        <f>CHOOSE(CONTROL!$C$42, 46.7217, 46.7217)* CHOOSE(CONTROL!$C$21, $C$9, 100%, $E$9)</f>
        <v>46.721699999999998</v>
      </c>
      <c r="K677" s="53">
        <f>CHOOSE(CONTROL!$C$42, 46.8727, 46.8727) * CHOOSE(CONTROL!$C$21, $C$9, 100%, $E$9)</f>
        <v>46.872700000000002</v>
      </c>
      <c r="L677" s="14">
        <f>CHOOSE(CONTROL!$C$42, 47.5382, 47.5382) * CHOOSE(CONTROL!$C$21, $C$9, 100%, $E$9)</f>
        <v>47.538200000000003</v>
      </c>
      <c r="M677" s="14">
        <f>CHOOSE(CONTROL!$C$42, 45.7721, 45.7721) * CHOOSE(CONTROL!$C$21, $C$9, 100%, $E$9)</f>
        <v>45.772100000000002</v>
      </c>
      <c r="N677" s="14">
        <f>CHOOSE(CONTROL!$C$42, 45.7889, 45.7889) * CHOOSE(CONTROL!$C$21, $C$9, 100%, $E$9)</f>
        <v>45.788899999999998</v>
      </c>
      <c r="O677" s="14">
        <f>CHOOSE(CONTROL!$C$42, 45.9969, 45.9969) * CHOOSE(CONTROL!$C$21, $C$9, 100%, $E$9)</f>
        <v>45.996899999999997</v>
      </c>
      <c r="P677" s="14">
        <f>CHOOSE(CONTROL!$C$42, 45.921, 45.921) * CHOOSE(CONTROL!$C$21, $C$9, 100%, $E$9)</f>
        <v>45.920999999999999</v>
      </c>
      <c r="Q677" s="14">
        <f>CHOOSE(CONTROL!$C$42, 46.5916, 46.5916) * CHOOSE(CONTROL!$C$21, $C$9, 100%, $E$9)</f>
        <v>46.5916</v>
      </c>
      <c r="R677" s="14">
        <f>CHOOSE(CONTROL!$C$42, 47.2951, 47.2951) * CHOOSE(CONTROL!$C$21, $C$9, 100%, $E$9)</f>
        <v>47.295099999999998</v>
      </c>
      <c r="S677" s="14">
        <f>CHOOSE(CONTROL!$C$42, 44.8658, 44.8658) * CHOOSE(CONTROL!$C$21, $C$9, 100%, $E$9)</f>
        <v>44.8658</v>
      </c>
      <c r="T6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77" s="57">
        <f>(1000*CHOOSE(CONTROL!$C$42, 695, 695)*CHOOSE(CONTROL!$C$42, 0.5599, 0.5599)*CHOOSE(CONTROL!$C$42, 31, 31))/1000000</f>
        <v>12.063045499999998</v>
      </c>
      <c r="V677" s="57">
        <f>(1000*CHOOSE(CONTROL!$C$42, 500, 500)*CHOOSE(CONTROL!$C$42, 0.275, 0.275)*CHOOSE(CONTROL!$C$42, 31, 31))/1000000</f>
        <v>4.2625000000000002</v>
      </c>
      <c r="W677" s="57">
        <f>(1000*CHOOSE(CONTROL!$C$42, 0.1146, 0.1146)*CHOOSE(CONTROL!$C$42, 121.5, 121.5)*CHOOSE(CONTROL!$C$42, 31, 31))/1000000</f>
        <v>0.43164089999999994</v>
      </c>
      <c r="X677" s="57">
        <f>(31*0.1790888*245000/1000000)+(31*0.2374*100000/1000000)</f>
        <v>2.0961194359999999</v>
      </c>
      <c r="Y677" s="57"/>
      <c r="Z677" s="14"/>
      <c r="AA677" s="56"/>
      <c r="AB677" s="50">
        <f>(B677*194.205+C677*267.466+D677*133.845+E677*53.484+F677*40+G677*185+H677*0+I677*100+J677*300)/(194.205+267.466+133.845+53.484+0+40+185+100+300)</f>
        <v>46.764426910047106</v>
      </c>
      <c r="AC677" s="45">
        <f>(M677*'RAP TEMPLATE-GAS AVAILABILITY'!O676+N677*'RAP TEMPLATE-GAS AVAILABILITY'!P676+O677*'RAP TEMPLATE-GAS AVAILABILITY'!Q676+P677*'RAP TEMPLATE-GAS AVAILABILITY'!R676)/('RAP TEMPLATE-GAS AVAILABILITY'!O676+'RAP TEMPLATE-GAS AVAILABILITY'!P676+'RAP TEMPLATE-GAS AVAILABILITY'!Q676+'RAP TEMPLATE-GAS AVAILABILITY'!R676)</f>
        <v>45.896379136690648</v>
      </c>
    </row>
    <row r="678" spans="1:29" ht="15.75" x14ac:dyDescent="0.25">
      <c r="A678" s="32">
        <v>61544</v>
      </c>
      <c r="B678" s="14">
        <f>CHOOSE(CONTROL!$C$42, 48.0269, 48.0269) * CHOOSE(CONTROL!$C$21, $C$9, 100%, $E$9)</f>
        <v>48.026899999999998</v>
      </c>
      <c r="C678" s="14">
        <f>CHOOSE(CONTROL!$C$42, 48.035, 48.035) * CHOOSE(CONTROL!$C$21, $C$9, 100%, $E$9)</f>
        <v>48.034999999999997</v>
      </c>
      <c r="D678" s="14">
        <f>CHOOSE(CONTROL!$C$42, 48.2555, 48.2555) * CHOOSE(CONTROL!$C$21, $C$9, 100%, $E$9)</f>
        <v>48.255499999999998</v>
      </c>
      <c r="E678" s="14">
        <f>CHOOSE(CONTROL!$C$42, 48.287, 48.287) * CHOOSE(CONTROL!$C$21, $C$9, 100%, $E$9)</f>
        <v>48.286999999999999</v>
      </c>
      <c r="F678" s="14">
        <f>CHOOSE(CONTROL!$C$42, 48.0535, 48.0535)*CHOOSE(CONTROL!$C$21, $C$9, 100%, $E$9)</f>
        <v>48.0535</v>
      </c>
      <c r="G678" s="14">
        <f>CHOOSE(CONTROL!$C$42, 48.0708, 48.0708)*CHOOSE(CONTROL!$C$21, $C$9, 100%, $E$9)</f>
        <v>48.070799999999998</v>
      </c>
      <c r="H678" s="14">
        <f>CHOOSE(CONTROL!$C$42, 48.2756, 48.2756) * CHOOSE(CONTROL!$C$21, $C$9, 100%, $E$9)</f>
        <v>48.275599999999997</v>
      </c>
      <c r="I678" s="14">
        <f>CHOOSE(CONTROL!$C$42, 48.2052, 48.2052)* CHOOSE(CONTROL!$C$21, $C$9, 100%, $E$9)</f>
        <v>48.205199999999998</v>
      </c>
      <c r="J678" s="14">
        <f>CHOOSE(CONTROL!$C$42, 48.0465, 48.0465)* CHOOSE(CONTROL!$C$21, $C$9, 100%, $E$9)</f>
        <v>48.046500000000002</v>
      </c>
      <c r="K678" s="53">
        <f>CHOOSE(CONTROL!$C$42, 48.2013, 48.2013) * CHOOSE(CONTROL!$C$21, $C$9, 100%, $E$9)</f>
        <v>48.201300000000003</v>
      </c>
      <c r="L678" s="14">
        <f>CHOOSE(CONTROL!$C$42, 48.8626, 48.8626) * CHOOSE(CONTROL!$C$21, $C$9, 100%, $E$9)</f>
        <v>48.8626</v>
      </c>
      <c r="M678" s="14">
        <f>CHOOSE(CONTROL!$C$42, 47.0698, 47.0698) * CHOOSE(CONTROL!$C$21, $C$9, 100%, $E$9)</f>
        <v>47.069800000000001</v>
      </c>
      <c r="N678" s="14">
        <f>CHOOSE(CONTROL!$C$42, 47.0867, 47.0867) * CHOOSE(CONTROL!$C$21, $C$9, 100%, $E$9)</f>
        <v>47.0867</v>
      </c>
      <c r="O678" s="14">
        <f>CHOOSE(CONTROL!$C$42, 47.2942, 47.2942) * CHOOSE(CONTROL!$C$21, $C$9, 100%, $E$9)</f>
        <v>47.294199999999996</v>
      </c>
      <c r="P678" s="14">
        <f>CHOOSE(CONTROL!$C$42, 47.2223, 47.2223) * CHOOSE(CONTROL!$C$21, $C$9, 100%, $E$9)</f>
        <v>47.222299999999997</v>
      </c>
      <c r="Q678" s="14">
        <f>CHOOSE(CONTROL!$C$42, 47.8889, 47.8889) * CHOOSE(CONTROL!$C$21, $C$9, 100%, $E$9)</f>
        <v>47.8889</v>
      </c>
      <c r="R678" s="14">
        <f>CHOOSE(CONTROL!$C$42, 48.5956, 48.5956) * CHOOSE(CONTROL!$C$21, $C$9, 100%, $E$9)</f>
        <v>48.595599999999997</v>
      </c>
      <c r="S678" s="14">
        <f>CHOOSE(CONTROL!$C$42, 46.1384, 46.1384) * CHOOSE(CONTROL!$C$21, $C$9, 100%, $E$9)</f>
        <v>46.138399999999997</v>
      </c>
      <c r="T6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78" s="57">
        <f>(1000*CHOOSE(CONTROL!$C$42, 695, 695)*CHOOSE(CONTROL!$C$42, 0.5599, 0.5599)*CHOOSE(CONTROL!$C$42, 30, 30))/1000000</f>
        <v>11.673914999999997</v>
      </c>
      <c r="V678" s="57">
        <f>(1000*CHOOSE(CONTROL!$C$42, 500, 500)*CHOOSE(CONTROL!$C$42, 0.275, 0.275)*CHOOSE(CONTROL!$C$42, 30, 30))/1000000</f>
        <v>4.125</v>
      </c>
      <c r="W678" s="57">
        <f>(1000*CHOOSE(CONTROL!$C$42, 0.1146, 0.1146)*CHOOSE(CONTROL!$C$42, 121.5, 121.5)*CHOOSE(CONTROL!$C$42, 30, 30))/1000000</f>
        <v>0.417717</v>
      </c>
      <c r="X678" s="57">
        <f>(30*0.1790888*245000/1000000)+(30*0.2374*100000/1000000)</f>
        <v>2.0285026799999999</v>
      </c>
      <c r="Y678" s="57"/>
      <c r="Z678" s="14"/>
      <c r="AA678" s="56"/>
      <c r="AB678" s="50">
        <f>(B678*194.205+C678*267.466+D678*133.845+E678*53.484+F678*40+G678*185+H678*0+I678*100+J678*300)/(194.205+267.466+133.845+53.484+0+40+185+100+300)</f>
        <v>48.089356930926215</v>
      </c>
      <c r="AC678" s="45">
        <f>(M678*'RAP TEMPLATE-GAS AVAILABILITY'!O677+N678*'RAP TEMPLATE-GAS AVAILABILITY'!P677+O678*'RAP TEMPLATE-GAS AVAILABILITY'!Q677+P678*'RAP TEMPLATE-GAS AVAILABILITY'!R677)/('RAP TEMPLATE-GAS AVAILABILITY'!O677+'RAP TEMPLATE-GAS AVAILABILITY'!P677+'RAP TEMPLATE-GAS AVAILABILITY'!Q677+'RAP TEMPLATE-GAS AVAILABILITY'!R677)</f>
        <v>47.19442158273381</v>
      </c>
    </row>
    <row r="679" spans="1:29" ht="15.75" x14ac:dyDescent="0.25">
      <c r="A679" s="32">
        <v>61575</v>
      </c>
      <c r="B679" s="14">
        <f>CHOOSE(CONTROL!$C$42, 47.1058, 47.1058) * CHOOSE(CONTROL!$C$21, $C$9, 100%, $E$9)</f>
        <v>47.105800000000002</v>
      </c>
      <c r="C679" s="14">
        <f>CHOOSE(CONTROL!$C$42, 47.1138, 47.1138) * CHOOSE(CONTROL!$C$21, $C$9, 100%, $E$9)</f>
        <v>47.113799999999998</v>
      </c>
      <c r="D679" s="14">
        <f>CHOOSE(CONTROL!$C$42, 47.3344, 47.3344) * CHOOSE(CONTROL!$C$21, $C$9, 100%, $E$9)</f>
        <v>47.334400000000002</v>
      </c>
      <c r="E679" s="14">
        <f>CHOOSE(CONTROL!$C$42, 47.3658, 47.3658) * CHOOSE(CONTROL!$C$21, $C$9, 100%, $E$9)</f>
        <v>47.3658</v>
      </c>
      <c r="F679" s="14">
        <f>CHOOSE(CONTROL!$C$42, 47.1328, 47.1328)*CHOOSE(CONTROL!$C$21, $C$9, 100%, $E$9)</f>
        <v>47.132800000000003</v>
      </c>
      <c r="G679" s="14">
        <f>CHOOSE(CONTROL!$C$42, 47.1502, 47.1502)*CHOOSE(CONTROL!$C$21, $C$9, 100%, $E$9)</f>
        <v>47.150199999999998</v>
      </c>
      <c r="H679" s="14">
        <f>CHOOSE(CONTROL!$C$42, 47.3545, 47.3545) * CHOOSE(CONTROL!$C$21, $C$9, 100%, $E$9)</f>
        <v>47.354500000000002</v>
      </c>
      <c r="I679" s="14">
        <f>CHOOSE(CONTROL!$C$42, 47.2812, 47.2812)* CHOOSE(CONTROL!$C$21, $C$9, 100%, $E$9)</f>
        <v>47.281199999999998</v>
      </c>
      <c r="J679" s="14">
        <f>CHOOSE(CONTROL!$C$42, 47.1258, 47.1258)* CHOOSE(CONTROL!$C$21, $C$9, 100%, $E$9)</f>
        <v>47.125799999999998</v>
      </c>
      <c r="K679" s="53">
        <f>CHOOSE(CONTROL!$C$42, 47.2773, 47.2773) * CHOOSE(CONTROL!$C$21, $C$9, 100%, $E$9)</f>
        <v>47.277299999999997</v>
      </c>
      <c r="L679" s="14">
        <f>CHOOSE(CONTROL!$C$42, 47.9415, 47.9415) * CHOOSE(CONTROL!$C$21, $C$9, 100%, $E$9)</f>
        <v>47.941499999999998</v>
      </c>
      <c r="M679" s="14">
        <f>CHOOSE(CONTROL!$C$42, 46.168, 46.168) * CHOOSE(CONTROL!$C$21, $C$9, 100%, $E$9)</f>
        <v>46.167999999999999</v>
      </c>
      <c r="N679" s="14">
        <f>CHOOSE(CONTROL!$C$42, 46.1849, 46.1849) * CHOOSE(CONTROL!$C$21, $C$9, 100%, $E$9)</f>
        <v>46.184899999999999</v>
      </c>
      <c r="O679" s="14">
        <f>CHOOSE(CONTROL!$C$42, 46.3919, 46.3919) * CHOOSE(CONTROL!$C$21, $C$9, 100%, $E$9)</f>
        <v>46.3919</v>
      </c>
      <c r="P679" s="14">
        <f>CHOOSE(CONTROL!$C$42, 46.3172, 46.3172) * CHOOSE(CONTROL!$C$21, $C$9, 100%, $E$9)</f>
        <v>46.3172</v>
      </c>
      <c r="Q679" s="14">
        <f>CHOOSE(CONTROL!$C$42, 46.9866, 46.9866) * CHOOSE(CONTROL!$C$21, $C$9, 100%, $E$9)</f>
        <v>46.986600000000003</v>
      </c>
      <c r="R679" s="14">
        <f>CHOOSE(CONTROL!$C$42, 47.6911, 47.6911) * CHOOSE(CONTROL!$C$21, $C$9, 100%, $E$9)</f>
        <v>47.691099999999999</v>
      </c>
      <c r="S679" s="14">
        <f>CHOOSE(CONTROL!$C$42, 45.2533, 45.2533) * CHOOSE(CONTROL!$C$21, $C$9, 100%, $E$9)</f>
        <v>45.253300000000003</v>
      </c>
      <c r="T6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9" s="57">
        <f>(1000*CHOOSE(CONTROL!$C$42, 695, 695)*CHOOSE(CONTROL!$C$42, 0.5599, 0.5599)*CHOOSE(CONTROL!$C$42, 31, 31))/1000000</f>
        <v>12.063045499999998</v>
      </c>
      <c r="V679" s="57">
        <f>(1000*CHOOSE(CONTROL!$C$42, 500, 500)*CHOOSE(CONTROL!$C$42, 0.275, 0.275)*CHOOSE(CONTROL!$C$42, 31, 31))/1000000</f>
        <v>4.2625000000000002</v>
      </c>
      <c r="W679" s="57">
        <f>(1000*CHOOSE(CONTROL!$C$42, 0.1146, 0.1146)*CHOOSE(CONTROL!$C$42, 121.5, 121.5)*CHOOSE(CONTROL!$C$42, 31, 31))/1000000</f>
        <v>0.43164089999999994</v>
      </c>
      <c r="X679" s="57">
        <f>(31*0.1790888*245000/1000000)+(31*0.2374*100000/1000000)</f>
        <v>2.0961194359999999</v>
      </c>
      <c r="Y679" s="57"/>
      <c r="Z679" s="14"/>
      <c r="AA679" s="56"/>
      <c r="AB679" s="50">
        <f>(B679*194.205+C679*267.466+D679*133.845+E679*53.484+F679*40+G679*185+H679*0+I679*100+J679*300)/(194.205+267.466+133.845+53.484+0+40+185+100+300)</f>
        <v>47.168183465463109</v>
      </c>
      <c r="AC679" s="45">
        <f>(M679*'RAP TEMPLATE-GAS AVAILABILITY'!O678+N679*'RAP TEMPLATE-GAS AVAILABILITY'!P678+O679*'RAP TEMPLATE-GAS AVAILABILITY'!Q678+P679*'RAP TEMPLATE-GAS AVAILABILITY'!R678)/('RAP TEMPLATE-GAS AVAILABILITY'!O678+'RAP TEMPLATE-GAS AVAILABILITY'!P678+'RAP TEMPLATE-GAS AVAILABILITY'!Q678+'RAP TEMPLATE-GAS AVAILABILITY'!R678)</f>
        <v>46.291920143884894</v>
      </c>
    </row>
    <row r="680" spans="1:29" ht="15.75" x14ac:dyDescent="0.25">
      <c r="A680" s="32">
        <v>61606</v>
      </c>
      <c r="B680" s="14">
        <f>CHOOSE(CONTROL!$C$42, 44.7796, 44.7796) * CHOOSE(CONTROL!$C$21, $C$9, 100%, $E$9)</f>
        <v>44.779600000000002</v>
      </c>
      <c r="C680" s="14">
        <f>CHOOSE(CONTROL!$C$42, 44.7876, 44.7876) * CHOOSE(CONTROL!$C$21, $C$9, 100%, $E$9)</f>
        <v>44.787599999999998</v>
      </c>
      <c r="D680" s="14">
        <f>CHOOSE(CONTROL!$C$42, 45.0082, 45.0082) * CHOOSE(CONTROL!$C$21, $C$9, 100%, $E$9)</f>
        <v>45.008200000000002</v>
      </c>
      <c r="E680" s="14">
        <f>CHOOSE(CONTROL!$C$42, 45.0396, 45.0396) * CHOOSE(CONTROL!$C$21, $C$9, 100%, $E$9)</f>
        <v>45.0396</v>
      </c>
      <c r="F680" s="14">
        <f>CHOOSE(CONTROL!$C$42, 44.8069, 44.8069)*CHOOSE(CONTROL!$C$21, $C$9, 100%, $E$9)</f>
        <v>44.806899999999999</v>
      </c>
      <c r="G680" s="14">
        <f>CHOOSE(CONTROL!$C$42, 44.8243, 44.8243)*CHOOSE(CONTROL!$C$21, $C$9, 100%, $E$9)</f>
        <v>44.824300000000001</v>
      </c>
      <c r="H680" s="14">
        <f>CHOOSE(CONTROL!$C$42, 45.0283, 45.0283) * CHOOSE(CONTROL!$C$21, $C$9, 100%, $E$9)</f>
        <v>45.028300000000002</v>
      </c>
      <c r="I680" s="14">
        <f>CHOOSE(CONTROL!$C$42, 44.9477, 44.9477)* CHOOSE(CONTROL!$C$21, $C$9, 100%, $E$9)</f>
        <v>44.947699999999998</v>
      </c>
      <c r="J680" s="14">
        <f>CHOOSE(CONTROL!$C$42, 44.7999, 44.7999)* CHOOSE(CONTROL!$C$21, $C$9, 100%, $E$9)</f>
        <v>44.799900000000001</v>
      </c>
      <c r="K680" s="53">
        <f>CHOOSE(CONTROL!$C$42, 44.9438, 44.9438) * CHOOSE(CONTROL!$C$21, $C$9, 100%, $E$9)</f>
        <v>44.943800000000003</v>
      </c>
      <c r="L680" s="14">
        <f>CHOOSE(CONTROL!$C$42, 45.6153, 45.6153) * CHOOSE(CONTROL!$C$21, $C$9, 100%, $E$9)</f>
        <v>45.615299999999998</v>
      </c>
      <c r="M680" s="14">
        <f>CHOOSE(CONTROL!$C$42, 43.8897, 43.8897) * CHOOSE(CONTROL!$C$21, $C$9, 100%, $E$9)</f>
        <v>43.889699999999998</v>
      </c>
      <c r="N680" s="14">
        <f>CHOOSE(CONTROL!$C$42, 43.9067, 43.9067) * CHOOSE(CONTROL!$C$21, $C$9, 100%, $E$9)</f>
        <v>43.906700000000001</v>
      </c>
      <c r="O680" s="14">
        <f>CHOOSE(CONTROL!$C$42, 44.1134, 44.1134) * CHOOSE(CONTROL!$C$21, $C$9, 100%, $E$9)</f>
        <v>44.113399999999999</v>
      </c>
      <c r="P680" s="14">
        <f>CHOOSE(CONTROL!$C$42, 44.0317, 44.0317) * CHOOSE(CONTROL!$C$21, $C$9, 100%, $E$9)</f>
        <v>44.031700000000001</v>
      </c>
      <c r="Q680" s="14">
        <f>CHOOSE(CONTROL!$C$42, 44.7081, 44.7081) * CHOOSE(CONTROL!$C$21, $C$9, 100%, $E$9)</f>
        <v>44.708100000000002</v>
      </c>
      <c r="R680" s="14">
        <f>CHOOSE(CONTROL!$C$42, 45.4068, 45.4068) * CHOOSE(CONTROL!$C$21, $C$9, 100%, $E$9)</f>
        <v>45.406799999999997</v>
      </c>
      <c r="S680" s="14">
        <f>CHOOSE(CONTROL!$C$42, 43.018, 43.018) * CHOOSE(CONTROL!$C$21, $C$9, 100%, $E$9)</f>
        <v>43.018000000000001</v>
      </c>
      <c r="T6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0" s="57">
        <f>(1000*CHOOSE(CONTROL!$C$42, 695, 695)*CHOOSE(CONTROL!$C$42, 0.5599, 0.5599)*CHOOSE(CONTROL!$C$42, 31, 31))/1000000</f>
        <v>12.063045499999998</v>
      </c>
      <c r="V680" s="57">
        <f>(1000*CHOOSE(CONTROL!$C$42, 500, 500)*CHOOSE(CONTROL!$C$42, 0.275, 0.275)*CHOOSE(CONTROL!$C$42, 31, 31))/1000000</f>
        <v>4.2625000000000002</v>
      </c>
      <c r="W680" s="57">
        <f>(1000*CHOOSE(CONTROL!$C$42, 0.1146, 0.1146)*CHOOSE(CONTROL!$C$42, 121.5, 121.5)*CHOOSE(CONTROL!$C$42, 31, 31))/1000000</f>
        <v>0.43164089999999994</v>
      </c>
      <c r="X680" s="57">
        <f>(31*0.1790888*245000/1000000)+(31*0.2374*100000/1000000)</f>
        <v>2.0961194359999999</v>
      </c>
      <c r="Y680" s="57"/>
      <c r="Z680" s="14"/>
      <c r="AA680" s="56"/>
      <c r="AB680" s="50">
        <f>(B680*194.205+C680*267.466+D680*133.845+E680*53.484+F680*40+G680*185+H680*0+I680*100+J680*300)/(194.205+267.466+133.845+53.484+0+40+185+100+300)</f>
        <v>44.841534093406594</v>
      </c>
      <c r="AC680" s="45">
        <f>(M680*'RAP TEMPLATE-GAS AVAILABILITY'!O679+N680*'RAP TEMPLATE-GAS AVAILABILITY'!P679+O680*'RAP TEMPLATE-GAS AVAILABILITY'!Q679+P680*'RAP TEMPLATE-GAS AVAILABILITY'!R679)/('RAP TEMPLATE-GAS AVAILABILITY'!O679+'RAP TEMPLATE-GAS AVAILABILITY'!P679+'RAP TEMPLATE-GAS AVAILABILITY'!Q679+'RAP TEMPLATE-GAS AVAILABILITY'!R679)</f>
        <v>44.01249928057554</v>
      </c>
    </row>
    <row r="681" spans="1:29" ht="15.75" x14ac:dyDescent="0.25">
      <c r="A681" s="32">
        <v>61636</v>
      </c>
      <c r="B681" s="14">
        <f>CHOOSE(CONTROL!$C$42, 41.9371, 41.9371) * CHOOSE(CONTROL!$C$21, $C$9, 100%, $E$9)</f>
        <v>41.937100000000001</v>
      </c>
      <c r="C681" s="14">
        <f>CHOOSE(CONTROL!$C$42, 41.9452, 41.9452) * CHOOSE(CONTROL!$C$21, $C$9, 100%, $E$9)</f>
        <v>41.9452</v>
      </c>
      <c r="D681" s="14">
        <f>CHOOSE(CONTROL!$C$42, 42.1657, 42.1657) * CHOOSE(CONTROL!$C$21, $C$9, 100%, $E$9)</f>
        <v>42.165700000000001</v>
      </c>
      <c r="E681" s="14">
        <f>CHOOSE(CONTROL!$C$42, 42.1972, 42.1972) * CHOOSE(CONTROL!$C$21, $C$9, 100%, $E$9)</f>
        <v>42.197200000000002</v>
      </c>
      <c r="F681" s="14">
        <f>CHOOSE(CONTROL!$C$42, 41.9645, 41.9645)*CHOOSE(CONTROL!$C$21, $C$9, 100%, $E$9)</f>
        <v>41.964500000000001</v>
      </c>
      <c r="G681" s="14">
        <f>CHOOSE(CONTROL!$C$42, 41.9819, 41.9819)*CHOOSE(CONTROL!$C$21, $C$9, 100%, $E$9)</f>
        <v>41.981900000000003</v>
      </c>
      <c r="H681" s="14">
        <f>CHOOSE(CONTROL!$C$42, 42.1858, 42.1858) * CHOOSE(CONTROL!$C$21, $C$9, 100%, $E$9)</f>
        <v>42.1858</v>
      </c>
      <c r="I681" s="14">
        <f>CHOOSE(CONTROL!$C$42, 42.0964, 42.0964)* CHOOSE(CONTROL!$C$21, $C$9, 100%, $E$9)</f>
        <v>42.096400000000003</v>
      </c>
      <c r="J681" s="14">
        <f>CHOOSE(CONTROL!$C$42, 41.9575, 41.9575)* CHOOSE(CONTROL!$C$21, $C$9, 100%, $E$9)</f>
        <v>41.957500000000003</v>
      </c>
      <c r="K681" s="53">
        <f>CHOOSE(CONTROL!$C$42, 42.0925, 42.0925) * CHOOSE(CONTROL!$C$21, $C$9, 100%, $E$9)</f>
        <v>42.092500000000001</v>
      </c>
      <c r="L681" s="14">
        <f>CHOOSE(CONTROL!$C$42, 42.7728, 42.7728) * CHOOSE(CONTROL!$C$21, $C$9, 100%, $E$9)</f>
        <v>42.772799999999997</v>
      </c>
      <c r="M681" s="14">
        <f>CHOOSE(CONTROL!$C$42, 41.1055, 41.1055) * CHOOSE(CONTROL!$C$21, $C$9, 100%, $E$9)</f>
        <v>41.105499999999999</v>
      </c>
      <c r="N681" s="14">
        <f>CHOOSE(CONTROL!$C$42, 41.1225, 41.1225) * CHOOSE(CONTROL!$C$21, $C$9, 100%, $E$9)</f>
        <v>41.122500000000002</v>
      </c>
      <c r="O681" s="14">
        <f>CHOOSE(CONTROL!$C$42, 41.3292, 41.3292) * CHOOSE(CONTROL!$C$21, $C$9, 100%, $E$9)</f>
        <v>41.3292</v>
      </c>
      <c r="P681" s="14">
        <f>CHOOSE(CONTROL!$C$42, 41.239, 41.239) * CHOOSE(CONTROL!$C$21, $C$9, 100%, $E$9)</f>
        <v>41.238999999999997</v>
      </c>
      <c r="Q681" s="14">
        <f>CHOOSE(CONTROL!$C$42, 41.9239, 41.9239) * CHOOSE(CONTROL!$C$21, $C$9, 100%, $E$9)</f>
        <v>41.923900000000003</v>
      </c>
      <c r="R681" s="14">
        <f>CHOOSE(CONTROL!$C$42, 42.6157, 42.6157) * CHOOSE(CONTROL!$C$21, $C$9, 100%, $E$9)</f>
        <v>42.615699999999997</v>
      </c>
      <c r="S681" s="14">
        <f>CHOOSE(CONTROL!$C$42, 40.2868, 40.2868) * CHOOSE(CONTROL!$C$21, $C$9, 100%, $E$9)</f>
        <v>40.286799999999999</v>
      </c>
      <c r="T6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81" s="57">
        <f>(1000*CHOOSE(CONTROL!$C$42, 695, 695)*CHOOSE(CONTROL!$C$42, 0.5599, 0.5599)*CHOOSE(CONTROL!$C$42, 30, 30))/1000000</f>
        <v>11.673914999999997</v>
      </c>
      <c r="V681" s="57">
        <f>(1000*CHOOSE(CONTROL!$C$42, 500, 500)*CHOOSE(CONTROL!$C$42, 0.275, 0.275)*CHOOSE(CONTROL!$C$42, 30, 30))/1000000</f>
        <v>4.125</v>
      </c>
      <c r="W681" s="57">
        <f>(1000*CHOOSE(CONTROL!$C$42, 0.1146, 0.1146)*CHOOSE(CONTROL!$C$42, 121.5, 121.5)*CHOOSE(CONTROL!$C$42, 30, 30))/1000000</f>
        <v>0.417717</v>
      </c>
      <c r="X681" s="57">
        <f>(30*0.1790888*245000/1000000)+(30*0.2374*100000/1000000)</f>
        <v>2.0285026799999999</v>
      </c>
      <c r="Y681" s="57"/>
      <c r="Z681" s="14"/>
      <c r="AA681" s="56"/>
      <c r="AB681" s="50">
        <f>(B681*194.205+C681*267.466+D681*133.845+E681*53.484+F681*40+G681*185+H681*0+I681*100+J681*300)/(194.205+267.466+133.845+53.484+0+40+185+100+300)</f>
        <v>41.998409756671897</v>
      </c>
      <c r="AC681" s="45">
        <f>(M681*'RAP TEMPLATE-GAS AVAILABILITY'!O680+N681*'RAP TEMPLATE-GAS AVAILABILITY'!P680+O681*'RAP TEMPLATE-GAS AVAILABILITY'!Q680+P681*'RAP TEMPLATE-GAS AVAILABILITY'!R680)/('RAP TEMPLATE-GAS AVAILABILITY'!O680+'RAP TEMPLATE-GAS AVAILABILITY'!P680+'RAP TEMPLATE-GAS AVAILABILITY'!Q680+'RAP TEMPLATE-GAS AVAILABILITY'!R680)</f>
        <v>41.227076258992803</v>
      </c>
    </row>
    <row r="682" spans="1:29" ht="15.75" x14ac:dyDescent="0.25">
      <c r="A682" s="32">
        <v>61667</v>
      </c>
      <c r="B682" s="14">
        <f>CHOOSE(CONTROL!$C$42, 41.0841, 41.0841) * CHOOSE(CONTROL!$C$21, $C$9, 100%, $E$9)</f>
        <v>41.084099999999999</v>
      </c>
      <c r="C682" s="14">
        <f>CHOOSE(CONTROL!$C$42, 41.0894, 41.0894) * CHOOSE(CONTROL!$C$21, $C$9, 100%, $E$9)</f>
        <v>41.089399999999998</v>
      </c>
      <c r="D682" s="14">
        <f>CHOOSE(CONTROL!$C$42, 41.315, 41.315) * CHOOSE(CONTROL!$C$21, $C$9, 100%, $E$9)</f>
        <v>41.314999999999998</v>
      </c>
      <c r="E682" s="14">
        <f>CHOOSE(CONTROL!$C$42, 41.3441, 41.3441) * CHOOSE(CONTROL!$C$21, $C$9, 100%, $E$9)</f>
        <v>41.344099999999997</v>
      </c>
      <c r="F682" s="14">
        <f>CHOOSE(CONTROL!$C$42, 41.1135, 41.1135)*CHOOSE(CONTROL!$C$21, $C$9, 100%, $E$9)</f>
        <v>41.113500000000002</v>
      </c>
      <c r="G682" s="14">
        <f>CHOOSE(CONTROL!$C$42, 41.1307, 41.1307)*CHOOSE(CONTROL!$C$21, $C$9, 100%, $E$9)</f>
        <v>41.130699999999997</v>
      </c>
      <c r="H682" s="14">
        <f>CHOOSE(CONTROL!$C$42, 41.3346, 41.3346) * CHOOSE(CONTROL!$C$21, $C$9, 100%, $E$9)</f>
        <v>41.334600000000002</v>
      </c>
      <c r="I682" s="14">
        <f>CHOOSE(CONTROL!$C$42, 41.2424, 41.2424)* CHOOSE(CONTROL!$C$21, $C$9, 100%, $E$9)</f>
        <v>41.242400000000004</v>
      </c>
      <c r="J682" s="14">
        <f>CHOOSE(CONTROL!$C$42, 41.1065, 41.1065)* CHOOSE(CONTROL!$C$21, $C$9, 100%, $E$9)</f>
        <v>41.106499999999997</v>
      </c>
      <c r="K682" s="53">
        <f>CHOOSE(CONTROL!$C$42, 41.2385, 41.2385) * CHOOSE(CONTROL!$C$21, $C$9, 100%, $E$9)</f>
        <v>41.238500000000002</v>
      </c>
      <c r="L682" s="14">
        <f>CHOOSE(CONTROL!$C$42, 41.9216, 41.9216) * CHOOSE(CONTROL!$C$21, $C$9, 100%, $E$9)</f>
        <v>41.921599999999998</v>
      </c>
      <c r="M682" s="14">
        <f>CHOOSE(CONTROL!$C$42, 40.2719, 40.2719) * CHOOSE(CONTROL!$C$21, $C$9, 100%, $E$9)</f>
        <v>40.271900000000002</v>
      </c>
      <c r="N682" s="14">
        <f>CHOOSE(CONTROL!$C$42, 40.2888, 40.2888) * CHOOSE(CONTROL!$C$21, $C$9, 100%, $E$9)</f>
        <v>40.288800000000002</v>
      </c>
      <c r="O682" s="14">
        <f>CHOOSE(CONTROL!$C$42, 40.4954, 40.4954) * CHOOSE(CONTROL!$C$21, $C$9, 100%, $E$9)</f>
        <v>40.495399999999997</v>
      </c>
      <c r="P682" s="14">
        <f>CHOOSE(CONTROL!$C$42, 40.4026, 40.4026) * CHOOSE(CONTROL!$C$21, $C$9, 100%, $E$9)</f>
        <v>40.4026</v>
      </c>
      <c r="Q682" s="14">
        <f>CHOOSE(CONTROL!$C$42, 41.0901, 41.0901) * CHOOSE(CONTROL!$C$21, $C$9, 100%, $E$9)</f>
        <v>41.0901</v>
      </c>
      <c r="R682" s="14">
        <f>CHOOSE(CONTROL!$C$42, 41.7798, 41.7798) * CHOOSE(CONTROL!$C$21, $C$9, 100%, $E$9)</f>
        <v>41.779800000000002</v>
      </c>
      <c r="S682" s="14">
        <f>CHOOSE(CONTROL!$C$42, 39.4688, 39.4688) * CHOOSE(CONTROL!$C$21, $C$9, 100%, $E$9)</f>
        <v>39.468800000000002</v>
      </c>
      <c r="T6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82" s="57">
        <f>(1000*CHOOSE(CONTROL!$C$42, 695, 695)*CHOOSE(CONTROL!$C$42, 0.5599, 0.5599)*CHOOSE(CONTROL!$C$42, 31, 31))/1000000</f>
        <v>12.063045499999998</v>
      </c>
      <c r="V682" s="57">
        <f>(1000*CHOOSE(CONTROL!$C$42, 500, 500)*CHOOSE(CONTROL!$C$42, 0.275, 0.275)*CHOOSE(CONTROL!$C$42, 31, 31))/1000000</f>
        <v>4.2625000000000002</v>
      </c>
      <c r="W682" s="57">
        <f>(1000*CHOOSE(CONTROL!$C$42, 0.1146, 0.1146)*CHOOSE(CONTROL!$C$42, 121.5, 121.5)*CHOOSE(CONTROL!$C$42, 31, 31))/1000000</f>
        <v>0.43164089999999994</v>
      </c>
      <c r="X682" s="57">
        <f>(31*0.1790888*245000/1000000)+(31*0.2374*100000/1000000)</f>
        <v>2.0961194359999999</v>
      </c>
      <c r="Y682" s="57"/>
      <c r="Z682" s="14"/>
      <c r="AA682" s="56"/>
      <c r="AB682" s="50">
        <f>(B682*131.881+C682*277.167+D682*79.08+E682*125.872+F682*40+G682*185+H682*0+I682*100+J682*300)/(131.881+277.167+79.08+125.872+0+40+185+100+300)</f>
        <v>41.152544130024211</v>
      </c>
      <c r="AC682" s="45">
        <f>(M682*'RAP TEMPLATE-GAS AVAILABILITY'!O681+N682*'RAP TEMPLATE-GAS AVAILABILITY'!P681+O682*'RAP TEMPLATE-GAS AVAILABILITY'!Q681+P682*'RAP TEMPLATE-GAS AVAILABILITY'!R681)/('RAP TEMPLATE-GAS AVAILABILITY'!O681+'RAP TEMPLATE-GAS AVAILABILITY'!P681+'RAP TEMPLATE-GAS AVAILABILITY'!Q681+'RAP TEMPLATE-GAS AVAILABILITY'!R681)</f>
        <v>40.392976978417266</v>
      </c>
    </row>
    <row r="683" spans="1:29" ht="15.75" x14ac:dyDescent="0.25">
      <c r="A683" s="32">
        <v>61697</v>
      </c>
      <c r="B683" s="14">
        <f>CHOOSE(CONTROL!$C$42, 42.1658, 42.1658) * CHOOSE(CONTROL!$C$21, $C$9, 100%, $E$9)</f>
        <v>42.165799999999997</v>
      </c>
      <c r="C683" s="14">
        <f>CHOOSE(CONTROL!$C$42, 42.1708, 42.1708) * CHOOSE(CONTROL!$C$21, $C$9, 100%, $E$9)</f>
        <v>42.1708</v>
      </c>
      <c r="D683" s="14">
        <f>CHOOSE(CONTROL!$C$42, 42.2451, 42.2451) * CHOOSE(CONTROL!$C$21, $C$9, 100%, $E$9)</f>
        <v>42.245100000000001</v>
      </c>
      <c r="E683" s="14">
        <f>CHOOSE(CONTROL!$C$42, 42.2792, 42.2792) * CHOOSE(CONTROL!$C$21, $C$9, 100%, $E$9)</f>
        <v>42.279200000000003</v>
      </c>
      <c r="F683" s="14">
        <f>CHOOSE(CONTROL!$C$42, 42.2018, 42.2018)*CHOOSE(CONTROL!$C$21, $C$9, 100%, $E$9)</f>
        <v>42.201799999999999</v>
      </c>
      <c r="G683" s="14">
        <f>CHOOSE(CONTROL!$C$42, 42.2194, 42.2194)*CHOOSE(CONTROL!$C$21, $C$9, 100%, $E$9)</f>
        <v>42.2194</v>
      </c>
      <c r="H683" s="14">
        <f>CHOOSE(CONTROL!$C$42, 42.2684, 42.2684) * CHOOSE(CONTROL!$C$21, $C$9, 100%, $E$9)</f>
        <v>42.2684</v>
      </c>
      <c r="I683" s="14">
        <f>CHOOSE(CONTROL!$C$42, 42.3253, 42.3253)* CHOOSE(CONTROL!$C$21, $C$9, 100%, $E$9)</f>
        <v>42.325299999999999</v>
      </c>
      <c r="J683" s="14">
        <f>CHOOSE(CONTROL!$C$42, 42.1948, 42.1948)* CHOOSE(CONTROL!$C$21, $C$9, 100%, $E$9)</f>
        <v>42.194800000000001</v>
      </c>
      <c r="K683" s="53">
        <f>CHOOSE(CONTROL!$C$42, 42.3214, 42.3214) * CHOOSE(CONTROL!$C$21, $C$9, 100%, $E$9)</f>
        <v>42.321399999999997</v>
      </c>
      <c r="L683" s="14">
        <f>CHOOSE(CONTROL!$C$42, 42.8554, 42.8554) * CHOOSE(CONTROL!$C$21, $C$9, 100%, $E$9)</f>
        <v>42.855400000000003</v>
      </c>
      <c r="M683" s="14">
        <f>CHOOSE(CONTROL!$C$42, 41.338, 41.338) * CHOOSE(CONTROL!$C$21, $C$9, 100%, $E$9)</f>
        <v>41.338000000000001</v>
      </c>
      <c r="N683" s="14">
        <f>CHOOSE(CONTROL!$C$42, 41.3552, 41.3552) * CHOOSE(CONTROL!$C$21, $C$9, 100%, $E$9)</f>
        <v>41.355200000000004</v>
      </c>
      <c r="O683" s="14">
        <f>CHOOSE(CONTROL!$C$42, 41.41, 41.41) * CHOOSE(CONTROL!$C$21, $C$9, 100%, $E$9)</f>
        <v>41.41</v>
      </c>
      <c r="P683" s="14">
        <f>CHOOSE(CONTROL!$C$42, 41.4632, 41.4632) * CHOOSE(CONTROL!$C$21, $C$9, 100%, $E$9)</f>
        <v>41.463200000000001</v>
      </c>
      <c r="Q683" s="14">
        <f>CHOOSE(CONTROL!$C$42, 42.0047, 42.0047) * CHOOSE(CONTROL!$C$21, $C$9, 100%, $E$9)</f>
        <v>42.0047</v>
      </c>
      <c r="R683" s="14">
        <f>CHOOSE(CONTROL!$C$42, 42.6967, 42.6967) * CHOOSE(CONTROL!$C$21, $C$9, 100%, $E$9)</f>
        <v>42.6967</v>
      </c>
      <c r="S683" s="14">
        <f>CHOOSE(CONTROL!$C$42, 40.5086, 40.5086) * CHOOSE(CONTROL!$C$21, $C$9, 100%, $E$9)</f>
        <v>40.508600000000001</v>
      </c>
      <c r="T6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83" s="57">
        <f>(1000*CHOOSE(CONTROL!$C$42, 695, 695)*CHOOSE(CONTROL!$C$42, 0.5599, 0.5599)*CHOOSE(CONTROL!$C$42, 30, 30))/1000000</f>
        <v>11.673914999999997</v>
      </c>
      <c r="V683" s="57">
        <f>(1000*CHOOSE(CONTROL!$C$42, 500, 500)*CHOOSE(CONTROL!$C$42, 0.275, 0.275)*CHOOSE(CONTROL!$C$42, 30, 30))/1000000</f>
        <v>4.125</v>
      </c>
      <c r="W683" s="57">
        <f>(1000*CHOOSE(CONTROL!$C$42, 0.1146, 0.1146)*CHOOSE(CONTROL!$C$42, 121.5, 121.5)*CHOOSE(CONTROL!$C$42, 30, 30))/1000000</f>
        <v>0.417717</v>
      </c>
      <c r="X683" s="57">
        <f>(30*0.1790888*100000/1000000)+(30*0.2374*100000/1000000)</f>
        <v>1.2494664</v>
      </c>
      <c r="Y683" s="57"/>
      <c r="Z683" s="14"/>
      <c r="AA683" s="56"/>
      <c r="AB683" s="50">
        <f>(B683*122.58+C683*297.941+D683*89.177+E683*40.302+F683*40+G683*160+H683*0+I683*100+J683*300)/(122.58+297.941+89.177+40.302+0+40+160+100+300)</f>
        <v>42.207363206869559</v>
      </c>
      <c r="AC683" s="45">
        <f>(M683*'RAP TEMPLATE-GAS AVAILABILITY'!O682+N683*'RAP TEMPLATE-GAS AVAILABILITY'!P682+O683*'RAP TEMPLATE-GAS AVAILABILITY'!Q682+P683*'RAP TEMPLATE-GAS AVAILABILITY'!R682)/('RAP TEMPLATE-GAS AVAILABILITY'!O682+'RAP TEMPLATE-GAS AVAILABILITY'!P682+'RAP TEMPLATE-GAS AVAILABILITY'!Q682+'RAP TEMPLATE-GAS AVAILABILITY'!R682)</f>
        <v>41.389637410071948</v>
      </c>
    </row>
    <row r="684" spans="1:29" ht="15.75" x14ac:dyDescent="0.25">
      <c r="A684" s="32">
        <v>61728</v>
      </c>
      <c r="B684" s="14">
        <f>CHOOSE(CONTROL!$C$42, 45.04, 45.04) * CHOOSE(CONTROL!$C$21, $C$9, 100%, $E$9)</f>
        <v>45.04</v>
      </c>
      <c r="C684" s="14">
        <f>CHOOSE(CONTROL!$C$42, 45.045, 45.045) * CHOOSE(CONTROL!$C$21, $C$9, 100%, $E$9)</f>
        <v>45.045000000000002</v>
      </c>
      <c r="D684" s="14">
        <f>CHOOSE(CONTROL!$C$42, 45.1193, 45.1193) * CHOOSE(CONTROL!$C$21, $C$9, 100%, $E$9)</f>
        <v>45.119300000000003</v>
      </c>
      <c r="E684" s="14">
        <f>CHOOSE(CONTROL!$C$42, 45.1534, 45.1534) * CHOOSE(CONTROL!$C$21, $C$9, 100%, $E$9)</f>
        <v>45.153399999999998</v>
      </c>
      <c r="F684" s="14">
        <f>CHOOSE(CONTROL!$C$42, 45.0784, 45.0784)*CHOOSE(CONTROL!$C$21, $C$9, 100%, $E$9)</f>
        <v>45.078400000000002</v>
      </c>
      <c r="G684" s="14">
        <f>CHOOSE(CONTROL!$C$42, 45.0965, 45.0965)*CHOOSE(CONTROL!$C$21, $C$9, 100%, $E$9)</f>
        <v>45.096499999999999</v>
      </c>
      <c r="H684" s="14">
        <f>CHOOSE(CONTROL!$C$42, 45.1426, 45.1426) * CHOOSE(CONTROL!$C$21, $C$9, 100%, $E$9)</f>
        <v>45.142600000000002</v>
      </c>
      <c r="I684" s="14">
        <f>CHOOSE(CONTROL!$C$42, 45.2085, 45.2085)* CHOOSE(CONTROL!$C$21, $C$9, 100%, $E$9)</f>
        <v>45.208500000000001</v>
      </c>
      <c r="J684" s="14">
        <f>CHOOSE(CONTROL!$C$42, 45.0714, 45.0714)* CHOOSE(CONTROL!$C$21, $C$9, 100%, $E$9)</f>
        <v>45.071399999999997</v>
      </c>
      <c r="K684" s="53">
        <f>CHOOSE(CONTROL!$C$42, 45.2046, 45.2046) * CHOOSE(CONTROL!$C$21, $C$9, 100%, $E$9)</f>
        <v>45.204599999999999</v>
      </c>
      <c r="L684" s="14">
        <f>CHOOSE(CONTROL!$C$42, 45.7296, 45.7296) * CHOOSE(CONTROL!$C$21, $C$9, 100%, $E$9)</f>
        <v>45.729599999999998</v>
      </c>
      <c r="M684" s="14">
        <f>CHOOSE(CONTROL!$C$42, 44.1556, 44.1556) * CHOOSE(CONTROL!$C$21, $C$9, 100%, $E$9)</f>
        <v>44.1556</v>
      </c>
      <c r="N684" s="14">
        <f>CHOOSE(CONTROL!$C$42, 44.1734, 44.1734) * CHOOSE(CONTROL!$C$21, $C$9, 100%, $E$9)</f>
        <v>44.173400000000001</v>
      </c>
      <c r="O684" s="14">
        <f>CHOOSE(CONTROL!$C$42, 44.2253, 44.2253) * CHOOSE(CONTROL!$C$21, $C$9, 100%, $E$9)</f>
        <v>44.225299999999997</v>
      </c>
      <c r="P684" s="14">
        <f>CHOOSE(CONTROL!$C$42, 44.2871, 44.2871) * CHOOSE(CONTROL!$C$21, $C$9, 100%, $E$9)</f>
        <v>44.287100000000002</v>
      </c>
      <c r="Q684" s="14">
        <f>CHOOSE(CONTROL!$C$42, 44.82, 44.82) * CHOOSE(CONTROL!$C$21, $C$9, 100%, $E$9)</f>
        <v>44.82</v>
      </c>
      <c r="R684" s="14">
        <f>CHOOSE(CONTROL!$C$42, 45.5191, 45.5191) * CHOOSE(CONTROL!$C$21, $C$9, 100%, $E$9)</f>
        <v>45.519100000000002</v>
      </c>
      <c r="S684" s="14">
        <f>CHOOSE(CONTROL!$C$42, 43.2704, 43.2704) * CHOOSE(CONTROL!$C$21, $C$9, 100%, $E$9)</f>
        <v>43.270400000000002</v>
      </c>
      <c r="T6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84" s="57">
        <f>(1000*CHOOSE(CONTROL!$C$42, 695, 695)*CHOOSE(CONTROL!$C$42, 0.5599, 0.5599)*CHOOSE(CONTROL!$C$42, 31, 31))/1000000</f>
        <v>12.063045499999998</v>
      </c>
      <c r="V684" s="57">
        <f>(1000*CHOOSE(CONTROL!$C$42, 500, 500)*CHOOSE(CONTROL!$C$42, 0.275, 0.275)*CHOOSE(CONTROL!$C$42, 31, 31))/1000000</f>
        <v>4.2625000000000002</v>
      </c>
      <c r="W684" s="57">
        <f>(1000*CHOOSE(CONTROL!$C$42, 0.1146, 0.1146)*CHOOSE(CONTROL!$C$42, 121.5, 121.5)*CHOOSE(CONTROL!$C$42, 31, 31))/1000000</f>
        <v>0.43164089999999994</v>
      </c>
      <c r="X684" s="57">
        <f>(31*0.1790888*100000/1000000)+(31*0.2374*100000/1000000)</f>
        <v>1.2911152800000001</v>
      </c>
      <c r="Y684" s="57"/>
      <c r="Z684" s="14"/>
      <c r="AA684" s="56"/>
      <c r="AB684" s="50">
        <f>(B684*122.58+C684*297.941+D684*89.177+E684*40.302+F684*40+G684*160+H684*0+I684*100+J684*300)/(122.58+297.941+89.177+40.302+0+40+160+100+300)</f>
        <v>45.083458859043475</v>
      </c>
      <c r="AC684" s="45">
        <f>(M684*'RAP TEMPLATE-GAS AVAILABILITY'!O683+N684*'RAP TEMPLATE-GAS AVAILABILITY'!P683+O684*'RAP TEMPLATE-GAS AVAILABILITY'!Q683+P684*'RAP TEMPLATE-GAS AVAILABILITY'!R683)/('RAP TEMPLATE-GAS AVAILABILITY'!O683+'RAP TEMPLATE-GAS AVAILABILITY'!P683+'RAP TEMPLATE-GAS AVAILABILITY'!Q683+'RAP TEMPLATE-GAS AVAILABILITY'!R683)</f>
        <v>44.207135971223018</v>
      </c>
    </row>
    <row r="685" spans="1:29" ht="15.75" x14ac:dyDescent="0.25">
      <c r="A685" s="32">
        <v>61759</v>
      </c>
      <c r="B685" s="14">
        <f>CHOOSE(CONTROL!$C$42, 48.773, 48.773) * CHOOSE(CONTROL!$C$21, $C$9, 100%, $E$9)</f>
        <v>48.773000000000003</v>
      </c>
      <c r="C685" s="14">
        <f>CHOOSE(CONTROL!$C$42, 48.7781, 48.7781) * CHOOSE(CONTROL!$C$21, $C$9, 100%, $E$9)</f>
        <v>48.778100000000002</v>
      </c>
      <c r="D685" s="14">
        <f>CHOOSE(CONTROL!$C$42, 48.8549, 48.8549) * CHOOSE(CONTROL!$C$21, $C$9, 100%, $E$9)</f>
        <v>48.854900000000001</v>
      </c>
      <c r="E685" s="14">
        <f>CHOOSE(CONTROL!$C$42, 48.889, 48.889) * CHOOSE(CONTROL!$C$21, $C$9, 100%, $E$9)</f>
        <v>48.889000000000003</v>
      </c>
      <c r="F685" s="14">
        <f>CHOOSE(CONTROL!$C$42, 48.7978, 48.7978)*CHOOSE(CONTROL!$C$21, $C$9, 100%, $E$9)</f>
        <v>48.797800000000002</v>
      </c>
      <c r="G685" s="14">
        <f>CHOOSE(CONTROL!$C$42, 48.8157, 48.8157)*CHOOSE(CONTROL!$C$21, $C$9, 100%, $E$9)</f>
        <v>48.8157</v>
      </c>
      <c r="H685" s="14">
        <f>CHOOSE(CONTROL!$C$42, 48.8782, 48.8782) * CHOOSE(CONTROL!$C$21, $C$9, 100%, $E$9)</f>
        <v>48.8782</v>
      </c>
      <c r="I685" s="14">
        <f>CHOOSE(CONTROL!$C$42, 48.9595, 48.9595)* CHOOSE(CONTROL!$C$21, $C$9, 100%, $E$9)</f>
        <v>48.959499999999998</v>
      </c>
      <c r="J685" s="14">
        <f>CHOOSE(CONTROL!$C$42, 48.7908, 48.7908)* CHOOSE(CONTROL!$C$21, $C$9, 100%, $E$9)</f>
        <v>48.790799999999997</v>
      </c>
      <c r="K685" s="53">
        <f>CHOOSE(CONTROL!$C$42, 48.9556, 48.9556) * CHOOSE(CONTROL!$C$21, $C$9, 100%, $E$9)</f>
        <v>48.955599999999997</v>
      </c>
      <c r="L685" s="14">
        <f>CHOOSE(CONTROL!$C$42, 49.4652, 49.4652) * CHOOSE(CONTROL!$C$21, $C$9, 100%, $E$9)</f>
        <v>49.465200000000003</v>
      </c>
      <c r="M685" s="14">
        <f>CHOOSE(CONTROL!$C$42, 47.7988, 47.7988) * CHOOSE(CONTROL!$C$21, $C$9, 100%, $E$9)</f>
        <v>47.7988</v>
      </c>
      <c r="N685" s="14">
        <f>CHOOSE(CONTROL!$C$42, 47.8164, 47.8164) * CHOOSE(CONTROL!$C$21, $C$9, 100%, $E$9)</f>
        <v>47.816400000000002</v>
      </c>
      <c r="O685" s="14">
        <f>CHOOSE(CONTROL!$C$42, 47.8844, 47.8844) * CHOOSE(CONTROL!$C$21, $C$9, 100%, $E$9)</f>
        <v>47.884399999999999</v>
      </c>
      <c r="P685" s="14">
        <f>CHOOSE(CONTROL!$C$42, 47.961, 47.961) * CHOOSE(CONTROL!$C$21, $C$9, 100%, $E$9)</f>
        <v>47.960999999999999</v>
      </c>
      <c r="Q685" s="14">
        <f>CHOOSE(CONTROL!$C$42, 48.4791, 48.4791) * CHOOSE(CONTROL!$C$21, $C$9, 100%, $E$9)</f>
        <v>48.479100000000003</v>
      </c>
      <c r="R685" s="14">
        <f>CHOOSE(CONTROL!$C$42, 49.1873, 49.1873) * CHOOSE(CONTROL!$C$21, $C$9, 100%, $E$9)</f>
        <v>49.1873</v>
      </c>
      <c r="S685" s="14">
        <f>CHOOSE(CONTROL!$C$42, 46.8575, 46.8575) * CHOOSE(CONTROL!$C$21, $C$9, 100%, $E$9)</f>
        <v>46.857500000000002</v>
      </c>
      <c r="T6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85" s="57">
        <f>(1000*CHOOSE(CONTROL!$C$42, 695, 695)*CHOOSE(CONTROL!$C$42, 0.5599, 0.5599)*CHOOSE(CONTROL!$C$42, 31, 31))/1000000</f>
        <v>12.063045499999998</v>
      </c>
      <c r="V685" s="57">
        <f>(1000*CHOOSE(CONTROL!$C$42, 500, 500)*CHOOSE(CONTROL!$C$42, 0.275, 0.275)*CHOOSE(CONTROL!$C$42, 31, 31))/1000000</f>
        <v>4.2625000000000002</v>
      </c>
      <c r="W685" s="57">
        <f>(1000*CHOOSE(CONTROL!$C$42, 0.1146, 0.1146)*CHOOSE(CONTROL!$C$42, 121.5, 121.5)*CHOOSE(CONTROL!$C$42, 31, 31))/1000000</f>
        <v>0.43164089999999994</v>
      </c>
      <c r="X685" s="57">
        <f>(31*0.1790888*100000/1000000)+(31*0.2374*100000/1000000)</f>
        <v>1.2911152800000001</v>
      </c>
      <c r="Y685" s="57"/>
      <c r="Z685" s="14"/>
      <c r="AA685" s="56"/>
      <c r="AB685" s="50">
        <f>(B685*122.58+C685*297.941+D685*89.177+E685*40.302+F685*40+G685*160+H685*0+I685*100+J685*300)/(122.58+297.941+89.177+40.302+0+40+160+100+300)</f>
        <v>48.812401849913044</v>
      </c>
      <c r="AC685" s="45">
        <f>(M685*'RAP TEMPLATE-GAS AVAILABILITY'!O684+N685*'RAP TEMPLATE-GAS AVAILABILITY'!P684+O685*'RAP TEMPLATE-GAS AVAILABILITY'!Q684+P685*'RAP TEMPLATE-GAS AVAILABILITY'!R684)/('RAP TEMPLATE-GAS AVAILABILITY'!O684+'RAP TEMPLATE-GAS AVAILABILITY'!P684+'RAP TEMPLATE-GAS AVAILABILITY'!Q684+'RAP TEMPLATE-GAS AVAILABILITY'!R684)</f>
        <v>47.861948201438842</v>
      </c>
    </row>
    <row r="686" spans="1:29" ht="15.75" x14ac:dyDescent="0.25">
      <c r="A686" s="32">
        <v>61787</v>
      </c>
      <c r="B686" s="14">
        <f>CHOOSE(CONTROL!$C$42, 49.6411, 49.6411) * CHOOSE(CONTROL!$C$21, $C$9, 100%, $E$9)</f>
        <v>49.641100000000002</v>
      </c>
      <c r="C686" s="14">
        <f>CHOOSE(CONTROL!$C$42, 49.6462, 49.6462) * CHOOSE(CONTROL!$C$21, $C$9, 100%, $E$9)</f>
        <v>49.6462</v>
      </c>
      <c r="D686" s="14">
        <f>CHOOSE(CONTROL!$C$42, 49.723, 49.723) * CHOOSE(CONTROL!$C$21, $C$9, 100%, $E$9)</f>
        <v>49.722999999999999</v>
      </c>
      <c r="E686" s="14">
        <f>CHOOSE(CONTROL!$C$42, 49.7571, 49.7571) * CHOOSE(CONTROL!$C$21, $C$9, 100%, $E$9)</f>
        <v>49.757100000000001</v>
      </c>
      <c r="F686" s="14">
        <f>CHOOSE(CONTROL!$C$42, 49.6654, 49.6654)*CHOOSE(CONTROL!$C$21, $C$9, 100%, $E$9)</f>
        <v>49.665399999999998</v>
      </c>
      <c r="G686" s="14">
        <f>CHOOSE(CONTROL!$C$42, 49.6833, 49.6833)*CHOOSE(CONTROL!$C$21, $C$9, 100%, $E$9)</f>
        <v>49.683300000000003</v>
      </c>
      <c r="H686" s="14">
        <f>CHOOSE(CONTROL!$C$42, 49.7463, 49.7463) * CHOOSE(CONTROL!$C$21, $C$9, 100%, $E$9)</f>
        <v>49.746299999999998</v>
      </c>
      <c r="I686" s="14">
        <f>CHOOSE(CONTROL!$C$42, 49.8303, 49.8303)* CHOOSE(CONTROL!$C$21, $C$9, 100%, $E$9)</f>
        <v>49.830300000000001</v>
      </c>
      <c r="J686" s="14">
        <f>CHOOSE(CONTROL!$C$42, 49.6584, 49.6584)* CHOOSE(CONTROL!$C$21, $C$9, 100%, $E$9)</f>
        <v>49.6584</v>
      </c>
      <c r="K686" s="53">
        <f>CHOOSE(CONTROL!$C$42, 49.8264, 49.8264) * CHOOSE(CONTROL!$C$21, $C$9, 100%, $E$9)</f>
        <v>49.8264</v>
      </c>
      <c r="L686" s="14">
        <f>CHOOSE(CONTROL!$C$42, 50.3333, 50.3333) * CHOOSE(CONTROL!$C$21, $C$9, 100%, $E$9)</f>
        <v>50.333300000000001</v>
      </c>
      <c r="M686" s="14">
        <f>CHOOSE(CONTROL!$C$42, 48.6487, 48.6487) * CHOOSE(CONTROL!$C$21, $C$9, 100%, $E$9)</f>
        <v>48.648699999999998</v>
      </c>
      <c r="N686" s="14">
        <f>CHOOSE(CONTROL!$C$42, 48.6662, 48.6662) * CHOOSE(CONTROL!$C$21, $C$9, 100%, $E$9)</f>
        <v>48.666200000000003</v>
      </c>
      <c r="O686" s="14">
        <f>CHOOSE(CONTROL!$C$42, 48.7347, 48.7347) * CHOOSE(CONTROL!$C$21, $C$9, 100%, $E$9)</f>
        <v>48.734699999999997</v>
      </c>
      <c r="P686" s="14">
        <f>CHOOSE(CONTROL!$C$42, 48.8139, 48.8139) * CHOOSE(CONTROL!$C$21, $C$9, 100%, $E$9)</f>
        <v>48.813899999999997</v>
      </c>
      <c r="Q686" s="14">
        <f>CHOOSE(CONTROL!$C$42, 49.3294, 49.3294) * CHOOSE(CONTROL!$C$21, $C$9, 100%, $E$9)</f>
        <v>49.3294</v>
      </c>
      <c r="R686" s="14">
        <f>CHOOSE(CONTROL!$C$42, 50.0397, 50.0397) * CHOOSE(CONTROL!$C$21, $C$9, 100%, $E$9)</f>
        <v>50.039700000000003</v>
      </c>
      <c r="S686" s="14">
        <f>CHOOSE(CONTROL!$C$42, 47.6916, 47.6916) * CHOOSE(CONTROL!$C$21, $C$9, 100%, $E$9)</f>
        <v>47.691600000000001</v>
      </c>
      <c r="T68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86" s="57">
        <f>(1000*CHOOSE(CONTROL!$C$42, 695, 695)*CHOOSE(CONTROL!$C$42, 0.5599, 0.5599)*CHOOSE(CONTROL!$C$42, 28, 28))/1000000</f>
        <v>10.895653999999999</v>
      </c>
      <c r="V686" s="57">
        <f>(1000*CHOOSE(CONTROL!$C$42, 500, 500)*CHOOSE(CONTROL!$C$42, 0.275, 0.275)*CHOOSE(CONTROL!$C$42, 28, 28))/1000000</f>
        <v>3.85</v>
      </c>
      <c r="W686" s="57">
        <f>(1000*CHOOSE(CONTROL!$C$42, 0.1146, 0.1146)*CHOOSE(CONTROL!$C$42, 121.5, 121.5)*CHOOSE(CONTROL!$C$42, 28, 28))/1000000</f>
        <v>0.38986920000000003</v>
      </c>
      <c r="X686" s="57">
        <f>(28*0.1790888*100000/1000000)+(28*0.2374*100000/1000000)</f>
        <v>1.16616864</v>
      </c>
      <c r="Y686" s="57"/>
      <c r="Z686" s="14"/>
      <c r="AA686" s="56"/>
      <c r="AB686" s="50">
        <f>(B686*122.58+C686*297.941+D686*89.177+E686*40.302+F686*40+G686*160+H686*0+I686*100+J686*300)/(122.58+297.941+89.177+40.302+0+40+160+100+300)</f>
        <v>49.680519241217397</v>
      </c>
      <c r="AC686" s="45">
        <f>(M686*'RAP TEMPLATE-GAS AVAILABILITY'!O685+N686*'RAP TEMPLATE-GAS AVAILABILITY'!P685+O686*'RAP TEMPLATE-GAS AVAILABILITY'!Q685+P686*'RAP TEMPLATE-GAS AVAILABILITY'!R685)/('RAP TEMPLATE-GAS AVAILABILITY'!O685+'RAP TEMPLATE-GAS AVAILABILITY'!P685+'RAP TEMPLATE-GAS AVAILABILITY'!Q685+'RAP TEMPLATE-GAS AVAILABILITY'!R685)</f>
        <v>48.712455395683449</v>
      </c>
    </row>
    <row r="687" spans="1:29" ht="15.75" x14ac:dyDescent="0.25">
      <c r="A687" s="32">
        <v>61818</v>
      </c>
      <c r="B687" s="14">
        <f>CHOOSE(CONTROL!$C$42, 48.232, 48.232) * CHOOSE(CONTROL!$C$21, $C$9, 100%, $E$9)</f>
        <v>48.231999999999999</v>
      </c>
      <c r="C687" s="14">
        <f>CHOOSE(CONTROL!$C$42, 48.2371, 48.2371) * CHOOSE(CONTROL!$C$21, $C$9, 100%, $E$9)</f>
        <v>48.237099999999998</v>
      </c>
      <c r="D687" s="14">
        <f>CHOOSE(CONTROL!$C$42, 48.3139, 48.3139) * CHOOSE(CONTROL!$C$21, $C$9, 100%, $E$9)</f>
        <v>48.313899999999997</v>
      </c>
      <c r="E687" s="14">
        <f>CHOOSE(CONTROL!$C$42, 48.348, 48.348) * CHOOSE(CONTROL!$C$21, $C$9, 100%, $E$9)</f>
        <v>48.347999999999999</v>
      </c>
      <c r="F687" s="14">
        <f>CHOOSE(CONTROL!$C$42, 48.2555, 48.2555)*CHOOSE(CONTROL!$C$21, $C$9, 100%, $E$9)</f>
        <v>48.255499999999998</v>
      </c>
      <c r="G687" s="14">
        <f>CHOOSE(CONTROL!$C$42, 48.2731, 48.2731)*CHOOSE(CONTROL!$C$21, $C$9, 100%, $E$9)</f>
        <v>48.273099999999999</v>
      </c>
      <c r="H687" s="14">
        <f>CHOOSE(CONTROL!$C$42, 48.3372, 48.3372) * CHOOSE(CONTROL!$C$21, $C$9, 100%, $E$9)</f>
        <v>48.337200000000003</v>
      </c>
      <c r="I687" s="14">
        <f>CHOOSE(CONTROL!$C$42, 48.4168, 48.4168)* CHOOSE(CONTROL!$C$21, $C$9, 100%, $E$9)</f>
        <v>48.416800000000002</v>
      </c>
      <c r="J687" s="14">
        <f>CHOOSE(CONTROL!$C$42, 48.2485, 48.2485)* CHOOSE(CONTROL!$C$21, $C$9, 100%, $E$9)</f>
        <v>48.2485</v>
      </c>
      <c r="K687" s="53">
        <f>CHOOSE(CONTROL!$C$42, 48.4129, 48.4129) * CHOOSE(CONTROL!$C$21, $C$9, 100%, $E$9)</f>
        <v>48.4129</v>
      </c>
      <c r="L687" s="14">
        <f>CHOOSE(CONTROL!$C$42, 48.9242, 48.9242) * CHOOSE(CONTROL!$C$21, $C$9, 100%, $E$9)</f>
        <v>48.924199999999999</v>
      </c>
      <c r="M687" s="14">
        <f>CHOOSE(CONTROL!$C$42, 47.2676, 47.2676) * CHOOSE(CONTROL!$C$21, $C$9, 100%, $E$9)</f>
        <v>47.267600000000002</v>
      </c>
      <c r="N687" s="14">
        <f>CHOOSE(CONTROL!$C$42, 47.2849, 47.2849) * CHOOSE(CONTROL!$C$21, $C$9, 100%, $E$9)</f>
        <v>47.2849</v>
      </c>
      <c r="O687" s="14">
        <f>CHOOSE(CONTROL!$C$42, 47.3545, 47.3545) * CHOOSE(CONTROL!$C$21, $C$9, 100%, $E$9)</f>
        <v>47.354500000000002</v>
      </c>
      <c r="P687" s="14">
        <f>CHOOSE(CONTROL!$C$42, 47.4295, 47.4295) * CHOOSE(CONTROL!$C$21, $C$9, 100%, $E$9)</f>
        <v>47.429499999999997</v>
      </c>
      <c r="Q687" s="14">
        <f>CHOOSE(CONTROL!$C$42, 47.9492, 47.9492) * CHOOSE(CONTROL!$C$21, $C$9, 100%, $E$9)</f>
        <v>47.949199999999998</v>
      </c>
      <c r="R687" s="14">
        <f>CHOOSE(CONTROL!$C$42, 48.6561, 48.6561) * CHOOSE(CONTROL!$C$21, $C$9, 100%, $E$9)</f>
        <v>48.656100000000002</v>
      </c>
      <c r="S687" s="14">
        <f>CHOOSE(CONTROL!$C$42, 46.3376, 46.3376) * CHOOSE(CONTROL!$C$21, $C$9, 100%, $E$9)</f>
        <v>46.337600000000002</v>
      </c>
      <c r="T6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87" s="57">
        <f>(1000*CHOOSE(CONTROL!$C$42, 695, 695)*CHOOSE(CONTROL!$C$42, 0.5599, 0.5599)*CHOOSE(CONTROL!$C$42, 31, 31))/1000000</f>
        <v>12.063045499999998</v>
      </c>
      <c r="V687" s="57">
        <f>(1000*CHOOSE(CONTROL!$C$42, 500, 500)*CHOOSE(CONTROL!$C$42, 0.275, 0.275)*CHOOSE(CONTROL!$C$42, 31, 31))/1000000</f>
        <v>4.2625000000000002</v>
      </c>
      <c r="W687" s="57">
        <f>(1000*CHOOSE(CONTROL!$C$42, 0.1146, 0.1146)*CHOOSE(CONTROL!$C$42, 121.5, 121.5)*CHOOSE(CONTROL!$C$42, 31, 31))/1000000</f>
        <v>0.43164089999999994</v>
      </c>
      <c r="X687" s="57">
        <f>(31*0.1790888*100000/1000000)+(31*0.2374*100000/1000000)</f>
        <v>1.2911152800000001</v>
      </c>
      <c r="Y687" s="57"/>
      <c r="Z687" s="14"/>
      <c r="AA687" s="56"/>
      <c r="AB687" s="50">
        <f>(B687*122.58+C687*297.941+D687*89.177+E687*40.302+F687*40+G687*160+H687*0+I687*100+J687*300)/(122.58+297.941+89.177+40.302+0+40+160+100+300)</f>
        <v>48.270647067304346</v>
      </c>
      <c r="AC687" s="45">
        <f>(M687*'RAP TEMPLATE-GAS AVAILABILITY'!O686+N687*'RAP TEMPLATE-GAS AVAILABILITY'!P686+O687*'RAP TEMPLATE-GAS AVAILABILITY'!Q686+P687*'RAP TEMPLATE-GAS AVAILABILITY'!R686)/('RAP TEMPLATE-GAS AVAILABILITY'!O686+'RAP TEMPLATE-GAS AVAILABILITY'!P686+'RAP TEMPLATE-GAS AVAILABILITY'!Q686+'RAP TEMPLATE-GAS AVAILABILITY'!R686)</f>
        <v>47.331276978417272</v>
      </c>
    </row>
    <row r="688" spans="1:29" ht="15.75" x14ac:dyDescent="0.25">
      <c r="A688" s="32">
        <v>61848</v>
      </c>
      <c r="B688" s="14">
        <f>CHOOSE(CONTROL!$C$42, 48.0886, 48.0886) * CHOOSE(CONTROL!$C$21, $C$9, 100%, $E$9)</f>
        <v>48.0886</v>
      </c>
      <c r="C688" s="14">
        <f>CHOOSE(CONTROL!$C$42, 48.0931, 48.0931) * CHOOSE(CONTROL!$C$21, $C$9, 100%, $E$9)</f>
        <v>48.0931</v>
      </c>
      <c r="D688" s="14">
        <f>CHOOSE(CONTROL!$C$42, 48.3169, 48.3169) * CHOOSE(CONTROL!$C$21, $C$9, 100%, $E$9)</f>
        <v>48.316899999999997</v>
      </c>
      <c r="E688" s="14">
        <f>CHOOSE(CONTROL!$C$42, 48.349, 48.349) * CHOOSE(CONTROL!$C$21, $C$9, 100%, $E$9)</f>
        <v>48.348999999999997</v>
      </c>
      <c r="F688" s="14">
        <f>CHOOSE(CONTROL!$C$42, 48.1163, 48.1163)*CHOOSE(CONTROL!$C$21, $C$9, 100%, $E$9)</f>
        <v>48.116300000000003</v>
      </c>
      <c r="G688" s="14">
        <f>CHOOSE(CONTROL!$C$42, 48.1332, 48.1332)*CHOOSE(CONTROL!$C$21, $C$9, 100%, $E$9)</f>
        <v>48.133200000000002</v>
      </c>
      <c r="H688" s="14">
        <f>CHOOSE(CONTROL!$C$42, 48.3387, 48.3387) * CHOOSE(CONTROL!$C$21, $C$9, 100%, $E$9)</f>
        <v>48.338700000000003</v>
      </c>
      <c r="I688" s="14">
        <f>CHOOSE(CONTROL!$C$42, 48.2685, 48.2685)* CHOOSE(CONTROL!$C$21, $C$9, 100%, $E$9)</f>
        <v>48.268500000000003</v>
      </c>
      <c r="J688" s="14">
        <f>CHOOSE(CONTROL!$C$42, 48.1093, 48.1093)* CHOOSE(CONTROL!$C$21, $C$9, 100%, $E$9)</f>
        <v>48.109299999999998</v>
      </c>
      <c r="K688" s="53">
        <f>CHOOSE(CONTROL!$C$42, 48.2646, 48.2646) * CHOOSE(CONTROL!$C$21, $C$9, 100%, $E$9)</f>
        <v>48.264600000000002</v>
      </c>
      <c r="L688" s="14">
        <f>CHOOSE(CONTROL!$C$42, 48.9257, 48.9257) * CHOOSE(CONTROL!$C$21, $C$9, 100%, $E$9)</f>
        <v>48.925699999999999</v>
      </c>
      <c r="M688" s="14">
        <f>CHOOSE(CONTROL!$C$42, 47.1313, 47.1313) * CHOOSE(CONTROL!$C$21, $C$9, 100%, $E$9)</f>
        <v>47.131300000000003</v>
      </c>
      <c r="N688" s="14">
        <f>CHOOSE(CONTROL!$C$42, 47.1478, 47.1478) * CHOOSE(CONTROL!$C$21, $C$9, 100%, $E$9)</f>
        <v>47.147799999999997</v>
      </c>
      <c r="O688" s="14">
        <f>CHOOSE(CONTROL!$C$42, 47.356, 47.356) * CHOOSE(CONTROL!$C$21, $C$9, 100%, $E$9)</f>
        <v>47.356000000000002</v>
      </c>
      <c r="P688" s="14">
        <f>CHOOSE(CONTROL!$C$42, 47.2843, 47.2843) * CHOOSE(CONTROL!$C$21, $C$9, 100%, $E$9)</f>
        <v>47.284300000000002</v>
      </c>
      <c r="Q688" s="14">
        <f>CHOOSE(CONTROL!$C$42, 47.9507, 47.9507) * CHOOSE(CONTROL!$C$21, $C$9, 100%, $E$9)</f>
        <v>47.950699999999998</v>
      </c>
      <c r="R688" s="14">
        <f>CHOOSE(CONTROL!$C$42, 48.6576, 48.6576) * CHOOSE(CONTROL!$C$21, $C$9, 100%, $E$9)</f>
        <v>48.657600000000002</v>
      </c>
      <c r="S688" s="14">
        <f>CHOOSE(CONTROL!$C$42, 46.1991, 46.1991) * CHOOSE(CONTROL!$C$21, $C$9, 100%, $E$9)</f>
        <v>46.199100000000001</v>
      </c>
      <c r="T6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88" s="57">
        <f>(1000*CHOOSE(CONTROL!$C$42, 695, 695)*CHOOSE(CONTROL!$C$42, 0.5599, 0.5599)*CHOOSE(CONTROL!$C$42, 30, 30))/1000000</f>
        <v>11.673914999999997</v>
      </c>
      <c r="V688" s="57">
        <f>(1000*CHOOSE(CONTROL!$C$42, 500, 500)*CHOOSE(CONTROL!$C$42, 0.275, 0.275)*CHOOSE(CONTROL!$C$42, 30, 30))/1000000</f>
        <v>4.125</v>
      </c>
      <c r="W688" s="57">
        <f>(1000*CHOOSE(CONTROL!$C$42, 0.1146, 0.1146)*CHOOSE(CONTROL!$C$42, 121.5, 121.5)*CHOOSE(CONTROL!$C$42, 30, 30))/1000000</f>
        <v>0.417717</v>
      </c>
      <c r="X688" s="57">
        <f>(30*0.1790888*245000/1000000)+(30*0.2374*100000/1000000)</f>
        <v>2.0285026799999999</v>
      </c>
      <c r="Y688" s="57"/>
      <c r="Z688" s="14"/>
      <c r="AA688" s="56"/>
      <c r="AB688" s="50">
        <f>(B688*141.293+C688*267.993+D688*115.016+E688*89.698+F688*40+G688*185+H688*0+I688*100+J688*300)/(141.293+267.993+115.016+89.698+0+40+185+100+300)</f>
        <v>48.156703696933015</v>
      </c>
      <c r="AC688" s="45">
        <f>(M688*'RAP TEMPLATE-GAS AVAILABILITY'!O687+N688*'RAP TEMPLATE-GAS AVAILABILITY'!P687+O688*'RAP TEMPLATE-GAS AVAILABILITY'!Q687+P688*'RAP TEMPLATE-GAS AVAILABILITY'!R687)/('RAP TEMPLATE-GAS AVAILABILITY'!O687+'RAP TEMPLATE-GAS AVAILABILITY'!P687+'RAP TEMPLATE-GAS AVAILABILITY'!Q687+'RAP TEMPLATE-GAS AVAILABILITY'!R687)</f>
        <v>47.25610647482015</v>
      </c>
    </row>
    <row r="689" spans="1:29" ht="15.75" x14ac:dyDescent="0.25">
      <c r="A689" s="32">
        <v>61879</v>
      </c>
      <c r="B689" s="14">
        <f>CHOOSE(CONTROL!$C$42, 48.5144, 48.5144) * CHOOSE(CONTROL!$C$21, $C$9, 100%, $E$9)</f>
        <v>48.514400000000002</v>
      </c>
      <c r="C689" s="14">
        <f>CHOOSE(CONTROL!$C$42, 48.5224, 48.5224) * CHOOSE(CONTROL!$C$21, $C$9, 100%, $E$9)</f>
        <v>48.522399999999998</v>
      </c>
      <c r="D689" s="14">
        <f>CHOOSE(CONTROL!$C$42, 48.743, 48.743) * CHOOSE(CONTROL!$C$21, $C$9, 100%, $E$9)</f>
        <v>48.743000000000002</v>
      </c>
      <c r="E689" s="14">
        <f>CHOOSE(CONTROL!$C$42, 48.7745, 48.7745) * CHOOSE(CONTROL!$C$21, $C$9, 100%, $E$9)</f>
        <v>48.774500000000003</v>
      </c>
      <c r="F689" s="14">
        <f>CHOOSE(CONTROL!$C$42, 48.5406, 48.5406)*CHOOSE(CONTROL!$C$21, $C$9, 100%, $E$9)</f>
        <v>48.540599999999998</v>
      </c>
      <c r="G689" s="14">
        <f>CHOOSE(CONTROL!$C$42, 48.5578, 48.5578)*CHOOSE(CONTROL!$C$21, $C$9, 100%, $E$9)</f>
        <v>48.5578</v>
      </c>
      <c r="H689" s="14">
        <f>CHOOSE(CONTROL!$C$42, 48.7631, 48.7631) * CHOOSE(CONTROL!$C$21, $C$9, 100%, $E$9)</f>
        <v>48.763100000000001</v>
      </c>
      <c r="I689" s="14">
        <f>CHOOSE(CONTROL!$C$42, 48.6942, 48.6942)* CHOOSE(CONTROL!$C$21, $C$9, 100%, $E$9)</f>
        <v>48.694200000000002</v>
      </c>
      <c r="J689" s="14">
        <f>CHOOSE(CONTROL!$C$42, 48.5336, 48.5336)* CHOOSE(CONTROL!$C$21, $C$9, 100%, $E$9)</f>
        <v>48.5336</v>
      </c>
      <c r="K689" s="53">
        <f>CHOOSE(CONTROL!$C$42, 48.6903, 48.6903) * CHOOSE(CONTROL!$C$21, $C$9, 100%, $E$9)</f>
        <v>48.690300000000001</v>
      </c>
      <c r="L689" s="14">
        <f>CHOOSE(CONTROL!$C$42, 49.3501, 49.3501) * CHOOSE(CONTROL!$C$21, $C$9, 100%, $E$9)</f>
        <v>49.350099999999998</v>
      </c>
      <c r="M689" s="14">
        <f>CHOOSE(CONTROL!$C$42, 47.5469, 47.5469) * CHOOSE(CONTROL!$C$21, $C$9, 100%, $E$9)</f>
        <v>47.546900000000001</v>
      </c>
      <c r="N689" s="14">
        <f>CHOOSE(CONTROL!$C$42, 47.5637, 47.5637) * CHOOSE(CONTROL!$C$21, $C$9, 100%, $E$9)</f>
        <v>47.563699999999997</v>
      </c>
      <c r="O689" s="14">
        <f>CHOOSE(CONTROL!$C$42, 47.7717, 47.7717) * CHOOSE(CONTROL!$C$21, $C$9, 100%, $E$9)</f>
        <v>47.771700000000003</v>
      </c>
      <c r="P689" s="14">
        <f>CHOOSE(CONTROL!$C$42, 47.7012, 47.7012) * CHOOSE(CONTROL!$C$21, $C$9, 100%, $E$9)</f>
        <v>47.7012</v>
      </c>
      <c r="Q689" s="14">
        <f>CHOOSE(CONTROL!$C$42, 48.3664, 48.3664) * CHOOSE(CONTROL!$C$21, $C$9, 100%, $E$9)</f>
        <v>48.366399999999999</v>
      </c>
      <c r="R689" s="14">
        <f>CHOOSE(CONTROL!$C$42, 49.0743, 49.0743) * CHOOSE(CONTROL!$C$21, $C$9, 100%, $E$9)</f>
        <v>49.074300000000001</v>
      </c>
      <c r="S689" s="14">
        <f>CHOOSE(CONTROL!$C$42, 46.6068, 46.6068) * CHOOSE(CONTROL!$C$21, $C$9, 100%, $E$9)</f>
        <v>46.6068</v>
      </c>
      <c r="T6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89" s="57">
        <f>(1000*CHOOSE(CONTROL!$C$42, 695, 695)*CHOOSE(CONTROL!$C$42, 0.5599, 0.5599)*CHOOSE(CONTROL!$C$42, 31, 31))/1000000</f>
        <v>12.063045499999998</v>
      </c>
      <c r="V689" s="57">
        <f>(1000*CHOOSE(CONTROL!$C$42, 500, 500)*CHOOSE(CONTROL!$C$42, 0.275, 0.275)*CHOOSE(CONTROL!$C$42, 31, 31))/1000000</f>
        <v>4.2625000000000002</v>
      </c>
      <c r="W689" s="57">
        <f>(1000*CHOOSE(CONTROL!$C$42, 0.1146, 0.1146)*CHOOSE(CONTROL!$C$42, 121.5, 121.5)*CHOOSE(CONTROL!$C$42, 31, 31))/1000000</f>
        <v>0.43164089999999994</v>
      </c>
      <c r="X689" s="57">
        <f>(31*0.1790888*245000/1000000)+(31*0.2374*100000/1000000)</f>
        <v>2.0961194359999999</v>
      </c>
      <c r="Y689" s="57"/>
      <c r="Z689" s="14"/>
      <c r="AA689" s="56"/>
      <c r="AB689" s="50">
        <f>(B689*194.205+C689*267.466+D689*133.845+E689*53.484+F689*40+G689*185+H689*0+I689*100+J689*300)/(194.205+267.466+133.845+53.484+0+40+185+100+300)</f>
        <v>48.57677431978022</v>
      </c>
      <c r="AC689" s="45">
        <f>(M689*'RAP TEMPLATE-GAS AVAILABILITY'!O688+N689*'RAP TEMPLATE-GAS AVAILABILITY'!P688+O689*'RAP TEMPLATE-GAS AVAILABILITY'!Q688+P689*'RAP TEMPLATE-GAS AVAILABILITY'!R688)/('RAP TEMPLATE-GAS AVAILABILITY'!O688+'RAP TEMPLATE-GAS AVAILABILITY'!P688+'RAP TEMPLATE-GAS AVAILABILITY'!Q688+'RAP TEMPLATE-GAS AVAILABILITY'!R688)</f>
        <v>47.671956115107911</v>
      </c>
    </row>
    <row r="690" spans="1:29" ht="15.75" x14ac:dyDescent="0.25">
      <c r="A690" s="32">
        <v>61909</v>
      </c>
      <c r="B690" s="14">
        <f>CHOOSE(CONTROL!$C$42, 49.8902, 49.8902) * CHOOSE(CONTROL!$C$21, $C$9, 100%, $E$9)</f>
        <v>49.8902</v>
      </c>
      <c r="C690" s="14">
        <f>CHOOSE(CONTROL!$C$42, 49.8982, 49.8982) * CHOOSE(CONTROL!$C$21, $C$9, 100%, $E$9)</f>
        <v>49.898200000000003</v>
      </c>
      <c r="D690" s="14">
        <f>CHOOSE(CONTROL!$C$42, 50.1188, 50.1188) * CHOOSE(CONTROL!$C$21, $C$9, 100%, $E$9)</f>
        <v>50.1188</v>
      </c>
      <c r="E690" s="14">
        <f>CHOOSE(CONTROL!$C$42, 50.1503, 50.1503) * CHOOSE(CONTROL!$C$21, $C$9, 100%, $E$9)</f>
        <v>50.150300000000001</v>
      </c>
      <c r="F690" s="14">
        <f>CHOOSE(CONTROL!$C$42, 49.9168, 49.9168)*CHOOSE(CONTROL!$C$21, $C$9, 100%, $E$9)</f>
        <v>49.916800000000002</v>
      </c>
      <c r="G690" s="14">
        <f>CHOOSE(CONTROL!$C$42, 49.934, 49.934)*CHOOSE(CONTROL!$C$21, $C$9, 100%, $E$9)</f>
        <v>49.933999999999997</v>
      </c>
      <c r="H690" s="14">
        <f>CHOOSE(CONTROL!$C$42, 50.1389, 50.1389) * CHOOSE(CONTROL!$C$21, $C$9, 100%, $E$9)</f>
        <v>50.1389</v>
      </c>
      <c r="I690" s="14">
        <f>CHOOSE(CONTROL!$C$42, 50.0744, 50.0744)* CHOOSE(CONTROL!$C$21, $C$9, 100%, $E$9)</f>
        <v>50.074399999999997</v>
      </c>
      <c r="J690" s="14">
        <f>CHOOSE(CONTROL!$C$42, 49.9098, 49.9098)* CHOOSE(CONTROL!$C$21, $C$9, 100%, $E$9)</f>
        <v>49.909799999999997</v>
      </c>
      <c r="K690" s="53">
        <f>CHOOSE(CONTROL!$C$42, 50.0705, 50.0705) * CHOOSE(CONTROL!$C$21, $C$9, 100%, $E$9)</f>
        <v>50.070500000000003</v>
      </c>
      <c r="L690" s="14">
        <f>CHOOSE(CONTROL!$C$42, 50.7259, 50.7259) * CHOOSE(CONTROL!$C$21, $C$9, 100%, $E$9)</f>
        <v>50.725900000000003</v>
      </c>
      <c r="M690" s="14">
        <f>CHOOSE(CONTROL!$C$42, 48.8949, 48.8949) * CHOOSE(CONTROL!$C$21, $C$9, 100%, $E$9)</f>
        <v>48.8949</v>
      </c>
      <c r="N690" s="14">
        <f>CHOOSE(CONTROL!$C$42, 48.9118, 48.9118) * CHOOSE(CONTROL!$C$21, $C$9, 100%, $E$9)</f>
        <v>48.911799999999999</v>
      </c>
      <c r="O690" s="14">
        <f>CHOOSE(CONTROL!$C$42, 49.1193, 49.1193) * CHOOSE(CONTROL!$C$21, $C$9, 100%, $E$9)</f>
        <v>49.119300000000003</v>
      </c>
      <c r="P690" s="14">
        <f>CHOOSE(CONTROL!$C$42, 49.053, 49.053) * CHOOSE(CONTROL!$C$21, $C$9, 100%, $E$9)</f>
        <v>49.052999999999997</v>
      </c>
      <c r="Q690" s="14">
        <f>CHOOSE(CONTROL!$C$42, 49.714, 49.714) * CHOOSE(CONTROL!$C$21, $C$9, 100%, $E$9)</f>
        <v>49.713999999999999</v>
      </c>
      <c r="R690" s="14">
        <f>CHOOSE(CONTROL!$C$42, 50.4253, 50.4253) * CHOOSE(CONTROL!$C$21, $C$9, 100%, $E$9)</f>
        <v>50.4253</v>
      </c>
      <c r="S690" s="14">
        <f>CHOOSE(CONTROL!$C$42, 47.9289, 47.9289) * CHOOSE(CONTROL!$C$21, $C$9, 100%, $E$9)</f>
        <v>47.928899999999999</v>
      </c>
      <c r="T6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90" s="57">
        <f>(1000*CHOOSE(CONTROL!$C$42, 695, 695)*CHOOSE(CONTROL!$C$42, 0.5599, 0.5599)*CHOOSE(CONTROL!$C$42, 30, 30))/1000000</f>
        <v>11.673914999999997</v>
      </c>
      <c r="V690" s="57">
        <f>(1000*CHOOSE(CONTROL!$C$42, 500, 500)*CHOOSE(CONTROL!$C$42, 0.275, 0.275)*CHOOSE(CONTROL!$C$42, 30, 30))/1000000</f>
        <v>4.125</v>
      </c>
      <c r="W690" s="57">
        <f>(1000*CHOOSE(CONTROL!$C$42, 0.1146, 0.1146)*CHOOSE(CONTROL!$C$42, 121.5, 121.5)*CHOOSE(CONTROL!$C$42, 30, 30))/1000000</f>
        <v>0.417717</v>
      </c>
      <c r="X690" s="57">
        <f>(30*0.1790888*245000/1000000)+(30*0.2374*100000/1000000)</f>
        <v>2.0285026799999999</v>
      </c>
      <c r="Y690" s="57"/>
      <c r="Z690" s="14"/>
      <c r="AA690" s="56"/>
      <c r="AB690" s="50">
        <f>(B690*194.205+C690*267.466+D690*133.845+E690*53.484+F690*40+G690*185+H690*0+I690*100+J690*300)/(194.205+267.466+133.845+53.484+0+40+185+100+300)</f>
        <v>49.953084523861854</v>
      </c>
      <c r="AC690" s="45">
        <f>(M690*'RAP TEMPLATE-GAS AVAILABILITY'!O689+N690*'RAP TEMPLATE-GAS AVAILABILITY'!P689+O690*'RAP TEMPLATE-GAS AVAILABILITY'!Q689+P690*'RAP TEMPLATE-GAS AVAILABILITY'!R689)/('RAP TEMPLATE-GAS AVAILABILITY'!O689+'RAP TEMPLATE-GAS AVAILABILITY'!P689+'RAP TEMPLATE-GAS AVAILABILITY'!Q689+'RAP TEMPLATE-GAS AVAILABILITY'!R689)</f>
        <v>49.020327338129498</v>
      </c>
    </row>
    <row r="691" spans="1:29" ht="15.75" x14ac:dyDescent="0.25">
      <c r="A691" s="32">
        <v>61940</v>
      </c>
      <c r="B691" s="14">
        <f>CHOOSE(CONTROL!$C$42, 48.9333, 48.9333) * CHOOSE(CONTROL!$C$21, $C$9, 100%, $E$9)</f>
        <v>48.933300000000003</v>
      </c>
      <c r="C691" s="14">
        <f>CHOOSE(CONTROL!$C$42, 48.9413, 48.9413) * CHOOSE(CONTROL!$C$21, $C$9, 100%, $E$9)</f>
        <v>48.941299999999998</v>
      </c>
      <c r="D691" s="14">
        <f>CHOOSE(CONTROL!$C$42, 49.1619, 49.1619) * CHOOSE(CONTROL!$C$21, $C$9, 100%, $E$9)</f>
        <v>49.161900000000003</v>
      </c>
      <c r="E691" s="14">
        <f>CHOOSE(CONTROL!$C$42, 49.1934, 49.1934) * CHOOSE(CONTROL!$C$21, $C$9, 100%, $E$9)</f>
        <v>49.193399999999997</v>
      </c>
      <c r="F691" s="14">
        <f>CHOOSE(CONTROL!$C$42, 48.9604, 48.9604)*CHOOSE(CONTROL!$C$21, $C$9, 100%, $E$9)</f>
        <v>48.9604</v>
      </c>
      <c r="G691" s="14">
        <f>CHOOSE(CONTROL!$C$42, 48.9777, 48.9777)*CHOOSE(CONTROL!$C$21, $C$9, 100%, $E$9)</f>
        <v>48.977699999999999</v>
      </c>
      <c r="H691" s="14">
        <f>CHOOSE(CONTROL!$C$42, 49.182, 49.182) * CHOOSE(CONTROL!$C$21, $C$9, 100%, $E$9)</f>
        <v>49.182000000000002</v>
      </c>
      <c r="I691" s="14">
        <f>CHOOSE(CONTROL!$C$42, 49.1145, 49.1145)* CHOOSE(CONTROL!$C$21, $C$9, 100%, $E$9)</f>
        <v>49.1145</v>
      </c>
      <c r="J691" s="14">
        <f>CHOOSE(CONTROL!$C$42, 48.9534, 48.9534)* CHOOSE(CONTROL!$C$21, $C$9, 100%, $E$9)</f>
        <v>48.953400000000002</v>
      </c>
      <c r="K691" s="53">
        <f>CHOOSE(CONTROL!$C$42, 49.1106, 49.1106) * CHOOSE(CONTROL!$C$21, $C$9, 100%, $E$9)</f>
        <v>49.110599999999998</v>
      </c>
      <c r="L691" s="14">
        <f>CHOOSE(CONTROL!$C$42, 49.769, 49.769) * CHOOSE(CONTROL!$C$21, $C$9, 100%, $E$9)</f>
        <v>49.768999999999998</v>
      </c>
      <c r="M691" s="14">
        <f>CHOOSE(CONTROL!$C$42, 47.9581, 47.9581) * CHOOSE(CONTROL!$C$21, $C$9, 100%, $E$9)</f>
        <v>47.958100000000002</v>
      </c>
      <c r="N691" s="14">
        <f>CHOOSE(CONTROL!$C$42, 47.975, 47.975) * CHOOSE(CONTROL!$C$21, $C$9, 100%, $E$9)</f>
        <v>47.975000000000001</v>
      </c>
      <c r="O691" s="14">
        <f>CHOOSE(CONTROL!$C$42, 48.182, 48.182) * CHOOSE(CONTROL!$C$21, $C$9, 100%, $E$9)</f>
        <v>48.182000000000002</v>
      </c>
      <c r="P691" s="14">
        <f>CHOOSE(CONTROL!$C$42, 48.1128, 48.1128) * CHOOSE(CONTROL!$C$21, $C$9, 100%, $E$9)</f>
        <v>48.1128</v>
      </c>
      <c r="Q691" s="14">
        <f>CHOOSE(CONTROL!$C$42, 48.7767, 48.7767) * CHOOSE(CONTROL!$C$21, $C$9, 100%, $E$9)</f>
        <v>48.776699999999998</v>
      </c>
      <c r="R691" s="14">
        <f>CHOOSE(CONTROL!$C$42, 49.4857, 49.4857) * CHOOSE(CONTROL!$C$21, $C$9, 100%, $E$9)</f>
        <v>49.485700000000001</v>
      </c>
      <c r="S691" s="14">
        <f>CHOOSE(CONTROL!$C$42, 47.0094, 47.0094) * CHOOSE(CONTROL!$C$21, $C$9, 100%, $E$9)</f>
        <v>47.009399999999999</v>
      </c>
      <c r="T6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91" s="57">
        <f>(1000*CHOOSE(CONTROL!$C$42, 695, 695)*CHOOSE(CONTROL!$C$42, 0.5599, 0.5599)*CHOOSE(CONTROL!$C$42, 31, 31))/1000000</f>
        <v>12.063045499999998</v>
      </c>
      <c r="V691" s="57">
        <f>(1000*CHOOSE(CONTROL!$C$42, 500, 500)*CHOOSE(CONTROL!$C$42, 0.275, 0.275)*CHOOSE(CONTROL!$C$42, 31, 31))/1000000</f>
        <v>4.2625000000000002</v>
      </c>
      <c r="W691" s="57">
        <f>(1000*CHOOSE(CONTROL!$C$42, 0.1146, 0.1146)*CHOOSE(CONTROL!$C$42, 121.5, 121.5)*CHOOSE(CONTROL!$C$42, 31, 31))/1000000</f>
        <v>0.43164089999999994</v>
      </c>
      <c r="X691" s="57">
        <f>(31*0.1790888*245000/1000000)+(31*0.2374*100000/1000000)</f>
        <v>2.0961194359999999</v>
      </c>
      <c r="Y691" s="57"/>
      <c r="Z691" s="14"/>
      <c r="AA691" s="56"/>
      <c r="AB691" s="50">
        <f>(B691*194.205+C691*267.466+D691*133.845+E691*53.484+F691*40+G691*185+H691*0+I691*100+J691*300)/(194.205+267.466+133.845+53.484+0+40+185+100+300)</f>
        <v>48.99616961020407</v>
      </c>
      <c r="AC691" s="45">
        <f>(M691*'RAP TEMPLATE-GAS AVAILABILITY'!O690+N691*'RAP TEMPLATE-GAS AVAILABILITY'!P690+O691*'RAP TEMPLATE-GAS AVAILABILITY'!Q690+P691*'RAP TEMPLATE-GAS AVAILABILITY'!R690)/('RAP TEMPLATE-GAS AVAILABILITY'!O690+'RAP TEMPLATE-GAS AVAILABILITY'!P690+'RAP TEMPLATE-GAS AVAILABILITY'!Q690+'RAP TEMPLATE-GAS AVAILABILITY'!R690)</f>
        <v>48.082811510791359</v>
      </c>
    </row>
    <row r="692" spans="1:29" ht="15.75" x14ac:dyDescent="0.25">
      <c r="A692" s="32">
        <v>61971</v>
      </c>
      <c r="B692" s="14">
        <f>CHOOSE(CONTROL!$C$42, 46.5168, 46.5168) * CHOOSE(CONTROL!$C$21, $C$9, 100%, $E$9)</f>
        <v>46.516800000000003</v>
      </c>
      <c r="C692" s="14">
        <f>CHOOSE(CONTROL!$C$42, 46.5249, 46.5249) * CHOOSE(CONTROL!$C$21, $C$9, 100%, $E$9)</f>
        <v>46.524900000000002</v>
      </c>
      <c r="D692" s="14">
        <f>CHOOSE(CONTROL!$C$42, 46.7454, 46.7454) * CHOOSE(CONTROL!$C$21, $C$9, 100%, $E$9)</f>
        <v>46.745399999999997</v>
      </c>
      <c r="E692" s="14">
        <f>CHOOSE(CONTROL!$C$42, 46.7769, 46.7769) * CHOOSE(CONTROL!$C$21, $C$9, 100%, $E$9)</f>
        <v>46.776899999999998</v>
      </c>
      <c r="F692" s="14">
        <f>CHOOSE(CONTROL!$C$42, 46.5442, 46.5442)*CHOOSE(CONTROL!$C$21, $C$9, 100%, $E$9)</f>
        <v>46.544199999999996</v>
      </c>
      <c r="G692" s="14">
        <f>CHOOSE(CONTROL!$C$42, 46.5616, 46.5616)*CHOOSE(CONTROL!$C$21, $C$9, 100%, $E$9)</f>
        <v>46.561599999999999</v>
      </c>
      <c r="H692" s="14">
        <f>CHOOSE(CONTROL!$C$42, 46.7655, 46.7655) * CHOOSE(CONTROL!$C$21, $C$9, 100%, $E$9)</f>
        <v>46.765500000000003</v>
      </c>
      <c r="I692" s="14">
        <f>CHOOSE(CONTROL!$C$42, 46.6904, 46.6904)* CHOOSE(CONTROL!$C$21, $C$9, 100%, $E$9)</f>
        <v>46.690399999999997</v>
      </c>
      <c r="J692" s="14">
        <f>CHOOSE(CONTROL!$C$42, 46.5372, 46.5372)* CHOOSE(CONTROL!$C$21, $C$9, 100%, $E$9)</f>
        <v>46.537199999999999</v>
      </c>
      <c r="K692" s="53">
        <f>CHOOSE(CONTROL!$C$42, 46.6865, 46.6865) * CHOOSE(CONTROL!$C$21, $C$9, 100%, $E$9)</f>
        <v>46.686500000000002</v>
      </c>
      <c r="L692" s="14">
        <f>CHOOSE(CONTROL!$C$42, 47.3525, 47.3525) * CHOOSE(CONTROL!$C$21, $C$9, 100%, $E$9)</f>
        <v>47.352499999999999</v>
      </c>
      <c r="M692" s="14">
        <f>CHOOSE(CONTROL!$C$42, 45.5914, 45.5914) * CHOOSE(CONTROL!$C$21, $C$9, 100%, $E$9)</f>
        <v>45.5914</v>
      </c>
      <c r="N692" s="14">
        <f>CHOOSE(CONTROL!$C$42, 45.6084, 45.6084) * CHOOSE(CONTROL!$C$21, $C$9, 100%, $E$9)</f>
        <v>45.608400000000003</v>
      </c>
      <c r="O692" s="14">
        <f>CHOOSE(CONTROL!$C$42, 45.815, 45.815) * CHOOSE(CONTROL!$C$21, $C$9, 100%, $E$9)</f>
        <v>45.814999999999998</v>
      </c>
      <c r="P692" s="14">
        <f>CHOOSE(CONTROL!$C$42, 45.7386, 45.7386) * CHOOSE(CONTROL!$C$21, $C$9, 100%, $E$9)</f>
        <v>45.738599999999998</v>
      </c>
      <c r="Q692" s="14">
        <f>CHOOSE(CONTROL!$C$42, 46.4097, 46.4097) * CHOOSE(CONTROL!$C$21, $C$9, 100%, $E$9)</f>
        <v>46.409700000000001</v>
      </c>
      <c r="R692" s="14">
        <f>CHOOSE(CONTROL!$C$42, 47.1128, 47.1128) * CHOOSE(CONTROL!$C$21, $C$9, 100%, $E$9)</f>
        <v>47.1128</v>
      </c>
      <c r="S692" s="14">
        <f>CHOOSE(CONTROL!$C$42, 44.6874, 44.6874) * CHOOSE(CONTROL!$C$21, $C$9, 100%, $E$9)</f>
        <v>44.687399999999997</v>
      </c>
      <c r="T6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92" s="57">
        <f>(1000*CHOOSE(CONTROL!$C$42, 695, 695)*CHOOSE(CONTROL!$C$42, 0.5599, 0.5599)*CHOOSE(CONTROL!$C$42, 31, 31))/1000000</f>
        <v>12.063045499999998</v>
      </c>
      <c r="V692" s="57">
        <f>(1000*CHOOSE(CONTROL!$C$42, 500, 500)*CHOOSE(CONTROL!$C$42, 0.275, 0.275)*CHOOSE(CONTROL!$C$42, 31, 31))/1000000</f>
        <v>4.2625000000000002</v>
      </c>
      <c r="W692" s="57">
        <f>(1000*CHOOSE(CONTROL!$C$42, 0.1146, 0.1146)*CHOOSE(CONTROL!$C$42, 121.5, 121.5)*CHOOSE(CONTROL!$C$42, 31, 31))/1000000</f>
        <v>0.43164089999999994</v>
      </c>
      <c r="X692" s="57">
        <f>(31*0.1790888*245000/1000000)+(31*0.2374*100000/1000000)</f>
        <v>2.0961194359999999</v>
      </c>
      <c r="Y692" s="57"/>
      <c r="Z692" s="14"/>
      <c r="AA692" s="56"/>
      <c r="AB692" s="50">
        <f>(B692*194.205+C692*267.466+D692*133.845+E692*53.484+F692*40+G692*185+H692*0+I692*100+J692*300)/(194.205+267.466+133.845+53.484+0+40+185+100+300)</f>
        <v>46.579232205651486</v>
      </c>
      <c r="AC692" s="45">
        <f>(M692*'RAP TEMPLATE-GAS AVAILABILITY'!O691+N692*'RAP TEMPLATE-GAS AVAILABILITY'!P691+O692*'RAP TEMPLATE-GAS AVAILABILITY'!Q691+P692*'RAP TEMPLATE-GAS AVAILABILITY'!R691)/('RAP TEMPLATE-GAS AVAILABILITY'!O691+'RAP TEMPLATE-GAS AVAILABILITY'!P691+'RAP TEMPLATE-GAS AVAILABILITY'!Q691+'RAP TEMPLATE-GAS AVAILABILITY'!R691)</f>
        <v>45.714902158273382</v>
      </c>
    </row>
    <row r="693" spans="1:29" ht="15.75" x14ac:dyDescent="0.25">
      <c r="A693" s="32">
        <v>62001</v>
      </c>
      <c r="B693" s="14">
        <f>CHOOSE(CONTROL!$C$42, 43.5641, 43.5641) * CHOOSE(CONTROL!$C$21, $C$9, 100%, $E$9)</f>
        <v>43.564100000000003</v>
      </c>
      <c r="C693" s="14">
        <f>CHOOSE(CONTROL!$C$42, 43.5721, 43.5721) * CHOOSE(CONTROL!$C$21, $C$9, 100%, $E$9)</f>
        <v>43.572099999999999</v>
      </c>
      <c r="D693" s="14">
        <f>CHOOSE(CONTROL!$C$42, 43.7927, 43.7927) * CHOOSE(CONTROL!$C$21, $C$9, 100%, $E$9)</f>
        <v>43.792700000000004</v>
      </c>
      <c r="E693" s="14">
        <f>CHOOSE(CONTROL!$C$42, 43.8242, 43.8242) * CHOOSE(CONTROL!$C$21, $C$9, 100%, $E$9)</f>
        <v>43.824199999999998</v>
      </c>
      <c r="F693" s="14">
        <f>CHOOSE(CONTROL!$C$42, 43.5914, 43.5914)*CHOOSE(CONTROL!$C$21, $C$9, 100%, $E$9)</f>
        <v>43.5914</v>
      </c>
      <c r="G693" s="14">
        <f>CHOOSE(CONTROL!$C$42, 43.6089, 43.6089)*CHOOSE(CONTROL!$C$21, $C$9, 100%, $E$9)</f>
        <v>43.608899999999998</v>
      </c>
      <c r="H693" s="14">
        <f>CHOOSE(CONTROL!$C$42, 43.8128, 43.8128) * CHOOSE(CONTROL!$C$21, $C$9, 100%, $E$9)</f>
        <v>43.812800000000003</v>
      </c>
      <c r="I693" s="14">
        <f>CHOOSE(CONTROL!$C$42, 43.7284, 43.7284)* CHOOSE(CONTROL!$C$21, $C$9, 100%, $E$9)</f>
        <v>43.728400000000001</v>
      </c>
      <c r="J693" s="14">
        <f>CHOOSE(CONTROL!$C$42, 43.5844, 43.5844)* CHOOSE(CONTROL!$C$21, $C$9, 100%, $E$9)</f>
        <v>43.584400000000002</v>
      </c>
      <c r="K693" s="53">
        <f>CHOOSE(CONTROL!$C$42, 43.7245, 43.7245) * CHOOSE(CONTROL!$C$21, $C$9, 100%, $E$9)</f>
        <v>43.724499999999999</v>
      </c>
      <c r="L693" s="14">
        <f>CHOOSE(CONTROL!$C$42, 44.3998, 44.3998) * CHOOSE(CONTROL!$C$21, $C$9, 100%, $E$9)</f>
        <v>44.399799999999999</v>
      </c>
      <c r="M693" s="14">
        <f>CHOOSE(CONTROL!$C$42, 42.6991, 42.6991) * CHOOSE(CONTROL!$C$21, $C$9, 100%, $E$9)</f>
        <v>42.699100000000001</v>
      </c>
      <c r="N693" s="14">
        <f>CHOOSE(CONTROL!$C$42, 42.7162, 42.7162) * CHOOSE(CONTROL!$C$21, $C$9, 100%, $E$9)</f>
        <v>42.716200000000001</v>
      </c>
      <c r="O693" s="14">
        <f>CHOOSE(CONTROL!$C$42, 42.9228, 42.9228) * CHOOSE(CONTROL!$C$21, $C$9, 100%, $E$9)</f>
        <v>42.922800000000002</v>
      </c>
      <c r="P693" s="14">
        <f>CHOOSE(CONTROL!$C$42, 42.8375, 42.8375) * CHOOSE(CONTROL!$C$21, $C$9, 100%, $E$9)</f>
        <v>42.837499999999999</v>
      </c>
      <c r="Q693" s="14">
        <f>CHOOSE(CONTROL!$C$42, 43.5175, 43.5175) * CHOOSE(CONTROL!$C$21, $C$9, 100%, $E$9)</f>
        <v>43.517499999999998</v>
      </c>
      <c r="R693" s="14">
        <f>CHOOSE(CONTROL!$C$42, 44.2133, 44.2133) * CHOOSE(CONTROL!$C$21, $C$9, 100%, $E$9)</f>
        <v>44.213299999999997</v>
      </c>
      <c r="S693" s="14">
        <f>CHOOSE(CONTROL!$C$42, 41.8501, 41.8501) * CHOOSE(CONTROL!$C$21, $C$9, 100%, $E$9)</f>
        <v>41.850099999999998</v>
      </c>
      <c r="T6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3" s="57">
        <f>(1000*CHOOSE(CONTROL!$C$42, 695, 695)*CHOOSE(CONTROL!$C$42, 0.5599, 0.5599)*CHOOSE(CONTROL!$C$42, 30, 30))/1000000</f>
        <v>11.673914999999997</v>
      </c>
      <c r="V693" s="57">
        <f>(1000*CHOOSE(CONTROL!$C$42, 500, 500)*CHOOSE(CONTROL!$C$42, 0.275, 0.275)*CHOOSE(CONTROL!$C$42, 30, 30))/1000000</f>
        <v>4.125</v>
      </c>
      <c r="W693" s="57">
        <f>(1000*CHOOSE(CONTROL!$C$42, 0.1146, 0.1146)*CHOOSE(CONTROL!$C$42, 121.5, 121.5)*CHOOSE(CONTROL!$C$42, 30, 30))/1000000</f>
        <v>0.417717</v>
      </c>
      <c r="X693" s="57">
        <f>(30*0.1790888*245000/1000000)+(30*0.2374*100000/1000000)</f>
        <v>2.0285026799999999</v>
      </c>
      <c r="Y693" s="57"/>
      <c r="Z693" s="14"/>
      <c r="AA693" s="56"/>
      <c r="AB693" s="50">
        <f>(B693*194.205+C693*267.466+D693*133.845+E693*53.484+F693*40+G693*185+H693*0+I693*100+J693*300)/(194.205+267.466+133.845+53.484+0+40+185+100+300)</f>
        <v>43.625754539560447</v>
      </c>
      <c r="AC693" s="45">
        <f>(M693*'RAP TEMPLATE-GAS AVAILABILITY'!O692+N693*'RAP TEMPLATE-GAS AVAILABILITY'!P692+O693*'RAP TEMPLATE-GAS AVAILABILITY'!Q692+P693*'RAP TEMPLATE-GAS AVAILABILITY'!R692)/('RAP TEMPLATE-GAS AVAILABILITY'!O692+'RAP TEMPLATE-GAS AVAILABILITY'!P692+'RAP TEMPLATE-GAS AVAILABILITY'!Q692+'RAP TEMPLATE-GAS AVAILABILITY'!R692)</f>
        <v>42.821387050359711</v>
      </c>
    </row>
    <row r="694" spans="1:29" ht="15.75" x14ac:dyDescent="0.25">
      <c r="A694" s="32">
        <v>62032</v>
      </c>
      <c r="B694" s="14">
        <f>CHOOSE(CONTROL!$C$42, 42.6781, 42.6781) * CHOOSE(CONTROL!$C$21, $C$9, 100%, $E$9)</f>
        <v>42.678100000000001</v>
      </c>
      <c r="C694" s="14">
        <f>CHOOSE(CONTROL!$C$42, 42.6834, 42.6834) * CHOOSE(CONTROL!$C$21, $C$9, 100%, $E$9)</f>
        <v>42.683399999999999</v>
      </c>
      <c r="D694" s="14">
        <f>CHOOSE(CONTROL!$C$42, 42.9089, 42.9089) * CHOOSE(CONTROL!$C$21, $C$9, 100%, $E$9)</f>
        <v>42.908900000000003</v>
      </c>
      <c r="E694" s="14">
        <f>CHOOSE(CONTROL!$C$42, 42.9381, 42.9381) * CHOOSE(CONTROL!$C$21, $C$9, 100%, $E$9)</f>
        <v>42.938099999999999</v>
      </c>
      <c r="F694" s="14">
        <f>CHOOSE(CONTROL!$C$42, 42.7074, 42.7074)*CHOOSE(CONTROL!$C$21, $C$9, 100%, $E$9)</f>
        <v>42.7074</v>
      </c>
      <c r="G694" s="14">
        <f>CHOOSE(CONTROL!$C$42, 42.7247, 42.7247)*CHOOSE(CONTROL!$C$21, $C$9, 100%, $E$9)</f>
        <v>42.724699999999999</v>
      </c>
      <c r="H694" s="14">
        <f>CHOOSE(CONTROL!$C$42, 42.9285, 42.9285) * CHOOSE(CONTROL!$C$21, $C$9, 100%, $E$9)</f>
        <v>42.9285</v>
      </c>
      <c r="I694" s="14">
        <f>CHOOSE(CONTROL!$C$42, 42.8414, 42.8414)* CHOOSE(CONTROL!$C$21, $C$9, 100%, $E$9)</f>
        <v>42.8414</v>
      </c>
      <c r="J694" s="14">
        <f>CHOOSE(CONTROL!$C$42, 42.7004, 42.7004)* CHOOSE(CONTROL!$C$21, $C$9, 100%, $E$9)</f>
        <v>42.700400000000002</v>
      </c>
      <c r="K694" s="53">
        <f>CHOOSE(CONTROL!$C$42, 42.8375, 42.8375) * CHOOSE(CONTROL!$C$21, $C$9, 100%, $E$9)</f>
        <v>42.837499999999999</v>
      </c>
      <c r="L694" s="14">
        <f>CHOOSE(CONTROL!$C$42, 43.5155, 43.5155) * CHOOSE(CONTROL!$C$21, $C$9, 100%, $E$9)</f>
        <v>43.515500000000003</v>
      </c>
      <c r="M694" s="14">
        <f>CHOOSE(CONTROL!$C$42, 41.8332, 41.8332) * CHOOSE(CONTROL!$C$21, $C$9, 100%, $E$9)</f>
        <v>41.833199999999998</v>
      </c>
      <c r="N694" s="14">
        <f>CHOOSE(CONTROL!$C$42, 41.8501, 41.8501) * CHOOSE(CONTROL!$C$21, $C$9, 100%, $E$9)</f>
        <v>41.850099999999998</v>
      </c>
      <c r="O694" s="14">
        <f>CHOOSE(CONTROL!$C$42, 42.0566, 42.0566) * CHOOSE(CONTROL!$C$21, $C$9, 100%, $E$9)</f>
        <v>42.056600000000003</v>
      </c>
      <c r="P694" s="14">
        <f>CHOOSE(CONTROL!$C$42, 41.9687, 41.9687) * CHOOSE(CONTROL!$C$21, $C$9, 100%, $E$9)</f>
        <v>41.968699999999998</v>
      </c>
      <c r="Q694" s="14">
        <f>CHOOSE(CONTROL!$C$42, 42.6513, 42.6513) * CHOOSE(CONTROL!$C$21, $C$9, 100%, $E$9)</f>
        <v>42.651299999999999</v>
      </c>
      <c r="R694" s="14">
        <f>CHOOSE(CONTROL!$C$42, 43.345, 43.345) * CHOOSE(CONTROL!$C$21, $C$9, 100%, $E$9)</f>
        <v>43.344999999999999</v>
      </c>
      <c r="S694" s="14">
        <f>CHOOSE(CONTROL!$C$42, 41.0004, 41.0004) * CHOOSE(CONTROL!$C$21, $C$9, 100%, $E$9)</f>
        <v>41.000399999999999</v>
      </c>
      <c r="T6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94" s="57">
        <f>(1000*CHOOSE(CONTROL!$C$42, 695, 695)*CHOOSE(CONTROL!$C$42, 0.5599, 0.5599)*CHOOSE(CONTROL!$C$42, 31, 31))/1000000</f>
        <v>12.063045499999998</v>
      </c>
      <c r="V694" s="57">
        <f>(1000*CHOOSE(CONTROL!$C$42, 500, 500)*CHOOSE(CONTROL!$C$42, 0.275, 0.275)*CHOOSE(CONTROL!$C$42, 31, 31))/1000000</f>
        <v>4.2625000000000002</v>
      </c>
      <c r="W694" s="57">
        <f>(1000*CHOOSE(CONTROL!$C$42, 0.1146, 0.1146)*CHOOSE(CONTROL!$C$42, 121.5, 121.5)*CHOOSE(CONTROL!$C$42, 31, 31))/1000000</f>
        <v>0.43164089999999994</v>
      </c>
      <c r="X694" s="57">
        <f>(31*0.1790888*245000/1000000)+(31*0.2374*100000/1000000)</f>
        <v>2.0961194359999999</v>
      </c>
      <c r="Y694" s="57"/>
      <c r="Z694" s="14"/>
      <c r="AA694" s="56"/>
      <c r="AB694" s="50">
        <f>(B694*131.881+C694*277.167+D694*79.08+E694*125.872+F694*40+G694*185+H694*0+I694*100+J694*300)/(131.881+277.167+79.08+125.872+0+40+185+100+300)</f>
        <v>42.746913857223568</v>
      </c>
      <c r="AC694" s="45">
        <f>(M694*'RAP TEMPLATE-GAS AVAILABILITY'!O693+N694*'RAP TEMPLATE-GAS AVAILABILITY'!P693+O694*'RAP TEMPLATE-GAS AVAILABILITY'!Q693+P694*'RAP TEMPLATE-GAS AVAILABILITY'!R693)/('RAP TEMPLATE-GAS AVAILABILITY'!O693+'RAP TEMPLATE-GAS AVAILABILITY'!P693+'RAP TEMPLATE-GAS AVAILABILITY'!Q693+'RAP TEMPLATE-GAS AVAILABILITY'!R693)</f>
        <v>41.954922302158273</v>
      </c>
    </row>
    <row r="695" spans="1:29" ht="15.75" x14ac:dyDescent="0.25">
      <c r="A695" s="32">
        <v>62062</v>
      </c>
      <c r="B695" s="14">
        <f>CHOOSE(CONTROL!$C$42, 43.8017, 43.8017) * CHOOSE(CONTROL!$C$21, $C$9, 100%, $E$9)</f>
        <v>43.801699999999997</v>
      </c>
      <c r="C695" s="14">
        <f>CHOOSE(CONTROL!$C$42, 43.8068, 43.8068) * CHOOSE(CONTROL!$C$21, $C$9, 100%, $E$9)</f>
        <v>43.806800000000003</v>
      </c>
      <c r="D695" s="14">
        <f>CHOOSE(CONTROL!$C$42, 43.881, 43.881) * CHOOSE(CONTROL!$C$21, $C$9, 100%, $E$9)</f>
        <v>43.881</v>
      </c>
      <c r="E695" s="14">
        <f>CHOOSE(CONTROL!$C$42, 43.9151, 43.9151) * CHOOSE(CONTROL!$C$21, $C$9, 100%, $E$9)</f>
        <v>43.915100000000002</v>
      </c>
      <c r="F695" s="14">
        <f>CHOOSE(CONTROL!$C$42, 43.8378, 43.8378)*CHOOSE(CONTROL!$C$21, $C$9, 100%, $E$9)</f>
        <v>43.837800000000001</v>
      </c>
      <c r="G695" s="14">
        <f>CHOOSE(CONTROL!$C$42, 43.8553, 43.8553)*CHOOSE(CONTROL!$C$21, $C$9, 100%, $E$9)</f>
        <v>43.8553</v>
      </c>
      <c r="H695" s="14">
        <f>CHOOSE(CONTROL!$C$42, 43.9043, 43.9043) * CHOOSE(CONTROL!$C$21, $C$9, 100%, $E$9)</f>
        <v>43.904299999999999</v>
      </c>
      <c r="I695" s="14">
        <f>CHOOSE(CONTROL!$C$42, 43.9664, 43.9664)* CHOOSE(CONTROL!$C$21, $C$9, 100%, $E$9)</f>
        <v>43.9664</v>
      </c>
      <c r="J695" s="14">
        <f>CHOOSE(CONTROL!$C$42, 43.8308, 43.8308)* CHOOSE(CONTROL!$C$21, $C$9, 100%, $E$9)</f>
        <v>43.830800000000004</v>
      </c>
      <c r="K695" s="53">
        <f>CHOOSE(CONTROL!$C$42, 43.9625, 43.9625) * CHOOSE(CONTROL!$C$21, $C$9, 100%, $E$9)</f>
        <v>43.962499999999999</v>
      </c>
      <c r="L695" s="14">
        <f>CHOOSE(CONTROL!$C$42, 44.4913, 44.4913) * CHOOSE(CONTROL!$C$21, $C$9, 100%, $E$9)</f>
        <v>44.491300000000003</v>
      </c>
      <c r="M695" s="14">
        <f>CHOOSE(CONTROL!$C$42, 42.9404, 42.9404) * CHOOSE(CONTROL!$C$21, $C$9, 100%, $E$9)</f>
        <v>42.940399999999997</v>
      </c>
      <c r="N695" s="14">
        <f>CHOOSE(CONTROL!$C$42, 42.9576, 42.9576) * CHOOSE(CONTROL!$C$21, $C$9, 100%, $E$9)</f>
        <v>42.957599999999999</v>
      </c>
      <c r="O695" s="14">
        <f>CHOOSE(CONTROL!$C$42, 43.0124, 43.0124) * CHOOSE(CONTROL!$C$21, $C$9, 100%, $E$9)</f>
        <v>43.0124</v>
      </c>
      <c r="P695" s="14">
        <f>CHOOSE(CONTROL!$C$42, 43.0705, 43.0705) * CHOOSE(CONTROL!$C$21, $C$9, 100%, $E$9)</f>
        <v>43.070500000000003</v>
      </c>
      <c r="Q695" s="14">
        <f>CHOOSE(CONTROL!$C$42, 43.6071, 43.6071) * CHOOSE(CONTROL!$C$21, $C$9, 100%, $E$9)</f>
        <v>43.607100000000003</v>
      </c>
      <c r="R695" s="14">
        <f>CHOOSE(CONTROL!$C$42, 44.3031, 44.3031) * CHOOSE(CONTROL!$C$21, $C$9, 100%, $E$9)</f>
        <v>44.303100000000001</v>
      </c>
      <c r="S695" s="14">
        <f>CHOOSE(CONTROL!$C$42, 42.0805, 42.0805) * CHOOSE(CONTROL!$C$21, $C$9, 100%, $E$9)</f>
        <v>42.080500000000001</v>
      </c>
      <c r="T6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95" s="57">
        <f>(1000*CHOOSE(CONTROL!$C$42, 695, 695)*CHOOSE(CONTROL!$C$42, 0.5599, 0.5599)*CHOOSE(CONTROL!$C$42, 30, 30))/1000000</f>
        <v>11.673914999999997</v>
      </c>
      <c r="V695" s="57">
        <f>(1000*CHOOSE(CONTROL!$C$42, 500, 500)*CHOOSE(CONTROL!$C$42, 0.275, 0.275)*CHOOSE(CONTROL!$C$42, 30, 30))/1000000</f>
        <v>4.125</v>
      </c>
      <c r="W695" s="57">
        <f>(1000*CHOOSE(CONTROL!$C$42, 0.1146, 0.1146)*CHOOSE(CONTROL!$C$42, 121.5, 121.5)*CHOOSE(CONTROL!$C$42, 30, 30))/1000000</f>
        <v>0.417717</v>
      </c>
      <c r="X695" s="57">
        <f>(30*0.1790888*100000/1000000)+(30*0.2374*100000/1000000)</f>
        <v>1.2494664</v>
      </c>
      <c r="Y695" s="57"/>
      <c r="Z695" s="14"/>
      <c r="AA695" s="56"/>
      <c r="AB695" s="50">
        <f>(B695*122.58+C695*297.941+D695*89.177+E695*40.302+F695*40+G695*160+H695*0+I695*100+J695*300)/(122.58+297.941+89.177+40.302+0+40+160+100+300)</f>
        <v>43.843770853913043</v>
      </c>
      <c r="AC695" s="45">
        <f>(M695*'RAP TEMPLATE-GAS AVAILABILITY'!O694+N695*'RAP TEMPLATE-GAS AVAILABILITY'!P694+O695*'RAP TEMPLATE-GAS AVAILABILITY'!Q694+P695*'RAP TEMPLATE-GAS AVAILABILITY'!R694)/('RAP TEMPLATE-GAS AVAILABILITY'!O694+'RAP TEMPLATE-GAS AVAILABILITY'!P694+'RAP TEMPLATE-GAS AVAILABILITY'!Q694+'RAP TEMPLATE-GAS AVAILABILITY'!R694)</f>
        <v>42.99274244604316</v>
      </c>
    </row>
    <row r="696" spans="1:29" ht="15.75" x14ac:dyDescent="0.25">
      <c r="A696" s="32">
        <v>62093</v>
      </c>
      <c r="B696" s="14">
        <f>CHOOSE(CONTROL!$C$42, 46.7874, 46.7874) * CHOOSE(CONTROL!$C$21, $C$9, 100%, $E$9)</f>
        <v>46.787399999999998</v>
      </c>
      <c r="C696" s="14">
        <f>CHOOSE(CONTROL!$C$42, 46.7925, 46.7925) * CHOOSE(CONTROL!$C$21, $C$9, 100%, $E$9)</f>
        <v>46.792499999999997</v>
      </c>
      <c r="D696" s="14">
        <f>CHOOSE(CONTROL!$C$42, 46.8667, 46.8667) * CHOOSE(CONTROL!$C$21, $C$9, 100%, $E$9)</f>
        <v>46.866700000000002</v>
      </c>
      <c r="E696" s="14">
        <f>CHOOSE(CONTROL!$C$42, 46.9008, 46.9008) * CHOOSE(CONTROL!$C$21, $C$9, 100%, $E$9)</f>
        <v>46.900799999999997</v>
      </c>
      <c r="F696" s="14">
        <f>CHOOSE(CONTROL!$C$42, 46.8259, 46.8259)*CHOOSE(CONTROL!$C$21, $C$9, 100%, $E$9)</f>
        <v>46.825899999999997</v>
      </c>
      <c r="G696" s="14">
        <f>CHOOSE(CONTROL!$C$42, 46.844, 46.844)*CHOOSE(CONTROL!$C$21, $C$9, 100%, $E$9)</f>
        <v>46.844000000000001</v>
      </c>
      <c r="H696" s="14">
        <f>CHOOSE(CONTROL!$C$42, 46.89, 46.89) * CHOOSE(CONTROL!$C$21, $C$9, 100%, $E$9)</f>
        <v>46.89</v>
      </c>
      <c r="I696" s="14">
        <f>CHOOSE(CONTROL!$C$42, 46.9614, 46.9614)* CHOOSE(CONTROL!$C$21, $C$9, 100%, $E$9)</f>
        <v>46.961399999999998</v>
      </c>
      <c r="J696" s="14">
        <f>CHOOSE(CONTROL!$C$42, 46.8189, 46.8189)* CHOOSE(CONTROL!$C$21, $C$9, 100%, $E$9)</f>
        <v>46.818899999999999</v>
      </c>
      <c r="K696" s="53">
        <f>CHOOSE(CONTROL!$C$42, 46.9575, 46.9575) * CHOOSE(CONTROL!$C$21, $C$9, 100%, $E$9)</f>
        <v>46.957500000000003</v>
      </c>
      <c r="L696" s="14">
        <f>CHOOSE(CONTROL!$C$42, 47.477, 47.477) * CHOOSE(CONTROL!$C$21, $C$9, 100%, $E$9)</f>
        <v>47.476999999999997</v>
      </c>
      <c r="M696" s="14">
        <f>CHOOSE(CONTROL!$C$42, 45.8673, 45.8673) * CHOOSE(CONTROL!$C$21, $C$9, 100%, $E$9)</f>
        <v>45.8673</v>
      </c>
      <c r="N696" s="14">
        <f>CHOOSE(CONTROL!$C$42, 45.885, 45.885) * CHOOSE(CONTROL!$C$21, $C$9, 100%, $E$9)</f>
        <v>45.884999999999998</v>
      </c>
      <c r="O696" s="14">
        <f>CHOOSE(CONTROL!$C$42, 45.937, 45.937) * CHOOSE(CONTROL!$C$21, $C$9, 100%, $E$9)</f>
        <v>45.936999999999998</v>
      </c>
      <c r="P696" s="14">
        <f>CHOOSE(CONTROL!$C$42, 46.004, 46.004) * CHOOSE(CONTROL!$C$21, $C$9, 100%, $E$9)</f>
        <v>46.003999999999998</v>
      </c>
      <c r="Q696" s="14">
        <f>CHOOSE(CONTROL!$C$42, 46.5317, 46.5317) * CHOOSE(CONTROL!$C$21, $C$9, 100%, $E$9)</f>
        <v>46.531700000000001</v>
      </c>
      <c r="R696" s="14">
        <f>CHOOSE(CONTROL!$C$42, 47.235, 47.235) * CHOOSE(CONTROL!$C$21, $C$9, 100%, $E$9)</f>
        <v>47.234999999999999</v>
      </c>
      <c r="S696" s="14">
        <f>CHOOSE(CONTROL!$C$42, 44.9495, 44.9495) * CHOOSE(CONTROL!$C$21, $C$9, 100%, $E$9)</f>
        <v>44.9495</v>
      </c>
      <c r="T6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96" s="57">
        <f>(1000*CHOOSE(CONTROL!$C$42, 695, 695)*CHOOSE(CONTROL!$C$42, 0.5599, 0.5599)*CHOOSE(CONTROL!$C$42, 31, 31))/1000000</f>
        <v>12.063045499999998</v>
      </c>
      <c r="V696" s="57">
        <f>(1000*CHOOSE(CONTROL!$C$42, 500, 500)*CHOOSE(CONTROL!$C$42, 0.275, 0.275)*CHOOSE(CONTROL!$C$42, 31, 31))/1000000</f>
        <v>4.2625000000000002</v>
      </c>
      <c r="W696" s="57">
        <f>(1000*CHOOSE(CONTROL!$C$42, 0.1146, 0.1146)*CHOOSE(CONTROL!$C$42, 121.5, 121.5)*CHOOSE(CONTROL!$C$42, 31, 31))/1000000</f>
        <v>0.43164089999999994</v>
      </c>
      <c r="X696" s="57">
        <f>(31*0.1790888*100000/1000000)+(31*0.2374*100000/1000000)</f>
        <v>1.2911152800000001</v>
      </c>
      <c r="Y696" s="57"/>
      <c r="Z696" s="14"/>
      <c r="AA696" s="56"/>
      <c r="AB696" s="50">
        <f>(B696*122.58+C696*297.941+D696*89.177+E696*40.302+F696*40+G696*160+H696*0+I696*100+J696*300)/(122.58+297.941+89.177+40.302+0+40+160+100+300)</f>
        <v>46.83140650608695</v>
      </c>
      <c r="AC696" s="45">
        <f>(M696*'RAP TEMPLATE-GAS AVAILABILITY'!O695+N696*'RAP TEMPLATE-GAS AVAILABILITY'!P695+O696*'RAP TEMPLATE-GAS AVAILABILITY'!Q695+P696*'RAP TEMPLATE-GAS AVAILABILITY'!R695)/('RAP TEMPLATE-GAS AVAILABILITY'!O695+'RAP TEMPLATE-GAS AVAILABILITY'!P695+'RAP TEMPLATE-GAS AVAILABILITY'!Q695+'RAP TEMPLATE-GAS AVAILABILITY'!R695)</f>
        <v>45.91957841726618</v>
      </c>
    </row>
    <row r="697" spans="1:29" ht="15.75" x14ac:dyDescent="0.25">
      <c r="A697" s="32">
        <v>62124</v>
      </c>
      <c r="B697" s="14">
        <f>CHOOSE(CONTROL!$C$42, 50.6654, 50.6654) * CHOOSE(CONTROL!$C$21, $C$9, 100%, $E$9)</f>
        <v>50.665399999999998</v>
      </c>
      <c r="C697" s="14">
        <f>CHOOSE(CONTROL!$C$42, 50.6704, 50.6704) * CHOOSE(CONTROL!$C$21, $C$9, 100%, $E$9)</f>
        <v>50.670400000000001</v>
      </c>
      <c r="D697" s="14">
        <f>CHOOSE(CONTROL!$C$42, 50.7473, 50.7473) * CHOOSE(CONTROL!$C$21, $C$9, 100%, $E$9)</f>
        <v>50.747300000000003</v>
      </c>
      <c r="E697" s="14">
        <f>CHOOSE(CONTROL!$C$42, 50.7814, 50.7814) * CHOOSE(CONTROL!$C$21, $C$9, 100%, $E$9)</f>
        <v>50.781399999999998</v>
      </c>
      <c r="F697" s="14">
        <f>CHOOSE(CONTROL!$C$42, 50.6901, 50.6901)*CHOOSE(CONTROL!$C$21, $C$9, 100%, $E$9)</f>
        <v>50.690100000000001</v>
      </c>
      <c r="G697" s="14">
        <f>CHOOSE(CONTROL!$C$42, 50.7081, 50.7081)*CHOOSE(CONTROL!$C$21, $C$9, 100%, $E$9)</f>
        <v>50.708100000000002</v>
      </c>
      <c r="H697" s="14">
        <f>CHOOSE(CONTROL!$C$42, 50.7706, 50.7706) * CHOOSE(CONTROL!$C$21, $C$9, 100%, $E$9)</f>
        <v>50.770600000000002</v>
      </c>
      <c r="I697" s="14">
        <f>CHOOSE(CONTROL!$C$42, 50.8578, 50.8578)* CHOOSE(CONTROL!$C$21, $C$9, 100%, $E$9)</f>
        <v>50.857799999999997</v>
      </c>
      <c r="J697" s="14">
        <f>CHOOSE(CONTROL!$C$42, 50.6831, 50.6831)* CHOOSE(CONTROL!$C$21, $C$9, 100%, $E$9)</f>
        <v>50.683100000000003</v>
      </c>
      <c r="K697" s="53">
        <f>CHOOSE(CONTROL!$C$42, 50.8539, 50.8539) * CHOOSE(CONTROL!$C$21, $C$9, 100%, $E$9)</f>
        <v>50.853900000000003</v>
      </c>
      <c r="L697" s="14">
        <f>CHOOSE(CONTROL!$C$42, 51.3576, 51.3576) * CHOOSE(CONTROL!$C$21, $C$9, 100%, $E$9)</f>
        <v>51.357599999999998</v>
      </c>
      <c r="M697" s="14">
        <f>CHOOSE(CONTROL!$C$42, 49.6523, 49.6523) * CHOOSE(CONTROL!$C$21, $C$9, 100%, $E$9)</f>
        <v>49.652299999999997</v>
      </c>
      <c r="N697" s="14">
        <f>CHOOSE(CONTROL!$C$42, 49.6699, 49.6699) * CHOOSE(CONTROL!$C$21, $C$9, 100%, $E$9)</f>
        <v>49.669899999999998</v>
      </c>
      <c r="O697" s="14">
        <f>CHOOSE(CONTROL!$C$42, 49.738, 49.738) * CHOOSE(CONTROL!$C$21, $C$9, 100%, $E$9)</f>
        <v>49.738</v>
      </c>
      <c r="P697" s="14">
        <f>CHOOSE(CONTROL!$C$42, 49.8203, 49.8203) * CHOOSE(CONTROL!$C$21, $C$9, 100%, $E$9)</f>
        <v>49.820300000000003</v>
      </c>
      <c r="Q697" s="14">
        <f>CHOOSE(CONTROL!$C$42, 50.3327, 50.3327) * CHOOSE(CONTROL!$C$21, $C$9, 100%, $E$9)</f>
        <v>50.332700000000003</v>
      </c>
      <c r="R697" s="14">
        <f>CHOOSE(CONTROL!$C$42, 51.0455, 51.0455) * CHOOSE(CONTROL!$C$21, $C$9, 100%, $E$9)</f>
        <v>51.045499999999997</v>
      </c>
      <c r="S697" s="14">
        <f>CHOOSE(CONTROL!$C$42, 48.6758, 48.6758) * CHOOSE(CONTROL!$C$21, $C$9, 100%, $E$9)</f>
        <v>48.675800000000002</v>
      </c>
      <c r="T6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97" s="57">
        <f>(1000*CHOOSE(CONTROL!$C$42, 695, 695)*CHOOSE(CONTROL!$C$42, 0.5599, 0.5599)*CHOOSE(CONTROL!$C$42, 31, 31))/1000000</f>
        <v>12.063045499999998</v>
      </c>
      <c r="V697" s="57">
        <f>(1000*CHOOSE(CONTROL!$C$42, 500, 500)*CHOOSE(CONTROL!$C$42, 0.275, 0.275)*CHOOSE(CONTROL!$C$42, 31, 31))/1000000</f>
        <v>4.2625000000000002</v>
      </c>
      <c r="W697" s="57">
        <f>(1000*CHOOSE(CONTROL!$C$42, 0.1146, 0.1146)*CHOOSE(CONTROL!$C$42, 121.5, 121.5)*CHOOSE(CONTROL!$C$42, 31, 31))/1000000</f>
        <v>0.43164089999999994</v>
      </c>
      <c r="X697" s="57">
        <f>(31*0.1790888*100000/1000000)+(31*0.2374*100000/1000000)</f>
        <v>1.2911152800000001</v>
      </c>
      <c r="Y697" s="57"/>
      <c r="Z697" s="14"/>
      <c r="AA697" s="56"/>
      <c r="AB697" s="50">
        <f>(B697*122.58+C697*297.941+D697*89.177+E697*40.302+F697*40+G697*160+H697*0+I697*100+J697*300)/(122.58+297.941+89.177+40.302+0+40+160+100+300)</f>
        <v>50.705259420260873</v>
      </c>
      <c r="AC697" s="45">
        <f>(M697*'RAP TEMPLATE-GAS AVAILABILITY'!O696+N697*'RAP TEMPLATE-GAS AVAILABILITY'!P696+O697*'RAP TEMPLATE-GAS AVAILABILITY'!Q696+P697*'RAP TEMPLATE-GAS AVAILABILITY'!R696)/('RAP TEMPLATE-GAS AVAILABILITY'!O696+'RAP TEMPLATE-GAS AVAILABILITY'!P696+'RAP TEMPLATE-GAS AVAILABILITY'!Q696+'RAP TEMPLATE-GAS AVAILABILITY'!R696)</f>
        <v>49.716328057553952</v>
      </c>
    </row>
    <row r="698" spans="1:29" ht="15.75" x14ac:dyDescent="0.25">
      <c r="A698" s="32">
        <v>62152</v>
      </c>
      <c r="B698" s="14">
        <f>CHOOSE(CONTROL!$C$42, 51.5671, 51.5671) * CHOOSE(CONTROL!$C$21, $C$9, 100%, $E$9)</f>
        <v>51.567100000000003</v>
      </c>
      <c r="C698" s="14">
        <f>CHOOSE(CONTROL!$C$42, 51.5722, 51.5722) * CHOOSE(CONTROL!$C$21, $C$9, 100%, $E$9)</f>
        <v>51.572200000000002</v>
      </c>
      <c r="D698" s="14">
        <f>CHOOSE(CONTROL!$C$42, 51.649, 51.649) * CHOOSE(CONTROL!$C$21, $C$9, 100%, $E$9)</f>
        <v>51.649000000000001</v>
      </c>
      <c r="E698" s="14">
        <f>CHOOSE(CONTROL!$C$42, 51.6831, 51.6831) * CHOOSE(CONTROL!$C$21, $C$9, 100%, $E$9)</f>
        <v>51.683100000000003</v>
      </c>
      <c r="F698" s="14">
        <f>CHOOSE(CONTROL!$C$42, 51.5914, 51.5914)*CHOOSE(CONTROL!$C$21, $C$9, 100%, $E$9)</f>
        <v>51.5914</v>
      </c>
      <c r="G698" s="14">
        <f>CHOOSE(CONTROL!$C$42, 51.6093, 51.6093)*CHOOSE(CONTROL!$C$21, $C$9, 100%, $E$9)</f>
        <v>51.609299999999998</v>
      </c>
      <c r="H698" s="14">
        <f>CHOOSE(CONTROL!$C$42, 51.6723, 51.6723) * CHOOSE(CONTROL!$C$21, $C$9, 100%, $E$9)</f>
        <v>51.6723</v>
      </c>
      <c r="I698" s="14">
        <f>CHOOSE(CONTROL!$C$42, 51.7623, 51.7623)* CHOOSE(CONTROL!$C$21, $C$9, 100%, $E$9)</f>
        <v>51.762300000000003</v>
      </c>
      <c r="J698" s="14">
        <f>CHOOSE(CONTROL!$C$42, 51.5844, 51.5844)* CHOOSE(CONTROL!$C$21, $C$9, 100%, $E$9)</f>
        <v>51.584400000000002</v>
      </c>
      <c r="K698" s="53">
        <f>CHOOSE(CONTROL!$C$42, 51.7584, 51.7584) * CHOOSE(CONTROL!$C$21, $C$9, 100%, $E$9)</f>
        <v>51.758400000000002</v>
      </c>
      <c r="L698" s="14">
        <f>CHOOSE(CONTROL!$C$42, 52.2593, 52.2593) * CHOOSE(CONTROL!$C$21, $C$9, 100%, $E$9)</f>
        <v>52.259300000000003</v>
      </c>
      <c r="M698" s="14">
        <f>CHOOSE(CONTROL!$C$42, 50.5352, 50.5352) * CHOOSE(CONTROL!$C$21, $C$9, 100%, $E$9)</f>
        <v>50.535200000000003</v>
      </c>
      <c r="N698" s="14">
        <f>CHOOSE(CONTROL!$C$42, 50.5527, 50.5527) * CHOOSE(CONTROL!$C$21, $C$9, 100%, $E$9)</f>
        <v>50.552700000000002</v>
      </c>
      <c r="O698" s="14">
        <f>CHOOSE(CONTROL!$C$42, 50.6213, 50.6213) * CHOOSE(CONTROL!$C$21, $C$9, 100%, $E$9)</f>
        <v>50.621299999999998</v>
      </c>
      <c r="P698" s="14">
        <f>CHOOSE(CONTROL!$C$42, 50.7063, 50.7063) * CHOOSE(CONTROL!$C$21, $C$9, 100%, $E$9)</f>
        <v>50.706299999999999</v>
      </c>
      <c r="Q698" s="14">
        <f>CHOOSE(CONTROL!$C$42, 51.216, 51.216) * CHOOSE(CONTROL!$C$21, $C$9, 100%, $E$9)</f>
        <v>51.216000000000001</v>
      </c>
      <c r="R698" s="14">
        <f>CHOOSE(CONTROL!$C$42, 51.931, 51.931) * CHOOSE(CONTROL!$C$21, $C$9, 100%, $E$9)</f>
        <v>51.930999999999997</v>
      </c>
      <c r="S698" s="14">
        <f>CHOOSE(CONTROL!$C$42, 49.5423, 49.5423) * CHOOSE(CONTROL!$C$21, $C$9, 100%, $E$9)</f>
        <v>49.542299999999997</v>
      </c>
      <c r="T69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98" s="57">
        <f>(1000*CHOOSE(CONTROL!$C$42, 695, 695)*CHOOSE(CONTROL!$C$42, 0.5599, 0.5599)*CHOOSE(CONTROL!$C$42, 28, 28))/1000000</f>
        <v>10.895653999999999</v>
      </c>
      <c r="V698" s="57">
        <f>(1000*CHOOSE(CONTROL!$C$42, 500, 500)*CHOOSE(CONTROL!$C$42, 0.275, 0.275)*CHOOSE(CONTROL!$C$42, 28, 28))/1000000</f>
        <v>3.85</v>
      </c>
      <c r="W698" s="57">
        <f>(1000*CHOOSE(CONTROL!$C$42, 0.1146, 0.1146)*CHOOSE(CONTROL!$C$42, 121.5, 121.5)*CHOOSE(CONTROL!$C$42, 28, 28))/1000000</f>
        <v>0.38986920000000003</v>
      </c>
      <c r="X698" s="57">
        <f>(28*0.1790888*100000/1000000)+(28*0.2374*100000/1000000)</f>
        <v>1.16616864</v>
      </c>
      <c r="Y698" s="57"/>
      <c r="Z698" s="14"/>
      <c r="AA698" s="56"/>
      <c r="AB698" s="50">
        <f>(B698*122.58+C698*297.941+D698*89.177+E698*40.302+F698*40+G698*160+H698*0+I698*100+J698*300)/(122.58+297.941+89.177+40.302+0+40+160+100+300)</f>
        <v>51.607040980347833</v>
      </c>
      <c r="AC698" s="45">
        <f>(M698*'RAP TEMPLATE-GAS AVAILABILITY'!O697+N698*'RAP TEMPLATE-GAS AVAILABILITY'!P697+O698*'RAP TEMPLATE-GAS AVAILABILITY'!Q697+P698*'RAP TEMPLATE-GAS AVAILABILITY'!R697)/('RAP TEMPLATE-GAS AVAILABILITY'!O697+'RAP TEMPLATE-GAS AVAILABILITY'!P697+'RAP TEMPLATE-GAS AVAILABILITY'!Q697+'RAP TEMPLATE-GAS AVAILABILITY'!R697)</f>
        <v>50.599849640287765</v>
      </c>
    </row>
    <row r="699" spans="1:29" ht="15.75" x14ac:dyDescent="0.25">
      <c r="A699" s="32">
        <v>62183</v>
      </c>
      <c r="B699" s="14">
        <f>CHOOSE(CONTROL!$C$42, 50.1034, 50.1034) * CHOOSE(CONTROL!$C$21, $C$9, 100%, $E$9)</f>
        <v>50.103400000000001</v>
      </c>
      <c r="C699" s="14">
        <f>CHOOSE(CONTROL!$C$42, 50.1084, 50.1084) * CHOOSE(CONTROL!$C$21, $C$9, 100%, $E$9)</f>
        <v>50.108400000000003</v>
      </c>
      <c r="D699" s="14">
        <f>CHOOSE(CONTROL!$C$42, 50.1852, 50.1852) * CHOOSE(CONTROL!$C$21, $C$9, 100%, $E$9)</f>
        <v>50.185200000000002</v>
      </c>
      <c r="E699" s="14">
        <f>CHOOSE(CONTROL!$C$42, 50.2194, 50.2194) * CHOOSE(CONTROL!$C$21, $C$9, 100%, $E$9)</f>
        <v>50.2194</v>
      </c>
      <c r="F699" s="14">
        <f>CHOOSE(CONTROL!$C$42, 50.1268, 50.1268)*CHOOSE(CONTROL!$C$21, $C$9, 100%, $E$9)</f>
        <v>50.126800000000003</v>
      </c>
      <c r="G699" s="14">
        <f>CHOOSE(CONTROL!$C$42, 50.1445, 50.1445)*CHOOSE(CONTROL!$C$21, $C$9, 100%, $E$9)</f>
        <v>50.144500000000001</v>
      </c>
      <c r="H699" s="14">
        <f>CHOOSE(CONTROL!$C$42, 50.2085, 50.2085) * CHOOSE(CONTROL!$C$21, $C$9, 100%, $E$9)</f>
        <v>50.208500000000001</v>
      </c>
      <c r="I699" s="14">
        <f>CHOOSE(CONTROL!$C$42, 50.294, 50.294)* CHOOSE(CONTROL!$C$21, $C$9, 100%, $E$9)</f>
        <v>50.293999999999997</v>
      </c>
      <c r="J699" s="14">
        <f>CHOOSE(CONTROL!$C$42, 50.1198, 50.1198)* CHOOSE(CONTROL!$C$21, $C$9, 100%, $E$9)</f>
        <v>50.119799999999998</v>
      </c>
      <c r="K699" s="53">
        <f>CHOOSE(CONTROL!$C$42, 50.2901, 50.2901) * CHOOSE(CONTROL!$C$21, $C$9, 100%, $E$9)</f>
        <v>50.290100000000002</v>
      </c>
      <c r="L699" s="14">
        <f>CHOOSE(CONTROL!$C$42, 50.7955, 50.7955) * CHOOSE(CONTROL!$C$21, $C$9, 100%, $E$9)</f>
        <v>50.795499999999997</v>
      </c>
      <c r="M699" s="14">
        <f>CHOOSE(CONTROL!$C$42, 49.1006, 49.1006) * CHOOSE(CONTROL!$C$21, $C$9, 100%, $E$9)</f>
        <v>49.1006</v>
      </c>
      <c r="N699" s="14">
        <f>CHOOSE(CONTROL!$C$42, 49.1179, 49.1179) * CHOOSE(CONTROL!$C$21, $C$9, 100%, $E$9)</f>
        <v>49.117899999999999</v>
      </c>
      <c r="O699" s="14">
        <f>CHOOSE(CONTROL!$C$42, 49.1875, 49.1875) * CHOOSE(CONTROL!$C$21, $C$9, 100%, $E$9)</f>
        <v>49.1875</v>
      </c>
      <c r="P699" s="14">
        <f>CHOOSE(CONTROL!$C$42, 49.2681, 49.2681) * CHOOSE(CONTROL!$C$21, $C$9, 100%, $E$9)</f>
        <v>49.268099999999997</v>
      </c>
      <c r="Q699" s="14">
        <f>CHOOSE(CONTROL!$C$42, 49.7822, 49.7822) * CHOOSE(CONTROL!$C$21, $C$9, 100%, $E$9)</f>
        <v>49.782200000000003</v>
      </c>
      <c r="R699" s="14">
        <f>CHOOSE(CONTROL!$C$42, 50.4937, 50.4937) * CHOOSE(CONTROL!$C$21, $C$9, 100%, $E$9)</f>
        <v>50.493699999999997</v>
      </c>
      <c r="S699" s="14">
        <f>CHOOSE(CONTROL!$C$42, 48.1358, 48.1358) * CHOOSE(CONTROL!$C$21, $C$9, 100%, $E$9)</f>
        <v>48.135800000000003</v>
      </c>
      <c r="T6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99" s="57">
        <f>(1000*CHOOSE(CONTROL!$C$42, 695, 695)*CHOOSE(CONTROL!$C$42, 0.5599, 0.5599)*CHOOSE(CONTROL!$C$42, 31, 31))/1000000</f>
        <v>12.063045499999998</v>
      </c>
      <c r="V699" s="57">
        <f>(1000*CHOOSE(CONTROL!$C$42, 500, 500)*CHOOSE(CONTROL!$C$42, 0.275, 0.275)*CHOOSE(CONTROL!$C$42, 31, 31))/1000000</f>
        <v>4.2625000000000002</v>
      </c>
      <c r="W699" s="57">
        <f>(1000*CHOOSE(CONTROL!$C$42, 0.1146, 0.1146)*CHOOSE(CONTROL!$C$42, 121.5, 121.5)*CHOOSE(CONTROL!$C$42, 31, 31))/1000000</f>
        <v>0.43164089999999994</v>
      </c>
      <c r="X699" s="57">
        <f>(31*0.1790888*100000/1000000)+(31*0.2374*100000/1000000)</f>
        <v>1.2911152800000001</v>
      </c>
      <c r="Y699" s="57"/>
      <c r="Z699" s="14"/>
      <c r="AA699" s="56"/>
      <c r="AB699" s="50">
        <f>(B699*122.58+C699*297.941+D699*89.177+E699*40.302+F699*40+G699*160+H699*0+I699*100+J699*300)/(122.58+297.941+89.177+40.302+0+40+160+100+300)</f>
        <v>50.142488187478271</v>
      </c>
      <c r="AC699" s="45">
        <f>(M699*'RAP TEMPLATE-GAS AVAILABILITY'!O698+N699*'RAP TEMPLATE-GAS AVAILABILITY'!P698+O699*'RAP TEMPLATE-GAS AVAILABILITY'!Q698+P699*'RAP TEMPLATE-GAS AVAILABILITY'!R698)/('RAP TEMPLATE-GAS AVAILABILITY'!O698+'RAP TEMPLATE-GAS AVAILABILITY'!P698+'RAP TEMPLATE-GAS AVAILABILITY'!Q698+'RAP TEMPLATE-GAS AVAILABILITY'!R698)</f>
        <v>49.165082733812945</v>
      </c>
    </row>
    <row r="700" spans="1:29" ht="15.75" x14ac:dyDescent="0.25">
      <c r="A700" s="32">
        <v>62213</v>
      </c>
      <c r="B700" s="14">
        <f>CHOOSE(CONTROL!$C$42, 49.9544, 49.9544) * CHOOSE(CONTROL!$C$21, $C$9, 100%, $E$9)</f>
        <v>49.9544</v>
      </c>
      <c r="C700" s="14">
        <f>CHOOSE(CONTROL!$C$42, 49.9589, 49.9589) * CHOOSE(CONTROL!$C$21, $C$9, 100%, $E$9)</f>
        <v>49.9589</v>
      </c>
      <c r="D700" s="14">
        <f>CHOOSE(CONTROL!$C$42, 50.1826, 50.1826) * CHOOSE(CONTROL!$C$21, $C$9, 100%, $E$9)</f>
        <v>50.182600000000001</v>
      </c>
      <c r="E700" s="14">
        <f>CHOOSE(CONTROL!$C$42, 50.2147, 50.2147) * CHOOSE(CONTROL!$C$21, $C$9, 100%, $E$9)</f>
        <v>50.214700000000001</v>
      </c>
      <c r="F700" s="14">
        <f>CHOOSE(CONTROL!$C$42, 49.9821, 49.9821)*CHOOSE(CONTROL!$C$21, $C$9, 100%, $E$9)</f>
        <v>49.982100000000003</v>
      </c>
      <c r="G700" s="14">
        <f>CHOOSE(CONTROL!$C$42, 49.999, 49.999)*CHOOSE(CONTROL!$C$21, $C$9, 100%, $E$9)</f>
        <v>49.999000000000002</v>
      </c>
      <c r="H700" s="14">
        <f>CHOOSE(CONTROL!$C$42, 50.2045, 50.2045) * CHOOSE(CONTROL!$C$21, $C$9, 100%, $E$9)</f>
        <v>50.204500000000003</v>
      </c>
      <c r="I700" s="14">
        <f>CHOOSE(CONTROL!$C$42, 50.1401, 50.1401)* CHOOSE(CONTROL!$C$21, $C$9, 100%, $E$9)</f>
        <v>50.140099999999997</v>
      </c>
      <c r="J700" s="14">
        <f>CHOOSE(CONTROL!$C$42, 49.9751, 49.9751)* CHOOSE(CONTROL!$C$21, $C$9, 100%, $E$9)</f>
        <v>49.975099999999998</v>
      </c>
      <c r="K700" s="53">
        <f>CHOOSE(CONTROL!$C$42, 50.1362, 50.1362) * CHOOSE(CONTROL!$C$21, $C$9, 100%, $E$9)</f>
        <v>50.136200000000002</v>
      </c>
      <c r="L700" s="14">
        <f>CHOOSE(CONTROL!$C$42, 50.7915, 50.7915) * CHOOSE(CONTROL!$C$21, $C$9, 100%, $E$9)</f>
        <v>50.791499999999999</v>
      </c>
      <c r="M700" s="14">
        <f>CHOOSE(CONTROL!$C$42, 48.9588, 48.9588) * CHOOSE(CONTROL!$C$21, $C$9, 100%, $E$9)</f>
        <v>48.958799999999997</v>
      </c>
      <c r="N700" s="14">
        <f>CHOOSE(CONTROL!$C$42, 48.9754, 48.9754) * CHOOSE(CONTROL!$C$21, $C$9, 100%, $E$9)</f>
        <v>48.9754</v>
      </c>
      <c r="O700" s="14">
        <f>CHOOSE(CONTROL!$C$42, 49.1835, 49.1835) * CHOOSE(CONTROL!$C$21, $C$9, 100%, $E$9)</f>
        <v>49.183500000000002</v>
      </c>
      <c r="P700" s="14">
        <f>CHOOSE(CONTROL!$C$42, 49.1174, 49.1174) * CHOOSE(CONTROL!$C$21, $C$9, 100%, $E$9)</f>
        <v>49.117400000000004</v>
      </c>
      <c r="Q700" s="14">
        <f>CHOOSE(CONTROL!$C$42, 49.7782, 49.7782) * CHOOSE(CONTROL!$C$21, $C$9, 100%, $E$9)</f>
        <v>49.778199999999998</v>
      </c>
      <c r="R700" s="14">
        <f>CHOOSE(CONTROL!$C$42, 50.4897, 50.4897) * CHOOSE(CONTROL!$C$21, $C$9, 100%, $E$9)</f>
        <v>50.489699999999999</v>
      </c>
      <c r="S700" s="14">
        <f>CHOOSE(CONTROL!$C$42, 47.9919, 47.9919) * CHOOSE(CONTROL!$C$21, $C$9, 100%, $E$9)</f>
        <v>47.991900000000001</v>
      </c>
      <c r="T7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00" s="57">
        <f>(1000*CHOOSE(CONTROL!$C$42, 695, 695)*CHOOSE(CONTROL!$C$42, 0.5599, 0.5599)*CHOOSE(CONTROL!$C$42, 30, 30))/1000000</f>
        <v>11.673914999999997</v>
      </c>
      <c r="V700" s="57">
        <f>(1000*CHOOSE(CONTROL!$C$42, 500, 500)*CHOOSE(CONTROL!$C$42, 0.275, 0.275)*CHOOSE(CONTROL!$C$42, 30, 30))/1000000</f>
        <v>4.125</v>
      </c>
      <c r="W700" s="57">
        <f>(1000*CHOOSE(CONTROL!$C$42, 0.1146, 0.1146)*CHOOSE(CONTROL!$C$42, 121.5, 121.5)*CHOOSE(CONTROL!$C$42, 30, 30))/1000000</f>
        <v>0.417717</v>
      </c>
      <c r="X700" s="57">
        <f>(30*0.1790888*245000/1000000)+(30*0.2374*100000/1000000)</f>
        <v>2.0285026799999999</v>
      </c>
      <c r="Y700" s="57"/>
      <c r="Z700" s="14"/>
      <c r="AA700" s="56"/>
      <c r="AB700" s="50">
        <f>(B700*141.293+C700*267.993+D700*115.016+E700*89.698+F700*40+G700*185+H700*0+I700*100+J700*300)/(141.293+267.993+115.016+89.698+0+40+185+100+300)</f>
        <v>50.022955293866019</v>
      </c>
      <c r="AC700" s="45">
        <f>(M700*'RAP TEMPLATE-GAS AVAILABILITY'!O699+N700*'RAP TEMPLATE-GAS AVAILABILITY'!P699+O700*'RAP TEMPLATE-GAS AVAILABILITY'!Q699+P700*'RAP TEMPLATE-GAS AVAILABILITY'!R699)/('RAP TEMPLATE-GAS AVAILABILITY'!O699+'RAP TEMPLATE-GAS AVAILABILITY'!P699+'RAP TEMPLATE-GAS AVAILABILITY'!Q699+'RAP TEMPLATE-GAS AVAILABILITY'!R699)</f>
        <v>49.084417985611509</v>
      </c>
    </row>
    <row r="701" spans="1:29" ht="15.75" x14ac:dyDescent="0.25">
      <c r="A701" s="32">
        <v>62244</v>
      </c>
      <c r="B701" s="14">
        <f>CHOOSE(CONTROL!$C$42, 50.3966, 50.3966) * CHOOSE(CONTROL!$C$21, $C$9, 100%, $E$9)</f>
        <v>50.396599999999999</v>
      </c>
      <c r="C701" s="14">
        <f>CHOOSE(CONTROL!$C$42, 50.4046, 50.4046) * CHOOSE(CONTROL!$C$21, $C$9, 100%, $E$9)</f>
        <v>50.404600000000002</v>
      </c>
      <c r="D701" s="14">
        <f>CHOOSE(CONTROL!$C$42, 50.6252, 50.6252) * CHOOSE(CONTROL!$C$21, $C$9, 100%, $E$9)</f>
        <v>50.6252</v>
      </c>
      <c r="E701" s="14">
        <f>CHOOSE(CONTROL!$C$42, 50.6567, 50.6567) * CHOOSE(CONTROL!$C$21, $C$9, 100%, $E$9)</f>
        <v>50.656700000000001</v>
      </c>
      <c r="F701" s="14">
        <f>CHOOSE(CONTROL!$C$42, 50.4228, 50.4228)*CHOOSE(CONTROL!$C$21, $C$9, 100%, $E$9)</f>
        <v>50.422800000000002</v>
      </c>
      <c r="G701" s="14">
        <f>CHOOSE(CONTROL!$C$42, 50.44, 50.44)*CHOOSE(CONTROL!$C$21, $C$9, 100%, $E$9)</f>
        <v>50.44</v>
      </c>
      <c r="H701" s="14">
        <f>CHOOSE(CONTROL!$C$42, 50.6453, 50.6453) * CHOOSE(CONTROL!$C$21, $C$9, 100%, $E$9)</f>
        <v>50.645299999999999</v>
      </c>
      <c r="I701" s="14">
        <f>CHOOSE(CONTROL!$C$42, 50.5823, 50.5823)* CHOOSE(CONTROL!$C$21, $C$9, 100%, $E$9)</f>
        <v>50.582299999999996</v>
      </c>
      <c r="J701" s="14">
        <f>CHOOSE(CONTROL!$C$42, 50.4158, 50.4158)* CHOOSE(CONTROL!$C$21, $C$9, 100%, $E$9)</f>
        <v>50.415799999999997</v>
      </c>
      <c r="K701" s="53">
        <f>CHOOSE(CONTROL!$C$42, 50.5784, 50.5784) * CHOOSE(CONTROL!$C$21, $C$9, 100%, $E$9)</f>
        <v>50.578400000000002</v>
      </c>
      <c r="L701" s="14">
        <f>CHOOSE(CONTROL!$C$42, 51.2323, 51.2323) * CHOOSE(CONTROL!$C$21, $C$9, 100%, $E$9)</f>
        <v>51.232300000000002</v>
      </c>
      <c r="M701" s="14">
        <f>CHOOSE(CONTROL!$C$42, 49.3906, 49.3906) * CHOOSE(CONTROL!$C$21, $C$9, 100%, $E$9)</f>
        <v>49.390599999999999</v>
      </c>
      <c r="N701" s="14">
        <f>CHOOSE(CONTROL!$C$42, 49.4073, 49.4073) * CHOOSE(CONTROL!$C$21, $C$9, 100%, $E$9)</f>
        <v>49.407299999999999</v>
      </c>
      <c r="O701" s="14">
        <f>CHOOSE(CONTROL!$C$42, 49.6153, 49.6153) * CHOOSE(CONTROL!$C$21, $C$9, 100%, $E$9)</f>
        <v>49.615299999999998</v>
      </c>
      <c r="P701" s="14">
        <f>CHOOSE(CONTROL!$C$42, 49.5505, 49.5505) * CHOOSE(CONTROL!$C$21, $C$9, 100%, $E$9)</f>
        <v>49.5505</v>
      </c>
      <c r="Q701" s="14">
        <f>CHOOSE(CONTROL!$C$42, 50.21, 50.21) * CHOOSE(CONTROL!$C$21, $C$9, 100%, $E$9)</f>
        <v>50.21</v>
      </c>
      <c r="R701" s="14">
        <f>CHOOSE(CONTROL!$C$42, 50.9225, 50.9225) * CHOOSE(CONTROL!$C$21, $C$9, 100%, $E$9)</f>
        <v>50.922499999999999</v>
      </c>
      <c r="S701" s="14">
        <f>CHOOSE(CONTROL!$C$42, 48.4154, 48.4154) * CHOOSE(CONTROL!$C$21, $C$9, 100%, $E$9)</f>
        <v>48.415399999999998</v>
      </c>
      <c r="T7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01" s="57">
        <f>(1000*CHOOSE(CONTROL!$C$42, 695, 695)*CHOOSE(CONTROL!$C$42, 0.5599, 0.5599)*CHOOSE(CONTROL!$C$42, 31, 31))/1000000</f>
        <v>12.063045499999998</v>
      </c>
      <c r="V701" s="57">
        <f>(1000*CHOOSE(CONTROL!$C$42, 500, 500)*CHOOSE(CONTROL!$C$42, 0.275, 0.275)*CHOOSE(CONTROL!$C$42, 31, 31))/1000000</f>
        <v>4.2625000000000002</v>
      </c>
      <c r="W701" s="57">
        <f>(1000*CHOOSE(CONTROL!$C$42, 0.1146, 0.1146)*CHOOSE(CONTROL!$C$42, 121.5, 121.5)*CHOOSE(CONTROL!$C$42, 31, 31))/1000000</f>
        <v>0.43164089999999994</v>
      </c>
      <c r="X701" s="57">
        <f>(31*0.1790888*245000/1000000)+(31*0.2374*100000/1000000)</f>
        <v>2.0961194359999999</v>
      </c>
      <c r="Y701" s="57"/>
      <c r="Z701" s="14"/>
      <c r="AA701" s="56"/>
      <c r="AB701" s="50">
        <f>(B701*194.205+C701*267.466+D701*133.845+E701*53.484+F701*40+G701*185+H701*0+I701*100+J701*300)/(194.205+267.466+133.845+53.484+0+40+185+100+300)</f>
        <v>50.459437428100472</v>
      </c>
      <c r="AC701" s="45">
        <f>(M701*'RAP TEMPLATE-GAS AVAILABILITY'!O700+N701*'RAP TEMPLATE-GAS AVAILABILITY'!P700+O701*'RAP TEMPLATE-GAS AVAILABILITY'!Q700+P701*'RAP TEMPLATE-GAS AVAILABILITY'!R700)/('RAP TEMPLATE-GAS AVAILABILITY'!O700+'RAP TEMPLATE-GAS AVAILABILITY'!P700+'RAP TEMPLATE-GAS AVAILABILITY'!Q700+'RAP TEMPLATE-GAS AVAILABILITY'!R700)</f>
        <v>49.516410791366908</v>
      </c>
    </row>
    <row r="702" spans="1:29" ht="15.75" x14ac:dyDescent="0.25">
      <c r="A702" s="32">
        <v>62274</v>
      </c>
      <c r="B702" s="14">
        <f>CHOOSE(CONTROL!$C$42, 51.8258, 51.8258) * CHOOSE(CONTROL!$C$21, $C$9, 100%, $E$9)</f>
        <v>51.825800000000001</v>
      </c>
      <c r="C702" s="14">
        <f>CHOOSE(CONTROL!$C$42, 51.8338, 51.8338) * CHOOSE(CONTROL!$C$21, $C$9, 100%, $E$9)</f>
        <v>51.833799999999997</v>
      </c>
      <c r="D702" s="14">
        <f>CHOOSE(CONTROL!$C$42, 52.0544, 52.0544) * CHOOSE(CONTROL!$C$21, $C$9, 100%, $E$9)</f>
        <v>52.054400000000001</v>
      </c>
      <c r="E702" s="14">
        <f>CHOOSE(CONTROL!$C$42, 52.0859, 52.0859) * CHOOSE(CONTROL!$C$21, $C$9, 100%, $E$9)</f>
        <v>52.085900000000002</v>
      </c>
      <c r="F702" s="14">
        <f>CHOOSE(CONTROL!$C$42, 51.8524, 51.8524)*CHOOSE(CONTROL!$C$21, $C$9, 100%, $E$9)</f>
        <v>51.852400000000003</v>
      </c>
      <c r="G702" s="14">
        <f>CHOOSE(CONTROL!$C$42, 51.8696, 51.8696)*CHOOSE(CONTROL!$C$21, $C$9, 100%, $E$9)</f>
        <v>51.869599999999998</v>
      </c>
      <c r="H702" s="14">
        <f>CHOOSE(CONTROL!$C$42, 52.0745, 52.0745) * CHOOSE(CONTROL!$C$21, $C$9, 100%, $E$9)</f>
        <v>52.0745</v>
      </c>
      <c r="I702" s="14">
        <f>CHOOSE(CONTROL!$C$42, 52.016, 52.016)* CHOOSE(CONTROL!$C$21, $C$9, 100%, $E$9)</f>
        <v>52.015999999999998</v>
      </c>
      <c r="J702" s="14">
        <f>CHOOSE(CONTROL!$C$42, 51.8454, 51.8454)* CHOOSE(CONTROL!$C$21, $C$9, 100%, $E$9)</f>
        <v>51.845399999999998</v>
      </c>
      <c r="K702" s="53">
        <f>CHOOSE(CONTROL!$C$42, 52.0121, 52.0121) * CHOOSE(CONTROL!$C$21, $C$9, 100%, $E$9)</f>
        <v>52.012099999999997</v>
      </c>
      <c r="L702" s="14">
        <f>CHOOSE(CONTROL!$C$42, 52.6615, 52.6615) * CHOOSE(CONTROL!$C$21, $C$9, 100%, $E$9)</f>
        <v>52.661499999999997</v>
      </c>
      <c r="M702" s="14">
        <f>CHOOSE(CONTROL!$C$42, 50.7908, 50.7908) * CHOOSE(CONTROL!$C$21, $C$9, 100%, $E$9)</f>
        <v>50.790799999999997</v>
      </c>
      <c r="N702" s="14">
        <f>CHOOSE(CONTROL!$C$42, 50.8077, 50.8077) * CHOOSE(CONTROL!$C$21, $C$9, 100%, $E$9)</f>
        <v>50.807699999999997</v>
      </c>
      <c r="O702" s="14">
        <f>CHOOSE(CONTROL!$C$42, 51.0152, 51.0152) * CHOOSE(CONTROL!$C$21, $C$9, 100%, $E$9)</f>
        <v>51.0152</v>
      </c>
      <c r="P702" s="14">
        <f>CHOOSE(CONTROL!$C$42, 50.9547, 50.9547) * CHOOSE(CONTROL!$C$21, $C$9, 100%, $E$9)</f>
        <v>50.954700000000003</v>
      </c>
      <c r="Q702" s="14">
        <f>CHOOSE(CONTROL!$C$42, 51.6099, 51.6099) * CHOOSE(CONTROL!$C$21, $C$9, 100%, $E$9)</f>
        <v>51.609900000000003</v>
      </c>
      <c r="R702" s="14">
        <f>CHOOSE(CONTROL!$C$42, 52.326, 52.326) * CHOOSE(CONTROL!$C$21, $C$9, 100%, $E$9)</f>
        <v>52.326000000000001</v>
      </c>
      <c r="S702" s="14">
        <f>CHOOSE(CONTROL!$C$42, 49.7888, 49.7888) * CHOOSE(CONTROL!$C$21, $C$9, 100%, $E$9)</f>
        <v>49.788800000000002</v>
      </c>
      <c r="T7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02" s="57">
        <f>(1000*CHOOSE(CONTROL!$C$42, 695, 695)*CHOOSE(CONTROL!$C$42, 0.5599, 0.5599)*CHOOSE(CONTROL!$C$42, 30, 30))/1000000</f>
        <v>11.673914999999997</v>
      </c>
      <c r="V702" s="57">
        <f>(1000*CHOOSE(CONTROL!$C$42, 500, 500)*CHOOSE(CONTROL!$C$42, 0.275, 0.275)*CHOOSE(CONTROL!$C$42, 30, 30))/1000000</f>
        <v>4.125</v>
      </c>
      <c r="W702" s="57">
        <f>(1000*CHOOSE(CONTROL!$C$42, 0.1146, 0.1146)*CHOOSE(CONTROL!$C$42, 121.5, 121.5)*CHOOSE(CONTROL!$C$42, 30, 30))/1000000</f>
        <v>0.417717</v>
      </c>
      <c r="X702" s="57">
        <f>(30*0.1790888*245000/1000000)+(30*0.2374*100000/1000000)</f>
        <v>2.0285026799999999</v>
      </c>
      <c r="Y702" s="57"/>
      <c r="Z702" s="14"/>
      <c r="AA702" s="56"/>
      <c r="AB702" s="50">
        <f>(B702*194.205+C702*267.466+D702*133.845+E702*53.484+F702*40+G702*185+H702*0+I702*100+J702*300)/(194.205+267.466+133.845+53.484+0+40+185+100+300)</f>
        <v>51.889155481475662</v>
      </c>
      <c r="AC702" s="45">
        <f>(M702*'RAP TEMPLATE-GAS AVAILABILITY'!O701+N702*'RAP TEMPLATE-GAS AVAILABILITY'!P701+O702*'RAP TEMPLATE-GAS AVAILABILITY'!Q701+P702*'RAP TEMPLATE-GAS AVAILABILITY'!R701)/('RAP TEMPLATE-GAS AVAILABILITY'!O701+'RAP TEMPLATE-GAS AVAILABILITY'!P701+'RAP TEMPLATE-GAS AVAILABILITY'!Q701+'RAP TEMPLATE-GAS AVAILABILITY'!R701)</f>
        <v>50.917061870503595</v>
      </c>
    </row>
    <row r="703" spans="1:29" ht="15.75" x14ac:dyDescent="0.25">
      <c r="A703" s="32">
        <v>62305</v>
      </c>
      <c r="B703" s="14">
        <f>CHOOSE(CONTROL!$C$42, 50.8318, 50.8318) * CHOOSE(CONTROL!$C$21, $C$9, 100%, $E$9)</f>
        <v>50.831800000000001</v>
      </c>
      <c r="C703" s="14">
        <f>CHOOSE(CONTROL!$C$42, 50.8398, 50.8398) * CHOOSE(CONTROL!$C$21, $C$9, 100%, $E$9)</f>
        <v>50.839799999999997</v>
      </c>
      <c r="D703" s="14">
        <f>CHOOSE(CONTROL!$C$42, 51.0604, 51.0604) * CHOOSE(CONTROL!$C$21, $C$9, 100%, $E$9)</f>
        <v>51.060400000000001</v>
      </c>
      <c r="E703" s="14">
        <f>CHOOSE(CONTROL!$C$42, 51.0919, 51.0919) * CHOOSE(CONTROL!$C$21, $C$9, 100%, $E$9)</f>
        <v>51.091900000000003</v>
      </c>
      <c r="F703" s="14">
        <f>CHOOSE(CONTROL!$C$42, 50.8588, 50.8588)*CHOOSE(CONTROL!$C$21, $C$9, 100%, $E$9)</f>
        <v>50.858800000000002</v>
      </c>
      <c r="G703" s="14">
        <f>CHOOSE(CONTROL!$C$42, 50.8762, 50.8762)*CHOOSE(CONTROL!$C$21, $C$9, 100%, $E$9)</f>
        <v>50.876199999999997</v>
      </c>
      <c r="H703" s="14">
        <f>CHOOSE(CONTROL!$C$42, 51.0805, 51.0805) * CHOOSE(CONTROL!$C$21, $C$9, 100%, $E$9)</f>
        <v>51.080500000000001</v>
      </c>
      <c r="I703" s="14">
        <f>CHOOSE(CONTROL!$C$42, 51.0189, 51.0189)* CHOOSE(CONTROL!$C$21, $C$9, 100%, $E$9)</f>
        <v>51.018900000000002</v>
      </c>
      <c r="J703" s="14">
        <f>CHOOSE(CONTROL!$C$42, 50.8518, 50.8518)* CHOOSE(CONTROL!$C$21, $C$9, 100%, $E$9)</f>
        <v>50.851799999999997</v>
      </c>
      <c r="K703" s="53">
        <f>CHOOSE(CONTROL!$C$42, 51.015, 51.015) * CHOOSE(CONTROL!$C$21, $C$9, 100%, $E$9)</f>
        <v>51.015000000000001</v>
      </c>
      <c r="L703" s="14">
        <f>CHOOSE(CONTROL!$C$42, 51.6675, 51.6675) * CHOOSE(CONTROL!$C$21, $C$9, 100%, $E$9)</f>
        <v>51.667499999999997</v>
      </c>
      <c r="M703" s="14">
        <f>CHOOSE(CONTROL!$C$42, 49.8176, 49.8176) * CHOOSE(CONTROL!$C$21, $C$9, 100%, $E$9)</f>
        <v>49.817599999999999</v>
      </c>
      <c r="N703" s="14">
        <f>CHOOSE(CONTROL!$C$42, 49.8346, 49.8346) * CHOOSE(CONTROL!$C$21, $C$9, 100%, $E$9)</f>
        <v>49.834600000000002</v>
      </c>
      <c r="O703" s="14">
        <f>CHOOSE(CONTROL!$C$42, 50.0416, 50.0416) * CHOOSE(CONTROL!$C$21, $C$9, 100%, $E$9)</f>
        <v>50.041600000000003</v>
      </c>
      <c r="P703" s="14">
        <f>CHOOSE(CONTROL!$C$42, 49.9781, 49.9781) * CHOOSE(CONTROL!$C$21, $C$9, 100%, $E$9)</f>
        <v>49.978099999999998</v>
      </c>
      <c r="Q703" s="14">
        <f>CHOOSE(CONTROL!$C$42, 50.6363, 50.6363) * CHOOSE(CONTROL!$C$21, $C$9, 100%, $E$9)</f>
        <v>50.636299999999999</v>
      </c>
      <c r="R703" s="14">
        <f>CHOOSE(CONTROL!$C$42, 51.3499, 51.3499) * CHOOSE(CONTROL!$C$21, $C$9, 100%, $E$9)</f>
        <v>51.349899999999998</v>
      </c>
      <c r="S703" s="14">
        <f>CHOOSE(CONTROL!$C$42, 48.8336, 48.8336) * CHOOSE(CONTROL!$C$21, $C$9, 100%, $E$9)</f>
        <v>48.833599999999997</v>
      </c>
      <c r="T7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03" s="57">
        <f>(1000*CHOOSE(CONTROL!$C$42, 695, 695)*CHOOSE(CONTROL!$C$42, 0.5599, 0.5599)*CHOOSE(CONTROL!$C$42, 31, 31))/1000000</f>
        <v>12.063045499999998</v>
      </c>
      <c r="V703" s="57">
        <f>(1000*CHOOSE(CONTROL!$C$42, 500, 500)*CHOOSE(CONTROL!$C$42, 0.275, 0.275)*CHOOSE(CONTROL!$C$42, 31, 31))/1000000</f>
        <v>4.2625000000000002</v>
      </c>
      <c r="W703" s="57">
        <f>(1000*CHOOSE(CONTROL!$C$42, 0.1146, 0.1146)*CHOOSE(CONTROL!$C$42, 121.5, 121.5)*CHOOSE(CONTROL!$C$42, 31, 31))/1000000</f>
        <v>0.43164089999999994</v>
      </c>
      <c r="X703" s="57">
        <f>(31*0.1790888*245000/1000000)+(31*0.2374*100000/1000000)</f>
        <v>2.0961194359999999</v>
      </c>
      <c r="Y703" s="57"/>
      <c r="Z703" s="14"/>
      <c r="AA703" s="56"/>
      <c r="AB703" s="50">
        <f>(B703*194.205+C703*267.466+D703*133.845+E703*53.484+F703*40+G703*185+H703*0+I703*100+J703*300)/(194.205+267.466+133.845+53.484+0+40+185+100+300)</f>
        <v>50.895106030926215</v>
      </c>
      <c r="AC703" s="45">
        <f>(M703*'RAP TEMPLATE-GAS AVAILABILITY'!O702+N703*'RAP TEMPLATE-GAS AVAILABILITY'!P702+O703*'RAP TEMPLATE-GAS AVAILABILITY'!Q702+P703*'RAP TEMPLATE-GAS AVAILABILITY'!R702)/('RAP TEMPLATE-GAS AVAILABILITY'!O702+'RAP TEMPLATE-GAS AVAILABILITY'!P702+'RAP TEMPLATE-GAS AVAILABILITY'!Q702+'RAP TEMPLATE-GAS AVAILABILITY'!R702)</f>
        <v>49.943197122302152</v>
      </c>
    </row>
    <row r="704" spans="1:29" ht="15.75" x14ac:dyDescent="0.25">
      <c r="A704" s="32">
        <v>62336</v>
      </c>
      <c r="B704" s="14">
        <f>CHOOSE(CONTROL!$C$42, 48.3215, 48.3215) * CHOOSE(CONTROL!$C$21, $C$9, 100%, $E$9)</f>
        <v>48.3215</v>
      </c>
      <c r="C704" s="14">
        <f>CHOOSE(CONTROL!$C$42, 48.3295, 48.3295) * CHOOSE(CONTROL!$C$21, $C$9, 100%, $E$9)</f>
        <v>48.329500000000003</v>
      </c>
      <c r="D704" s="14">
        <f>CHOOSE(CONTROL!$C$42, 48.5501, 48.5501) * CHOOSE(CONTROL!$C$21, $C$9, 100%, $E$9)</f>
        <v>48.5501</v>
      </c>
      <c r="E704" s="14">
        <f>CHOOSE(CONTROL!$C$42, 48.5816, 48.5816) * CHOOSE(CONTROL!$C$21, $C$9, 100%, $E$9)</f>
        <v>48.581600000000002</v>
      </c>
      <c r="F704" s="14">
        <f>CHOOSE(CONTROL!$C$42, 48.3489, 48.3489)*CHOOSE(CONTROL!$C$21, $C$9, 100%, $E$9)</f>
        <v>48.3489</v>
      </c>
      <c r="G704" s="14">
        <f>CHOOSE(CONTROL!$C$42, 48.3663, 48.3663)*CHOOSE(CONTROL!$C$21, $C$9, 100%, $E$9)</f>
        <v>48.366300000000003</v>
      </c>
      <c r="H704" s="14">
        <f>CHOOSE(CONTROL!$C$42, 48.5702, 48.5702) * CHOOSE(CONTROL!$C$21, $C$9, 100%, $E$9)</f>
        <v>48.5702</v>
      </c>
      <c r="I704" s="14">
        <f>CHOOSE(CONTROL!$C$42, 48.5007, 48.5007)* CHOOSE(CONTROL!$C$21, $C$9, 100%, $E$9)</f>
        <v>48.500700000000002</v>
      </c>
      <c r="J704" s="14">
        <f>CHOOSE(CONTROL!$C$42, 48.3419, 48.3419)* CHOOSE(CONTROL!$C$21, $C$9, 100%, $E$9)</f>
        <v>48.341900000000003</v>
      </c>
      <c r="K704" s="53">
        <f>CHOOSE(CONTROL!$C$42, 48.4968, 48.4968) * CHOOSE(CONTROL!$C$21, $C$9, 100%, $E$9)</f>
        <v>48.4968</v>
      </c>
      <c r="L704" s="14">
        <f>CHOOSE(CONTROL!$C$42, 49.1572, 49.1572) * CHOOSE(CONTROL!$C$21, $C$9, 100%, $E$9)</f>
        <v>49.157200000000003</v>
      </c>
      <c r="M704" s="14">
        <f>CHOOSE(CONTROL!$C$42, 47.3591, 47.3591) * CHOOSE(CONTROL!$C$21, $C$9, 100%, $E$9)</f>
        <v>47.359099999999998</v>
      </c>
      <c r="N704" s="14">
        <f>CHOOSE(CONTROL!$C$42, 47.3761, 47.3761) * CHOOSE(CONTROL!$C$21, $C$9, 100%, $E$9)</f>
        <v>47.376100000000001</v>
      </c>
      <c r="O704" s="14">
        <f>CHOOSE(CONTROL!$C$42, 47.5827, 47.5827) * CHOOSE(CONTROL!$C$21, $C$9, 100%, $E$9)</f>
        <v>47.582700000000003</v>
      </c>
      <c r="P704" s="14">
        <f>CHOOSE(CONTROL!$C$42, 47.5117, 47.5117) * CHOOSE(CONTROL!$C$21, $C$9, 100%, $E$9)</f>
        <v>47.511699999999998</v>
      </c>
      <c r="Q704" s="14">
        <f>CHOOSE(CONTROL!$C$42, 48.1774, 48.1774) * CHOOSE(CONTROL!$C$21, $C$9, 100%, $E$9)</f>
        <v>48.177399999999999</v>
      </c>
      <c r="R704" s="14">
        <f>CHOOSE(CONTROL!$C$42, 48.8849, 48.8849) * CHOOSE(CONTROL!$C$21, $C$9, 100%, $E$9)</f>
        <v>48.884900000000002</v>
      </c>
      <c r="S704" s="14">
        <f>CHOOSE(CONTROL!$C$42, 46.4215, 46.4215) * CHOOSE(CONTROL!$C$21, $C$9, 100%, $E$9)</f>
        <v>46.421500000000002</v>
      </c>
      <c r="T7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04" s="57">
        <f>(1000*CHOOSE(CONTROL!$C$42, 695, 695)*CHOOSE(CONTROL!$C$42, 0.5599, 0.5599)*CHOOSE(CONTROL!$C$42, 31, 31))/1000000</f>
        <v>12.063045499999998</v>
      </c>
      <c r="V704" s="57">
        <f>(1000*CHOOSE(CONTROL!$C$42, 500, 500)*CHOOSE(CONTROL!$C$42, 0.275, 0.275)*CHOOSE(CONTROL!$C$42, 31, 31))/1000000</f>
        <v>4.2625000000000002</v>
      </c>
      <c r="W704" s="57">
        <f>(1000*CHOOSE(CONTROL!$C$42, 0.1146, 0.1146)*CHOOSE(CONTROL!$C$42, 121.5, 121.5)*CHOOSE(CONTROL!$C$42, 31, 31))/1000000</f>
        <v>0.43164089999999994</v>
      </c>
      <c r="X704" s="57">
        <f>(31*0.1790888*245000/1000000)+(31*0.2374*100000/1000000)</f>
        <v>2.0961194359999999</v>
      </c>
      <c r="Y704" s="57"/>
      <c r="Z704" s="14"/>
      <c r="AA704" s="56"/>
      <c r="AB704" s="50">
        <f>(B704*194.205+C704*267.466+D704*133.845+E704*53.484+F704*40+G704*185+H704*0+I704*100+J704*300)/(194.205+267.466+133.845+53.484+0+40+185+100+300)</f>
        <v>48.384350771899534</v>
      </c>
      <c r="AC704" s="45">
        <f>(M704*'RAP TEMPLATE-GAS AVAILABILITY'!O703+N704*'RAP TEMPLATE-GAS AVAILABILITY'!P703+O704*'RAP TEMPLATE-GAS AVAILABILITY'!Q703+P704*'RAP TEMPLATE-GAS AVAILABILITY'!R703)/('RAP TEMPLATE-GAS AVAILABILITY'!O703+'RAP TEMPLATE-GAS AVAILABILITY'!P703+'RAP TEMPLATE-GAS AVAILABILITY'!Q703+'RAP TEMPLATE-GAS AVAILABILITY'!R703)</f>
        <v>47.483379136690644</v>
      </c>
    </row>
    <row r="705" spans="1:29" ht="15.75" x14ac:dyDescent="0.25">
      <c r="A705" s="32">
        <v>62366</v>
      </c>
      <c r="B705" s="14">
        <f>CHOOSE(CONTROL!$C$42, 45.2542, 45.2542) * CHOOSE(CONTROL!$C$21, $C$9, 100%, $E$9)</f>
        <v>45.254199999999997</v>
      </c>
      <c r="C705" s="14">
        <f>CHOOSE(CONTROL!$C$42, 45.2622, 45.2622) * CHOOSE(CONTROL!$C$21, $C$9, 100%, $E$9)</f>
        <v>45.2622</v>
      </c>
      <c r="D705" s="14">
        <f>CHOOSE(CONTROL!$C$42, 45.4828, 45.4828) * CHOOSE(CONTROL!$C$21, $C$9, 100%, $E$9)</f>
        <v>45.482799999999997</v>
      </c>
      <c r="E705" s="14">
        <f>CHOOSE(CONTROL!$C$42, 45.5143, 45.5143) * CHOOSE(CONTROL!$C$21, $C$9, 100%, $E$9)</f>
        <v>45.514299999999999</v>
      </c>
      <c r="F705" s="14">
        <f>CHOOSE(CONTROL!$C$42, 45.2816, 45.2816)*CHOOSE(CONTROL!$C$21, $C$9, 100%, $E$9)</f>
        <v>45.281599999999997</v>
      </c>
      <c r="G705" s="14">
        <f>CHOOSE(CONTROL!$C$42, 45.299, 45.299)*CHOOSE(CONTROL!$C$21, $C$9, 100%, $E$9)</f>
        <v>45.298999999999999</v>
      </c>
      <c r="H705" s="14">
        <f>CHOOSE(CONTROL!$C$42, 45.5029, 45.5029) * CHOOSE(CONTROL!$C$21, $C$9, 100%, $E$9)</f>
        <v>45.502899999999997</v>
      </c>
      <c r="I705" s="14">
        <f>CHOOSE(CONTROL!$C$42, 45.4238, 45.4238)* CHOOSE(CONTROL!$C$21, $C$9, 100%, $E$9)</f>
        <v>45.4238</v>
      </c>
      <c r="J705" s="14">
        <f>CHOOSE(CONTROL!$C$42, 45.2746, 45.2746)* CHOOSE(CONTROL!$C$21, $C$9, 100%, $E$9)</f>
        <v>45.2746</v>
      </c>
      <c r="K705" s="53">
        <f>CHOOSE(CONTROL!$C$42, 45.4199, 45.4199) * CHOOSE(CONTROL!$C$21, $C$9, 100%, $E$9)</f>
        <v>45.419899999999998</v>
      </c>
      <c r="L705" s="14">
        <f>CHOOSE(CONTROL!$C$42, 46.0899, 46.0899) * CHOOSE(CONTROL!$C$21, $C$9, 100%, $E$9)</f>
        <v>46.0899</v>
      </c>
      <c r="M705" s="14">
        <f>CHOOSE(CONTROL!$C$42, 44.3546, 44.3546) * CHOOSE(CONTROL!$C$21, $C$9, 100%, $E$9)</f>
        <v>44.354599999999998</v>
      </c>
      <c r="N705" s="14">
        <f>CHOOSE(CONTROL!$C$42, 44.3717, 44.3717) * CHOOSE(CONTROL!$C$21, $C$9, 100%, $E$9)</f>
        <v>44.371699999999997</v>
      </c>
      <c r="O705" s="14">
        <f>CHOOSE(CONTROL!$C$42, 44.5783, 44.5783) * CHOOSE(CONTROL!$C$21, $C$9, 100%, $E$9)</f>
        <v>44.578299999999999</v>
      </c>
      <c r="P705" s="14">
        <f>CHOOSE(CONTROL!$C$42, 44.498, 44.498) * CHOOSE(CONTROL!$C$21, $C$9, 100%, $E$9)</f>
        <v>44.497999999999998</v>
      </c>
      <c r="Q705" s="14">
        <f>CHOOSE(CONTROL!$C$42, 45.173, 45.173) * CHOOSE(CONTROL!$C$21, $C$9, 100%, $E$9)</f>
        <v>45.173000000000002</v>
      </c>
      <c r="R705" s="14">
        <f>CHOOSE(CONTROL!$C$42, 45.8729, 45.8729) * CHOOSE(CONTROL!$C$21, $C$9, 100%, $E$9)</f>
        <v>45.872900000000001</v>
      </c>
      <c r="S705" s="14">
        <f>CHOOSE(CONTROL!$C$42, 43.4741, 43.4741) * CHOOSE(CONTROL!$C$21, $C$9, 100%, $E$9)</f>
        <v>43.4741</v>
      </c>
      <c r="T7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05" s="57">
        <f>(1000*CHOOSE(CONTROL!$C$42, 695, 695)*CHOOSE(CONTROL!$C$42, 0.5599, 0.5599)*CHOOSE(CONTROL!$C$42, 30, 30))/1000000</f>
        <v>11.673914999999997</v>
      </c>
      <c r="V705" s="57">
        <f>(1000*CHOOSE(CONTROL!$C$42, 500, 500)*CHOOSE(CONTROL!$C$42, 0.275, 0.275)*CHOOSE(CONTROL!$C$42, 30, 30))/1000000</f>
        <v>4.125</v>
      </c>
      <c r="W705" s="57">
        <f>(1000*CHOOSE(CONTROL!$C$42, 0.1146, 0.1146)*CHOOSE(CONTROL!$C$42, 121.5, 121.5)*CHOOSE(CONTROL!$C$42, 30, 30))/1000000</f>
        <v>0.417717</v>
      </c>
      <c r="X705" s="57">
        <f>(30*0.1790888*245000/1000000)+(30*0.2374*100000/1000000)</f>
        <v>2.0285026799999999</v>
      </c>
      <c r="Y705" s="57"/>
      <c r="Z705" s="14"/>
      <c r="AA705" s="56"/>
      <c r="AB705" s="50">
        <f>(B705*194.205+C705*267.466+D705*133.845+E705*53.484+F705*40+G705*185+H705*0+I705*100+J705*300)/(194.205+267.466+133.845+53.484+0+40+185+100+300)</f>
        <v>45.316297239717422</v>
      </c>
      <c r="AC705" s="45">
        <f>(M705*'RAP TEMPLATE-GAS AVAILABILITY'!O704+N705*'RAP TEMPLATE-GAS AVAILABILITY'!P704+O705*'RAP TEMPLATE-GAS AVAILABILITY'!Q704+P705*'RAP TEMPLATE-GAS AVAILABILITY'!R704)/('RAP TEMPLATE-GAS AVAILABILITY'!O704+'RAP TEMPLATE-GAS AVAILABILITY'!P704+'RAP TEMPLATE-GAS AVAILABILITY'!Q704+'RAP TEMPLATE-GAS AVAILABILITY'!R704)</f>
        <v>44.477606474820142</v>
      </c>
    </row>
    <row r="706" spans="1:29" ht="15.75" x14ac:dyDescent="0.25">
      <c r="A706" s="32">
        <v>62397</v>
      </c>
      <c r="B706" s="14">
        <f>CHOOSE(CONTROL!$C$42, 44.3339, 44.3339) * CHOOSE(CONTROL!$C$21, $C$9, 100%, $E$9)</f>
        <v>44.3339</v>
      </c>
      <c r="C706" s="14">
        <f>CHOOSE(CONTROL!$C$42, 44.3392, 44.3392) * CHOOSE(CONTROL!$C$21, $C$9, 100%, $E$9)</f>
        <v>44.339199999999998</v>
      </c>
      <c r="D706" s="14">
        <f>CHOOSE(CONTROL!$C$42, 44.5647, 44.5647) * CHOOSE(CONTROL!$C$21, $C$9, 100%, $E$9)</f>
        <v>44.564700000000002</v>
      </c>
      <c r="E706" s="14">
        <f>CHOOSE(CONTROL!$C$42, 44.5938, 44.5938) * CHOOSE(CONTROL!$C$21, $C$9, 100%, $E$9)</f>
        <v>44.593800000000002</v>
      </c>
      <c r="F706" s="14">
        <f>CHOOSE(CONTROL!$C$42, 44.3632, 44.3632)*CHOOSE(CONTROL!$C$21, $C$9, 100%, $E$9)</f>
        <v>44.363199999999999</v>
      </c>
      <c r="G706" s="14">
        <f>CHOOSE(CONTROL!$C$42, 44.3805, 44.3805)*CHOOSE(CONTROL!$C$21, $C$9, 100%, $E$9)</f>
        <v>44.380499999999998</v>
      </c>
      <c r="H706" s="14">
        <f>CHOOSE(CONTROL!$C$42, 44.5843, 44.5843) * CHOOSE(CONTROL!$C$21, $C$9, 100%, $E$9)</f>
        <v>44.584299999999999</v>
      </c>
      <c r="I706" s="14">
        <f>CHOOSE(CONTROL!$C$42, 44.5023, 44.5023)* CHOOSE(CONTROL!$C$21, $C$9, 100%, $E$9)</f>
        <v>44.502299999999998</v>
      </c>
      <c r="J706" s="14">
        <f>CHOOSE(CONTROL!$C$42, 44.3562, 44.3562)* CHOOSE(CONTROL!$C$21, $C$9, 100%, $E$9)</f>
        <v>44.356200000000001</v>
      </c>
      <c r="K706" s="53">
        <f>CHOOSE(CONTROL!$C$42, 44.4985, 44.4985) * CHOOSE(CONTROL!$C$21, $C$9, 100%, $E$9)</f>
        <v>44.4985</v>
      </c>
      <c r="L706" s="14">
        <f>CHOOSE(CONTROL!$C$42, 45.1713, 45.1713) * CHOOSE(CONTROL!$C$21, $C$9, 100%, $E$9)</f>
        <v>45.171300000000002</v>
      </c>
      <c r="M706" s="14">
        <f>CHOOSE(CONTROL!$C$42, 43.4551, 43.4551) * CHOOSE(CONTROL!$C$21, $C$9, 100%, $E$9)</f>
        <v>43.455100000000002</v>
      </c>
      <c r="N706" s="14">
        <f>CHOOSE(CONTROL!$C$42, 43.472, 43.472) * CHOOSE(CONTROL!$C$21, $C$9, 100%, $E$9)</f>
        <v>43.472000000000001</v>
      </c>
      <c r="O706" s="14">
        <f>CHOOSE(CONTROL!$C$42, 43.6785, 43.6785) * CHOOSE(CONTROL!$C$21, $C$9, 100%, $E$9)</f>
        <v>43.6785</v>
      </c>
      <c r="P706" s="14">
        <f>CHOOSE(CONTROL!$C$42, 43.5955, 43.5955) * CHOOSE(CONTROL!$C$21, $C$9, 100%, $E$9)</f>
        <v>43.595500000000001</v>
      </c>
      <c r="Q706" s="14">
        <f>CHOOSE(CONTROL!$C$42, 44.2732, 44.2732) * CHOOSE(CONTROL!$C$21, $C$9, 100%, $E$9)</f>
        <v>44.273200000000003</v>
      </c>
      <c r="R706" s="14">
        <f>CHOOSE(CONTROL!$C$42, 44.9709, 44.9709) * CHOOSE(CONTROL!$C$21, $C$9, 100%, $E$9)</f>
        <v>44.9709</v>
      </c>
      <c r="S706" s="14">
        <f>CHOOSE(CONTROL!$C$42, 42.5915, 42.5915) * CHOOSE(CONTROL!$C$21, $C$9, 100%, $E$9)</f>
        <v>42.591500000000003</v>
      </c>
      <c r="T7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6" s="57">
        <f>(1000*CHOOSE(CONTROL!$C$42, 695, 695)*CHOOSE(CONTROL!$C$42, 0.5599, 0.5599)*CHOOSE(CONTROL!$C$42, 31, 31))/1000000</f>
        <v>12.063045499999998</v>
      </c>
      <c r="V706" s="57">
        <f>(1000*CHOOSE(CONTROL!$C$42, 500, 500)*CHOOSE(CONTROL!$C$42, 0.275, 0.275)*CHOOSE(CONTROL!$C$42, 31, 31))/1000000</f>
        <v>4.2625000000000002</v>
      </c>
      <c r="W706" s="57">
        <f>(1000*CHOOSE(CONTROL!$C$42, 0.1146, 0.1146)*CHOOSE(CONTROL!$C$42, 121.5, 121.5)*CHOOSE(CONTROL!$C$42, 31, 31))/1000000</f>
        <v>0.43164089999999994</v>
      </c>
      <c r="X706" s="57">
        <f>(31*0.1790888*245000/1000000)+(31*0.2374*100000/1000000)</f>
        <v>2.0961194359999999</v>
      </c>
      <c r="Y706" s="57"/>
      <c r="Z706" s="14"/>
      <c r="AA706" s="56"/>
      <c r="AB706" s="50">
        <f>(B706*131.881+C706*277.167+D706*79.08+E706*125.872+F706*40+G706*185+H706*0+I706*100+J706*300)/(131.881+277.167+79.08+125.872+0+40+185+100+300)</f>
        <v>44.403115320338976</v>
      </c>
      <c r="AC706" s="45">
        <f>(M706*'RAP TEMPLATE-GAS AVAILABILITY'!O705+N706*'RAP TEMPLATE-GAS AVAILABILITY'!P705+O706*'RAP TEMPLATE-GAS AVAILABILITY'!Q705+P706*'RAP TEMPLATE-GAS AVAILABILITY'!R705)/('RAP TEMPLATE-GAS AVAILABILITY'!O705+'RAP TEMPLATE-GAS AVAILABILITY'!P705+'RAP TEMPLATE-GAS AVAILABILITY'!Q705+'RAP TEMPLATE-GAS AVAILABILITY'!R705)</f>
        <v>43.577527338129492</v>
      </c>
    </row>
    <row r="707" spans="1:29" ht="15.75" x14ac:dyDescent="0.25">
      <c r="A707" s="32">
        <v>62427</v>
      </c>
      <c r="B707" s="14">
        <f>CHOOSE(CONTROL!$C$42, 45.5011, 45.5011) * CHOOSE(CONTROL!$C$21, $C$9, 100%, $E$9)</f>
        <v>45.501100000000001</v>
      </c>
      <c r="C707" s="14">
        <f>CHOOSE(CONTROL!$C$42, 45.5062, 45.5062) * CHOOSE(CONTROL!$C$21, $C$9, 100%, $E$9)</f>
        <v>45.5062</v>
      </c>
      <c r="D707" s="14">
        <f>CHOOSE(CONTROL!$C$42, 45.5804, 45.5804) * CHOOSE(CONTROL!$C$21, $C$9, 100%, $E$9)</f>
        <v>45.580399999999997</v>
      </c>
      <c r="E707" s="14">
        <f>CHOOSE(CONTROL!$C$42, 45.6145, 45.6145) * CHOOSE(CONTROL!$C$21, $C$9, 100%, $E$9)</f>
        <v>45.6145</v>
      </c>
      <c r="F707" s="14">
        <f>CHOOSE(CONTROL!$C$42, 45.5372, 45.5372)*CHOOSE(CONTROL!$C$21, $C$9, 100%, $E$9)</f>
        <v>45.537199999999999</v>
      </c>
      <c r="G707" s="14">
        <f>CHOOSE(CONTROL!$C$42, 45.5547, 45.5547)*CHOOSE(CONTROL!$C$21, $C$9, 100%, $E$9)</f>
        <v>45.554699999999997</v>
      </c>
      <c r="H707" s="14">
        <f>CHOOSE(CONTROL!$C$42, 45.6037, 45.6037) * CHOOSE(CONTROL!$C$21, $C$9, 100%, $E$9)</f>
        <v>45.603700000000003</v>
      </c>
      <c r="I707" s="14">
        <f>CHOOSE(CONTROL!$C$42, 45.6711, 45.6711)* CHOOSE(CONTROL!$C$21, $C$9, 100%, $E$9)</f>
        <v>45.671100000000003</v>
      </c>
      <c r="J707" s="14">
        <f>CHOOSE(CONTROL!$C$42, 45.5302, 45.5302)* CHOOSE(CONTROL!$C$21, $C$9, 100%, $E$9)</f>
        <v>45.530200000000001</v>
      </c>
      <c r="K707" s="53">
        <f>CHOOSE(CONTROL!$C$42, 45.6672, 45.6672) * CHOOSE(CONTROL!$C$21, $C$9, 100%, $E$9)</f>
        <v>45.667200000000001</v>
      </c>
      <c r="L707" s="14">
        <f>CHOOSE(CONTROL!$C$42, 46.1907, 46.1907) * CHOOSE(CONTROL!$C$21, $C$9, 100%, $E$9)</f>
        <v>46.1907</v>
      </c>
      <c r="M707" s="14">
        <f>CHOOSE(CONTROL!$C$42, 44.605, 44.605) * CHOOSE(CONTROL!$C$21, $C$9, 100%, $E$9)</f>
        <v>44.604999999999997</v>
      </c>
      <c r="N707" s="14">
        <f>CHOOSE(CONTROL!$C$42, 44.6222, 44.6222) * CHOOSE(CONTROL!$C$21, $C$9, 100%, $E$9)</f>
        <v>44.622199999999999</v>
      </c>
      <c r="O707" s="14">
        <f>CHOOSE(CONTROL!$C$42, 44.677, 44.677) * CHOOSE(CONTROL!$C$21, $C$9, 100%, $E$9)</f>
        <v>44.677</v>
      </c>
      <c r="P707" s="14">
        <f>CHOOSE(CONTROL!$C$42, 44.7402, 44.7402) * CHOOSE(CONTROL!$C$21, $C$9, 100%, $E$9)</f>
        <v>44.740200000000002</v>
      </c>
      <c r="Q707" s="14">
        <f>CHOOSE(CONTROL!$C$42, 45.2717, 45.2717) * CHOOSE(CONTROL!$C$21, $C$9, 100%, $E$9)</f>
        <v>45.271700000000003</v>
      </c>
      <c r="R707" s="14">
        <f>CHOOSE(CONTROL!$C$42, 45.9719, 45.9719) * CHOOSE(CONTROL!$C$21, $C$9, 100%, $E$9)</f>
        <v>45.971899999999998</v>
      </c>
      <c r="S707" s="14">
        <f>CHOOSE(CONTROL!$C$42, 43.7135, 43.7135) * CHOOSE(CONTROL!$C$21, $C$9, 100%, $E$9)</f>
        <v>43.713500000000003</v>
      </c>
      <c r="T7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07" s="57">
        <f>(1000*CHOOSE(CONTROL!$C$42, 695, 695)*CHOOSE(CONTROL!$C$42, 0.5599, 0.5599)*CHOOSE(CONTROL!$C$42, 30, 30))/1000000</f>
        <v>11.673914999999997</v>
      </c>
      <c r="V707" s="57">
        <f>(1000*CHOOSE(CONTROL!$C$42, 500, 500)*CHOOSE(CONTROL!$C$42, 0.275, 0.275)*CHOOSE(CONTROL!$C$42, 30, 30))/1000000</f>
        <v>4.125</v>
      </c>
      <c r="W707" s="57">
        <f>(1000*CHOOSE(CONTROL!$C$42, 0.1146, 0.1146)*CHOOSE(CONTROL!$C$42, 121.5, 121.5)*CHOOSE(CONTROL!$C$42, 30, 30))/1000000</f>
        <v>0.417717</v>
      </c>
      <c r="X707" s="57">
        <f>(30*0.1790888*100000/1000000)+(30*0.2374*100000/1000000)</f>
        <v>1.2494664</v>
      </c>
      <c r="Y707" s="57"/>
      <c r="Z707" s="14"/>
      <c r="AA707" s="56"/>
      <c r="AB707" s="50">
        <f>(B707*122.58+C707*297.941+D707*89.177+E707*40.302+F707*40+G707*160+H707*0+I707*100+J707*300)/(122.58+297.941+89.177+40.302+0+40+160+100+300)</f>
        <v>45.543631723478256</v>
      </c>
      <c r="AC707" s="45">
        <f>(M707*'RAP TEMPLATE-GAS AVAILABILITY'!O706+N707*'RAP TEMPLATE-GAS AVAILABILITY'!P706+O707*'RAP TEMPLATE-GAS AVAILABILITY'!Q706+P707*'RAP TEMPLATE-GAS AVAILABILITY'!R706)/('RAP TEMPLATE-GAS AVAILABILITY'!O706+'RAP TEMPLATE-GAS AVAILABILITY'!P706+'RAP TEMPLATE-GAS AVAILABILITY'!Q706+'RAP TEMPLATE-GAS AVAILABILITY'!R706)</f>
        <v>44.658076258992807</v>
      </c>
    </row>
    <row r="708" spans="1:29" ht="15.75" x14ac:dyDescent="0.25">
      <c r="A708" s="32">
        <v>62458</v>
      </c>
      <c r="B708" s="14">
        <f>CHOOSE(CONTROL!$C$42, 48.6027, 48.6027) * CHOOSE(CONTROL!$C$21, $C$9, 100%, $E$9)</f>
        <v>48.602699999999999</v>
      </c>
      <c r="C708" s="14">
        <f>CHOOSE(CONTROL!$C$42, 48.6078, 48.6078) * CHOOSE(CONTROL!$C$21, $C$9, 100%, $E$9)</f>
        <v>48.607799999999997</v>
      </c>
      <c r="D708" s="14">
        <f>CHOOSE(CONTROL!$C$42, 48.682, 48.682) * CHOOSE(CONTROL!$C$21, $C$9, 100%, $E$9)</f>
        <v>48.682000000000002</v>
      </c>
      <c r="E708" s="14">
        <f>CHOOSE(CONTROL!$C$42, 48.7161, 48.7161) * CHOOSE(CONTROL!$C$21, $C$9, 100%, $E$9)</f>
        <v>48.716099999999997</v>
      </c>
      <c r="F708" s="14">
        <f>CHOOSE(CONTROL!$C$42, 48.6411, 48.6411)*CHOOSE(CONTROL!$C$21, $C$9, 100%, $E$9)</f>
        <v>48.641100000000002</v>
      </c>
      <c r="G708" s="14">
        <f>CHOOSE(CONTROL!$C$42, 48.6593, 48.6593)*CHOOSE(CONTROL!$C$21, $C$9, 100%, $E$9)</f>
        <v>48.659300000000002</v>
      </c>
      <c r="H708" s="14">
        <f>CHOOSE(CONTROL!$C$42, 48.7053, 48.7053) * CHOOSE(CONTROL!$C$21, $C$9, 100%, $E$9)</f>
        <v>48.705300000000001</v>
      </c>
      <c r="I708" s="14">
        <f>CHOOSE(CONTROL!$C$42, 48.7824, 48.7824)* CHOOSE(CONTROL!$C$21, $C$9, 100%, $E$9)</f>
        <v>48.782400000000003</v>
      </c>
      <c r="J708" s="14">
        <f>CHOOSE(CONTROL!$C$42, 48.6341, 48.6341)* CHOOSE(CONTROL!$C$21, $C$9, 100%, $E$9)</f>
        <v>48.634099999999997</v>
      </c>
      <c r="K708" s="53">
        <f>CHOOSE(CONTROL!$C$42, 48.7785, 48.7785) * CHOOSE(CONTROL!$C$21, $C$9, 100%, $E$9)</f>
        <v>48.778500000000001</v>
      </c>
      <c r="L708" s="14">
        <f>CHOOSE(CONTROL!$C$42, 49.2923, 49.2923) * CHOOSE(CONTROL!$C$21, $C$9, 100%, $E$9)</f>
        <v>49.292299999999997</v>
      </c>
      <c r="M708" s="14">
        <f>CHOOSE(CONTROL!$C$42, 47.6454, 47.6454) * CHOOSE(CONTROL!$C$21, $C$9, 100%, $E$9)</f>
        <v>47.645400000000002</v>
      </c>
      <c r="N708" s="14">
        <f>CHOOSE(CONTROL!$C$42, 47.6631, 47.6631) * CHOOSE(CONTROL!$C$21, $C$9, 100%, $E$9)</f>
        <v>47.6631</v>
      </c>
      <c r="O708" s="14">
        <f>CHOOSE(CONTROL!$C$42, 47.7151, 47.7151) * CHOOSE(CONTROL!$C$21, $C$9, 100%, $E$9)</f>
        <v>47.7151</v>
      </c>
      <c r="P708" s="14">
        <f>CHOOSE(CONTROL!$C$42, 47.7876, 47.7876) * CHOOSE(CONTROL!$C$21, $C$9, 100%, $E$9)</f>
        <v>47.787599999999998</v>
      </c>
      <c r="Q708" s="14">
        <f>CHOOSE(CONTROL!$C$42, 48.3098, 48.3098) * CHOOSE(CONTROL!$C$21, $C$9, 100%, $E$9)</f>
        <v>48.309800000000003</v>
      </c>
      <c r="R708" s="14">
        <f>CHOOSE(CONTROL!$C$42, 49.0175, 49.0175) * CHOOSE(CONTROL!$C$21, $C$9, 100%, $E$9)</f>
        <v>49.017499999999998</v>
      </c>
      <c r="S708" s="14">
        <f>CHOOSE(CONTROL!$C$42, 46.6938, 46.6938) * CHOOSE(CONTROL!$C$21, $C$9, 100%, $E$9)</f>
        <v>46.693800000000003</v>
      </c>
      <c r="T7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08" s="57">
        <f>(1000*CHOOSE(CONTROL!$C$42, 695, 695)*CHOOSE(CONTROL!$C$42, 0.5599, 0.5599)*CHOOSE(CONTROL!$C$42, 31, 31))/1000000</f>
        <v>12.063045499999998</v>
      </c>
      <c r="V708" s="57">
        <f>(1000*CHOOSE(CONTROL!$C$42, 500, 500)*CHOOSE(CONTROL!$C$42, 0.275, 0.275)*CHOOSE(CONTROL!$C$42, 31, 31))/1000000</f>
        <v>4.2625000000000002</v>
      </c>
      <c r="W708" s="57">
        <f>(1000*CHOOSE(CONTROL!$C$42, 0.1146, 0.1146)*CHOOSE(CONTROL!$C$42, 121.5, 121.5)*CHOOSE(CONTROL!$C$42, 31, 31))/1000000</f>
        <v>0.43164089999999994</v>
      </c>
      <c r="X708" s="57">
        <f>(31*0.1790888*100000/1000000)+(31*0.2374*100000/1000000)</f>
        <v>1.2911152800000001</v>
      </c>
      <c r="Y708" s="57"/>
      <c r="Z708" s="14"/>
      <c r="AA708" s="56"/>
      <c r="AB708" s="50">
        <f>(B708*122.58+C708*297.941+D708*89.177+E708*40.302+F708*40+G708*160+H708*0+I708*100+J708*300)/(122.58+297.941+89.177+40.302+0+40+160+100+300)</f>
        <v>48.647172593043472</v>
      </c>
      <c r="AC708" s="45">
        <f>(M708*'RAP TEMPLATE-GAS AVAILABILITY'!O707+N708*'RAP TEMPLATE-GAS AVAILABILITY'!P707+O708*'RAP TEMPLATE-GAS AVAILABILITY'!Q707+P708*'RAP TEMPLATE-GAS AVAILABILITY'!R707)/('RAP TEMPLATE-GAS AVAILABILITY'!O707+'RAP TEMPLATE-GAS AVAILABILITY'!P707+'RAP TEMPLATE-GAS AVAILABILITY'!Q707+'RAP TEMPLATE-GAS AVAILABILITY'!R707)</f>
        <v>47.698469784172666</v>
      </c>
    </row>
    <row r="709" spans="1:29" ht="15.75" x14ac:dyDescent="0.25">
      <c r="A709" s="32">
        <v>62489</v>
      </c>
      <c r="B709" s="14">
        <f>CHOOSE(CONTROL!$C$42, 52.6311, 52.6311) * CHOOSE(CONTROL!$C$21, $C$9, 100%, $E$9)</f>
        <v>52.631100000000004</v>
      </c>
      <c r="C709" s="14">
        <f>CHOOSE(CONTROL!$C$42, 52.6362, 52.6362) * CHOOSE(CONTROL!$C$21, $C$9, 100%, $E$9)</f>
        <v>52.636200000000002</v>
      </c>
      <c r="D709" s="14">
        <f>CHOOSE(CONTROL!$C$42, 52.713, 52.713) * CHOOSE(CONTROL!$C$21, $C$9, 100%, $E$9)</f>
        <v>52.713000000000001</v>
      </c>
      <c r="E709" s="14">
        <f>CHOOSE(CONTROL!$C$42, 52.7471, 52.7471) * CHOOSE(CONTROL!$C$21, $C$9, 100%, $E$9)</f>
        <v>52.747100000000003</v>
      </c>
      <c r="F709" s="14">
        <f>CHOOSE(CONTROL!$C$42, 52.6559, 52.6559)*CHOOSE(CONTROL!$C$21, $C$9, 100%, $E$9)</f>
        <v>52.655900000000003</v>
      </c>
      <c r="G709" s="14">
        <f>CHOOSE(CONTROL!$C$42, 52.6739, 52.6739)*CHOOSE(CONTROL!$C$21, $C$9, 100%, $E$9)</f>
        <v>52.673900000000003</v>
      </c>
      <c r="H709" s="14">
        <f>CHOOSE(CONTROL!$C$42, 52.7363, 52.7363) * CHOOSE(CONTROL!$C$21, $C$9, 100%, $E$9)</f>
        <v>52.7363</v>
      </c>
      <c r="I709" s="14">
        <f>CHOOSE(CONTROL!$C$42, 52.8297, 52.8297)* CHOOSE(CONTROL!$C$21, $C$9, 100%, $E$9)</f>
        <v>52.829700000000003</v>
      </c>
      <c r="J709" s="14">
        <f>CHOOSE(CONTROL!$C$42, 52.6489, 52.6489)* CHOOSE(CONTROL!$C$21, $C$9, 100%, $E$9)</f>
        <v>52.648899999999998</v>
      </c>
      <c r="K709" s="53">
        <f>CHOOSE(CONTROL!$C$42, 52.8258, 52.8258) * CHOOSE(CONTROL!$C$21, $C$9, 100%, $E$9)</f>
        <v>52.825800000000001</v>
      </c>
      <c r="L709" s="14">
        <f>CHOOSE(CONTROL!$C$42, 53.3233, 53.3233) * CHOOSE(CONTROL!$C$21, $C$9, 100%, $E$9)</f>
        <v>53.323300000000003</v>
      </c>
      <c r="M709" s="14">
        <f>CHOOSE(CONTROL!$C$42, 51.5778, 51.5778) * CHOOSE(CONTROL!$C$21, $C$9, 100%, $E$9)</f>
        <v>51.577800000000003</v>
      </c>
      <c r="N709" s="14">
        <f>CHOOSE(CONTROL!$C$42, 51.5954, 51.5954) * CHOOSE(CONTROL!$C$21, $C$9, 100%, $E$9)</f>
        <v>51.595399999999998</v>
      </c>
      <c r="O709" s="14">
        <f>CHOOSE(CONTROL!$C$42, 51.6635, 51.6635) * CHOOSE(CONTROL!$C$21, $C$9, 100%, $E$9)</f>
        <v>51.663499999999999</v>
      </c>
      <c r="P709" s="14">
        <f>CHOOSE(CONTROL!$C$42, 51.7517, 51.7517) * CHOOSE(CONTROL!$C$21, $C$9, 100%, $E$9)</f>
        <v>51.7517</v>
      </c>
      <c r="Q709" s="14">
        <f>CHOOSE(CONTROL!$C$42, 52.2582, 52.2582) * CHOOSE(CONTROL!$C$21, $C$9, 100%, $E$9)</f>
        <v>52.258200000000002</v>
      </c>
      <c r="R709" s="14">
        <f>CHOOSE(CONTROL!$C$42, 52.9758, 52.9758) * CHOOSE(CONTROL!$C$21, $C$9, 100%, $E$9)</f>
        <v>52.9758</v>
      </c>
      <c r="S709" s="14">
        <f>CHOOSE(CONTROL!$C$42, 50.5647, 50.5647) * CHOOSE(CONTROL!$C$21, $C$9, 100%, $E$9)</f>
        <v>50.564700000000002</v>
      </c>
      <c r="T7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09" s="57">
        <f>(1000*CHOOSE(CONTROL!$C$42, 695, 695)*CHOOSE(CONTROL!$C$42, 0.5599, 0.5599)*CHOOSE(CONTROL!$C$42, 31, 31))/1000000</f>
        <v>12.063045499999998</v>
      </c>
      <c r="V709" s="57">
        <f>(1000*CHOOSE(CONTROL!$C$42, 500, 500)*CHOOSE(CONTROL!$C$42, 0.275, 0.275)*CHOOSE(CONTROL!$C$42, 31, 31))/1000000</f>
        <v>4.2625000000000002</v>
      </c>
      <c r="W709" s="57">
        <f>(1000*CHOOSE(CONTROL!$C$42, 0.1146, 0.1146)*CHOOSE(CONTROL!$C$42, 121.5, 121.5)*CHOOSE(CONTROL!$C$42, 31, 31))/1000000</f>
        <v>0.43164089999999994</v>
      </c>
      <c r="X709" s="57">
        <f>(31*0.1790888*100000/1000000)+(31*0.2374*100000/1000000)</f>
        <v>1.2911152800000001</v>
      </c>
      <c r="Y709" s="57"/>
      <c r="Z709" s="14"/>
      <c r="AA709" s="56"/>
      <c r="AB709" s="50">
        <f>(B709*122.58+C709*297.941+D709*89.177+E709*40.302+F709*40+G709*160+H709*0+I709*100+J709*300)/(122.58+297.941+89.177+40.302+0+40+160+100+300)</f>
        <v>52.671567936869558</v>
      </c>
      <c r="AC709" s="45">
        <f>(M709*'RAP TEMPLATE-GAS AVAILABILITY'!O708+N709*'RAP TEMPLATE-GAS AVAILABILITY'!P708+O709*'RAP TEMPLATE-GAS AVAILABILITY'!Q708+P709*'RAP TEMPLATE-GAS AVAILABILITY'!R708)/('RAP TEMPLATE-GAS AVAILABILITY'!O708+'RAP TEMPLATE-GAS AVAILABILITY'!P708+'RAP TEMPLATE-GAS AVAILABILITY'!Q708+'RAP TEMPLATE-GAS AVAILABILITY'!R708)</f>
        <v>51.642676978417263</v>
      </c>
    </row>
    <row r="710" spans="1:29" ht="15.75" x14ac:dyDescent="0.25">
      <c r="A710" s="32">
        <v>62517</v>
      </c>
      <c r="B710" s="14">
        <f>CHOOSE(CONTROL!$C$42, 53.5679, 53.5679) * CHOOSE(CONTROL!$C$21, $C$9, 100%, $E$9)</f>
        <v>53.567900000000002</v>
      </c>
      <c r="C710" s="14">
        <f>CHOOSE(CONTROL!$C$42, 53.5729, 53.5729) * CHOOSE(CONTROL!$C$21, $C$9, 100%, $E$9)</f>
        <v>53.572899999999997</v>
      </c>
      <c r="D710" s="14">
        <f>CHOOSE(CONTROL!$C$42, 53.6498, 53.6498) * CHOOSE(CONTROL!$C$21, $C$9, 100%, $E$9)</f>
        <v>53.649799999999999</v>
      </c>
      <c r="E710" s="14">
        <f>CHOOSE(CONTROL!$C$42, 53.6839, 53.6839) * CHOOSE(CONTROL!$C$21, $C$9, 100%, $E$9)</f>
        <v>53.683900000000001</v>
      </c>
      <c r="F710" s="14">
        <f>CHOOSE(CONTROL!$C$42, 53.5922, 53.5922)*CHOOSE(CONTROL!$C$21, $C$9, 100%, $E$9)</f>
        <v>53.592199999999998</v>
      </c>
      <c r="G710" s="14">
        <f>CHOOSE(CONTROL!$C$42, 53.6101, 53.6101)*CHOOSE(CONTROL!$C$21, $C$9, 100%, $E$9)</f>
        <v>53.610100000000003</v>
      </c>
      <c r="H710" s="14">
        <f>CHOOSE(CONTROL!$C$42, 53.6731, 53.6731) * CHOOSE(CONTROL!$C$21, $C$9, 100%, $E$9)</f>
        <v>53.673099999999998</v>
      </c>
      <c r="I710" s="14">
        <f>CHOOSE(CONTROL!$C$42, 53.7694, 53.7694)* CHOOSE(CONTROL!$C$21, $C$9, 100%, $E$9)</f>
        <v>53.769399999999997</v>
      </c>
      <c r="J710" s="14">
        <f>CHOOSE(CONTROL!$C$42, 53.5852, 53.5852)* CHOOSE(CONTROL!$C$21, $C$9, 100%, $E$9)</f>
        <v>53.5852</v>
      </c>
      <c r="K710" s="53">
        <f>CHOOSE(CONTROL!$C$42, 53.7655, 53.7655) * CHOOSE(CONTROL!$C$21, $C$9, 100%, $E$9)</f>
        <v>53.765500000000003</v>
      </c>
      <c r="L710" s="14">
        <f>CHOOSE(CONTROL!$C$42, 54.2601, 54.2601) * CHOOSE(CONTROL!$C$21, $C$9, 100%, $E$9)</f>
        <v>54.260100000000001</v>
      </c>
      <c r="M710" s="14">
        <f>CHOOSE(CONTROL!$C$42, 52.495, 52.495) * CHOOSE(CONTROL!$C$21, $C$9, 100%, $E$9)</f>
        <v>52.494999999999997</v>
      </c>
      <c r="N710" s="14">
        <f>CHOOSE(CONTROL!$C$42, 52.5125, 52.5125) * CHOOSE(CONTROL!$C$21, $C$9, 100%, $E$9)</f>
        <v>52.512500000000003</v>
      </c>
      <c r="O710" s="14">
        <f>CHOOSE(CONTROL!$C$42, 52.581, 52.581) * CHOOSE(CONTROL!$C$21, $C$9, 100%, $E$9)</f>
        <v>52.581000000000003</v>
      </c>
      <c r="P710" s="14">
        <f>CHOOSE(CONTROL!$C$42, 52.6721, 52.6721) * CHOOSE(CONTROL!$C$21, $C$9, 100%, $E$9)</f>
        <v>52.6721</v>
      </c>
      <c r="Q710" s="14">
        <f>CHOOSE(CONTROL!$C$42, 53.1757, 53.1757) * CHOOSE(CONTROL!$C$21, $C$9, 100%, $E$9)</f>
        <v>53.175699999999999</v>
      </c>
      <c r="R710" s="14">
        <f>CHOOSE(CONTROL!$C$42, 53.8957, 53.8957) * CHOOSE(CONTROL!$C$21, $C$9, 100%, $E$9)</f>
        <v>53.895699999999998</v>
      </c>
      <c r="S710" s="14">
        <f>CHOOSE(CONTROL!$C$42, 51.4648, 51.4648) * CHOOSE(CONTROL!$C$21, $C$9, 100%, $E$9)</f>
        <v>51.464799999999997</v>
      </c>
      <c r="T71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10" s="57">
        <f>(1000*CHOOSE(CONTROL!$C$42, 695, 695)*CHOOSE(CONTROL!$C$42, 0.5599, 0.5599)*CHOOSE(CONTROL!$C$42, 28, 28))/1000000</f>
        <v>10.895653999999999</v>
      </c>
      <c r="V710" s="57">
        <f>(1000*CHOOSE(CONTROL!$C$42, 500, 500)*CHOOSE(CONTROL!$C$42, 0.275, 0.275)*CHOOSE(CONTROL!$C$42, 28, 28))/1000000</f>
        <v>3.85</v>
      </c>
      <c r="W710" s="57">
        <f>(1000*CHOOSE(CONTROL!$C$42, 0.1146, 0.1146)*CHOOSE(CONTROL!$C$42, 121.5, 121.5)*CHOOSE(CONTROL!$C$42, 28, 28))/1000000</f>
        <v>0.38986920000000003</v>
      </c>
      <c r="X710" s="57">
        <f>(28*0.1790888*100000/1000000)+(28*0.2374*100000/1000000)</f>
        <v>1.16616864</v>
      </c>
      <c r="Y710" s="57"/>
      <c r="Z710" s="14"/>
      <c r="AA710" s="56"/>
      <c r="AB710" s="50">
        <f>(B710*122.58+C710*297.941+D710*89.177+E710*40.302+F710*40+G710*160+H710*0+I710*100+J710*300)/(122.58+297.941+89.177+40.302+0+40+160+100+300)</f>
        <v>53.608362898521733</v>
      </c>
      <c r="AC710" s="45">
        <f>(M710*'RAP TEMPLATE-GAS AVAILABILITY'!O709+N710*'RAP TEMPLATE-GAS AVAILABILITY'!P709+O710*'RAP TEMPLATE-GAS AVAILABILITY'!Q709+P710*'RAP TEMPLATE-GAS AVAILABILITY'!R709)/('RAP TEMPLATE-GAS AVAILABILITY'!O709+'RAP TEMPLATE-GAS AVAILABILITY'!P709+'RAP TEMPLATE-GAS AVAILABILITY'!Q709+'RAP TEMPLATE-GAS AVAILABILITY'!R709)</f>
        <v>52.560467625899285</v>
      </c>
    </row>
    <row r="711" spans="1:29" ht="15.75" x14ac:dyDescent="0.25">
      <c r="A711" s="32">
        <v>62548</v>
      </c>
      <c r="B711" s="14">
        <f>CHOOSE(CONTROL!$C$42, 52.0473, 52.0473) * CHOOSE(CONTROL!$C$21, $C$9, 100%, $E$9)</f>
        <v>52.0473</v>
      </c>
      <c r="C711" s="14">
        <f>CHOOSE(CONTROL!$C$42, 52.0524, 52.0524) * CHOOSE(CONTROL!$C$21, $C$9, 100%, $E$9)</f>
        <v>52.052399999999999</v>
      </c>
      <c r="D711" s="14">
        <f>CHOOSE(CONTROL!$C$42, 52.1292, 52.1292) * CHOOSE(CONTROL!$C$21, $C$9, 100%, $E$9)</f>
        <v>52.129199999999997</v>
      </c>
      <c r="E711" s="14">
        <f>CHOOSE(CONTROL!$C$42, 52.1633, 52.1633) * CHOOSE(CONTROL!$C$21, $C$9, 100%, $E$9)</f>
        <v>52.1633</v>
      </c>
      <c r="F711" s="14">
        <f>CHOOSE(CONTROL!$C$42, 52.0708, 52.0708)*CHOOSE(CONTROL!$C$21, $C$9, 100%, $E$9)</f>
        <v>52.070799999999998</v>
      </c>
      <c r="G711" s="14">
        <f>CHOOSE(CONTROL!$C$42, 52.0884, 52.0884)*CHOOSE(CONTROL!$C$21, $C$9, 100%, $E$9)</f>
        <v>52.0884</v>
      </c>
      <c r="H711" s="14">
        <f>CHOOSE(CONTROL!$C$42, 52.1525, 52.1525) * CHOOSE(CONTROL!$C$21, $C$9, 100%, $E$9)</f>
        <v>52.152500000000003</v>
      </c>
      <c r="I711" s="14">
        <f>CHOOSE(CONTROL!$C$42, 52.244, 52.244)* CHOOSE(CONTROL!$C$21, $C$9, 100%, $E$9)</f>
        <v>52.244</v>
      </c>
      <c r="J711" s="14">
        <f>CHOOSE(CONTROL!$C$42, 52.0638, 52.0638)* CHOOSE(CONTROL!$C$21, $C$9, 100%, $E$9)</f>
        <v>52.063800000000001</v>
      </c>
      <c r="K711" s="53">
        <f>CHOOSE(CONTROL!$C$42, 52.2402, 52.2402) * CHOOSE(CONTROL!$C$21, $C$9, 100%, $E$9)</f>
        <v>52.240200000000002</v>
      </c>
      <c r="L711" s="14">
        <f>CHOOSE(CONTROL!$C$42, 52.7395, 52.7395) * CHOOSE(CONTROL!$C$21, $C$9, 100%, $E$9)</f>
        <v>52.7395</v>
      </c>
      <c r="M711" s="14">
        <f>CHOOSE(CONTROL!$C$42, 51.0047, 51.0047) * CHOOSE(CONTROL!$C$21, $C$9, 100%, $E$9)</f>
        <v>51.0047</v>
      </c>
      <c r="N711" s="14">
        <f>CHOOSE(CONTROL!$C$42, 51.022, 51.022) * CHOOSE(CONTROL!$C$21, $C$9, 100%, $E$9)</f>
        <v>51.021999999999998</v>
      </c>
      <c r="O711" s="14">
        <f>CHOOSE(CONTROL!$C$42, 51.0916, 51.0916) * CHOOSE(CONTROL!$C$21, $C$9, 100%, $E$9)</f>
        <v>51.0916</v>
      </c>
      <c r="P711" s="14">
        <f>CHOOSE(CONTROL!$C$42, 51.1781, 51.1781) * CHOOSE(CONTROL!$C$21, $C$9, 100%, $E$9)</f>
        <v>51.178100000000001</v>
      </c>
      <c r="Q711" s="14">
        <f>CHOOSE(CONTROL!$C$42, 51.6863, 51.6863) * CHOOSE(CONTROL!$C$21, $C$9, 100%, $E$9)</f>
        <v>51.686300000000003</v>
      </c>
      <c r="R711" s="14">
        <f>CHOOSE(CONTROL!$C$42, 52.4025, 52.4025) * CHOOSE(CONTROL!$C$21, $C$9, 100%, $E$9)</f>
        <v>52.402500000000003</v>
      </c>
      <c r="S711" s="14">
        <f>CHOOSE(CONTROL!$C$42, 50.0037, 50.0037) * CHOOSE(CONTROL!$C$21, $C$9, 100%, $E$9)</f>
        <v>50.003700000000002</v>
      </c>
      <c r="T7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11" s="57">
        <f>(1000*CHOOSE(CONTROL!$C$42, 695, 695)*CHOOSE(CONTROL!$C$42, 0.5599, 0.5599)*CHOOSE(CONTROL!$C$42, 31, 31))/1000000</f>
        <v>12.063045499999998</v>
      </c>
      <c r="V711" s="57">
        <f>(1000*CHOOSE(CONTROL!$C$42, 500, 500)*CHOOSE(CONTROL!$C$42, 0.275, 0.275)*CHOOSE(CONTROL!$C$42, 31, 31))/1000000</f>
        <v>4.2625000000000002</v>
      </c>
      <c r="W711" s="57">
        <f>(1000*CHOOSE(CONTROL!$C$42, 0.1146, 0.1146)*CHOOSE(CONTROL!$C$42, 121.5, 121.5)*CHOOSE(CONTROL!$C$42, 31, 31))/1000000</f>
        <v>0.43164089999999994</v>
      </c>
      <c r="X711" s="57">
        <f>(31*0.1790888*100000/1000000)+(31*0.2374*100000/1000000)</f>
        <v>1.2911152800000001</v>
      </c>
      <c r="Y711" s="57"/>
      <c r="Z711" s="14"/>
      <c r="AA711" s="56"/>
      <c r="AB711" s="50">
        <f>(B711*122.58+C711*297.941+D711*89.177+E711*40.302+F711*40+G711*160+H711*0+I711*100+J711*300)/(122.58+297.941+89.177+40.302+0+40+160+100+300)</f>
        <v>52.086981849913045</v>
      </c>
      <c r="AC711" s="45">
        <f>(M711*'RAP TEMPLATE-GAS AVAILABILITY'!O710+N711*'RAP TEMPLATE-GAS AVAILABILITY'!P710+O711*'RAP TEMPLATE-GAS AVAILABILITY'!Q710+P711*'RAP TEMPLATE-GAS AVAILABILITY'!R710)/('RAP TEMPLATE-GAS AVAILABILITY'!O710+'RAP TEMPLATE-GAS AVAILABILITY'!P710+'RAP TEMPLATE-GAS AVAILABILITY'!Q710+'RAP TEMPLATE-GAS AVAILABILITY'!R710)</f>
        <v>51.070031654676256</v>
      </c>
    </row>
    <row r="712" spans="1:29" ht="15.75" x14ac:dyDescent="0.25">
      <c r="A712" s="32">
        <v>62578</v>
      </c>
      <c r="B712" s="14">
        <f>CHOOSE(CONTROL!$C$42, 51.8925, 51.8925) * CHOOSE(CONTROL!$C$21, $C$9, 100%, $E$9)</f>
        <v>51.892499999999998</v>
      </c>
      <c r="C712" s="14">
        <f>CHOOSE(CONTROL!$C$42, 51.897, 51.897) * CHOOSE(CONTROL!$C$21, $C$9, 100%, $E$9)</f>
        <v>51.896999999999998</v>
      </c>
      <c r="D712" s="14">
        <f>CHOOSE(CONTROL!$C$42, 52.1207, 52.1207) * CHOOSE(CONTROL!$C$21, $C$9, 100%, $E$9)</f>
        <v>52.120699999999999</v>
      </c>
      <c r="E712" s="14">
        <f>CHOOSE(CONTROL!$C$42, 52.1528, 52.1528) * CHOOSE(CONTROL!$C$21, $C$9, 100%, $E$9)</f>
        <v>52.152799999999999</v>
      </c>
      <c r="F712" s="14">
        <f>CHOOSE(CONTROL!$C$42, 51.9202, 51.9202)*CHOOSE(CONTROL!$C$21, $C$9, 100%, $E$9)</f>
        <v>51.920200000000001</v>
      </c>
      <c r="G712" s="14">
        <f>CHOOSE(CONTROL!$C$42, 51.9371, 51.9371)*CHOOSE(CONTROL!$C$21, $C$9, 100%, $E$9)</f>
        <v>51.937100000000001</v>
      </c>
      <c r="H712" s="14">
        <f>CHOOSE(CONTROL!$C$42, 52.1426, 52.1426) * CHOOSE(CONTROL!$C$21, $C$9, 100%, $E$9)</f>
        <v>52.142600000000002</v>
      </c>
      <c r="I712" s="14">
        <f>CHOOSE(CONTROL!$C$42, 52.0843, 52.0843)* CHOOSE(CONTROL!$C$21, $C$9, 100%, $E$9)</f>
        <v>52.084299999999999</v>
      </c>
      <c r="J712" s="14">
        <f>CHOOSE(CONTROL!$C$42, 51.9132, 51.9132)* CHOOSE(CONTROL!$C$21, $C$9, 100%, $E$9)</f>
        <v>51.913200000000003</v>
      </c>
      <c r="K712" s="53">
        <f>CHOOSE(CONTROL!$C$42, 52.0804, 52.0804) * CHOOSE(CONTROL!$C$21, $C$9, 100%, $E$9)</f>
        <v>52.080399999999997</v>
      </c>
      <c r="L712" s="14">
        <f>CHOOSE(CONTROL!$C$42, 52.7296, 52.7296) * CHOOSE(CONTROL!$C$21, $C$9, 100%, $E$9)</f>
        <v>52.729599999999998</v>
      </c>
      <c r="M712" s="14">
        <f>CHOOSE(CONTROL!$C$42, 50.8572, 50.8572) * CHOOSE(CONTROL!$C$21, $C$9, 100%, $E$9)</f>
        <v>50.857199999999999</v>
      </c>
      <c r="N712" s="14">
        <f>CHOOSE(CONTROL!$C$42, 50.8738, 50.8738) * CHOOSE(CONTROL!$C$21, $C$9, 100%, $E$9)</f>
        <v>50.873800000000003</v>
      </c>
      <c r="O712" s="14">
        <f>CHOOSE(CONTROL!$C$42, 51.0819, 51.0819) * CHOOSE(CONTROL!$C$21, $C$9, 100%, $E$9)</f>
        <v>51.081899999999997</v>
      </c>
      <c r="P712" s="14">
        <f>CHOOSE(CONTROL!$C$42, 51.0217, 51.0217) * CHOOSE(CONTROL!$C$21, $C$9, 100%, $E$9)</f>
        <v>51.021700000000003</v>
      </c>
      <c r="Q712" s="14">
        <f>CHOOSE(CONTROL!$C$42, 51.6766, 51.6766) * CHOOSE(CONTROL!$C$21, $C$9, 100%, $E$9)</f>
        <v>51.676600000000001</v>
      </c>
      <c r="R712" s="14">
        <f>CHOOSE(CONTROL!$C$42, 52.3928, 52.3928) * CHOOSE(CONTROL!$C$21, $C$9, 100%, $E$9)</f>
        <v>52.392800000000001</v>
      </c>
      <c r="S712" s="14">
        <f>CHOOSE(CONTROL!$C$42, 49.8542, 49.8542) * CHOOSE(CONTROL!$C$21, $C$9, 100%, $E$9)</f>
        <v>49.854199999999999</v>
      </c>
      <c r="T7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12" s="57">
        <f>(1000*CHOOSE(CONTROL!$C$42, 695, 695)*CHOOSE(CONTROL!$C$42, 0.5599, 0.5599)*CHOOSE(CONTROL!$C$42, 30, 30))/1000000</f>
        <v>11.673914999999997</v>
      </c>
      <c r="V712" s="57">
        <f>(1000*CHOOSE(CONTROL!$C$42, 500, 500)*CHOOSE(CONTROL!$C$42, 0.275, 0.275)*CHOOSE(CONTROL!$C$42, 30, 30))/1000000</f>
        <v>4.125</v>
      </c>
      <c r="W712" s="57">
        <f>(1000*CHOOSE(CONTROL!$C$42, 0.1146, 0.1146)*CHOOSE(CONTROL!$C$42, 121.5, 121.5)*CHOOSE(CONTROL!$C$42, 30, 30))/1000000</f>
        <v>0.417717</v>
      </c>
      <c r="X712" s="57">
        <f>(30*0.1790888*245000/1000000)+(30*0.2374*100000/1000000)</f>
        <v>2.0285026799999999</v>
      </c>
      <c r="Y712" s="57"/>
      <c r="Z712" s="14"/>
      <c r="AA712" s="56"/>
      <c r="AB712" s="50">
        <f>(B712*141.293+C712*267.993+D712*115.016+E712*89.698+F712*40+G712*185+H712*0+I712*100+J712*300)/(141.293+267.993+115.016+89.698+0+40+185+100+300)</f>
        <v>51.961547626392246</v>
      </c>
      <c r="AC712" s="45">
        <f>(M712*'RAP TEMPLATE-GAS AVAILABILITY'!O711+N712*'RAP TEMPLATE-GAS AVAILABILITY'!P711+O712*'RAP TEMPLATE-GAS AVAILABILITY'!Q711+P712*'RAP TEMPLATE-GAS AVAILABILITY'!R711)/('RAP TEMPLATE-GAS AVAILABILITY'!O711+'RAP TEMPLATE-GAS AVAILABILITY'!P711+'RAP TEMPLATE-GAS AVAILABILITY'!Q711+'RAP TEMPLATE-GAS AVAILABILITY'!R711)</f>
        <v>50.983666906474816</v>
      </c>
    </row>
    <row r="713" spans="1:29" ht="15.75" x14ac:dyDescent="0.25">
      <c r="A713" s="32">
        <v>62609</v>
      </c>
      <c r="B713" s="14">
        <f>CHOOSE(CONTROL!$C$42, 52.3518, 52.3518) * CHOOSE(CONTROL!$C$21, $C$9, 100%, $E$9)</f>
        <v>52.351799999999997</v>
      </c>
      <c r="C713" s="14">
        <f>CHOOSE(CONTROL!$C$42, 52.3599, 52.3599) * CHOOSE(CONTROL!$C$21, $C$9, 100%, $E$9)</f>
        <v>52.359900000000003</v>
      </c>
      <c r="D713" s="14">
        <f>CHOOSE(CONTROL!$C$42, 52.5804, 52.5804) * CHOOSE(CONTROL!$C$21, $C$9, 100%, $E$9)</f>
        <v>52.580399999999997</v>
      </c>
      <c r="E713" s="14">
        <f>CHOOSE(CONTROL!$C$42, 52.6119, 52.6119) * CHOOSE(CONTROL!$C$21, $C$9, 100%, $E$9)</f>
        <v>52.611899999999999</v>
      </c>
      <c r="F713" s="14">
        <f>CHOOSE(CONTROL!$C$42, 52.3781, 52.3781)*CHOOSE(CONTROL!$C$21, $C$9, 100%, $E$9)</f>
        <v>52.378100000000003</v>
      </c>
      <c r="G713" s="14">
        <f>CHOOSE(CONTROL!$C$42, 52.3952, 52.3952)*CHOOSE(CONTROL!$C$21, $C$9, 100%, $E$9)</f>
        <v>52.395200000000003</v>
      </c>
      <c r="H713" s="14">
        <f>CHOOSE(CONTROL!$C$42, 52.6005, 52.6005) * CHOOSE(CONTROL!$C$21, $C$9, 100%, $E$9)</f>
        <v>52.600499999999997</v>
      </c>
      <c r="I713" s="14">
        <f>CHOOSE(CONTROL!$C$42, 52.5437, 52.5437)* CHOOSE(CONTROL!$C$21, $C$9, 100%, $E$9)</f>
        <v>52.543700000000001</v>
      </c>
      <c r="J713" s="14">
        <f>CHOOSE(CONTROL!$C$42, 52.3711, 52.3711)* CHOOSE(CONTROL!$C$21, $C$9, 100%, $E$9)</f>
        <v>52.371099999999998</v>
      </c>
      <c r="K713" s="53">
        <f>CHOOSE(CONTROL!$C$42, 52.5398, 52.5398) * CHOOSE(CONTROL!$C$21, $C$9, 100%, $E$9)</f>
        <v>52.5398</v>
      </c>
      <c r="L713" s="14">
        <f>CHOOSE(CONTROL!$C$42, 53.1875, 53.1875) * CHOOSE(CONTROL!$C$21, $C$9, 100%, $E$9)</f>
        <v>53.1875</v>
      </c>
      <c r="M713" s="14">
        <f>CHOOSE(CONTROL!$C$42, 51.3057, 51.3057) * CHOOSE(CONTROL!$C$21, $C$9, 100%, $E$9)</f>
        <v>51.305700000000002</v>
      </c>
      <c r="N713" s="14">
        <f>CHOOSE(CONTROL!$C$42, 51.3225, 51.3225) * CHOOSE(CONTROL!$C$21, $C$9, 100%, $E$9)</f>
        <v>51.322499999999998</v>
      </c>
      <c r="O713" s="14">
        <f>CHOOSE(CONTROL!$C$42, 51.5305, 51.5305) * CHOOSE(CONTROL!$C$21, $C$9, 100%, $E$9)</f>
        <v>51.530500000000004</v>
      </c>
      <c r="P713" s="14">
        <f>CHOOSE(CONTROL!$C$42, 51.4716, 51.4716) * CHOOSE(CONTROL!$C$21, $C$9, 100%, $E$9)</f>
        <v>51.471600000000002</v>
      </c>
      <c r="Q713" s="14">
        <f>CHOOSE(CONTROL!$C$42, 52.1252, 52.1252) * CHOOSE(CONTROL!$C$21, $C$9, 100%, $E$9)</f>
        <v>52.1252</v>
      </c>
      <c r="R713" s="14">
        <f>CHOOSE(CONTROL!$C$42, 52.8425, 52.8425) * CHOOSE(CONTROL!$C$21, $C$9, 100%, $E$9)</f>
        <v>52.842500000000001</v>
      </c>
      <c r="S713" s="14">
        <f>CHOOSE(CONTROL!$C$42, 50.2942, 50.2942) * CHOOSE(CONTROL!$C$21, $C$9, 100%, $E$9)</f>
        <v>50.294199999999996</v>
      </c>
      <c r="T7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13" s="57">
        <f>(1000*CHOOSE(CONTROL!$C$42, 695, 695)*CHOOSE(CONTROL!$C$42, 0.5599, 0.5599)*CHOOSE(CONTROL!$C$42, 31, 31))/1000000</f>
        <v>12.063045499999998</v>
      </c>
      <c r="V713" s="57">
        <f>(1000*CHOOSE(CONTROL!$C$42, 500, 500)*CHOOSE(CONTROL!$C$42, 0.275, 0.275)*CHOOSE(CONTROL!$C$42, 31, 31))/1000000</f>
        <v>4.2625000000000002</v>
      </c>
      <c r="W713" s="57">
        <f>(1000*CHOOSE(CONTROL!$C$42, 0.1146, 0.1146)*CHOOSE(CONTROL!$C$42, 121.5, 121.5)*CHOOSE(CONTROL!$C$42, 31, 31))/1000000</f>
        <v>0.43164089999999994</v>
      </c>
      <c r="X713" s="57">
        <f>(31*0.1790888*245000/1000000)+(31*0.2374*100000/1000000)</f>
        <v>2.0961194359999999</v>
      </c>
      <c r="Y713" s="57"/>
      <c r="Z713" s="14"/>
      <c r="AA713" s="56"/>
      <c r="AB713" s="50">
        <f>(B713*194.205+C713*267.466+D713*133.845+E713*53.484+F713*40+G713*185+H713*0+I713*100+J713*300)/(194.205+267.466+133.845+53.484+0+40+185+100+300)</f>
        <v>52.415171766091056</v>
      </c>
      <c r="AC713" s="45">
        <f>(M713*'RAP TEMPLATE-GAS AVAILABILITY'!O712+N713*'RAP TEMPLATE-GAS AVAILABILITY'!P712+O713*'RAP TEMPLATE-GAS AVAILABILITY'!Q712+P713*'RAP TEMPLATE-GAS AVAILABILITY'!R712)/('RAP TEMPLATE-GAS AVAILABILITY'!O712+'RAP TEMPLATE-GAS AVAILABILITY'!P712+'RAP TEMPLATE-GAS AVAILABILITY'!Q712+'RAP TEMPLATE-GAS AVAILABILITY'!R712)</f>
        <v>51.432425179856111</v>
      </c>
    </row>
    <row r="714" spans="1:29" ht="15.75" x14ac:dyDescent="0.25">
      <c r="A714" s="32">
        <v>62639</v>
      </c>
      <c r="B714" s="14">
        <f>CHOOSE(CONTROL!$C$42, 53.8365, 53.8365) * CHOOSE(CONTROL!$C$21, $C$9, 100%, $E$9)</f>
        <v>53.836500000000001</v>
      </c>
      <c r="C714" s="14">
        <f>CHOOSE(CONTROL!$C$42, 53.8446, 53.8446) * CHOOSE(CONTROL!$C$21, $C$9, 100%, $E$9)</f>
        <v>53.8446</v>
      </c>
      <c r="D714" s="14">
        <f>CHOOSE(CONTROL!$C$42, 54.0651, 54.0651) * CHOOSE(CONTROL!$C$21, $C$9, 100%, $E$9)</f>
        <v>54.065100000000001</v>
      </c>
      <c r="E714" s="14">
        <f>CHOOSE(CONTROL!$C$42, 54.0966, 54.0966) * CHOOSE(CONTROL!$C$21, $C$9, 100%, $E$9)</f>
        <v>54.096600000000002</v>
      </c>
      <c r="F714" s="14">
        <f>CHOOSE(CONTROL!$C$42, 53.8631, 53.8631)*CHOOSE(CONTROL!$C$21, $C$9, 100%, $E$9)</f>
        <v>53.863100000000003</v>
      </c>
      <c r="G714" s="14">
        <f>CHOOSE(CONTROL!$C$42, 53.8804, 53.8804)*CHOOSE(CONTROL!$C$21, $C$9, 100%, $E$9)</f>
        <v>53.880400000000002</v>
      </c>
      <c r="H714" s="14">
        <f>CHOOSE(CONTROL!$C$42, 54.0852, 54.0852) * CHOOSE(CONTROL!$C$21, $C$9, 100%, $E$9)</f>
        <v>54.0852</v>
      </c>
      <c r="I714" s="14">
        <f>CHOOSE(CONTROL!$C$42, 54.033, 54.033)* CHOOSE(CONTROL!$C$21, $C$9, 100%, $E$9)</f>
        <v>54.033000000000001</v>
      </c>
      <c r="J714" s="14">
        <f>CHOOSE(CONTROL!$C$42, 53.8561, 53.8561)* CHOOSE(CONTROL!$C$21, $C$9, 100%, $E$9)</f>
        <v>53.856099999999998</v>
      </c>
      <c r="K714" s="53">
        <f>CHOOSE(CONTROL!$C$42, 54.0291, 54.0291) * CHOOSE(CONTROL!$C$21, $C$9, 100%, $E$9)</f>
        <v>54.0291</v>
      </c>
      <c r="L714" s="14">
        <f>CHOOSE(CONTROL!$C$42, 54.6722, 54.6722) * CHOOSE(CONTROL!$C$21, $C$9, 100%, $E$9)</f>
        <v>54.672199999999997</v>
      </c>
      <c r="M714" s="14">
        <f>CHOOSE(CONTROL!$C$42, 52.7604, 52.7604) * CHOOSE(CONTROL!$C$21, $C$9, 100%, $E$9)</f>
        <v>52.760399999999997</v>
      </c>
      <c r="N714" s="14">
        <f>CHOOSE(CONTROL!$C$42, 52.7772, 52.7772) * CHOOSE(CONTROL!$C$21, $C$9, 100%, $E$9)</f>
        <v>52.777200000000001</v>
      </c>
      <c r="O714" s="14">
        <f>CHOOSE(CONTROL!$C$42, 52.9848, 52.9848) * CHOOSE(CONTROL!$C$21, $C$9, 100%, $E$9)</f>
        <v>52.9848</v>
      </c>
      <c r="P714" s="14">
        <f>CHOOSE(CONTROL!$C$42, 52.9303, 52.9303) * CHOOSE(CONTROL!$C$21, $C$9, 100%, $E$9)</f>
        <v>52.930300000000003</v>
      </c>
      <c r="Q714" s="14">
        <f>CHOOSE(CONTROL!$C$42, 53.5795, 53.5795) * CHOOSE(CONTROL!$C$21, $C$9, 100%, $E$9)</f>
        <v>53.579500000000003</v>
      </c>
      <c r="R714" s="14">
        <f>CHOOSE(CONTROL!$C$42, 54.3004, 54.3004) * CHOOSE(CONTROL!$C$21, $C$9, 100%, $E$9)</f>
        <v>54.300400000000003</v>
      </c>
      <c r="S714" s="14">
        <f>CHOOSE(CONTROL!$C$42, 51.7209, 51.7209) * CHOOSE(CONTROL!$C$21, $C$9, 100%, $E$9)</f>
        <v>51.7209</v>
      </c>
      <c r="T7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14" s="57">
        <f>(1000*CHOOSE(CONTROL!$C$42, 695, 695)*CHOOSE(CONTROL!$C$42, 0.5599, 0.5599)*CHOOSE(CONTROL!$C$42, 30, 30))/1000000</f>
        <v>11.673914999999997</v>
      </c>
      <c r="V714" s="57">
        <f>(1000*CHOOSE(CONTROL!$C$42, 500, 500)*CHOOSE(CONTROL!$C$42, 0.275, 0.275)*CHOOSE(CONTROL!$C$42, 30, 30))/1000000</f>
        <v>4.125</v>
      </c>
      <c r="W714" s="57">
        <f>(1000*CHOOSE(CONTROL!$C$42, 0.1146, 0.1146)*CHOOSE(CONTROL!$C$42, 121.5, 121.5)*CHOOSE(CONTROL!$C$42, 30, 30))/1000000</f>
        <v>0.417717</v>
      </c>
      <c r="X714" s="57">
        <f>(30*0.1790888*245000/1000000)+(30*0.2374*100000/1000000)</f>
        <v>2.0285026799999999</v>
      </c>
      <c r="Y714" s="57"/>
      <c r="Z714" s="14"/>
      <c r="AA714" s="56"/>
      <c r="AB714" s="50">
        <f>(B714*194.205+C714*267.466+D714*133.845+E714*53.484+F714*40+G714*185+H714*0+I714*100+J714*300)/(194.205+267.466+133.845+53.484+0+40+185+100+300)</f>
        <v>53.900385502354787</v>
      </c>
      <c r="AC714" s="45">
        <f>(M714*'RAP TEMPLATE-GAS AVAILABILITY'!O713+N714*'RAP TEMPLATE-GAS AVAILABILITY'!P713+O714*'RAP TEMPLATE-GAS AVAILABILITY'!Q713+P714*'RAP TEMPLATE-GAS AVAILABILITY'!R713)/('RAP TEMPLATE-GAS AVAILABILITY'!O713+'RAP TEMPLATE-GAS AVAILABILITY'!P713+'RAP TEMPLATE-GAS AVAILABILITY'!Q713+'RAP TEMPLATE-GAS AVAILABILITY'!R713)</f>
        <v>52.887519424460436</v>
      </c>
    </row>
    <row r="715" spans="1:29" ht="15.75" x14ac:dyDescent="0.25">
      <c r="A715" s="32">
        <v>62670</v>
      </c>
      <c r="B715" s="14">
        <f>CHOOSE(CONTROL!$C$42, 52.8039, 52.8039) * CHOOSE(CONTROL!$C$21, $C$9, 100%, $E$9)</f>
        <v>52.803899999999999</v>
      </c>
      <c r="C715" s="14">
        <f>CHOOSE(CONTROL!$C$42, 52.8119, 52.8119) * CHOOSE(CONTROL!$C$21, $C$9, 100%, $E$9)</f>
        <v>52.811900000000001</v>
      </c>
      <c r="D715" s="14">
        <f>CHOOSE(CONTROL!$C$42, 53.0325, 53.0325) * CHOOSE(CONTROL!$C$21, $C$9, 100%, $E$9)</f>
        <v>53.032499999999999</v>
      </c>
      <c r="E715" s="14">
        <f>CHOOSE(CONTROL!$C$42, 53.064, 53.064) * CHOOSE(CONTROL!$C$21, $C$9, 100%, $E$9)</f>
        <v>53.064</v>
      </c>
      <c r="F715" s="14">
        <f>CHOOSE(CONTROL!$C$42, 52.831, 52.831)*CHOOSE(CONTROL!$C$21, $C$9, 100%, $E$9)</f>
        <v>52.831000000000003</v>
      </c>
      <c r="G715" s="14">
        <f>CHOOSE(CONTROL!$C$42, 52.8483, 52.8483)*CHOOSE(CONTROL!$C$21, $C$9, 100%, $E$9)</f>
        <v>52.848300000000002</v>
      </c>
      <c r="H715" s="14">
        <f>CHOOSE(CONTROL!$C$42, 53.0526, 53.0526) * CHOOSE(CONTROL!$C$21, $C$9, 100%, $E$9)</f>
        <v>53.052599999999998</v>
      </c>
      <c r="I715" s="14">
        <f>CHOOSE(CONTROL!$C$42, 52.9972, 52.9972)* CHOOSE(CONTROL!$C$21, $C$9, 100%, $E$9)</f>
        <v>52.997199999999999</v>
      </c>
      <c r="J715" s="14">
        <f>CHOOSE(CONTROL!$C$42, 52.824, 52.824)* CHOOSE(CONTROL!$C$21, $C$9, 100%, $E$9)</f>
        <v>52.823999999999998</v>
      </c>
      <c r="K715" s="53">
        <f>CHOOSE(CONTROL!$C$42, 52.9933, 52.9933) * CHOOSE(CONTROL!$C$21, $C$9, 100%, $E$9)</f>
        <v>52.993299999999998</v>
      </c>
      <c r="L715" s="14">
        <f>CHOOSE(CONTROL!$C$42, 53.6396, 53.6396) * CHOOSE(CONTROL!$C$21, $C$9, 100%, $E$9)</f>
        <v>53.639600000000002</v>
      </c>
      <c r="M715" s="14">
        <f>CHOOSE(CONTROL!$C$42, 51.7493, 51.7493) * CHOOSE(CONTROL!$C$21, $C$9, 100%, $E$9)</f>
        <v>51.749299999999998</v>
      </c>
      <c r="N715" s="14">
        <f>CHOOSE(CONTROL!$C$42, 51.7663, 51.7663) * CHOOSE(CONTROL!$C$21, $C$9, 100%, $E$9)</f>
        <v>51.766300000000001</v>
      </c>
      <c r="O715" s="14">
        <f>CHOOSE(CONTROL!$C$42, 51.9733, 51.9733) * CHOOSE(CONTROL!$C$21, $C$9, 100%, $E$9)</f>
        <v>51.973300000000002</v>
      </c>
      <c r="P715" s="14">
        <f>CHOOSE(CONTROL!$C$42, 51.9157, 51.9157) * CHOOSE(CONTROL!$C$21, $C$9, 100%, $E$9)</f>
        <v>51.915700000000001</v>
      </c>
      <c r="Q715" s="14">
        <f>CHOOSE(CONTROL!$C$42, 52.568, 52.568) * CHOOSE(CONTROL!$C$21, $C$9, 100%, $E$9)</f>
        <v>52.567999999999998</v>
      </c>
      <c r="R715" s="14">
        <f>CHOOSE(CONTROL!$C$42, 53.2864, 53.2864) * CHOOSE(CONTROL!$C$21, $C$9, 100%, $E$9)</f>
        <v>53.2864</v>
      </c>
      <c r="S715" s="14">
        <f>CHOOSE(CONTROL!$C$42, 50.7286, 50.7286) * CHOOSE(CONTROL!$C$21, $C$9, 100%, $E$9)</f>
        <v>50.7286</v>
      </c>
      <c r="T7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15" s="57">
        <f>(1000*CHOOSE(CONTROL!$C$42, 695, 695)*CHOOSE(CONTROL!$C$42, 0.5599, 0.5599)*CHOOSE(CONTROL!$C$42, 31, 31))/1000000</f>
        <v>12.063045499999998</v>
      </c>
      <c r="V715" s="57">
        <f>(1000*CHOOSE(CONTROL!$C$42, 500, 500)*CHOOSE(CONTROL!$C$42, 0.275, 0.275)*CHOOSE(CONTROL!$C$42, 31, 31))/1000000</f>
        <v>4.2625000000000002</v>
      </c>
      <c r="W715" s="57">
        <f>(1000*CHOOSE(CONTROL!$C$42, 0.1146, 0.1146)*CHOOSE(CONTROL!$C$42, 121.5, 121.5)*CHOOSE(CONTROL!$C$42, 31, 31))/1000000</f>
        <v>0.43164089999999994</v>
      </c>
      <c r="X715" s="57">
        <f>(31*0.1790888*245000/1000000)+(31*0.2374*100000/1000000)</f>
        <v>2.0961194359999999</v>
      </c>
      <c r="Y715" s="57"/>
      <c r="Z715" s="14"/>
      <c r="AA715" s="56"/>
      <c r="AB715" s="50">
        <f>(B715*194.205+C715*267.466+D715*133.845+E715*53.484+F715*40+G715*185+H715*0+I715*100+J715*300)/(194.205+267.466+133.845+53.484+0+40+185+100+300)</f>
        <v>52.867719374725276</v>
      </c>
      <c r="AC715" s="45">
        <f>(M715*'RAP TEMPLATE-GAS AVAILABILITY'!O714+N715*'RAP TEMPLATE-GAS AVAILABILITY'!P714+O715*'RAP TEMPLATE-GAS AVAILABILITY'!Q714+P715*'RAP TEMPLATE-GAS AVAILABILITY'!R714)/('RAP TEMPLATE-GAS AVAILABILITY'!O714+'RAP TEMPLATE-GAS AVAILABILITY'!P714+'RAP TEMPLATE-GAS AVAILABILITY'!Q714+'RAP TEMPLATE-GAS AVAILABILITY'!R714)</f>
        <v>51.875746043165464</v>
      </c>
    </row>
    <row r="716" spans="1:29" ht="15.75" x14ac:dyDescent="0.25">
      <c r="A716" s="32">
        <v>62701</v>
      </c>
      <c r="B716" s="14">
        <f>CHOOSE(CONTROL!$C$42, 50.1962, 50.1962) * CHOOSE(CONTROL!$C$21, $C$9, 100%, $E$9)</f>
        <v>50.196199999999997</v>
      </c>
      <c r="C716" s="14">
        <f>CHOOSE(CONTROL!$C$42, 50.2043, 50.2043) * CHOOSE(CONTROL!$C$21, $C$9, 100%, $E$9)</f>
        <v>50.204300000000003</v>
      </c>
      <c r="D716" s="14">
        <f>CHOOSE(CONTROL!$C$42, 50.4248, 50.4248) * CHOOSE(CONTROL!$C$21, $C$9, 100%, $E$9)</f>
        <v>50.424799999999998</v>
      </c>
      <c r="E716" s="14">
        <f>CHOOSE(CONTROL!$C$42, 50.4563, 50.4563) * CHOOSE(CONTROL!$C$21, $C$9, 100%, $E$9)</f>
        <v>50.456299999999999</v>
      </c>
      <c r="F716" s="14">
        <f>CHOOSE(CONTROL!$C$42, 50.2236, 50.2236)*CHOOSE(CONTROL!$C$21, $C$9, 100%, $E$9)</f>
        <v>50.223599999999998</v>
      </c>
      <c r="G716" s="14">
        <f>CHOOSE(CONTROL!$C$42, 50.241, 50.241)*CHOOSE(CONTROL!$C$21, $C$9, 100%, $E$9)</f>
        <v>50.241</v>
      </c>
      <c r="H716" s="14">
        <f>CHOOSE(CONTROL!$C$42, 50.4449, 50.4449) * CHOOSE(CONTROL!$C$21, $C$9, 100%, $E$9)</f>
        <v>50.444899999999997</v>
      </c>
      <c r="I716" s="14">
        <f>CHOOSE(CONTROL!$C$42, 50.3813, 50.3813)* CHOOSE(CONTROL!$C$21, $C$9, 100%, $E$9)</f>
        <v>50.381300000000003</v>
      </c>
      <c r="J716" s="14">
        <f>CHOOSE(CONTROL!$C$42, 50.2166, 50.2166)* CHOOSE(CONTROL!$C$21, $C$9, 100%, $E$9)</f>
        <v>50.2166</v>
      </c>
      <c r="K716" s="53">
        <f>CHOOSE(CONTROL!$C$42, 50.3774, 50.3774) * CHOOSE(CONTROL!$C$21, $C$9, 100%, $E$9)</f>
        <v>50.377400000000002</v>
      </c>
      <c r="L716" s="14">
        <f>CHOOSE(CONTROL!$C$42, 51.0319, 51.0319) * CHOOSE(CONTROL!$C$21, $C$9, 100%, $E$9)</f>
        <v>51.0319</v>
      </c>
      <c r="M716" s="14">
        <f>CHOOSE(CONTROL!$C$42, 49.1954, 49.1954) * CHOOSE(CONTROL!$C$21, $C$9, 100%, $E$9)</f>
        <v>49.195399999999999</v>
      </c>
      <c r="N716" s="14">
        <f>CHOOSE(CONTROL!$C$42, 49.2124, 49.2124) * CHOOSE(CONTROL!$C$21, $C$9, 100%, $E$9)</f>
        <v>49.212400000000002</v>
      </c>
      <c r="O716" s="14">
        <f>CHOOSE(CONTROL!$C$42, 49.4191, 49.4191) * CHOOSE(CONTROL!$C$21, $C$9, 100%, $E$9)</f>
        <v>49.4191</v>
      </c>
      <c r="P716" s="14">
        <f>CHOOSE(CONTROL!$C$42, 49.3537, 49.3537) * CHOOSE(CONTROL!$C$21, $C$9, 100%, $E$9)</f>
        <v>49.353700000000003</v>
      </c>
      <c r="Q716" s="14">
        <f>CHOOSE(CONTROL!$C$42, 50.0138, 50.0138) * CHOOSE(CONTROL!$C$21, $C$9, 100%, $E$9)</f>
        <v>50.013800000000003</v>
      </c>
      <c r="R716" s="14">
        <f>CHOOSE(CONTROL!$C$42, 50.7258, 50.7258) * CHOOSE(CONTROL!$C$21, $C$9, 100%, $E$9)</f>
        <v>50.7258</v>
      </c>
      <c r="S716" s="14">
        <f>CHOOSE(CONTROL!$C$42, 48.2229, 48.2229) * CHOOSE(CONTROL!$C$21, $C$9, 100%, $E$9)</f>
        <v>48.222900000000003</v>
      </c>
      <c r="T7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16" s="57">
        <f>(1000*CHOOSE(CONTROL!$C$42, 695, 695)*CHOOSE(CONTROL!$C$42, 0.5599, 0.5599)*CHOOSE(CONTROL!$C$42, 31, 31))/1000000</f>
        <v>12.063045499999998</v>
      </c>
      <c r="V716" s="57">
        <f>(1000*CHOOSE(CONTROL!$C$42, 500, 500)*CHOOSE(CONTROL!$C$42, 0.275, 0.275)*CHOOSE(CONTROL!$C$42, 31, 31))/1000000</f>
        <v>4.2625000000000002</v>
      </c>
      <c r="W716" s="57">
        <f>(1000*CHOOSE(CONTROL!$C$42, 0.1146, 0.1146)*CHOOSE(CONTROL!$C$42, 121.5, 121.5)*CHOOSE(CONTROL!$C$42, 31, 31))/1000000</f>
        <v>0.43164089999999994</v>
      </c>
      <c r="X716" s="57">
        <f>(31*0.1790888*245000/1000000)+(31*0.2374*100000/1000000)</f>
        <v>2.0961194359999999</v>
      </c>
      <c r="Y716" s="57"/>
      <c r="Z716" s="14"/>
      <c r="AA716" s="56"/>
      <c r="AB716" s="50">
        <f>(B716*194.205+C716*267.466+D716*133.845+E716*53.484+F716*40+G716*185+H716*0+I716*100+J716*300)/(194.205+267.466+133.845+53.484+0+40+185+100+300)</f>
        <v>50.259534874411301</v>
      </c>
      <c r="AC716" s="45">
        <f>(M716*'RAP TEMPLATE-GAS AVAILABILITY'!O715+N716*'RAP TEMPLATE-GAS AVAILABILITY'!P715+O716*'RAP TEMPLATE-GAS AVAILABILITY'!Q715+P716*'RAP TEMPLATE-GAS AVAILABILITY'!R715)/('RAP TEMPLATE-GAS AVAILABILITY'!O715+'RAP TEMPLATE-GAS AVAILABILITY'!P715+'RAP TEMPLATE-GAS AVAILABILITY'!Q715+'RAP TEMPLATE-GAS AVAILABILITY'!R715)</f>
        <v>49.320544604316545</v>
      </c>
    </row>
    <row r="717" spans="1:29" ht="15.75" x14ac:dyDescent="0.25">
      <c r="A717" s="32">
        <v>62731</v>
      </c>
      <c r="B717" s="14">
        <f>CHOOSE(CONTROL!$C$42, 47.0099, 47.0099) * CHOOSE(CONTROL!$C$21, $C$9, 100%, $E$9)</f>
        <v>47.009900000000002</v>
      </c>
      <c r="C717" s="14">
        <f>CHOOSE(CONTROL!$C$42, 47.0179, 47.0179) * CHOOSE(CONTROL!$C$21, $C$9, 100%, $E$9)</f>
        <v>47.017899999999997</v>
      </c>
      <c r="D717" s="14">
        <f>CHOOSE(CONTROL!$C$42, 47.2385, 47.2385) * CHOOSE(CONTROL!$C$21, $C$9, 100%, $E$9)</f>
        <v>47.238500000000002</v>
      </c>
      <c r="E717" s="14">
        <f>CHOOSE(CONTROL!$C$42, 47.27, 47.27) * CHOOSE(CONTROL!$C$21, $C$9, 100%, $E$9)</f>
        <v>47.27</v>
      </c>
      <c r="F717" s="14">
        <f>CHOOSE(CONTROL!$C$42, 47.0373, 47.0373)*CHOOSE(CONTROL!$C$21, $C$9, 100%, $E$9)</f>
        <v>47.037300000000002</v>
      </c>
      <c r="G717" s="14">
        <f>CHOOSE(CONTROL!$C$42, 47.0547, 47.0547)*CHOOSE(CONTROL!$C$21, $C$9, 100%, $E$9)</f>
        <v>47.054699999999997</v>
      </c>
      <c r="H717" s="14">
        <f>CHOOSE(CONTROL!$C$42, 47.2586, 47.2586) * CHOOSE(CONTROL!$C$21, $C$9, 100%, $E$9)</f>
        <v>47.258600000000001</v>
      </c>
      <c r="I717" s="14">
        <f>CHOOSE(CONTROL!$C$42, 47.185, 47.185)* CHOOSE(CONTROL!$C$21, $C$9, 100%, $E$9)</f>
        <v>47.185000000000002</v>
      </c>
      <c r="J717" s="14">
        <f>CHOOSE(CONTROL!$C$42, 47.0303, 47.0303)* CHOOSE(CONTROL!$C$21, $C$9, 100%, $E$9)</f>
        <v>47.030299999999997</v>
      </c>
      <c r="K717" s="53">
        <f>CHOOSE(CONTROL!$C$42, 47.1811, 47.1811) * CHOOSE(CONTROL!$C$21, $C$9, 100%, $E$9)</f>
        <v>47.181100000000001</v>
      </c>
      <c r="L717" s="14">
        <f>CHOOSE(CONTROL!$C$42, 47.8456, 47.8456) * CHOOSE(CONTROL!$C$21, $C$9, 100%, $E$9)</f>
        <v>47.845599999999997</v>
      </c>
      <c r="M717" s="14">
        <f>CHOOSE(CONTROL!$C$42, 46.0743, 46.0743) * CHOOSE(CONTROL!$C$21, $C$9, 100%, $E$9)</f>
        <v>46.074300000000001</v>
      </c>
      <c r="N717" s="14">
        <f>CHOOSE(CONTROL!$C$42, 46.0914, 46.0914) * CHOOSE(CONTROL!$C$21, $C$9, 100%, $E$9)</f>
        <v>46.0914</v>
      </c>
      <c r="O717" s="14">
        <f>CHOOSE(CONTROL!$C$42, 46.298, 46.298) * CHOOSE(CONTROL!$C$21, $C$9, 100%, $E$9)</f>
        <v>46.298000000000002</v>
      </c>
      <c r="P717" s="14">
        <f>CHOOSE(CONTROL!$C$42, 46.223, 46.223) * CHOOSE(CONTROL!$C$21, $C$9, 100%, $E$9)</f>
        <v>46.222999999999999</v>
      </c>
      <c r="Q717" s="14">
        <f>CHOOSE(CONTROL!$C$42, 46.8927, 46.8927) * CHOOSE(CONTROL!$C$21, $C$9, 100%, $E$9)</f>
        <v>46.892699999999998</v>
      </c>
      <c r="R717" s="14">
        <f>CHOOSE(CONTROL!$C$42, 47.5969, 47.5969) * CHOOSE(CONTROL!$C$21, $C$9, 100%, $E$9)</f>
        <v>47.596899999999998</v>
      </c>
      <c r="S717" s="14">
        <f>CHOOSE(CONTROL!$C$42, 45.1612, 45.1612) * CHOOSE(CONTROL!$C$21, $C$9, 100%, $E$9)</f>
        <v>45.161200000000001</v>
      </c>
      <c r="T7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17" s="57">
        <f>(1000*CHOOSE(CONTROL!$C$42, 695, 695)*CHOOSE(CONTROL!$C$42, 0.5599, 0.5599)*CHOOSE(CONTROL!$C$42, 30, 30))/1000000</f>
        <v>11.673914999999997</v>
      </c>
      <c r="V717" s="57">
        <f>(1000*CHOOSE(CONTROL!$C$42, 500, 500)*CHOOSE(CONTROL!$C$42, 0.275, 0.275)*CHOOSE(CONTROL!$C$42, 30, 30))/1000000</f>
        <v>4.125</v>
      </c>
      <c r="W717" s="57">
        <f>(1000*CHOOSE(CONTROL!$C$42, 0.1146, 0.1146)*CHOOSE(CONTROL!$C$42, 121.5, 121.5)*CHOOSE(CONTROL!$C$42, 30, 30))/1000000</f>
        <v>0.417717</v>
      </c>
      <c r="X717" s="57">
        <f>(30*0.1790888*245000/1000000)+(30*0.2374*100000/1000000)</f>
        <v>2.0285026799999999</v>
      </c>
      <c r="Y717" s="57"/>
      <c r="Z717" s="14"/>
      <c r="AA717" s="56"/>
      <c r="AB717" s="50">
        <f>(B717*194.205+C717*267.466+D717*133.845+E717*53.484+F717*40+G717*185+H717*0+I717*100+J717*300)/(194.205+267.466+133.845+53.484+0+40+185+100+300)</f>
        <v>47.072428950863419</v>
      </c>
      <c r="AC717" s="45">
        <f>(M717*'RAP TEMPLATE-GAS AVAILABILITY'!O716+N717*'RAP TEMPLATE-GAS AVAILABILITY'!P716+O717*'RAP TEMPLATE-GAS AVAILABILITY'!Q716+P717*'RAP TEMPLATE-GAS AVAILABILITY'!R716)/('RAP TEMPLATE-GAS AVAILABILITY'!O716+'RAP TEMPLATE-GAS AVAILABILITY'!P716+'RAP TEMPLATE-GAS AVAILABILITY'!Q716+'RAP TEMPLATE-GAS AVAILABILITY'!R716)</f>
        <v>46.198069064748204</v>
      </c>
    </row>
    <row r="718" spans="1:29" ht="15.75" x14ac:dyDescent="0.25">
      <c r="A718" s="32">
        <v>62762</v>
      </c>
      <c r="B718" s="14">
        <f>CHOOSE(CONTROL!$C$42, 46.0539, 46.0539) * CHOOSE(CONTROL!$C$21, $C$9, 100%, $E$9)</f>
        <v>46.053899999999999</v>
      </c>
      <c r="C718" s="14">
        <f>CHOOSE(CONTROL!$C$42, 46.0592, 46.0592) * CHOOSE(CONTROL!$C$21, $C$9, 100%, $E$9)</f>
        <v>46.059199999999997</v>
      </c>
      <c r="D718" s="14">
        <f>CHOOSE(CONTROL!$C$42, 46.2848, 46.2848) * CHOOSE(CONTROL!$C$21, $C$9, 100%, $E$9)</f>
        <v>46.284799999999997</v>
      </c>
      <c r="E718" s="14">
        <f>CHOOSE(CONTROL!$C$42, 46.3139, 46.3139) * CHOOSE(CONTROL!$C$21, $C$9, 100%, $E$9)</f>
        <v>46.313899999999997</v>
      </c>
      <c r="F718" s="14">
        <f>CHOOSE(CONTROL!$C$42, 46.0833, 46.0833)*CHOOSE(CONTROL!$C$21, $C$9, 100%, $E$9)</f>
        <v>46.083300000000001</v>
      </c>
      <c r="G718" s="14">
        <f>CHOOSE(CONTROL!$C$42, 46.1005, 46.1005)*CHOOSE(CONTROL!$C$21, $C$9, 100%, $E$9)</f>
        <v>46.100499999999997</v>
      </c>
      <c r="H718" s="14">
        <f>CHOOSE(CONTROL!$C$42, 46.3044, 46.3044) * CHOOSE(CONTROL!$C$21, $C$9, 100%, $E$9)</f>
        <v>46.304400000000001</v>
      </c>
      <c r="I718" s="14">
        <f>CHOOSE(CONTROL!$C$42, 46.2278, 46.2278)* CHOOSE(CONTROL!$C$21, $C$9, 100%, $E$9)</f>
        <v>46.227800000000002</v>
      </c>
      <c r="J718" s="14">
        <f>CHOOSE(CONTROL!$C$42, 46.0763, 46.0763)* CHOOSE(CONTROL!$C$21, $C$9, 100%, $E$9)</f>
        <v>46.076300000000003</v>
      </c>
      <c r="K718" s="53">
        <f>CHOOSE(CONTROL!$C$42, 46.2239, 46.2239) * CHOOSE(CONTROL!$C$21, $C$9, 100%, $E$9)</f>
        <v>46.2239</v>
      </c>
      <c r="L718" s="14">
        <f>CHOOSE(CONTROL!$C$42, 46.8914, 46.8914) * CHOOSE(CONTROL!$C$21, $C$9, 100%, $E$9)</f>
        <v>46.891399999999997</v>
      </c>
      <c r="M718" s="14">
        <f>CHOOSE(CONTROL!$C$42, 45.1399, 45.1399) * CHOOSE(CONTROL!$C$21, $C$9, 100%, $E$9)</f>
        <v>45.139899999999997</v>
      </c>
      <c r="N718" s="14">
        <f>CHOOSE(CONTROL!$C$42, 45.1568, 45.1568) * CHOOSE(CONTROL!$C$21, $C$9, 100%, $E$9)</f>
        <v>45.156799999999997</v>
      </c>
      <c r="O718" s="14">
        <f>CHOOSE(CONTROL!$C$42, 45.3633, 45.3633) * CHOOSE(CONTROL!$C$21, $C$9, 100%, $E$9)</f>
        <v>45.363300000000002</v>
      </c>
      <c r="P718" s="14">
        <f>CHOOSE(CONTROL!$C$42, 45.2855, 45.2855) * CHOOSE(CONTROL!$C$21, $C$9, 100%, $E$9)</f>
        <v>45.285499999999999</v>
      </c>
      <c r="Q718" s="14">
        <f>CHOOSE(CONTROL!$C$42, 45.958, 45.958) * CHOOSE(CONTROL!$C$21, $C$9, 100%, $E$9)</f>
        <v>45.957999999999998</v>
      </c>
      <c r="R718" s="14">
        <f>CHOOSE(CONTROL!$C$42, 46.6599, 46.6599) * CHOOSE(CONTROL!$C$21, $C$9, 100%, $E$9)</f>
        <v>46.6599</v>
      </c>
      <c r="S718" s="14">
        <f>CHOOSE(CONTROL!$C$42, 44.2443, 44.2443) * CHOOSE(CONTROL!$C$21, $C$9, 100%, $E$9)</f>
        <v>44.244300000000003</v>
      </c>
      <c r="T7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18" s="57">
        <f>(1000*CHOOSE(CONTROL!$C$42, 695, 695)*CHOOSE(CONTROL!$C$42, 0.5599, 0.5599)*CHOOSE(CONTROL!$C$42, 31, 31))/1000000</f>
        <v>12.063045499999998</v>
      </c>
      <c r="V718" s="57">
        <f>(1000*CHOOSE(CONTROL!$C$42, 500, 500)*CHOOSE(CONTROL!$C$42, 0.275, 0.275)*CHOOSE(CONTROL!$C$42, 31, 31))/1000000</f>
        <v>4.2625000000000002</v>
      </c>
      <c r="W718" s="57">
        <f>(1000*CHOOSE(CONTROL!$C$42, 0.1146, 0.1146)*CHOOSE(CONTROL!$C$42, 121.5, 121.5)*CHOOSE(CONTROL!$C$42, 31, 31))/1000000</f>
        <v>0.43164089999999994</v>
      </c>
      <c r="X718" s="57">
        <f>(31*0.1790888*245000/1000000)+(31*0.2374*100000/1000000)</f>
        <v>2.0961194359999999</v>
      </c>
      <c r="Y718" s="57"/>
      <c r="Z718" s="14"/>
      <c r="AA718" s="56"/>
      <c r="AB718" s="50">
        <f>(B718*131.881+C718*277.167+D718*79.08+E718*125.872+F718*40+G718*185+H718*0+I718*100+J718*300)/(131.881+277.167+79.08+125.872+0+40+185+100+300)</f>
        <v>46.123603209927353</v>
      </c>
      <c r="AC718" s="45">
        <f>(M718*'RAP TEMPLATE-GAS AVAILABILITY'!O717+N718*'RAP TEMPLATE-GAS AVAILABILITY'!P717+O718*'RAP TEMPLATE-GAS AVAILABILITY'!Q717+P718*'RAP TEMPLATE-GAS AVAILABILITY'!R717)/('RAP TEMPLATE-GAS AVAILABILITY'!O717+'RAP TEMPLATE-GAS AVAILABILITY'!P717+'RAP TEMPLATE-GAS AVAILABILITY'!Q717+'RAP TEMPLATE-GAS AVAILABILITY'!R717)</f>
        <v>45.263075539568341</v>
      </c>
    </row>
    <row r="719" spans="1:29" ht="15.75" x14ac:dyDescent="0.25">
      <c r="A719" s="32">
        <v>62792</v>
      </c>
      <c r="B719" s="14">
        <f>CHOOSE(CONTROL!$C$42, 47.2665, 47.2665) * CHOOSE(CONTROL!$C$21, $C$9, 100%, $E$9)</f>
        <v>47.266500000000001</v>
      </c>
      <c r="C719" s="14">
        <f>CHOOSE(CONTROL!$C$42, 47.2716, 47.2716) * CHOOSE(CONTROL!$C$21, $C$9, 100%, $E$9)</f>
        <v>47.271599999999999</v>
      </c>
      <c r="D719" s="14">
        <f>CHOOSE(CONTROL!$C$42, 47.3458, 47.3458) * CHOOSE(CONTROL!$C$21, $C$9, 100%, $E$9)</f>
        <v>47.345799999999997</v>
      </c>
      <c r="E719" s="14">
        <f>CHOOSE(CONTROL!$C$42, 47.3799, 47.3799) * CHOOSE(CONTROL!$C$21, $C$9, 100%, $E$9)</f>
        <v>47.379899999999999</v>
      </c>
      <c r="F719" s="14">
        <f>CHOOSE(CONTROL!$C$42, 47.3026, 47.3026)*CHOOSE(CONTROL!$C$21, $C$9, 100%, $E$9)</f>
        <v>47.302599999999998</v>
      </c>
      <c r="G719" s="14">
        <f>CHOOSE(CONTROL!$C$42, 47.3201, 47.3201)*CHOOSE(CONTROL!$C$21, $C$9, 100%, $E$9)</f>
        <v>47.320099999999996</v>
      </c>
      <c r="H719" s="14">
        <f>CHOOSE(CONTROL!$C$42, 47.3691, 47.3691) * CHOOSE(CONTROL!$C$21, $C$9, 100%, $E$9)</f>
        <v>47.369100000000003</v>
      </c>
      <c r="I719" s="14">
        <f>CHOOSE(CONTROL!$C$42, 47.442, 47.442)* CHOOSE(CONTROL!$C$21, $C$9, 100%, $E$9)</f>
        <v>47.442</v>
      </c>
      <c r="J719" s="14">
        <f>CHOOSE(CONTROL!$C$42, 47.2956, 47.2956)* CHOOSE(CONTROL!$C$21, $C$9, 100%, $E$9)</f>
        <v>47.2956</v>
      </c>
      <c r="K719" s="53">
        <f>CHOOSE(CONTROL!$C$42, 47.4381, 47.4381) * CHOOSE(CONTROL!$C$21, $C$9, 100%, $E$9)</f>
        <v>47.438099999999999</v>
      </c>
      <c r="L719" s="14">
        <f>CHOOSE(CONTROL!$C$42, 47.9561, 47.9561) * CHOOSE(CONTROL!$C$21, $C$9, 100%, $E$9)</f>
        <v>47.956099999999999</v>
      </c>
      <c r="M719" s="14">
        <f>CHOOSE(CONTROL!$C$42, 46.3342, 46.3342) * CHOOSE(CONTROL!$C$21, $C$9, 100%, $E$9)</f>
        <v>46.334200000000003</v>
      </c>
      <c r="N719" s="14">
        <f>CHOOSE(CONTROL!$C$42, 46.3514, 46.3514) * CHOOSE(CONTROL!$C$21, $C$9, 100%, $E$9)</f>
        <v>46.351399999999998</v>
      </c>
      <c r="O719" s="14">
        <f>CHOOSE(CONTROL!$C$42, 46.4062, 46.4062) * CHOOSE(CONTROL!$C$21, $C$9, 100%, $E$9)</f>
        <v>46.406199999999998</v>
      </c>
      <c r="P719" s="14">
        <f>CHOOSE(CONTROL!$C$42, 46.4747, 46.4747) * CHOOSE(CONTROL!$C$21, $C$9, 100%, $E$9)</f>
        <v>46.474699999999999</v>
      </c>
      <c r="Q719" s="14">
        <f>CHOOSE(CONTROL!$C$42, 47.0009, 47.0009) * CHOOSE(CONTROL!$C$21, $C$9, 100%, $E$9)</f>
        <v>47.000900000000001</v>
      </c>
      <c r="R719" s="14">
        <f>CHOOSE(CONTROL!$C$42, 47.7054, 47.7054) * CHOOSE(CONTROL!$C$21, $C$9, 100%, $E$9)</f>
        <v>47.705399999999997</v>
      </c>
      <c r="S719" s="14">
        <f>CHOOSE(CONTROL!$C$42, 45.4098, 45.4098) * CHOOSE(CONTROL!$C$21, $C$9, 100%, $E$9)</f>
        <v>45.409799999999997</v>
      </c>
      <c r="T7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9" s="57">
        <f>(1000*CHOOSE(CONTROL!$C$42, 695, 695)*CHOOSE(CONTROL!$C$42, 0.5599, 0.5599)*CHOOSE(CONTROL!$C$42, 30, 30))/1000000</f>
        <v>11.673914999999997</v>
      </c>
      <c r="V719" s="57">
        <f>(1000*CHOOSE(CONTROL!$C$42, 500, 500)*CHOOSE(CONTROL!$C$42, 0.275, 0.275)*CHOOSE(CONTROL!$C$42, 30, 30))/1000000</f>
        <v>4.125</v>
      </c>
      <c r="W719" s="57">
        <f>(1000*CHOOSE(CONTROL!$C$42, 0.1146, 0.1146)*CHOOSE(CONTROL!$C$42, 121.5, 121.5)*CHOOSE(CONTROL!$C$42, 30, 30))/1000000</f>
        <v>0.417717</v>
      </c>
      <c r="X719" s="57">
        <f>(30*0.1790888*100000/1000000)+(30*0.2374*100000/1000000)</f>
        <v>1.2494664</v>
      </c>
      <c r="Y719" s="57"/>
      <c r="Z719" s="14"/>
      <c r="AA719" s="56"/>
      <c r="AB719" s="50">
        <f>(B719*122.58+C719*297.941+D719*89.177+E719*40.302+F719*40+G719*160+H719*0+I719*100+J719*300)/(122.58+297.941+89.177+40.302+0+40+160+100+300)</f>
        <v>47.30950998434782</v>
      </c>
      <c r="AC719" s="45">
        <f>(M719*'RAP TEMPLATE-GAS AVAILABILITY'!O718+N719*'RAP TEMPLATE-GAS AVAILABILITY'!P718+O719*'RAP TEMPLATE-GAS AVAILABILITY'!Q718+P719*'RAP TEMPLATE-GAS AVAILABILITY'!R718)/('RAP TEMPLATE-GAS AVAILABILITY'!O718+'RAP TEMPLATE-GAS AVAILABILITY'!P718+'RAP TEMPLATE-GAS AVAILABILITY'!Q718+'RAP TEMPLATE-GAS AVAILABILITY'!R718)</f>
        <v>46.388038848920864</v>
      </c>
    </row>
    <row r="720" spans="1:29" ht="15.75" x14ac:dyDescent="0.25">
      <c r="A720" s="32">
        <v>62823</v>
      </c>
      <c r="B720" s="14">
        <f>CHOOSE(CONTROL!$C$42, 50.4885, 50.4885) * CHOOSE(CONTROL!$C$21, $C$9, 100%, $E$9)</f>
        <v>50.488500000000002</v>
      </c>
      <c r="C720" s="14">
        <f>CHOOSE(CONTROL!$C$42, 50.4935, 50.4935) * CHOOSE(CONTROL!$C$21, $C$9, 100%, $E$9)</f>
        <v>50.493499999999997</v>
      </c>
      <c r="D720" s="14">
        <f>CHOOSE(CONTROL!$C$42, 50.5677, 50.5677) * CHOOSE(CONTROL!$C$21, $C$9, 100%, $E$9)</f>
        <v>50.567700000000002</v>
      </c>
      <c r="E720" s="14">
        <f>CHOOSE(CONTROL!$C$42, 50.6018, 50.6018) * CHOOSE(CONTROL!$C$21, $C$9, 100%, $E$9)</f>
        <v>50.601799999999997</v>
      </c>
      <c r="F720" s="14">
        <f>CHOOSE(CONTROL!$C$42, 50.5269, 50.5269)*CHOOSE(CONTROL!$C$21, $C$9, 100%, $E$9)</f>
        <v>50.526899999999998</v>
      </c>
      <c r="G720" s="14">
        <f>CHOOSE(CONTROL!$C$42, 50.545, 50.545)*CHOOSE(CONTROL!$C$21, $C$9, 100%, $E$9)</f>
        <v>50.545000000000002</v>
      </c>
      <c r="H720" s="14">
        <f>CHOOSE(CONTROL!$C$42, 50.591, 50.591) * CHOOSE(CONTROL!$C$21, $C$9, 100%, $E$9)</f>
        <v>50.591000000000001</v>
      </c>
      <c r="I720" s="14">
        <f>CHOOSE(CONTROL!$C$42, 50.674, 50.674)* CHOOSE(CONTROL!$C$21, $C$9, 100%, $E$9)</f>
        <v>50.673999999999999</v>
      </c>
      <c r="J720" s="14">
        <f>CHOOSE(CONTROL!$C$42, 50.5199, 50.5199)* CHOOSE(CONTROL!$C$21, $C$9, 100%, $E$9)</f>
        <v>50.5199</v>
      </c>
      <c r="K720" s="53">
        <f>CHOOSE(CONTROL!$C$42, 50.6701, 50.6701) * CHOOSE(CONTROL!$C$21, $C$9, 100%, $E$9)</f>
        <v>50.670099999999998</v>
      </c>
      <c r="L720" s="14">
        <f>CHOOSE(CONTROL!$C$42, 51.178, 51.178) * CHOOSE(CONTROL!$C$21, $C$9, 100%, $E$9)</f>
        <v>51.177999999999997</v>
      </c>
      <c r="M720" s="14">
        <f>CHOOSE(CONTROL!$C$42, 49.4924, 49.4924) * CHOOSE(CONTROL!$C$21, $C$9, 100%, $E$9)</f>
        <v>49.492400000000004</v>
      </c>
      <c r="N720" s="14">
        <f>CHOOSE(CONTROL!$C$42, 49.5102, 49.5102) * CHOOSE(CONTROL!$C$21, $C$9, 100%, $E$9)</f>
        <v>49.510199999999998</v>
      </c>
      <c r="O720" s="14">
        <f>CHOOSE(CONTROL!$C$42, 49.5622, 49.5622) * CHOOSE(CONTROL!$C$21, $C$9, 100%, $E$9)</f>
        <v>49.562199999999997</v>
      </c>
      <c r="P720" s="14">
        <f>CHOOSE(CONTROL!$C$42, 49.6403, 49.6403) * CHOOSE(CONTROL!$C$21, $C$9, 100%, $E$9)</f>
        <v>49.640300000000003</v>
      </c>
      <c r="Q720" s="14">
        <f>CHOOSE(CONTROL!$C$42, 50.1569, 50.1569) * CHOOSE(CONTROL!$C$21, $C$9, 100%, $E$9)</f>
        <v>50.1569</v>
      </c>
      <c r="R720" s="14">
        <f>CHOOSE(CONTROL!$C$42, 50.8693, 50.8693) * CHOOSE(CONTROL!$C$21, $C$9, 100%, $E$9)</f>
        <v>50.869300000000003</v>
      </c>
      <c r="S720" s="14">
        <f>CHOOSE(CONTROL!$C$42, 48.5058, 48.5058) * CHOOSE(CONTROL!$C$21, $C$9, 100%, $E$9)</f>
        <v>48.505800000000001</v>
      </c>
      <c r="T7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0" s="57">
        <f>(1000*CHOOSE(CONTROL!$C$42, 695, 695)*CHOOSE(CONTROL!$C$42, 0.5599, 0.5599)*CHOOSE(CONTROL!$C$42, 31, 31))/1000000</f>
        <v>12.063045499999998</v>
      </c>
      <c r="V720" s="57">
        <f>(1000*CHOOSE(CONTROL!$C$42, 500, 500)*CHOOSE(CONTROL!$C$42, 0.275, 0.275)*CHOOSE(CONTROL!$C$42, 31, 31))/1000000</f>
        <v>4.2625000000000002</v>
      </c>
      <c r="W720" s="57">
        <f>(1000*CHOOSE(CONTROL!$C$42, 0.1146, 0.1146)*CHOOSE(CONTROL!$C$42, 121.5, 121.5)*CHOOSE(CONTROL!$C$42, 31, 31))/1000000</f>
        <v>0.43164089999999994</v>
      </c>
      <c r="X720" s="57">
        <f>(31*0.1790888*100000/1000000)+(31*0.2374*100000/1000000)</f>
        <v>1.2911152800000001</v>
      </c>
      <c r="Y720" s="57"/>
      <c r="Z720" s="14"/>
      <c r="AA720" s="56"/>
      <c r="AB720" s="50">
        <f>(B720*122.58+C720*297.941+D720*89.177+E720*40.302+F720*40+G720*160+H720*0+I720*100+J720*300)/(122.58+297.941+89.177+40.302+0+40+160+100+300)</f>
        <v>50.533425860869563</v>
      </c>
      <c r="AC720" s="45">
        <f>(M720*'RAP TEMPLATE-GAS AVAILABILITY'!O719+N720*'RAP TEMPLATE-GAS AVAILABILITY'!P719+O720*'RAP TEMPLATE-GAS AVAILABILITY'!Q719+P720*'RAP TEMPLATE-GAS AVAILABILITY'!R719)/('RAP TEMPLATE-GAS AVAILABILITY'!O719+'RAP TEMPLATE-GAS AVAILABILITY'!P719+'RAP TEMPLATE-GAS AVAILABILITY'!Q719+'RAP TEMPLATE-GAS AVAILABILITY'!R719)</f>
        <v>49.54634100719425</v>
      </c>
    </row>
    <row r="721" spans="1:29" ht="15.75" x14ac:dyDescent="0.25">
      <c r="A721" s="32">
        <v>62854</v>
      </c>
      <c r="B721" s="14">
        <f>CHOOSE(CONTROL!$C$42, 54.6732, 54.6732) * CHOOSE(CONTROL!$C$21, $C$9, 100%, $E$9)</f>
        <v>54.673200000000001</v>
      </c>
      <c r="C721" s="14">
        <f>CHOOSE(CONTROL!$C$42, 54.6783, 54.6783) * CHOOSE(CONTROL!$C$21, $C$9, 100%, $E$9)</f>
        <v>54.6783</v>
      </c>
      <c r="D721" s="14">
        <f>CHOOSE(CONTROL!$C$42, 54.7551, 54.7551) * CHOOSE(CONTROL!$C$21, $C$9, 100%, $E$9)</f>
        <v>54.755099999999999</v>
      </c>
      <c r="E721" s="14">
        <f>CHOOSE(CONTROL!$C$42, 54.7892, 54.7892) * CHOOSE(CONTROL!$C$21, $C$9, 100%, $E$9)</f>
        <v>54.789200000000001</v>
      </c>
      <c r="F721" s="14">
        <f>CHOOSE(CONTROL!$C$42, 54.6979, 54.6979)*CHOOSE(CONTROL!$C$21, $C$9, 100%, $E$9)</f>
        <v>54.697899999999997</v>
      </c>
      <c r="G721" s="14">
        <f>CHOOSE(CONTROL!$C$42, 54.7159, 54.7159)*CHOOSE(CONTROL!$C$21, $C$9, 100%, $E$9)</f>
        <v>54.715899999999998</v>
      </c>
      <c r="H721" s="14">
        <f>CHOOSE(CONTROL!$C$42, 54.7784, 54.7784) * CHOOSE(CONTROL!$C$21, $C$9, 100%, $E$9)</f>
        <v>54.778399999999998</v>
      </c>
      <c r="I721" s="14">
        <f>CHOOSE(CONTROL!$C$42, 54.8781, 54.8781)* CHOOSE(CONTROL!$C$21, $C$9, 100%, $E$9)</f>
        <v>54.878100000000003</v>
      </c>
      <c r="J721" s="14">
        <f>CHOOSE(CONTROL!$C$42, 54.6909, 54.6909)* CHOOSE(CONTROL!$C$21, $C$9, 100%, $E$9)</f>
        <v>54.690899999999999</v>
      </c>
      <c r="K721" s="53">
        <f>CHOOSE(CONTROL!$C$42, 54.8743, 54.8743) * CHOOSE(CONTROL!$C$21, $C$9, 100%, $E$9)</f>
        <v>54.874299999999998</v>
      </c>
      <c r="L721" s="14">
        <f>CHOOSE(CONTROL!$C$42, 55.3654, 55.3654) * CHOOSE(CONTROL!$C$21, $C$9, 100%, $E$9)</f>
        <v>55.365400000000001</v>
      </c>
      <c r="M721" s="14">
        <f>CHOOSE(CONTROL!$C$42, 53.578, 53.578) * CHOOSE(CONTROL!$C$21, $C$9, 100%, $E$9)</f>
        <v>53.578000000000003</v>
      </c>
      <c r="N721" s="14">
        <f>CHOOSE(CONTROL!$C$42, 53.5957, 53.5957) * CHOOSE(CONTROL!$C$21, $C$9, 100%, $E$9)</f>
        <v>53.595700000000001</v>
      </c>
      <c r="O721" s="14">
        <f>CHOOSE(CONTROL!$C$42, 53.6637, 53.6637) * CHOOSE(CONTROL!$C$21, $C$9, 100%, $E$9)</f>
        <v>53.663699999999999</v>
      </c>
      <c r="P721" s="14">
        <f>CHOOSE(CONTROL!$C$42, 53.7581, 53.7581) * CHOOSE(CONTROL!$C$21, $C$9, 100%, $E$9)</f>
        <v>53.758099999999999</v>
      </c>
      <c r="Q721" s="14">
        <f>CHOOSE(CONTROL!$C$42, 54.2584, 54.2584) * CHOOSE(CONTROL!$C$21, $C$9, 100%, $E$9)</f>
        <v>54.258400000000002</v>
      </c>
      <c r="R721" s="14">
        <f>CHOOSE(CONTROL!$C$42, 54.981, 54.981) * CHOOSE(CONTROL!$C$21, $C$9, 100%, $E$9)</f>
        <v>54.981000000000002</v>
      </c>
      <c r="S721" s="14">
        <f>CHOOSE(CONTROL!$C$42, 52.5269, 52.5269) * CHOOSE(CONTROL!$C$21, $C$9, 100%, $E$9)</f>
        <v>52.526899999999998</v>
      </c>
      <c r="T7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21" s="57">
        <f>(1000*CHOOSE(CONTROL!$C$42, 695, 695)*CHOOSE(CONTROL!$C$42, 0.5599, 0.5599)*CHOOSE(CONTROL!$C$42, 31, 31))/1000000</f>
        <v>12.063045499999998</v>
      </c>
      <c r="V721" s="57">
        <f>(1000*CHOOSE(CONTROL!$C$42, 500, 500)*CHOOSE(CONTROL!$C$42, 0.275, 0.275)*CHOOSE(CONTROL!$C$42, 31, 31))/1000000</f>
        <v>4.2625000000000002</v>
      </c>
      <c r="W721" s="57">
        <f>(1000*CHOOSE(CONTROL!$C$42, 0.1146, 0.1146)*CHOOSE(CONTROL!$C$42, 121.5, 121.5)*CHOOSE(CONTROL!$C$42, 31, 31))/1000000</f>
        <v>0.43164089999999994</v>
      </c>
      <c r="X721" s="57">
        <f>(31*0.1790888*100000/1000000)+(31*0.2374*100000/1000000)</f>
        <v>1.2911152800000001</v>
      </c>
      <c r="Y721" s="57"/>
      <c r="Z721" s="14"/>
      <c r="AA721" s="56"/>
      <c r="AB721" s="50">
        <f>(B721*122.58+C721*297.941+D721*89.177+E721*40.302+F721*40+G721*160+H721*0+I721*100+J721*300)/(122.58+297.941+89.177+40.302+0+40+160+100+300)</f>
        <v>54.714172284695643</v>
      </c>
      <c r="AC721" s="45">
        <f>(M721*'RAP TEMPLATE-GAS AVAILABILITY'!O720+N721*'RAP TEMPLATE-GAS AVAILABILITY'!P720+O721*'RAP TEMPLATE-GAS AVAILABILITY'!Q720+P721*'RAP TEMPLATE-GAS AVAILABILITY'!R720)/('RAP TEMPLATE-GAS AVAILABILITY'!O720+'RAP TEMPLATE-GAS AVAILABILITY'!P720+'RAP TEMPLATE-GAS AVAILABILITY'!Q720+'RAP TEMPLATE-GAS AVAILABILITY'!R720)</f>
        <v>53.643774820143882</v>
      </c>
    </row>
    <row r="722" spans="1:29" ht="15.75" x14ac:dyDescent="0.25">
      <c r="A722" s="32">
        <v>62883</v>
      </c>
      <c r="B722" s="14">
        <f>CHOOSE(CONTROL!$C$42, 55.6463, 55.6463) * CHOOSE(CONTROL!$C$21, $C$9, 100%, $E$9)</f>
        <v>55.646299999999997</v>
      </c>
      <c r="C722" s="14">
        <f>CHOOSE(CONTROL!$C$42, 55.6514, 55.6514) * CHOOSE(CONTROL!$C$21, $C$9, 100%, $E$9)</f>
        <v>55.651400000000002</v>
      </c>
      <c r="D722" s="14">
        <f>CHOOSE(CONTROL!$C$42, 55.7282, 55.7282) * CHOOSE(CONTROL!$C$21, $C$9, 100%, $E$9)</f>
        <v>55.728200000000001</v>
      </c>
      <c r="E722" s="14">
        <f>CHOOSE(CONTROL!$C$42, 55.7623, 55.7623) * CHOOSE(CONTROL!$C$21, $C$9, 100%, $E$9)</f>
        <v>55.762300000000003</v>
      </c>
      <c r="F722" s="14">
        <f>CHOOSE(CONTROL!$C$42, 55.6706, 55.6706)*CHOOSE(CONTROL!$C$21, $C$9, 100%, $E$9)</f>
        <v>55.6706</v>
      </c>
      <c r="G722" s="14">
        <f>CHOOSE(CONTROL!$C$42, 55.6885, 55.6885)*CHOOSE(CONTROL!$C$21, $C$9, 100%, $E$9)</f>
        <v>55.688499999999998</v>
      </c>
      <c r="H722" s="14">
        <f>CHOOSE(CONTROL!$C$42, 55.7515, 55.7515) * CHOOSE(CONTROL!$C$21, $C$9, 100%, $E$9)</f>
        <v>55.7515</v>
      </c>
      <c r="I722" s="14">
        <f>CHOOSE(CONTROL!$C$42, 55.8543, 55.8543)* CHOOSE(CONTROL!$C$21, $C$9, 100%, $E$9)</f>
        <v>55.854300000000002</v>
      </c>
      <c r="J722" s="14">
        <f>CHOOSE(CONTROL!$C$42, 55.6636, 55.6636)* CHOOSE(CONTROL!$C$21, $C$9, 100%, $E$9)</f>
        <v>55.663600000000002</v>
      </c>
      <c r="K722" s="53">
        <f>CHOOSE(CONTROL!$C$42, 55.8504, 55.8504) * CHOOSE(CONTROL!$C$21, $C$9, 100%, $E$9)</f>
        <v>55.8504</v>
      </c>
      <c r="L722" s="14">
        <f>CHOOSE(CONTROL!$C$42, 56.3385, 56.3385) * CHOOSE(CONTROL!$C$21, $C$9, 100%, $E$9)</f>
        <v>56.338500000000003</v>
      </c>
      <c r="M722" s="14">
        <f>CHOOSE(CONTROL!$C$42, 54.5308, 54.5308) * CHOOSE(CONTROL!$C$21, $C$9, 100%, $E$9)</f>
        <v>54.530799999999999</v>
      </c>
      <c r="N722" s="14">
        <f>CHOOSE(CONTROL!$C$42, 54.5483, 54.5483) * CHOOSE(CONTROL!$C$21, $C$9, 100%, $E$9)</f>
        <v>54.548299999999998</v>
      </c>
      <c r="O722" s="14">
        <f>CHOOSE(CONTROL!$C$42, 54.6169, 54.6169) * CHOOSE(CONTROL!$C$21, $C$9, 100%, $E$9)</f>
        <v>54.616900000000001</v>
      </c>
      <c r="P722" s="14">
        <f>CHOOSE(CONTROL!$C$42, 54.7141, 54.7141) * CHOOSE(CONTROL!$C$21, $C$9, 100%, $E$9)</f>
        <v>54.714100000000002</v>
      </c>
      <c r="Q722" s="14">
        <f>CHOOSE(CONTROL!$C$42, 55.2116, 55.2116) * CHOOSE(CONTROL!$C$21, $C$9, 100%, $E$9)</f>
        <v>55.211599999999997</v>
      </c>
      <c r="R722" s="14">
        <f>CHOOSE(CONTROL!$C$42, 55.9366, 55.9366) * CHOOSE(CONTROL!$C$21, $C$9, 100%, $E$9)</f>
        <v>55.936599999999999</v>
      </c>
      <c r="S722" s="14">
        <f>CHOOSE(CONTROL!$C$42, 53.462, 53.462) * CHOOSE(CONTROL!$C$21, $C$9, 100%, $E$9)</f>
        <v>53.462000000000003</v>
      </c>
      <c r="T72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22" s="57">
        <f>(1000*CHOOSE(CONTROL!$C$42, 695, 695)*CHOOSE(CONTROL!$C$42, 0.5599, 0.5599)*CHOOSE(CONTROL!$C$42, 29, 29))/1000000</f>
        <v>11.284784499999999</v>
      </c>
      <c r="V722" s="57">
        <f>(1000*CHOOSE(CONTROL!$C$42, 500, 500)*CHOOSE(CONTROL!$C$42, 0.275, 0.275)*CHOOSE(CONTROL!$C$42, 29, 29))/1000000</f>
        <v>3.9874999999999998</v>
      </c>
      <c r="W722" s="57">
        <f>(1000*CHOOSE(CONTROL!$C$42, 0.1146, 0.1146)*CHOOSE(CONTROL!$C$42, 121.5, 121.5)*CHOOSE(CONTROL!$C$42, 29, 29))/1000000</f>
        <v>0.40379309999999996</v>
      </c>
      <c r="X722" s="57">
        <f>(29*0.1790888*100000/1000000)+(29*0.2374*100000/1000000)</f>
        <v>1.2078175199999999</v>
      </c>
      <c r="Y722" s="57"/>
      <c r="Z722" s="14"/>
      <c r="AA722" s="56"/>
      <c r="AB722" s="50">
        <f>(B722*122.58+C722*297.941+D722*89.177+E722*40.302+F722*40+G722*160+H722*0+I722*100+J722*300)/(122.58+297.941+89.177+40.302+0+40+160+100+300)</f>
        <v>55.687354023826082</v>
      </c>
      <c r="AC722" s="45">
        <f>(M722*'RAP TEMPLATE-GAS AVAILABILITY'!O721+N722*'RAP TEMPLATE-GAS AVAILABILITY'!P721+O722*'RAP TEMPLATE-GAS AVAILABILITY'!Q721+P722*'RAP TEMPLATE-GAS AVAILABILITY'!R721)/('RAP TEMPLATE-GAS AVAILABILITY'!O721+'RAP TEMPLATE-GAS AVAILABILITY'!P721+'RAP TEMPLATE-GAS AVAILABILITY'!Q721+'RAP TEMPLATE-GAS AVAILABILITY'!R721)</f>
        <v>54.597205035971214</v>
      </c>
    </row>
    <row r="723" spans="1:29" ht="15.75" x14ac:dyDescent="0.25">
      <c r="A723" s="32">
        <v>62914</v>
      </c>
      <c r="B723" s="14">
        <f>CHOOSE(CONTROL!$C$42, 54.0667, 54.0667) * CHOOSE(CONTROL!$C$21, $C$9, 100%, $E$9)</f>
        <v>54.066699999999997</v>
      </c>
      <c r="C723" s="14">
        <f>CHOOSE(CONTROL!$C$42, 54.0718, 54.0718) * CHOOSE(CONTROL!$C$21, $C$9, 100%, $E$9)</f>
        <v>54.071800000000003</v>
      </c>
      <c r="D723" s="14">
        <f>CHOOSE(CONTROL!$C$42, 54.1486, 54.1486) * CHOOSE(CONTROL!$C$21, $C$9, 100%, $E$9)</f>
        <v>54.148600000000002</v>
      </c>
      <c r="E723" s="14">
        <f>CHOOSE(CONTROL!$C$42, 54.1827, 54.1827) * CHOOSE(CONTROL!$C$21, $C$9, 100%, $E$9)</f>
        <v>54.182699999999997</v>
      </c>
      <c r="F723" s="14">
        <f>CHOOSE(CONTROL!$C$42, 54.0902, 54.0902)*CHOOSE(CONTROL!$C$21, $C$9, 100%, $E$9)</f>
        <v>54.090200000000003</v>
      </c>
      <c r="G723" s="14">
        <f>CHOOSE(CONTROL!$C$42, 54.1078, 54.1078)*CHOOSE(CONTROL!$C$21, $C$9, 100%, $E$9)</f>
        <v>54.107799999999997</v>
      </c>
      <c r="H723" s="14">
        <f>CHOOSE(CONTROL!$C$42, 54.1719, 54.1719) * CHOOSE(CONTROL!$C$21, $C$9, 100%, $E$9)</f>
        <v>54.171900000000001</v>
      </c>
      <c r="I723" s="14">
        <f>CHOOSE(CONTROL!$C$42, 54.2698, 54.2698)* CHOOSE(CONTROL!$C$21, $C$9, 100%, $E$9)</f>
        <v>54.269799999999996</v>
      </c>
      <c r="J723" s="14">
        <f>CHOOSE(CONTROL!$C$42, 54.0832, 54.0832)* CHOOSE(CONTROL!$C$21, $C$9, 100%, $E$9)</f>
        <v>54.083199999999998</v>
      </c>
      <c r="K723" s="53">
        <f>CHOOSE(CONTROL!$C$42, 54.2659, 54.2659) * CHOOSE(CONTROL!$C$21, $C$9, 100%, $E$9)</f>
        <v>54.265900000000002</v>
      </c>
      <c r="L723" s="14">
        <f>CHOOSE(CONTROL!$C$42, 54.7589, 54.7589) * CHOOSE(CONTROL!$C$21, $C$9, 100%, $E$9)</f>
        <v>54.758899999999997</v>
      </c>
      <c r="M723" s="14">
        <f>CHOOSE(CONTROL!$C$42, 52.9828, 52.9828) * CHOOSE(CONTROL!$C$21, $C$9, 100%, $E$9)</f>
        <v>52.982799999999997</v>
      </c>
      <c r="N723" s="14">
        <f>CHOOSE(CONTROL!$C$42, 53, 53) * CHOOSE(CONTROL!$C$21, $C$9, 100%, $E$9)</f>
        <v>53</v>
      </c>
      <c r="O723" s="14">
        <f>CHOOSE(CONTROL!$C$42, 53.0697, 53.0697) * CHOOSE(CONTROL!$C$21, $C$9, 100%, $E$9)</f>
        <v>53.069699999999997</v>
      </c>
      <c r="P723" s="14">
        <f>CHOOSE(CONTROL!$C$42, 53.1622, 53.1622) * CHOOSE(CONTROL!$C$21, $C$9, 100%, $E$9)</f>
        <v>53.162199999999999</v>
      </c>
      <c r="Q723" s="14">
        <f>CHOOSE(CONTROL!$C$42, 53.6644, 53.6644) * CHOOSE(CONTROL!$C$21, $C$9, 100%, $E$9)</f>
        <v>53.664400000000001</v>
      </c>
      <c r="R723" s="14">
        <f>CHOOSE(CONTROL!$C$42, 54.3855, 54.3855) * CHOOSE(CONTROL!$C$21, $C$9, 100%, $E$9)</f>
        <v>54.3855</v>
      </c>
      <c r="S723" s="14">
        <f>CHOOSE(CONTROL!$C$42, 51.9442, 51.9442) * CHOOSE(CONTROL!$C$21, $C$9, 100%, $E$9)</f>
        <v>51.944200000000002</v>
      </c>
      <c r="T7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23" s="57">
        <f>(1000*CHOOSE(CONTROL!$C$42, 695, 695)*CHOOSE(CONTROL!$C$42, 0.5599, 0.5599)*CHOOSE(CONTROL!$C$42, 31, 31))/1000000</f>
        <v>12.063045499999998</v>
      </c>
      <c r="V723" s="57">
        <f>(1000*CHOOSE(CONTROL!$C$42, 500, 500)*CHOOSE(CONTROL!$C$42, 0.275, 0.275)*CHOOSE(CONTROL!$C$42, 31, 31))/1000000</f>
        <v>4.2625000000000002</v>
      </c>
      <c r="W723" s="57">
        <f>(1000*CHOOSE(CONTROL!$C$42, 0.1146, 0.1146)*CHOOSE(CONTROL!$C$42, 121.5, 121.5)*CHOOSE(CONTROL!$C$42, 31, 31))/1000000</f>
        <v>0.43164089999999994</v>
      </c>
      <c r="X723" s="57">
        <f>(31*0.1790888*100000/1000000)+(31*0.2374*100000/1000000)</f>
        <v>1.2911152800000001</v>
      </c>
      <c r="Y723" s="57"/>
      <c r="Z723" s="14"/>
      <c r="AA723" s="56"/>
      <c r="AB723" s="50">
        <f>(B723*122.58+C723*297.941+D723*89.177+E723*40.302+F723*40+G723*160+H723*0+I723*100+J723*300)/(122.58+297.941+89.177+40.302+0+40+160+100+300)</f>
        <v>54.10693837165217</v>
      </c>
      <c r="AC723" s="45">
        <f>(M723*'RAP TEMPLATE-GAS AVAILABILITY'!O722+N723*'RAP TEMPLATE-GAS AVAILABILITY'!P722+O723*'RAP TEMPLATE-GAS AVAILABILITY'!Q722+P723*'RAP TEMPLATE-GAS AVAILABILITY'!R722)/('RAP TEMPLATE-GAS AVAILABILITY'!O722+'RAP TEMPLATE-GAS AVAILABILITY'!P722+'RAP TEMPLATE-GAS AVAILABILITY'!Q722+'RAP TEMPLATE-GAS AVAILABILITY'!R722)</f>
        <v>53.048989208633095</v>
      </c>
    </row>
    <row r="724" spans="1:29" ht="15.75" x14ac:dyDescent="0.25">
      <c r="A724" s="32">
        <v>62944</v>
      </c>
      <c r="B724" s="14">
        <f>CHOOSE(CONTROL!$C$42, 53.9059, 53.9059) * CHOOSE(CONTROL!$C$21, $C$9, 100%, $E$9)</f>
        <v>53.905900000000003</v>
      </c>
      <c r="C724" s="14">
        <f>CHOOSE(CONTROL!$C$42, 53.9104, 53.9104) * CHOOSE(CONTROL!$C$21, $C$9, 100%, $E$9)</f>
        <v>53.910400000000003</v>
      </c>
      <c r="D724" s="14">
        <f>CHOOSE(CONTROL!$C$42, 54.1341, 54.1341) * CHOOSE(CONTROL!$C$21, $C$9, 100%, $E$9)</f>
        <v>54.134099999999997</v>
      </c>
      <c r="E724" s="14">
        <f>CHOOSE(CONTROL!$C$42, 54.1662, 54.1662) * CHOOSE(CONTROL!$C$21, $C$9, 100%, $E$9)</f>
        <v>54.166200000000003</v>
      </c>
      <c r="F724" s="14">
        <f>CHOOSE(CONTROL!$C$42, 53.9336, 53.9336)*CHOOSE(CONTROL!$C$21, $C$9, 100%, $E$9)</f>
        <v>53.933599999999998</v>
      </c>
      <c r="G724" s="14">
        <f>CHOOSE(CONTROL!$C$42, 53.9505, 53.9505)*CHOOSE(CONTROL!$C$21, $C$9, 100%, $E$9)</f>
        <v>53.950499999999998</v>
      </c>
      <c r="H724" s="14">
        <f>CHOOSE(CONTROL!$C$42, 54.156, 54.156) * CHOOSE(CONTROL!$C$21, $C$9, 100%, $E$9)</f>
        <v>54.155999999999999</v>
      </c>
      <c r="I724" s="14">
        <f>CHOOSE(CONTROL!$C$42, 54.104, 54.104)* CHOOSE(CONTROL!$C$21, $C$9, 100%, $E$9)</f>
        <v>54.103999999999999</v>
      </c>
      <c r="J724" s="14">
        <f>CHOOSE(CONTROL!$C$42, 53.9266, 53.9266)* CHOOSE(CONTROL!$C$21, $C$9, 100%, $E$9)</f>
        <v>53.926600000000001</v>
      </c>
      <c r="K724" s="53">
        <f>CHOOSE(CONTROL!$C$42, 54.1001, 54.1001) * CHOOSE(CONTROL!$C$21, $C$9, 100%, $E$9)</f>
        <v>54.100099999999998</v>
      </c>
      <c r="L724" s="14">
        <f>CHOOSE(CONTROL!$C$42, 54.743, 54.743) * CHOOSE(CONTROL!$C$21, $C$9, 100%, $E$9)</f>
        <v>54.743000000000002</v>
      </c>
      <c r="M724" s="14">
        <f>CHOOSE(CONTROL!$C$42, 52.8293, 52.8293) * CHOOSE(CONTROL!$C$21, $C$9, 100%, $E$9)</f>
        <v>52.829300000000003</v>
      </c>
      <c r="N724" s="14">
        <f>CHOOSE(CONTROL!$C$42, 52.8459, 52.8459) * CHOOSE(CONTROL!$C$21, $C$9, 100%, $E$9)</f>
        <v>52.8459</v>
      </c>
      <c r="O724" s="14">
        <f>CHOOSE(CONTROL!$C$42, 53.0541, 53.0541) * CHOOSE(CONTROL!$C$21, $C$9, 100%, $E$9)</f>
        <v>53.054099999999998</v>
      </c>
      <c r="P724" s="14">
        <f>CHOOSE(CONTROL!$C$42, 52.9998, 52.9998) * CHOOSE(CONTROL!$C$21, $C$9, 100%, $E$9)</f>
        <v>52.9998</v>
      </c>
      <c r="Q724" s="14">
        <f>CHOOSE(CONTROL!$C$42, 53.6488, 53.6488) * CHOOSE(CONTROL!$C$21, $C$9, 100%, $E$9)</f>
        <v>53.648800000000001</v>
      </c>
      <c r="R724" s="14">
        <f>CHOOSE(CONTROL!$C$42, 54.3699, 54.3699) * CHOOSE(CONTROL!$C$21, $C$9, 100%, $E$9)</f>
        <v>54.369900000000001</v>
      </c>
      <c r="S724" s="14">
        <f>CHOOSE(CONTROL!$C$42, 51.7889, 51.7889) * CHOOSE(CONTROL!$C$21, $C$9, 100%, $E$9)</f>
        <v>51.788899999999998</v>
      </c>
      <c r="T7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24" s="57">
        <f>(1000*CHOOSE(CONTROL!$C$42, 695, 695)*CHOOSE(CONTROL!$C$42, 0.5599, 0.5599)*CHOOSE(CONTROL!$C$42, 30, 30))/1000000</f>
        <v>11.673914999999997</v>
      </c>
      <c r="V724" s="57">
        <f>(1000*CHOOSE(CONTROL!$C$42, 500, 500)*CHOOSE(CONTROL!$C$42, 0.275, 0.275)*CHOOSE(CONTROL!$C$42, 30, 30))/1000000</f>
        <v>4.125</v>
      </c>
      <c r="W724" s="57">
        <f>(1000*CHOOSE(CONTROL!$C$42, 0.1146, 0.1146)*CHOOSE(CONTROL!$C$42, 121.5, 121.5)*CHOOSE(CONTROL!$C$42, 30, 30))/1000000</f>
        <v>0.417717</v>
      </c>
      <c r="X724" s="57">
        <f>(30*0.1790888*245000/1000000)+(30*0.2374*100000/1000000)</f>
        <v>2.0285026799999999</v>
      </c>
      <c r="Y724" s="57"/>
      <c r="Z724" s="14"/>
      <c r="AA724" s="56"/>
      <c r="AB724" s="50">
        <f>(B724*141.293+C724*267.993+D724*115.016+E724*89.698+F724*40+G724*185+H724*0+I724*100+J724*300)/(141.293+267.993+115.016+89.698+0+40+185+100+300)</f>
        <v>53.975456100968522</v>
      </c>
      <c r="AC724" s="45">
        <f>(M724*'RAP TEMPLATE-GAS AVAILABILITY'!O723+N724*'RAP TEMPLATE-GAS AVAILABILITY'!P723+O724*'RAP TEMPLATE-GAS AVAILABILITY'!Q723+P724*'RAP TEMPLATE-GAS AVAILABILITY'!R723)/('RAP TEMPLATE-GAS AVAILABILITY'!O723+'RAP TEMPLATE-GAS AVAILABILITY'!P723+'RAP TEMPLATE-GAS AVAILABILITY'!Q723+'RAP TEMPLATE-GAS AVAILABILITY'!R723)</f>
        <v>52.956675539568351</v>
      </c>
    </row>
    <row r="725" spans="1:29" ht="15.75" x14ac:dyDescent="0.25">
      <c r="A725" s="32">
        <v>62975</v>
      </c>
      <c r="B725" s="14">
        <f>CHOOSE(CONTROL!$C$42, 54.383, 54.383) * CHOOSE(CONTROL!$C$21, $C$9, 100%, $E$9)</f>
        <v>54.383000000000003</v>
      </c>
      <c r="C725" s="14">
        <f>CHOOSE(CONTROL!$C$42, 54.391, 54.391) * CHOOSE(CONTROL!$C$21, $C$9, 100%, $E$9)</f>
        <v>54.390999999999998</v>
      </c>
      <c r="D725" s="14">
        <f>CHOOSE(CONTROL!$C$42, 54.6116, 54.6116) * CHOOSE(CONTROL!$C$21, $C$9, 100%, $E$9)</f>
        <v>54.611600000000003</v>
      </c>
      <c r="E725" s="14">
        <f>CHOOSE(CONTROL!$C$42, 54.643, 54.643) * CHOOSE(CONTROL!$C$21, $C$9, 100%, $E$9)</f>
        <v>54.643000000000001</v>
      </c>
      <c r="F725" s="14">
        <f>CHOOSE(CONTROL!$C$42, 54.4092, 54.4092)*CHOOSE(CONTROL!$C$21, $C$9, 100%, $E$9)</f>
        <v>54.409199999999998</v>
      </c>
      <c r="G725" s="14">
        <f>CHOOSE(CONTROL!$C$42, 54.4263, 54.4263)*CHOOSE(CONTROL!$C$21, $C$9, 100%, $E$9)</f>
        <v>54.426299999999998</v>
      </c>
      <c r="H725" s="14">
        <f>CHOOSE(CONTROL!$C$42, 54.6317, 54.6317) * CHOOSE(CONTROL!$C$21, $C$9, 100%, $E$9)</f>
        <v>54.631700000000002</v>
      </c>
      <c r="I725" s="14">
        <f>CHOOSE(CONTROL!$C$42, 54.5812, 54.5812)* CHOOSE(CONTROL!$C$21, $C$9, 100%, $E$9)</f>
        <v>54.581200000000003</v>
      </c>
      <c r="J725" s="14">
        <f>CHOOSE(CONTROL!$C$42, 54.4022, 54.4022)* CHOOSE(CONTROL!$C$21, $C$9, 100%, $E$9)</f>
        <v>54.402200000000001</v>
      </c>
      <c r="K725" s="53">
        <f>CHOOSE(CONTROL!$C$42, 54.5773, 54.5773) * CHOOSE(CONTROL!$C$21, $C$9, 100%, $E$9)</f>
        <v>54.577300000000001</v>
      </c>
      <c r="L725" s="14">
        <f>CHOOSE(CONTROL!$C$42, 55.2187, 55.2187) * CHOOSE(CONTROL!$C$21, $C$9, 100%, $E$9)</f>
        <v>55.218699999999998</v>
      </c>
      <c r="M725" s="14">
        <f>CHOOSE(CONTROL!$C$42, 53.2952, 53.2952) * CHOOSE(CONTROL!$C$21, $C$9, 100%, $E$9)</f>
        <v>53.295200000000001</v>
      </c>
      <c r="N725" s="14">
        <f>CHOOSE(CONTROL!$C$42, 53.312, 53.312) * CHOOSE(CONTROL!$C$21, $C$9, 100%, $E$9)</f>
        <v>53.311999999999998</v>
      </c>
      <c r="O725" s="14">
        <f>CHOOSE(CONTROL!$C$42, 53.52, 53.52) * CHOOSE(CONTROL!$C$21, $C$9, 100%, $E$9)</f>
        <v>53.52</v>
      </c>
      <c r="P725" s="14">
        <f>CHOOSE(CONTROL!$C$42, 53.4672, 53.4672) * CHOOSE(CONTROL!$C$21, $C$9, 100%, $E$9)</f>
        <v>53.467199999999998</v>
      </c>
      <c r="Q725" s="14">
        <f>CHOOSE(CONTROL!$C$42, 54.1147, 54.1147) * CHOOSE(CONTROL!$C$21, $C$9, 100%, $E$9)</f>
        <v>54.114699999999999</v>
      </c>
      <c r="R725" s="14">
        <f>CHOOSE(CONTROL!$C$42, 54.837, 54.837) * CHOOSE(CONTROL!$C$21, $C$9, 100%, $E$9)</f>
        <v>54.837000000000003</v>
      </c>
      <c r="S725" s="14">
        <f>CHOOSE(CONTROL!$C$42, 52.246, 52.246) * CHOOSE(CONTROL!$C$21, $C$9, 100%, $E$9)</f>
        <v>52.246000000000002</v>
      </c>
      <c r="T7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25" s="57">
        <f>(1000*CHOOSE(CONTROL!$C$42, 695, 695)*CHOOSE(CONTROL!$C$42, 0.5599, 0.5599)*CHOOSE(CONTROL!$C$42, 31, 31))/1000000</f>
        <v>12.063045499999998</v>
      </c>
      <c r="V725" s="57">
        <f>(1000*CHOOSE(CONTROL!$C$42, 500, 500)*CHOOSE(CONTROL!$C$42, 0.275, 0.275)*CHOOSE(CONTROL!$C$42, 31, 31))/1000000</f>
        <v>4.2625000000000002</v>
      </c>
      <c r="W725" s="57">
        <f>(1000*CHOOSE(CONTROL!$C$42, 0.1146, 0.1146)*CHOOSE(CONTROL!$C$42, 121.5, 121.5)*CHOOSE(CONTROL!$C$42, 31, 31))/1000000</f>
        <v>0.43164089999999994</v>
      </c>
      <c r="X725" s="57">
        <f>(31*0.1790888*245000/1000000)+(31*0.2374*100000/1000000)</f>
        <v>2.0961194359999999</v>
      </c>
      <c r="Y725" s="57"/>
      <c r="Z725" s="14"/>
      <c r="AA725" s="56"/>
      <c r="AB725" s="50">
        <f>(B725*194.205+C725*267.466+D725*133.845+E725*53.484+F725*40+G725*185+H725*0+I725*100+J725*300)/(194.205+267.466+133.845+53.484+0+40+185+100+300)</f>
        <v>54.446799870486657</v>
      </c>
      <c r="AC725" s="45">
        <f>(M725*'RAP TEMPLATE-GAS AVAILABILITY'!O724+N725*'RAP TEMPLATE-GAS AVAILABILITY'!P724+O725*'RAP TEMPLATE-GAS AVAILABILITY'!Q724+P725*'RAP TEMPLATE-GAS AVAILABILITY'!R724)/('RAP TEMPLATE-GAS AVAILABILITY'!O724+'RAP TEMPLATE-GAS AVAILABILITY'!P724+'RAP TEMPLATE-GAS AVAILABILITY'!Q724+'RAP TEMPLATE-GAS AVAILABILITY'!R724)</f>
        <v>53.422802877697841</v>
      </c>
    </row>
    <row r="726" spans="1:29" ht="15.75" x14ac:dyDescent="0.25">
      <c r="A726" s="32">
        <v>63005</v>
      </c>
      <c r="B726" s="14">
        <f>CHOOSE(CONTROL!$C$42, 55.9253, 55.9253) * CHOOSE(CONTROL!$C$21, $C$9, 100%, $E$9)</f>
        <v>55.9253</v>
      </c>
      <c r="C726" s="14">
        <f>CHOOSE(CONTROL!$C$42, 55.9333, 55.9333) * CHOOSE(CONTROL!$C$21, $C$9, 100%, $E$9)</f>
        <v>55.933300000000003</v>
      </c>
      <c r="D726" s="14">
        <f>CHOOSE(CONTROL!$C$42, 56.1539, 56.1539) * CHOOSE(CONTROL!$C$21, $C$9, 100%, $E$9)</f>
        <v>56.1539</v>
      </c>
      <c r="E726" s="14">
        <f>CHOOSE(CONTROL!$C$42, 56.1853, 56.1853) * CHOOSE(CONTROL!$C$21, $C$9, 100%, $E$9)</f>
        <v>56.185299999999998</v>
      </c>
      <c r="F726" s="14">
        <f>CHOOSE(CONTROL!$C$42, 55.9519, 55.9519)*CHOOSE(CONTROL!$C$21, $C$9, 100%, $E$9)</f>
        <v>55.951900000000002</v>
      </c>
      <c r="G726" s="14">
        <f>CHOOSE(CONTROL!$C$42, 55.9691, 55.9691)*CHOOSE(CONTROL!$C$21, $C$9, 100%, $E$9)</f>
        <v>55.969099999999997</v>
      </c>
      <c r="H726" s="14">
        <f>CHOOSE(CONTROL!$C$42, 56.174, 56.174) * CHOOSE(CONTROL!$C$21, $C$9, 100%, $E$9)</f>
        <v>56.173999999999999</v>
      </c>
      <c r="I726" s="14">
        <f>CHOOSE(CONTROL!$C$42, 56.1283, 56.1283)* CHOOSE(CONTROL!$C$21, $C$9, 100%, $E$9)</f>
        <v>56.128300000000003</v>
      </c>
      <c r="J726" s="14">
        <f>CHOOSE(CONTROL!$C$42, 55.9449, 55.9449)* CHOOSE(CONTROL!$C$21, $C$9, 100%, $E$9)</f>
        <v>55.944899999999997</v>
      </c>
      <c r="K726" s="53">
        <f>CHOOSE(CONTROL!$C$42, 56.1244, 56.1244) * CHOOSE(CONTROL!$C$21, $C$9, 100%, $E$9)</f>
        <v>56.124400000000001</v>
      </c>
      <c r="L726" s="14">
        <f>CHOOSE(CONTROL!$C$42, 56.761, 56.761) * CHOOSE(CONTROL!$C$21, $C$9, 100%, $E$9)</f>
        <v>56.761000000000003</v>
      </c>
      <c r="M726" s="14">
        <f>CHOOSE(CONTROL!$C$42, 54.8063, 54.8063) * CHOOSE(CONTROL!$C$21, $C$9, 100%, $E$9)</f>
        <v>54.8063</v>
      </c>
      <c r="N726" s="14">
        <f>CHOOSE(CONTROL!$C$42, 54.8232, 54.8232) * CHOOSE(CONTROL!$C$21, $C$9, 100%, $E$9)</f>
        <v>54.8232</v>
      </c>
      <c r="O726" s="14">
        <f>CHOOSE(CONTROL!$C$42, 55.0307, 55.0307) * CHOOSE(CONTROL!$C$21, $C$9, 100%, $E$9)</f>
        <v>55.030700000000003</v>
      </c>
      <c r="P726" s="14">
        <f>CHOOSE(CONTROL!$C$42, 54.9825, 54.9825) * CHOOSE(CONTROL!$C$21, $C$9, 100%, $E$9)</f>
        <v>54.982500000000002</v>
      </c>
      <c r="Q726" s="14">
        <f>CHOOSE(CONTROL!$C$42, 55.6254, 55.6254) * CHOOSE(CONTROL!$C$21, $C$9, 100%, $E$9)</f>
        <v>55.625399999999999</v>
      </c>
      <c r="R726" s="14">
        <f>CHOOSE(CONTROL!$C$42, 56.3515, 56.3515) * CHOOSE(CONTROL!$C$21, $C$9, 100%, $E$9)</f>
        <v>56.351500000000001</v>
      </c>
      <c r="S726" s="14">
        <f>CHOOSE(CONTROL!$C$42, 53.728, 53.728) * CHOOSE(CONTROL!$C$21, $C$9, 100%, $E$9)</f>
        <v>53.728000000000002</v>
      </c>
      <c r="T7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26" s="57">
        <f>(1000*CHOOSE(CONTROL!$C$42, 695, 695)*CHOOSE(CONTROL!$C$42, 0.5599, 0.5599)*CHOOSE(CONTROL!$C$42, 30, 30))/1000000</f>
        <v>11.673914999999997</v>
      </c>
      <c r="V726" s="57">
        <f>(1000*CHOOSE(CONTROL!$C$42, 500, 500)*CHOOSE(CONTROL!$C$42, 0.275, 0.275)*CHOOSE(CONTROL!$C$42, 30, 30))/1000000</f>
        <v>4.125</v>
      </c>
      <c r="W726" s="57">
        <f>(1000*CHOOSE(CONTROL!$C$42, 0.1146, 0.1146)*CHOOSE(CONTROL!$C$42, 121.5, 121.5)*CHOOSE(CONTROL!$C$42, 30, 30))/1000000</f>
        <v>0.417717</v>
      </c>
      <c r="X726" s="57">
        <f>(30*0.1790888*245000/1000000)+(30*0.2374*100000/1000000)</f>
        <v>2.0285026799999999</v>
      </c>
      <c r="Y726" s="57"/>
      <c r="Z726" s="14"/>
      <c r="AA726" s="56"/>
      <c r="AB726" s="50">
        <f>(B726*194.205+C726*267.466+D726*133.845+E726*53.484+F726*40+G726*185+H726*0+I726*100+J726*300)/(194.205+267.466+133.845+53.484+0+40+185+100+300)</f>
        <v>55.989655992935639</v>
      </c>
      <c r="AC726" s="45">
        <f>(M726*'RAP TEMPLATE-GAS AVAILABILITY'!O725+N726*'RAP TEMPLATE-GAS AVAILABILITY'!P725+O726*'RAP TEMPLATE-GAS AVAILABILITY'!Q725+P726*'RAP TEMPLATE-GAS AVAILABILITY'!R725)/('RAP TEMPLATE-GAS AVAILABILITY'!O725+'RAP TEMPLATE-GAS AVAILABILITY'!P725+'RAP TEMPLATE-GAS AVAILABILITY'!Q725+'RAP TEMPLATE-GAS AVAILABILITY'!R725)</f>
        <v>54.934331654676264</v>
      </c>
    </row>
    <row r="727" spans="1:29" ht="15.75" x14ac:dyDescent="0.25">
      <c r="A727" s="32">
        <v>63036</v>
      </c>
      <c r="B727" s="14">
        <f>CHOOSE(CONTROL!$C$42, 54.8526, 54.8526) * CHOOSE(CONTROL!$C$21, $C$9, 100%, $E$9)</f>
        <v>54.852600000000002</v>
      </c>
      <c r="C727" s="14">
        <f>CHOOSE(CONTROL!$C$42, 54.8606, 54.8606) * CHOOSE(CONTROL!$C$21, $C$9, 100%, $E$9)</f>
        <v>54.860599999999998</v>
      </c>
      <c r="D727" s="14">
        <f>CHOOSE(CONTROL!$C$42, 55.0812, 55.0812) * CHOOSE(CONTROL!$C$21, $C$9, 100%, $E$9)</f>
        <v>55.081200000000003</v>
      </c>
      <c r="E727" s="14">
        <f>CHOOSE(CONTROL!$C$42, 55.1127, 55.1127) * CHOOSE(CONTROL!$C$21, $C$9, 100%, $E$9)</f>
        <v>55.112699999999997</v>
      </c>
      <c r="F727" s="14">
        <f>CHOOSE(CONTROL!$C$42, 54.8796, 54.8796)*CHOOSE(CONTROL!$C$21, $C$9, 100%, $E$9)</f>
        <v>54.879600000000003</v>
      </c>
      <c r="G727" s="14">
        <f>CHOOSE(CONTROL!$C$42, 54.897, 54.897)*CHOOSE(CONTROL!$C$21, $C$9, 100%, $E$9)</f>
        <v>54.896999999999998</v>
      </c>
      <c r="H727" s="14">
        <f>CHOOSE(CONTROL!$C$42, 55.1013, 55.1013) * CHOOSE(CONTROL!$C$21, $C$9, 100%, $E$9)</f>
        <v>55.101300000000002</v>
      </c>
      <c r="I727" s="14">
        <f>CHOOSE(CONTROL!$C$42, 55.0523, 55.0523)* CHOOSE(CONTROL!$C$21, $C$9, 100%, $E$9)</f>
        <v>55.052300000000002</v>
      </c>
      <c r="J727" s="14">
        <f>CHOOSE(CONTROL!$C$42, 54.8726, 54.8726)* CHOOSE(CONTROL!$C$21, $C$9, 100%, $E$9)</f>
        <v>54.872599999999998</v>
      </c>
      <c r="K727" s="53">
        <f>CHOOSE(CONTROL!$C$42, 55.0484, 55.0484) * CHOOSE(CONTROL!$C$21, $C$9, 100%, $E$9)</f>
        <v>55.048400000000001</v>
      </c>
      <c r="L727" s="14">
        <f>CHOOSE(CONTROL!$C$42, 55.6883, 55.6883) * CHOOSE(CONTROL!$C$21, $C$9, 100%, $E$9)</f>
        <v>55.688299999999998</v>
      </c>
      <c r="M727" s="14">
        <f>CHOOSE(CONTROL!$C$42, 53.756, 53.756) * CHOOSE(CONTROL!$C$21, $C$9, 100%, $E$9)</f>
        <v>53.756</v>
      </c>
      <c r="N727" s="14">
        <f>CHOOSE(CONTROL!$C$42, 53.773, 53.773) * CHOOSE(CONTROL!$C$21, $C$9, 100%, $E$9)</f>
        <v>53.773000000000003</v>
      </c>
      <c r="O727" s="14">
        <f>CHOOSE(CONTROL!$C$42, 53.98, 53.98) * CHOOSE(CONTROL!$C$21, $C$9, 100%, $E$9)</f>
        <v>53.98</v>
      </c>
      <c r="P727" s="14">
        <f>CHOOSE(CONTROL!$C$42, 53.9286, 53.9286) * CHOOSE(CONTROL!$C$21, $C$9, 100%, $E$9)</f>
        <v>53.928600000000003</v>
      </c>
      <c r="Q727" s="14">
        <f>CHOOSE(CONTROL!$C$42, 54.5747, 54.5747) * CHOOSE(CONTROL!$C$21, $C$9, 100%, $E$9)</f>
        <v>54.5747</v>
      </c>
      <c r="R727" s="14">
        <f>CHOOSE(CONTROL!$C$42, 55.2981, 55.2981) * CHOOSE(CONTROL!$C$21, $C$9, 100%, $E$9)</f>
        <v>55.298099999999998</v>
      </c>
      <c r="S727" s="14">
        <f>CHOOSE(CONTROL!$C$42, 52.6972, 52.6972) * CHOOSE(CONTROL!$C$21, $C$9, 100%, $E$9)</f>
        <v>52.697200000000002</v>
      </c>
      <c r="T7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27" s="57">
        <f>(1000*CHOOSE(CONTROL!$C$42, 695, 695)*CHOOSE(CONTROL!$C$42, 0.5599, 0.5599)*CHOOSE(CONTROL!$C$42, 31, 31))/1000000</f>
        <v>12.063045499999998</v>
      </c>
      <c r="V727" s="57">
        <f>(1000*CHOOSE(CONTROL!$C$42, 500, 500)*CHOOSE(CONTROL!$C$42, 0.275, 0.275)*CHOOSE(CONTROL!$C$42, 31, 31))/1000000</f>
        <v>4.2625000000000002</v>
      </c>
      <c r="W727" s="57">
        <f>(1000*CHOOSE(CONTROL!$C$42, 0.1146, 0.1146)*CHOOSE(CONTROL!$C$42, 121.5, 121.5)*CHOOSE(CONTROL!$C$42, 31, 31))/1000000</f>
        <v>0.43164089999999994</v>
      </c>
      <c r="X727" s="57">
        <f>(31*0.1790888*245000/1000000)+(31*0.2374*100000/1000000)</f>
        <v>2.0961194359999999</v>
      </c>
      <c r="Y727" s="57"/>
      <c r="Z727" s="14"/>
      <c r="AA727" s="56"/>
      <c r="AB727" s="50">
        <f>(B727*194.205+C727*267.466+D727*133.845+E727*53.484+F727*40+G727*185+H727*0+I727*100+J727*300)/(194.205+267.466+133.845+53.484+0+40+185+100+300)</f>
        <v>54.91689504191524</v>
      </c>
      <c r="AC727" s="45">
        <f>(M727*'RAP TEMPLATE-GAS AVAILABILITY'!O726+N727*'RAP TEMPLATE-GAS AVAILABILITY'!P726+O727*'RAP TEMPLATE-GAS AVAILABILITY'!Q726+P727*'RAP TEMPLATE-GAS AVAILABILITY'!R726)/('RAP TEMPLATE-GAS AVAILABILITY'!O726+'RAP TEMPLATE-GAS AVAILABILITY'!P726+'RAP TEMPLATE-GAS AVAILABILITY'!Q726+'RAP TEMPLATE-GAS AVAILABILITY'!R726)</f>
        <v>53.883338129496401</v>
      </c>
    </row>
    <row r="728" spans="1:29" ht="15.75" x14ac:dyDescent="0.25">
      <c r="A728" s="32">
        <v>63067</v>
      </c>
      <c r="B728" s="14">
        <f>CHOOSE(CONTROL!$C$42, 52.1437, 52.1437) * CHOOSE(CONTROL!$C$21, $C$9, 100%, $E$9)</f>
        <v>52.143700000000003</v>
      </c>
      <c r="C728" s="14">
        <f>CHOOSE(CONTROL!$C$42, 52.1517, 52.1517) * CHOOSE(CONTROL!$C$21, $C$9, 100%, $E$9)</f>
        <v>52.151699999999998</v>
      </c>
      <c r="D728" s="14">
        <f>CHOOSE(CONTROL!$C$42, 52.3723, 52.3723) * CHOOSE(CONTROL!$C$21, $C$9, 100%, $E$9)</f>
        <v>52.372300000000003</v>
      </c>
      <c r="E728" s="14">
        <f>CHOOSE(CONTROL!$C$42, 52.4038, 52.4038) * CHOOSE(CONTROL!$C$21, $C$9, 100%, $E$9)</f>
        <v>52.403799999999997</v>
      </c>
      <c r="F728" s="14">
        <f>CHOOSE(CONTROL!$C$42, 52.1711, 52.1711)*CHOOSE(CONTROL!$C$21, $C$9, 100%, $E$9)</f>
        <v>52.171100000000003</v>
      </c>
      <c r="G728" s="14">
        <f>CHOOSE(CONTROL!$C$42, 52.1885, 52.1885)*CHOOSE(CONTROL!$C$21, $C$9, 100%, $E$9)</f>
        <v>52.188499999999998</v>
      </c>
      <c r="H728" s="14">
        <f>CHOOSE(CONTROL!$C$42, 52.3924, 52.3924) * CHOOSE(CONTROL!$C$21, $C$9, 100%, $E$9)</f>
        <v>52.392400000000002</v>
      </c>
      <c r="I728" s="14">
        <f>CHOOSE(CONTROL!$C$42, 52.3349, 52.3349)* CHOOSE(CONTROL!$C$21, $C$9, 100%, $E$9)</f>
        <v>52.334899999999998</v>
      </c>
      <c r="J728" s="14">
        <f>CHOOSE(CONTROL!$C$42, 52.1641, 52.1641)* CHOOSE(CONTROL!$C$21, $C$9, 100%, $E$9)</f>
        <v>52.164099999999998</v>
      </c>
      <c r="K728" s="53">
        <f>CHOOSE(CONTROL!$C$42, 52.331, 52.331) * CHOOSE(CONTROL!$C$21, $C$9, 100%, $E$9)</f>
        <v>52.331000000000003</v>
      </c>
      <c r="L728" s="14">
        <f>CHOOSE(CONTROL!$C$42, 52.9794, 52.9794) * CHOOSE(CONTROL!$C$21, $C$9, 100%, $E$9)</f>
        <v>52.979399999999998</v>
      </c>
      <c r="M728" s="14">
        <f>CHOOSE(CONTROL!$C$42, 51.103, 51.103) * CHOOSE(CONTROL!$C$21, $C$9, 100%, $E$9)</f>
        <v>51.103000000000002</v>
      </c>
      <c r="N728" s="14">
        <f>CHOOSE(CONTROL!$C$42, 51.12, 51.12) * CHOOSE(CONTROL!$C$21, $C$9, 100%, $E$9)</f>
        <v>51.12</v>
      </c>
      <c r="O728" s="14">
        <f>CHOOSE(CONTROL!$C$42, 51.3266, 51.3266) * CHOOSE(CONTROL!$C$21, $C$9, 100%, $E$9)</f>
        <v>51.326599999999999</v>
      </c>
      <c r="P728" s="14">
        <f>CHOOSE(CONTROL!$C$42, 51.2671, 51.2671) * CHOOSE(CONTROL!$C$21, $C$9, 100%, $E$9)</f>
        <v>51.267099999999999</v>
      </c>
      <c r="Q728" s="14">
        <f>CHOOSE(CONTROL!$C$42, 51.9213, 51.9213) * CHOOSE(CONTROL!$C$21, $C$9, 100%, $E$9)</f>
        <v>51.921300000000002</v>
      </c>
      <c r="R728" s="14">
        <f>CHOOSE(CONTROL!$C$42, 52.6381, 52.6381) * CHOOSE(CONTROL!$C$21, $C$9, 100%, $E$9)</f>
        <v>52.638100000000001</v>
      </c>
      <c r="S728" s="14">
        <f>CHOOSE(CONTROL!$C$42, 50.0943, 50.0943) * CHOOSE(CONTROL!$C$21, $C$9, 100%, $E$9)</f>
        <v>50.094299999999997</v>
      </c>
      <c r="T7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28" s="57">
        <f>(1000*CHOOSE(CONTROL!$C$42, 695, 695)*CHOOSE(CONTROL!$C$42, 0.5599, 0.5599)*CHOOSE(CONTROL!$C$42, 31, 31))/1000000</f>
        <v>12.063045499999998</v>
      </c>
      <c r="V728" s="57">
        <f>(1000*CHOOSE(CONTROL!$C$42, 500, 500)*CHOOSE(CONTROL!$C$42, 0.275, 0.275)*CHOOSE(CONTROL!$C$42, 31, 31))/1000000</f>
        <v>4.2625000000000002</v>
      </c>
      <c r="W728" s="57">
        <f>(1000*CHOOSE(CONTROL!$C$42, 0.1146, 0.1146)*CHOOSE(CONTROL!$C$42, 121.5, 121.5)*CHOOSE(CONTROL!$C$42, 31, 31))/1000000</f>
        <v>0.43164089999999994</v>
      </c>
      <c r="X728" s="57">
        <f>(31*0.1790888*245000/1000000)+(31*0.2374*100000/1000000)</f>
        <v>2.0961194359999999</v>
      </c>
      <c r="Y728" s="57"/>
      <c r="Z728" s="14"/>
      <c r="AA728" s="56"/>
      <c r="AB728" s="50">
        <f>(B728*194.205+C728*267.466+D728*133.845+E728*53.484+F728*40+G728*185+H728*0+I728*100+J728*300)/(194.205+267.466+133.845+53.484+0+40+185+100+300)</f>
        <v>52.207492687127157</v>
      </c>
      <c r="AC728" s="45">
        <f>(M728*'RAP TEMPLATE-GAS AVAILABILITY'!O727+N728*'RAP TEMPLATE-GAS AVAILABILITY'!P727+O728*'RAP TEMPLATE-GAS AVAILABILITY'!Q727+P728*'RAP TEMPLATE-GAS AVAILABILITY'!R727)/('RAP TEMPLATE-GAS AVAILABILITY'!O727+'RAP TEMPLATE-GAS AVAILABILITY'!P727+'RAP TEMPLATE-GAS AVAILABILITY'!Q727+'RAP TEMPLATE-GAS AVAILABILITY'!R727)</f>
        <v>51.228933812949634</v>
      </c>
    </row>
    <row r="729" spans="1:29" ht="15.75" x14ac:dyDescent="0.25">
      <c r="A729" s="32">
        <v>63097</v>
      </c>
      <c r="B729" s="14">
        <f>CHOOSE(CONTROL!$C$42, 48.8337, 48.8337) * CHOOSE(CONTROL!$C$21, $C$9, 100%, $E$9)</f>
        <v>48.8337</v>
      </c>
      <c r="C729" s="14">
        <f>CHOOSE(CONTROL!$C$42, 48.8418, 48.8418) * CHOOSE(CONTROL!$C$21, $C$9, 100%, $E$9)</f>
        <v>48.841799999999999</v>
      </c>
      <c r="D729" s="14">
        <f>CHOOSE(CONTROL!$C$42, 49.0624, 49.0624) * CHOOSE(CONTROL!$C$21, $C$9, 100%, $E$9)</f>
        <v>49.062399999999997</v>
      </c>
      <c r="E729" s="14">
        <f>CHOOSE(CONTROL!$C$42, 49.0938, 49.0938) * CHOOSE(CONTROL!$C$21, $C$9, 100%, $E$9)</f>
        <v>49.093800000000002</v>
      </c>
      <c r="F729" s="14">
        <f>CHOOSE(CONTROL!$C$42, 48.8611, 48.8611)*CHOOSE(CONTROL!$C$21, $C$9, 100%, $E$9)</f>
        <v>48.8611</v>
      </c>
      <c r="G729" s="14">
        <f>CHOOSE(CONTROL!$C$42, 48.8785, 48.8785)*CHOOSE(CONTROL!$C$21, $C$9, 100%, $E$9)</f>
        <v>48.878500000000003</v>
      </c>
      <c r="H729" s="14">
        <f>CHOOSE(CONTROL!$C$42, 49.0825, 49.0825) * CHOOSE(CONTROL!$C$21, $C$9, 100%, $E$9)</f>
        <v>49.082500000000003</v>
      </c>
      <c r="I729" s="14">
        <f>CHOOSE(CONTROL!$C$42, 49.0146, 49.0146)* CHOOSE(CONTROL!$C$21, $C$9, 100%, $E$9)</f>
        <v>49.014600000000002</v>
      </c>
      <c r="J729" s="14">
        <f>CHOOSE(CONTROL!$C$42, 48.8541, 48.8541)* CHOOSE(CONTROL!$C$21, $C$9, 100%, $E$9)</f>
        <v>48.854100000000003</v>
      </c>
      <c r="K729" s="53">
        <f>CHOOSE(CONTROL!$C$42, 49.0107, 49.0107) * CHOOSE(CONTROL!$C$21, $C$9, 100%, $E$9)</f>
        <v>49.0107</v>
      </c>
      <c r="L729" s="14">
        <f>CHOOSE(CONTROL!$C$42, 49.6695, 49.6695) * CHOOSE(CONTROL!$C$21, $C$9, 100%, $E$9)</f>
        <v>49.669499999999999</v>
      </c>
      <c r="M729" s="14">
        <f>CHOOSE(CONTROL!$C$42, 47.8608, 47.8608) * CHOOSE(CONTROL!$C$21, $C$9, 100%, $E$9)</f>
        <v>47.860799999999998</v>
      </c>
      <c r="N729" s="14">
        <f>CHOOSE(CONTROL!$C$42, 47.8779, 47.8779) * CHOOSE(CONTROL!$C$21, $C$9, 100%, $E$9)</f>
        <v>47.877899999999997</v>
      </c>
      <c r="O729" s="14">
        <f>CHOOSE(CONTROL!$C$42, 48.0845, 48.0845) * CHOOSE(CONTROL!$C$21, $C$9, 100%, $E$9)</f>
        <v>48.084499999999998</v>
      </c>
      <c r="P729" s="14">
        <f>CHOOSE(CONTROL!$C$42, 48.015, 48.015) * CHOOSE(CONTROL!$C$21, $C$9, 100%, $E$9)</f>
        <v>48.015000000000001</v>
      </c>
      <c r="Q729" s="14">
        <f>CHOOSE(CONTROL!$C$42, 48.6792, 48.6792) * CHOOSE(CONTROL!$C$21, $C$9, 100%, $E$9)</f>
        <v>48.679200000000002</v>
      </c>
      <c r="R729" s="14">
        <f>CHOOSE(CONTROL!$C$42, 49.3879, 49.3879) * CHOOSE(CONTROL!$C$21, $C$9, 100%, $E$9)</f>
        <v>49.387900000000002</v>
      </c>
      <c r="S729" s="14">
        <f>CHOOSE(CONTROL!$C$42, 46.9137, 46.9137) * CHOOSE(CONTROL!$C$21, $C$9, 100%, $E$9)</f>
        <v>46.913699999999999</v>
      </c>
      <c r="T7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29" s="57">
        <f>(1000*CHOOSE(CONTROL!$C$42, 695, 695)*CHOOSE(CONTROL!$C$42, 0.5599, 0.5599)*CHOOSE(CONTROL!$C$42, 30, 30))/1000000</f>
        <v>11.673914999999997</v>
      </c>
      <c r="V729" s="57">
        <f>(1000*CHOOSE(CONTROL!$C$42, 500, 500)*CHOOSE(CONTROL!$C$42, 0.275, 0.275)*CHOOSE(CONTROL!$C$42, 30, 30))/1000000</f>
        <v>4.125</v>
      </c>
      <c r="W729" s="57">
        <f>(1000*CHOOSE(CONTROL!$C$42, 0.1146, 0.1146)*CHOOSE(CONTROL!$C$42, 121.5, 121.5)*CHOOSE(CONTROL!$C$42, 30, 30))/1000000</f>
        <v>0.417717</v>
      </c>
      <c r="X729" s="57">
        <f>(30*0.1790888*245000/1000000)+(30*0.2374*100000/1000000)</f>
        <v>2.0285026799999999</v>
      </c>
      <c r="Y729" s="57"/>
      <c r="Z729" s="14"/>
      <c r="AA729" s="56"/>
      <c r="AB729" s="50">
        <f>(B729*194.205+C729*267.466+D729*133.845+E729*53.484+F729*40+G729*185+H729*0+I729*100+J729*300)/(194.205+267.466+133.845+53.484+0+40+185+100+300)</f>
        <v>48.896715709968603</v>
      </c>
      <c r="AC729" s="45">
        <f>(M729*'RAP TEMPLATE-GAS AVAILABILITY'!O728+N729*'RAP TEMPLATE-GAS AVAILABILITY'!P728+O729*'RAP TEMPLATE-GAS AVAILABILITY'!Q728+P729*'RAP TEMPLATE-GAS AVAILABILITY'!R728)/('RAP TEMPLATE-GAS AVAILABILITY'!O728+'RAP TEMPLATE-GAS AVAILABILITY'!P728+'RAP TEMPLATE-GAS AVAILABILITY'!Q728+'RAP TEMPLATE-GAS AVAILABILITY'!R728)</f>
        <v>47.985360431654676</v>
      </c>
    </row>
    <row r="730" spans="1:29" ht="15.75" x14ac:dyDescent="0.25">
      <c r="A730" s="32">
        <v>63128</v>
      </c>
      <c r="B730" s="14">
        <f>CHOOSE(CONTROL!$C$42, 47.8407, 47.8407) * CHOOSE(CONTROL!$C$21, $C$9, 100%, $E$9)</f>
        <v>47.840699999999998</v>
      </c>
      <c r="C730" s="14">
        <f>CHOOSE(CONTROL!$C$42, 47.846, 47.846) * CHOOSE(CONTROL!$C$21, $C$9, 100%, $E$9)</f>
        <v>47.845999999999997</v>
      </c>
      <c r="D730" s="14">
        <f>CHOOSE(CONTROL!$C$42, 48.0716, 48.0716) * CHOOSE(CONTROL!$C$21, $C$9, 100%, $E$9)</f>
        <v>48.071599999999997</v>
      </c>
      <c r="E730" s="14">
        <f>CHOOSE(CONTROL!$C$42, 48.1007, 48.1007) * CHOOSE(CONTROL!$C$21, $C$9, 100%, $E$9)</f>
        <v>48.100700000000003</v>
      </c>
      <c r="F730" s="14">
        <f>CHOOSE(CONTROL!$C$42, 47.8701, 47.8701)*CHOOSE(CONTROL!$C$21, $C$9, 100%, $E$9)</f>
        <v>47.870100000000001</v>
      </c>
      <c r="G730" s="14">
        <f>CHOOSE(CONTROL!$C$42, 47.8873, 47.8873)*CHOOSE(CONTROL!$C$21, $C$9, 100%, $E$9)</f>
        <v>47.887300000000003</v>
      </c>
      <c r="H730" s="14">
        <f>CHOOSE(CONTROL!$C$42, 48.0912, 48.0912) * CHOOSE(CONTROL!$C$21, $C$9, 100%, $E$9)</f>
        <v>48.091200000000001</v>
      </c>
      <c r="I730" s="14">
        <f>CHOOSE(CONTROL!$C$42, 48.0202, 48.0202)* CHOOSE(CONTROL!$C$21, $C$9, 100%, $E$9)</f>
        <v>48.020200000000003</v>
      </c>
      <c r="J730" s="14">
        <f>CHOOSE(CONTROL!$C$42, 47.8631, 47.8631)* CHOOSE(CONTROL!$C$21, $C$9, 100%, $E$9)</f>
        <v>47.863100000000003</v>
      </c>
      <c r="K730" s="53">
        <f>CHOOSE(CONTROL!$C$42, 48.0163, 48.0163) * CHOOSE(CONTROL!$C$21, $C$9, 100%, $E$9)</f>
        <v>48.016300000000001</v>
      </c>
      <c r="L730" s="14">
        <f>CHOOSE(CONTROL!$C$42, 48.6782, 48.6782) * CHOOSE(CONTROL!$C$21, $C$9, 100%, $E$9)</f>
        <v>48.678199999999997</v>
      </c>
      <c r="M730" s="14">
        <f>CHOOSE(CONTROL!$C$42, 46.8901, 46.8901) * CHOOSE(CONTROL!$C$21, $C$9, 100%, $E$9)</f>
        <v>46.890099999999997</v>
      </c>
      <c r="N730" s="14">
        <f>CHOOSE(CONTROL!$C$42, 46.907, 46.907) * CHOOSE(CONTROL!$C$21, $C$9, 100%, $E$9)</f>
        <v>46.906999999999996</v>
      </c>
      <c r="O730" s="14">
        <f>CHOOSE(CONTROL!$C$42, 47.1135, 47.1135) * CHOOSE(CONTROL!$C$21, $C$9, 100%, $E$9)</f>
        <v>47.113500000000002</v>
      </c>
      <c r="P730" s="14">
        <f>CHOOSE(CONTROL!$C$42, 47.041, 47.041) * CHOOSE(CONTROL!$C$21, $C$9, 100%, $E$9)</f>
        <v>47.040999999999997</v>
      </c>
      <c r="Q730" s="14">
        <f>CHOOSE(CONTROL!$C$42, 47.7082, 47.7082) * CHOOSE(CONTROL!$C$21, $C$9, 100%, $E$9)</f>
        <v>47.708199999999998</v>
      </c>
      <c r="R730" s="14">
        <f>CHOOSE(CONTROL!$C$42, 48.4145, 48.4145) * CHOOSE(CONTROL!$C$21, $C$9, 100%, $E$9)</f>
        <v>48.414499999999997</v>
      </c>
      <c r="S730" s="14">
        <f>CHOOSE(CONTROL!$C$42, 45.9612, 45.9612) * CHOOSE(CONTROL!$C$21, $C$9, 100%, $E$9)</f>
        <v>45.961199999999998</v>
      </c>
      <c r="T7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30" s="57">
        <f>(1000*CHOOSE(CONTROL!$C$42, 695, 695)*CHOOSE(CONTROL!$C$42, 0.5599, 0.5599)*CHOOSE(CONTROL!$C$42, 31, 31))/1000000</f>
        <v>12.063045499999998</v>
      </c>
      <c r="V730" s="57">
        <f>(1000*CHOOSE(CONTROL!$C$42, 500, 500)*CHOOSE(CONTROL!$C$42, 0.275, 0.275)*CHOOSE(CONTROL!$C$42, 31, 31))/1000000</f>
        <v>4.2625000000000002</v>
      </c>
      <c r="W730" s="57">
        <f>(1000*CHOOSE(CONTROL!$C$42, 0.1146, 0.1146)*CHOOSE(CONTROL!$C$42, 121.5, 121.5)*CHOOSE(CONTROL!$C$42, 31, 31))/1000000</f>
        <v>0.43164089999999994</v>
      </c>
      <c r="X730" s="57">
        <f>(31*0.1790888*245000/1000000)+(31*0.2374*100000/1000000)</f>
        <v>2.0961194359999999</v>
      </c>
      <c r="Y730" s="57"/>
      <c r="Z730" s="14"/>
      <c r="AA730" s="56"/>
      <c r="AB730" s="50">
        <f>(B730*131.881+C730*277.167+D730*79.08+E730*125.872+F730*40+G730*185+H730*0+I730*100+J730*300)/(131.881+277.167+79.08+125.872+0+40+185+100+300)</f>
        <v>47.910855187328494</v>
      </c>
      <c r="AC730" s="45">
        <f>(M730*'RAP TEMPLATE-GAS AVAILABILITY'!O729+N730*'RAP TEMPLATE-GAS AVAILABILITY'!P729+O730*'RAP TEMPLATE-GAS AVAILABILITY'!Q729+P730*'RAP TEMPLATE-GAS AVAILABILITY'!R729)/('RAP TEMPLATE-GAS AVAILABILITY'!O729+'RAP TEMPLATE-GAS AVAILABILITY'!P729+'RAP TEMPLATE-GAS AVAILABILITY'!Q729+'RAP TEMPLATE-GAS AVAILABILITY'!R729)</f>
        <v>47.014038129496399</v>
      </c>
    </row>
    <row r="731" spans="1:29" ht="15.75" x14ac:dyDescent="0.25">
      <c r="A731" s="32">
        <v>63158</v>
      </c>
      <c r="B731" s="14">
        <f>CHOOSE(CONTROL!$C$42, 49.1004, 49.1004) * CHOOSE(CONTROL!$C$21, $C$9, 100%, $E$9)</f>
        <v>49.1004</v>
      </c>
      <c r="C731" s="14">
        <f>CHOOSE(CONTROL!$C$42, 49.1054, 49.1054) * CHOOSE(CONTROL!$C$21, $C$9, 100%, $E$9)</f>
        <v>49.105400000000003</v>
      </c>
      <c r="D731" s="14">
        <f>CHOOSE(CONTROL!$C$42, 49.1797, 49.1797) * CHOOSE(CONTROL!$C$21, $C$9, 100%, $E$9)</f>
        <v>49.179699999999997</v>
      </c>
      <c r="E731" s="14">
        <f>CHOOSE(CONTROL!$C$42, 49.2138, 49.2138) * CHOOSE(CONTROL!$C$21, $C$9, 100%, $E$9)</f>
        <v>49.213799999999999</v>
      </c>
      <c r="F731" s="14">
        <f>CHOOSE(CONTROL!$C$42, 49.1364, 49.1364)*CHOOSE(CONTROL!$C$21, $C$9, 100%, $E$9)</f>
        <v>49.136400000000002</v>
      </c>
      <c r="G731" s="14">
        <f>CHOOSE(CONTROL!$C$42, 49.154, 49.154)*CHOOSE(CONTROL!$C$21, $C$9, 100%, $E$9)</f>
        <v>49.154000000000003</v>
      </c>
      <c r="H731" s="14">
        <f>CHOOSE(CONTROL!$C$42, 49.203, 49.203) * CHOOSE(CONTROL!$C$21, $C$9, 100%, $E$9)</f>
        <v>49.203000000000003</v>
      </c>
      <c r="I731" s="14">
        <f>CHOOSE(CONTROL!$C$42, 49.2816, 49.2816)* CHOOSE(CONTROL!$C$21, $C$9, 100%, $E$9)</f>
        <v>49.281599999999997</v>
      </c>
      <c r="J731" s="14">
        <f>CHOOSE(CONTROL!$C$42, 49.1294, 49.1294)* CHOOSE(CONTROL!$C$21, $C$9, 100%, $E$9)</f>
        <v>49.129399999999997</v>
      </c>
      <c r="K731" s="53">
        <f>CHOOSE(CONTROL!$C$42, 49.2777, 49.2777) * CHOOSE(CONTROL!$C$21, $C$9, 100%, $E$9)</f>
        <v>49.277700000000003</v>
      </c>
      <c r="L731" s="14">
        <f>CHOOSE(CONTROL!$C$42, 49.79, 49.79) * CHOOSE(CONTROL!$C$21, $C$9, 100%, $E$9)</f>
        <v>49.79</v>
      </c>
      <c r="M731" s="14">
        <f>CHOOSE(CONTROL!$C$42, 48.1305, 48.1305) * CHOOSE(CONTROL!$C$21, $C$9, 100%, $E$9)</f>
        <v>48.130499999999998</v>
      </c>
      <c r="N731" s="14">
        <f>CHOOSE(CONTROL!$C$42, 48.1477, 48.1477) * CHOOSE(CONTROL!$C$21, $C$9, 100%, $E$9)</f>
        <v>48.1477</v>
      </c>
      <c r="O731" s="14">
        <f>CHOOSE(CONTROL!$C$42, 48.2025, 48.2025) * CHOOSE(CONTROL!$C$21, $C$9, 100%, $E$9)</f>
        <v>48.202500000000001</v>
      </c>
      <c r="P731" s="14">
        <f>CHOOSE(CONTROL!$C$42, 48.2765, 48.2765) * CHOOSE(CONTROL!$C$21, $C$9, 100%, $E$9)</f>
        <v>48.276499999999999</v>
      </c>
      <c r="Q731" s="14">
        <f>CHOOSE(CONTROL!$C$42, 48.7972, 48.7972) * CHOOSE(CONTROL!$C$21, $C$9, 100%, $E$9)</f>
        <v>48.797199999999997</v>
      </c>
      <c r="R731" s="14">
        <f>CHOOSE(CONTROL!$C$42, 49.5062, 49.5062) * CHOOSE(CONTROL!$C$21, $C$9, 100%, $E$9)</f>
        <v>49.5062</v>
      </c>
      <c r="S731" s="14">
        <f>CHOOSE(CONTROL!$C$42, 47.172, 47.172) * CHOOSE(CONTROL!$C$21, $C$9, 100%, $E$9)</f>
        <v>47.171999999999997</v>
      </c>
      <c r="T7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31" s="57">
        <f>(1000*CHOOSE(CONTROL!$C$42, 695, 695)*CHOOSE(CONTROL!$C$42, 0.5599, 0.5599)*CHOOSE(CONTROL!$C$42, 30, 30))/1000000</f>
        <v>11.673914999999997</v>
      </c>
      <c r="V731" s="57">
        <f>(1000*CHOOSE(CONTROL!$C$42, 500, 500)*CHOOSE(CONTROL!$C$42, 0.275, 0.275)*CHOOSE(CONTROL!$C$42, 30, 30))/1000000</f>
        <v>4.125</v>
      </c>
      <c r="W731" s="57">
        <f>(1000*CHOOSE(CONTROL!$C$42, 0.1146, 0.1146)*CHOOSE(CONTROL!$C$42, 121.5, 121.5)*CHOOSE(CONTROL!$C$42, 30, 30))/1000000</f>
        <v>0.417717</v>
      </c>
      <c r="X731" s="57">
        <f>(30*0.1790888*100000/1000000)+(30*0.2374*100000/1000000)</f>
        <v>1.2494664</v>
      </c>
      <c r="Y731" s="57"/>
      <c r="Z731" s="14"/>
      <c r="AA731" s="56"/>
      <c r="AB731" s="50">
        <f>(B731*122.58+C731*297.941+D731*89.177+E731*40.302+F731*40+G731*160+H731*0+I731*100+J731*300)/(122.58+297.941+89.177+40.302+0+40+160+100+300)</f>
        <v>49.143850163391306</v>
      </c>
      <c r="AC731" s="45">
        <f>(M731*'RAP TEMPLATE-GAS AVAILABILITY'!O730+N731*'RAP TEMPLATE-GAS AVAILABILITY'!P730+O731*'RAP TEMPLATE-GAS AVAILABILITY'!Q730+P731*'RAP TEMPLATE-GAS AVAILABILITY'!R730)/('RAP TEMPLATE-GAS AVAILABILITY'!O730+'RAP TEMPLATE-GAS AVAILABILITY'!P730+'RAP TEMPLATE-GAS AVAILABILITY'!Q730+'RAP TEMPLATE-GAS AVAILABILITY'!R730)</f>
        <v>48.185130215827343</v>
      </c>
    </row>
    <row r="732" spans="1:29" ht="15.75" x14ac:dyDescent="0.25">
      <c r="A732" s="32">
        <v>63189</v>
      </c>
      <c r="B732" s="14">
        <f>CHOOSE(CONTROL!$C$42, 52.4474, 52.4474) * CHOOSE(CONTROL!$C$21, $C$9, 100%, $E$9)</f>
        <v>52.447400000000002</v>
      </c>
      <c r="C732" s="14">
        <f>CHOOSE(CONTROL!$C$42, 52.4524, 52.4524) * CHOOSE(CONTROL!$C$21, $C$9, 100%, $E$9)</f>
        <v>52.452399999999997</v>
      </c>
      <c r="D732" s="14">
        <f>CHOOSE(CONTROL!$C$42, 52.5266, 52.5266) * CHOOSE(CONTROL!$C$21, $C$9, 100%, $E$9)</f>
        <v>52.526600000000002</v>
      </c>
      <c r="E732" s="14">
        <f>CHOOSE(CONTROL!$C$42, 52.5608, 52.5608) * CHOOSE(CONTROL!$C$21, $C$9, 100%, $E$9)</f>
        <v>52.5608</v>
      </c>
      <c r="F732" s="14">
        <f>CHOOSE(CONTROL!$C$42, 52.4858, 52.4858)*CHOOSE(CONTROL!$C$21, $C$9, 100%, $E$9)</f>
        <v>52.485799999999998</v>
      </c>
      <c r="G732" s="14">
        <f>CHOOSE(CONTROL!$C$42, 52.5039, 52.5039)*CHOOSE(CONTROL!$C$21, $C$9, 100%, $E$9)</f>
        <v>52.503900000000002</v>
      </c>
      <c r="H732" s="14">
        <f>CHOOSE(CONTROL!$C$42, 52.55, 52.55) * CHOOSE(CONTROL!$C$21, $C$9, 100%, $E$9)</f>
        <v>52.55</v>
      </c>
      <c r="I732" s="14">
        <f>CHOOSE(CONTROL!$C$42, 52.6391, 52.6391)* CHOOSE(CONTROL!$C$21, $C$9, 100%, $E$9)</f>
        <v>52.639099999999999</v>
      </c>
      <c r="J732" s="14">
        <f>CHOOSE(CONTROL!$C$42, 52.4788, 52.4788)* CHOOSE(CONTROL!$C$21, $C$9, 100%, $E$9)</f>
        <v>52.4788</v>
      </c>
      <c r="K732" s="53">
        <f>CHOOSE(CONTROL!$C$42, 52.6352, 52.6352) * CHOOSE(CONTROL!$C$21, $C$9, 100%, $E$9)</f>
        <v>52.635199999999998</v>
      </c>
      <c r="L732" s="14">
        <f>CHOOSE(CONTROL!$C$42, 53.137, 53.137) * CHOOSE(CONTROL!$C$21, $C$9, 100%, $E$9)</f>
        <v>53.137</v>
      </c>
      <c r="M732" s="14">
        <f>CHOOSE(CONTROL!$C$42, 51.4112, 51.4112) * CHOOSE(CONTROL!$C$21, $C$9, 100%, $E$9)</f>
        <v>51.411200000000001</v>
      </c>
      <c r="N732" s="14">
        <f>CHOOSE(CONTROL!$C$42, 51.429, 51.429) * CHOOSE(CONTROL!$C$21, $C$9, 100%, $E$9)</f>
        <v>51.429000000000002</v>
      </c>
      <c r="O732" s="14">
        <f>CHOOSE(CONTROL!$C$42, 51.4809, 51.4809) * CHOOSE(CONTROL!$C$21, $C$9, 100%, $E$9)</f>
        <v>51.480899999999998</v>
      </c>
      <c r="P732" s="14">
        <f>CHOOSE(CONTROL!$C$42, 51.565, 51.565) * CHOOSE(CONTROL!$C$21, $C$9, 100%, $E$9)</f>
        <v>51.564999999999998</v>
      </c>
      <c r="Q732" s="14">
        <f>CHOOSE(CONTROL!$C$42, 52.0756, 52.0756) * CHOOSE(CONTROL!$C$21, $C$9, 100%, $E$9)</f>
        <v>52.075600000000001</v>
      </c>
      <c r="R732" s="14">
        <f>CHOOSE(CONTROL!$C$42, 52.7928, 52.7928) * CHOOSE(CONTROL!$C$21, $C$9, 100%, $E$9)</f>
        <v>52.7928</v>
      </c>
      <c r="S732" s="14">
        <f>CHOOSE(CONTROL!$C$42, 50.3881, 50.3881) * CHOOSE(CONTROL!$C$21, $C$9, 100%, $E$9)</f>
        <v>50.388100000000001</v>
      </c>
      <c r="T7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32" s="57">
        <f>(1000*CHOOSE(CONTROL!$C$42, 695, 695)*CHOOSE(CONTROL!$C$42, 0.5599, 0.5599)*CHOOSE(CONTROL!$C$42, 31, 31))/1000000</f>
        <v>12.063045499999998</v>
      </c>
      <c r="V732" s="57">
        <f>(1000*CHOOSE(CONTROL!$C$42, 500, 500)*CHOOSE(CONTROL!$C$42, 0.275, 0.275)*CHOOSE(CONTROL!$C$42, 31, 31))/1000000</f>
        <v>4.2625000000000002</v>
      </c>
      <c r="W732" s="57">
        <f>(1000*CHOOSE(CONTROL!$C$42, 0.1146, 0.1146)*CHOOSE(CONTROL!$C$42, 121.5, 121.5)*CHOOSE(CONTROL!$C$42, 31, 31))/1000000</f>
        <v>0.43164089999999994</v>
      </c>
      <c r="X732" s="57">
        <f>(31*0.1790888*100000/1000000)+(31*0.2374*100000/1000000)</f>
        <v>1.2911152800000001</v>
      </c>
      <c r="Y732" s="57"/>
      <c r="Z732" s="14"/>
      <c r="AA732" s="56"/>
      <c r="AB732" s="50">
        <f>(B732*122.58+C732*297.941+D732*89.177+E732*40.302+F732*40+G732*160+H732*0+I732*100+J732*300)/(122.58+297.941+89.177+40.302+0+40+160+100+300)</f>
        <v>52.49286849582608</v>
      </c>
      <c r="AC732" s="45">
        <f>(M732*'RAP TEMPLATE-GAS AVAILABILITY'!O731+N732*'RAP TEMPLATE-GAS AVAILABILITY'!P731+O732*'RAP TEMPLATE-GAS AVAILABILITY'!Q731+P732*'RAP TEMPLATE-GAS AVAILABILITY'!R731)/('RAP TEMPLATE-GAS AVAILABILITY'!O731+'RAP TEMPLATE-GAS AVAILABILITY'!P731+'RAP TEMPLATE-GAS AVAILABILITY'!Q731+'RAP TEMPLATE-GAS AVAILABILITY'!R731)</f>
        <v>51.465944604316547</v>
      </c>
    </row>
    <row r="733" spans="1:29" ht="15.75" x14ac:dyDescent="0.25">
      <c r="A733" s="32">
        <v>63220</v>
      </c>
      <c r="B733" s="14">
        <f>CHOOSE(CONTROL!$C$42, 56.7945, 56.7945) * CHOOSE(CONTROL!$C$21, $C$9, 100%, $E$9)</f>
        <v>56.794499999999999</v>
      </c>
      <c r="C733" s="14">
        <f>CHOOSE(CONTROL!$C$42, 56.7996, 56.7996) * CHOOSE(CONTROL!$C$21, $C$9, 100%, $E$9)</f>
        <v>56.799599999999998</v>
      </c>
      <c r="D733" s="14">
        <f>CHOOSE(CONTROL!$C$42, 56.8764, 56.8764) * CHOOSE(CONTROL!$C$21, $C$9, 100%, $E$9)</f>
        <v>56.876399999999997</v>
      </c>
      <c r="E733" s="14">
        <f>CHOOSE(CONTROL!$C$42, 56.9105, 56.9105) * CHOOSE(CONTROL!$C$21, $C$9, 100%, $E$9)</f>
        <v>56.910499999999999</v>
      </c>
      <c r="F733" s="14">
        <f>CHOOSE(CONTROL!$C$42, 56.8192, 56.8192)*CHOOSE(CONTROL!$C$21, $C$9, 100%, $E$9)</f>
        <v>56.819200000000002</v>
      </c>
      <c r="G733" s="14">
        <f>CHOOSE(CONTROL!$C$42, 56.8372, 56.8372)*CHOOSE(CONTROL!$C$21, $C$9, 100%, $E$9)</f>
        <v>56.837200000000003</v>
      </c>
      <c r="H733" s="14">
        <f>CHOOSE(CONTROL!$C$42, 56.8997, 56.8997) * CHOOSE(CONTROL!$C$21, $C$9, 100%, $E$9)</f>
        <v>56.899700000000003</v>
      </c>
      <c r="I733" s="14">
        <f>CHOOSE(CONTROL!$C$42, 57.0061, 57.0061)* CHOOSE(CONTROL!$C$21, $C$9, 100%, $E$9)</f>
        <v>57.006100000000004</v>
      </c>
      <c r="J733" s="14">
        <f>CHOOSE(CONTROL!$C$42, 56.8122, 56.8122)* CHOOSE(CONTROL!$C$21, $C$9, 100%, $E$9)</f>
        <v>56.812199999999997</v>
      </c>
      <c r="K733" s="53">
        <f>CHOOSE(CONTROL!$C$42, 57.0022, 57.0022) * CHOOSE(CONTROL!$C$21, $C$9, 100%, $E$9)</f>
        <v>57.002200000000002</v>
      </c>
      <c r="L733" s="14">
        <f>CHOOSE(CONTROL!$C$42, 57.4867, 57.4867) * CHOOSE(CONTROL!$C$21, $C$9, 100%, $E$9)</f>
        <v>57.486699999999999</v>
      </c>
      <c r="M733" s="14">
        <f>CHOOSE(CONTROL!$C$42, 55.6559, 55.6559) * CHOOSE(CONTROL!$C$21, $C$9, 100%, $E$9)</f>
        <v>55.655900000000003</v>
      </c>
      <c r="N733" s="14">
        <f>CHOOSE(CONTROL!$C$42, 55.6735, 55.6735) * CHOOSE(CONTROL!$C$21, $C$9, 100%, $E$9)</f>
        <v>55.673499999999997</v>
      </c>
      <c r="O733" s="14">
        <f>CHOOSE(CONTROL!$C$42, 55.7415, 55.7415) * CHOOSE(CONTROL!$C$21, $C$9, 100%, $E$9)</f>
        <v>55.741500000000002</v>
      </c>
      <c r="P733" s="14">
        <f>CHOOSE(CONTROL!$C$42, 55.8423, 55.8423) * CHOOSE(CONTROL!$C$21, $C$9, 100%, $E$9)</f>
        <v>55.842300000000002</v>
      </c>
      <c r="Q733" s="14">
        <f>CHOOSE(CONTROL!$C$42, 56.3362, 56.3362) * CHOOSE(CONTROL!$C$21, $C$9, 100%, $E$9)</f>
        <v>56.336199999999998</v>
      </c>
      <c r="R733" s="14">
        <f>CHOOSE(CONTROL!$C$42, 57.0641, 57.0641) * CHOOSE(CONTROL!$C$21, $C$9, 100%, $E$9)</f>
        <v>57.064100000000003</v>
      </c>
      <c r="S733" s="14">
        <f>CHOOSE(CONTROL!$C$42, 54.5653, 54.5653) * CHOOSE(CONTROL!$C$21, $C$9, 100%, $E$9)</f>
        <v>54.565300000000001</v>
      </c>
      <c r="T7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3" s="57">
        <f>(1000*CHOOSE(CONTROL!$C$42, 695, 695)*CHOOSE(CONTROL!$C$42, 0.5599, 0.5599)*CHOOSE(CONTROL!$C$42, 31, 31))/1000000</f>
        <v>12.063045499999998</v>
      </c>
      <c r="V733" s="57">
        <f>(1000*CHOOSE(CONTROL!$C$42, 500, 500)*CHOOSE(CONTROL!$C$42, 0.275, 0.275)*CHOOSE(CONTROL!$C$42, 31, 31))/1000000</f>
        <v>4.2625000000000002</v>
      </c>
      <c r="W733" s="57">
        <f>(1000*CHOOSE(CONTROL!$C$42, 0.1146, 0.1146)*CHOOSE(CONTROL!$C$42, 121.5, 121.5)*CHOOSE(CONTROL!$C$42, 31, 31))/1000000</f>
        <v>0.43164089999999994</v>
      </c>
      <c r="X733" s="57">
        <f>(31*0.1790888*100000/1000000)+(31*0.2374*100000/1000000)</f>
        <v>1.2911152800000001</v>
      </c>
      <c r="Y733" s="57"/>
      <c r="Z733" s="14"/>
      <c r="AA733" s="56"/>
      <c r="AB733" s="50">
        <f>(B733*122.58+C733*297.941+D733*89.177+E733*40.302+F733*40+G733*160+H733*0+I733*100+J733*300)/(122.58+297.941+89.177+40.302+0+40+160+100+300)</f>
        <v>56.836054893391314</v>
      </c>
      <c r="AC733" s="45">
        <f>(M733*'RAP TEMPLATE-GAS AVAILABILITY'!O732+N733*'RAP TEMPLATE-GAS AVAILABILITY'!P732+O733*'RAP TEMPLATE-GAS AVAILABILITY'!Q732+P733*'RAP TEMPLATE-GAS AVAILABILITY'!R732)/('RAP TEMPLATE-GAS AVAILABILITY'!O732+'RAP TEMPLATE-GAS AVAILABILITY'!P732+'RAP TEMPLATE-GAS AVAILABILITY'!Q732+'RAP TEMPLATE-GAS AVAILABILITY'!R732)</f>
        <v>55.722530215827348</v>
      </c>
    </row>
    <row r="734" spans="1:29" ht="15.75" x14ac:dyDescent="0.25">
      <c r="A734" s="32">
        <v>63248</v>
      </c>
      <c r="B734" s="14">
        <f>CHOOSE(CONTROL!$C$42, 57.8054, 57.8054) * CHOOSE(CONTROL!$C$21, $C$9, 100%, $E$9)</f>
        <v>57.805399999999999</v>
      </c>
      <c r="C734" s="14">
        <f>CHOOSE(CONTROL!$C$42, 57.8104, 57.8104) * CHOOSE(CONTROL!$C$21, $C$9, 100%, $E$9)</f>
        <v>57.810400000000001</v>
      </c>
      <c r="D734" s="14">
        <f>CHOOSE(CONTROL!$C$42, 57.8872, 57.8872) * CHOOSE(CONTROL!$C$21, $C$9, 100%, $E$9)</f>
        <v>57.8872</v>
      </c>
      <c r="E734" s="14">
        <f>CHOOSE(CONTROL!$C$42, 57.9213, 57.9213) * CHOOSE(CONTROL!$C$21, $C$9, 100%, $E$9)</f>
        <v>57.921300000000002</v>
      </c>
      <c r="F734" s="14">
        <f>CHOOSE(CONTROL!$C$42, 57.8297, 57.8297)*CHOOSE(CONTROL!$C$21, $C$9, 100%, $E$9)</f>
        <v>57.829700000000003</v>
      </c>
      <c r="G734" s="14">
        <f>CHOOSE(CONTROL!$C$42, 57.8476, 57.8476)*CHOOSE(CONTROL!$C$21, $C$9, 100%, $E$9)</f>
        <v>57.8476</v>
      </c>
      <c r="H734" s="14">
        <f>CHOOSE(CONTROL!$C$42, 57.9105, 57.9105) * CHOOSE(CONTROL!$C$21, $C$9, 100%, $E$9)</f>
        <v>57.910499999999999</v>
      </c>
      <c r="I734" s="14">
        <f>CHOOSE(CONTROL!$C$42, 58.0201, 58.0201)* CHOOSE(CONTROL!$C$21, $C$9, 100%, $E$9)</f>
        <v>58.020099999999999</v>
      </c>
      <c r="J734" s="14">
        <f>CHOOSE(CONTROL!$C$42, 57.8227, 57.8227)* CHOOSE(CONTROL!$C$21, $C$9, 100%, $E$9)</f>
        <v>57.822699999999998</v>
      </c>
      <c r="K734" s="53">
        <f>CHOOSE(CONTROL!$C$42, 58.0162, 58.0162) * CHOOSE(CONTROL!$C$21, $C$9, 100%, $E$9)</f>
        <v>58.016199999999998</v>
      </c>
      <c r="L734" s="14">
        <f>CHOOSE(CONTROL!$C$42, 58.4975, 58.4975) * CHOOSE(CONTROL!$C$21, $C$9, 100%, $E$9)</f>
        <v>58.497500000000002</v>
      </c>
      <c r="M734" s="14">
        <f>CHOOSE(CONTROL!$C$42, 56.6456, 56.6456) * CHOOSE(CONTROL!$C$21, $C$9, 100%, $E$9)</f>
        <v>56.645600000000002</v>
      </c>
      <c r="N734" s="14">
        <f>CHOOSE(CONTROL!$C$42, 56.6631, 56.6631) * CHOOSE(CONTROL!$C$21, $C$9, 100%, $E$9)</f>
        <v>56.6631</v>
      </c>
      <c r="O734" s="14">
        <f>CHOOSE(CONTROL!$C$42, 56.7317, 56.7317) * CHOOSE(CONTROL!$C$21, $C$9, 100%, $E$9)</f>
        <v>56.731699999999996</v>
      </c>
      <c r="P734" s="14">
        <f>CHOOSE(CONTROL!$C$42, 56.8354, 56.8354) * CHOOSE(CONTROL!$C$21, $C$9, 100%, $E$9)</f>
        <v>56.8354</v>
      </c>
      <c r="Q734" s="14">
        <f>CHOOSE(CONTROL!$C$42, 57.3264, 57.3264) * CHOOSE(CONTROL!$C$21, $C$9, 100%, $E$9)</f>
        <v>57.3264</v>
      </c>
      <c r="R734" s="14">
        <f>CHOOSE(CONTROL!$C$42, 58.0567, 58.0567) * CHOOSE(CONTROL!$C$21, $C$9, 100%, $E$9)</f>
        <v>58.056699999999999</v>
      </c>
      <c r="S734" s="14">
        <f>CHOOSE(CONTROL!$C$42, 55.5366, 55.5366) * CHOOSE(CONTROL!$C$21, $C$9, 100%, $E$9)</f>
        <v>55.5366</v>
      </c>
      <c r="T73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34" s="57">
        <f>(1000*CHOOSE(CONTROL!$C$42, 695, 695)*CHOOSE(CONTROL!$C$42, 0.5599, 0.5599)*CHOOSE(CONTROL!$C$42, 28, 28))/1000000</f>
        <v>10.895653999999999</v>
      </c>
      <c r="V734" s="57">
        <f>(1000*CHOOSE(CONTROL!$C$42, 500, 500)*CHOOSE(CONTROL!$C$42, 0.275, 0.275)*CHOOSE(CONTROL!$C$42, 28, 28))/1000000</f>
        <v>3.85</v>
      </c>
      <c r="W734" s="57">
        <f>(1000*CHOOSE(CONTROL!$C$42, 0.1146, 0.1146)*CHOOSE(CONTROL!$C$42, 121.5, 121.5)*CHOOSE(CONTROL!$C$42, 28, 28))/1000000</f>
        <v>0.38986920000000003</v>
      </c>
      <c r="X734" s="57">
        <f>(28*0.1790888*100000/1000000)+(28*0.2374*100000/1000000)</f>
        <v>1.16616864</v>
      </c>
      <c r="Y734" s="57"/>
      <c r="Z734" s="14"/>
      <c r="AA734" s="56"/>
      <c r="AB734" s="50">
        <f>(B734*122.58+C734*297.941+D734*89.177+E734*40.302+F734*40+G734*160+H734*0+I734*100+J734*300)/(122.58+297.941+89.177+40.302+0+40+160+100+300)</f>
        <v>57.846999465565212</v>
      </c>
      <c r="AC734" s="45">
        <f>(M734*'RAP TEMPLATE-GAS AVAILABILITY'!O733+N734*'RAP TEMPLATE-GAS AVAILABILITY'!P733+O734*'RAP TEMPLATE-GAS AVAILABILITY'!Q733+P734*'RAP TEMPLATE-GAS AVAILABILITY'!R733)/('RAP TEMPLATE-GAS AVAILABILITY'!O733+'RAP TEMPLATE-GAS AVAILABILITY'!P733+'RAP TEMPLATE-GAS AVAILABILITY'!Q733+'RAP TEMPLATE-GAS AVAILABILITY'!R733)</f>
        <v>56.712940287769783</v>
      </c>
    </row>
    <row r="735" spans="1:29" ht="15.75" x14ac:dyDescent="0.25">
      <c r="A735" s="32">
        <v>63279</v>
      </c>
      <c r="B735" s="14">
        <f>CHOOSE(CONTROL!$C$42, 56.1645, 56.1645) * CHOOSE(CONTROL!$C$21, $C$9, 100%, $E$9)</f>
        <v>56.164499999999997</v>
      </c>
      <c r="C735" s="14">
        <f>CHOOSE(CONTROL!$C$42, 56.1696, 56.1696) * CHOOSE(CONTROL!$C$21, $C$9, 100%, $E$9)</f>
        <v>56.169600000000003</v>
      </c>
      <c r="D735" s="14">
        <f>CHOOSE(CONTROL!$C$42, 56.2464, 56.2464) * CHOOSE(CONTROL!$C$21, $C$9, 100%, $E$9)</f>
        <v>56.246400000000001</v>
      </c>
      <c r="E735" s="14">
        <f>CHOOSE(CONTROL!$C$42, 56.2805, 56.2805) * CHOOSE(CONTROL!$C$21, $C$9, 100%, $E$9)</f>
        <v>56.280500000000004</v>
      </c>
      <c r="F735" s="14">
        <f>CHOOSE(CONTROL!$C$42, 56.188, 56.188)*CHOOSE(CONTROL!$C$21, $C$9, 100%, $E$9)</f>
        <v>56.188000000000002</v>
      </c>
      <c r="G735" s="14">
        <f>CHOOSE(CONTROL!$C$42, 56.2056, 56.2056)*CHOOSE(CONTROL!$C$21, $C$9, 100%, $E$9)</f>
        <v>56.205599999999997</v>
      </c>
      <c r="H735" s="14">
        <f>CHOOSE(CONTROL!$C$42, 56.2697, 56.2697) * CHOOSE(CONTROL!$C$21, $C$9, 100%, $E$9)</f>
        <v>56.2697</v>
      </c>
      <c r="I735" s="14">
        <f>CHOOSE(CONTROL!$C$42, 56.3741, 56.3741)* CHOOSE(CONTROL!$C$21, $C$9, 100%, $E$9)</f>
        <v>56.374099999999999</v>
      </c>
      <c r="J735" s="14">
        <f>CHOOSE(CONTROL!$C$42, 56.181, 56.181)* CHOOSE(CONTROL!$C$21, $C$9, 100%, $E$9)</f>
        <v>56.180999999999997</v>
      </c>
      <c r="K735" s="53">
        <f>CHOOSE(CONTROL!$C$42, 56.3702, 56.3702) * CHOOSE(CONTROL!$C$21, $C$9, 100%, $E$9)</f>
        <v>56.370199999999997</v>
      </c>
      <c r="L735" s="14">
        <f>CHOOSE(CONTROL!$C$42, 56.8567, 56.8567) * CHOOSE(CONTROL!$C$21, $C$9, 100%, $E$9)</f>
        <v>56.856699999999996</v>
      </c>
      <c r="M735" s="14">
        <f>CHOOSE(CONTROL!$C$42, 55.0375, 55.0375) * CHOOSE(CONTROL!$C$21, $C$9, 100%, $E$9)</f>
        <v>55.037500000000001</v>
      </c>
      <c r="N735" s="14">
        <f>CHOOSE(CONTROL!$C$42, 55.0548, 55.0548) * CHOOSE(CONTROL!$C$21, $C$9, 100%, $E$9)</f>
        <v>55.0548</v>
      </c>
      <c r="O735" s="14">
        <f>CHOOSE(CONTROL!$C$42, 55.1244, 55.1244) * CHOOSE(CONTROL!$C$21, $C$9, 100%, $E$9)</f>
        <v>55.124400000000001</v>
      </c>
      <c r="P735" s="14">
        <f>CHOOSE(CONTROL!$C$42, 55.2233, 55.2233) * CHOOSE(CONTROL!$C$21, $C$9, 100%, $E$9)</f>
        <v>55.223300000000002</v>
      </c>
      <c r="Q735" s="14">
        <f>CHOOSE(CONTROL!$C$42, 55.7191, 55.7191) * CHOOSE(CONTROL!$C$21, $C$9, 100%, $E$9)</f>
        <v>55.719099999999997</v>
      </c>
      <c r="R735" s="14">
        <f>CHOOSE(CONTROL!$C$42, 56.4454, 56.4454) * CHOOSE(CONTROL!$C$21, $C$9, 100%, $E$9)</f>
        <v>56.445399999999999</v>
      </c>
      <c r="S735" s="14">
        <f>CHOOSE(CONTROL!$C$42, 53.9599, 53.9599) * CHOOSE(CONTROL!$C$21, $C$9, 100%, $E$9)</f>
        <v>53.959899999999998</v>
      </c>
      <c r="T7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35" s="57">
        <f>(1000*CHOOSE(CONTROL!$C$42, 695, 695)*CHOOSE(CONTROL!$C$42, 0.5599, 0.5599)*CHOOSE(CONTROL!$C$42, 31, 31))/1000000</f>
        <v>12.063045499999998</v>
      </c>
      <c r="V735" s="57">
        <f>(1000*CHOOSE(CONTROL!$C$42, 500, 500)*CHOOSE(CONTROL!$C$42, 0.275, 0.275)*CHOOSE(CONTROL!$C$42, 31, 31))/1000000</f>
        <v>4.2625000000000002</v>
      </c>
      <c r="W735" s="57">
        <f>(1000*CHOOSE(CONTROL!$C$42, 0.1146, 0.1146)*CHOOSE(CONTROL!$C$42, 121.5, 121.5)*CHOOSE(CONTROL!$C$42, 31, 31))/1000000</f>
        <v>0.43164089999999994</v>
      </c>
      <c r="X735" s="57">
        <f>(31*0.1790888*100000/1000000)+(31*0.2374*100000/1000000)</f>
        <v>1.2911152800000001</v>
      </c>
      <c r="Y735" s="57"/>
      <c r="Z735" s="14"/>
      <c r="AA735" s="56"/>
      <c r="AB735" s="50">
        <f>(B735*122.58+C735*297.941+D735*89.177+E735*40.302+F735*40+G735*160+H735*0+I735*100+J735*300)/(122.58+297.941+89.177+40.302+0+40+160+100+300)</f>
        <v>56.205303589043474</v>
      </c>
      <c r="AC735" s="45">
        <f>(M735*'RAP TEMPLATE-GAS AVAILABILITY'!O734+N735*'RAP TEMPLATE-GAS AVAILABILITY'!P734+O735*'RAP TEMPLATE-GAS AVAILABILITY'!Q734+P735*'RAP TEMPLATE-GAS AVAILABILITY'!R734)/('RAP TEMPLATE-GAS AVAILABILITY'!O734+'RAP TEMPLATE-GAS AVAILABILITY'!P734+'RAP TEMPLATE-GAS AVAILABILITY'!Q734+'RAP TEMPLATE-GAS AVAILABILITY'!R734)</f>
        <v>55.104615827338129</v>
      </c>
    </row>
    <row r="736" spans="1:29" ht="15.75" x14ac:dyDescent="0.25">
      <c r="A736" s="32">
        <v>63309</v>
      </c>
      <c r="B736" s="14">
        <f>CHOOSE(CONTROL!$C$42, 55.9974, 55.9974) * CHOOSE(CONTROL!$C$21, $C$9, 100%, $E$9)</f>
        <v>55.997399999999999</v>
      </c>
      <c r="C736" s="14">
        <f>CHOOSE(CONTROL!$C$42, 56.0018, 56.0018) * CHOOSE(CONTROL!$C$21, $C$9, 100%, $E$9)</f>
        <v>56.001800000000003</v>
      </c>
      <c r="D736" s="14">
        <f>CHOOSE(CONTROL!$C$42, 56.2256, 56.2256) * CHOOSE(CONTROL!$C$21, $C$9, 100%, $E$9)</f>
        <v>56.2256</v>
      </c>
      <c r="E736" s="14">
        <f>CHOOSE(CONTROL!$C$42, 56.2577, 56.2577) * CHOOSE(CONTROL!$C$21, $C$9, 100%, $E$9)</f>
        <v>56.2577</v>
      </c>
      <c r="F736" s="14">
        <f>CHOOSE(CONTROL!$C$42, 56.025, 56.025)*CHOOSE(CONTROL!$C$21, $C$9, 100%, $E$9)</f>
        <v>56.024999999999999</v>
      </c>
      <c r="G736" s="14">
        <f>CHOOSE(CONTROL!$C$42, 56.0419, 56.0419)*CHOOSE(CONTROL!$C$21, $C$9, 100%, $E$9)</f>
        <v>56.041899999999998</v>
      </c>
      <c r="H736" s="14">
        <f>CHOOSE(CONTROL!$C$42, 56.2475, 56.2475) * CHOOSE(CONTROL!$C$21, $C$9, 100%, $E$9)</f>
        <v>56.247500000000002</v>
      </c>
      <c r="I736" s="14">
        <f>CHOOSE(CONTROL!$C$42, 56.202, 56.202)* CHOOSE(CONTROL!$C$21, $C$9, 100%, $E$9)</f>
        <v>56.201999999999998</v>
      </c>
      <c r="J736" s="14">
        <f>CHOOSE(CONTROL!$C$42, 56.018, 56.018)* CHOOSE(CONTROL!$C$21, $C$9, 100%, $E$9)</f>
        <v>56.018000000000001</v>
      </c>
      <c r="K736" s="53">
        <f>CHOOSE(CONTROL!$C$42, 56.1981, 56.1981) * CHOOSE(CONTROL!$C$21, $C$9, 100%, $E$9)</f>
        <v>56.198099999999997</v>
      </c>
      <c r="L736" s="14">
        <f>CHOOSE(CONTROL!$C$42, 56.8345, 56.8345) * CHOOSE(CONTROL!$C$21, $C$9, 100%, $E$9)</f>
        <v>56.834499999999998</v>
      </c>
      <c r="M736" s="14">
        <f>CHOOSE(CONTROL!$C$42, 54.878, 54.878) * CHOOSE(CONTROL!$C$21, $C$9, 100%, $E$9)</f>
        <v>54.878</v>
      </c>
      <c r="N736" s="14">
        <f>CHOOSE(CONTROL!$C$42, 54.8945, 54.8945) * CHOOSE(CONTROL!$C$21, $C$9, 100%, $E$9)</f>
        <v>54.894500000000001</v>
      </c>
      <c r="O736" s="14">
        <f>CHOOSE(CONTROL!$C$42, 55.1027, 55.1027) * CHOOSE(CONTROL!$C$21, $C$9, 100%, $E$9)</f>
        <v>55.102699999999999</v>
      </c>
      <c r="P736" s="14">
        <f>CHOOSE(CONTROL!$C$42, 55.0547, 55.0547) * CHOOSE(CONTROL!$C$21, $C$9, 100%, $E$9)</f>
        <v>55.054699999999997</v>
      </c>
      <c r="Q736" s="14">
        <f>CHOOSE(CONTROL!$C$42, 55.6974, 55.6974) * CHOOSE(CONTROL!$C$21, $C$9, 100%, $E$9)</f>
        <v>55.697400000000002</v>
      </c>
      <c r="R736" s="14">
        <f>CHOOSE(CONTROL!$C$42, 56.4236, 56.4236) * CHOOSE(CONTROL!$C$21, $C$9, 100%, $E$9)</f>
        <v>56.4236</v>
      </c>
      <c r="S736" s="14">
        <f>CHOOSE(CONTROL!$C$42, 53.7986, 53.7986) * CHOOSE(CONTROL!$C$21, $C$9, 100%, $E$9)</f>
        <v>53.7986</v>
      </c>
      <c r="T7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36" s="57">
        <f>(1000*CHOOSE(CONTROL!$C$42, 695, 695)*CHOOSE(CONTROL!$C$42, 0.5599, 0.5599)*CHOOSE(CONTROL!$C$42, 30, 30))/1000000</f>
        <v>11.673914999999997</v>
      </c>
      <c r="V736" s="57">
        <f>(1000*CHOOSE(CONTROL!$C$42, 500, 500)*CHOOSE(CONTROL!$C$42, 0.275, 0.275)*CHOOSE(CONTROL!$C$42, 30, 30))/1000000</f>
        <v>4.125</v>
      </c>
      <c r="W736" s="57">
        <f>(1000*CHOOSE(CONTROL!$C$42, 0.1146, 0.1146)*CHOOSE(CONTROL!$C$42, 121.5, 121.5)*CHOOSE(CONTROL!$C$42, 30, 30))/1000000</f>
        <v>0.417717</v>
      </c>
      <c r="X736" s="57">
        <f>(30*0.1790888*245000/1000000)+(30*0.2374*100000/1000000)</f>
        <v>2.0285026799999999</v>
      </c>
      <c r="Y736" s="57"/>
      <c r="Z736" s="14"/>
      <c r="AA736" s="56"/>
      <c r="AB736" s="50">
        <f>(B736*141.293+C736*267.993+D736*115.016+E736*89.698+F736*40+G736*185+H736*0+I736*100+J736*300)/(141.293+267.993+115.016+89.698+0+40+185+100+300)</f>
        <v>56.06741671493139</v>
      </c>
      <c r="AC736" s="45">
        <f>(M736*'RAP TEMPLATE-GAS AVAILABILITY'!O735+N736*'RAP TEMPLATE-GAS AVAILABILITY'!P735+O736*'RAP TEMPLATE-GAS AVAILABILITY'!Q735+P736*'RAP TEMPLATE-GAS AVAILABILITY'!R735)/('RAP TEMPLATE-GAS AVAILABILITY'!O735+'RAP TEMPLATE-GAS AVAILABILITY'!P735+'RAP TEMPLATE-GAS AVAILABILITY'!Q735+'RAP TEMPLATE-GAS AVAILABILITY'!R735)</f>
        <v>55.006216546762595</v>
      </c>
    </row>
    <row r="737" spans="1:29" ht="15.75" x14ac:dyDescent="0.25">
      <c r="A737" s="32">
        <v>63340</v>
      </c>
      <c r="B737" s="14">
        <f>CHOOSE(CONTROL!$C$42, 56.4929, 56.4929) * CHOOSE(CONTROL!$C$21, $C$9, 100%, $E$9)</f>
        <v>56.492899999999999</v>
      </c>
      <c r="C737" s="14">
        <f>CHOOSE(CONTROL!$C$42, 56.5009, 56.5009) * CHOOSE(CONTROL!$C$21, $C$9, 100%, $E$9)</f>
        <v>56.500900000000001</v>
      </c>
      <c r="D737" s="14">
        <f>CHOOSE(CONTROL!$C$42, 56.7215, 56.7215) * CHOOSE(CONTROL!$C$21, $C$9, 100%, $E$9)</f>
        <v>56.721499999999999</v>
      </c>
      <c r="E737" s="14">
        <f>CHOOSE(CONTROL!$C$42, 56.753, 56.753) * CHOOSE(CONTROL!$C$21, $C$9, 100%, $E$9)</f>
        <v>56.753</v>
      </c>
      <c r="F737" s="14">
        <f>CHOOSE(CONTROL!$C$42, 56.5192, 56.5192)*CHOOSE(CONTROL!$C$21, $C$9, 100%, $E$9)</f>
        <v>56.519199999999998</v>
      </c>
      <c r="G737" s="14">
        <f>CHOOSE(CONTROL!$C$42, 56.5363, 56.5363)*CHOOSE(CONTROL!$C$21, $C$9, 100%, $E$9)</f>
        <v>56.536299999999997</v>
      </c>
      <c r="H737" s="14">
        <f>CHOOSE(CONTROL!$C$42, 56.7416, 56.7416) * CHOOSE(CONTROL!$C$21, $C$9, 100%, $E$9)</f>
        <v>56.741599999999998</v>
      </c>
      <c r="I737" s="14">
        <f>CHOOSE(CONTROL!$C$42, 56.6977, 56.6977)* CHOOSE(CONTROL!$C$21, $C$9, 100%, $E$9)</f>
        <v>56.697699999999998</v>
      </c>
      <c r="J737" s="14">
        <f>CHOOSE(CONTROL!$C$42, 56.5122, 56.5122)* CHOOSE(CONTROL!$C$21, $C$9, 100%, $E$9)</f>
        <v>56.5122</v>
      </c>
      <c r="K737" s="53">
        <f>CHOOSE(CONTROL!$C$42, 56.6938, 56.6938) * CHOOSE(CONTROL!$C$21, $C$9, 100%, $E$9)</f>
        <v>56.693800000000003</v>
      </c>
      <c r="L737" s="14">
        <f>CHOOSE(CONTROL!$C$42, 57.3286, 57.3286) * CHOOSE(CONTROL!$C$21, $C$9, 100%, $E$9)</f>
        <v>57.328600000000002</v>
      </c>
      <c r="M737" s="14">
        <f>CHOOSE(CONTROL!$C$42, 55.362, 55.362) * CHOOSE(CONTROL!$C$21, $C$9, 100%, $E$9)</f>
        <v>55.362000000000002</v>
      </c>
      <c r="N737" s="14">
        <f>CHOOSE(CONTROL!$C$42, 55.3787, 55.3787) * CHOOSE(CONTROL!$C$21, $C$9, 100%, $E$9)</f>
        <v>55.378700000000002</v>
      </c>
      <c r="O737" s="14">
        <f>CHOOSE(CONTROL!$C$42, 55.5867, 55.5867) * CHOOSE(CONTROL!$C$21, $C$9, 100%, $E$9)</f>
        <v>55.5867</v>
      </c>
      <c r="P737" s="14">
        <f>CHOOSE(CONTROL!$C$42, 55.5402, 55.5402) * CHOOSE(CONTROL!$C$21, $C$9, 100%, $E$9)</f>
        <v>55.540199999999999</v>
      </c>
      <c r="Q737" s="14">
        <f>CHOOSE(CONTROL!$C$42, 56.1814, 56.1814) * CHOOSE(CONTROL!$C$21, $C$9, 100%, $E$9)</f>
        <v>56.181399999999996</v>
      </c>
      <c r="R737" s="14">
        <f>CHOOSE(CONTROL!$C$42, 56.9089, 56.9089) * CHOOSE(CONTROL!$C$21, $C$9, 100%, $E$9)</f>
        <v>56.908900000000003</v>
      </c>
      <c r="S737" s="14">
        <f>CHOOSE(CONTROL!$C$42, 54.2734, 54.2734) * CHOOSE(CONTROL!$C$21, $C$9, 100%, $E$9)</f>
        <v>54.273400000000002</v>
      </c>
      <c r="T7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37" s="57">
        <f>(1000*CHOOSE(CONTROL!$C$42, 695, 695)*CHOOSE(CONTROL!$C$42, 0.5599, 0.5599)*CHOOSE(CONTROL!$C$42, 31, 31))/1000000</f>
        <v>12.063045499999998</v>
      </c>
      <c r="V737" s="57">
        <f>(1000*CHOOSE(CONTROL!$C$42, 500, 500)*CHOOSE(CONTROL!$C$42, 0.275, 0.275)*CHOOSE(CONTROL!$C$42, 31, 31))/1000000</f>
        <v>4.2625000000000002</v>
      </c>
      <c r="W737" s="57">
        <f>(1000*CHOOSE(CONTROL!$C$42, 0.1146, 0.1146)*CHOOSE(CONTROL!$C$42, 121.5, 121.5)*CHOOSE(CONTROL!$C$42, 31, 31))/1000000</f>
        <v>0.43164089999999994</v>
      </c>
      <c r="X737" s="57">
        <f>(31*0.1790888*245000/1000000)+(31*0.2374*100000/1000000)</f>
        <v>2.0961194359999999</v>
      </c>
      <c r="Y737" s="57"/>
      <c r="Z737" s="14"/>
      <c r="AA737" s="56"/>
      <c r="AB737" s="50">
        <f>(B737*194.205+C737*267.466+D737*133.845+E737*53.484+F737*40+G737*185+H737*0+I737*100+J737*300)/(194.205+267.466+133.845+53.484+0+40+185+100+300)</f>
        <v>56.557263330769224</v>
      </c>
      <c r="AC737" s="45">
        <f>(M737*'RAP TEMPLATE-GAS AVAILABILITY'!O736+N737*'RAP TEMPLATE-GAS AVAILABILITY'!P736+O737*'RAP TEMPLATE-GAS AVAILABILITY'!Q736+P737*'RAP TEMPLATE-GAS AVAILABILITY'!R736)/('RAP TEMPLATE-GAS AVAILABILITY'!O736+'RAP TEMPLATE-GAS AVAILABILITY'!P736+'RAP TEMPLATE-GAS AVAILABILITY'!Q736+'RAP TEMPLATE-GAS AVAILABILITY'!R736)</f>
        <v>55.49044388489208</v>
      </c>
    </row>
    <row r="738" spans="1:29" ht="15.75" x14ac:dyDescent="0.25">
      <c r="A738" s="32">
        <v>63370</v>
      </c>
      <c r="B738" s="14">
        <f>CHOOSE(CONTROL!$C$42, 58.0951, 58.0951) * CHOOSE(CONTROL!$C$21, $C$9, 100%, $E$9)</f>
        <v>58.095100000000002</v>
      </c>
      <c r="C738" s="14">
        <f>CHOOSE(CONTROL!$C$42, 58.1031, 58.1031) * CHOOSE(CONTROL!$C$21, $C$9, 100%, $E$9)</f>
        <v>58.103099999999998</v>
      </c>
      <c r="D738" s="14">
        <f>CHOOSE(CONTROL!$C$42, 58.3237, 58.3237) * CHOOSE(CONTROL!$C$21, $C$9, 100%, $E$9)</f>
        <v>58.323700000000002</v>
      </c>
      <c r="E738" s="14">
        <f>CHOOSE(CONTROL!$C$42, 58.3551, 58.3551) * CHOOSE(CONTROL!$C$21, $C$9, 100%, $E$9)</f>
        <v>58.3551</v>
      </c>
      <c r="F738" s="14">
        <f>CHOOSE(CONTROL!$C$42, 58.1217, 58.1217)*CHOOSE(CONTROL!$C$21, $C$9, 100%, $E$9)</f>
        <v>58.121699999999997</v>
      </c>
      <c r="G738" s="14">
        <f>CHOOSE(CONTROL!$C$42, 58.1389, 58.1389)*CHOOSE(CONTROL!$C$21, $C$9, 100%, $E$9)</f>
        <v>58.1389</v>
      </c>
      <c r="H738" s="14">
        <f>CHOOSE(CONTROL!$C$42, 58.3438, 58.3438) * CHOOSE(CONTROL!$C$21, $C$9, 100%, $E$9)</f>
        <v>58.343800000000002</v>
      </c>
      <c r="I738" s="14">
        <f>CHOOSE(CONTROL!$C$42, 58.3049, 58.3049)* CHOOSE(CONTROL!$C$21, $C$9, 100%, $E$9)</f>
        <v>58.304900000000004</v>
      </c>
      <c r="J738" s="14">
        <f>CHOOSE(CONTROL!$C$42, 58.1147, 58.1147)* CHOOSE(CONTROL!$C$21, $C$9, 100%, $E$9)</f>
        <v>58.114699999999999</v>
      </c>
      <c r="K738" s="53">
        <f>CHOOSE(CONTROL!$C$42, 58.301, 58.301) * CHOOSE(CONTROL!$C$21, $C$9, 100%, $E$9)</f>
        <v>58.301000000000002</v>
      </c>
      <c r="L738" s="14">
        <f>CHOOSE(CONTROL!$C$42, 58.9308, 58.9308) * CHOOSE(CONTROL!$C$21, $C$9, 100%, $E$9)</f>
        <v>58.930799999999998</v>
      </c>
      <c r="M738" s="14">
        <f>CHOOSE(CONTROL!$C$42, 56.9316, 56.9316) * CHOOSE(CONTROL!$C$21, $C$9, 100%, $E$9)</f>
        <v>56.931600000000003</v>
      </c>
      <c r="N738" s="14">
        <f>CHOOSE(CONTROL!$C$42, 56.9485, 56.9485) * CHOOSE(CONTROL!$C$21, $C$9, 100%, $E$9)</f>
        <v>56.948500000000003</v>
      </c>
      <c r="O738" s="14">
        <f>CHOOSE(CONTROL!$C$42, 57.156, 57.156) * CHOOSE(CONTROL!$C$21, $C$9, 100%, $E$9)</f>
        <v>57.155999999999999</v>
      </c>
      <c r="P738" s="14">
        <f>CHOOSE(CONTROL!$C$42, 57.1144, 57.1144) * CHOOSE(CONTROL!$C$21, $C$9, 100%, $E$9)</f>
        <v>57.114400000000003</v>
      </c>
      <c r="Q738" s="14">
        <f>CHOOSE(CONTROL!$C$42, 57.7507, 57.7507) * CHOOSE(CONTROL!$C$21, $C$9, 100%, $E$9)</f>
        <v>57.750700000000002</v>
      </c>
      <c r="R738" s="14">
        <f>CHOOSE(CONTROL!$C$42, 58.4821, 58.4821) * CHOOSE(CONTROL!$C$21, $C$9, 100%, $E$9)</f>
        <v>58.482100000000003</v>
      </c>
      <c r="S738" s="14">
        <f>CHOOSE(CONTROL!$C$42, 55.8129, 55.8129) * CHOOSE(CONTROL!$C$21, $C$9, 100%, $E$9)</f>
        <v>55.812899999999999</v>
      </c>
      <c r="T7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38" s="57">
        <f>(1000*CHOOSE(CONTROL!$C$42, 695, 695)*CHOOSE(CONTROL!$C$42, 0.5599, 0.5599)*CHOOSE(CONTROL!$C$42, 30, 30))/1000000</f>
        <v>11.673914999999997</v>
      </c>
      <c r="V738" s="57">
        <f>(1000*CHOOSE(CONTROL!$C$42, 500, 500)*CHOOSE(CONTROL!$C$42, 0.275, 0.275)*CHOOSE(CONTROL!$C$42, 30, 30))/1000000</f>
        <v>4.125</v>
      </c>
      <c r="W738" s="57">
        <f>(1000*CHOOSE(CONTROL!$C$42, 0.1146, 0.1146)*CHOOSE(CONTROL!$C$42, 121.5, 121.5)*CHOOSE(CONTROL!$C$42, 30, 30))/1000000</f>
        <v>0.417717</v>
      </c>
      <c r="X738" s="57">
        <f>(30*0.1790888*245000/1000000)+(30*0.2374*100000/1000000)</f>
        <v>2.0285026799999999</v>
      </c>
      <c r="Y738" s="57"/>
      <c r="Z738" s="14"/>
      <c r="AA738" s="56"/>
      <c r="AB738" s="50">
        <f>(B738*194.205+C738*267.466+D738*133.845+E738*53.484+F738*40+G738*185+H738*0+I738*100+J738*300)/(194.205+267.466+133.845+53.484+0+40+185+100+300)</f>
        <v>58.159989744897963</v>
      </c>
      <c r="AC738" s="45">
        <f>(M738*'RAP TEMPLATE-GAS AVAILABILITY'!O737+N738*'RAP TEMPLATE-GAS AVAILABILITY'!P737+O738*'RAP TEMPLATE-GAS AVAILABILITY'!Q737+P738*'RAP TEMPLATE-GAS AVAILABILITY'!R737)/('RAP TEMPLATE-GAS AVAILABILITY'!O737+'RAP TEMPLATE-GAS AVAILABILITY'!P737+'RAP TEMPLATE-GAS AVAILABILITY'!Q737+'RAP TEMPLATE-GAS AVAILABILITY'!R737)</f>
        <v>57.060581294964038</v>
      </c>
    </row>
    <row r="739" spans="1:29" ht="15.75" x14ac:dyDescent="0.25">
      <c r="A739" s="32">
        <v>63401</v>
      </c>
      <c r="B739" s="14">
        <f>CHOOSE(CONTROL!$C$42, 56.9808, 56.9808) * CHOOSE(CONTROL!$C$21, $C$9, 100%, $E$9)</f>
        <v>56.980800000000002</v>
      </c>
      <c r="C739" s="14">
        <f>CHOOSE(CONTROL!$C$42, 56.9888, 56.9888) * CHOOSE(CONTROL!$C$21, $C$9, 100%, $E$9)</f>
        <v>56.988799999999998</v>
      </c>
      <c r="D739" s="14">
        <f>CHOOSE(CONTROL!$C$42, 57.2094, 57.2094) * CHOOSE(CONTROL!$C$21, $C$9, 100%, $E$9)</f>
        <v>57.209400000000002</v>
      </c>
      <c r="E739" s="14">
        <f>CHOOSE(CONTROL!$C$42, 57.2408, 57.2408) * CHOOSE(CONTROL!$C$21, $C$9, 100%, $E$9)</f>
        <v>57.2408</v>
      </c>
      <c r="F739" s="14">
        <f>CHOOSE(CONTROL!$C$42, 57.0078, 57.0078)*CHOOSE(CONTROL!$C$21, $C$9, 100%, $E$9)</f>
        <v>57.007800000000003</v>
      </c>
      <c r="G739" s="14">
        <f>CHOOSE(CONTROL!$C$42, 57.0252, 57.0252)*CHOOSE(CONTROL!$C$21, $C$9, 100%, $E$9)</f>
        <v>57.025199999999998</v>
      </c>
      <c r="H739" s="14">
        <f>CHOOSE(CONTROL!$C$42, 57.2295, 57.2295) * CHOOSE(CONTROL!$C$21, $C$9, 100%, $E$9)</f>
        <v>57.229500000000002</v>
      </c>
      <c r="I739" s="14">
        <f>CHOOSE(CONTROL!$C$42, 57.1871, 57.1871)* CHOOSE(CONTROL!$C$21, $C$9, 100%, $E$9)</f>
        <v>57.187100000000001</v>
      </c>
      <c r="J739" s="14">
        <f>CHOOSE(CONTROL!$C$42, 57.0008, 57.0008)* CHOOSE(CONTROL!$C$21, $C$9, 100%, $E$9)</f>
        <v>57.000799999999998</v>
      </c>
      <c r="K739" s="53">
        <f>CHOOSE(CONTROL!$C$42, 57.1832, 57.1832) * CHOOSE(CONTROL!$C$21, $C$9, 100%, $E$9)</f>
        <v>57.183199999999999</v>
      </c>
      <c r="L739" s="14">
        <f>CHOOSE(CONTROL!$C$42, 57.8165, 57.8165) * CHOOSE(CONTROL!$C$21, $C$9, 100%, $E$9)</f>
        <v>57.816499999999998</v>
      </c>
      <c r="M739" s="14">
        <f>CHOOSE(CONTROL!$C$42, 55.8406, 55.8406) * CHOOSE(CONTROL!$C$21, $C$9, 100%, $E$9)</f>
        <v>55.840600000000002</v>
      </c>
      <c r="N739" s="14">
        <f>CHOOSE(CONTROL!$C$42, 55.8576, 55.8576) * CHOOSE(CONTROL!$C$21, $C$9, 100%, $E$9)</f>
        <v>55.857599999999998</v>
      </c>
      <c r="O739" s="14">
        <f>CHOOSE(CONTROL!$C$42, 56.0646, 56.0646) * CHOOSE(CONTROL!$C$21, $C$9, 100%, $E$9)</f>
        <v>56.064599999999999</v>
      </c>
      <c r="P739" s="14">
        <f>CHOOSE(CONTROL!$C$42, 56.0195, 56.0195) * CHOOSE(CONTROL!$C$21, $C$9, 100%, $E$9)</f>
        <v>56.019500000000001</v>
      </c>
      <c r="Q739" s="14">
        <f>CHOOSE(CONTROL!$C$42, 56.6593, 56.6593) * CHOOSE(CONTROL!$C$21, $C$9, 100%, $E$9)</f>
        <v>56.659300000000002</v>
      </c>
      <c r="R739" s="14">
        <f>CHOOSE(CONTROL!$C$42, 57.3879, 57.3879) * CHOOSE(CONTROL!$C$21, $C$9, 100%, $E$9)</f>
        <v>57.387900000000002</v>
      </c>
      <c r="S739" s="14">
        <f>CHOOSE(CONTROL!$C$42, 54.7422, 54.7422) * CHOOSE(CONTROL!$C$21, $C$9, 100%, $E$9)</f>
        <v>54.742199999999997</v>
      </c>
      <c r="T7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39" s="57">
        <f>(1000*CHOOSE(CONTROL!$C$42, 695, 695)*CHOOSE(CONTROL!$C$42, 0.5599, 0.5599)*CHOOSE(CONTROL!$C$42, 31, 31))/1000000</f>
        <v>12.063045499999998</v>
      </c>
      <c r="V739" s="57">
        <f>(1000*CHOOSE(CONTROL!$C$42, 500, 500)*CHOOSE(CONTROL!$C$42, 0.275, 0.275)*CHOOSE(CONTROL!$C$42, 31, 31))/1000000</f>
        <v>4.2625000000000002</v>
      </c>
      <c r="W739" s="57">
        <f>(1000*CHOOSE(CONTROL!$C$42, 0.1146, 0.1146)*CHOOSE(CONTROL!$C$42, 121.5, 121.5)*CHOOSE(CONTROL!$C$42, 31, 31))/1000000</f>
        <v>0.43164089999999994</v>
      </c>
      <c r="X739" s="57">
        <f>(31*0.1790888*245000/1000000)+(31*0.2374*100000/1000000)</f>
        <v>2.0961194359999999</v>
      </c>
      <c r="Y739" s="57"/>
      <c r="Z739" s="14"/>
      <c r="AA739" s="56"/>
      <c r="AB739" s="50">
        <f>(B739*194.205+C739*267.466+D739*133.845+E739*53.484+F739*40+G739*185+H739*0+I739*100+J739*300)/(194.205+267.466+133.845+53.484+0+40+185+100+300)</f>
        <v>57.045608897174247</v>
      </c>
      <c r="AC739" s="45">
        <f>(M739*'RAP TEMPLATE-GAS AVAILABILITY'!O738+N739*'RAP TEMPLATE-GAS AVAILABILITY'!P738+O739*'RAP TEMPLATE-GAS AVAILABILITY'!Q738+P739*'RAP TEMPLATE-GAS AVAILABILITY'!R738)/('RAP TEMPLATE-GAS AVAILABILITY'!O738+'RAP TEMPLATE-GAS AVAILABILITY'!P738+'RAP TEMPLATE-GAS AVAILABILITY'!Q738+'RAP TEMPLATE-GAS AVAILABILITY'!R738)</f>
        <v>55.968844604316537</v>
      </c>
    </row>
    <row r="740" spans="1:29" ht="15.75" x14ac:dyDescent="0.25">
      <c r="A740" s="32">
        <v>63432</v>
      </c>
      <c r="B740" s="14">
        <f>CHOOSE(CONTROL!$C$42, 54.1668, 54.1668) * CHOOSE(CONTROL!$C$21, $C$9, 100%, $E$9)</f>
        <v>54.166800000000002</v>
      </c>
      <c r="C740" s="14">
        <f>CHOOSE(CONTROL!$C$42, 54.1748, 54.1748) * CHOOSE(CONTROL!$C$21, $C$9, 100%, $E$9)</f>
        <v>54.174799999999998</v>
      </c>
      <c r="D740" s="14">
        <f>CHOOSE(CONTROL!$C$42, 54.3954, 54.3954) * CHOOSE(CONTROL!$C$21, $C$9, 100%, $E$9)</f>
        <v>54.395400000000002</v>
      </c>
      <c r="E740" s="14">
        <f>CHOOSE(CONTROL!$C$42, 54.4268, 54.4268) * CHOOSE(CONTROL!$C$21, $C$9, 100%, $E$9)</f>
        <v>54.4268</v>
      </c>
      <c r="F740" s="14">
        <f>CHOOSE(CONTROL!$C$42, 54.1941, 54.1941)*CHOOSE(CONTROL!$C$21, $C$9, 100%, $E$9)</f>
        <v>54.194099999999999</v>
      </c>
      <c r="G740" s="14">
        <f>CHOOSE(CONTROL!$C$42, 54.2115, 54.2115)*CHOOSE(CONTROL!$C$21, $C$9, 100%, $E$9)</f>
        <v>54.211500000000001</v>
      </c>
      <c r="H740" s="14">
        <f>CHOOSE(CONTROL!$C$42, 54.4155, 54.4155) * CHOOSE(CONTROL!$C$21, $C$9, 100%, $E$9)</f>
        <v>54.415500000000002</v>
      </c>
      <c r="I740" s="14">
        <f>CHOOSE(CONTROL!$C$42, 54.3643, 54.3643)* CHOOSE(CONTROL!$C$21, $C$9, 100%, $E$9)</f>
        <v>54.3643</v>
      </c>
      <c r="J740" s="14">
        <f>CHOOSE(CONTROL!$C$42, 54.1871, 54.1871)* CHOOSE(CONTROL!$C$21, $C$9, 100%, $E$9)</f>
        <v>54.187100000000001</v>
      </c>
      <c r="K740" s="53">
        <f>CHOOSE(CONTROL!$C$42, 54.3604, 54.3604) * CHOOSE(CONTROL!$C$21, $C$9, 100%, $E$9)</f>
        <v>54.360399999999998</v>
      </c>
      <c r="L740" s="14">
        <f>CHOOSE(CONTROL!$C$42, 55.0025, 55.0025) * CHOOSE(CONTROL!$C$21, $C$9, 100%, $E$9)</f>
        <v>55.002499999999998</v>
      </c>
      <c r="M740" s="14">
        <f>CHOOSE(CONTROL!$C$42, 53.0846, 53.0846) * CHOOSE(CONTROL!$C$21, $C$9, 100%, $E$9)</f>
        <v>53.084600000000002</v>
      </c>
      <c r="N740" s="14">
        <f>CHOOSE(CONTROL!$C$42, 53.1016, 53.1016) * CHOOSE(CONTROL!$C$21, $C$9, 100%, $E$9)</f>
        <v>53.101599999999998</v>
      </c>
      <c r="O740" s="14">
        <f>CHOOSE(CONTROL!$C$42, 53.3082, 53.3082) * CHOOSE(CONTROL!$C$21, $C$9, 100%, $E$9)</f>
        <v>53.308199999999999</v>
      </c>
      <c r="P740" s="14">
        <f>CHOOSE(CONTROL!$C$42, 53.2548, 53.2548) * CHOOSE(CONTROL!$C$21, $C$9, 100%, $E$9)</f>
        <v>53.254800000000003</v>
      </c>
      <c r="Q740" s="14">
        <f>CHOOSE(CONTROL!$C$42, 53.9029, 53.9029) * CHOOSE(CONTROL!$C$21, $C$9, 100%, $E$9)</f>
        <v>53.902900000000002</v>
      </c>
      <c r="R740" s="14">
        <f>CHOOSE(CONTROL!$C$42, 54.6247, 54.6247) * CHOOSE(CONTROL!$C$21, $C$9, 100%, $E$9)</f>
        <v>54.624699999999997</v>
      </c>
      <c r="S740" s="14">
        <f>CHOOSE(CONTROL!$C$42, 52.0382, 52.0382) * CHOOSE(CONTROL!$C$21, $C$9, 100%, $E$9)</f>
        <v>52.038200000000003</v>
      </c>
      <c r="T7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40" s="57">
        <f>(1000*CHOOSE(CONTROL!$C$42, 695, 695)*CHOOSE(CONTROL!$C$42, 0.5599, 0.5599)*CHOOSE(CONTROL!$C$42, 31, 31))/1000000</f>
        <v>12.063045499999998</v>
      </c>
      <c r="V740" s="57">
        <f>(1000*CHOOSE(CONTROL!$C$42, 500, 500)*CHOOSE(CONTROL!$C$42, 0.275, 0.275)*CHOOSE(CONTROL!$C$42, 31, 31))/1000000</f>
        <v>4.2625000000000002</v>
      </c>
      <c r="W740" s="57">
        <f>(1000*CHOOSE(CONTROL!$C$42, 0.1146, 0.1146)*CHOOSE(CONTROL!$C$42, 121.5, 121.5)*CHOOSE(CONTROL!$C$42, 31, 31))/1000000</f>
        <v>0.43164089999999994</v>
      </c>
      <c r="X740" s="57">
        <f>(31*0.1790888*245000/1000000)+(31*0.2374*100000/1000000)</f>
        <v>2.0961194359999999</v>
      </c>
      <c r="Y740" s="57"/>
      <c r="Z740" s="14"/>
      <c r="AA740" s="56"/>
      <c r="AB740" s="50">
        <f>(B740*194.205+C740*267.466+D740*133.845+E740*53.484+F740*40+G740*185+H740*0+I740*100+J740*300)/(194.205+267.466+133.845+53.484+0+40+185+100+300)</f>
        <v>54.231041785714289</v>
      </c>
      <c r="AC740" s="45">
        <f>(M740*'RAP TEMPLATE-GAS AVAILABILITY'!O739+N740*'RAP TEMPLATE-GAS AVAILABILITY'!P739+O740*'RAP TEMPLATE-GAS AVAILABILITY'!Q739+P740*'RAP TEMPLATE-GAS AVAILABILITY'!R739)/('RAP TEMPLATE-GAS AVAILABILITY'!O739+'RAP TEMPLATE-GAS AVAILABILITY'!P739+'RAP TEMPLATE-GAS AVAILABILITY'!Q739+'RAP TEMPLATE-GAS AVAILABILITY'!R739)</f>
        <v>53.211411510791372</v>
      </c>
    </row>
    <row r="741" spans="1:29" ht="15.75" x14ac:dyDescent="0.25">
      <c r="A741" s="32">
        <v>63462</v>
      </c>
      <c r="B741" s="14">
        <f>CHOOSE(CONTROL!$C$42, 50.7284, 50.7284) * CHOOSE(CONTROL!$C$21, $C$9, 100%, $E$9)</f>
        <v>50.728400000000001</v>
      </c>
      <c r="C741" s="14">
        <f>CHOOSE(CONTROL!$C$42, 50.7364, 50.7364) * CHOOSE(CONTROL!$C$21, $C$9, 100%, $E$9)</f>
        <v>50.736400000000003</v>
      </c>
      <c r="D741" s="14">
        <f>CHOOSE(CONTROL!$C$42, 50.957, 50.957) * CHOOSE(CONTROL!$C$21, $C$9, 100%, $E$9)</f>
        <v>50.957000000000001</v>
      </c>
      <c r="E741" s="14">
        <f>CHOOSE(CONTROL!$C$42, 50.9884, 50.9884) * CHOOSE(CONTROL!$C$21, $C$9, 100%, $E$9)</f>
        <v>50.988399999999999</v>
      </c>
      <c r="F741" s="14">
        <f>CHOOSE(CONTROL!$C$42, 50.7557, 50.7557)*CHOOSE(CONTROL!$C$21, $C$9, 100%, $E$9)</f>
        <v>50.755699999999997</v>
      </c>
      <c r="G741" s="14">
        <f>CHOOSE(CONTROL!$C$42, 50.7731, 50.7731)*CHOOSE(CONTROL!$C$21, $C$9, 100%, $E$9)</f>
        <v>50.773099999999999</v>
      </c>
      <c r="H741" s="14">
        <f>CHOOSE(CONTROL!$C$42, 50.9771, 50.9771) * CHOOSE(CONTROL!$C$21, $C$9, 100%, $E$9)</f>
        <v>50.9771</v>
      </c>
      <c r="I741" s="14">
        <f>CHOOSE(CONTROL!$C$42, 50.9151, 50.9151)* CHOOSE(CONTROL!$C$21, $C$9, 100%, $E$9)</f>
        <v>50.915100000000002</v>
      </c>
      <c r="J741" s="14">
        <f>CHOOSE(CONTROL!$C$42, 50.7487, 50.7487)* CHOOSE(CONTROL!$C$21, $C$9, 100%, $E$9)</f>
        <v>50.748699999999999</v>
      </c>
      <c r="K741" s="53">
        <f>CHOOSE(CONTROL!$C$42, 50.9112, 50.9112) * CHOOSE(CONTROL!$C$21, $C$9, 100%, $E$9)</f>
        <v>50.911200000000001</v>
      </c>
      <c r="L741" s="14">
        <f>CHOOSE(CONTROL!$C$42, 51.5641, 51.5641) * CHOOSE(CONTROL!$C$21, $C$9, 100%, $E$9)</f>
        <v>51.564100000000003</v>
      </c>
      <c r="M741" s="14">
        <f>CHOOSE(CONTROL!$C$42, 49.7166, 49.7166) * CHOOSE(CONTROL!$C$21, $C$9, 100%, $E$9)</f>
        <v>49.7166</v>
      </c>
      <c r="N741" s="14">
        <f>CHOOSE(CONTROL!$C$42, 49.7336, 49.7336) * CHOOSE(CONTROL!$C$21, $C$9, 100%, $E$9)</f>
        <v>49.733600000000003</v>
      </c>
      <c r="O741" s="14">
        <f>CHOOSE(CONTROL!$C$42, 49.9403, 49.9403) * CHOOSE(CONTROL!$C$21, $C$9, 100%, $E$9)</f>
        <v>49.940300000000001</v>
      </c>
      <c r="P741" s="14">
        <f>CHOOSE(CONTROL!$C$42, 49.8765, 49.8765) * CHOOSE(CONTROL!$C$21, $C$9, 100%, $E$9)</f>
        <v>49.8765</v>
      </c>
      <c r="Q741" s="14">
        <f>CHOOSE(CONTROL!$C$42, 50.535, 50.535) * CHOOSE(CONTROL!$C$21, $C$9, 100%, $E$9)</f>
        <v>50.534999999999997</v>
      </c>
      <c r="R741" s="14">
        <f>CHOOSE(CONTROL!$C$42, 51.2483, 51.2483) * CHOOSE(CONTROL!$C$21, $C$9, 100%, $E$9)</f>
        <v>51.2483</v>
      </c>
      <c r="S741" s="14">
        <f>CHOOSE(CONTROL!$C$42, 48.7342, 48.7342) * CHOOSE(CONTROL!$C$21, $C$9, 100%, $E$9)</f>
        <v>48.734200000000001</v>
      </c>
      <c r="T7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41" s="57">
        <f>(1000*CHOOSE(CONTROL!$C$42, 695, 695)*CHOOSE(CONTROL!$C$42, 0.5599, 0.5599)*CHOOSE(CONTROL!$C$42, 30, 30))/1000000</f>
        <v>11.673914999999997</v>
      </c>
      <c r="V741" s="57">
        <f>(1000*CHOOSE(CONTROL!$C$42, 500, 500)*CHOOSE(CONTROL!$C$42, 0.275, 0.275)*CHOOSE(CONTROL!$C$42, 30, 30))/1000000</f>
        <v>4.125</v>
      </c>
      <c r="W741" s="57">
        <f>(1000*CHOOSE(CONTROL!$C$42, 0.1146, 0.1146)*CHOOSE(CONTROL!$C$42, 121.5, 121.5)*CHOOSE(CONTROL!$C$42, 30, 30))/1000000</f>
        <v>0.417717</v>
      </c>
      <c r="X741" s="57">
        <f>(30*0.1790888*245000/1000000)+(30*0.2374*100000/1000000)</f>
        <v>2.0285026799999999</v>
      </c>
      <c r="Y741" s="57"/>
      <c r="Z741" s="14"/>
      <c r="AA741" s="56"/>
      <c r="AB741" s="50">
        <f>(B741*194.205+C741*267.466+D741*133.845+E741*53.484+F741*40+G741*185+H741*0+I741*100+J741*300)/(194.205+267.466+133.845+53.484+0+40+185+100+300)</f>
        <v>50.791794062009423</v>
      </c>
      <c r="AC741" s="45">
        <f>(M741*'RAP TEMPLATE-GAS AVAILABILITY'!O740+N741*'RAP TEMPLATE-GAS AVAILABILITY'!P740+O741*'RAP TEMPLATE-GAS AVAILABILITY'!Q740+P741*'RAP TEMPLATE-GAS AVAILABILITY'!R740)/('RAP TEMPLATE-GAS AVAILABILITY'!O740+'RAP TEMPLATE-GAS AVAILABILITY'!P740+'RAP TEMPLATE-GAS AVAILABILITY'!Q740+'RAP TEMPLATE-GAS AVAILABILITY'!R740)</f>
        <v>49.841974820143889</v>
      </c>
    </row>
    <row r="742" spans="1:29" ht="15.75" x14ac:dyDescent="0.25">
      <c r="A742" s="32">
        <v>63493</v>
      </c>
      <c r="B742" s="14">
        <f>CHOOSE(CONTROL!$C$42, 49.6968, 49.6968) * CHOOSE(CONTROL!$C$21, $C$9, 100%, $E$9)</f>
        <v>49.696800000000003</v>
      </c>
      <c r="C742" s="14">
        <f>CHOOSE(CONTROL!$C$42, 49.7022, 49.7022) * CHOOSE(CONTROL!$C$21, $C$9, 100%, $E$9)</f>
        <v>49.702199999999998</v>
      </c>
      <c r="D742" s="14">
        <f>CHOOSE(CONTROL!$C$42, 49.9277, 49.9277) * CHOOSE(CONTROL!$C$21, $C$9, 100%, $E$9)</f>
        <v>49.927700000000002</v>
      </c>
      <c r="E742" s="14">
        <f>CHOOSE(CONTROL!$C$42, 49.9568, 49.9568) * CHOOSE(CONTROL!$C$21, $C$9, 100%, $E$9)</f>
        <v>49.956800000000001</v>
      </c>
      <c r="F742" s="14">
        <f>CHOOSE(CONTROL!$C$42, 49.7262, 49.7262)*CHOOSE(CONTROL!$C$21, $C$9, 100%, $E$9)</f>
        <v>49.726199999999999</v>
      </c>
      <c r="G742" s="14">
        <f>CHOOSE(CONTROL!$C$42, 49.7435, 49.7435)*CHOOSE(CONTROL!$C$21, $C$9, 100%, $E$9)</f>
        <v>49.743499999999997</v>
      </c>
      <c r="H742" s="14">
        <f>CHOOSE(CONTROL!$C$42, 49.9473, 49.9473) * CHOOSE(CONTROL!$C$21, $C$9, 100%, $E$9)</f>
        <v>49.947299999999998</v>
      </c>
      <c r="I742" s="14">
        <f>CHOOSE(CONTROL!$C$42, 49.8821, 49.8821)* CHOOSE(CONTROL!$C$21, $C$9, 100%, $E$9)</f>
        <v>49.882100000000001</v>
      </c>
      <c r="J742" s="14">
        <f>CHOOSE(CONTROL!$C$42, 49.7192, 49.7192)* CHOOSE(CONTROL!$C$21, $C$9, 100%, $E$9)</f>
        <v>49.719200000000001</v>
      </c>
      <c r="K742" s="53">
        <f>CHOOSE(CONTROL!$C$42, 49.8782, 49.8782) * CHOOSE(CONTROL!$C$21, $C$9, 100%, $E$9)</f>
        <v>49.8782</v>
      </c>
      <c r="L742" s="14">
        <f>CHOOSE(CONTROL!$C$42, 50.5343, 50.5343) * CHOOSE(CONTROL!$C$21, $C$9, 100%, $E$9)</f>
        <v>50.534300000000002</v>
      </c>
      <c r="M742" s="14">
        <f>CHOOSE(CONTROL!$C$42, 48.7082, 48.7082) * CHOOSE(CONTROL!$C$21, $C$9, 100%, $E$9)</f>
        <v>48.708199999999998</v>
      </c>
      <c r="N742" s="14">
        <f>CHOOSE(CONTROL!$C$42, 48.7251, 48.7251) * CHOOSE(CONTROL!$C$21, $C$9, 100%, $E$9)</f>
        <v>48.725099999999998</v>
      </c>
      <c r="O742" s="14">
        <f>CHOOSE(CONTROL!$C$42, 48.9316, 48.9316) * CHOOSE(CONTROL!$C$21, $C$9, 100%, $E$9)</f>
        <v>48.931600000000003</v>
      </c>
      <c r="P742" s="14">
        <f>CHOOSE(CONTROL!$C$42, 48.8647, 48.8647) * CHOOSE(CONTROL!$C$21, $C$9, 100%, $E$9)</f>
        <v>48.864699999999999</v>
      </c>
      <c r="Q742" s="14">
        <f>CHOOSE(CONTROL!$C$42, 49.5263, 49.5263) * CHOOSE(CONTROL!$C$21, $C$9, 100%, $E$9)</f>
        <v>49.526299999999999</v>
      </c>
      <c r="R742" s="14">
        <f>CHOOSE(CONTROL!$C$42, 50.2371, 50.2371) * CHOOSE(CONTROL!$C$21, $C$9, 100%, $E$9)</f>
        <v>50.237099999999998</v>
      </c>
      <c r="S742" s="14">
        <f>CHOOSE(CONTROL!$C$42, 47.7448, 47.7448) * CHOOSE(CONTROL!$C$21, $C$9, 100%, $E$9)</f>
        <v>47.744799999999998</v>
      </c>
      <c r="T7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42" s="57">
        <f>(1000*CHOOSE(CONTROL!$C$42, 695, 695)*CHOOSE(CONTROL!$C$42, 0.5599, 0.5599)*CHOOSE(CONTROL!$C$42, 31, 31))/1000000</f>
        <v>12.063045499999998</v>
      </c>
      <c r="V742" s="57">
        <f>(1000*CHOOSE(CONTROL!$C$42, 500, 500)*CHOOSE(CONTROL!$C$42, 0.275, 0.275)*CHOOSE(CONTROL!$C$42, 31, 31))/1000000</f>
        <v>4.2625000000000002</v>
      </c>
      <c r="W742" s="57">
        <f>(1000*CHOOSE(CONTROL!$C$42, 0.1146, 0.1146)*CHOOSE(CONTROL!$C$42, 121.5, 121.5)*CHOOSE(CONTROL!$C$42, 31, 31))/1000000</f>
        <v>0.43164089999999994</v>
      </c>
      <c r="X742" s="57">
        <f>(31*0.1790888*245000/1000000)+(31*0.2374*100000/1000000)</f>
        <v>2.0961194359999999</v>
      </c>
      <c r="Y742" s="57"/>
      <c r="Z742" s="14"/>
      <c r="AA742" s="56"/>
      <c r="AB742" s="50">
        <f>(B742*131.881+C742*277.167+D742*79.08+E742*125.872+F742*40+G742*185+H742*0+I742*100+J742*300)/(131.881+277.167+79.08+125.872+0+40+185+100+300)</f>
        <v>49.767460608393861</v>
      </c>
      <c r="AC742" s="45">
        <f>(M742*'RAP TEMPLATE-GAS AVAILABILITY'!O741+N742*'RAP TEMPLATE-GAS AVAILABILITY'!P741+O742*'RAP TEMPLATE-GAS AVAILABILITY'!Q741+P742*'RAP TEMPLATE-GAS AVAILABILITY'!R741)/('RAP TEMPLATE-GAS AVAILABILITY'!O741+'RAP TEMPLATE-GAS AVAILABILITY'!P741+'RAP TEMPLATE-GAS AVAILABILITY'!Q741+'RAP TEMPLATE-GAS AVAILABILITY'!R741)</f>
        <v>48.832943884892089</v>
      </c>
    </row>
    <row r="743" spans="1:29" ht="15.75" x14ac:dyDescent="0.25">
      <c r="A743" s="32">
        <v>63523</v>
      </c>
      <c r="B743" s="14">
        <f>CHOOSE(CONTROL!$C$42, 51.0054, 51.0054) * CHOOSE(CONTROL!$C$21, $C$9, 100%, $E$9)</f>
        <v>51.005400000000002</v>
      </c>
      <c r="C743" s="14">
        <f>CHOOSE(CONTROL!$C$42, 51.0105, 51.0105) * CHOOSE(CONTROL!$C$21, $C$9, 100%, $E$9)</f>
        <v>51.0105</v>
      </c>
      <c r="D743" s="14">
        <f>CHOOSE(CONTROL!$C$42, 51.0847, 51.0847) * CHOOSE(CONTROL!$C$21, $C$9, 100%, $E$9)</f>
        <v>51.084699999999998</v>
      </c>
      <c r="E743" s="14">
        <f>CHOOSE(CONTROL!$C$42, 51.1188, 51.1188) * CHOOSE(CONTROL!$C$21, $C$9, 100%, $E$9)</f>
        <v>51.1188</v>
      </c>
      <c r="F743" s="14">
        <f>CHOOSE(CONTROL!$C$42, 51.0415, 51.0415)*CHOOSE(CONTROL!$C$21, $C$9, 100%, $E$9)</f>
        <v>51.041499999999999</v>
      </c>
      <c r="G743" s="14">
        <f>CHOOSE(CONTROL!$C$42, 51.059, 51.059)*CHOOSE(CONTROL!$C$21, $C$9, 100%, $E$9)</f>
        <v>51.058999999999997</v>
      </c>
      <c r="H743" s="14">
        <f>CHOOSE(CONTROL!$C$42, 51.108, 51.108) * CHOOSE(CONTROL!$C$21, $C$9, 100%, $E$9)</f>
        <v>51.107999999999997</v>
      </c>
      <c r="I743" s="14">
        <f>CHOOSE(CONTROL!$C$42, 51.1926, 51.1926)* CHOOSE(CONTROL!$C$21, $C$9, 100%, $E$9)</f>
        <v>51.192599999999999</v>
      </c>
      <c r="J743" s="14">
        <f>CHOOSE(CONTROL!$C$42, 51.0345, 51.0345)* CHOOSE(CONTROL!$C$21, $C$9, 100%, $E$9)</f>
        <v>51.034500000000001</v>
      </c>
      <c r="K743" s="53">
        <f>CHOOSE(CONTROL!$C$42, 51.1887, 51.1887) * CHOOSE(CONTROL!$C$21, $C$9, 100%, $E$9)</f>
        <v>51.188699999999997</v>
      </c>
      <c r="L743" s="14">
        <f>CHOOSE(CONTROL!$C$42, 51.695, 51.695) * CHOOSE(CONTROL!$C$21, $C$9, 100%, $E$9)</f>
        <v>51.695</v>
      </c>
      <c r="M743" s="14">
        <f>CHOOSE(CONTROL!$C$42, 49.9965, 49.9965) * CHOOSE(CONTROL!$C$21, $C$9, 100%, $E$9)</f>
        <v>49.996499999999997</v>
      </c>
      <c r="N743" s="14">
        <f>CHOOSE(CONTROL!$C$42, 50.0137, 50.0137) * CHOOSE(CONTROL!$C$21, $C$9, 100%, $E$9)</f>
        <v>50.0137</v>
      </c>
      <c r="O743" s="14">
        <f>CHOOSE(CONTROL!$C$42, 50.0685, 50.0685) * CHOOSE(CONTROL!$C$21, $C$9, 100%, $E$9)</f>
        <v>50.0685</v>
      </c>
      <c r="P743" s="14">
        <f>CHOOSE(CONTROL!$C$42, 50.1483, 50.1483) * CHOOSE(CONTROL!$C$21, $C$9, 100%, $E$9)</f>
        <v>50.148299999999999</v>
      </c>
      <c r="Q743" s="14">
        <f>CHOOSE(CONTROL!$C$42, 50.6632, 50.6632) * CHOOSE(CONTROL!$C$21, $C$9, 100%, $E$9)</f>
        <v>50.663200000000003</v>
      </c>
      <c r="R743" s="14">
        <f>CHOOSE(CONTROL!$C$42, 51.3769, 51.3769) * CHOOSE(CONTROL!$C$21, $C$9, 100%, $E$9)</f>
        <v>51.376899999999999</v>
      </c>
      <c r="S743" s="14">
        <f>CHOOSE(CONTROL!$C$42, 49.0026, 49.0026) * CHOOSE(CONTROL!$C$21, $C$9, 100%, $E$9)</f>
        <v>49.002600000000001</v>
      </c>
      <c r="T7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43" s="57">
        <f>(1000*CHOOSE(CONTROL!$C$42, 695, 695)*CHOOSE(CONTROL!$C$42, 0.5599, 0.5599)*CHOOSE(CONTROL!$C$42, 30, 30))/1000000</f>
        <v>11.673914999999997</v>
      </c>
      <c r="V743" s="57">
        <f>(1000*CHOOSE(CONTROL!$C$42, 500, 500)*CHOOSE(CONTROL!$C$42, 0.275, 0.275)*CHOOSE(CONTROL!$C$42, 30, 30))/1000000</f>
        <v>4.125</v>
      </c>
      <c r="W743" s="57">
        <f>(1000*CHOOSE(CONTROL!$C$42, 0.1146, 0.1146)*CHOOSE(CONTROL!$C$42, 121.5, 121.5)*CHOOSE(CONTROL!$C$42, 30, 30))/1000000</f>
        <v>0.417717</v>
      </c>
      <c r="X743" s="57">
        <f>(30*0.1790888*100000/1000000)+(30*0.2374*100000/1000000)</f>
        <v>1.2494664</v>
      </c>
      <c r="Y743" s="57"/>
      <c r="Z743" s="14"/>
      <c r="AA743" s="56"/>
      <c r="AB743" s="50">
        <f>(B743*122.58+C743*297.941+D743*89.177+E743*40.302+F743*40+G743*160+H743*0+I743*100+J743*300)/(122.58+297.941+89.177+40.302+0+40+160+100+300)</f>
        <v>51.049427375652172</v>
      </c>
      <c r="AC743" s="45">
        <f>(M743*'RAP TEMPLATE-GAS AVAILABILITY'!O742+N743*'RAP TEMPLATE-GAS AVAILABILITY'!P742+O743*'RAP TEMPLATE-GAS AVAILABILITY'!Q742+P743*'RAP TEMPLATE-GAS AVAILABILITY'!R742)/('RAP TEMPLATE-GAS AVAILABILITY'!O742+'RAP TEMPLATE-GAS AVAILABILITY'!P742+'RAP TEMPLATE-GAS AVAILABILITY'!Q742+'RAP TEMPLATE-GAS AVAILABILITY'!R742)</f>
        <v>50.051964748201442</v>
      </c>
    </row>
    <row r="744" spans="1:29" ht="15.75" x14ac:dyDescent="0.25">
      <c r="A744" s="32">
        <v>63554</v>
      </c>
      <c r="B744" s="14">
        <f>CHOOSE(CONTROL!$C$42, 54.4823, 54.4823) * CHOOSE(CONTROL!$C$21, $C$9, 100%, $E$9)</f>
        <v>54.482300000000002</v>
      </c>
      <c r="C744" s="14">
        <f>CHOOSE(CONTROL!$C$42, 54.4874, 54.4874) * CHOOSE(CONTROL!$C$21, $C$9, 100%, $E$9)</f>
        <v>54.487400000000001</v>
      </c>
      <c r="D744" s="14">
        <f>CHOOSE(CONTROL!$C$42, 54.5616, 54.5616) * CHOOSE(CONTROL!$C$21, $C$9, 100%, $E$9)</f>
        <v>54.561599999999999</v>
      </c>
      <c r="E744" s="14">
        <f>CHOOSE(CONTROL!$C$42, 54.5957, 54.5957) * CHOOSE(CONTROL!$C$21, $C$9, 100%, $E$9)</f>
        <v>54.595700000000001</v>
      </c>
      <c r="F744" s="14">
        <f>CHOOSE(CONTROL!$C$42, 54.5207, 54.5207)*CHOOSE(CONTROL!$C$21, $C$9, 100%, $E$9)</f>
        <v>54.520699999999998</v>
      </c>
      <c r="G744" s="14">
        <f>CHOOSE(CONTROL!$C$42, 54.5388, 54.5388)*CHOOSE(CONTROL!$C$21, $C$9, 100%, $E$9)</f>
        <v>54.538800000000002</v>
      </c>
      <c r="H744" s="14">
        <f>CHOOSE(CONTROL!$C$42, 54.5849, 54.5849) * CHOOSE(CONTROL!$C$21, $C$9, 100%, $E$9)</f>
        <v>54.584899999999998</v>
      </c>
      <c r="I744" s="14">
        <f>CHOOSE(CONTROL!$C$42, 54.6804, 54.6804)* CHOOSE(CONTROL!$C$21, $C$9, 100%, $E$9)</f>
        <v>54.680399999999999</v>
      </c>
      <c r="J744" s="14">
        <f>CHOOSE(CONTROL!$C$42, 54.5137, 54.5137)* CHOOSE(CONTROL!$C$21, $C$9, 100%, $E$9)</f>
        <v>54.5137</v>
      </c>
      <c r="K744" s="53">
        <f>CHOOSE(CONTROL!$C$42, 54.6765, 54.6765) * CHOOSE(CONTROL!$C$21, $C$9, 100%, $E$9)</f>
        <v>54.676499999999997</v>
      </c>
      <c r="L744" s="14">
        <f>CHOOSE(CONTROL!$C$42, 55.1719, 55.1719) * CHOOSE(CONTROL!$C$21, $C$9, 100%, $E$9)</f>
        <v>55.171900000000001</v>
      </c>
      <c r="M744" s="14">
        <f>CHOOSE(CONTROL!$C$42, 53.4044, 53.4044) * CHOOSE(CONTROL!$C$21, $C$9, 100%, $E$9)</f>
        <v>53.404400000000003</v>
      </c>
      <c r="N744" s="14">
        <f>CHOOSE(CONTROL!$C$42, 53.4222, 53.4222) * CHOOSE(CONTROL!$C$21, $C$9, 100%, $E$9)</f>
        <v>53.422199999999997</v>
      </c>
      <c r="O744" s="14">
        <f>CHOOSE(CONTROL!$C$42, 53.4742, 53.4742) * CHOOSE(CONTROL!$C$21, $C$9, 100%, $E$9)</f>
        <v>53.474200000000003</v>
      </c>
      <c r="P744" s="14">
        <f>CHOOSE(CONTROL!$C$42, 53.5644, 53.5644) * CHOOSE(CONTROL!$C$21, $C$9, 100%, $E$9)</f>
        <v>53.564399999999999</v>
      </c>
      <c r="Q744" s="14">
        <f>CHOOSE(CONTROL!$C$42, 54.0689, 54.0689) * CHOOSE(CONTROL!$C$21, $C$9, 100%, $E$9)</f>
        <v>54.068899999999999</v>
      </c>
      <c r="R744" s="14">
        <f>CHOOSE(CONTROL!$C$42, 54.791, 54.791) * CHOOSE(CONTROL!$C$21, $C$9, 100%, $E$9)</f>
        <v>54.790999999999997</v>
      </c>
      <c r="S744" s="14">
        <f>CHOOSE(CONTROL!$C$42, 52.3435, 52.3435) * CHOOSE(CONTROL!$C$21, $C$9, 100%, $E$9)</f>
        <v>52.343499999999999</v>
      </c>
      <c r="T7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44" s="57">
        <f>(1000*CHOOSE(CONTROL!$C$42, 695, 695)*CHOOSE(CONTROL!$C$42, 0.5599, 0.5599)*CHOOSE(CONTROL!$C$42, 31, 31))/1000000</f>
        <v>12.063045499999998</v>
      </c>
      <c r="V744" s="57">
        <f>(1000*CHOOSE(CONTROL!$C$42, 500, 500)*CHOOSE(CONTROL!$C$42, 0.275, 0.275)*CHOOSE(CONTROL!$C$42, 31, 31))/1000000</f>
        <v>4.2625000000000002</v>
      </c>
      <c r="W744" s="57">
        <f>(1000*CHOOSE(CONTROL!$C$42, 0.1146, 0.1146)*CHOOSE(CONTROL!$C$42, 121.5, 121.5)*CHOOSE(CONTROL!$C$42, 31, 31))/1000000</f>
        <v>0.43164089999999994</v>
      </c>
      <c r="X744" s="57">
        <f>(31*0.1790888*100000/1000000)+(31*0.2374*100000/1000000)</f>
        <v>1.2911152800000001</v>
      </c>
      <c r="Y744" s="57"/>
      <c r="Z744" s="14"/>
      <c r="AA744" s="56"/>
      <c r="AB744" s="50">
        <f>(B744*122.58+C744*297.941+D744*89.177+E744*40.302+F744*40+G744*160+H744*0+I744*100+J744*300)/(122.58+297.941+89.177+40.302+0+40+160+100+300)</f>
        <v>54.528358680000004</v>
      </c>
      <c r="AC744" s="45">
        <f>(M744*'RAP TEMPLATE-GAS AVAILABILITY'!O743+N744*'RAP TEMPLATE-GAS AVAILABILITY'!P743+O744*'RAP TEMPLATE-GAS AVAILABILITY'!Q743+P744*'RAP TEMPLATE-GAS AVAILABILITY'!R743)/('RAP TEMPLATE-GAS AVAILABILITY'!O743+'RAP TEMPLATE-GAS AVAILABILITY'!P743+'RAP TEMPLATE-GAS AVAILABILITY'!Q743+'RAP TEMPLATE-GAS AVAILABILITY'!R743)</f>
        <v>53.460082014388483</v>
      </c>
    </row>
    <row r="745" spans="1:29" ht="15.75" x14ac:dyDescent="0.25">
      <c r="A745" s="32">
        <v>63585</v>
      </c>
      <c r="B745" s="14">
        <f>CHOOSE(CONTROL!$C$42, 58.9981, 58.9981) * CHOOSE(CONTROL!$C$21, $C$9, 100%, $E$9)</f>
        <v>58.998100000000001</v>
      </c>
      <c r="C745" s="14">
        <f>CHOOSE(CONTROL!$C$42, 59.0032, 59.0032) * CHOOSE(CONTROL!$C$21, $C$9, 100%, $E$9)</f>
        <v>59.0032</v>
      </c>
      <c r="D745" s="14">
        <f>CHOOSE(CONTROL!$C$42, 59.08, 59.08) * CHOOSE(CONTROL!$C$21, $C$9, 100%, $E$9)</f>
        <v>59.08</v>
      </c>
      <c r="E745" s="14">
        <f>CHOOSE(CONTROL!$C$42, 59.1141, 59.1141) * CHOOSE(CONTROL!$C$21, $C$9, 100%, $E$9)</f>
        <v>59.114100000000001</v>
      </c>
      <c r="F745" s="14">
        <f>CHOOSE(CONTROL!$C$42, 59.0229, 59.0229)*CHOOSE(CONTROL!$C$21, $C$9, 100%, $E$9)</f>
        <v>59.0229</v>
      </c>
      <c r="G745" s="14">
        <f>CHOOSE(CONTROL!$C$42, 59.0408, 59.0408)*CHOOSE(CONTROL!$C$21, $C$9, 100%, $E$9)</f>
        <v>59.040799999999997</v>
      </c>
      <c r="H745" s="14">
        <f>CHOOSE(CONTROL!$C$42, 59.1033, 59.1033) * CHOOSE(CONTROL!$C$21, $C$9, 100%, $E$9)</f>
        <v>59.103299999999997</v>
      </c>
      <c r="I745" s="14">
        <f>CHOOSE(CONTROL!$C$42, 59.2166, 59.2166)* CHOOSE(CONTROL!$C$21, $C$9, 100%, $E$9)</f>
        <v>59.2166</v>
      </c>
      <c r="J745" s="14">
        <f>CHOOSE(CONTROL!$C$42, 59.0159, 59.0159)* CHOOSE(CONTROL!$C$21, $C$9, 100%, $E$9)</f>
        <v>59.015900000000002</v>
      </c>
      <c r="K745" s="53">
        <f>CHOOSE(CONTROL!$C$42, 59.2127, 59.2127) * CHOOSE(CONTROL!$C$21, $C$9, 100%, $E$9)</f>
        <v>59.212699999999998</v>
      </c>
      <c r="L745" s="14">
        <f>CHOOSE(CONTROL!$C$42, 59.6903, 59.6903) * CHOOSE(CONTROL!$C$21, $C$9, 100%, $E$9)</f>
        <v>59.690300000000001</v>
      </c>
      <c r="M745" s="14">
        <f>CHOOSE(CONTROL!$C$42, 57.8144, 57.8144) * CHOOSE(CONTROL!$C$21, $C$9, 100%, $E$9)</f>
        <v>57.814399999999999</v>
      </c>
      <c r="N745" s="14">
        <f>CHOOSE(CONTROL!$C$42, 57.832, 57.832) * CHOOSE(CONTROL!$C$21, $C$9, 100%, $E$9)</f>
        <v>57.832000000000001</v>
      </c>
      <c r="O745" s="14">
        <f>CHOOSE(CONTROL!$C$42, 57.9, 57.9) * CHOOSE(CONTROL!$C$21, $C$9, 100%, $E$9)</f>
        <v>57.9</v>
      </c>
      <c r="P745" s="14">
        <f>CHOOSE(CONTROL!$C$42, 58.0074, 58.0074) * CHOOSE(CONTROL!$C$21, $C$9, 100%, $E$9)</f>
        <v>58.007399999999997</v>
      </c>
      <c r="Q745" s="14">
        <f>CHOOSE(CONTROL!$C$42, 58.4947, 58.4947) * CHOOSE(CONTROL!$C$21, $C$9, 100%, $E$9)</f>
        <v>58.494700000000002</v>
      </c>
      <c r="R745" s="14">
        <f>CHOOSE(CONTROL!$C$42, 59.2279, 59.2279) * CHOOSE(CONTROL!$C$21, $C$9, 100%, $E$9)</f>
        <v>59.227899999999998</v>
      </c>
      <c r="S745" s="14">
        <f>CHOOSE(CONTROL!$C$42, 56.6828, 56.6828) * CHOOSE(CONTROL!$C$21, $C$9, 100%, $E$9)</f>
        <v>56.6828</v>
      </c>
      <c r="T7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45" s="57">
        <f>(1000*CHOOSE(CONTROL!$C$42, 695, 695)*CHOOSE(CONTROL!$C$42, 0.5599, 0.5599)*CHOOSE(CONTROL!$C$42, 31, 31))/1000000</f>
        <v>12.063045499999998</v>
      </c>
      <c r="V745" s="57">
        <f>(1000*CHOOSE(CONTROL!$C$42, 500, 500)*CHOOSE(CONTROL!$C$42, 0.275, 0.275)*CHOOSE(CONTROL!$C$42, 31, 31))/1000000</f>
        <v>4.2625000000000002</v>
      </c>
      <c r="W745" s="57">
        <f>(1000*CHOOSE(CONTROL!$C$42, 0.1146, 0.1146)*CHOOSE(CONTROL!$C$42, 121.5, 121.5)*CHOOSE(CONTROL!$C$42, 31, 31))/1000000</f>
        <v>0.43164089999999994</v>
      </c>
      <c r="X745" s="57">
        <f>(31*0.1790888*100000/1000000)+(31*0.2374*100000/1000000)</f>
        <v>1.2911152800000001</v>
      </c>
      <c r="Y745" s="57"/>
      <c r="Z745" s="14"/>
      <c r="AA745" s="56"/>
      <c r="AB745" s="50">
        <f>(B745*122.58+C745*297.941+D745*89.177+E745*40.302+F745*40+G745*160+H745*0+I745*100+J745*300)/(122.58+297.941+89.177+40.302+0+40+160+100+300)</f>
        <v>59.040284458608696</v>
      </c>
      <c r="AC745" s="45">
        <f>(M745*'RAP TEMPLATE-GAS AVAILABILITY'!O744+N745*'RAP TEMPLATE-GAS AVAILABILITY'!P744+O745*'RAP TEMPLATE-GAS AVAILABILITY'!Q744+P745*'RAP TEMPLATE-GAS AVAILABILITY'!R744)/('RAP TEMPLATE-GAS AVAILABILITY'!O744+'RAP TEMPLATE-GAS AVAILABILITY'!P744+'RAP TEMPLATE-GAS AVAILABILITY'!Q744+'RAP TEMPLATE-GAS AVAILABILITY'!R744)</f>
        <v>57.881979856115109</v>
      </c>
    </row>
    <row r="746" spans="1:29" ht="15.75" x14ac:dyDescent="0.25">
      <c r="A746" s="32">
        <v>63613</v>
      </c>
      <c r="B746" s="14">
        <f>CHOOSE(CONTROL!$C$42, 60.0482, 60.0482) * CHOOSE(CONTROL!$C$21, $C$9, 100%, $E$9)</f>
        <v>60.048200000000001</v>
      </c>
      <c r="C746" s="14">
        <f>CHOOSE(CONTROL!$C$42, 60.0533, 60.0533) * CHOOSE(CONTROL!$C$21, $C$9, 100%, $E$9)</f>
        <v>60.0533</v>
      </c>
      <c r="D746" s="14">
        <f>CHOOSE(CONTROL!$C$42, 60.1301, 60.1301) * CHOOSE(CONTROL!$C$21, $C$9, 100%, $E$9)</f>
        <v>60.130099999999999</v>
      </c>
      <c r="E746" s="14">
        <f>CHOOSE(CONTROL!$C$42, 60.1642, 60.1642) * CHOOSE(CONTROL!$C$21, $C$9, 100%, $E$9)</f>
        <v>60.164200000000001</v>
      </c>
      <c r="F746" s="14">
        <f>CHOOSE(CONTROL!$C$42, 60.0725, 60.0725)*CHOOSE(CONTROL!$C$21, $C$9, 100%, $E$9)</f>
        <v>60.072499999999998</v>
      </c>
      <c r="G746" s="14">
        <f>CHOOSE(CONTROL!$C$42, 60.0904, 60.0904)*CHOOSE(CONTROL!$C$21, $C$9, 100%, $E$9)</f>
        <v>60.090400000000002</v>
      </c>
      <c r="H746" s="14">
        <f>CHOOSE(CONTROL!$C$42, 60.1534, 60.1534) * CHOOSE(CONTROL!$C$21, $C$9, 100%, $E$9)</f>
        <v>60.153399999999998</v>
      </c>
      <c r="I746" s="14">
        <f>CHOOSE(CONTROL!$C$42, 60.27, 60.27)* CHOOSE(CONTROL!$C$21, $C$9, 100%, $E$9)</f>
        <v>60.27</v>
      </c>
      <c r="J746" s="14">
        <f>CHOOSE(CONTROL!$C$42, 60.0655, 60.0655)* CHOOSE(CONTROL!$C$21, $C$9, 100%, $E$9)</f>
        <v>60.0655</v>
      </c>
      <c r="K746" s="53">
        <f>CHOOSE(CONTROL!$C$42, 60.2661, 60.2661) * CHOOSE(CONTROL!$C$21, $C$9, 100%, $E$9)</f>
        <v>60.266100000000002</v>
      </c>
      <c r="L746" s="14">
        <f>CHOOSE(CONTROL!$C$42, 60.7404, 60.7404) * CHOOSE(CONTROL!$C$21, $C$9, 100%, $E$9)</f>
        <v>60.740400000000001</v>
      </c>
      <c r="M746" s="14">
        <f>CHOOSE(CONTROL!$C$42, 58.8425, 58.8425) * CHOOSE(CONTROL!$C$21, $C$9, 100%, $E$9)</f>
        <v>58.842500000000001</v>
      </c>
      <c r="N746" s="14">
        <f>CHOOSE(CONTROL!$C$42, 58.86, 58.86) * CHOOSE(CONTROL!$C$21, $C$9, 100%, $E$9)</f>
        <v>58.86</v>
      </c>
      <c r="O746" s="14">
        <f>CHOOSE(CONTROL!$C$42, 58.9286, 58.9286) * CHOOSE(CONTROL!$C$21, $C$9, 100%, $E$9)</f>
        <v>58.928600000000003</v>
      </c>
      <c r="P746" s="14">
        <f>CHOOSE(CONTROL!$C$42, 59.0391, 59.0391) * CHOOSE(CONTROL!$C$21, $C$9, 100%, $E$9)</f>
        <v>59.039099999999998</v>
      </c>
      <c r="Q746" s="14">
        <f>CHOOSE(CONTROL!$C$42, 59.5233, 59.5233) * CHOOSE(CONTROL!$C$21, $C$9, 100%, $E$9)</f>
        <v>59.523299999999999</v>
      </c>
      <c r="R746" s="14">
        <f>CHOOSE(CONTROL!$C$42, 60.2591, 60.2591) * CHOOSE(CONTROL!$C$21, $C$9, 100%, $E$9)</f>
        <v>60.259099999999997</v>
      </c>
      <c r="S746" s="14">
        <f>CHOOSE(CONTROL!$C$42, 57.6918, 57.6918) * CHOOSE(CONTROL!$C$21, $C$9, 100%, $E$9)</f>
        <v>57.691800000000001</v>
      </c>
      <c r="T74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6" s="57">
        <f>(1000*CHOOSE(CONTROL!$C$42, 695, 695)*CHOOSE(CONTROL!$C$42, 0.5599, 0.5599)*CHOOSE(CONTROL!$C$42, 28, 28))/1000000</f>
        <v>10.895653999999999</v>
      </c>
      <c r="V746" s="57">
        <f>(1000*CHOOSE(CONTROL!$C$42, 500, 500)*CHOOSE(CONTROL!$C$42, 0.275, 0.275)*CHOOSE(CONTROL!$C$42, 28, 28))/1000000</f>
        <v>3.85</v>
      </c>
      <c r="W746" s="57">
        <f>(1000*CHOOSE(CONTROL!$C$42, 0.1146, 0.1146)*CHOOSE(CONTROL!$C$42, 121.5, 121.5)*CHOOSE(CONTROL!$C$42, 28, 28))/1000000</f>
        <v>0.38986920000000003</v>
      </c>
      <c r="X746" s="57">
        <f>(28*0.1790888*100000/1000000)+(28*0.2374*100000/1000000)</f>
        <v>1.16616864</v>
      </c>
      <c r="Y746" s="57"/>
      <c r="Z746" s="14"/>
      <c r="AA746" s="56"/>
      <c r="AB746" s="50">
        <f>(B746*122.58+C746*297.941+D746*89.177+E746*40.302+F746*40+G746*160+H746*0+I746*100+J746*300)/(122.58+297.941+89.177+40.302+0+40+160+100+300)</f>
        <v>60.090454023826091</v>
      </c>
      <c r="AC746" s="45">
        <f>(M746*'RAP TEMPLATE-GAS AVAILABILITY'!O745+N746*'RAP TEMPLATE-GAS AVAILABILITY'!P745+O746*'RAP TEMPLATE-GAS AVAILABILITY'!Q745+P746*'RAP TEMPLATE-GAS AVAILABILITY'!R745)/('RAP TEMPLATE-GAS AVAILABILITY'!O745+'RAP TEMPLATE-GAS AVAILABILITY'!P745+'RAP TEMPLATE-GAS AVAILABILITY'!Q745+'RAP TEMPLATE-GAS AVAILABILITY'!R745)</f>
        <v>58.910818705035972</v>
      </c>
    </row>
    <row r="747" spans="1:29" ht="15.75" x14ac:dyDescent="0.25">
      <c r="A747" s="32">
        <v>63644</v>
      </c>
      <c r="B747" s="14">
        <f>CHOOSE(CONTROL!$C$42, 58.3437, 58.3437) * CHOOSE(CONTROL!$C$21, $C$9, 100%, $E$9)</f>
        <v>58.343699999999998</v>
      </c>
      <c r="C747" s="14">
        <f>CHOOSE(CONTROL!$C$42, 58.3487, 58.3487) * CHOOSE(CONTROL!$C$21, $C$9, 100%, $E$9)</f>
        <v>58.348700000000001</v>
      </c>
      <c r="D747" s="14">
        <f>CHOOSE(CONTROL!$C$42, 58.4255, 58.4255) * CHOOSE(CONTROL!$C$21, $C$9, 100%, $E$9)</f>
        <v>58.4255</v>
      </c>
      <c r="E747" s="14">
        <f>CHOOSE(CONTROL!$C$42, 58.4597, 58.4597) * CHOOSE(CONTROL!$C$21, $C$9, 100%, $E$9)</f>
        <v>58.459699999999998</v>
      </c>
      <c r="F747" s="14">
        <f>CHOOSE(CONTROL!$C$42, 58.3671, 58.3671)*CHOOSE(CONTROL!$C$21, $C$9, 100%, $E$9)</f>
        <v>58.367100000000001</v>
      </c>
      <c r="G747" s="14">
        <f>CHOOSE(CONTROL!$C$42, 58.3848, 58.3848)*CHOOSE(CONTROL!$C$21, $C$9, 100%, $E$9)</f>
        <v>58.384799999999998</v>
      </c>
      <c r="H747" s="14">
        <f>CHOOSE(CONTROL!$C$42, 58.4489, 58.4489) * CHOOSE(CONTROL!$C$21, $C$9, 100%, $E$9)</f>
        <v>58.448900000000002</v>
      </c>
      <c r="I747" s="14">
        <f>CHOOSE(CONTROL!$C$42, 58.5601, 58.5601)* CHOOSE(CONTROL!$C$21, $C$9, 100%, $E$9)</f>
        <v>58.560099999999998</v>
      </c>
      <c r="J747" s="14">
        <f>CHOOSE(CONTROL!$C$42, 58.3601, 58.3601)* CHOOSE(CONTROL!$C$21, $C$9, 100%, $E$9)</f>
        <v>58.360100000000003</v>
      </c>
      <c r="K747" s="53">
        <f>CHOOSE(CONTROL!$C$42, 58.5562, 58.5562) * CHOOSE(CONTROL!$C$21, $C$9, 100%, $E$9)</f>
        <v>58.556199999999997</v>
      </c>
      <c r="L747" s="14">
        <f>CHOOSE(CONTROL!$C$42, 59.0359, 59.0359) * CHOOSE(CONTROL!$C$21, $C$9, 100%, $E$9)</f>
        <v>59.035899999999998</v>
      </c>
      <c r="M747" s="14">
        <f>CHOOSE(CONTROL!$C$42, 57.1721, 57.1721) * CHOOSE(CONTROL!$C$21, $C$9, 100%, $E$9)</f>
        <v>57.1721</v>
      </c>
      <c r="N747" s="14">
        <f>CHOOSE(CONTROL!$C$42, 57.1893, 57.1893) * CHOOSE(CONTROL!$C$21, $C$9, 100%, $E$9)</f>
        <v>57.189300000000003</v>
      </c>
      <c r="O747" s="14">
        <f>CHOOSE(CONTROL!$C$42, 57.259, 57.259) * CHOOSE(CONTROL!$C$21, $C$9, 100%, $E$9)</f>
        <v>57.259</v>
      </c>
      <c r="P747" s="14">
        <f>CHOOSE(CONTROL!$C$42, 57.3643, 57.3643) * CHOOSE(CONTROL!$C$21, $C$9, 100%, $E$9)</f>
        <v>57.3643</v>
      </c>
      <c r="Q747" s="14">
        <f>CHOOSE(CONTROL!$C$42, 57.8537, 57.8537) * CHOOSE(CONTROL!$C$21, $C$9, 100%, $E$9)</f>
        <v>57.853700000000003</v>
      </c>
      <c r="R747" s="14">
        <f>CHOOSE(CONTROL!$C$42, 58.5853, 58.5853) * CHOOSE(CONTROL!$C$21, $C$9, 100%, $E$9)</f>
        <v>58.585299999999997</v>
      </c>
      <c r="S747" s="14">
        <f>CHOOSE(CONTROL!$C$42, 56.0539, 56.0539) * CHOOSE(CONTROL!$C$21, $C$9, 100%, $E$9)</f>
        <v>56.053899999999999</v>
      </c>
      <c r="T7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47" s="57">
        <f>(1000*CHOOSE(CONTROL!$C$42, 695, 695)*CHOOSE(CONTROL!$C$42, 0.5599, 0.5599)*CHOOSE(CONTROL!$C$42, 31, 31))/1000000</f>
        <v>12.063045499999998</v>
      </c>
      <c r="V747" s="57">
        <f>(1000*CHOOSE(CONTROL!$C$42, 500, 500)*CHOOSE(CONTROL!$C$42, 0.275, 0.275)*CHOOSE(CONTROL!$C$42, 31, 31))/1000000</f>
        <v>4.2625000000000002</v>
      </c>
      <c r="W747" s="57">
        <f>(1000*CHOOSE(CONTROL!$C$42, 0.1146, 0.1146)*CHOOSE(CONTROL!$C$42, 121.5, 121.5)*CHOOSE(CONTROL!$C$42, 31, 31))/1000000</f>
        <v>0.43164089999999994</v>
      </c>
      <c r="X747" s="57">
        <f>(31*0.1790888*100000/1000000)+(31*0.2374*100000/1000000)</f>
        <v>1.2911152800000001</v>
      </c>
      <c r="Y747" s="57"/>
      <c r="Z747" s="14"/>
      <c r="AA747" s="56"/>
      <c r="AB747" s="50">
        <f>(B747*122.58+C747*297.941+D747*89.177+E747*40.302+F747*40+G747*160+H747*0+I747*100+J747*300)/(122.58+297.941+89.177+40.302+0+40+160+100+300)</f>
        <v>58.385031665739128</v>
      </c>
      <c r="AC747" s="45">
        <f>(M747*'RAP TEMPLATE-GAS AVAILABILITY'!O746+N747*'RAP TEMPLATE-GAS AVAILABILITY'!P746+O747*'RAP TEMPLATE-GAS AVAILABILITY'!Q746+P747*'RAP TEMPLATE-GAS AVAILABILITY'!R746)/('RAP TEMPLATE-GAS AVAILABILITY'!O746+'RAP TEMPLATE-GAS AVAILABILITY'!P746+'RAP TEMPLATE-GAS AVAILABILITY'!Q746+'RAP TEMPLATE-GAS AVAILABILITY'!R746)</f>
        <v>57.240130935251791</v>
      </c>
    </row>
    <row r="748" spans="1:29" ht="15.75" x14ac:dyDescent="0.25">
      <c r="A748" s="32">
        <v>63674</v>
      </c>
      <c r="B748" s="14">
        <f>CHOOSE(CONTROL!$C$42, 58.17, 58.17) * CHOOSE(CONTROL!$C$21, $C$9, 100%, $E$9)</f>
        <v>58.17</v>
      </c>
      <c r="C748" s="14">
        <f>CHOOSE(CONTROL!$C$42, 58.1745, 58.1745) * CHOOSE(CONTROL!$C$21, $C$9, 100%, $E$9)</f>
        <v>58.174500000000002</v>
      </c>
      <c r="D748" s="14">
        <f>CHOOSE(CONTROL!$C$42, 58.3982, 58.3982) * CHOOSE(CONTROL!$C$21, $C$9, 100%, $E$9)</f>
        <v>58.398200000000003</v>
      </c>
      <c r="E748" s="14">
        <f>CHOOSE(CONTROL!$C$42, 58.4303, 58.4303) * CHOOSE(CONTROL!$C$21, $C$9, 100%, $E$9)</f>
        <v>58.430300000000003</v>
      </c>
      <c r="F748" s="14">
        <f>CHOOSE(CONTROL!$C$42, 58.1977, 58.1977)*CHOOSE(CONTROL!$C$21, $C$9, 100%, $E$9)</f>
        <v>58.197699999999998</v>
      </c>
      <c r="G748" s="14">
        <f>CHOOSE(CONTROL!$C$42, 58.2146, 58.2146)*CHOOSE(CONTROL!$C$21, $C$9, 100%, $E$9)</f>
        <v>58.214599999999997</v>
      </c>
      <c r="H748" s="14">
        <f>CHOOSE(CONTROL!$C$42, 58.4201, 58.4201) * CHOOSE(CONTROL!$C$21, $C$9, 100%, $E$9)</f>
        <v>58.420099999999998</v>
      </c>
      <c r="I748" s="14">
        <f>CHOOSE(CONTROL!$C$42, 58.3815, 58.3815)* CHOOSE(CONTROL!$C$21, $C$9, 100%, $E$9)</f>
        <v>58.381500000000003</v>
      </c>
      <c r="J748" s="14">
        <f>CHOOSE(CONTROL!$C$42, 58.1907, 58.1907)* CHOOSE(CONTROL!$C$21, $C$9, 100%, $E$9)</f>
        <v>58.1907</v>
      </c>
      <c r="K748" s="53">
        <f>CHOOSE(CONTROL!$C$42, 58.3776, 58.3776) * CHOOSE(CONTROL!$C$21, $C$9, 100%, $E$9)</f>
        <v>58.377600000000001</v>
      </c>
      <c r="L748" s="14">
        <f>CHOOSE(CONTROL!$C$42, 59.0071, 59.0071) * CHOOSE(CONTROL!$C$21, $C$9, 100%, $E$9)</f>
        <v>59.007100000000001</v>
      </c>
      <c r="M748" s="14">
        <f>CHOOSE(CONTROL!$C$42, 57.0061, 57.0061) * CHOOSE(CONTROL!$C$21, $C$9, 100%, $E$9)</f>
        <v>57.006100000000004</v>
      </c>
      <c r="N748" s="14">
        <f>CHOOSE(CONTROL!$C$42, 57.0227, 57.0227) * CHOOSE(CONTROL!$C$21, $C$9, 100%, $E$9)</f>
        <v>57.0227</v>
      </c>
      <c r="O748" s="14">
        <f>CHOOSE(CONTROL!$C$42, 57.2308, 57.2308) * CHOOSE(CONTROL!$C$21, $C$9, 100%, $E$9)</f>
        <v>57.230800000000002</v>
      </c>
      <c r="P748" s="14">
        <f>CHOOSE(CONTROL!$C$42, 57.1894, 57.1894) * CHOOSE(CONTROL!$C$21, $C$9, 100%, $E$9)</f>
        <v>57.189399999999999</v>
      </c>
      <c r="Q748" s="14">
        <f>CHOOSE(CONTROL!$C$42, 57.8255, 57.8255) * CHOOSE(CONTROL!$C$21, $C$9, 100%, $E$9)</f>
        <v>57.825499999999998</v>
      </c>
      <c r="R748" s="14">
        <f>CHOOSE(CONTROL!$C$42, 58.5571, 58.5571) * CHOOSE(CONTROL!$C$21, $C$9, 100%, $E$9)</f>
        <v>58.557099999999998</v>
      </c>
      <c r="S748" s="14">
        <f>CHOOSE(CONTROL!$C$42, 55.8863, 55.8863) * CHOOSE(CONTROL!$C$21, $C$9, 100%, $E$9)</f>
        <v>55.886299999999999</v>
      </c>
      <c r="T7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48" s="57">
        <f>(1000*CHOOSE(CONTROL!$C$42, 695, 695)*CHOOSE(CONTROL!$C$42, 0.5599, 0.5599)*CHOOSE(CONTROL!$C$42, 30, 30))/1000000</f>
        <v>11.673914999999997</v>
      </c>
      <c r="V748" s="57">
        <f>(1000*CHOOSE(CONTROL!$C$42, 500, 500)*CHOOSE(CONTROL!$C$42, 0.275, 0.275)*CHOOSE(CONTROL!$C$42, 30, 30))/1000000</f>
        <v>4.125</v>
      </c>
      <c r="W748" s="57">
        <f>(1000*CHOOSE(CONTROL!$C$42, 0.1146, 0.1146)*CHOOSE(CONTROL!$C$42, 121.5, 121.5)*CHOOSE(CONTROL!$C$42, 30, 30))/1000000</f>
        <v>0.417717</v>
      </c>
      <c r="X748" s="57">
        <f>(30*0.1790888*245000/1000000)+(30*0.2374*100000/1000000)</f>
        <v>2.0285026799999999</v>
      </c>
      <c r="Y748" s="57"/>
      <c r="Z748" s="14"/>
      <c r="AA748" s="56"/>
      <c r="AB748" s="50">
        <f>(B748*141.293+C748*267.993+D748*115.016+E748*89.698+F748*40+G748*185+H748*0+I748*100+J748*300)/(141.293+267.993+115.016+89.698+0+40+185+100+300)</f>
        <v>58.24063761832123</v>
      </c>
      <c r="AC748" s="45">
        <f>(M748*'RAP TEMPLATE-GAS AVAILABILITY'!O747+N748*'RAP TEMPLATE-GAS AVAILABILITY'!P747+O748*'RAP TEMPLATE-GAS AVAILABILITY'!Q747+P748*'RAP TEMPLATE-GAS AVAILABILITY'!R747)/('RAP TEMPLATE-GAS AVAILABILITY'!O747+'RAP TEMPLATE-GAS AVAILABILITY'!P747+'RAP TEMPLATE-GAS AVAILABILITY'!Q747+'RAP TEMPLATE-GAS AVAILABILITY'!R747)</f>
        <v>57.135271942446046</v>
      </c>
    </row>
    <row r="749" spans="1:29" ht="15.75" x14ac:dyDescent="0.25">
      <c r="A749" s="32">
        <v>63705</v>
      </c>
      <c r="B749" s="14">
        <f>CHOOSE(CONTROL!$C$42, 58.6847, 58.6847) * CHOOSE(CONTROL!$C$21, $C$9, 100%, $E$9)</f>
        <v>58.684699999999999</v>
      </c>
      <c r="C749" s="14">
        <f>CHOOSE(CONTROL!$C$42, 58.6928, 58.6928) * CHOOSE(CONTROL!$C$21, $C$9, 100%, $E$9)</f>
        <v>58.692799999999998</v>
      </c>
      <c r="D749" s="14">
        <f>CHOOSE(CONTROL!$C$42, 58.9133, 58.9133) * CHOOSE(CONTROL!$C$21, $C$9, 100%, $E$9)</f>
        <v>58.9133</v>
      </c>
      <c r="E749" s="14">
        <f>CHOOSE(CONTROL!$C$42, 58.9448, 58.9448) * CHOOSE(CONTROL!$C$21, $C$9, 100%, $E$9)</f>
        <v>58.944800000000001</v>
      </c>
      <c r="F749" s="14">
        <f>CHOOSE(CONTROL!$C$42, 58.711, 58.711)*CHOOSE(CONTROL!$C$21, $C$9, 100%, $E$9)</f>
        <v>58.710999999999999</v>
      </c>
      <c r="G749" s="14">
        <f>CHOOSE(CONTROL!$C$42, 58.7281, 58.7281)*CHOOSE(CONTROL!$C$21, $C$9, 100%, $E$9)</f>
        <v>58.728099999999998</v>
      </c>
      <c r="H749" s="14">
        <f>CHOOSE(CONTROL!$C$42, 58.9334, 58.9334) * CHOOSE(CONTROL!$C$21, $C$9, 100%, $E$9)</f>
        <v>58.933399999999999</v>
      </c>
      <c r="I749" s="14">
        <f>CHOOSE(CONTROL!$C$42, 58.8964, 58.8964)* CHOOSE(CONTROL!$C$21, $C$9, 100%, $E$9)</f>
        <v>58.8964</v>
      </c>
      <c r="J749" s="14">
        <f>CHOOSE(CONTROL!$C$42, 58.704, 58.704)* CHOOSE(CONTROL!$C$21, $C$9, 100%, $E$9)</f>
        <v>58.704000000000001</v>
      </c>
      <c r="K749" s="53">
        <f>CHOOSE(CONTROL!$C$42, 58.8925, 58.8925) * CHOOSE(CONTROL!$C$21, $C$9, 100%, $E$9)</f>
        <v>58.892499999999998</v>
      </c>
      <c r="L749" s="14">
        <f>CHOOSE(CONTROL!$C$42, 59.5204, 59.5204) * CHOOSE(CONTROL!$C$21, $C$9, 100%, $E$9)</f>
        <v>59.520400000000002</v>
      </c>
      <c r="M749" s="14">
        <f>CHOOSE(CONTROL!$C$42, 57.5089, 57.5089) * CHOOSE(CONTROL!$C$21, $C$9, 100%, $E$9)</f>
        <v>57.508899999999997</v>
      </c>
      <c r="N749" s="14">
        <f>CHOOSE(CONTROL!$C$42, 57.5256, 57.5256) * CHOOSE(CONTROL!$C$21, $C$9, 100%, $E$9)</f>
        <v>57.525599999999997</v>
      </c>
      <c r="O749" s="14">
        <f>CHOOSE(CONTROL!$C$42, 57.7336, 57.7336) * CHOOSE(CONTROL!$C$21, $C$9, 100%, $E$9)</f>
        <v>57.733600000000003</v>
      </c>
      <c r="P749" s="14">
        <f>CHOOSE(CONTROL!$C$42, 57.6937, 57.6937) * CHOOSE(CONTROL!$C$21, $C$9, 100%, $E$9)</f>
        <v>57.6937</v>
      </c>
      <c r="Q749" s="14">
        <f>CHOOSE(CONTROL!$C$42, 58.3283, 58.3283) * CHOOSE(CONTROL!$C$21, $C$9, 100%, $E$9)</f>
        <v>58.328299999999999</v>
      </c>
      <c r="R749" s="14">
        <f>CHOOSE(CONTROL!$C$42, 59.0611, 59.0611) * CHOOSE(CONTROL!$C$21, $C$9, 100%, $E$9)</f>
        <v>59.061100000000003</v>
      </c>
      <c r="S749" s="14">
        <f>CHOOSE(CONTROL!$C$42, 56.3795, 56.3795) * CHOOSE(CONTROL!$C$21, $C$9, 100%, $E$9)</f>
        <v>56.3795</v>
      </c>
      <c r="T7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49" s="57">
        <f>(1000*CHOOSE(CONTROL!$C$42, 695, 695)*CHOOSE(CONTROL!$C$42, 0.5599, 0.5599)*CHOOSE(CONTROL!$C$42, 31, 31))/1000000</f>
        <v>12.063045499999998</v>
      </c>
      <c r="V749" s="57">
        <f>(1000*CHOOSE(CONTROL!$C$42, 500, 500)*CHOOSE(CONTROL!$C$42, 0.275, 0.275)*CHOOSE(CONTROL!$C$42, 31, 31))/1000000</f>
        <v>4.2625000000000002</v>
      </c>
      <c r="W749" s="57">
        <f>(1000*CHOOSE(CONTROL!$C$42, 0.1146, 0.1146)*CHOOSE(CONTROL!$C$42, 121.5, 121.5)*CHOOSE(CONTROL!$C$42, 31, 31))/1000000</f>
        <v>0.43164089999999994</v>
      </c>
      <c r="X749" s="57">
        <f>(31*0.1790888*245000/1000000)+(31*0.2374*100000/1000000)</f>
        <v>2.0961194359999999</v>
      </c>
      <c r="Y749" s="57"/>
      <c r="Z749" s="14"/>
      <c r="AA749" s="56"/>
      <c r="AB749" s="50">
        <f>(B749*194.205+C749*267.466+D749*133.845+E749*53.484+F749*40+G749*185+H749*0+I749*100+J749*300)/(194.205+267.466+133.845+53.484+0+40+185+100+300)</f>
        <v>58.749625926216645</v>
      </c>
      <c r="AC749" s="45">
        <f>(M749*'RAP TEMPLATE-GAS AVAILABILITY'!O748+N749*'RAP TEMPLATE-GAS AVAILABILITY'!P748+O749*'RAP TEMPLATE-GAS AVAILABILITY'!Q748+P749*'RAP TEMPLATE-GAS AVAILABILITY'!R748)/('RAP TEMPLATE-GAS AVAILABILITY'!O748+'RAP TEMPLATE-GAS AVAILABILITY'!P748+'RAP TEMPLATE-GAS AVAILABILITY'!Q748+'RAP TEMPLATE-GAS AVAILABILITY'!R748)</f>
        <v>57.638293525179861</v>
      </c>
    </row>
    <row r="750" spans="1:29" ht="15.75" x14ac:dyDescent="0.25">
      <c r="A750" s="32">
        <v>63735</v>
      </c>
      <c r="B750" s="14">
        <f>CHOOSE(CONTROL!$C$42, 60.3491, 60.3491) * CHOOSE(CONTROL!$C$21, $C$9, 100%, $E$9)</f>
        <v>60.3491</v>
      </c>
      <c r="C750" s="14">
        <f>CHOOSE(CONTROL!$C$42, 60.3571, 60.3571) * CHOOSE(CONTROL!$C$21, $C$9, 100%, $E$9)</f>
        <v>60.357100000000003</v>
      </c>
      <c r="D750" s="14">
        <f>CHOOSE(CONTROL!$C$42, 60.5777, 60.5777) * CHOOSE(CONTROL!$C$21, $C$9, 100%, $E$9)</f>
        <v>60.5777</v>
      </c>
      <c r="E750" s="14">
        <f>CHOOSE(CONTROL!$C$42, 60.6091, 60.6091) * CHOOSE(CONTROL!$C$21, $C$9, 100%, $E$9)</f>
        <v>60.609099999999998</v>
      </c>
      <c r="F750" s="14">
        <f>CHOOSE(CONTROL!$C$42, 60.3757, 60.3757)*CHOOSE(CONTROL!$C$21, $C$9, 100%, $E$9)</f>
        <v>60.375700000000002</v>
      </c>
      <c r="G750" s="14">
        <f>CHOOSE(CONTROL!$C$42, 60.3929, 60.3929)*CHOOSE(CONTROL!$C$21, $C$9, 100%, $E$9)</f>
        <v>60.392899999999997</v>
      </c>
      <c r="H750" s="14">
        <f>CHOOSE(CONTROL!$C$42, 60.5978, 60.5978) * CHOOSE(CONTROL!$C$21, $C$9, 100%, $E$9)</f>
        <v>60.597799999999999</v>
      </c>
      <c r="I750" s="14">
        <f>CHOOSE(CONTROL!$C$42, 60.566, 60.566)* CHOOSE(CONTROL!$C$21, $C$9, 100%, $E$9)</f>
        <v>60.566000000000003</v>
      </c>
      <c r="J750" s="14">
        <f>CHOOSE(CONTROL!$C$42, 60.3687, 60.3687)* CHOOSE(CONTROL!$C$21, $C$9, 100%, $E$9)</f>
        <v>60.368699999999997</v>
      </c>
      <c r="K750" s="53">
        <f>CHOOSE(CONTROL!$C$42, 60.5621, 60.5621) * CHOOSE(CONTROL!$C$21, $C$9, 100%, $E$9)</f>
        <v>60.562100000000001</v>
      </c>
      <c r="L750" s="14">
        <f>CHOOSE(CONTROL!$C$42, 61.1848, 61.1848) * CHOOSE(CONTROL!$C$21, $C$9, 100%, $E$9)</f>
        <v>61.184800000000003</v>
      </c>
      <c r="M750" s="14">
        <f>CHOOSE(CONTROL!$C$42, 59.1395, 59.1395) * CHOOSE(CONTROL!$C$21, $C$9, 100%, $E$9)</f>
        <v>59.139499999999998</v>
      </c>
      <c r="N750" s="14">
        <f>CHOOSE(CONTROL!$C$42, 59.1563, 59.1563) * CHOOSE(CONTROL!$C$21, $C$9, 100%, $E$9)</f>
        <v>59.156300000000002</v>
      </c>
      <c r="O750" s="14">
        <f>CHOOSE(CONTROL!$C$42, 59.3639, 59.3639) * CHOOSE(CONTROL!$C$21, $C$9, 100%, $E$9)</f>
        <v>59.363900000000001</v>
      </c>
      <c r="P750" s="14">
        <f>CHOOSE(CONTROL!$C$42, 59.329, 59.329) * CHOOSE(CONTROL!$C$21, $C$9, 100%, $E$9)</f>
        <v>59.329000000000001</v>
      </c>
      <c r="Q750" s="14">
        <f>CHOOSE(CONTROL!$C$42, 59.9586, 59.9586) * CHOOSE(CONTROL!$C$21, $C$9, 100%, $E$9)</f>
        <v>59.958599999999997</v>
      </c>
      <c r="R750" s="14">
        <f>CHOOSE(CONTROL!$C$42, 60.6955, 60.6955) * CHOOSE(CONTROL!$C$21, $C$9, 100%, $E$9)</f>
        <v>60.695500000000003</v>
      </c>
      <c r="S750" s="14">
        <f>CHOOSE(CONTROL!$C$42, 57.9788, 57.9788) * CHOOSE(CONTROL!$C$21, $C$9, 100%, $E$9)</f>
        <v>57.9788</v>
      </c>
      <c r="T7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50" s="57">
        <f>(1000*CHOOSE(CONTROL!$C$42, 695, 695)*CHOOSE(CONTROL!$C$42, 0.5599, 0.5599)*CHOOSE(CONTROL!$C$42, 30, 30))/1000000</f>
        <v>11.673914999999997</v>
      </c>
      <c r="V750" s="57">
        <f>(1000*CHOOSE(CONTROL!$C$42, 500, 500)*CHOOSE(CONTROL!$C$42, 0.275, 0.275)*CHOOSE(CONTROL!$C$42, 30, 30))/1000000</f>
        <v>4.125</v>
      </c>
      <c r="W750" s="57">
        <f>(1000*CHOOSE(CONTROL!$C$42, 0.1146, 0.1146)*CHOOSE(CONTROL!$C$42, 121.5, 121.5)*CHOOSE(CONTROL!$C$42, 30, 30))/1000000</f>
        <v>0.417717</v>
      </c>
      <c r="X750" s="57">
        <f>(30*0.1790888*245000/1000000)+(30*0.2374*100000/1000000)</f>
        <v>2.0285026799999999</v>
      </c>
      <c r="Y750" s="57"/>
      <c r="Z750" s="14"/>
      <c r="AA750" s="56"/>
      <c r="AB750" s="50">
        <f>(B750*194.205+C750*267.466+D750*133.845+E750*53.484+F750*40+G750*185+H750*0+I750*100+J750*300)/(194.205+267.466+133.845+53.484+0+40+185+100+300)</f>
        <v>60.414547044740978</v>
      </c>
      <c r="AC750" s="45">
        <f>(M750*'RAP TEMPLATE-GAS AVAILABILITY'!O749+N750*'RAP TEMPLATE-GAS AVAILABILITY'!P749+O750*'RAP TEMPLATE-GAS AVAILABILITY'!Q749+P750*'RAP TEMPLATE-GAS AVAILABILITY'!R749)/('RAP TEMPLATE-GAS AVAILABILITY'!O749+'RAP TEMPLATE-GAS AVAILABILITY'!P749+'RAP TEMPLATE-GAS AVAILABILITY'!Q749+'RAP TEMPLATE-GAS AVAILABILITY'!R749)</f>
        <v>59.269439568345319</v>
      </c>
    </row>
    <row r="751" spans="1:29" ht="15.75" x14ac:dyDescent="0.25">
      <c r="A751" s="32">
        <v>63766</v>
      </c>
      <c r="B751" s="14">
        <f>CHOOSE(CONTROL!$C$42, 59.1915, 59.1915) * CHOOSE(CONTROL!$C$21, $C$9, 100%, $E$9)</f>
        <v>59.191499999999998</v>
      </c>
      <c r="C751" s="14">
        <f>CHOOSE(CONTROL!$C$42, 59.1995, 59.1995) * CHOOSE(CONTROL!$C$21, $C$9, 100%, $E$9)</f>
        <v>59.1995</v>
      </c>
      <c r="D751" s="14">
        <f>CHOOSE(CONTROL!$C$42, 59.4201, 59.4201) * CHOOSE(CONTROL!$C$21, $C$9, 100%, $E$9)</f>
        <v>59.420099999999998</v>
      </c>
      <c r="E751" s="14">
        <f>CHOOSE(CONTROL!$C$42, 59.4516, 59.4516) * CHOOSE(CONTROL!$C$21, $C$9, 100%, $E$9)</f>
        <v>59.451599999999999</v>
      </c>
      <c r="F751" s="14">
        <f>CHOOSE(CONTROL!$C$42, 59.2186, 59.2186)*CHOOSE(CONTROL!$C$21, $C$9, 100%, $E$9)</f>
        <v>59.218600000000002</v>
      </c>
      <c r="G751" s="14">
        <f>CHOOSE(CONTROL!$C$42, 59.2359, 59.2359)*CHOOSE(CONTROL!$C$21, $C$9, 100%, $E$9)</f>
        <v>59.235900000000001</v>
      </c>
      <c r="H751" s="14">
        <f>CHOOSE(CONTROL!$C$42, 59.4402, 59.4402) * CHOOSE(CONTROL!$C$21, $C$9, 100%, $E$9)</f>
        <v>59.440199999999997</v>
      </c>
      <c r="I751" s="14">
        <f>CHOOSE(CONTROL!$C$42, 59.4048, 59.4048)* CHOOSE(CONTROL!$C$21, $C$9, 100%, $E$9)</f>
        <v>59.404800000000002</v>
      </c>
      <c r="J751" s="14">
        <f>CHOOSE(CONTROL!$C$42, 59.2116, 59.2116)* CHOOSE(CONTROL!$C$21, $C$9, 100%, $E$9)</f>
        <v>59.211599999999997</v>
      </c>
      <c r="K751" s="53">
        <f>CHOOSE(CONTROL!$C$42, 59.4009, 59.4009) * CHOOSE(CONTROL!$C$21, $C$9, 100%, $E$9)</f>
        <v>59.4009</v>
      </c>
      <c r="L751" s="14">
        <f>CHOOSE(CONTROL!$C$42, 60.0272, 60.0272) * CHOOSE(CONTROL!$C$21, $C$9, 100%, $E$9)</f>
        <v>60.027200000000001</v>
      </c>
      <c r="M751" s="14">
        <f>CHOOSE(CONTROL!$C$42, 58.0061, 58.0061) * CHOOSE(CONTROL!$C$21, $C$9, 100%, $E$9)</f>
        <v>58.006100000000004</v>
      </c>
      <c r="N751" s="14">
        <f>CHOOSE(CONTROL!$C$42, 58.023, 58.023) * CHOOSE(CONTROL!$C$21, $C$9, 100%, $E$9)</f>
        <v>58.023000000000003</v>
      </c>
      <c r="O751" s="14">
        <f>CHOOSE(CONTROL!$C$42, 58.23, 58.23) * CHOOSE(CONTROL!$C$21, $C$9, 100%, $E$9)</f>
        <v>58.23</v>
      </c>
      <c r="P751" s="14">
        <f>CHOOSE(CONTROL!$C$42, 58.1916, 58.1916) * CHOOSE(CONTROL!$C$21, $C$9, 100%, $E$9)</f>
        <v>58.191600000000001</v>
      </c>
      <c r="Q751" s="14">
        <f>CHOOSE(CONTROL!$C$42, 58.8247, 58.8247) * CHOOSE(CONTROL!$C$21, $C$9, 100%, $E$9)</f>
        <v>58.8247</v>
      </c>
      <c r="R751" s="14">
        <f>CHOOSE(CONTROL!$C$42, 59.5588, 59.5588) * CHOOSE(CONTROL!$C$21, $C$9, 100%, $E$9)</f>
        <v>59.558799999999998</v>
      </c>
      <c r="S751" s="14">
        <f>CHOOSE(CONTROL!$C$42, 56.8665, 56.8665) * CHOOSE(CONTROL!$C$21, $C$9, 100%, $E$9)</f>
        <v>56.866500000000002</v>
      </c>
      <c r="T7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51" s="57">
        <f>(1000*CHOOSE(CONTROL!$C$42, 695, 695)*CHOOSE(CONTROL!$C$42, 0.5599, 0.5599)*CHOOSE(CONTROL!$C$42, 31, 31))/1000000</f>
        <v>12.063045499999998</v>
      </c>
      <c r="V751" s="57">
        <f>(1000*CHOOSE(CONTROL!$C$42, 500, 500)*CHOOSE(CONTROL!$C$42, 0.275, 0.275)*CHOOSE(CONTROL!$C$42, 31, 31))/1000000</f>
        <v>4.2625000000000002</v>
      </c>
      <c r="W751" s="57">
        <f>(1000*CHOOSE(CONTROL!$C$42, 0.1146, 0.1146)*CHOOSE(CONTROL!$C$42, 121.5, 121.5)*CHOOSE(CONTROL!$C$42, 31, 31))/1000000</f>
        <v>0.43164089999999994</v>
      </c>
      <c r="X751" s="57">
        <f>(31*0.1790888*245000/1000000)+(31*0.2374*100000/1000000)</f>
        <v>2.0961194359999999</v>
      </c>
      <c r="Y751" s="57"/>
      <c r="Z751" s="14"/>
      <c r="AA751" s="56"/>
      <c r="AB751" s="50">
        <f>(B751*194.205+C751*267.466+D751*133.845+E751*53.484+F751*40+G751*185+H751*0+I751*100+J751*300)/(194.205+267.466+133.845+53.484+0+40+185+100+300)</f>
        <v>59.256889233437995</v>
      </c>
      <c r="AC751" s="45">
        <f>(M751*'RAP TEMPLATE-GAS AVAILABILITY'!O750+N751*'RAP TEMPLATE-GAS AVAILABILITY'!P750+O751*'RAP TEMPLATE-GAS AVAILABILITY'!Q750+P751*'RAP TEMPLATE-GAS AVAILABILITY'!R750)/('RAP TEMPLATE-GAS AVAILABILITY'!O750+'RAP TEMPLATE-GAS AVAILABILITY'!P750+'RAP TEMPLATE-GAS AVAILABILITY'!Q750+'RAP TEMPLATE-GAS AVAILABILITY'!R750)</f>
        <v>58.135243165467635</v>
      </c>
    </row>
    <row r="752" spans="1:29" ht="15.75" x14ac:dyDescent="0.25">
      <c r="A752" s="32">
        <v>63797</v>
      </c>
      <c r="B752" s="14">
        <f>CHOOSE(CONTROL!$C$42, 56.2683, 56.2683) * CHOOSE(CONTROL!$C$21, $C$9, 100%, $E$9)</f>
        <v>56.268300000000004</v>
      </c>
      <c r="C752" s="14">
        <f>CHOOSE(CONTROL!$C$42, 56.2763, 56.2763) * CHOOSE(CONTROL!$C$21, $C$9, 100%, $E$9)</f>
        <v>56.276299999999999</v>
      </c>
      <c r="D752" s="14">
        <f>CHOOSE(CONTROL!$C$42, 56.4969, 56.4969) * CHOOSE(CONTROL!$C$21, $C$9, 100%, $E$9)</f>
        <v>56.496899999999997</v>
      </c>
      <c r="E752" s="14">
        <f>CHOOSE(CONTROL!$C$42, 56.5284, 56.5284) * CHOOSE(CONTROL!$C$21, $C$9, 100%, $E$9)</f>
        <v>56.528399999999998</v>
      </c>
      <c r="F752" s="14">
        <f>CHOOSE(CONTROL!$C$42, 56.2957, 56.2957)*CHOOSE(CONTROL!$C$21, $C$9, 100%, $E$9)</f>
        <v>56.295699999999997</v>
      </c>
      <c r="G752" s="14">
        <f>CHOOSE(CONTROL!$C$42, 56.3131, 56.3131)*CHOOSE(CONTROL!$C$21, $C$9, 100%, $E$9)</f>
        <v>56.313099999999999</v>
      </c>
      <c r="H752" s="14">
        <f>CHOOSE(CONTROL!$C$42, 56.517, 56.517) * CHOOSE(CONTROL!$C$21, $C$9, 100%, $E$9)</f>
        <v>56.517000000000003</v>
      </c>
      <c r="I752" s="14">
        <f>CHOOSE(CONTROL!$C$42, 56.4724, 56.4724)* CHOOSE(CONTROL!$C$21, $C$9, 100%, $E$9)</f>
        <v>56.4724</v>
      </c>
      <c r="J752" s="14">
        <f>CHOOSE(CONTROL!$C$42, 56.2887, 56.2887)* CHOOSE(CONTROL!$C$21, $C$9, 100%, $E$9)</f>
        <v>56.288699999999999</v>
      </c>
      <c r="K752" s="53">
        <f>CHOOSE(CONTROL!$C$42, 56.4685, 56.4685) * CHOOSE(CONTROL!$C$21, $C$9, 100%, $E$9)</f>
        <v>56.468499999999999</v>
      </c>
      <c r="L752" s="14">
        <f>CHOOSE(CONTROL!$C$42, 57.104, 57.104) * CHOOSE(CONTROL!$C$21, $C$9, 100%, $E$9)</f>
        <v>57.103999999999999</v>
      </c>
      <c r="M752" s="14">
        <f>CHOOSE(CONTROL!$C$42, 55.1431, 55.1431) * CHOOSE(CONTROL!$C$21, $C$9, 100%, $E$9)</f>
        <v>55.143099999999997</v>
      </c>
      <c r="N752" s="14">
        <f>CHOOSE(CONTROL!$C$42, 55.1601, 55.1601) * CHOOSE(CONTROL!$C$21, $C$9, 100%, $E$9)</f>
        <v>55.1601</v>
      </c>
      <c r="O752" s="14">
        <f>CHOOSE(CONTROL!$C$42, 55.3667, 55.3667) * CHOOSE(CONTROL!$C$21, $C$9, 100%, $E$9)</f>
        <v>55.366700000000002</v>
      </c>
      <c r="P752" s="14">
        <f>CHOOSE(CONTROL!$C$42, 55.3196, 55.3196) * CHOOSE(CONTROL!$C$21, $C$9, 100%, $E$9)</f>
        <v>55.319600000000001</v>
      </c>
      <c r="Q752" s="14">
        <f>CHOOSE(CONTROL!$C$42, 55.9614, 55.9614) * CHOOSE(CONTROL!$C$21, $C$9, 100%, $E$9)</f>
        <v>55.961399999999998</v>
      </c>
      <c r="R752" s="14">
        <f>CHOOSE(CONTROL!$C$42, 56.6883, 56.6883) * CHOOSE(CONTROL!$C$21, $C$9, 100%, $E$9)</f>
        <v>56.688299999999998</v>
      </c>
      <c r="S752" s="14">
        <f>CHOOSE(CONTROL!$C$42, 54.0576, 54.0576) * CHOOSE(CONTROL!$C$21, $C$9, 100%, $E$9)</f>
        <v>54.057600000000001</v>
      </c>
      <c r="T7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52" s="57">
        <f>(1000*CHOOSE(CONTROL!$C$42, 695, 695)*CHOOSE(CONTROL!$C$42, 0.5599, 0.5599)*CHOOSE(CONTROL!$C$42, 31, 31))/1000000</f>
        <v>12.063045499999998</v>
      </c>
      <c r="V752" s="57">
        <f>(1000*CHOOSE(CONTROL!$C$42, 500, 500)*CHOOSE(CONTROL!$C$42, 0.275, 0.275)*CHOOSE(CONTROL!$C$42, 31, 31))/1000000</f>
        <v>4.2625000000000002</v>
      </c>
      <c r="W752" s="57">
        <f>(1000*CHOOSE(CONTROL!$C$42, 0.1146, 0.1146)*CHOOSE(CONTROL!$C$42, 121.5, 121.5)*CHOOSE(CONTROL!$C$42, 31, 31))/1000000</f>
        <v>0.43164089999999994</v>
      </c>
      <c r="X752" s="57">
        <f>(31*0.1790888*245000/1000000)+(31*0.2374*100000/1000000)</f>
        <v>2.0961194359999999</v>
      </c>
      <c r="Y752" s="57"/>
      <c r="Z752" s="14"/>
      <c r="AA752" s="56"/>
      <c r="AB752" s="50">
        <f>(B752*194.205+C752*267.466+D752*133.845+E752*53.484+F752*40+G752*185+H752*0+I752*100+J752*300)/(194.205+267.466+133.845+53.484+0+40+185+100+300)</f>
        <v>56.333105245996862</v>
      </c>
      <c r="AC752" s="45">
        <f>(M752*'RAP TEMPLATE-GAS AVAILABILITY'!O751+N752*'RAP TEMPLATE-GAS AVAILABILITY'!P751+O752*'RAP TEMPLATE-GAS AVAILABILITY'!Q751+P752*'RAP TEMPLATE-GAS AVAILABILITY'!R751)/('RAP TEMPLATE-GAS AVAILABILITY'!O751+'RAP TEMPLATE-GAS AVAILABILITY'!P751+'RAP TEMPLATE-GAS AVAILABILITY'!Q751+'RAP TEMPLATE-GAS AVAILABILITY'!R751)</f>
        <v>55.270817985611501</v>
      </c>
    </row>
    <row r="753" spans="1:29" ht="15.75" x14ac:dyDescent="0.25">
      <c r="A753" s="32">
        <v>63827</v>
      </c>
      <c r="B753" s="14">
        <f>CHOOSE(CONTROL!$C$42, 52.6965, 52.6965) * CHOOSE(CONTROL!$C$21, $C$9, 100%, $E$9)</f>
        <v>52.6965</v>
      </c>
      <c r="C753" s="14">
        <f>CHOOSE(CONTROL!$C$42, 52.7045, 52.7045) * CHOOSE(CONTROL!$C$21, $C$9, 100%, $E$9)</f>
        <v>52.704500000000003</v>
      </c>
      <c r="D753" s="14">
        <f>CHOOSE(CONTROL!$C$42, 52.9251, 52.9251) * CHOOSE(CONTROL!$C$21, $C$9, 100%, $E$9)</f>
        <v>52.9251</v>
      </c>
      <c r="E753" s="14">
        <f>CHOOSE(CONTROL!$C$42, 52.9566, 52.9566) * CHOOSE(CONTROL!$C$21, $C$9, 100%, $E$9)</f>
        <v>52.956600000000002</v>
      </c>
      <c r="F753" s="14">
        <f>CHOOSE(CONTROL!$C$42, 52.7238, 52.7238)*CHOOSE(CONTROL!$C$21, $C$9, 100%, $E$9)</f>
        <v>52.723799999999997</v>
      </c>
      <c r="G753" s="14">
        <f>CHOOSE(CONTROL!$C$42, 52.7412, 52.7412)*CHOOSE(CONTROL!$C$21, $C$9, 100%, $E$9)</f>
        <v>52.741199999999999</v>
      </c>
      <c r="H753" s="14">
        <f>CHOOSE(CONTROL!$C$42, 52.9452, 52.9452) * CHOOSE(CONTROL!$C$21, $C$9, 100%, $E$9)</f>
        <v>52.9452</v>
      </c>
      <c r="I753" s="14">
        <f>CHOOSE(CONTROL!$C$42, 52.8894, 52.8894)* CHOOSE(CONTROL!$C$21, $C$9, 100%, $E$9)</f>
        <v>52.889400000000002</v>
      </c>
      <c r="J753" s="14">
        <f>CHOOSE(CONTROL!$C$42, 52.7168, 52.7168)* CHOOSE(CONTROL!$C$21, $C$9, 100%, $E$9)</f>
        <v>52.716799999999999</v>
      </c>
      <c r="K753" s="53">
        <f>CHOOSE(CONTROL!$C$42, 52.8855, 52.8855) * CHOOSE(CONTROL!$C$21, $C$9, 100%, $E$9)</f>
        <v>52.8855</v>
      </c>
      <c r="L753" s="14">
        <f>CHOOSE(CONTROL!$C$42, 53.5322, 53.5322) * CHOOSE(CONTROL!$C$21, $C$9, 100%, $E$9)</f>
        <v>53.532200000000003</v>
      </c>
      <c r="M753" s="14">
        <f>CHOOSE(CONTROL!$C$42, 51.6444, 51.6444) * CHOOSE(CONTROL!$C$21, $C$9, 100%, $E$9)</f>
        <v>51.644399999999997</v>
      </c>
      <c r="N753" s="14">
        <f>CHOOSE(CONTROL!$C$42, 51.6614, 51.6614) * CHOOSE(CONTROL!$C$21, $C$9, 100%, $E$9)</f>
        <v>51.6614</v>
      </c>
      <c r="O753" s="14">
        <f>CHOOSE(CONTROL!$C$42, 51.8681, 51.8681) * CHOOSE(CONTROL!$C$21, $C$9, 100%, $E$9)</f>
        <v>51.868099999999998</v>
      </c>
      <c r="P753" s="14">
        <f>CHOOSE(CONTROL!$C$42, 51.8102, 51.8102) * CHOOSE(CONTROL!$C$21, $C$9, 100%, $E$9)</f>
        <v>51.810200000000002</v>
      </c>
      <c r="Q753" s="14">
        <f>CHOOSE(CONTROL!$C$42, 52.4628, 52.4628) * CHOOSE(CONTROL!$C$21, $C$9, 100%, $E$9)</f>
        <v>52.462800000000001</v>
      </c>
      <c r="R753" s="14">
        <f>CHOOSE(CONTROL!$C$42, 53.1809, 53.1809) * CHOOSE(CONTROL!$C$21, $C$9, 100%, $E$9)</f>
        <v>53.180900000000001</v>
      </c>
      <c r="S753" s="14">
        <f>CHOOSE(CONTROL!$C$42, 50.6254, 50.6254) * CHOOSE(CONTROL!$C$21, $C$9, 100%, $E$9)</f>
        <v>50.625399999999999</v>
      </c>
      <c r="T7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53" s="57">
        <f>(1000*CHOOSE(CONTROL!$C$42, 695, 695)*CHOOSE(CONTROL!$C$42, 0.5599, 0.5599)*CHOOSE(CONTROL!$C$42, 30, 30))/1000000</f>
        <v>11.673914999999997</v>
      </c>
      <c r="V753" s="57">
        <f>(1000*CHOOSE(CONTROL!$C$42, 500, 500)*CHOOSE(CONTROL!$C$42, 0.275, 0.275)*CHOOSE(CONTROL!$C$42, 30, 30))/1000000</f>
        <v>4.125</v>
      </c>
      <c r="W753" s="57">
        <f>(1000*CHOOSE(CONTROL!$C$42, 0.1146, 0.1146)*CHOOSE(CONTROL!$C$42, 121.5, 121.5)*CHOOSE(CONTROL!$C$42, 30, 30))/1000000</f>
        <v>0.417717</v>
      </c>
      <c r="X753" s="57">
        <f>(30*0.1790888*245000/1000000)+(30*0.2374*100000/1000000)</f>
        <v>2.0285026799999999</v>
      </c>
      <c r="Y753" s="57"/>
      <c r="Z753" s="14"/>
      <c r="AA753" s="56"/>
      <c r="AB753" s="50">
        <f>(B753*194.205+C753*267.466+D753*133.845+E753*53.484+F753*40+G753*185+H753*0+I753*100+J753*300)/(194.205+267.466+133.845+53.484+0+40+185+100+300)</f>
        <v>52.760384916326522</v>
      </c>
      <c r="AC753" s="45">
        <f>(M753*'RAP TEMPLATE-GAS AVAILABILITY'!O752+N753*'RAP TEMPLATE-GAS AVAILABILITY'!P752+O753*'RAP TEMPLATE-GAS AVAILABILITY'!Q752+P753*'RAP TEMPLATE-GAS AVAILABILITY'!R752)/('RAP TEMPLATE-GAS AVAILABILITY'!O752+'RAP TEMPLATE-GAS AVAILABILITY'!P752+'RAP TEMPLATE-GAS AVAILABILITY'!Q752+'RAP TEMPLATE-GAS AVAILABILITY'!R752)</f>
        <v>51.770623741007185</v>
      </c>
    </row>
    <row r="754" spans="1:29" ht="15.75" x14ac:dyDescent="0.25">
      <c r="A754" s="32">
        <v>63858</v>
      </c>
      <c r="B754" s="14">
        <f>CHOOSE(CONTROL!$C$42, 51.625, 51.625) * CHOOSE(CONTROL!$C$21, $C$9, 100%, $E$9)</f>
        <v>51.625</v>
      </c>
      <c r="C754" s="14">
        <f>CHOOSE(CONTROL!$C$42, 51.6303, 51.6303) * CHOOSE(CONTROL!$C$21, $C$9, 100%, $E$9)</f>
        <v>51.630299999999998</v>
      </c>
      <c r="D754" s="14">
        <f>CHOOSE(CONTROL!$C$42, 51.8559, 51.8559) * CHOOSE(CONTROL!$C$21, $C$9, 100%, $E$9)</f>
        <v>51.855899999999998</v>
      </c>
      <c r="E754" s="14">
        <f>CHOOSE(CONTROL!$C$42, 51.885, 51.885) * CHOOSE(CONTROL!$C$21, $C$9, 100%, $E$9)</f>
        <v>51.884999999999998</v>
      </c>
      <c r="F754" s="14">
        <f>CHOOSE(CONTROL!$C$42, 51.6544, 51.6544)*CHOOSE(CONTROL!$C$21, $C$9, 100%, $E$9)</f>
        <v>51.654400000000003</v>
      </c>
      <c r="G754" s="14">
        <f>CHOOSE(CONTROL!$C$42, 51.6716, 51.6716)*CHOOSE(CONTROL!$C$21, $C$9, 100%, $E$9)</f>
        <v>51.671599999999998</v>
      </c>
      <c r="H754" s="14">
        <f>CHOOSE(CONTROL!$C$42, 51.8755, 51.8755) * CHOOSE(CONTROL!$C$21, $C$9, 100%, $E$9)</f>
        <v>51.875500000000002</v>
      </c>
      <c r="I754" s="14">
        <f>CHOOSE(CONTROL!$C$42, 51.8163, 51.8163)* CHOOSE(CONTROL!$C$21, $C$9, 100%, $E$9)</f>
        <v>51.816299999999998</v>
      </c>
      <c r="J754" s="14">
        <f>CHOOSE(CONTROL!$C$42, 51.6474, 51.6474)* CHOOSE(CONTROL!$C$21, $C$9, 100%, $E$9)</f>
        <v>51.647399999999998</v>
      </c>
      <c r="K754" s="53">
        <f>CHOOSE(CONTROL!$C$42, 51.8125, 51.8125) * CHOOSE(CONTROL!$C$21, $C$9, 100%, $E$9)</f>
        <v>51.8125</v>
      </c>
      <c r="L754" s="14">
        <f>CHOOSE(CONTROL!$C$42, 52.4625, 52.4625) * CHOOSE(CONTROL!$C$21, $C$9, 100%, $E$9)</f>
        <v>52.462499999999999</v>
      </c>
      <c r="M754" s="14">
        <f>CHOOSE(CONTROL!$C$42, 50.5969, 50.5969) * CHOOSE(CONTROL!$C$21, $C$9, 100%, $E$9)</f>
        <v>50.596899999999998</v>
      </c>
      <c r="N754" s="14">
        <f>CHOOSE(CONTROL!$C$42, 50.6137, 50.6137) * CHOOSE(CONTROL!$C$21, $C$9, 100%, $E$9)</f>
        <v>50.613700000000001</v>
      </c>
      <c r="O754" s="14">
        <f>CHOOSE(CONTROL!$C$42, 50.8203, 50.8203) * CHOOSE(CONTROL!$C$21, $C$9, 100%, $E$9)</f>
        <v>50.820300000000003</v>
      </c>
      <c r="P754" s="14">
        <f>CHOOSE(CONTROL!$C$42, 50.7592, 50.7592) * CHOOSE(CONTROL!$C$21, $C$9, 100%, $E$9)</f>
        <v>50.7592</v>
      </c>
      <c r="Q754" s="14">
        <f>CHOOSE(CONTROL!$C$42, 51.415, 51.415) * CHOOSE(CONTROL!$C$21, $C$9, 100%, $E$9)</f>
        <v>51.414999999999999</v>
      </c>
      <c r="R754" s="14">
        <f>CHOOSE(CONTROL!$C$42, 52.1305, 52.1305) * CHOOSE(CONTROL!$C$21, $C$9, 100%, $E$9)</f>
        <v>52.130499999999998</v>
      </c>
      <c r="S754" s="14">
        <f>CHOOSE(CONTROL!$C$42, 49.5975, 49.5975) * CHOOSE(CONTROL!$C$21, $C$9, 100%, $E$9)</f>
        <v>49.597499999999997</v>
      </c>
      <c r="T7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54" s="57">
        <f>(1000*CHOOSE(CONTROL!$C$42, 695, 695)*CHOOSE(CONTROL!$C$42, 0.5599, 0.5599)*CHOOSE(CONTROL!$C$42, 31, 31))/1000000</f>
        <v>12.063045499999998</v>
      </c>
      <c r="V754" s="57">
        <f>(1000*CHOOSE(CONTROL!$C$42, 500, 500)*CHOOSE(CONTROL!$C$42, 0.275, 0.275)*CHOOSE(CONTROL!$C$42, 31, 31))/1000000</f>
        <v>4.2625000000000002</v>
      </c>
      <c r="W754" s="57">
        <f>(1000*CHOOSE(CONTROL!$C$42, 0.1146, 0.1146)*CHOOSE(CONTROL!$C$42, 121.5, 121.5)*CHOOSE(CONTROL!$C$42, 31, 31))/1000000</f>
        <v>0.43164089999999994</v>
      </c>
      <c r="X754" s="57">
        <f>(31*0.1790888*245000/1000000)+(31*0.2374*100000/1000000)</f>
        <v>2.0961194359999999</v>
      </c>
      <c r="Y754" s="57"/>
      <c r="Z754" s="14"/>
      <c r="AA754" s="56"/>
      <c r="AB754" s="50">
        <f>(B754*131.881+C754*277.167+D754*79.08+E754*125.872+F754*40+G754*185+H754*0+I754*100+J754*300)/(131.881+277.167+79.08+125.872+0+40+185+100+300)</f>
        <v>51.696107568280866</v>
      </c>
      <c r="AC754" s="45">
        <f>(M754*'RAP TEMPLATE-GAS AVAILABILITY'!O753+N754*'RAP TEMPLATE-GAS AVAILABILITY'!P753+O754*'RAP TEMPLATE-GAS AVAILABILITY'!Q753+P754*'RAP TEMPLATE-GAS AVAILABILITY'!R753)/('RAP TEMPLATE-GAS AVAILABILITY'!O753+'RAP TEMPLATE-GAS AVAILABILITY'!P753+'RAP TEMPLATE-GAS AVAILABILITY'!Q753+'RAP TEMPLATE-GAS AVAILABILITY'!R753)</f>
        <v>50.722472661870498</v>
      </c>
    </row>
    <row r="755" spans="1:29" ht="15.75" x14ac:dyDescent="0.25">
      <c r="A755" s="32">
        <v>63888</v>
      </c>
      <c r="B755" s="14">
        <f>CHOOSE(CONTROL!$C$42, 52.9844, 52.9844) * CHOOSE(CONTROL!$C$21, $C$9, 100%, $E$9)</f>
        <v>52.984400000000001</v>
      </c>
      <c r="C755" s="14">
        <f>CHOOSE(CONTROL!$C$42, 52.9894, 52.9894) * CHOOSE(CONTROL!$C$21, $C$9, 100%, $E$9)</f>
        <v>52.989400000000003</v>
      </c>
      <c r="D755" s="14">
        <f>CHOOSE(CONTROL!$C$42, 53.0637, 53.0637) * CHOOSE(CONTROL!$C$21, $C$9, 100%, $E$9)</f>
        <v>53.063699999999997</v>
      </c>
      <c r="E755" s="14">
        <f>CHOOSE(CONTROL!$C$42, 53.0978, 53.0978) * CHOOSE(CONTROL!$C$21, $C$9, 100%, $E$9)</f>
        <v>53.097799999999999</v>
      </c>
      <c r="F755" s="14">
        <f>CHOOSE(CONTROL!$C$42, 53.0204, 53.0204)*CHOOSE(CONTROL!$C$21, $C$9, 100%, $E$9)</f>
        <v>53.020400000000002</v>
      </c>
      <c r="G755" s="14">
        <f>CHOOSE(CONTROL!$C$42, 53.038, 53.038)*CHOOSE(CONTROL!$C$21, $C$9, 100%, $E$9)</f>
        <v>53.037999999999997</v>
      </c>
      <c r="H755" s="14">
        <f>CHOOSE(CONTROL!$C$42, 53.087, 53.087) * CHOOSE(CONTROL!$C$21, $C$9, 100%, $E$9)</f>
        <v>53.087000000000003</v>
      </c>
      <c r="I755" s="14">
        <f>CHOOSE(CONTROL!$C$42, 53.1778, 53.1778)* CHOOSE(CONTROL!$C$21, $C$9, 100%, $E$9)</f>
        <v>53.177799999999998</v>
      </c>
      <c r="J755" s="14">
        <f>CHOOSE(CONTROL!$C$42, 53.0134, 53.0134)* CHOOSE(CONTROL!$C$21, $C$9, 100%, $E$9)</f>
        <v>53.013399999999997</v>
      </c>
      <c r="K755" s="53">
        <f>CHOOSE(CONTROL!$C$42, 53.1739, 53.1739) * CHOOSE(CONTROL!$C$21, $C$9, 100%, $E$9)</f>
        <v>53.173900000000003</v>
      </c>
      <c r="L755" s="14">
        <f>CHOOSE(CONTROL!$C$42, 53.674, 53.674) * CHOOSE(CONTROL!$C$21, $C$9, 100%, $E$9)</f>
        <v>53.673999999999999</v>
      </c>
      <c r="M755" s="14">
        <f>CHOOSE(CONTROL!$C$42, 51.9349, 51.9349) * CHOOSE(CONTROL!$C$21, $C$9, 100%, $E$9)</f>
        <v>51.934899999999999</v>
      </c>
      <c r="N755" s="14">
        <f>CHOOSE(CONTROL!$C$42, 51.9521, 51.9521) * CHOOSE(CONTROL!$C$21, $C$9, 100%, $E$9)</f>
        <v>51.952100000000002</v>
      </c>
      <c r="O755" s="14">
        <f>CHOOSE(CONTROL!$C$42, 52.0069, 52.0069) * CHOOSE(CONTROL!$C$21, $C$9, 100%, $E$9)</f>
        <v>52.006900000000002</v>
      </c>
      <c r="P755" s="14">
        <f>CHOOSE(CONTROL!$C$42, 52.0926, 52.0926) * CHOOSE(CONTROL!$C$21, $C$9, 100%, $E$9)</f>
        <v>52.092599999999997</v>
      </c>
      <c r="Q755" s="14">
        <f>CHOOSE(CONTROL!$C$42, 52.6016, 52.6016) * CHOOSE(CONTROL!$C$21, $C$9, 100%, $E$9)</f>
        <v>52.601599999999998</v>
      </c>
      <c r="R755" s="14">
        <f>CHOOSE(CONTROL!$C$42, 53.3202, 53.3202) * CHOOSE(CONTROL!$C$21, $C$9, 100%, $E$9)</f>
        <v>53.3202</v>
      </c>
      <c r="S755" s="14">
        <f>CHOOSE(CONTROL!$C$42, 50.9042, 50.9042) * CHOOSE(CONTROL!$C$21, $C$9, 100%, $E$9)</f>
        <v>50.904200000000003</v>
      </c>
      <c r="T7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55" s="57">
        <f>(1000*CHOOSE(CONTROL!$C$42, 695, 695)*CHOOSE(CONTROL!$C$42, 0.5599, 0.5599)*CHOOSE(CONTROL!$C$42, 30, 30))/1000000</f>
        <v>11.673914999999997</v>
      </c>
      <c r="V755" s="57">
        <f>(1000*CHOOSE(CONTROL!$C$42, 500, 500)*CHOOSE(CONTROL!$C$42, 0.275, 0.275)*CHOOSE(CONTROL!$C$42, 30, 30))/1000000</f>
        <v>4.125</v>
      </c>
      <c r="W755" s="57">
        <f>(1000*CHOOSE(CONTROL!$C$42, 0.1146, 0.1146)*CHOOSE(CONTROL!$C$42, 121.5, 121.5)*CHOOSE(CONTROL!$C$42, 30, 30))/1000000</f>
        <v>0.417717</v>
      </c>
      <c r="X755" s="57">
        <f>(30*0.1790888*100000/1000000)+(30*0.2374*100000/1000000)</f>
        <v>1.2494664</v>
      </c>
      <c r="Y755" s="57"/>
      <c r="Z755" s="14"/>
      <c r="AA755" s="56"/>
      <c r="AB755" s="50">
        <f>(B755*122.58+C755*297.941+D755*89.177+E755*40.302+F755*40+G755*160+H755*0+I755*100+J755*300)/(122.58+297.941+89.177+40.302+0+40+160+100+300)</f>
        <v>53.028911032956515</v>
      </c>
      <c r="AC755" s="45">
        <f>(M755*'RAP TEMPLATE-GAS AVAILABILITY'!O754+N755*'RAP TEMPLATE-GAS AVAILABILITY'!P754+O755*'RAP TEMPLATE-GAS AVAILABILITY'!Q754+P755*'RAP TEMPLATE-GAS AVAILABILITY'!R754)/('RAP TEMPLATE-GAS AVAILABILITY'!O754+'RAP TEMPLATE-GAS AVAILABILITY'!P754+'RAP TEMPLATE-GAS AVAILABILITY'!Q754+'RAP TEMPLATE-GAS AVAILABILITY'!R754)</f>
        <v>51.991213669064749</v>
      </c>
    </row>
    <row r="756" spans="1:29" ht="15.75" x14ac:dyDescent="0.25">
      <c r="A756" s="32">
        <v>63919</v>
      </c>
      <c r="B756" s="14">
        <f>CHOOSE(CONTROL!$C$42, 56.5962, 56.5962) * CHOOSE(CONTROL!$C$21, $C$9, 100%, $E$9)</f>
        <v>56.596200000000003</v>
      </c>
      <c r="C756" s="14">
        <f>CHOOSE(CONTROL!$C$42, 56.6012, 56.6012) * CHOOSE(CONTROL!$C$21, $C$9, 100%, $E$9)</f>
        <v>56.601199999999999</v>
      </c>
      <c r="D756" s="14">
        <f>CHOOSE(CONTROL!$C$42, 56.6755, 56.6755) * CHOOSE(CONTROL!$C$21, $C$9, 100%, $E$9)</f>
        <v>56.6755</v>
      </c>
      <c r="E756" s="14">
        <f>CHOOSE(CONTROL!$C$42, 56.7096, 56.7096) * CHOOSE(CONTROL!$C$21, $C$9, 100%, $E$9)</f>
        <v>56.709600000000002</v>
      </c>
      <c r="F756" s="14">
        <f>CHOOSE(CONTROL!$C$42, 56.6346, 56.6346)*CHOOSE(CONTROL!$C$21, $C$9, 100%, $E$9)</f>
        <v>56.634599999999999</v>
      </c>
      <c r="G756" s="14">
        <f>CHOOSE(CONTROL!$C$42, 56.6527, 56.6527)*CHOOSE(CONTROL!$C$21, $C$9, 100%, $E$9)</f>
        <v>56.652700000000003</v>
      </c>
      <c r="H756" s="14">
        <f>CHOOSE(CONTROL!$C$42, 56.6988, 56.6988) * CHOOSE(CONTROL!$C$21, $C$9, 100%, $E$9)</f>
        <v>56.698799999999999</v>
      </c>
      <c r="I756" s="14">
        <f>CHOOSE(CONTROL!$C$42, 56.8009, 56.8009)* CHOOSE(CONTROL!$C$21, $C$9, 100%, $E$9)</f>
        <v>56.800899999999999</v>
      </c>
      <c r="J756" s="14">
        <f>CHOOSE(CONTROL!$C$42, 56.6276, 56.6276)* CHOOSE(CONTROL!$C$21, $C$9, 100%, $E$9)</f>
        <v>56.627600000000001</v>
      </c>
      <c r="K756" s="53">
        <f>CHOOSE(CONTROL!$C$42, 56.797, 56.797) * CHOOSE(CONTROL!$C$21, $C$9, 100%, $E$9)</f>
        <v>56.796999999999997</v>
      </c>
      <c r="L756" s="14">
        <f>CHOOSE(CONTROL!$C$42, 57.2858, 57.2858) * CHOOSE(CONTROL!$C$21, $C$9, 100%, $E$9)</f>
        <v>57.285800000000002</v>
      </c>
      <c r="M756" s="14">
        <f>CHOOSE(CONTROL!$C$42, 55.475, 55.475) * CHOOSE(CONTROL!$C$21, $C$9, 100%, $E$9)</f>
        <v>55.475000000000001</v>
      </c>
      <c r="N756" s="14">
        <f>CHOOSE(CONTROL!$C$42, 55.4928, 55.4928) * CHOOSE(CONTROL!$C$21, $C$9, 100%, $E$9)</f>
        <v>55.492800000000003</v>
      </c>
      <c r="O756" s="14">
        <f>CHOOSE(CONTROL!$C$42, 55.5447, 55.5447) * CHOOSE(CONTROL!$C$21, $C$9, 100%, $E$9)</f>
        <v>55.544699999999999</v>
      </c>
      <c r="P756" s="14">
        <f>CHOOSE(CONTROL!$C$42, 55.6413, 55.6413) * CHOOSE(CONTROL!$C$21, $C$9, 100%, $E$9)</f>
        <v>55.641300000000001</v>
      </c>
      <c r="Q756" s="14">
        <f>CHOOSE(CONTROL!$C$42, 56.1394, 56.1394) * CHOOSE(CONTROL!$C$21, $C$9, 100%, $E$9)</f>
        <v>56.139400000000002</v>
      </c>
      <c r="R756" s="14">
        <f>CHOOSE(CONTROL!$C$42, 56.8668, 56.8668) * CHOOSE(CONTROL!$C$21, $C$9, 100%, $E$9)</f>
        <v>56.866799999999998</v>
      </c>
      <c r="S756" s="14">
        <f>CHOOSE(CONTROL!$C$42, 54.3747, 54.3747) * CHOOSE(CONTROL!$C$21, $C$9, 100%, $E$9)</f>
        <v>54.374699999999997</v>
      </c>
      <c r="T7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56" s="57">
        <f>(1000*CHOOSE(CONTROL!$C$42, 695, 695)*CHOOSE(CONTROL!$C$42, 0.5599, 0.5599)*CHOOSE(CONTROL!$C$42, 31, 31))/1000000</f>
        <v>12.063045499999998</v>
      </c>
      <c r="V756" s="57">
        <f>(1000*CHOOSE(CONTROL!$C$42, 500, 500)*CHOOSE(CONTROL!$C$42, 0.275, 0.275)*CHOOSE(CONTROL!$C$42, 31, 31))/1000000</f>
        <v>4.2625000000000002</v>
      </c>
      <c r="W756" s="57">
        <f>(1000*CHOOSE(CONTROL!$C$42, 0.1146, 0.1146)*CHOOSE(CONTROL!$C$42, 121.5, 121.5)*CHOOSE(CONTROL!$C$42, 31, 31))/1000000</f>
        <v>0.43164089999999994</v>
      </c>
      <c r="X756" s="57">
        <f>(31*0.1790888*100000/1000000)+(31*0.2374*100000/1000000)</f>
        <v>1.2911152800000001</v>
      </c>
      <c r="Y756" s="57"/>
      <c r="Z756" s="14"/>
      <c r="AA756" s="56"/>
      <c r="AB756" s="50">
        <f>(B756*122.58+C756*297.941+D756*89.177+E756*40.302+F756*40+G756*160+H756*0+I756*100+J756*300)/(122.58+297.941+89.177+40.302+0+40+160+100+300)</f>
        <v>56.642806685130431</v>
      </c>
      <c r="AC756" s="45">
        <f>(M756*'RAP TEMPLATE-GAS AVAILABILITY'!O755+N756*'RAP TEMPLATE-GAS AVAILABILITY'!P755+O756*'RAP TEMPLATE-GAS AVAILABILITY'!Q755+P756*'RAP TEMPLATE-GAS AVAILABILITY'!R755)/('RAP TEMPLATE-GAS AVAILABILITY'!O755+'RAP TEMPLATE-GAS AVAILABILITY'!P755+'RAP TEMPLATE-GAS AVAILABILITY'!Q755+'RAP TEMPLATE-GAS AVAILABILITY'!R755)</f>
        <v>55.531543165467617</v>
      </c>
    </row>
    <row r="757" spans="1:29" ht="15.75" x14ac:dyDescent="0.25">
      <c r="A757" s="32">
        <v>63950</v>
      </c>
      <c r="B757" s="14">
        <f>CHOOSE(CONTROL!$C$42, 61.2873, 61.2873) * CHOOSE(CONTROL!$C$21, $C$9, 100%, $E$9)</f>
        <v>61.287300000000002</v>
      </c>
      <c r="C757" s="14">
        <f>CHOOSE(CONTROL!$C$42, 61.2923, 61.2923) * CHOOSE(CONTROL!$C$21, $C$9, 100%, $E$9)</f>
        <v>61.292299999999997</v>
      </c>
      <c r="D757" s="14">
        <f>CHOOSE(CONTROL!$C$42, 61.3691, 61.3691) * CHOOSE(CONTROL!$C$21, $C$9, 100%, $E$9)</f>
        <v>61.369100000000003</v>
      </c>
      <c r="E757" s="14">
        <f>CHOOSE(CONTROL!$C$42, 61.4032, 61.4032) * CHOOSE(CONTROL!$C$21, $C$9, 100%, $E$9)</f>
        <v>61.403199999999998</v>
      </c>
      <c r="F757" s="14">
        <f>CHOOSE(CONTROL!$C$42, 61.312, 61.312)*CHOOSE(CONTROL!$C$21, $C$9, 100%, $E$9)</f>
        <v>61.311999999999998</v>
      </c>
      <c r="G757" s="14">
        <f>CHOOSE(CONTROL!$C$42, 61.33, 61.33)*CHOOSE(CONTROL!$C$21, $C$9, 100%, $E$9)</f>
        <v>61.33</v>
      </c>
      <c r="H757" s="14">
        <f>CHOOSE(CONTROL!$C$42, 61.3924, 61.3924) * CHOOSE(CONTROL!$C$21, $C$9, 100%, $E$9)</f>
        <v>61.392400000000002</v>
      </c>
      <c r="I757" s="14">
        <f>CHOOSE(CONTROL!$C$42, 61.5129, 61.5129)* CHOOSE(CONTROL!$C$21, $C$9, 100%, $E$9)</f>
        <v>61.512900000000002</v>
      </c>
      <c r="J757" s="14">
        <f>CHOOSE(CONTROL!$C$42, 61.305, 61.305)* CHOOSE(CONTROL!$C$21, $C$9, 100%, $E$9)</f>
        <v>61.305</v>
      </c>
      <c r="K757" s="53">
        <f>CHOOSE(CONTROL!$C$42, 61.509, 61.509) * CHOOSE(CONTROL!$C$21, $C$9, 100%, $E$9)</f>
        <v>61.509</v>
      </c>
      <c r="L757" s="14">
        <f>CHOOSE(CONTROL!$C$42, 61.9794, 61.9794) * CHOOSE(CONTROL!$C$21, $C$9, 100%, $E$9)</f>
        <v>61.979399999999998</v>
      </c>
      <c r="M757" s="14">
        <f>CHOOSE(CONTROL!$C$42, 60.0566, 60.0566) * CHOOSE(CONTROL!$C$21, $C$9, 100%, $E$9)</f>
        <v>60.056600000000003</v>
      </c>
      <c r="N757" s="14">
        <f>CHOOSE(CONTROL!$C$42, 60.0742, 60.0742) * CHOOSE(CONTROL!$C$21, $C$9, 100%, $E$9)</f>
        <v>60.074199999999998</v>
      </c>
      <c r="O757" s="14">
        <f>CHOOSE(CONTROL!$C$42, 60.1422, 60.1422) * CHOOSE(CONTROL!$C$21, $C$9, 100%, $E$9)</f>
        <v>60.142200000000003</v>
      </c>
      <c r="P757" s="14">
        <f>CHOOSE(CONTROL!$C$42, 60.2565, 60.2565) * CHOOSE(CONTROL!$C$21, $C$9, 100%, $E$9)</f>
        <v>60.256500000000003</v>
      </c>
      <c r="Q757" s="14">
        <f>CHOOSE(CONTROL!$C$42, 60.7369, 60.7369) * CHOOSE(CONTROL!$C$21, $C$9, 100%, $E$9)</f>
        <v>60.736899999999999</v>
      </c>
      <c r="R757" s="14">
        <f>CHOOSE(CONTROL!$C$42, 61.4758, 61.4758) * CHOOSE(CONTROL!$C$21, $C$9, 100%, $E$9)</f>
        <v>61.4758</v>
      </c>
      <c r="S757" s="14">
        <f>CHOOSE(CONTROL!$C$42, 58.8824, 58.8824) * CHOOSE(CONTROL!$C$21, $C$9, 100%, $E$9)</f>
        <v>58.882399999999997</v>
      </c>
      <c r="T7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57" s="57">
        <f>(1000*CHOOSE(CONTROL!$C$42, 695, 695)*CHOOSE(CONTROL!$C$42, 0.5599, 0.5599)*CHOOSE(CONTROL!$C$42, 31, 31))/1000000</f>
        <v>12.063045499999998</v>
      </c>
      <c r="V757" s="57">
        <f>(1000*CHOOSE(CONTROL!$C$42, 500, 500)*CHOOSE(CONTROL!$C$42, 0.275, 0.275)*CHOOSE(CONTROL!$C$42, 31, 31))/1000000</f>
        <v>4.2625000000000002</v>
      </c>
      <c r="W757" s="57">
        <f>(1000*CHOOSE(CONTROL!$C$42, 0.1146, 0.1146)*CHOOSE(CONTROL!$C$42, 121.5, 121.5)*CHOOSE(CONTROL!$C$42, 31, 31))/1000000</f>
        <v>0.43164089999999994</v>
      </c>
      <c r="X757" s="57">
        <f>(31*0.1790888*100000/1000000)+(31*0.2374*100000/1000000)</f>
        <v>1.2911152800000001</v>
      </c>
      <c r="Y757" s="57"/>
      <c r="Z757" s="14"/>
      <c r="AA757" s="56"/>
      <c r="AB757" s="50">
        <f>(B757*122.58+C757*297.941+D757*89.177+E757*40.302+F757*40+G757*160+H757*0+I757*100+J757*300)/(122.58+297.941+89.177+40.302+0+40+160+100+300)</f>
        <v>61.330035117739136</v>
      </c>
      <c r="AC757" s="45">
        <f>(M757*'RAP TEMPLATE-GAS AVAILABILITY'!O756+N757*'RAP TEMPLATE-GAS AVAILABILITY'!P756+O757*'RAP TEMPLATE-GAS AVAILABILITY'!Q756+P757*'RAP TEMPLATE-GAS AVAILABILITY'!R756)/('RAP TEMPLATE-GAS AVAILABILITY'!O756+'RAP TEMPLATE-GAS AVAILABILITY'!P756+'RAP TEMPLATE-GAS AVAILABILITY'!Q756+'RAP TEMPLATE-GAS AVAILABILITY'!R756)</f>
        <v>60.125172661870508</v>
      </c>
    </row>
    <row r="758" spans="1:29" ht="15.75" x14ac:dyDescent="0.25">
      <c r="A758" s="32">
        <v>63978</v>
      </c>
      <c r="B758" s="14">
        <f>CHOOSE(CONTROL!$C$42, 62.3781, 62.3781) * CHOOSE(CONTROL!$C$21, $C$9, 100%, $E$9)</f>
        <v>62.378100000000003</v>
      </c>
      <c r="C758" s="14">
        <f>CHOOSE(CONTROL!$C$42, 62.3832, 62.3832) * CHOOSE(CONTROL!$C$21, $C$9, 100%, $E$9)</f>
        <v>62.383200000000002</v>
      </c>
      <c r="D758" s="14">
        <f>CHOOSE(CONTROL!$C$42, 62.46, 62.46) * CHOOSE(CONTROL!$C$21, $C$9, 100%, $E$9)</f>
        <v>62.46</v>
      </c>
      <c r="E758" s="14">
        <f>CHOOSE(CONTROL!$C$42, 62.4941, 62.4941) * CHOOSE(CONTROL!$C$21, $C$9, 100%, $E$9)</f>
        <v>62.494100000000003</v>
      </c>
      <c r="F758" s="14">
        <f>CHOOSE(CONTROL!$C$42, 62.4024, 62.4024)*CHOOSE(CONTROL!$C$21, $C$9, 100%, $E$9)</f>
        <v>62.4024</v>
      </c>
      <c r="G758" s="14">
        <f>CHOOSE(CONTROL!$C$42, 62.4203, 62.4203)*CHOOSE(CONTROL!$C$21, $C$9, 100%, $E$9)</f>
        <v>62.420299999999997</v>
      </c>
      <c r="H758" s="14">
        <f>CHOOSE(CONTROL!$C$42, 62.4833, 62.4833) * CHOOSE(CONTROL!$C$21, $C$9, 100%, $E$9)</f>
        <v>62.4833</v>
      </c>
      <c r="I758" s="14">
        <f>CHOOSE(CONTROL!$C$42, 62.6072, 62.6072)* CHOOSE(CONTROL!$C$21, $C$9, 100%, $E$9)</f>
        <v>62.607199999999999</v>
      </c>
      <c r="J758" s="14">
        <f>CHOOSE(CONTROL!$C$42, 62.3954, 62.3954)* CHOOSE(CONTROL!$C$21, $C$9, 100%, $E$9)</f>
        <v>62.395400000000002</v>
      </c>
      <c r="K758" s="53">
        <f>CHOOSE(CONTROL!$C$42, 62.6033, 62.6033) * CHOOSE(CONTROL!$C$21, $C$9, 100%, $E$9)</f>
        <v>62.603299999999997</v>
      </c>
      <c r="L758" s="14">
        <f>CHOOSE(CONTROL!$C$42, 63.0703, 63.0703) * CHOOSE(CONTROL!$C$21, $C$9, 100%, $E$9)</f>
        <v>63.070300000000003</v>
      </c>
      <c r="M758" s="14">
        <f>CHOOSE(CONTROL!$C$42, 61.1247, 61.1247) * CHOOSE(CONTROL!$C$21, $C$9, 100%, $E$9)</f>
        <v>61.124699999999997</v>
      </c>
      <c r="N758" s="14">
        <f>CHOOSE(CONTROL!$C$42, 61.1422, 61.1422) * CHOOSE(CONTROL!$C$21, $C$9, 100%, $E$9)</f>
        <v>61.142200000000003</v>
      </c>
      <c r="O758" s="14">
        <f>CHOOSE(CONTROL!$C$42, 61.2107, 61.2107) * CHOOSE(CONTROL!$C$21, $C$9, 100%, $E$9)</f>
        <v>61.210700000000003</v>
      </c>
      <c r="P758" s="14">
        <f>CHOOSE(CONTROL!$C$42, 61.3282, 61.3282) * CHOOSE(CONTROL!$C$21, $C$9, 100%, $E$9)</f>
        <v>61.328200000000002</v>
      </c>
      <c r="Q758" s="14">
        <f>CHOOSE(CONTROL!$C$42, 61.8054, 61.8054) * CHOOSE(CONTROL!$C$21, $C$9, 100%, $E$9)</f>
        <v>61.805399999999999</v>
      </c>
      <c r="R758" s="14">
        <f>CHOOSE(CONTROL!$C$42, 62.5469, 62.5469) * CHOOSE(CONTROL!$C$21, $C$9, 100%, $E$9)</f>
        <v>62.546900000000001</v>
      </c>
      <c r="S758" s="14">
        <f>CHOOSE(CONTROL!$C$42, 59.9306, 59.9306) * CHOOSE(CONTROL!$C$21, $C$9, 100%, $E$9)</f>
        <v>59.930599999999998</v>
      </c>
      <c r="T75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58" s="57">
        <f>(1000*CHOOSE(CONTROL!$C$42, 695, 695)*CHOOSE(CONTROL!$C$42, 0.5599, 0.5599)*CHOOSE(CONTROL!$C$42, 28, 28))/1000000</f>
        <v>10.895653999999999</v>
      </c>
      <c r="V758" s="57">
        <f>(1000*CHOOSE(CONTROL!$C$42, 500, 500)*CHOOSE(CONTROL!$C$42, 0.275, 0.275)*CHOOSE(CONTROL!$C$42, 28, 28))/1000000</f>
        <v>3.85</v>
      </c>
      <c r="W758" s="57">
        <f>(1000*CHOOSE(CONTROL!$C$42, 0.1146, 0.1146)*CHOOSE(CONTROL!$C$42, 121.5, 121.5)*CHOOSE(CONTROL!$C$42, 28, 28))/1000000</f>
        <v>0.38986920000000003</v>
      </c>
      <c r="X758" s="57">
        <f>(28*0.1790888*100000/1000000)+(28*0.2374*100000/1000000)</f>
        <v>1.16616864</v>
      </c>
      <c r="Y758" s="57"/>
      <c r="Z758" s="14"/>
      <c r="AA758" s="56"/>
      <c r="AB758" s="50">
        <f>(B758*122.58+C758*297.941+D758*89.177+E758*40.302+F758*40+G758*160+H758*0+I758*100+J758*300)/(122.58+297.941+89.177+40.302+0+40+160+100+300)</f>
        <v>62.420988806434778</v>
      </c>
      <c r="AC758" s="45">
        <f>(M758*'RAP TEMPLATE-GAS AVAILABILITY'!O757+N758*'RAP TEMPLATE-GAS AVAILABILITY'!P757+O758*'RAP TEMPLATE-GAS AVAILABILITY'!Q757+P758*'RAP TEMPLATE-GAS AVAILABILITY'!R757)/('RAP TEMPLATE-GAS AVAILABILITY'!O757+'RAP TEMPLATE-GAS AVAILABILITY'!P757+'RAP TEMPLATE-GAS AVAILABILITY'!Q757+'RAP TEMPLATE-GAS AVAILABILITY'!R757)</f>
        <v>61.193966187050357</v>
      </c>
    </row>
    <row r="759" spans="1:29" ht="15.75" x14ac:dyDescent="0.25">
      <c r="A759" s="32">
        <v>64009</v>
      </c>
      <c r="B759" s="14">
        <f>CHOOSE(CONTROL!$C$42, 60.6074, 60.6074) * CHOOSE(CONTROL!$C$21, $C$9, 100%, $E$9)</f>
        <v>60.607399999999998</v>
      </c>
      <c r="C759" s="14">
        <f>CHOOSE(CONTROL!$C$42, 60.6125, 60.6125) * CHOOSE(CONTROL!$C$21, $C$9, 100%, $E$9)</f>
        <v>60.612499999999997</v>
      </c>
      <c r="D759" s="14">
        <f>CHOOSE(CONTROL!$C$42, 60.6893, 60.6893) * CHOOSE(CONTROL!$C$21, $C$9, 100%, $E$9)</f>
        <v>60.689300000000003</v>
      </c>
      <c r="E759" s="14">
        <f>CHOOSE(CONTROL!$C$42, 60.7234, 60.7234) * CHOOSE(CONTROL!$C$21, $C$9, 100%, $E$9)</f>
        <v>60.723399999999998</v>
      </c>
      <c r="F759" s="14">
        <f>CHOOSE(CONTROL!$C$42, 60.6309, 60.6309)*CHOOSE(CONTROL!$C$21, $C$9, 100%, $E$9)</f>
        <v>60.630899999999997</v>
      </c>
      <c r="G759" s="14">
        <f>CHOOSE(CONTROL!$C$42, 60.6485, 60.6485)*CHOOSE(CONTROL!$C$21, $C$9, 100%, $E$9)</f>
        <v>60.648499999999999</v>
      </c>
      <c r="H759" s="14">
        <f>CHOOSE(CONTROL!$C$42, 60.7126, 60.7126) * CHOOSE(CONTROL!$C$21, $C$9, 100%, $E$9)</f>
        <v>60.712600000000002</v>
      </c>
      <c r="I759" s="14">
        <f>CHOOSE(CONTROL!$C$42, 60.8309, 60.8309)* CHOOSE(CONTROL!$C$21, $C$9, 100%, $E$9)</f>
        <v>60.8309</v>
      </c>
      <c r="J759" s="14">
        <f>CHOOSE(CONTROL!$C$42, 60.6239, 60.6239)* CHOOSE(CONTROL!$C$21, $C$9, 100%, $E$9)</f>
        <v>60.623899999999999</v>
      </c>
      <c r="K759" s="53">
        <f>CHOOSE(CONTROL!$C$42, 60.827, 60.827) * CHOOSE(CONTROL!$C$21, $C$9, 100%, $E$9)</f>
        <v>60.826999999999998</v>
      </c>
      <c r="L759" s="14">
        <f>CHOOSE(CONTROL!$C$42, 61.2996, 61.2996) * CHOOSE(CONTROL!$C$21, $C$9, 100%, $E$9)</f>
        <v>61.299599999999998</v>
      </c>
      <c r="M759" s="14">
        <f>CHOOSE(CONTROL!$C$42, 59.3894, 59.3894) * CHOOSE(CONTROL!$C$21, $C$9, 100%, $E$9)</f>
        <v>59.389400000000002</v>
      </c>
      <c r="N759" s="14">
        <f>CHOOSE(CONTROL!$C$42, 59.4067, 59.4067) * CHOOSE(CONTROL!$C$21, $C$9, 100%, $E$9)</f>
        <v>59.406700000000001</v>
      </c>
      <c r="O759" s="14">
        <f>CHOOSE(CONTROL!$C$42, 59.4763, 59.4763) * CHOOSE(CONTROL!$C$21, $C$9, 100%, $E$9)</f>
        <v>59.476300000000002</v>
      </c>
      <c r="P759" s="14">
        <f>CHOOSE(CONTROL!$C$42, 59.5885, 59.5885) * CHOOSE(CONTROL!$C$21, $C$9, 100%, $E$9)</f>
        <v>59.588500000000003</v>
      </c>
      <c r="Q759" s="14">
        <f>CHOOSE(CONTROL!$C$42, 60.071, 60.071) * CHOOSE(CONTROL!$C$21, $C$9, 100%, $E$9)</f>
        <v>60.070999999999998</v>
      </c>
      <c r="R759" s="14">
        <f>CHOOSE(CONTROL!$C$42, 60.8082, 60.8082) * CHOOSE(CONTROL!$C$21, $C$9, 100%, $E$9)</f>
        <v>60.808199999999999</v>
      </c>
      <c r="S759" s="14">
        <f>CHOOSE(CONTROL!$C$42, 58.2291, 58.2291) * CHOOSE(CONTROL!$C$21, $C$9, 100%, $E$9)</f>
        <v>58.229100000000003</v>
      </c>
      <c r="T7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9" s="57">
        <f>(1000*CHOOSE(CONTROL!$C$42, 695, 695)*CHOOSE(CONTROL!$C$42, 0.5599, 0.5599)*CHOOSE(CONTROL!$C$42, 31, 31))/1000000</f>
        <v>12.063045499999998</v>
      </c>
      <c r="V759" s="57">
        <f>(1000*CHOOSE(CONTROL!$C$42, 500, 500)*CHOOSE(CONTROL!$C$42, 0.275, 0.275)*CHOOSE(CONTROL!$C$42, 31, 31))/1000000</f>
        <v>4.2625000000000002</v>
      </c>
      <c r="W759" s="57">
        <f>(1000*CHOOSE(CONTROL!$C$42, 0.1146, 0.1146)*CHOOSE(CONTROL!$C$42, 121.5, 121.5)*CHOOSE(CONTROL!$C$42, 31, 31))/1000000</f>
        <v>0.43164089999999994</v>
      </c>
      <c r="X759" s="57">
        <f>(31*0.1790888*100000/1000000)+(31*0.2374*100000/1000000)</f>
        <v>1.2911152800000001</v>
      </c>
      <c r="Y759" s="57"/>
      <c r="Z759" s="14"/>
      <c r="AA759" s="56"/>
      <c r="AB759" s="50">
        <f>(B759*122.58+C759*297.941+D759*89.177+E759*40.302+F759*40+G759*160+H759*0+I759*100+J759*300)/(122.58+297.941+89.177+40.302+0+40+160+100+300)</f>
        <v>60.649412284695643</v>
      </c>
      <c r="AC759" s="45">
        <f>(M759*'RAP TEMPLATE-GAS AVAILABILITY'!O758+N759*'RAP TEMPLATE-GAS AVAILABILITY'!P758+O759*'RAP TEMPLATE-GAS AVAILABILITY'!Q758+P759*'RAP TEMPLATE-GAS AVAILABILITY'!R758)/('RAP TEMPLATE-GAS AVAILABILITY'!O758+'RAP TEMPLATE-GAS AVAILABILITY'!P758+'RAP TEMPLATE-GAS AVAILABILITY'!Q758+'RAP TEMPLATE-GAS AVAILABILITY'!R758)</f>
        <v>59.458429496402879</v>
      </c>
    </row>
    <row r="760" spans="1:29" ht="15.75" x14ac:dyDescent="0.25">
      <c r="A760" s="32">
        <v>64039</v>
      </c>
      <c r="B760" s="14">
        <f>CHOOSE(CONTROL!$C$42, 60.427, 60.427) * CHOOSE(CONTROL!$C$21, $C$9, 100%, $E$9)</f>
        <v>60.427</v>
      </c>
      <c r="C760" s="14">
        <f>CHOOSE(CONTROL!$C$42, 60.4315, 60.4315) * CHOOSE(CONTROL!$C$21, $C$9, 100%, $E$9)</f>
        <v>60.4315</v>
      </c>
      <c r="D760" s="14">
        <f>CHOOSE(CONTROL!$C$42, 60.6552, 60.6552) * CHOOSE(CONTROL!$C$21, $C$9, 100%, $E$9)</f>
        <v>60.655200000000001</v>
      </c>
      <c r="E760" s="14">
        <f>CHOOSE(CONTROL!$C$42, 60.6873, 60.6873) * CHOOSE(CONTROL!$C$21, $C$9, 100%, $E$9)</f>
        <v>60.6873</v>
      </c>
      <c r="F760" s="14">
        <f>CHOOSE(CONTROL!$C$42, 60.4547, 60.4547)*CHOOSE(CONTROL!$C$21, $C$9, 100%, $E$9)</f>
        <v>60.454700000000003</v>
      </c>
      <c r="G760" s="14">
        <f>CHOOSE(CONTROL!$C$42, 60.4716, 60.4716)*CHOOSE(CONTROL!$C$21, $C$9, 100%, $E$9)</f>
        <v>60.471600000000002</v>
      </c>
      <c r="H760" s="14">
        <f>CHOOSE(CONTROL!$C$42, 60.6771, 60.6771) * CHOOSE(CONTROL!$C$21, $C$9, 100%, $E$9)</f>
        <v>60.677100000000003</v>
      </c>
      <c r="I760" s="14">
        <f>CHOOSE(CONTROL!$C$42, 60.6455, 60.6455)* CHOOSE(CONTROL!$C$21, $C$9, 100%, $E$9)</f>
        <v>60.645499999999998</v>
      </c>
      <c r="J760" s="14">
        <f>CHOOSE(CONTROL!$C$42, 60.4477, 60.4477)* CHOOSE(CONTROL!$C$21, $C$9, 100%, $E$9)</f>
        <v>60.447699999999998</v>
      </c>
      <c r="K760" s="53">
        <f>CHOOSE(CONTROL!$C$42, 60.6416, 60.6416) * CHOOSE(CONTROL!$C$21, $C$9, 100%, $E$9)</f>
        <v>60.641599999999997</v>
      </c>
      <c r="L760" s="14">
        <f>CHOOSE(CONTROL!$C$42, 61.2641, 61.2641) * CHOOSE(CONTROL!$C$21, $C$9, 100%, $E$9)</f>
        <v>61.264099999999999</v>
      </c>
      <c r="M760" s="14">
        <f>CHOOSE(CONTROL!$C$42, 59.2168, 59.2168) * CHOOSE(CONTROL!$C$21, $C$9, 100%, $E$9)</f>
        <v>59.216799999999999</v>
      </c>
      <c r="N760" s="14">
        <f>CHOOSE(CONTROL!$C$42, 59.2334, 59.2334) * CHOOSE(CONTROL!$C$21, $C$9, 100%, $E$9)</f>
        <v>59.233400000000003</v>
      </c>
      <c r="O760" s="14">
        <f>CHOOSE(CONTROL!$C$42, 59.4415, 59.4415) * CHOOSE(CONTROL!$C$21, $C$9, 100%, $E$9)</f>
        <v>59.441499999999998</v>
      </c>
      <c r="P760" s="14">
        <f>CHOOSE(CONTROL!$C$42, 59.4069, 59.4069) * CHOOSE(CONTROL!$C$21, $C$9, 100%, $E$9)</f>
        <v>59.4069</v>
      </c>
      <c r="Q760" s="14">
        <f>CHOOSE(CONTROL!$C$42, 60.0362, 60.0362) * CHOOSE(CONTROL!$C$21, $C$9, 100%, $E$9)</f>
        <v>60.036200000000001</v>
      </c>
      <c r="R760" s="14">
        <f>CHOOSE(CONTROL!$C$42, 60.7733, 60.7733) * CHOOSE(CONTROL!$C$21, $C$9, 100%, $E$9)</f>
        <v>60.773299999999999</v>
      </c>
      <c r="S760" s="14">
        <f>CHOOSE(CONTROL!$C$42, 58.055, 58.055) * CHOOSE(CONTROL!$C$21, $C$9, 100%, $E$9)</f>
        <v>58.055</v>
      </c>
      <c r="T7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0" s="57">
        <f>(1000*CHOOSE(CONTROL!$C$42, 695, 695)*CHOOSE(CONTROL!$C$42, 0.5599, 0.5599)*CHOOSE(CONTROL!$C$42, 30, 30))/1000000</f>
        <v>11.673914999999997</v>
      </c>
      <c r="V760" s="57">
        <f>(1000*CHOOSE(CONTROL!$C$42, 500, 500)*CHOOSE(CONTROL!$C$42, 0.275, 0.275)*CHOOSE(CONTROL!$C$42, 30, 30))/1000000</f>
        <v>4.125</v>
      </c>
      <c r="W760" s="57">
        <f>(1000*CHOOSE(CONTROL!$C$42, 0.1146, 0.1146)*CHOOSE(CONTROL!$C$42, 121.5, 121.5)*CHOOSE(CONTROL!$C$42, 30, 30))/1000000</f>
        <v>0.417717</v>
      </c>
      <c r="X760" s="57">
        <f>(30*0.1790888*245000/1000000)+(30*0.2374*100000/1000000)</f>
        <v>2.0285026799999999</v>
      </c>
      <c r="Y760" s="57"/>
      <c r="Z760" s="14"/>
      <c r="AA760" s="56"/>
      <c r="AB760" s="50">
        <f>(B760*141.293+C760*267.993+D760*115.016+E760*89.698+F760*40+G760*185+H760*0+I760*100+J760*300)/(141.293+267.993+115.016+89.698+0+40+185+100+300)</f>
        <v>60.498202590072637</v>
      </c>
      <c r="AC760" s="45">
        <f>(M760*'RAP TEMPLATE-GAS AVAILABILITY'!O759+N760*'RAP TEMPLATE-GAS AVAILABILITY'!P759+O760*'RAP TEMPLATE-GAS AVAILABILITY'!Q759+P760*'RAP TEMPLATE-GAS AVAILABILITY'!R759)/('RAP TEMPLATE-GAS AVAILABILITY'!O759+'RAP TEMPLATE-GAS AVAILABILITY'!P759+'RAP TEMPLATE-GAS AVAILABILITY'!Q759+'RAP TEMPLATE-GAS AVAILABILITY'!R759)</f>
        <v>59.346950359712231</v>
      </c>
    </row>
    <row r="761" spans="1:29" ht="15.75" x14ac:dyDescent="0.25">
      <c r="A761" s="32">
        <v>64070</v>
      </c>
      <c r="B761" s="14">
        <f>CHOOSE(CONTROL!$C$42, 60.9616, 60.9616) * CHOOSE(CONTROL!$C$21, $C$9, 100%, $E$9)</f>
        <v>60.961599999999997</v>
      </c>
      <c r="C761" s="14">
        <f>CHOOSE(CONTROL!$C$42, 60.9696, 60.9696) * CHOOSE(CONTROL!$C$21, $C$9, 100%, $E$9)</f>
        <v>60.9696</v>
      </c>
      <c r="D761" s="14">
        <f>CHOOSE(CONTROL!$C$42, 61.1902, 61.1902) * CHOOSE(CONTROL!$C$21, $C$9, 100%, $E$9)</f>
        <v>61.190199999999997</v>
      </c>
      <c r="E761" s="14">
        <f>CHOOSE(CONTROL!$C$42, 61.2217, 61.2217) * CHOOSE(CONTROL!$C$21, $C$9, 100%, $E$9)</f>
        <v>61.221699999999998</v>
      </c>
      <c r="F761" s="14">
        <f>CHOOSE(CONTROL!$C$42, 60.9879, 60.9879)*CHOOSE(CONTROL!$C$21, $C$9, 100%, $E$9)</f>
        <v>60.987900000000003</v>
      </c>
      <c r="G761" s="14">
        <f>CHOOSE(CONTROL!$C$42, 61.005, 61.005)*CHOOSE(CONTROL!$C$21, $C$9, 100%, $E$9)</f>
        <v>61.005000000000003</v>
      </c>
      <c r="H761" s="14">
        <f>CHOOSE(CONTROL!$C$42, 61.2103, 61.2103) * CHOOSE(CONTROL!$C$21, $C$9, 100%, $E$9)</f>
        <v>61.210299999999997</v>
      </c>
      <c r="I761" s="14">
        <f>CHOOSE(CONTROL!$C$42, 61.1804, 61.1804)* CHOOSE(CONTROL!$C$21, $C$9, 100%, $E$9)</f>
        <v>61.180399999999999</v>
      </c>
      <c r="J761" s="14">
        <f>CHOOSE(CONTROL!$C$42, 60.9809, 60.9809)* CHOOSE(CONTROL!$C$21, $C$9, 100%, $E$9)</f>
        <v>60.980899999999998</v>
      </c>
      <c r="K761" s="53">
        <f>CHOOSE(CONTROL!$C$42, 61.1765, 61.1765) * CHOOSE(CONTROL!$C$21, $C$9, 100%, $E$9)</f>
        <v>61.176499999999997</v>
      </c>
      <c r="L761" s="14">
        <f>CHOOSE(CONTROL!$C$42, 61.7973, 61.7973) * CHOOSE(CONTROL!$C$21, $C$9, 100%, $E$9)</f>
        <v>61.7973</v>
      </c>
      <c r="M761" s="14">
        <f>CHOOSE(CONTROL!$C$42, 59.7391, 59.7391) * CHOOSE(CONTROL!$C$21, $C$9, 100%, $E$9)</f>
        <v>59.739100000000001</v>
      </c>
      <c r="N761" s="14">
        <f>CHOOSE(CONTROL!$C$42, 59.7559, 59.7559) * CHOOSE(CONTROL!$C$21, $C$9, 100%, $E$9)</f>
        <v>59.755899999999997</v>
      </c>
      <c r="O761" s="14">
        <f>CHOOSE(CONTROL!$C$42, 59.9639, 59.9639) * CHOOSE(CONTROL!$C$21, $C$9, 100%, $E$9)</f>
        <v>59.963900000000002</v>
      </c>
      <c r="P761" s="14">
        <f>CHOOSE(CONTROL!$C$42, 59.9308, 59.9308) * CHOOSE(CONTROL!$C$21, $C$9, 100%, $E$9)</f>
        <v>59.930799999999998</v>
      </c>
      <c r="Q761" s="14">
        <f>CHOOSE(CONTROL!$C$42, 60.5586, 60.5586) * CHOOSE(CONTROL!$C$21, $C$9, 100%, $E$9)</f>
        <v>60.558599999999998</v>
      </c>
      <c r="R761" s="14">
        <f>CHOOSE(CONTROL!$C$42, 61.2969, 61.2969) * CHOOSE(CONTROL!$C$21, $C$9, 100%, $E$9)</f>
        <v>61.296900000000001</v>
      </c>
      <c r="S761" s="14">
        <f>CHOOSE(CONTROL!$C$42, 58.5674, 58.5674) * CHOOSE(CONTROL!$C$21, $C$9, 100%, $E$9)</f>
        <v>58.567399999999999</v>
      </c>
      <c r="T7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61" s="57">
        <f>(1000*CHOOSE(CONTROL!$C$42, 695, 695)*CHOOSE(CONTROL!$C$42, 0.5599, 0.5599)*CHOOSE(CONTROL!$C$42, 31, 31))/1000000</f>
        <v>12.063045499999998</v>
      </c>
      <c r="V761" s="57">
        <f>(1000*CHOOSE(CONTROL!$C$42, 500, 500)*CHOOSE(CONTROL!$C$42, 0.275, 0.275)*CHOOSE(CONTROL!$C$42, 31, 31))/1000000</f>
        <v>4.2625000000000002</v>
      </c>
      <c r="W761" s="57">
        <f>(1000*CHOOSE(CONTROL!$C$42, 0.1146, 0.1146)*CHOOSE(CONTROL!$C$42, 121.5, 121.5)*CHOOSE(CONTROL!$C$42, 31, 31))/1000000</f>
        <v>0.43164089999999994</v>
      </c>
      <c r="X761" s="57">
        <f>(31*0.1790888*245000/1000000)+(31*0.2374*100000/1000000)</f>
        <v>2.0961194359999999</v>
      </c>
      <c r="Y761" s="57"/>
      <c r="Z761" s="14"/>
      <c r="AA761" s="56"/>
      <c r="AB761" s="50">
        <f>(B761*194.205+C761*267.466+D761*133.845+E761*53.484+F761*40+G761*185+H761*0+I761*100+J761*300)/(194.205+267.466+133.845+53.484+0+40+185+100+300)</f>
        <v>61.027062231868136</v>
      </c>
      <c r="AC761" s="45">
        <f>(M761*'RAP TEMPLATE-GAS AVAILABILITY'!O760+N761*'RAP TEMPLATE-GAS AVAILABILITY'!P760+O761*'RAP TEMPLATE-GAS AVAILABILITY'!Q760+P761*'RAP TEMPLATE-GAS AVAILABILITY'!R760)/('RAP TEMPLATE-GAS AVAILABILITY'!O760+'RAP TEMPLATE-GAS AVAILABILITY'!P760+'RAP TEMPLATE-GAS AVAILABILITY'!Q760+'RAP TEMPLATE-GAS AVAILABILITY'!R760)</f>
        <v>59.869537410071949</v>
      </c>
    </row>
    <row r="762" spans="1:29" ht="15.75" x14ac:dyDescent="0.25">
      <c r="A762" s="32">
        <v>64100</v>
      </c>
      <c r="B762" s="14">
        <f>CHOOSE(CONTROL!$C$42, 62.6905, 62.6905) * CHOOSE(CONTROL!$C$21, $C$9, 100%, $E$9)</f>
        <v>62.6905</v>
      </c>
      <c r="C762" s="14">
        <f>CHOOSE(CONTROL!$C$42, 62.6986, 62.6986) * CHOOSE(CONTROL!$C$21, $C$9, 100%, $E$9)</f>
        <v>62.698599999999999</v>
      </c>
      <c r="D762" s="14">
        <f>CHOOSE(CONTROL!$C$42, 62.9191, 62.9191) * CHOOSE(CONTROL!$C$21, $C$9, 100%, $E$9)</f>
        <v>62.9191</v>
      </c>
      <c r="E762" s="14">
        <f>CHOOSE(CONTROL!$C$42, 62.9506, 62.9506) * CHOOSE(CONTROL!$C$21, $C$9, 100%, $E$9)</f>
        <v>62.950600000000001</v>
      </c>
      <c r="F762" s="14">
        <f>CHOOSE(CONTROL!$C$42, 62.7171, 62.7171)*CHOOSE(CONTROL!$C$21, $C$9, 100%, $E$9)</f>
        <v>62.717100000000002</v>
      </c>
      <c r="G762" s="14">
        <f>CHOOSE(CONTROL!$C$42, 62.7344, 62.7344)*CHOOSE(CONTROL!$C$21, $C$9, 100%, $E$9)</f>
        <v>62.734400000000001</v>
      </c>
      <c r="H762" s="14">
        <f>CHOOSE(CONTROL!$C$42, 62.9392, 62.9392) * CHOOSE(CONTROL!$C$21, $C$9, 100%, $E$9)</f>
        <v>62.9392</v>
      </c>
      <c r="I762" s="14">
        <f>CHOOSE(CONTROL!$C$42, 62.9148, 62.9148)* CHOOSE(CONTROL!$C$21, $C$9, 100%, $E$9)</f>
        <v>62.9148</v>
      </c>
      <c r="J762" s="14">
        <f>CHOOSE(CONTROL!$C$42, 62.7101, 62.7101)* CHOOSE(CONTROL!$C$21, $C$9, 100%, $E$9)</f>
        <v>62.710099999999997</v>
      </c>
      <c r="K762" s="53">
        <f>CHOOSE(CONTROL!$C$42, 62.9109, 62.9109) * CHOOSE(CONTROL!$C$21, $C$9, 100%, $E$9)</f>
        <v>62.910899999999998</v>
      </c>
      <c r="L762" s="14">
        <f>CHOOSE(CONTROL!$C$42, 63.5262, 63.5262) * CHOOSE(CONTROL!$C$21, $C$9, 100%, $E$9)</f>
        <v>63.526200000000003</v>
      </c>
      <c r="M762" s="14">
        <f>CHOOSE(CONTROL!$C$42, 61.433, 61.433) * CHOOSE(CONTROL!$C$21, $C$9, 100%, $E$9)</f>
        <v>61.433</v>
      </c>
      <c r="N762" s="14">
        <f>CHOOSE(CONTROL!$C$42, 61.4498, 61.4498) * CHOOSE(CONTROL!$C$21, $C$9, 100%, $E$9)</f>
        <v>61.449800000000003</v>
      </c>
      <c r="O762" s="14">
        <f>CHOOSE(CONTROL!$C$42, 61.6574, 61.6574) * CHOOSE(CONTROL!$C$21, $C$9, 100%, $E$9)</f>
        <v>61.657400000000003</v>
      </c>
      <c r="P762" s="14">
        <f>CHOOSE(CONTROL!$C$42, 61.6295, 61.6295) * CHOOSE(CONTROL!$C$21, $C$9, 100%, $E$9)</f>
        <v>61.6295</v>
      </c>
      <c r="Q762" s="14">
        <f>CHOOSE(CONTROL!$C$42, 62.2521, 62.2521) * CHOOSE(CONTROL!$C$21, $C$9, 100%, $E$9)</f>
        <v>62.252099999999999</v>
      </c>
      <c r="R762" s="14">
        <f>CHOOSE(CONTROL!$C$42, 62.9947, 62.9947) * CHOOSE(CONTROL!$C$21, $C$9, 100%, $E$9)</f>
        <v>62.994700000000002</v>
      </c>
      <c r="S762" s="14">
        <f>CHOOSE(CONTROL!$C$42, 60.2287, 60.2287) * CHOOSE(CONTROL!$C$21, $C$9, 100%, $E$9)</f>
        <v>60.228700000000003</v>
      </c>
      <c r="T7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62" s="57">
        <f>(1000*CHOOSE(CONTROL!$C$42, 695, 695)*CHOOSE(CONTROL!$C$42, 0.5599, 0.5599)*CHOOSE(CONTROL!$C$42, 30, 30))/1000000</f>
        <v>11.673914999999997</v>
      </c>
      <c r="V762" s="57">
        <f>(1000*CHOOSE(CONTROL!$C$42, 500, 500)*CHOOSE(CONTROL!$C$42, 0.275, 0.275)*CHOOSE(CONTROL!$C$42, 30, 30))/1000000</f>
        <v>4.125</v>
      </c>
      <c r="W762" s="57">
        <f>(1000*CHOOSE(CONTROL!$C$42, 0.1146, 0.1146)*CHOOSE(CONTROL!$C$42, 121.5, 121.5)*CHOOSE(CONTROL!$C$42, 30, 30))/1000000</f>
        <v>0.417717</v>
      </c>
      <c r="X762" s="57">
        <f>(30*0.1790888*245000/1000000)+(30*0.2374*100000/1000000)</f>
        <v>2.0285026799999999</v>
      </c>
      <c r="Y762" s="57"/>
      <c r="Z762" s="14"/>
      <c r="AA762" s="56"/>
      <c r="AB762" s="50">
        <f>(B762*194.205+C762*267.466+D762*133.845+E762*53.484+F762*40+G762*185+H762*0+I762*100+J762*300)/(194.205+267.466+133.845+53.484+0+40+185+100+300)</f>
        <v>62.756567605965472</v>
      </c>
      <c r="AC762" s="45">
        <f>(M762*'RAP TEMPLATE-GAS AVAILABILITY'!O761+N762*'RAP TEMPLATE-GAS AVAILABILITY'!P761+O762*'RAP TEMPLATE-GAS AVAILABILITY'!Q761+P762*'RAP TEMPLATE-GAS AVAILABILITY'!R761)/('RAP TEMPLATE-GAS AVAILABILITY'!O761+'RAP TEMPLATE-GAS AVAILABILITY'!P761+'RAP TEMPLATE-GAS AVAILABILITY'!Q761+'RAP TEMPLATE-GAS AVAILABILITY'!R761)</f>
        <v>61.563946762589929</v>
      </c>
    </row>
    <row r="763" spans="1:29" ht="15.75" x14ac:dyDescent="0.25">
      <c r="A763" s="32">
        <v>64131</v>
      </c>
      <c r="B763" s="14">
        <f>CHOOSE(CONTROL!$C$42, 61.4881, 61.4881) * CHOOSE(CONTROL!$C$21, $C$9, 100%, $E$9)</f>
        <v>61.488100000000003</v>
      </c>
      <c r="C763" s="14">
        <f>CHOOSE(CONTROL!$C$42, 61.4961, 61.4961) * CHOOSE(CONTROL!$C$21, $C$9, 100%, $E$9)</f>
        <v>61.496099999999998</v>
      </c>
      <c r="D763" s="14">
        <f>CHOOSE(CONTROL!$C$42, 61.7167, 61.7167) * CHOOSE(CONTROL!$C$21, $C$9, 100%, $E$9)</f>
        <v>61.716700000000003</v>
      </c>
      <c r="E763" s="14">
        <f>CHOOSE(CONTROL!$C$42, 61.7481, 61.7481) * CHOOSE(CONTROL!$C$21, $C$9, 100%, $E$9)</f>
        <v>61.748100000000001</v>
      </c>
      <c r="F763" s="14">
        <f>CHOOSE(CONTROL!$C$42, 61.5151, 61.5151)*CHOOSE(CONTROL!$C$21, $C$9, 100%, $E$9)</f>
        <v>61.515099999999997</v>
      </c>
      <c r="G763" s="14">
        <f>CHOOSE(CONTROL!$C$42, 61.5325, 61.5325)*CHOOSE(CONTROL!$C$21, $C$9, 100%, $E$9)</f>
        <v>61.532499999999999</v>
      </c>
      <c r="H763" s="14">
        <f>CHOOSE(CONTROL!$C$42, 61.7368, 61.7368) * CHOOSE(CONTROL!$C$21, $C$9, 100%, $E$9)</f>
        <v>61.736800000000002</v>
      </c>
      <c r="I763" s="14">
        <f>CHOOSE(CONTROL!$C$42, 61.7085, 61.7085)* CHOOSE(CONTROL!$C$21, $C$9, 100%, $E$9)</f>
        <v>61.708500000000001</v>
      </c>
      <c r="J763" s="14">
        <f>CHOOSE(CONTROL!$C$42, 61.5081, 61.5081)* CHOOSE(CONTROL!$C$21, $C$9, 100%, $E$9)</f>
        <v>61.508099999999999</v>
      </c>
      <c r="K763" s="53">
        <f>CHOOSE(CONTROL!$C$42, 61.7046, 61.7046) * CHOOSE(CONTROL!$C$21, $C$9, 100%, $E$9)</f>
        <v>61.704599999999999</v>
      </c>
      <c r="L763" s="14">
        <f>CHOOSE(CONTROL!$C$42, 62.3238, 62.3238) * CHOOSE(CONTROL!$C$21, $C$9, 100%, $E$9)</f>
        <v>62.323799999999999</v>
      </c>
      <c r="M763" s="14">
        <f>CHOOSE(CONTROL!$C$42, 60.2556, 60.2556) * CHOOSE(CONTROL!$C$21, $C$9, 100%, $E$9)</f>
        <v>60.255600000000001</v>
      </c>
      <c r="N763" s="14">
        <f>CHOOSE(CONTROL!$C$42, 60.2725, 60.2725) * CHOOSE(CONTROL!$C$21, $C$9, 100%, $E$9)</f>
        <v>60.272500000000001</v>
      </c>
      <c r="O763" s="14">
        <f>CHOOSE(CONTROL!$C$42, 60.4795, 60.4795) * CHOOSE(CONTROL!$C$21, $C$9, 100%, $E$9)</f>
        <v>60.479500000000002</v>
      </c>
      <c r="P763" s="14">
        <f>CHOOSE(CONTROL!$C$42, 60.448, 60.448) * CHOOSE(CONTROL!$C$21, $C$9, 100%, $E$9)</f>
        <v>60.448</v>
      </c>
      <c r="Q763" s="14">
        <f>CHOOSE(CONTROL!$C$42, 61.0742, 61.0742) * CHOOSE(CONTROL!$C$21, $C$9, 100%, $E$9)</f>
        <v>61.074199999999998</v>
      </c>
      <c r="R763" s="14">
        <f>CHOOSE(CONTROL!$C$42, 61.8139, 61.8139) * CHOOSE(CONTROL!$C$21, $C$9, 100%, $E$9)</f>
        <v>61.813899999999997</v>
      </c>
      <c r="S763" s="14">
        <f>CHOOSE(CONTROL!$C$42, 59.0732, 59.0732) * CHOOSE(CONTROL!$C$21, $C$9, 100%, $E$9)</f>
        <v>59.0732</v>
      </c>
      <c r="T7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63" s="57">
        <f>(1000*CHOOSE(CONTROL!$C$42, 695, 695)*CHOOSE(CONTROL!$C$42, 0.5599, 0.5599)*CHOOSE(CONTROL!$C$42, 31, 31))/1000000</f>
        <v>12.063045499999998</v>
      </c>
      <c r="V763" s="57">
        <f>(1000*CHOOSE(CONTROL!$C$42, 500, 500)*CHOOSE(CONTROL!$C$42, 0.275, 0.275)*CHOOSE(CONTROL!$C$42, 31, 31))/1000000</f>
        <v>4.2625000000000002</v>
      </c>
      <c r="W763" s="57">
        <f>(1000*CHOOSE(CONTROL!$C$42, 0.1146, 0.1146)*CHOOSE(CONTROL!$C$42, 121.5, 121.5)*CHOOSE(CONTROL!$C$42, 31, 31))/1000000</f>
        <v>0.43164089999999994</v>
      </c>
      <c r="X763" s="57">
        <f>(31*0.1790888*245000/1000000)+(31*0.2374*100000/1000000)</f>
        <v>2.0961194359999999</v>
      </c>
      <c r="Y763" s="57"/>
      <c r="Z763" s="14"/>
      <c r="AA763" s="56"/>
      <c r="AB763" s="50">
        <f>(B763*194.205+C763*267.466+D763*133.845+E763*53.484+F763*40+G763*185+H763*0+I763*100+J763*300)/(194.205+267.466+133.845+53.484+0+40+185+100+300)</f>
        <v>61.554015647566715</v>
      </c>
      <c r="AC763" s="45">
        <f>(M763*'RAP TEMPLATE-GAS AVAILABILITY'!O762+N763*'RAP TEMPLATE-GAS AVAILABILITY'!P762+O763*'RAP TEMPLATE-GAS AVAILABILITY'!Q762+P763*'RAP TEMPLATE-GAS AVAILABILITY'!R762)/('RAP TEMPLATE-GAS AVAILABILITY'!O762+'RAP TEMPLATE-GAS AVAILABILITY'!P762+'RAP TEMPLATE-GAS AVAILABILITY'!Q762+'RAP TEMPLATE-GAS AVAILABILITY'!R762)</f>
        <v>60.385735971223028</v>
      </c>
    </row>
    <row r="764" spans="1:29" ht="15.75" x14ac:dyDescent="0.25">
      <c r="A764" s="32">
        <v>64162</v>
      </c>
      <c r="B764" s="14">
        <f>CHOOSE(CONTROL!$C$42, 58.4514, 58.4514) * CHOOSE(CONTROL!$C$21, $C$9, 100%, $E$9)</f>
        <v>58.4514</v>
      </c>
      <c r="C764" s="14">
        <f>CHOOSE(CONTROL!$C$42, 58.4595, 58.4595) * CHOOSE(CONTROL!$C$21, $C$9, 100%, $E$9)</f>
        <v>58.459499999999998</v>
      </c>
      <c r="D764" s="14">
        <f>CHOOSE(CONTROL!$C$42, 58.68, 58.68) * CHOOSE(CONTROL!$C$21, $C$9, 100%, $E$9)</f>
        <v>58.68</v>
      </c>
      <c r="E764" s="14">
        <f>CHOOSE(CONTROL!$C$42, 58.7115, 58.7115) * CHOOSE(CONTROL!$C$21, $C$9, 100%, $E$9)</f>
        <v>58.711500000000001</v>
      </c>
      <c r="F764" s="14">
        <f>CHOOSE(CONTROL!$C$42, 58.4788, 58.4788)*CHOOSE(CONTROL!$C$21, $C$9, 100%, $E$9)</f>
        <v>58.4788</v>
      </c>
      <c r="G764" s="14">
        <f>CHOOSE(CONTROL!$C$42, 58.4962, 58.4962)*CHOOSE(CONTROL!$C$21, $C$9, 100%, $E$9)</f>
        <v>58.496200000000002</v>
      </c>
      <c r="H764" s="14">
        <f>CHOOSE(CONTROL!$C$42, 58.7001, 58.7001) * CHOOSE(CONTROL!$C$21, $C$9, 100%, $E$9)</f>
        <v>58.700099999999999</v>
      </c>
      <c r="I764" s="14">
        <f>CHOOSE(CONTROL!$C$42, 58.6624, 58.6624)* CHOOSE(CONTROL!$C$21, $C$9, 100%, $E$9)</f>
        <v>58.662399999999998</v>
      </c>
      <c r="J764" s="14">
        <f>CHOOSE(CONTROL!$C$42, 58.4718, 58.4718)* CHOOSE(CONTROL!$C$21, $C$9, 100%, $E$9)</f>
        <v>58.471800000000002</v>
      </c>
      <c r="K764" s="53">
        <f>CHOOSE(CONTROL!$C$42, 58.6585, 58.6585) * CHOOSE(CONTROL!$C$21, $C$9, 100%, $E$9)</f>
        <v>58.658499999999997</v>
      </c>
      <c r="L764" s="14">
        <f>CHOOSE(CONTROL!$C$42, 59.2871, 59.2871) * CHOOSE(CONTROL!$C$21, $C$9, 100%, $E$9)</f>
        <v>59.287100000000002</v>
      </c>
      <c r="M764" s="14">
        <f>CHOOSE(CONTROL!$C$42, 57.2814, 57.2814) * CHOOSE(CONTROL!$C$21, $C$9, 100%, $E$9)</f>
        <v>57.281399999999998</v>
      </c>
      <c r="N764" s="14">
        <f>CHOOSE(CONTROL!$C$42, 57.2985, 57.2985) * CHOOSE(CONTROL!$C$21, $C$9, 100%, $E$9)</f>
        <v>57.298499999999997</v>
      </c>
      <c r="O764" s="14">
        <f>CHOOSE(CONTROL!$C$42, 57.5051, 57.5051) * CHOOSE(CONTROL!$C$21, $C$9, 100%, $E$9)</f>
        <v>57.505099999999999</v>
      </c>
      <c r="P764" s="14">
        <f>CHOOSE(CONTROL!$C$42, 57.4645, 57.4645) * CHOOSE(CONTROL!$C$21, $C$9, 100%, $E$9)</f>
        <v>57.464500000000001</v>
      </c>
      <c r="Q764" s="14">
        <f>CHOOSE(CONTROL!$C$42, 58.0998, 58.0998) * CHOOSE(CONTROL!$C$21, $C$9, 100%, $E$9)</f>
        <v>58.099800000000002</v>
      </c>
      <c r="R764" s="14">
        <f>CHOOSE(CONTROL!$C$42, 58.832, 58.832) * CHOOSE(CONTROL!$C$21, $C$9, 100%, $E$9)</f>
        <v>58.832000000000001</v>
      </c>
      <c r="S764" s="14">
        <f>CHOOSE(CONTROL!$C$42, 56.1553, 56.1553) * CHOOSE(CONTROL!$C$21, $C$9, 100%, $E$9)</f>
        <v>56.155299999999997</v>
      </c>
      <c r="T7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64" s="57">
        <f>(1000*CHOOSE(CONTROL!$C$42, 695, 695)*CHOOSE(CONTROL!$C$42, 0.5599, 0.5599)*CHOOSE(CONTROL!$C$42, 31, 31))/1000000</f>
        <v>12.063045499999998</v>
      </c>
      <c r="V764" s="57">
        <f>(1000*CHOOSE(CONTROL!$C$42, 500, 500)*CHOOSE(CONTROL!$C$42, 0.275, 0.275)*CHOOSE(CONTROL!$C$42, 31, 31))/1000000</f>
        <v>4.2625000000000002</v>
      </c>
      <c r="W764" s="57">
        <f>(1000*CHOOSE(CONTROL!$C$42, 0.1146, 0.1146)*CHOOSE(CONTROL!$C$42, 121.5, 121.5)*CHOOSE(CONTROL!$C$42, 31, 31))/1000000</f>
        <v>0.43164089999999994</v>
      </c>
      <c r="X764" s="57">
        <f>(31*0.1790888*245000/1000000)+(31*0.2374*100000/1000000)</f>
        <v>2.0961194359999999</v>
      </c>
      <c r="Y764" s="57"/>
      <c r="Z764" s="14"/>
      <c r="AA764" s="56"/>
      <c r="AB764" s="50">
        <f>(B764*194.205+C764*267.466+D764*133.845+E764*53.484+F764*40+G764*185+H764*0+I764*100+J764*300)/(194.205+267.466+133.845+53.484+0+40+185+100+300)</f>
        <v>58.51676784144427</v>
      </c>
      <c r="AC764" s="45">
        <f>(M764*'RAP TEMPLATE-GAS AVAILABILITY'!O763+N764*'RAP TEMPLATE-GAS AVAILABILITY'!P763+O764*'RAP TEMPLATE-GAS AVAILABILITY'!Q763+P764*'RAP TEMPLATE-GAS AVAILABILITY'!R763)/('RAP TEMPLATE-GAS AVAILABILITY'!O763+'RAP TEMPLATE-GAS AVAILABILITY'!P763+'RAP TEMPLATE-GAS AVAILABILITY'!Q763+'RAP TEMPLATE-GAS AVAILABILITY'!R763)</f>
        <v>57.410118705035963</v>
      </c>
    </row>
    <row r="765" spans="1:29" ht="15.75" x14ac:dyDescent="0.25">
      <c r="A765" s="32">
        <v>64192</v>
      </c>
      <c r="B765" s="14">
        <f>CHOOSE(CONTROL!$C$42, 54.741, 54.741) * CHOOSE(CONTROL!$C$21, $C$9, 100%, $E$9)</f>
        <v>54.741</v>
      </c>
      <c r="C765" s="14">
        <f>CHOOSE(CONTROL!$C$42, 54.749, 54.749) * CHOOSE(CONTROL!$C$21, $C$9, 100%, $E$9)</f>
        <v>54.749000000000002</v>
      </c>
      <c r="D765" s="14">
        <f>CHOOSE(CONTROL!$C$42, 54.9696, 54.9696) * CHOOSE(CONTROL!$C$21, $C$9, 100%, $E$9)</f>
        <v>54.9696</v>
      </c>
      <c r="E765" s="14">
        <f>CHOOSE(CONTROL!$C$42, 55.0011, 55.0011) * CHOOSE(CONTROL!$C$21, $C$9, 100%, $E$9)</f>
        <v>55.001100000000001</v>
      </c>
      <c r="F765" s="14">
        <f>CHOOSE(CONTROL!$C$42, 54.7683, 54.7683)*CHOOSE(CONTROL!$C$21, $C$9, 100%, $E$9)</f>
        <v>54.768300000000004</v>
      </c>
      <c r="G765" s="14">
        <f>CHOOSE(CONTROL!$C$42, 54.7858, 54.7858)*CHOOSE(CONTROL!$C$21, $C$9, 100%, $E$9)</f>
        <v>54.785800000000002</v>
      </c>
      <c r="H765" s="14">
        <f>CHOOSE(CONTROL!$C$42, 54.9897, 54.9897) * CHOOSE(CONTROL!$C$21, $C$9, 100%, $E$9)</f>
        <v>54.989699999999999</v>
      </c>
      <c r="I765" s="14">
        <f>CHOOSE(CONTROL!$C$42, 54.9403, 54.9403)* CHOOSE(CONTROL!$C$21, $C$9, 100%, $E$9)</f>
        <v>54.940300000000001</v>
      </c>
      <c r="J765" s="14">
        <f>CHOOSE(CONTROL!$C$42, 54.7613, 54.7613)* CHOOSE(CONTROL!$C$21, $C$9, 100%, $E$9)</f>
        <v>54.761299999999999</v>
      </c>
      <c r="K765" s="53">
        <f>CHOOSE(CONTROL!$C$42, 54.9364, 54.9364) * CHOOSE(CONTROL!$C$21, $C$9, 100%, $E$9)</f>
        <v>54.936399999999999</v>
      </c>
      <c r="L765" s="14">
        <f>CHOOSE(CONTROL!$C$42, 55.5767, 55.5767) * CHOOSE(CONTROL!$C$21, $C$9, 100%, $E$9)</f>
        <v>55.576700000000002</v>
      </c>
      <c r="M765" s="14">
        <f>CHOOSE(CONTROL!$C$42, 53.647, 53.647) * CHOOSE(CONTROL!$C$21, $C$9, 100%, $E$9)</f>
        <v>53.646999999999998</v>
      </c>
      <c r="N765" s="14">
        <f>CHOOSE(CONTROL!$C$42, 53.6641, 53.6641) * CHOOSE(CONTROL!$C$21, $C$9, 100%, $E$9)</f>
        <v>53.664099999999998</v>
      </c>
      <c r="O765" s="14">
        <f>CHOOSE(CONTROL!$C$42, 53.8707, 53.8707) * CHOOSE(CONTROL!$C$21, $C$9, 100%, $E$9)</f>
        <v>53.870699999999999</v>
      </c>
      <c r="P765" s="14">
        <f>CHOOSE(CONTROL!$C$42, 53.819, 53.819) * CHOOSE(CONTROL!$C$21, $C$9, 100%, $E$9)</f>
        <v>53.819000000000003</v>
      </c>
      <c r="Q765" s="14">
        <f>CHOOSE(CONTROL!$C$42, 54.4654, 54.4654) * CHOOSE(CONTROL!$C$21, $C$9, 100%, $E$9)</f>
        <v>54.465400000000002</v>
      </c>
      <c r="R765" s="14">
        <f>CHOOSE(CONTROL!$C$42, 55.1886, 55.1886) * CHOOSE(CONTROL!$C$21, $C$9, 100%, $E$9)</f>
        <v>55.188600000000001</v>
      </c>
      <c r="S765" s="14">
        <f>CHOOSE(CONTROL!$C$42, 52.59, 52.59) * CHOOSE(CONTROL!$C$21, $C$9, 100%, $E$9)</f>
        <v>52.59</v>
      </c>
      <c r="T7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65" s="57">
        <f>(1000*CHOOSE(CONTROL!$C$42, 695, 695)*CHOOSE(CONTROL!$C$42, 0.5599, 0.5599)*CHOOSE(CONTROL!$C$42, 30, 30))/1000000</f>
        <v>11.673914999999997</v>
      </c>
      <c r="V765" s="57">
        <f>(1000*CHOOSE(CONTROL!$C$42, 500, 500)*CHOOSE(CONTROL!$C$42, 0.275, 0.275)*CHOOSE(CONTROL!$C$42, 30, 30))/1000000</f>
        <v>4.125</v>
      </c>
      <c r="W765" s="57">
        <f>(1000*CHOOSE(CONTROL!$C$42, 0.1146, 0.1146)*CHOOSE(CONTROL!$C$42, 121.5, 121.5)*CHOOSE(CONTROL!$C$42, 30, 30))/1000000</f>
        <v>0.417717</v>
      </c>
      <c r="X765" s="57">
        <f>(30*0.1790888*245000/1000000)+(30*0.2374*100000/1000000)</f>
        <v>2.0285026799999999</v>
      </c>
      <c r="Y765" s="57"/>
      <c r="Z765" s="14"/>
      <c r="AA765" s="56"/>
      <c r="AB765" s="50">
        <f>(B765*194.205+C765*267.466+D765*133.845+E765*53.484+F765*40+G765*185+H765*0+I765*100+J765*300)/(194.205+267.466+133.845+53.484+0+40+185+100+300)</f>
        <v>54.805401792307698</v>
      </c>
      <c r="AC765" s="45">
        <f>(M765*'RAP TEMPLATE-GAS AVAILABILITY'!O764+N765*'RAP TEMPLATE-GAS AVAILABILITY'!P764+O765*'RAP TEMPLATE-GAS AVAILABILITY'!Q764+P765*'RAP TEMPLATE-GAS AVAILABILITY'!R764)/('RAP TEMPLATE-GAS AVAILABILITY'!O764+'RAP TEMPLATE-GAS AVAILABILITY'!P764+'RAP TEMPLATE-GAS AVAILABILITY'!Q764+'RAP TEMPLATE-GAS AVAILABILITY'!R764)</f>
        <v>53.774121582733812</v>
      </c>
    </row>
    <row r="766" spans="1:29" ht="15.75" x14ac:dyDescent="0.25">
      <c r="A766" s="32">
        <v>64223</v>
      </c>
      <c r="B766" s="14">
        <f>CHOOSE(CONTROL!$C$42, 53.628, 53.628) * CHOOSE(CONTROL!$C$21, $C$9, 100%, $E$9)</f>
        <v>53.628</v>
      </c>
      <c r="C766" s="14">
        <f>CHOOSE(CONTROL!$C$42, 53.6333, 53.6333) * CHOOSE(CONTROL!$C$21, $C$9, 100%, $E$9)</f>
        <v>53.633299999999998</v>
      </c>
      <c r="D766" s="14">
        <f>CHOOSE(CONTROL!$C$42, 53.8589, 53.8589) * CHOOSE(CONTROL!$C$21, $C$9, 100%, $E$9)</f>
        <v>53.858899999999998</v>
      </c>
      <c r="E766" s="14">
        <f>CHOOSE(CONTROL!$C$42, 53.888, 53.888) * CHOOSE(CONTROL!$C$21, $C$9, 100%, $E$9)</f>
        <v>53.887999999999998</v>
      </c>
      <c r="F766" s="14">
        <f>CHOOSE(CONTROL!$C$42, 53.6574, 53.6574)*CHOOSE(CONTROL!$C$21, $C$9, 100%, $E$9)</f>
        <v>53.657400000000003</v>
      </c>
      <c r="G766" s="14">
        <f>CHOOSE(CONTROL!$C$42, 53.6746, 53.6746)*CHOOSE(CONTROL!$C$21, $C$9, 100%, $E$9)</f>
        <v>53.674599999999998</v>
      </c>
      <c r="H766" s="14">
        <f>CHOOSE(CONTROL!$C$42, 53.8785, 53.8785) * CHOOSE(CONTROL!$C$21, $C$9, 100%, $E$9)</f>
        <v>53.878500000000003</v>
      </c>
      <c r="I766" s="14">
        <f>CHOOSE(CONTROL!$C$42, 53.8256, 53.8256)* CHOOSE(CONTROL!$C$21, $C$9, 100%, $E$9)</f>
        <v>53.825600000000001</v>
      </c>
      <c r="J766" s="14">
        <f>CHOOSE(CONTROL!$C$42, 53.6504, 53.6504)* CHOOSE(CONTROL!$C$21, $C$9, 100%, $E$9)</f>
        <v>53.650399999999998</v>
      </c>
      <c r="K766" s="53">
        <f>CHOOSE(CONTROL!$C$42, 53.8217, 53.8217) * CHOOSE(CONTROL!$C$21, $C$9, 100%, $E$9)</f>
        <v>53.8217</v>
      </c>
      <c r="L766" s="14">
        <f>CHOOSE(CONTROL!$C$42, 54.4655, 54.4655) * CHOOSE(CONTROL!$C$21, $C$9, 100%, $E$9)</f>
        <v>54.465499999999999</v>
      </c>
      <c r="M766" s="14">
        <f>CHOOSE(CONTROL!$C$42, 52.5588, 52.5588) * CHOOSE(CONTROL!$C$21, $C$9, 100%, $E$9)</f>
        <v>52.558799999999998</v>
      </c>
      <c r="N766" s="14">
        <f>CHOOSE(CONTROL!$C$42, 52.5757, 52.5757) * CHOOSE(CONTROL!$C$21, $C$9, 100%, $E$9)</f>
        <v>52.575699999999998</v>
      </c>
      <c r="O766" s="14">
        <f>CHOOSE(CONTROL!$C$42, 52.7822, 52.7822) * CHOOSE(CONTROL!$C$21, $C$9, 100%, $E$9)</f>
        <v>52.782200000000003</v>
      </c>
      <c r="P766" s="14">
        <f>CHOOSE(CONTROL!$C$42, 52.7272, 52.7272) * CHOOSE(CONTROL!$C$21, $C$9, 100%, $E$9)</f>
        <v>52.727200000000003</v>
      </c>
      <c r="Q766" s="14">
        <f>CHOOSE(CONTROL!$C$42, 53.3769, 53.3769) * CHOOSE(CONTROL!$C$21, $C$9, 100%, $E$9)</f>
        <v>53.376899999999999</v>
      </c>
      <c r="R766" s="14">
        <f>CHOOSE(CONTROL!$C$42, 54.0974, 54.0974) * CHOOSE(CONTROL!$C$21, $C$9, 100%, $E$9)</f>
        <v>54.0974</v>
      </c>
      <c r="S766" s="14">
        <f>CHOOSE(CONTROL!$C$42, 51.5222, 51.5222) * CHOOSE(CONTROL!$C$21, $C$9, 100%, $E$9)</f>
        <v>51.522199999999998</v>
      </c>
      <c r="T7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66" s="57">
        <f>(1000*CHOOSE(CONTROL!$C$42, 695, 695)*CHOOSE(CONTROL!$C$42, 0.5599, 0.5599)*CHOOSE(CONTROL!$C$42, 31, 31))/1000000</f>
        <v>12.063045499999998</v>
      </c>
      <c r="V766" s="57">
        <f>(1000*CHOOSE(CONTROL!$C$42, 500, 500)*CHOOSE(CONTROL!$C$42, 0.275, 0.275)*CHOOSE(CONTROL!$C$42, 31, 31))/1000000</f>
        <v>4.2625000000000002</v>
      </c>
      <c r="W766" s="57">
        <f>(1000*CHOOSE(CONTROL!$C$42, 0.1146, 0.1146)*CHOOSE(CONTROL!$C$42, 121.5, 121.5)*CHOOSE(CONTROL!$C$42, 31, 31))/1000000</f>
        <v>0.43164089999999994</v>
      </c>
      <c r="X766" s="57">
        <f>(31*0.1790888*245000/1000000)+(31*0.2374*100000/1000000)</f>
        <v>2.0961194359999999</v>
      </c>
      <c r="Y766" s="57"/>
      <c r="Z766" s="14"/>
      <c r="AA766" s="56"/>
      <c r="AB766" s="50">
        <f>(B766*131.881+C766*277.167+D766*79.08+E766*125.872+F766*40+G766*185+H766*0+I766*100+J766*300)/(131.881+277.167+79.08+125.872+0+40+185+100+300)</f>
        <v>53.699616042857137</v>
      </c>
      <c r="AC766" s="45">
        <f>(M766*'RAP TEMPLATE-GAS AVAILABILITY'!O765+N766*'RAP TEMPLATE-GAS AVAILABILITY'!P765+O766*'RAP TEMPLATE-GAS AVAILABILITY'!Q765+P766*'RAP TEMPLATE-GAS AVAILABILITY'!R765)/('RAP TEMPLATE-GAS AVAILABILITY'!O765+'RAP TEMPLATE-GAS AVAILABILITY'!P765+'RAP TEMPLATE-GAS AVAILABILITY'!Q765+'RAP TEMPLATE-GAS AVAILABILITY'!R765)</f>
        <v>52.685256115107912</v>
      </c>
    </row>
    <row r="767" spans="1:29" ht="15.75" x14ac:dyDescent="0.25">
      <c r="A767" s="32">
        <v>64253</v>
      </c>
      <c r="B767" s="14">
        <f>CHOOSE(CONTROL!$C$42, 55.0402, 55.0402) * CHOOSE(CONTROL!$C$21, $C$9, 100%, $E$9)</f>
        <v>55.040199999999999</v>
      </c>
      <c r="C767" s="14">
        <f>CHOOSE(CONTROL!$C$42, 55.0452, 55.0452) * CHOOSE(CONTROL!$C$21, $C$9, 100%, $E$9)</f>
        <v>55.045200000000001</v>
      </c>
      <c r="D767" s="14">
        <f>CHOOSE(CONTROL!$C$42, 55.1194, 55.1194) * CHOOSE(CONTROL!$C$21, $C$9, 100%, $E$9)</f>
        <v>55.119399999999999</v>
      </c>
      <c r="E767" s="14">
        <f>CHOOSE(CONTROL!$C$42, 55.1535, 55.1535) * CHOOSE(CONTROL!$C$21, $C$9, 100%, $E$9)</f>
        <v>55.153500000000001</v>
      </c>
      <c r="F767" s="14">
        <f>CHOOSE(CONTROL!$C$42, 55.0762, 55.0762)*CHOOSE(CONTROL!$C$21, $C$9, 100%, $E$9)</f>
        <v>55.0762</v>
      </c>
      <c r="G767" s="14">
        <f>CHOOSE(CONTROL!$C$42, 55.0937, 55.0937)*CHOOSE(CONTROL!$C$21, $C$9, 100%, $E$9)</f>
        <v>55.093699999999998</v>
      </c>
      <c r="H767" s="14">
        <f>CHOOSE(CONTROL!$C$42, 55.1427, 55.1427) * CHOOSE(CONTROL!$C$21, $C$9, 100%, $E$9)</f>
        <v>55.142699999999998</v>
      </c>
      <c r="I767" s="14">
        <f>CHOOSE(CONTROL!$C$42, 55.24, 55.24)* CHOOSE(CONTROL!$C$21, $C$9, 100%, $E$9)</f>
        <v>55.24</v>
      </c>
      <c r="J767" s="14">
        <f>CHOOSE(CONTROL!$C$42, 55.0692, 55.0692)* CHOOSE(CONTROL!$C$21, $C$9, 100%, $E$9)</f>
        <v>55.069200000000002</v>
      </c>
      <c r="K767" s="53">
        <f>CHOOSE(CONTROL!$C$42, 55.2361, 55.2361) * CHOOSE(CONTROL!$C$21, $C$9, 100%, $E$9)</f>
        <v>55.2361</v>
      </c>
      <c r="L767" s="14">
        <f>CHOOSE(CONTROL!$C$42, 55.7297, 55.7297) * CHOOSE(CONTROL!$C$21, $C$9, 100%, $E$9)</f>
        <v>55.729700000000001</v>
      </c>
      <c r="M767" s="14">
        <f>CHOOSE(CONTROL!$C$42, 53.9486, 53.9486) * CHOOSE(CONTROL!$C$21, $C$9, 100%, $E$9)</f>
        <v>53.948599999999999</v>
      </c>
      <c r="N767" s="14">
        <f>CHOOSE(CONTROL!$C$42, 53.9657, 53.9657) * CHOOSE(CONTROL!$C$21, $C$9, 100%, $E$9)</f>
        <v>53.965699999999998</v>
      </c>
      <c r="O767" s="14">
        <f>CHOOSE(CONTROL!$C$42, 54.0206, 54.0206) * CHOOSE(CONTROL!$C$21, $C$9, 100%, $E$9)</f>
        <v>54.020600000000002</v>
      </c>
      <c r="P767" s="14">
        <f>CHOOSE(CONTROL!$C$42, 54.1125, 54.1125) * CHOOSE(CONTROL!$C$21, $C$9, 100%, $E$9)</f>
        <v>54.112499999999997</v>
      </c>
      <c r="Q767" s="14">
        <f>CHOOSE(CONTROL!$C$42, 54.6153, 54.6153) * CHOOSE(CONTROL!$C$21, $C$9, 100%, $E$9)</f>
        <v>54.615299999999998</v>
      </c>
      <c r="R767" s="14">
        <f>CHOOSE(CONTROL!$C$42, 55.3388, 55.3388) * CHOOSE(CONTROL!$C$21, $C$9, 100%, $E$9)</f>
        <v>55.338799999999999</v>
      </c>
      <c r="S767" s="14">
        <f>CHOOSE(CONTROL!$C$42, 52.8795, 52.8795) * CHOOSE(CONTROL!$C$21, $C$9, 100%, $E$9)</f>
        <v>52.8795</v>
      </c>
      <c r="T7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67" s="57">
        <f>(1000*CHOOSE(CONTROL!$C$42, 695, 695)*CHOOSE(CONTROL!$C$42, 0.5599, 0.5599)*CHOOSE(CONTROL!$C$42, 30, 30))/1000000</f>
        <v>11.673914999999997</v>
      </c>
      <c r="V767" s="57">
        <f>(1000*CHOOSE(CONTROL!$C$42, 500, 500)*CHOOSE(CONTROL!$C$42, 0.275, 0.275)*CHOOSE(CONTROL!$C$42, 30, 30))/1000000</f>
        <v>4.125</v>
      </c>
      <c r="W767" s="57">
        <f>(1000*CHOOSE(CONTROL!$C$42, 0.1146, 0.1146)*CHOOSE(CONTROL!$C$42, 121.5, 121.5)*CHOOSE(CONTROL!$C$42, 30, 30))/1000000</f>
        <v>0.417717</v>
      </c>
      <c r="X767" s="57">
        <f>(30*0.1790888*100000/1000000)+(30*0.2374*100000/1000000)</f>
        <v>1.2494664</v>
      </c>
      <c r="Y767" s="57"/>
      <c r="Z767" s="14"/>
      <c r="AA767" s="56"/>
      <c r="AB767" s="50">
        <f>(B767*122.58+C767*297.941+D767*89.177+E767*40.302+F767*40+G767*160+H767*0+I767*100+J767*300)/(122.58+297.941+89.177+40.302+0+40+160+100+300)</f>
        <v>55.085242382608698</v>
      </c>
      <c r="AC767" s="45">
        <f>(M767*'RAP TEMPLATE-GAS AVAILABILITY'!O766+N767*'RAP TEMPLATE-GAS AVAILABILITY'!P766+O767*'RAP TEMPLATE-GAS AVAILABILITY'!Q766+P767*'RAP TEMPLATE-GAS AVAILABILITY'!R766)/('RAP TEMPLATE-GAS AVAILABILITY'!O766+'RAP TEMPLATE-GAS AVAILABILITY'!P766+'RAP TEMPLATE-GAS AVAILABILITY'!Q766+'RAP TEMPLATE-GAS AVAILABILITY'!R766)</f>
        <v>54.005800000000001</v>
      </c>
    </row>
    <row r="768" spans="1:29" ht="15.75" x14ac:dyDescent="0.25">
      <c r="A768" s="32">
        <v>64284</v>
      </c>
      <c r="B768" s="14">
        <f>CHOOSE(CONTROL!$C$42, 58.7921, 58.7921) * CHOOSE(CONTROL!$C$21, $C$9, 100%, $E$9)</f>
        <v>58.792099999999998</v>
      </c>
      <c r="C768" s="14">
        <f>CHOOSE(CONTROL!$C$42, 58.7972, 58.7972) * CHOOSE(CONTROL!$C$21, $C$9, 100%, $E$9)</f>
        <v>58.797199999999997</v>
      </c>
      <c r="D768" s="14">
        <f>CHOOSE(CONTROL!$C$42, 58.8714, 58.8714) * CHOOSE(CONTROL!$C$21, $C$9, 100%, $E$9)</f>
        <v>58.871400000000001</v>
      </c>
      <c r="E768" s="14">
        <f>CHOOSE(CONTROL!$C$42, 58.9055, 58.9055) * CHOOSE(CONTROL!$C$21, $C$9, 100%, $E$9)</f>
        <v>58.905500000000004</v>
      </c>
      <c r="F768" s="14">
        <f>CHOOSE(CONTROL!$C$42, 58.8305, 58.8305)*CHOOSE(CONTROL!$C$21, $C$9, 100%, $E$9)</f>
        <v>58.830500000000001</v>
      </c>
      <c r="G768" s="14">
        <f>CHOOSE(CONTROL!$C$42, 58.8487, 58.8487)*CHOOSE(CONTROL!$C$21, $C$9, 100%, $E$9)</f>
        <v>58.848700000000001</v>
      </c>
      <c r="H768" s="14">
        <f>CHOOSE(CONTROL!$C$42, 58.8947, 58.8947) * CHOOSE(CONTROL!$C$21, $C$9, 100%, $E$9)</f>
        <v>58.8947</v>
      </c>
      <c r="I768" s="14">
        <f>CHOOSE(CONTROL!$C$42, 59.0037, 59.0037)* CHOOSE(CONTROL!$C$21, $C$9, 100%, $E$9)</f>
        <v>59.003700000000002</v>
      </c>
      <c r="J768" s="14">
        <f>CHOOSE(CONTROL!$C$42, 58.8235, 58.8235)* CHOOSE(CONTROL!$C$21, $C$9, 100%, $E$9)</f>
        <v>58.823500000000003</v>
      </c>
      <c r="K768" s="53">
        <f>CHOOSE(CONTROL!$C$42, 58.9998, 58.9998) * CHOOSE(CONTROL!$C$21, $C$9, 100%, $E$9)</f>
        <v>58.9998</v>
      </c>
      <c r="L768" s="14">
        <f>CHOOSE(CONTROL!$C$42, 59.4817, 59.4817) * CHOOSE(CONTROL!$C$21, $C$9, 100%, $E$9)</f>
        <v>59.481699999999996</v>
      </c>
      <c r="M768" s="14">
        <f>CHOOSE(CONTROL!$C$42, 57.626, 57.626) * CHOOSE(CONTROL!$C$21, $C$9, 100%, $E$9)</f>
        <v>57.625999999999998</v>
      </c>
      <c r="N768" s="14">
        <f>CHOOSE(CONTROL!$C$42, 57.6437, 57.6437) * CHOOSE(CONTROL!$C$21, $C$9, 100%, $E$9)</f>
        <v>57.643700000000003</v>
      </c>
      <c r="O768" s="14">
        <f>CHOOSE(CONTROL!$C$42, 57.6957, 57.6957) * CHOOSE(CONTROL!$C$21, $C$9, 100%, $E$9)</f>
        <v>57.695700000000002</v>
      </c>
      <c r="P768" s="14">
        <f>CHOOSE(CONTROL!$C$42, 57.7988, 57.7988) * CHOOSE(CONTROL!$C$21, $C$9, 100%, $E$9)</f>
        <v>57.7988</v>
      </c>
      <c r="Q768" s="14">
        <f>CHOOSE(CONTROL!$C$42, 58.2904, 58.2904) * CHOOSE(CONTROL!$C$21, $C$9, 100%, $E$9)</f>
        <v>58.290399999999998</v>
      </c>
      <c r="R768" s="14">
        <f>CHOOSE(CONTROL!$C$42, 59.0231, 59.0231) * CHOOSE(CONTROL!$C$21, $C$9, 100%, $E$9)</f>
        <v>59.023099999999999</v>
      </c>
      <c r="S768" s="14">
        <f>CHOOSE(CONTROL!$C$42, 56.4848, 56.4848) * CHOOSE(CONTROL!$C$21, $C$9, 100%, $E$9)</f>
        <v>56.4848</v>
      </c>
      <c r="T7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68" s="57">
        <f>(1000*CHOOSE(CONTROL!$C$42, 695, 695)*CHOOSE(CONTROL!$C$42, 0.5599, 0.5599)*CHOOSE(CONTROL!$C$42, 31, 31))/1000000</f>
        <v>12.063045499999998</v>
      </c>
      <c r="V768" s="57">
        <f>(1000*CHOOSE(CONTROL!$C$42, 500, 500)*CHOOSE(CONTROL!$C$42, 0.275, 0.275)*CHOOSE(CONTROL!$C$42, 31, 31))/1000000</f>
        <v>4.2625000000000002</v>
      </c>
      <c r="W768" s="57">
        <f>(1000*CHOOSE(CONTROL!$C$42, 0.1146, 0.1146)*CHOOSE(CONTROL!$C$42, 121.5, 121.5)*CHOOSE(CONTROL!$C$42, 31, 31))/1000000</f>
        <v>0.43164089999999994</v>
      </c>
      <c r="X768" s="57">
        <f>(31*0.1790888*100000/1000000)+(31*0.2374*100000/1000000)</f>
        <v>1.2911152800000001</v>
      </c>
      <c r="Y768" s="57"/>
      <c r="Z768" s="14"/>
      <c r="AA768" s="56"/>
      <c r="AB768" s="50">
        <f>(B768*122.58+C768*297.941+D768*89.177+E768*40.302+F768*40+G768*160+H768*0+I768*100+J768*300)/(122.58+297.941+89.177+40.302+0+40+160+100+300)</f>
        <v>58.839346506086954</v>
      </c>
      <c r="AC768" s="45">
        <f>(M768*'RAP TEMPLATE-GAS AVAILABILITY'!O767+N768*'RAP TEMPLATE-GAS AVAILABILITY'!P767+O768*'RAP TEMPLATE-GAS AVAILABILITY'!Q767+P768*'RAP TEMPLATE-GAS AVAILABILITY'!R767)/('RAP TEMPLATE-GAS AVAILABILITY'!O767+'RAP TEMPLATE-GAS AVAILABILITY'!P767+'RAP TEMPLATE-GAS AVAILABILITY'!Q767+'RAP TEMPLATE-GAS AVAILABILITY'!R767)</f>
        <v>57.683472661870503</v>
      </c>
    </row>
    <row r="769" spans="1:29" ht="15.75" x14ac:dyDescent="0.25">
      <c r="A769" s="32">
        <v>64315</v>
      </c>
      <c r="B769" s="14">
        <f>CHOOSE(CONTROL!$C$42, 63.6652, 63.6652) * CHOOSE(CONTROL!$C$21, $C$9, 100%, $E$9)</f>
        <v>63.665199999999999</v>
      </c>
      <c r="C769" s="14">
        <f>CHOOSE(CONTROL!$C$42, 63.6703, 63.6703) * CHOOSE(CONTROL!$C$21, $C$9, 100%, $E$9)</f>
        <v>63.670299999999997</v>
      </c>
      <c r="D769" s="14">
        <f>CHOOSE(CONTROL!$C$42, 63.7471, 63.7471) * CHOOSE(CONTROL!$C$21, $C$9, 100%, $E$9)</f>
        <v>63.747100000000003</v>
      </c>
      <c r="E769" s="14">
        <f>CHOOSE(CONTROL!$C$42, 63.7812, 63.7812) * CHOOSE(CONTROL!$C$21, $C$9, 100%, $E$9)</f>
        <v>63.781199999999998</v>
      </c>
      <c r="F769" s="14">
        <f>CHOOSE(CONTROL!$C$42, 63.69, 63.69)*CHOOSE(CONTROL!$C$21, $C$9, 100%, $E$9)</f>
        <v>63.69</v>
      </c>
      <c r="G769" s="14">
        <f>CHOOSE(CONTROL!$C$42, 63.7079, 63.7079)*CHOOSE(CONTROL!$C$21, $C$9, 100%, $E$9)</f>
        <v>63.707900000000002</v>
      </c>
      <c r="H769" s="14">
        <f>CHOOSE(CONTROL!$C$42, 63.7704, 63.7704) * CHOOSE(CONTROL!$C$21, $C$9, 100%, $E$9)</f>
        <v>63.770400000000002</v>
      </c>
      <c r="I769" s="14">
        <f>CHOOSE(CONTROL!$C$42, 63.8983, 63.8983)* CHOOSE(CONTROL!$C$21, $C$9, 100%, $E$9)</f>
        <v>63.898299999999999</v>
      </c>
      <c r="J769" s="14">
        <f>CHOOSE(CONTROL!$C$42, 63.683, 63.683)* CHOOSE(CONTROL!$C$21, $C$9, 100%, $E$9)</f>
        <v>63.683</v>
      </c>
      <c r="K769" s="53">
        <f>CHOOSE(CONTROL!$C$42, 63.8944, 63.8944) * CHOOSE(CONTROL!$C$21, $C$9, 100%, $E$9)</f>
        <v>63.894399999999997</v>
      </c>
      <c r="L769" s="14">
        <f>CHOOSE(CONTROL!$C$42, 64.3574, 64.3574) * CHOOSE(CONTROL!$C$21, $C$9, 100%, $E$9)</f>
        <v>64.357399999999998</v>
      </c>
      <c r="M769" s="14">
        <f>CHOOSE(CONTROL!$C$42, 62.3858, 62.3858) * CHOOSE(CONTROL!$C$21, $C$9, 100%, $E$9)</f>
        <v>62.385800000000003</v>
      </c>
      <c r="N769" s="14">
        <f>CHOOSE(CONTROL!$C$42, 62.4034, 62.4034) * CHOOSE(CONTROL!$C$21, $C$9, 100%, $E$9)</f>
        <v>62.403399999999998</v>
      </c>
      <c r="O769" s="14">
        <f>CHOOSE(CONTROL!$C$42, 62.4715, 62.4715) * CHOOSE(CONTROL!$C$21, $C$9, 100%, $E$9)</f>
        <v>62.471499999999999</v>
      </c>
      <c r="P769" s="14">
        <f>CHOOSE(CONTROL!$C$42, 62.5929, 62.5929) * CHOOSE(CONTROL!$C$21, $C$9, 100%, $E$9)</f>
        <v>62.5929</v>
      </c>
      <c r="Q769" s="14">
        <f>CHOOSE(CONTROL!$C$42, 63.0662, 63.0662) * CHOOSE(CONTROL!$C$21, $C$9, 100%, $E$9)</f>
        <v>63.066200000000002</v>
      </c>
      <c r="R769" s="14">
        <f>CHOOSE(CONTROL!$C$42, 63.8109, 63.8109) * CHOOSE(CONTROL!$C$21, $C$9, 100%, $E$9)</f>
        <v>63.810899999999997</v>
      </c>
      <c r="S769" s="14">
        <f>CHOOSE(CONTROL!$C$42, 61.1674, 61.1674) * CHOOSE(CONTROL!$C$21, $C$9, 100%, $E$9)</f>
        <v>61.167400000000001</v>
      </c>
      <c r="T76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69" s="57">
        <f>(1000*CHOOSE(CONTROL!$C$42, 695, 695)*CHOOSE(CONTROL!$C$42, 0.5599, 0.5599)*CHOOSE(CONTROL!$C$42, 31, 31))/1000000</f>
        <v>12.063045499999998</v>
      </c>
      <c r="V769" s="57">
        <f>(1000*CHOOSE(CONTROL!$C$42, 500, 500)*CHOOSE(CONTROL!$C$42, 0.275, 0.275)*CHOOSE(CONTROL!$C$42, 31, 31))/1000000</f>
        <v>4.2625000000000002</v>
      </c>
      <c r="W769" s="57">
        <f>(1000*CHOOSE(CONTROL!$C$42, 0.1146, 0.1146)*CHOOSE(CONTROL!$C$42, 121.5, 121.5)*CHOOSE(CONTROL!$C$42, 31, 31))/1000000</f>
        <v>0.43164089999999994</v>
      </c>
      <c r="X769" s="57">
        <f>(31*0.1790888*100000/1000000)+(31*0.2374*100000/1000000)</f>
        <v>1.2911152800000001</v>
      </c>
      <c r="Y769" s="57"/>
      <c r="Z769" s="14"/>
      <c r="AA769" s="56"/>
      <c r="AB769" s="50">
        <f>(B769*122.58+C769*297.941+D769*89.177+E769*40.302+F769*40+G769*160+H769*0+I769*100+J769*300)/(122.58+297.941+89.177+40.302+0+40+160+100+300)</f>
        <v>63.708654023826085</v>
      </c>
      <c r="AC769" s="45">
        <f>(M769*'RAP TEMPLATE-GAS AVAILABILITY'!O768+N769*'RAP TEMPLATE-GAS AVAILABILITY'!P768+O769*'RAP TEMPLATE-GAS AVAILABILITY'!Q768+P769*'RAP TEMPLATE-GAS AVAILABILITY'!R768)/('RAP TEMPLATE-GAS AVAILABILITY'!O768+'RAP TEMPLATE-GAS AVAILABILITY'!P768+'RAP TEMPLATE-GAS AVAILABILITY'!Q768+'RAP TEMPLATE-GAS AVAILABILITY'!R768)</f>
        <v>62.455453956834525</v>
      </c>
    </row>
    <row r="770" spans="1:29" ht="15.75" x14ac:dyDescent="0.25">
      <c r="A770" s="32">
        <v>64344</v>
      </c>
      <c r="B770" s="14">
        <f>CHOOSE(CONTROL!$C$42, 64.7984, 64.7984) * CHOOSE(CONTROL!$C$21, $C$9, 100%, $E$9)</f>
        <v>64.798400000000001</v>
      </c>
      <c r="C770" s="14">
        <f>CHOOSE(CONTROL!$C$42, 64.8035, 64.8035) * CHOOSE(CONTROL!$C$21, $C$9, 100%, $E$9)</f>
        <v>64.8035</v>
      </c>
      <c r="D770" s="14">
        <f>CHOOSE(CONTROL!$C$42, 64.8803, 64.8803) * CHOOSE(CONTROL!$C$21, $C$9, 100%, $E$9)</f>
        <v>64.880300000000005</v>
      </c>
      <c r="E770" s="14">
        <f>CHOOSE(CONTROL!$C$42, 64.9144, 64.9144) * CHOOSE(CONTROL!$C$21, $C$9, 100%, $E$9)</f>
        <v>64.914400000000001</v>
      </c>
      <c r="F770" s="14">
        <f>CHOOSE(CONTROL!$C$42, 64.8227, 64.8227)*CHOOSE(CONTROL!$C$21, $C$9, 100%, $E$9)</f>
        <v>64.822699999999998</v>
      </c>
      <c r="G770" s="14">
        <f>CHOOSE(CONTROL!$C$42, 64.8406, 64.8406)*CHOOSE(CONTROL!$C$21, $C$9, 100%, $E$9)</f>
        <v>64.840599999999995</v>
      </c>
      <c r="H770" s="14">
        <f>CHOOSE(CONTROL!$C$42, 64.9036, 64.9036) * CHOOSE(CONTROL!$C$21, $C$9, 100%, $E$9)</f>
        <v>64.903599999999997</v>
      </c>
      <c r="I770" s="14">
        <f>CHOOSE(CONTROL!$C$42, 65.0351, 65.0351)* CHOOSE(CONTROL!$C$21, $C$9, 100%, $E$9)</f>
        <v>65.0351</v>
      </c>
      <c r="J770" s="14">
        <f>CHOOSE(CONTROL!$C$42, 64.8157, 64.8157)* CHOOSE(CONTROL!$C$21, $C$9, 100%, $E$9)</f>
        <v>64.815700000000007</v>
      </c>
      <c r="K770" s="53">
        <f>CHOOSE(CONTROL!$C$42, 65.0312, 65.0312) * CHOOSE(CONTROL!$C$21, $C$9, 100%, $E$9)</f>
        <v>65.031199999999998</v>
      </c>
      <c r="L770" s="14">
        <f>CHOOSE(CONTROL!$C$42, 65.4906, 65.4906) * CHOOSE(CONTROL!$C$21, $C$9, 100%, $E$9)</f>
        <v>65.490600000000001</v>
      </c>
      <c r="M770" s="14">
        <f>CHOOSE(CONTROL!$C$42, 63.4954, 63.4954) * CHOOSE(CONTROL!$C$21, $C$9, 100%, $E$9)</f>
        <v>63.495399999999997</v>
      </c>
      <c r="N770" s="14">
        <f>CHOOSE(CONTROL!$C$42, 63.5129, 63.5129) * CHOOSE(CONTROL!$C$21, $C$9, 100%, $E$9)</f>
        <v>63.512900000000002</v>
      </c>
      <c r="O770" s="14">
        <f>CHOOSE(CONTROL!$C$42, 63.5814, 63.5814) * CHOOSE(CONTROL!$C$21, $C$9, 100%, $E$9)</f>
        <v>63.581400000000002</v>
      </c>
      <c r="P770" s="14">
        <f>CHOOSE(CONTROL!$C$42, 63.7062, 63.7062) * CHOOSE(CONTROL!$C$21, $C$9, 100%, $E$9)</f>
        <v>63.706200000000003</v>
      </c>
      <c r="Q770" s="14">
        <f>CHOOSE(CONTROL!$C$42, 64.1761, 64.1761) * CHOOSE(CONTROL!$C$21, $C$9, 100%, $E$9)</f>
        <v>64.176100000000005</v>
      </c>
      <c r="R770" s="14">
        <f>CHOOSE(CONTROL!$C$42, 64.9236, 64.9236) * CHOOSE(CONTROL!$C$21, $C$9, 100%, $E$9)</f>
        <v>64.923599999999993</v>
      </c>
      <c r="S770" s="14">
        <f>CHOOSE(CONTROL!$C$42, 62.2562, 62.2562) * CHOOSE(CONTROL!$C$21, $C$9, 100%, $E$9)</f>
        <v>62.2562</v>
      </c>
      <c r="T77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70" s="57">
        <f>(1000*CHOOSE(CONTROL!$C$42, 695, 695)*CHOOSE(CONTROL!$C$42, 0.5599, 0.5599)*CHOOSE(CONTROL!$C$42, 29, 29))/1000000</f>
        <v>11.284784499999999</v>
      </c>
      <c r="V770" s="57">
        <f>(1000*CHOOSE(CONTROL!$C$42, 500, 500)*CHOOSE(CONTROL!$C$42, 0.275, 0.275)*CHOOSE(CONTROL!$C$42, 29, 29))/1000000</f>
        <v>3.9874999999999998</v>
      </c>
      <c r="W770" s="57">
        <f>(1000*CHOOSE(CONTROL!$C$42, 0.1146, 0.1146)*CHOOSE(CONTROL!$C$42, 121.5, 121.5)*CHOOSE(CONTROL!$C$42, 29, 29))/1000000</f>
        <v>0.40379309999999996</v>
      </c>
      <c r="X770" s="57">
        <f>(29*0.1790888*100000/1000000)+(29*0.2374*100000/1000000)</f>
        <v>1.2078175199999999</v>
      </c>
      <c r="Y770" s="57"/>
      <c r="Z770" s="14"/>
      <c r="AA770" s="56"/>
      <c r="AB770" s="50">
        <f>(B770*122.58+C770*297.941+D770*89.177+E770*40.302+F770*40+G770*160+H770*0+I770*100+J770*300)/(122.58+297.941+89.177+40.302+0+40+160+100+300)</f>
        <v>64.841949676000013</v>
      </c>
      <c r="AC770" s="45">
        <f>(M770*'RAP TEMPLATE-GAS AVAILABILITY'!O769+N770*'RAP TEMPLATE-GAS AVAILABILITY'!P769+O770*'RAP TEMPLATE-GAS AVAILABILITY'!Q769+P770*'RAP TEMPLATE-GAS AVAILABILITY'!R769)/('RAP TEMPLATE-GAS AVAILABILITY'!O769+'RAP TEMPLATE-GAS AVAILABILITY'!P769+'RAP TEMPLATE-GAS AVAILABILITY'!Q769+'RAP TEMPLATE-GAS AVAILABILITY'!R769)</f>
        <v>63.565716546762594</v>
      </c>
    </row>
    <row r="771" spans="1:29" ht="15.75" x14ac:dyDescent="0.25">
      <c r="A771" s="32">
        <v>64375</v>
      </c>
      <c r="B771" s="14">
        <f>CHOOSE(CONTROL!$C$42, 62.959, 62.959) * CHOOSE(CONTROL!$C$21, $C$9, 100%, $E$9)</f>
        <v>62.959000000000003</v>
      </c>
      <c r="C771" s="14">
        <f>CHOOSE(CONTROL!$C$42, 62.9641, 62.9641) * CHOOSE(CONTROL!$C$21, $C$9, 100%, $E$9)</f>
        <v>62.964100000000002</v>
      </c>
      <c r="D771" s="14">
        <f>CHOOSE(CONTROL!$C$42, 63.0409, 63.0409) * CHOOSE(CONTROL!$C$21, $C$9, 100%, $E$9)</f>
        <v>63.040900000000001</v>
      </c>
      <c r="E771" s="14">
        <f>CHOOSE(CONTROL!$C$42, 63.075, 63.075) * CHOOSE(CONTROL!$C$21, $C$9, 100%, $E$9)</f>
        <v>63.075000000000003</v>
      </c>
      <c r="F771" s="14">
        <f>CHOOSE(CONTROL!$C$42, 62.9825, 62.9825)*CHOOSE(CONTROL!$C$21, $C$9, 100%, $E$9)</f>
        <v>62.982500000000002</v>
      </c>
      <c r="G771" s="14">
        <f>CHOOSE(CONTROL!$C$42, 63.0001, 63.0001)*CHOOSE(CONTROL!$C$21, $C$9, 100%, $E$9)</f>
        <v>63.000100000000003</v>
      </c>
      <c r="H771" s="14">
        <f>CHOOSE(CONTROL!$C$42, 63.0642, 63.0642) * CHOOSE(CONTROL!$C$21, $C$9, 100%, $E$9)</f>
        <v>63.0642</v>
      </c>
      <c r="I771" s="14">
        <f>CHOOSE(CONTROL!$C$42, 63.1899, 63.1899)* CHOOSE(CONTROL!$C$21, $C$9, 100%, $E$9)</f>
        <v>63.189900000000002</v>
      </c>
      <c r="J771" s="14">
        <f>CHOOSE(CONTROL!$C$42, 62.9755, 62.9755)* CHOOSE(CONTROL!$C$21, $C$9, 100%, $E$9)</f>
        <v>62.975499999999997</v>
      </c>
      <c r="K771" s="53">
        <f>CHOOSE(CONTROL!$C$42, 63.186, 63.186) * CHOOSE(CONTROL!$C$21, $C$9, 100%, $E$9)</f>
        <v>63.186</v>
      </c>
      <c r="L771" s="14">
        <f>CHOOSE(CONTROL!$C$42, 63.6512, 63.6512) * CHOOSE(CONTROL!$C$21, $C$9, 100%, $E$9)</f>
        <v>63.651200000000003</v>
      </c>
      <c r="M771" s="14">
        <f>CHOOSE(CONTROL!$C$42, 61.6928, 61.6928) * CHOOSE(CONTROL!$C$21, $C$9, 100%, $E$9)</f>
        <v>61.692799999999998</v>
      </c>
      <c r="N771" s="14">
        <f>CHOOSE(CONTROL!$C$42, 61.7101, 61.7101) * CHOOSE(CONTROL!$C$21, $C$9, 100%, $E$9)</f>
        <v>61.710099999999997</v>
      </c>
      <c r="O771" s="14">
        <f>CHOOSE(CONTROL!$C$42, 61.7797, 61.7797) * CHOOSE(CONTROL!$C$21, $C$9, 100%, $E$9)</f>
        <v>61.779699999999998</v>
      </c>
      <c r="P771" s="14">
        <f>CHOOSE(CONTROL!$C$42, 61.899, 61.899) * CHOOSE(CONTROL!$C$21, $C$9, 100%, $E$9)</f>
        <v>61.899000000000001</v>
      </c>
      <c r="Q771" s="14">
        <f>CHOOSE(CONTROL!$C$42, 62.3744, 62.3744) * CHOOSE(CONTROL!$C$21, $C$9, 100%, $E$9)</f>
        <v>62.374400000000001</v>
      </c>
      <c r="R771" s="14">
        <f>CHOOSE(CONTROL!$C$42, 63.1174, 63.1174) * CHOOSE(CONTROL!$C$21, $C$9, 100%, $E$9)</f>
        <v>63.117400000000004</v>
      </c>
      <c r="S771" s="14">
        <f>CHOOSE(CONTROL!$C$42, 60.4888, 60.4888) * CHOOSE(CONTROL!$C$21, $C$9, 100%, $E$9)</f>
        <v>60.488799999999998</v>
      </c>
      <c r="T77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71" s="57">
        <f>(1000*CHOOSE(CONTROL!$C$42, 695, 695)*CHOOSE(CONTROL!$C$42, 0.5599, 0.5599)*CHOOSE(CONTROL!$C$42, 31, 31))/1000000</f>
        <v>12.063045499999998</v>
      </c>
      <c r="V771" s="57">
        <f>(1000*CHOOSE(CONTROL!$C$42, 500, 500)*CHOOSE(CONTROL!$C$42, 0.275, 0.275)*CHOOSE(CONTROL!$C$42, 31, 31))/1000000</f>
        <v>4.2625000000000002</v>
      </c>
      <c r="W771" s="57">
        <f>(1000*CHOOSE(CONTROL!$C$42, 0.1146, 0.1146)*CHOOSE(CONTROL!$C$42, 121.5, 121.5)*CHOOSE(CONTROL!$C$42, 31, 31))/1000000</f>
        <v>0.43164089999999994</v>
      </c>
      <c r="X771" s="57">
        <f>(31*0.1790888*100000/1000000)+(31*0.2374*100000/1000000)</f>
        <v>1.2911152800000001</v>
      </c>
      <c r="Y771" s="57"/>
      <c r="Z771" s="14"/>
      <c r="AA771" s="56"/>
      <c r="AB771" s="50">
        <f>(B771*122.58+C771*297.941+D771*89.177+E771*40.302+F771*40+G771*160+H771*0+I771*100+J771*300)/(122.58+297.941+89.177+40.302+0+40+160+100+300)</f>
        <v>63.001655762956524</v>
      </c>
      <c r="AC771" s="45">
        <f>(M771*'RAP TEMPLATE-GAS AVAILABILITY'!O770+N771*'RAP TEMPLATE-GAS AVAILABILITY'!P770+O771*'RAP TEMPLATE-GAS AVAILABILITY'!Q770+P771*'RAP TEMPLATE-GAS AVAILABILITY'!R770)/('RAP TEMPLATE-GAS AVAILABILITY'!O770+'RAP TEMPLATE-GAS AVAILABILITY'!P770+'RAP TEMPLATE-GAS AVAILABILITY'!Q770+'RAP TEMPLATE-GAS AVAILABILITY'!R770)</f>
        <v>61.762851079136688</v>
      </c>
    </row>
    <row r="772" spans="1:29" ht="15.75" x14ac:dyDescent="0.25">
      <c r="A772" s="32">
        <v>64405</v>
      </c>
      <c r="B772" s="14">
        <f>CHOOSE(CONTROL!$C$42, 62.7715, 62.7715) * CHOOSE(CONTROL!$C$21, $C$9, 100%, $E$9)</f>
        <v>62.771500000000003</v>
      </c>
      <c r="C772" s="14">
        <f>CHOOSE(CONTROL!$C$42, 62.776, 62.776) * CHOOSE(CONTROL!$C$21, $C$9, 100%, $E$9)</f>
        <v>62.776000000000003</v>
      </c>
      <c r="D772" s="14">
        <f>CHOOSE(CONTROL!$C$42, 62.9997, 62.9997) * CHOOSE(CONTROL!$C$21, $C$9, 100%, $E$9)</f>
        <v>62.999699999999997</v>
      </c>
      <c r="E772" s="14">
        <f>CHOOSE(CONTROL!$C$42, 63.0318, 63.0318) * CHOOSE(CONTROL!$C$21, $C$9, 100%, $E$9)</f>
        <v>63.031799999999997</v>
      </c>
      <c r="F772" s="14">
        <f>CHOOSE(CONTROL!$C$42, 62.7992, 62.7992)*CHOOSE(CONTROL!$C$21, $C$9, 100%, $E$9)</f>
        <v>62.799199999999999</v>
      </c>
      <c r="G772" s="14">
        <f>CHOOSE(CONTROL!$C$42, 62.8161, 62.8161)*CHOOSE(CONTROL!$C$21, $C$9, 100%, $E$9)</f>
        <v>62.816099999999999</v>
      </c>
      <c r="H772" s="14">
        <f>CHOOSE(CONTROL!$C$42, 63.0216, 63.0216) * CHOOSE(CONTROL!$C$21, $C$9, 100%, $E$9)</f>
        <v>63.021599999999999</v>
      </c>
      <c r="I772" s="14">
        <f>CHOOSE(CONTROL!$C$42, 62.9974, 62.9974)* CHOOSE(CONTROL!$C$21, $C$9, 100%, $E$9)</f>
        <v>62.997399999999999</v>
      </c>
      <c r="J772" s="14">
        <f>CHOOSE(CONTROL!$C$42, 62.7922, 62.7922)* CHOOSE(CONTROL!$C$21, $C$9, 100%, $E$9)</f>
        <v>62.792200000000001</v>
      </c>
      <c r="K772" s="53">
        <f>CHOOSE(CONTROL!$C$42, 62.9935, 62.9935) * CHOOSE(CONTROL!$C$21, $C$9, 100%, $E$9)</f>
        <v>62.993499999999997</v>
      </c>
      <c r="L772" s="14">
        <f>CHOOSE(CONTROL!$C$42, 63.6086, 63.6086) * CHOOSE(CONTROL!$C$21, $C$9, 100%, $E$9)</f>
        <v>63.608600000000003</v>
      </c>
      <c r="M772" s="14">
        <f>CHOOSE(CONTROL!$C$42, 61.5133, 61.5133) * CHOOSE(CONTROL!$C$21, $C$9, 100%, $E$9)</f>
        <v>61.513300000000001</v>
      </c>
      <c r="N772" s="14">
        <f>CHOOSE(CONTROL!$C$42, 61.5299, 61.5299) * CHOOSE(CONTROL!$C$21, $C$9, 100%, $E$9)</f>
        <v>61.529899999999998</v>
      </c>
      <c r="O772" s="14">
        <f>CHOOSE(CONTROL!$C$42, 61.738, 61.738) * CHOOSE(CONTROL!$C$21, $C$9, 100%, $E$9)</f>
        <v>61.738</v>
      </c>
      <c r="P772" s="14">
        <f>CHOOSE(CONTROL!$C$42, 61.7104, 61.7104) * CHOOSE(CONTROL!$C$21, $C$9, 100%, $E$9)</f>
        <v>61.7104</v>
      </c>
      <c r="Q772" s="14">
        <f>CHOOSE(CONTROL!$C$42, 62.3327, 62.3327) * CHOOSE(CONTROL!$C$21, $C$9, 100%, $E$9)</f>
        <v>62.332700000000003</v>
      </c>
      <c r="R772" s="14">
        <f>CHOOSE(CONTROL!$C$42, 63.0756, 63.0756) * CHOOSE(CONTROL!$C$21, $C$9, 100%, $E$9)</f>
        <v>63.075600000000001</v>
      </c>
      <c r="S772" s="14">
        <f>CHOOSE(CONTROL!$C$42, 60.3079, 60.3079) * CHOOSE(CONTROL!$C$21, $C$9, 100%, $E$9)</f>
        <v>60.307899999999997</v>
      </c>
      <c r="T77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72" s="57">
        <f>(1000*CHOOSE(CONTROL!$C$42, 695, 695)*CHOOSE(CONTROL!$C$42, 0.5599, 0.5599)*CHOOSE(CONTROL!$C$42, 30, 30))/1000000</f>
        <v>11.673914999999997</v>
      </c>
      <c r="V772" s="57">
        <f>(1000*CHOOSE(CONTROL!$C$42, 500, 500)*CHOOSE(CONTROL!$C$42, 0.275, 0.275)*CHOOSE(CONTROL!$C$42, 30, 30))/1000000</f>
        <v>4.125</v>
      </c>
      <c r="W772" s="57">
        <f>(1000*CHOOSE(CONTROL!$C$42, 0.1146, 0.1146)*CHOOSE(CONTROL!$C$42, 121.5, 121.5)*CHOOSE(CONTROL!$C$42, 30, 30))/1000000</f>
        <v>0.417717</v>
      </c>
      <c r="X772" s="57">
        <f>(30*0.1790888*245000/1000000)+(30*0.2374*100000/1000000)</f>
        <v>2.0285026799999999</v>
      </c>
      <c r="Y772" s="57"/>
      <c r="Z772" s="14"/>
      <c r="AA772" s="56"/>
      <c r="AB772" s="50">
        <f>(B772*141.293+C772*267.993+D772*115.016+E772*89.698+F772*40+G772*185+H772*0+I772*100+J772*300)/(141.293+267.993+115.016+89.698+0+40+185+100+300)</f>
        <v>62.843299845924136</v>
      </c>
      <c r="AC772" s="45">
        <f>(M772*'RAP TEMPLATE-GAS AVAILABILITY'!O771+N772*'RAP TEMPLATE-GAS AVAILABILITY'!P771+O772*'RAP TEMPLATE-GAS AVAILABILITY'!Q771+P772*'RAP TEMPLATE-GAS AVAILABILITY'!R771)/('RAP TEMPLATE-GAS AVAILABILITY'!O771+'RAP TEMPLATE-GAS AVAILABILITY'!P771+'RAP TEMPLATE-GAS AVAILABILITY'!Q771+'RAP TEMPLATE-GAS AVAILABILITY'!R771)</f>
        <v>61.644457553956833</v>
      </c>
    </row>
    <row r="773" spans="1:29" ht="15.75" x14ac:dyDescent="0.25">
      <c r="A773" s="32">
        <v>64436</v>
      </c>
      <c r="B773" s="14">
        <f>CHOOSE(CONTROL!$C$42, 63.3269, 63.3269) * CHOOSE(CONTROL!$C$21, $C$9, 100%, $E$9)</f>
        <v>63.326900000000002</v>
      </c>
      <c r="C773" s="14">
        <f>CHOOSE(CONTROL!$C$42, 63.3349, 63.3349) * CHOOSE(CONTROL!$C$21, $C$9, 100%, $E$9)</f>
        <v>63.334899999999998</v>
      </c>
      <c r="D773" s="14">
        <f>CHOOSE(CONTROL!$C$42, 63.5555, 63.5555) * CHOOSE(CONTROL!$C$21, $C$9, 100%, $E$9)</f>
        <v>63.555500000000002</v>
      </c>
      <c r="E773" s="14">
        <f>CHOOSE(CONTROL!$C$42, 63.5869, 63.5869) * CHOOSE(CONTROL!$C$21, $C$9, 100%, $E$9)</f>
        <v>63.5869</v>
      </c>
      <c r="F773" s="14">
        <f>CHOOSE(CONTROL!$C$42, 63.3531, 63.3531)*CHOOSE(CONTROL!$C$21, $C$9, 100%, $E$9)</f>
        <v>63.353099999999998</v>
      </c>
      <c r="G773" s="14">
        <f>CHOOSE(CONTROL!$C$42, 63.3702, 63.3702)*CHOOSE(CONTROL!$C$21, $C$9, 100%, $E$9)</f>
        <v>63.370199999999997</v>
      </c>
      <c r="H773" s="14">
        <f>CHOOSE(CONTROL!$C$42, 63.5756, 63.5756) * CHOOSE(CONTROL!$C$21, $C$9, 100%, $E$9)</f>
        <v>63.575600000000001</v>
      </c>
      <c r="I773" s="14">
        <f>CHOOSE(CONTROL!$C$42, 63.5531, 63.5531)* CHOOSE(CONTROL!$C$21, $C$9, 100%, $E$9)</f>
        <v>63.553100000000001</v>
      </c>
      <c r="J773" s="14">
        <f>CHOOSE(CONTROL!$C$42, 63.3461, 63.3461)* CHOOSE(CONTROL!$C$21, $C$9, 100%, $E$9)</f>
        <v>63.3461</v>
      </c>
      <c r="K773" s="53">
        <f>CHOOSE(CONTROL!$C$42, 63.5492, 63.5492) * CHOOSE(CONTROL!$C$21, $C$9, 100%, $E$9)</f>
        <v>63.549199999999999</v>
      </c>
      <c r="L773" s="14">
        <f>CHOOSE(CONTROL!$C$42, 64.1626, 64.1626) * CHOOSE(CONTROL!$C$21, $C$9, 100%, $E$9)</f>
        <v>64.162599999999998</v>
      </c>
      <c r="M773" s="14">
        <f>CHOOSE(CONTROL!$C$42, 62.0559, 62.0559) * CHOOSE(CONTROL!$C$21, $C$9, 100%, $E$9)</f>
        <v>62.055900000000001</v>
      </c>
      <c r="N773" s="14">
        <f>CHOOSE(CONTROL!$C$42, 62.0727, 62.0727) * CHOOSE(CONTROL!$C$21, $C$9, 100%, $E$9)</f>
        <v>62.072699999999998</v>
      </c>
      <c r="O773" s="14">
        <f>CHOOSE(CONTROL!$C$42, 62.2806, 62.2806) * CHOOSE(CONTROL!$C$21, $C$9, 100%, $E$9)</f>
        <v>62.2806</v>
      </c>
      <c r="P773" s="14">
        <f>CHOOSE(CONTROL!$C$42, 62.2547, 62.2547) * CHOOSE(CONTROL!$C$21, $C$9, 100%, $E$9)</f>
        <v>62.2547</v>
      </c>
      <c r="Q773" s="14">
        <f>CHOOSE(CONTROL!$C$42, 62.8753, 62.8753) * CHOOSE(CONTROL!$C$21, $C$9, 100%, $E$9)</f>
        <v>62.875300000000003</v>
      </c>
      <c r="R773" s="14">
        <f>CHOOSE(CONTROL!$C$42, 63.6195, 63.6195) * CHOOSE(CONTROL!$C$21, $C$9, 100%, $E$9)</f>
        <v>63.619500000000002</v>
      </c>
      <c r="S773" s="14">
        <f>CHOOSE(CONTROL!$C$42, 60.8401, 60.8401) * CHOOSE(CONTROL!$C$21, $C$9, 100%, $E$9)</f>
        <v>60.8401</v>
      </c>
      <c r="T77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3" s="57">
        <f>(1000*CHOOSE(CONTROL!$C$42, 695, 695)*CHOOSE(CONTROL!$C$42, 0.5599, 0.5599)*CHOOSE(CONTROL!$C$42, 31, 31))/1000000</f>
        <v>12.063045499999998</v>
      </c>
      <c r="V773" s="57">
        <f>(1000*CHOOSE(CONTROL!$C$42, 500, 500)*CHOOSE(CONTROL!$C$42, 0.275, 0.275)*CHOOSE(CONTROL!$C$42, 31, 31))/1000000</f>
        <v>4.2625000000000002</v>
      </c>
      <c r="W773" s="57">
        <f>(1000*CHOOSE(CONTROL!$C$42, 0.1146, 0.1146)*CHOOSE(CONTROL!$C$42, 121.5, 121.5)*CHOOSE(CONTROL!$C$42, 31, 31))/1000000</f>
        <v>0.43164089999999994</v>
      </c>
      <c r="X773" s="57">
        <f>(31*0.1790888*245000/1000000)+(31*0.2374*100000/1000000)</f>
        <v>2.0961194359999999</v>
      </c>
      <c r="Y773" s="57"/>
      <c r="Z773" s="14"/>
      <c r="AA773" s="56"/>
      <c r="AB773" s="50">
        <f>(B773*194.205+C773*267.466+D773*133.845+E773*53.484+F773*40+G773*185+H773*0+I773*100+J773*300)/(194.205+267.466+133.845+53.484+0+40+185+100+300)</f>
        <v>63.39289767268447</v>
      </c>
      <c r="AC773" s="45">
        <f>(M773*'RAP TEMPLATE-GAS AVAILABILITY'!O772+N773*'RAP TEMPLATE-GAS AVAILABILITY'!P772+O773*'RAP TEMPLATE-GAS AVAILABILITY'!Q772+P773*'RAP TEMPLATE-GAS AVAILABILITY'!R772)/('RAP TEMPLATE-GAS AVAILABILITY'!O772+'RAP TEMPLATE-GAS AVAILABILITY'!P772+'RAP TEMPLATE-GAS AVAILABILITY'!Q772+'RAP TEMPLATE-GAS AVAILABILITY'!R772)</f>
        <v>62.187313669064757</v>
      </c>
    </row>
    <row r="774" spans="1:29" ht="15.75" x14ac:dyDescent="0.25">
      <c r="A774" s="32">
        <v>64466</v>
      </c>
      <c r="B774" s="14">
        <f>CHOOSE(CONTROL!$C$42, 65.1229, 65.1229) * CHOOSE(CONTROL!$C$21, $C$9, 100%, $E$9)</f>
        <v>65.122900000000001</v>
      </c>
      <c r="C774" s="14">
        <f>CHOOSE(CONTROL!$C$42, 65.1309, 65.1309) * CHOOSE(CONTROL!$C$21, $C$9, 100%, $E$9)</f>
        <v>65.130899999999997</v>
      </c>
      <c r="D774" s="14">
        <f>CHOOSE(CONTROL!$C$42, 65.3515, 65.3515) * CHOOSE(CONTROL!$C$21, $C$9, 100%, $E$9)</f>
        <v>65.351500000000001</v>
      </c>
      <c r="E774" s="14">
        <f>CHOOSE(CONTROL!$C$42, 65.3829, 65.3829) * CHOOSE(CONTROL!$C$21, $C$9, 100%, $E$9)</f>
        <v>65.382900000000006</v>
      </c>
      <c r="F774" s="14">
        <f>CHOOSE(CONTROL!$C$42, 65.1495, 65.1495)*CHOOSE(CONTROL!$C$21, $C$9, 100%, $E$9)</f>
        <v>65.149500000000003</v>
      </c>
      <c r="G774" s="14">
        <f>CHOOSE(CONTROL!$C$42, 65.1667, 65.1667)*CHOOSE(CONTROL!$C$21, $C$9, 100%, $E$9)</f>
        <v>65.166700000000006</v>
      </c>
      <c r="H774" s="14">
        <f>CHOOSE(CONTROL!$C$42, 65.3716, 65.3716) * CHOOSE(CONTROL!$C$21, $C$9, 100%, $E$9)</f>
        <v>65.371600000000001</v>
      </c>
      <c r="I774" s="14">
        <f>CHOOSE(CONTROL!$C$42, 65.3547, 65.3547)* CHOOSE(CONTROL!$C$21, $C$9, 100%, $E$9)</f>
        <v>65.354699999999994</v>
      </c>
      <c r="J774" s="14">
        <f>CHOOSE(CONTROL!$C$42, 65.1425, 65.1425)* CHOOSE(CONTROL!$C$21, $C$9, 100%, $E$9)</f>
        <v>65.142499999999998</v>
      </c>
      <c r="K774" s="53">
        <f>CHOOSE(CONTROL!$C$42, 65.3508, 65.3508) * CHOOSE(CONTROL!$C$21, $C$9, 100%, $E$9)</f>
        <v>65.350800000000007</v>
      </c>
      <c r="L774" s="14">
        <f>CHOOSE(CONTROL!$C$42, 65.9586, 65.9586) * CHOOSE(CONTROL!$C$21, $C$9, 100%, $E$9)</f>
        <v>65.958600000000004</v>
      </c>
      <c r="M774" s="14">
        <f>CHOOSE(CONTROL!$C$42, 63.8154, 63.8154) * CHOOSE(CONTROL!$C$21, $C$9, 100%, $E$9)</f>
        <v>63.815399999999997</v>
      </c>
      <c r="N774" s="14">
        <f>CHOOSE(CONTROL!$C$42, 63.8323, 63.8323) * CHOOSE(CONTROL!$C$21, $C$9, 100%, $E$9)</f>
        <v>63.832299999999996</v>
      </c>
      <c r="O774" s="14">
        <f>CHOOSE(CONTROL!$C$42, 64.0399, 64.0399) * CHOOSE(CONTROL!$C$21, $C$9, 100%, $E$9)</f>
        <v>64.039900000000003</v>
      </c>
      <c r="P774" s="14">
        <f>CHOOSE(CONTROL!$C$42, 64.0193, 64.0193) * CHOOSE(CONTROL!$C$21, $C$9, 100%, $E$9)</f>
        <v>64.019300000000001</v>
      </c>
      <c r="Q774" s="14">
        <f>CHOOSE(CONTROL!$C$42, 64.6346, 64.6346) * CHOOSE(CONTROL!$C$21, $C$9, 100%, $E$9)</f>
        <v>64.634600000000006</v>
      </c>
      <c r="R774" s="14">
        <f>CHOOSE(CONTROL!$C$42, 65.3831, 65.3831) * CHOOSE(CONTROL!$C$21, $C$9, 100%, $E$9)</f>
        <v>65.383099999999999</v>
      </c>
      <c r="S774" s="14">
        <f>CHOOSE(CONTROL!$C$42, 62.5659, 62.5659) * CHOOSE(CONTROL!$C$21, $C$9, 100%, $E$9)</f>
        <v>62.565899999999999</v>
      </c>
      <c r="T77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74" s="57">
        <f>(1000*CHOOSE(CONTROL!$C$42, 695, 695)*CHOOSE(CONTROL!$C$42, 0.5599, 0.5599)*CHOOSE(CONTROL!$C$42, 30, 30))/1000000</f>
        <v>11.673914999999997</v>
      </c>
      <c r="V774" s="57">
        <f>(1000*CHOOSE(CONTROL!$C$42, 500, 500)*CHOOSE(CONTROL!$C$42, 0.275, 0.275)*CHOOSE(CONTROL!$C$42, 30, 30))/1000000</f>
        <v>4.125</v>
      </c>
      <c r="W774" s="57">
        <f>(1000*CHOOSE(CONTROL!$C$42, 0.1146, 0.1146)*CHOOSE(CONTROL!$C$42, 121.5, 121.5)*CHOOSE(CONTROL!$C$42, 30, 30))/1000000</f>
        <v>0.417717</v>
      </c>
      <c r="X774" s="57">
        <f>(30*0.1790888*245000/1000000)+(30*0.2374*100000/1000000)</f>
        <v>2.0285026799999999</v>
      </c>
      <c r="Y774" s="57"/>
      <c r="Z774" s="14"/>
      <c r="AA774" s="56"/>
      <c r="AB774" s="50">
        <f>(B774*194.205+C774*267.466+D774*133.845+E774*53.484+F774*40+G774*185+H774*0+I774*100+J774*300)/(194.205+267.466+133.845+53.484+0+40+185+100+300)</f>
        <v>65.189516589481954</v>
      </c>
      <c r="AC774" s="45">
        <f>(M774*'RAP TEMPLATE-GAS AVAILABILITY'!O773+N774*'RAP TEMPLATE-GAS AVAILABILITY'!P773+O774*'RAP TEMPLATE-GAS AVAILABILITY'!Q773+P774*'RAP TEMPLATE-GAS AVAILABILITY'!R773)/('RAP TEMPLATE-GAS AVAILABILITY'!O773+'RAP TEMPLATE-GAS AVAILABILITY'!P773+'RAP TEMPLATE-GAS AVAILABILITY'!Q773+'RAP TEMPLATE-GAS AVAILABILITY'!R773)</f>
        <v>63.947462589928065</v>
      </c>
    </row>
    <row r="775" spans="1:29" ht="15.75" x14ac:dyDescent="0.25">
      <c r="A775" s="32">
        <v>64497</v>
      </c>
      <c r="B775" s="14">
        <f>CHOOSE(CONTROL!$C$42, 63.8737, 63.8737) * CHOOSE(CONTROL!$C$21, $C$9, 100%, $E$9)</f>
        <v>63.873699999999999</v>
      </c>
      <c r="C775" s="14">
        <f>CHOOSE(CONTROL!$C$42, 63.8818, 63.8818) * CHOOSE(CONTROL!$C$21, $C$9, 100%, $E$9)</f>
        <v>63.881799999999998</v>
      </c>
      <c r="D775" s="14">
        <f>CHOOSE(CONTROL!$C$42, 64.1023, 64.1023) * CHOOSE(CONTROL!$C$21, $C$9, 100%, $E$9)</f>
        <v>64.1023</v>
      </c>
      <c r="E775" s="14">
        <f>CHOOSE(CONTROL!$C$42, 64.1338, 64.1338) * CHOOSE(CONTROL!$C$21, $C$9, 100%, $E$9)</f>
        <v>64.133799999999994</v>
      </c>
      <c r="F775" s="14">
        <f>CHOOSE(CONTROL!$C$42, 63.9008, 63.9008)*CHOOSE(CONTROL!$C$21, $C$9, 100%, $E$9)</f>
        <v>63.900799999999997</v>
      </c>
      <c r="G775" s="14">
        <f>CHOOSE(CONTROL!$C$42, 63.9181, 63.9181)*CHOOSE(CONTROL!$C$21, $C$9, 100%, $E$9)</f>
        <v>63.918100000000003</v>
      </c>
      <c r="H775" s="14">
        <f>CHOOSE(CONTROL!$C$42, 64.1224, 64.1224) * CHOOSE(CONTROL!$C$21, $C$9, 100%, $E$9)</f>
        <v>64.122399999999999</v>
      </c>
      <c r="I775" s="14">
        <f>CHOOSE(CONTROL!$C$42, 64.1017, 64.1017)* CHOOSE(CONTROL!$C$21, $C$9, 100%, $E$9)</f>
        <v>64.101699999999994</v>
      </c>
      <c r="J775" s="14">
        <f>CHOOSE(CONTROL!$C$42, 63.8938, 63.8938)* CHOOSE(CONTROL!$C$21, $C$9, 100%, $E$9)</f>
        <v>63.893799999999999</v>
      </c>
      <c r="K775" s="53">
        <f>CHOOSE(CONTROL!$C$42, 64.0978, 64.0978) * CHOOSE(CONTROL!$C$21, $C$9, 100%, $E$9)</f>
        <v>64.097800000000007</v>
      </c>
      <c r="L775" s="14">
        <f>CHOOSE(CONTROL!$C$42, 64.7094, 64.7094) * CHOOSE(CONTROL!$C$21, $C$9, 100%, $E$9)</f>
        <v>64.709400000000002</v>
      </c>
      <c r="M775" s="14">
        <f>CHOOSE(CONTROL!$C$42, 62.5923, 62.5923) * CHOOSE(CONTROL!$C$21, $C$9, 100%, $E$9)</f>
        <v>62.592300000000002</v>
      </c>
      <c r="N775" s="14">
        <f>CHOOSE(CONTROL!$C$42, 62.6093, 62.6093) * CHOOSE(CONTROL!$C$21, $C$9, 100%, $E$9)</f>
        <v>62.609299999999998</v>
      </c>
      <c r="O775" s="14">
        <f>CHOOSE(CONTROL!$C$42, 62.8163, 62.8163) * CHOOSE(CONTROL!$C$21, $C$9, 100%, $E$9)</f>
        <v>62.816299999999998</v>
      </c>
      <c r="P775" s="14">
        <f>CHOOSE(CONTROL!$C$42, 62.792, 62.792) * CHOOSE(CONTROL!$C$21, $C$9, 100%, $E$9)</f>
        <v>62.792000000000002</v>
      </c>
      <c r="Q775" s="14">
        <f>CHOOSE(CONTROL!$C$42, 63.411, 63.411) * CHOOSE(CONTROL!$C$21, $C$9, 100%, $E$9)</f>
        <v>63.411000000000001</v>
      </c>
      <c r="R775" s="14">
        <f>CHOOSE(CONTROL!$C$42, 64.1565, 64.1565) * CHOOSE(CONTROL!$C$21, $C$9, 100%, $E$9)</f>
        <v>64.156499999999994</v>
      </c>
      <c r="S775" s="14">
        <f>CHOOSE(CONTROL!$C$42, 61.3656, 61.3656) * CHOOSE(CONTROL!$C$21, $C$9, 100%, $E$9)</f>
        <v>61.365600000000001</v>
      </c>
      <c r="T77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75" s="57">
        <f>(1000*CHOOSE(CONTROL!$C$42, 695, 695)*CHOOSE(CONTROL!$C$42, 0.5599, 0.5599)*CHOOSE(CONTROL!$C$42, 31, 31))/1000000</f>
        <v>12.063045499999998</v>
      </c>
      <c r="V775" s="57">
        <f>(1000*CHOOSE(CONTROL!$C$42, 500, 500)*CHOOSE(CONTROL!$C$42, 0.275, 0.275)*CHOOSE(CONTROL!$C$42, 31, 31))/1000000</f>
        <v>4.2625000000000002</v>
      </c>
      <c r="W775" s="57">
        <f>(1000*CHOOSE(CONTROL!$C$42, 0.1146, 0.1146)*CHOOSE(CONTROL!$C$42, 121.5, 121.5)*CHOOSE(CONTROL!$C$42, 31, 31))/1000000</f>
        <v>0.43164089999999994</v>
      </c>
      <c r="X775" s="57">
        <f>(31*0.1790888*245000/1000000)+(31*0.2374*100000/1000000)</f>
        <v>2.0961194359999999</v>
      </c>
      <c r="Y775" s="57"/>
      <c r="Z775" s="14"/>
      <c r="AA775" s="56"/>
      <c r="AB775" s="50">
        <f>(B775*194.205+C775*267.466+D775*133.845+E775*53.484+F775*40+G775*185+H775*0+I775*100+J775*300)/(194.205+267.466+133.845+53.484+0+40+185+100+300)</f>
        <v>63.940264073783354</v>
      </c>
      <c r="AC775" s="45">
        <f>(M775*'RAP TEMPLATE-GAS AVAILABILITY'!O774+N775*'RAP TEMPLATE-GAS AVAILABILITY'!P774+O775*'RAP TEMPLATE-GAS AVAILABILITY'!Q774+P775*'RAP TEMPLATE-GAS AVAILABILITY'!R774)/('RAP TEMPLATE-GAS AVAILABILITY'!O774+'RAP TEMPLATE-GAS AVAILABILITY'!P774+'RAP TEMPLATE-GAS AVAILABILITY'!Q774+'RAP TEMPLATE-GAS AVAILABILITY'!R774)</f>
        <v>62.723537410071948</v>
      </c>
    </row>
    <row r="776" spans="1:29" ht="15.75" x14ac:dyDescent="0.25">
      <c r="A776" s="32">
        <v>64528</v>
      </c>
      <c r="B776" s="14">
        <f>CHOOSE(CONTROL!$C$42, 60.7193, 60.7193) * CHOOSE(CONTROL!$C$21, $C$9, 100%, $E$9)</f>
        <v>60.719299999999997</v>
      </c>
      <c r="C776" s="14">
        <f>CHOOSE(CONTROL!$C$42, 60.7273, 60.7273) * CHOOSE(CONTROL!$C$21, $C$9, 100%, $E$9)</f>
        <v>60.7273</v>
      </c>
      <c r="D776" s="14">
        <f>CHOOSE(CONTROL!$C$42, 60.9479, 60.9479) * CHOOSE(CONTROL!$C$21, $C$9, 100%, $E$9)</f>
        <v>60.947899999999997</v>
      </c>
      <c r="E776" s="14">
        <f>CHOOSE(CONTROL!$C$42, 60.9793, 60.9793) * CHOOSE(CONTROL!$C$21, $C$9, 100%, $E$9)</f>
        <v>60.979300000000002</v>
      </c>
      <c r="F776" s="14">
        <f>CHOOSE(CONTROL!$C$42, 60.7466, 60.7466)*CHOOSE(CONTROL!$C$21, $C$9, 100%, $E$9)</f>
        <v>60.746600000000001</v>
      </c>
      <c r="G776" s="14">
        <f>CHOOSE(CONTROL!$C$42, 60.764, 60.764)*CHOOSE(CONTROL!$C$21, $C$9, 100%, $E$9)</f>
        <v>60.764000000000003</v>
      </c>
      <c r="H776" s="14">
        <f>CHOOSE(CONTROL!$C$42, 60.968, 60.968) * CHOOSE(CONTROL!$C$21, $C$9, 100%, $E$9)</f>
        <v>60.968000000000004</v>
      </c>
      <c r="I776" s="14">
        <f>CHOOSE(CONTROL!$C$42, 60.9373, 60.9373)* CHOOSE(CONTROL!$C$21, $C$9, 100%, $E$9)</f>
        <v>60.9373</v>
      </c>
      <c r="J776" s="14">
        <f>CHOOSE(CONTROL!$C$42, 60.7396, 60.7396)* CHOOSE(CONTROL!$C$21, $C$9, 100%, $E$9)</f>
        <v>60.739600000000003</v>
      </c>
      <c r="K776" s="53">
        <f>CHOOSE(CONTROL!$C$42, 60.9334, 60.9334) * CHOOSE(CONTROL!$C$21, $C$9, 100%, $E$9)</f>
        <v>60.933399999999999</v>
      </c>
      <c r="L776" s="14">
        <f>CHOOSE(CONTROL!$C$42, 61.555, 61.555) * CHOOSE(CONTROL!$C$21, $C$9, 100%, $E$9)</f>
        <v>61.555</v>
      </c>
      <c r="M776" s="14">
        <f>CHOOSE(CONTROL!$C$42, 59.5028, 59.5028) * CHOOSE(CONTROL!$C$21, $C$9, 100%, $E$9)</f>
        <v>59.502800000000001</v>
      </c>
      <c r="N776" s="14">
        <f>CHOOSE(CONTROL!$C$42, 59.5198, 59.5198) * CHOOSE(CONTROL!$C$21, $C$9, 100%, $E$9)</f>
        <v>59.519799999999996</v>
      </c>
      <c r="O776" s="14">
        <f>CHOOSE(CONTROL!$C$42, 59.7265, 59.7265) * CHOOSE(CONTROL!$C$21, $C$9, 100%, $E$9)</f>
        <v>59.726500000000001</v>
      </c>
      <c r="P776" s="14">
        <f>CHOOSE(CONTROL!$C$42, 59.6927, 59.6927) * CHOOSE(CONTROL!$C$21, $C$9, 100%, $E$9)</f>
        <v>59.692700000000002</v>
      </c>
      <c r="Q776" s="14">
        <f>CHOOSE(CONTROL!$C$42, 60.3212, 60.3212) * CHOOSE(CONTROL!$C$21, $C$9, 100%, $E$9)</f>
        <v>60.321199999999997</v>
      </c>
      <c r="R776" s="14">
        <f>CHOOSE(CONTROL!$C$42, 61.059, 61.059) * CHOOSE(CONTROL!$C$21, $C$9, 100%, $E$9)</f>
        <v>61.058999999999997</v>
      </c>
      <c r="S776" s="14">
        <f>CHOOSE(CONTROL!$C$42, 58.3345, 58.3345) * CHOOSE(CONTROL!$C$21, $C$9, 100%, $E$9)</f>
        <v>58.334499999999998</v>
      </c>
      <c r="T77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76" s="57">
        <f>(1000*CHOOSE(CONTROL!$C$42, 695, 695)*CHOOSE(CONTROL!$C$42, 0.5599, 0.5599)*CHOOSE(CONTROL!$C$42, 31, 31))/1000000</f>
        <v>12.063045499999998</v>
      </c>
      <c r="V776" s="57">
        <f>(1000*CHOOSE(CONTROL!$C$42, 500, 500)*CHOOSE(CONTROL!$C$42, 0.275, 0.275)*CHOOSE(CONTROL!$C$42, 31, 31))/1000000</f>
        <v>4.2625000000000002</v>
      </c>
      <c r="W776" s="57">
        <f>(1000*CHOOSE(CONTROL!$C$42, 0.1146, 0.1146)*CHOOSE(CONTROL!$C$42, 121.5, 121.5)*CHOOSE(CONTROL!$C$42, 31, 31))/1000000</f>
        <v>0.43164089999999994</v>
      </c>
      <c r="X776" s="57">
        <f>(31*0.1790888*245000/1000000)+(31*0.2374*100000/1000000)</f>
        <v>2.0961194359999999</v>
      </c>
      <c r="Y776" s="57"/>
      <c r="Z776" s="14"/>
      <c r="AA776" s="56"/>
      <c r="AB776" s="50">
        <f>(B776*194.205+C776*267.466+D776*133.845+E776*53.484+F776*40+G776*185+H776*0+I776*100+J776*300)/(194.205+267.466+133.845+53.484+0+40+185+100+300)</f>
        <v>60.785150890894812</v>
      </c>
      <c r="AC776" s="45">
        <f>(M776*'RAP TEMPLATE-GAS AVAILABILITY'!O775+N776*'RAP TEMPLATE-GAS AVAILABILITY'!P775+O776*'RAP TEMPLATE-GAS AVAILABILITY'!Q775+P776*'RAP TEMPLATE-GAS AVAILABILITY'!R775)/('RAP TEMPLATE-GAS AVAILABILITY'!O775+'RAP TEMPLATE-GAS AVAILABILITY'!P775+'RAP TEMPLATE-GAS AVAILABILITY'!Q775+'RAP TEMPLATE-GAS AVAILABILITY'!R775)</f>
        <v>59.632491366906478</v>
      </c>
    </row>
    <row r="777" spans="1:29" ht="15.75" x14ac:dyDescent="0.25">
      <c r="A777" s="32">
        <v>64558</v>
      </c>
      <c r="B777" s="14">
        <f>CHOOSE(CONTROL!$C$42, 56.8648, 56.8648) * CHOOSE(CONTROL!$C$21, $C$9, 100%, $E$9)</f>
        <v>56.864800000000002</v>
      </c>
      <c r="C777" s="14">
        <f>CHOOSE(CONTROL!$C$42, 56.8729, 56.8729) * CHOOSE(CONTROL!$C$21, $C$9, 100%, $E$9)</f>
        <v>56.872900000000001</v>
      </c>
      <c r="D777" s="14">
        <f>CHOOSE(CONTROL!$C$42, 57.0935, 57.0935) * CHOOSE(CONTROL!$C$21, $C$9, 100%, $E$9)</f>
        <v>57.093499999999999</v>
      </c>
      <c r="E777" s="14">
        <f>CHOOSE(CONTROL!$C$42, 57.1249, 57.1249) * CHOOSE(CONTROL!$C$21, $C$9, 100%, $E$9)</f>
        <v>57.124899999999997</v>
      </c>
      <c r="F777" s="14">
        <f>CHOOSE(CONTROL!$C$42, 56.8922, 56.8922)*CHOOSE(CONTROL!$C$21, $C$9, 100%, $E$9)</f>
        <v>56.892200000000003</v>
      </c>
      <c r="G777" s="14">
        <f>CHOOSE(CONTROL!$C$42, 56.9096, 56.9096)*CHOOSE(CONTROL!$C$21, $C$9, 100%, $E$9)</f>
        <v>56.909599999999998</v>
      </c>
      <c r="H777" s="14">
        <f>CHOOSE(CONTROL!$C$42, 57.1136, 57.1136) * CHOOSE(CONTROL!$C$21, $C$9, 100%, $E$9)</f>
        <v>57.113599999999998</v>
      </c>
      <c r="I777" s="14">
        <f>CHOOSE(CONTROL!$C$42, 57.0708, 57.0708)* CHOOSE(CONTROL!$C$21, $C$9, 100%, $E$9)</f>
        <v>57.070799999999998</v>
      </c>
      <c r="J777" s="14">
        <f>CHOOSE(CONTROL!$C$42, 56.8852, 56.8852)* CHOOSE(CONTROL!$C$21, $C$9, 100%, $E$9)</f>
        <v>56.885199999999998</v>
      </c>
      <c r="K777" s="53">
        <f>CHOOSE(CONTROL!$C$42, 57.0669, 57.0669) * CHOOSE(CONTROL!$C$21, $C$9, 100%, $E$9)</f>
        <v>57.066899999999997</v>
      </c>
      <c r="L777" s="14">
        <f>CHOOSE(CONTROL!$C$42, 57.7006, 57.7006) * CHOOSE(CONTROL!$C$21, $C$9, 100%, $E$9)</f>
        <v>57.700600000000001</v>
      </c>
      <c r="M777" s="14">
        <f>CHOOSE(CONTROL!$C$42, 55.7273, 55.7273) * CHOOSE(CONTROL!$C$21, $C$9, 100%, $E$9)</f>
        <v>55.7273</v>
      </c>
      <c r="N777" s="14">
        <f>CHOOSE(CONTROL!$C$42, 55.7444, 55.7444) * CHOOSE(CONTROL!$C$21, $C$9, 100%, $E$9)</f>
        <v>55.744399999999999</v>
      </c>
      <c r="O777" s="14">
        <f>CHOOSE(CONTROL!$C$42, 55.951, 55.951) * CHOOSE(CONTROL!$C$21, $C$9, 100%, $E$9)</f>
        <v>55.951000000000001</v>
      </c>
      <c r="P777" s="14">
        <f>CHOOSE(CONTROL!$C$42, 55.9057, 55.9057) * CHOOSE(CONTROL!$C$21, $C$9, 100%, $E$9)</f>
        <v>55.905700000000003</v>
      </c>
      <c r="Q777" s="14">
        <f>CHOOSE(CONTROL!$C$42, 56.5457, 56.5457) * CHOOSE(CONTROL!$C$21, $C$9, 100%, $E$9)</f>
        <v>56.545699999999997</v>
      </c>
      <c r="R777" s="14">
        <f>CHOOSE(CONTROL!$C$42, 57.2741, 57.2741) * CHOOSE(CONTROL!$C$21, $C$9, 100%, $E$9)</f>
        <v>57.274099999999997</v>
      </c>
      <c r="S777" s="14">
        <f>CHOOSE(CONTROL!$C$42, 54.6308, 54.6308) * CHOOSE(CONTROL!$C$21, $C$9, 100%, $E$9)</f>
        <v>54.630800000000001</v>
      </c>
      <c r="T77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77" s="57">
        <f>(1000*CHOOSE(CONTROL!$C$42, 695, 695)*CHOOSE(CONTROL!$C$42, 0.5599, 0.5599)*CHOOSE(CONTROL!$C$42, 30, 30))/1000000</f>
        <v>11.673914999999997</v>
      </c>
      <c r="V777" s="57">
        <f>(1000*CHOOSE(CONTROL!$C$42, 500, 500)*CHOOSE(CONTROL!$C$42, 0.275, 0.275)*CHOOSE(CONTROL!$C$42, 30, 30))/1000000</f>
        <v>4.125</v>
      </c>
      <c r="W777" s="57">
        <f>(1000*CHOOSE(CONTROL!$C$42, 0.1146, 0.1146)*CHOOSE(CONTROL!$C$42, 121.5, 121.5)*CHOOSE(CONTROL!$C$42, 30, 30))/1000000</f>
        <v>0.417717</v>
      </c>
      <c r="X777" s="57">
        <f>(30*0.1790888*245000/1000000)+(30*0.2374*100000/1000000)</f>
        <v>2.0285026799999999</v>
      </c>
      <c r="Y777" s="57"/>
      <c r="Z777" s="14"/>
      <c r="AA777" s="56"/>
      <c r="AB777" s="50">
        <f>(B777*194.205+C777*267.466+D777*133.845+E777*53.484+F777*40+G777*185+H777*0+I777*100+J777*300)/(194.205+267.466+133.845+53.484+0+40+185+100+300)</f>
        <v>56.929785882653057</v>
      </c>
      <c r="AC777" s="45">
        <f>(M777*'RAP TEMPLATE-GAS AVAILABILITY'!O776+N777*'RAP TEMPLATE-GAS AVAILABILITY'!P776+O777*'RAP TEMPLATE-GAS AVAILABILITY'!Q776+P777*'RAP TEMPLATE-GAS AVAILABILITY'!R776)/('RAP TEMPLATE-GAS AVAILABILITY'!O776+'RAP TEMPLATE-GAS AVAILABILITY'!P776+'RAP TEMPLATE-GAS AVAILABILITY'!Q776+'RAP TEMPLATE-GAS AVAILABILITY'!R776)</f>
        <v>55.85534244604316</v>
      </c>
    </row>
    <row r="778" spans="1:29" ht="15.75" x14ac:dyDescent="0.25">
      <c r="A778" s="32">
        <v>64589</v>
      </c>
      <c r="B778" s="14">
        <f>CHOOSE(CONTROL!$C$42, 55.7087, 55.7087) * CHOOSE(CONTROL!$C$21, $C$9, 100%, $E$9)</f>
        <v>55.7087</v>
      </c>
      <c r="C778" s="14">
        <f>CHOOSE(CONTROL!$C$42, 55.7141, 55.7141) * CHOOSE(CONTROL!$C$21, $C$9, 100%, $E$9)</f>
        <v>55.714100000000002</v>
      </c>
      <c r="D778" s="14">
        <f>CHOOSE(CONTROL!$C$42, 55.9396, 55.9396) * CHOOSE(CONTROL!$C$21, $C$9, 100%, $E$9)</f>
        <v>55.939599999999999</v>
      </c>
      <c r="E778" s="14">
        <f>CHOOSE(CONTROL!$C$42, 55.9687, 55.9687) * CHOOSE(CONTROL!$C$21, $C$9, 100%, $E$9)</f>
        <v>55.968699999999998</v>
      </c>
      <c r="F778" s="14">
        <f>CHOOSE(CONTROL!$C$42, 55.7381, 55.7381)*CHOOSE(CONTROL!$C$21, $C$9, 100%, $E$9)</f>
        <v>55.738100000000003</v>
      </c>
      <c r="G778" s="14">
        <f>CHOOSE(CONTROL!$C$42, 55.7553, 55.7553)*CHOOSE(CONTROL!$C$21, $C$9, 100%, $E$9)</f>
        <v>55.755299999999998</v>
      </c>
      <c r="H778" s="14">
        <f>CHOOSE(CONTROL!$C$42, 55.9592, 55.9592) * CHOOSE(CONTROL!$C$21, $C$9, 100%, $E$9)</f>
        <v>55.959200000000003</v>
      </c>
      <c r="I778" s="14">
        <f>CHOOSE(CONTROL!$C$42, 55.9129, 55.9129)* CHOOSE(CONTROL!$C$21, $C$9, 100%, $E$9)</f>
        <v>55.9129</v>
      </c>
      <c r="J778" s="14">
        <f>CHOOSE(CONTROL!$C$42, 55.7311, 55.7311)* CHOOSE(CONTROL!$C$21, $C$9, 100%, $E$9)</f>
        <v>55.731099999999998</v>
      </c>
      <c r="K778" s="53">
        <f>CHOOSE(CONTROL!$C$42, 55.909, 55.909) * CHOOSE(CONTROL!$C$21, $C$9, 100%, $E$9)</f>
        <v>55.908999999999999</v>
      </c>
      <c r="L778" s="14">
        <f>CHOOSE(CONTROL!$C$42, 56.5462, 56.5462) * CHOOSE(CONTROL!$C$21, $C$9, 100%, $E$9)</f>
        <v>56.546199999999999</v>
      </c>
      <c r="M778" s="14">
        <f>CHOOSE(CONTROL!$C$42, 54.5969, 54.5969) * CHOOSE(CONTROL!$C$21, $C$9, 100%, $E$9)</f>
        <v>54.596899999999998</v>
      </c>
      <c r="N778" s="14">
        <f>CHOOSE(CONTROL!$C$42, 54.6138, 54.6138) * CHOOSE(CONTROL!$C$21, $C$9, 100%, $E$9)</f>
        <v>54.613799999999998</v>
      </c>
      <c r="O778" s="14">
        <f>CHOOSE(CONTROL!$C$42, 54.8203, 54.8203) * CHOOSE(CONTROL!$C$21, $C$9, 100%, $E$9)</f>
        <v>54.820300000000003</v>
      </c>
      <c r="P778" s="14">
        <f>CHOOSE(CONTROL!$C$42, 54.7715, 54.7715) * CHOOSE(CONTROL!$C$21, $C$9, 100%, $E$9)</f>
        <v>54.771500000000003</v>
      </c>
      <c r="Q778" s="14">
        <f>CHOOSE(CONTROL!$C$42, 55.415, 55.415) * CHOOSE(CONTROL!$C$21, $C$9, 100%, $E$9)</f>
        <v>55.414999999999999</v>
      </c>
      <c r="R778" s="14">
        <f>CHOOSE(CONTROL!$C$42, 56.1406, 56.1406) * CHOOSE(CONTROL!$C$21, $C$9, 100%, $E$9)</f>
        <v>56.140599999999999</v>
      </c>
      <c r="S778" s="14">
        <f>CHOOSE(CONTROL!$C$42, 53.5216, 53.5216) * CHOOSE(CONTROL!$C$21, $C$9, 100%, $E$9)</f>
        <v>53.521599999999999</v>
      </c>
      <c r="T77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78" s="57">
        <f>(1000*CHOOSE(CONTROL!$C$42, 695, 695)*CHOOSE(CONTROL!$C$42, 0.5599, 0.5599)*CHOOSE(CONTROL!$C$42, 31, 31))/1000000</f>
        <v>12.063045499999998</v>
      </c>
      <c r="V778" s="57">
        <f>(1000*CHOOSE(CONTROL!$C$42, 500, 500)*CHOOSE(CONTROL!$C$42, 0.275, 0.275)*CHOOSE(CONTROL!$C$42, 31, 31))/1000000</f>
        <v>4.2625000000000002</v>
      </c>
      <c r="W778" s="57">
        <f>(1000*CHOOSE(CONTROL!$C$42, 0.1146, 0.1146)*CHOOSE(CONTROL!$C$42, 121.5, 121.5)*CHOOSE(CONTROL!$C$42, 31, 31))/1000000</f>
        <v>0.43164089999999994</v>
      </c>
      <c r="X778" s="57">
        <f>(31*0.1790888*245000/1000000)+(31*0.2374*100000/1000000)</f>
        <v>2.0961194359999999</v>
      </c>
      <c r="Y778" s="57"/>
      <c r="Z778" s="14"/>
      <c r="AA778" s="56"/>
      <c r="AB778" s="50">
        <f>(B778*131.881+C778*277.167+D778*79.08+E778*125.872+F778*40+G778*185+H778*0+I778*100+J778*300)/(131.881+277.167+79.08+125.872+0+40+185+100+300)</f>
        <v>55.780871100726387</v>
      </c>
      <c r="AC778" s="45">
        <f>(M778*'RAP TEMPLATE-GAS AVAILABILITY'!O777+N778*'RAP TEMPLATE-GAS AVAILABILITY'!P777+O778*'RAP TEMPLATE-GAS AVAILABILITY'!Q777+P778*'RAP TEMPLATE-GAS AVAILABILITY'!R777)/('RAP TEMPLATE-GAS AVAILABILITY'!O777+'RAP TEMPLATE-GAS AVAILABILITY'!P777+'RAP TEMPLATE-GAS AVAILABILITY'!Q777+'RAP TEMPLATE-GAS AVAILABILITY'!R777)</f>
        <v>54.724248201438847</v>
      </c>
    </row>
    <row r="779" spans="1:29" ht="15.75" x14ac:dyDescent="0.25">
      <c r="A779" s="32">
        <v>64619</v>
      </c>
      <c r="B779" s="14">
        <f>CHOOSE(CONTROL!$C$42, 57.1757, 57.1757) * CHOOSE(CONTROL!$C$21, $C$9, 100%, $E$9)</f>
        <v>57.175699999999999</v>
      </c>
      <c r="C779" s="14">
        <f>CHOOSE(CONTROL!$C$42, 57.1808, 57.1808) * CHOOSE(CONTROL!$C$21, $C$9, 100%, $E$9)</f>
        <v>57.180799999999998</v>
      </c>
      <c r="D779" s="14">
        <f>CHOOSE(CONTROL!$C$42, 57.255, 57.255) * CHOOSE(CONTROL!$C$21, $C$9, 100%, $E$9)</f>
        <v>57.255000000000003</v>
      </c>
      <c r="E779" s="14">
        <f>CHOOSE(CONTROL!$C$42, 57.2891, 57.2891) * CHOOSE(CONTROL!$C$21, $C$9, 100%, $E$9)</f>
        <v>57.289099999999998</v>
      </c>
      <c r="F779" s="14">
        <f>CHOOSE(CONTROL!$C$42, 57.2117, 57.2117)*CHOOSE(CONTROL!$C$21, $C$9, 100%, $E$9)</f>
        <v>57.2117</v>
      </c>
      <c r="G779" s="14">
        <f>CHOOSE(CONTROL!$C$42, 57.2293, 57.2293)*CHOOSE(CONTROL!$C$21, $C$9, 100%, $E$9)</f>
        <v>57.229300000000002</v>
      </c>
      <c r="H779" s="14">
        <f>CHOOSE(CONTROL!$C$42, 57.2783, 57.2783) * CHOOSE(CONTROL!$C$21, $C$9, 100%, $E$9)</f>
        <v>57.278300000000002</v>
      </c>
      <c r="I779" s="14">
        <f>CHOOSE(CONTROL!$C$42, 57.3822, 57.3822)* CHOOSE(CONTROL!$C$21, $C$9, 100%, $E$9)</f>
        <v>57.382199999999997</v>
      </c>
      <c r="J779" s="14">
        <f>CHOOSE(CONTROL!$C$42, 57.2047, 57.2047)* CHOOSE(CONTROL!$C$21, $C$9, 100%, $E$9)</f>
        <v>57.204700000000003</v>
      </c>
      <c r="K779" s="53">
        <f>CHOOSE(CONTROL!$C$42, 57.3783, 57.3783) * CHOOSE(CONTROL!$C$21, $C$9, 100%, $E$9)</f>
        <v>57.378300000000003</v>
      </c>
      <c r="L779" s="14">
        <f>CHOOSE(CONTROL!$C$42, 57.8653, 57.8653) * CHOOSE(CONTROL!$C$21, $C$9, 100%, $E$9)</f>
        <v>57.865299999999998</v>
      </c>
      <c r="M779" s="14">
        <f>CHOOSE(CONTROL!$C$42, 56.0404, 56.0404) * CHOOSE(CONTROL!$C$21, $C$9, 100%, $E$9)</f>
        <v>56.040399999999998</v>
      </c>
      <c r="N779" s="14">
        <f>CHOOSE(CONTROL!$C$42, 56.0575, 56.0575) * CHOOSE(CONTROL!$C$21, $C$9, 100%, $E$9)</f>
        <v>56.057499999999997</v>
      </c>
      <c r="O779" s="14">
        <f>CHOOSE(CONTROL!$C$42, 56.1124, 56.1124) * CHOOSE(CONTROL!$C$21, $C$9, 100%, $E$9)</f>
        <v>56.112400000000001</v>
      </c>
      <c r="P779" s="14">
        <f>CHOOSE(CONTROL!$C$42, 56.2107, 56.2107) * CHOOSE(CONTROL!$C$21, $C$9, 100%, $E$9)</f>
        <v>56.210700000000003</v>
      </c>
      <c r="Q779" s="14">
        <f>CHOOSE(CONTROL!$C$42, 56.7071, 56.7071) * CHOOSE(CONTROL!$C$21, $C$9, 100%, $E$9)</f>
        <v>56.707099999999997</v>
      </c>
      <c r="R779" s="14">
        <f>CHOOSE(CONTROL!$C$42, 57.4358, 57.4358) * CHOOSE(CONTROL!$C$21, $C$9, 100%, $E$9)</f>
        <v>57.4358</v>
      </c>
      <c r="S779" s="14">
        <f>CHOOSE(CONTROL!$C$42, 54.9316, 54.9316) * CHOOSE(CONTROL!$C$21, $C$9, 100%, $E$9)</f>
        <v>54.931600000000003</v>
      </c>
      <c r="T77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79" s="57">
        <f>(1000*CHOOSE(CONTROL!$C$42, 695, 695)*CHOOSE(CONTROL!$C$42, 0.5599, 0.5599)*CHOOSE(CONTROL!$C$42, 30, 30))/1000000</f>
        <v>11.673914999999997</v>
      </c>
      <c r="V779" s="57">
        <f>(1000*CHOOSE(CONTROL!$C$42, 500, 500)*CHOOSE(CONTROL!$C$42, 0.275, 0.275)*CHOOSE(CONTROL!$C$42, 30, 30))/1000000</f>
        <v>4.125</v>
      </c>
      <c r="W779" s="57">
        <f>(1000*CHOOSE(CONTROL!$C$42, 0.1146, 0.1146)*CHOOSE(CONTROL!$C$42, 121.5, 121.5)*CHOOSE(CONTROL!$C$42, 30, 30))/1000000</f>
        <v>0.417717</v>
      </c>
      <c r="X779" s="57">
        <f>(30*0.1790888*100000/1000000)+(30*0.2374*100000/1000000)</f>
        <v>1.2494664</v>
      </c>
      <c r="Y779" s="57"/>
      <c r="Z779" s="14"/>
      <c r="AA779" s="56"/>
      <c r="AB779" s="50">
        <f>(B779*122.58+C779*297.941+D779*89.177+E779*40.302+F779*40+G779*160+H779*0+I779*100+J779*300)/(122.58+297.941+89.177+40.302+0+40+160+100+300)</f>
        <v>57.221376071304348</v>
      </c>
      <c r="AC779" s="45">
        <f>(M779*'RAP TEMPLATE-GAS AVAILABILITY'!O778+N779*'RAP TEMPLATE-GAS AVAILABILITY'!P778+O779*'RAP TEMPLATE-GAS AVAILABILITY'!Q778+P779*'RAP TEMPLATE-GAS AVAILABILITY'!R778)/('RAP TEMPLATE-GAS AVAILABILITY'!O778+'RAP TEMPLATE-GAS AVAILABILITY'!P778+'RAP TEMPLATE-GAS AVAILABILITY'!Q778+'RAP TEMPLATE-GAS AVAILABILITY'!R778)</f>
        <v>56.098520863309354</v>
      </c>
    </row>
    <row r="780" spans="1:29" ht="15.75" x14ac:dyDescent="0.25">
      <c r="A780" s="32">
        <v>64650</v>
      </c>
      <c r="B780" s="14">
        <f>CHOOSE(CONTROL!$C$42, 61.0733, 61.0733) * CHOOSE(CONTROL!$C$21, $C$9, 100%, $E$9)</f>
        <v>61.073300000000003</v>
      </c>
      <c r="C780" s="14">
        <f>CHOOSE(CONTROL!$C$42, 61.0783, 61.0783) * CHOOSE(CONTROL!$C$21, $C$9, 100%, $E$9)</f>
        <v>61.078299999999999</v>
      </c>
      <c r="D780" s="14">
        <f>CHOOSE(CONTROL!$C$42, 61.1525, 61.1525) * CHOOSE(CONTROL!$C$21, $C$9, 100%, $E$9)</f>
        <v>61.152500000000003</v>
      </c>
      <c r="E780" s="14">
        <f>CHOOSE(CONTROL!$C$42, 61.1866, 61.1866) * CHOOSE(CONTROL!$C$21, $C$9, 100%, $E$9)</f>
        <v>61.186599999999999</v>
      </c>
      <c r="F780" s="14">
        <f>CHOOSE(CONTROL!$C$42, 61.1117, 61.1117)*CHOOSE(CONTROL!$C$21, $C$9, 100%, $E$9)</f>
        <v>61.111699999999999</v>
      </c>
      <c r="G780" s="14">
        <f>CHOOSE(CONTROL!$C$42, 61.1298, 61.1298)*CHOOSE(CONTROL!$C$21, $C$9, 100%, $E$9)</f>
        <v>61.129800000000003</v>
      </c>
      <c r="H780" s="14">
        <f>CHOOSE(CONTROL!$C$42, 61.1758, 61.1758) * CHOOSE(CONTROL!$C$21, $C$9, 100%, $E$9)</f>
        <v>61.175800000000002</v>
      </c>
      <c r="I780" s="14">
        <f>CHOOSE(CONTROL!$C$42, 61.292, 61.292)* CHOOSE(CONTROL!$C$21, $C$9, 100%, $E$9)</f>
        <v>61.292000000000002</v>
      </c>
      <c r="J780" s="14">
        <f>CHOOSE(CONTROL!$C$42, 61.1047, 61.1047)* CHOOSE(CONTROL!$C$21, $C$9, 100%, $E$9)</f>
        <v>61.104700000000001</v>
      </c>
      <c r="K780" s="53">
        <f>CHOOSE(CONTROL!$C$42, 61.2881, 61.2881) * CHOOSE(CONTROL!$C$21, $C$9, 100%, $E$9)</f>
        <v>61.2881</v>
      </c>
      <c r="L780" s="14">
        <f>CHOOSE(CONTROL!$C$42, 61.7628, 61.7628) * CHOOSE(CONTROL!$C$21, $C$9, 100%, $E$9)</f>
        <v>61.762799999999999</v>
      </c>
      <c r="M780" s="14">
        <f>CHOOSE(CONTROL!$C$42, 59.8604, 59.8604) * CHOOSE(CONTROL!$C$21, $C$9, 100%, $E$9)</f>
        <v>59.860399999999998</v>
      </c>
      <c r="N780" s="14">
        <f>CHOOSE(CONTROL!$C$42, 59.8781, 59.8781) * CHOOSE(CONTROL!$C$21, $C$9, 100%, $E$9)</f>
        <v>59.878100000000003</v>
      </c>
      <c r="O780" s="14">
        <f>CHOOSE(CONTROL!$C$42, 59.9301, 59.9301) * CHOOSE(CONTROL!$C$21, $C$9, 100%, $E$9)</f>
        <v>59.930100000000003</v>
      </c>
      <c r="P780" s="14">
        <f>CHOOSE(CONTROL!$C$42, 60.0401, 60.0401) * CHOOSE(CONTROL!$C$21, $C$9, 100%, $E$9)</f>
        <v>60.040100000000002</v>
      </c>
      <c r="Q780" s="14">
        <f>CHOOSE(CONTROL!$C$42, 60.5248, 60.5248) * CHOOSE(CONTROL!$C$21, $C$9, 100%, $E$9)</f>
        <v>60.524799999999999</v>
      </c>
      <c r="R780" s="14">
        <f>CHOOSE(CONTROL!$C$42, 61.2631, 61.2631) * CHOOSE(CONTROL!$C$21, $C$9, 100%, $E$9)</f>
        <v>61.263100000000001</v>
      </c>
      <c r="S780" s="14">
        <f>CHOOSE(CONTROL!$C$42, 58.6767, 58.6767) * CHOOSE(CONTROL!$C$21, $C$9, 100%, $E$9)</f>
        <v>58.676699999999997</v>
      </c>
      <c r="T78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80" s="57">
        <f>(1000*CHOOSE(CONTROL!$C$42, 695, 695)*CHOOSE(CONTROL!$C$42, 0.5599, 0.5599)*CHOOSE(CONTROL!$C$42, 31, 31))/1000000</f>
        <v>12.063045499999998</v>
      </c>
      <c r="V780" s="57">
        <f>(1000*CHOOSE(CONTROL!$C$42, 500, 500)*CHOOSE(CONTROL!$C$42, 0.275, 0.275)*CHOOSE(CONTROL!$C$42, 31, 31))/1000000</f>
        <v>4.2625000000000002</v>
      </c>
      <c r="W780" s="57">
        <f>(1000*CHOOSE(CONTROL!$C$42, 0.1146, 0.1146)*CHOOSE(CONTROL!$C$42, 121.5, 121.5)*CHOOSE(CONTROL!$C$42, 31, 31))/1000000</f>
        <v>0.43164089999999994</v>
      </c>
      <c r="X780" s="57">
        <f>(31*0.1790888*100000/1000000)+(31*0.2374*100000/1000000)</f>
        <v>1.2911152800000001</v>
      </c>
      <c r="Y780" s="57"/>
      <c r="Z780" s="14"/>
      <c r="AA780" s="56"/>
      <c r="AB780" s="50">
        <f>(B780*122.58+C780*297.941+D780*89.177+E780*40.302+F780*40+G780*160+H780*0+I780*100+J780*300)/(122.58+297.941+89.177+40.302+0+40+160+100+300)</f>
        <v>61.1211128173913</v>
      </c>
      <c r="AC780" s="45">
        <f>(M780*'RAP TEMPLATE-GAS AVAILABILITY'!O779+N780*'RAP TEMPLATE-GAS AVAILABILITY'!P779+O780*'RAP TEMPLATE-GAS AVAILABILITY'!Q779+P780*'RAP TEMPLATE-GAS AVAILABILITY'!R779)/('RAP TEMPLATE-GAS AVAILABILITY'!O779+'RAP TEMPLATE-GAS AVAILABILITY'!P779+'RAP TEMPLATE-GAS AVAILABILITY'!Q779+'RAP TEMPLATE-GAS AVAILABILITY'!R779)</f>
        <v>59.918865467625906</v>
      </c>
    </row>
    <row r="781" spans="1:29" ht="15.75" x14ac:dyDescent="0.25">
      <c r="A781" s="32">
        <v>64681</v>
      </c>
      <c r="B781" s="14">
        <f>CHOOSE(CONTROL!$C$42, 66.1355, 66.1355) * CHOOSE(CONTROL!$C$21, $C$9, 100%, $E$9)</f>
        <v>66.135499999999993</v>
      </c>
      <c r="C781" s="14">
        <f>CHOOSE(CONTROL!$C$42, 66.1405, 66.1405) * CHOOSE(CONTROL!$C$21, $C$9, 100%, $E$9)</f>
        <v>66.140500000000003</v>
      </c>
      <c r="D781" s="14">
        <f>CHOOSE(CONTROL!$C$42, 66.2174, 66.2174) * CHOOSE(CONTROL!$C$21, $C$9, 100%, $E$9)</f>
        <v>66.217399999999998</v>
      </c>
      <c r="E781" s="14">
        <f>CHOOSE(CONTROL!$C$42, 66.2515, 66.2515) * CHOOSE(CONTROL!$C$21, $C$9, 100%, $E$9)</f>
        <v>66.251499999999993</v>
      </c>
      <c r="F781" s="14">
        <f>CHOOSE(CONTROL!$C$42, 66.1602, 66.1602)*CHOOSE(CONTROL!$C$21, $C$9, 100%, $E$9)</f>
        <v>66.160200000000003</v>
      </c>
      <c r="G781" s="14">
        <f>CHOOSE(CONTROL!$C$42, 66.1782, 66.1782)*CHOOSE(CONTROL!$C$21, $C$9, 100%, $E$9)</f>
        <v>66.178200000000004</v>
      </c>
      <c r="H781" s="14">
        <f>CHOOSE(CONTROL!$C$42, 66.2407, 66.2407) * CHOOSE(CONTROL!$C$21, $C$9, 100%, $E$9)</f>
        <v>66.240700000000004</v>
      </c>
      <c r="I781" s="14">
        <f>CHOOSE(CONTROL!$C$42, 66.3763, 66.3763)* CHOOSE(CONTROL!$C$21, $C$9, 100%, $E$9)</f>
        <v>66.376300000000001</v>
      </c>
      <c r="J781" s="14">
        <f>CHOOSE(CONTROL!$C$42, 66.1532, 66.1532)* CHOOSE(CONTROL!$C$21, $C$9, 100%, $E$9)</f>
        <v>66.153199999999998</v>
      </c>
      <c r="K781" s="53">
        <f>CHOOSE(CONTROL!$C$42, 66.3724, 66.3724) * CHOOSE(CONTROL!$C$21, $C$9, 100%, $E$9)</f>
        <v>66.372399999999999</v>
      </c>
      <c r="L781" s="14">
        <f>CHOOSE(CONTROL!$C$42, 66.8277, 66.8277) * CHOOSE(CONTROL!$C$21, $C$9, 100%, $E$9)</f>
        <v>66.827699999999993</v>
      </c>
      <c r="M781" s="14">
        <f>CHOOSE(CONTROL!$C$42, 64.8055, 64.8055) * CHOOSE(CONTROL!$C$21, $C$9, 100%, $E$9)</f>
        <v>64.805499999999995</v>
      </c>
      <c r="N781" s="14">
        <f>CHOOSE(CONTROL!$C$42, 64.8231, 64.8231) * CHOOSE(CONTROL!$C$21, $C$9, 100%, $E$9)</f>
        <v>64.823099999999997</v>
      </c>
      <c r="O781" s="14">
        <f>CHOOSE(CONTROL!$C$42, 64.8911, 64.8911) * CHOOSE(CONTROL!$C$21, $C$9, 100%, $E$9)</f>
        <v>64.891099999999994</v>
      </c>
      <c r="P781" s="14">
        <f>CHOOSE(CONTROL!$C$42, 65.0199, 65.0199) * CHOOSE(CONTROL!$C$21, $C$9, 100%, $E$9)</f>
        <v>65.019900000000007</v>
      </c>
      <c r="Q781" s="14">
        <f>CHOOSE(CONTROL!$C$42, 65.4858, 65.4858) * CHOOSE(CONTROL!$C$21, $C$9, 100%, $E$9)</f>
        <v>65.485799999999998</v>
      </c>
      <c r="R781" s="14">
        <f>CHOOSE(CONTROL!$C$42, 66.2365, 66.2365) * CHOOSE(CONTROL!$C$21, $C$9, 100%, $E$9)</f>
        <v>66.236500000000007</v>
      </c>
      <c r="S781" s="14">
        <f>CHOOSE(CONTROL!$C$42, 63.541, 63.541) * CHOOSE(CONTROL!$C$21, $C$9, 100%, $E$9)</f>
        <v>63.540999999999997</v>
      </c>
      <c r="T78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81" s="57">
        <f>(1000*CHOOSE(CONTROL!$C$42, 695, 695)*CHOOSE(CONTROL!$C$42, 0.5599, 0.5599)*CHOOSE(CONTROL!$C$42, 31, 31))/1000000</f>
        <v>12.063045499999998</v>
      </c>
      <c r="V781" s="57">
        <f>(1000*CHOOSE(CONTROL!$C$42, 500, 500)*CHOOSE(CONTROL!$C$42, 0.275, 0.275)*CHOOSE(CONTROL!$C$42, 31, 31))/1000000</f>
        <v>4.2625000000000002</v>
      </c>
      <c r="W781" s="57">
        <f>(1000*CHOOSE(CONTROL!$C$42, 0.1146, 0.1146)*CHOOSE(CONTROL!$C$42, 121.5, 121.5)*CHOOSE(CONTROL!$C$42, 31, 31))/1000000</f>
        <v>0.43164089999999994</v>
      </c>
      <c r="X781" s="57">
        <f>(31*0.1790888*100000/1000000)+(31*0.2374*100000/1000000)</f>
        <v>1.2911152800000001</v>
      </c>
      <c r="Y781" s="57"/>
      <c r="Z781" s="14"/>
      <c r="AA781" s="56"/>
      <c r="AB781" s="50">
        <f>(B781*122.58+C781*297.941+D781*89.177+E781*40.302+F781*40+G781*160+H781*0+I781*100+J781*300)/(122.58+297.941+89.177+40.302+0+40+160+100+300)</f>
        <v>66.179568115913042</v>
      </c>
      <c r="AC781" s="45">
        <f>(M781*'RAP TEMPLATE-GAS AVAILABILITY'!O780+N781*'RAP TEMPLATE-GAS AVAILABILITY'!P780+O781*'RAP TEMPLATE-GAS AVAILABILITY'!Q780+P781*'RAP TEMPLATE-GAS AVAILABILITY'!R780)/('RAP TEMPLATE-GAS AVAILABILITY'!O780+'RAP TEMPLATE-GAS AVAILABILITY'!P780+'RAP TEMPLATE-GAS AVAILABILITY'!Q780+'RAP TEMPLATE-GAS AVAILABILITY'!R780)</f>
        <v>64.876158992805742</v>
      </c>
    </row>
    <row r="782" spans="1:29" ht="15.75" x14ac:dyDescent="0.25">
      <c r="A782" s="32">
        <v>64709</v>
      </c>
      <c r="B782" s="14">
        <f>CHOOSE(CONTROL!$C$42, 67.3126, 67.3126) * CHOOSE(CONTROL!$C$21, $C$9, 100%, $E$9)</f>
        <v>67.312600000000003</v>
      </c>
      <c r="C782" s="14">
        <f>CHOOSE(CONTROL!$C$42, 67.3177, 67.3177) * CHOOSE(CONTROL!$C$21, $C$9, 100%, $E$9)</f>
        <v>67.317700000000002</v>
      </c>
      <c r="D782" s="14">
        <f>CHOOSE(CONTROL!$C$42, 67.3945, 67.3945) * CHOOSE(CONTROL!$C$21, $C$9, 100%, $E$9)</f>
        <v>67.394499999999994</v>
      </c>
      <c r="E782" s="14">
        <f>CHOOSE(CONTROL!$C$42, 67.4286, 67.4286) * CHOOSE(CONTROL!$C$21, $C$9, 100%, $E$9)</f>
        <v>67.428600000000003</v>
      </c>
      <c r="F782" s="14">
        <f>CHOOSE(CONTROL!$C$42, 67.337, 67.337)*CHOOSE(CONTROL!$C$21, $C$9, 100%, $E$9)</f>
        <v>67.337000000000003</v>
      </c>
      <c r="G782" s="14">
        <f>CHOOSE(CONTROL!$C$42, 67.3548, 67.3548)*CHOOSE(CONTROL!$C$21, $C$9, 100%, $E$9)</f>
        <v>67.354799999999997</v>
      </c>
      <c r="H782" s="14">
        <f>CHOOSE(CONTROL!$C$42, 67.4178, 67.4178) * CHOOSE(CONTROL!$C$21, $C$9, 100%, $E$9)</f>
        <v>67.4178</v>
      </c>
      <c r="I782" s="14">
        <f>CHOOSE(CONTROL!$C$42, 67.5572, 67.5572)* CHOOSE(CONTROL!$C$21, $C$9, 100%, $E$9)</f>
        <v>67.557199999999995</v>
      </c>
      <c r="J782" s="14">
        <f>CHOOSE(CONTROL!$C$42, 67.33, 67.33)* CHOOSE(CONTROL!$C$21, $C$9, 100%, $E$9)</f>
        <v>67.33</v>
      </c>
      <c r="K782" s="53">
        <f>CHOOSE(CONTROL!$C$42, 67.5533, 67.5533) * CHOOSE(CONTROL!$C$21, $C$9, 100%, $E$9)</f>
        <v>67.553299999999993</v>
      </c>
      <c r="L782" s="14">
        <f>CHOOSE(CONTROL!$C$42, 68.0048, 68.0048) * CHOOSE(CONTROL!$C$21, $C$9, 100%, $E$9)</f>
        <v>68.004800000000003</v>
      </c>
      <c r="M782" s="14">
        <f>CHOOSE(CONTROL!$C$42, 65.9581, 65.9581) * CHOOSE(CONTROL!$C$21, $C$9, 100%, $E$9)</f>
        <v>65.958100000000002</v>
      </c>
      <c r="N782" s="14">
        <f>CHOOSE(CONTROL!$C$42, 65.9756, 65.9756) * CHOOSE(CONTROL!$C$21, $C$9, 100%, $E$9)</f>
        <v>65.9756</v>
      </c>
      <c r="O782" s="14">
        <f>CHOOSE(CONTROL!$C$42, 66.0442, 66.0442) * CHOOSE(CONTROL!$C$21, $C$9, 100%, $E$9)</f>
        <v>66.044200000000004</v>
      </c>
      <c r="P782" s="14">
        <f>CHOOSE(CONTROL!$C$42, 66.1765, 66.1765) * CHOOSE(CONTROL!$C$21, $C$9, 100%, $E$9)</f>
        <v>66.176500000000004</v>
      </c>
      <c r="Q782" s="14">
        <f>CHOOSE(CONTROL!$C$42, 66.6389, 66.6389) * CHOOSE(CONTROL!$C$21, $C$9, 100%, $E$9)</f>
        <v>66.638900000000007</v>
      </c>
      <c r="R782" s="14">
        <f>CHOOSE(CONTROL!$C$42, 67.3924, 67.3924) * CHOOSE(CONTROL!$C$21, $C$9, 100%, $E$9)</f>
        <v>67.392399999999995</v>
      </c>
      <c r="S782" s="14">
        <f>CHOOSE(CONTROL!$C$42, 64.6722, 64.6722) * CHOOSE(CONTROL!$C$21, $C$9, 100%, $E$9)</f>
        <v>64.672200000000004</v>
      </c>
      <c r="T78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82" s="57">
        <f>(1000*CHOOSE(CONTROL!$C$42, 695, 695)*CHOOSE(CONTROL!$C$42, 0.5599, 0.5599)*CHOOSE(CONTROL!$C$42, 28, 28))/1000000</f>
        <v>10.895653999999999</v>
      </c>
      <c r="V782" s="57">
        <f>(1000*CHOOSE(CONTROL!$C$42, 500, 500)*CHOOSE(CONTROL!$C$42, 0.275, 0.275)*CHOOSE(CONTROL!$C$42, 28, 28))/1000000</f>
        <v>3.85</v>
      </c>
      <c r="W782" s="57">
        <f>(1000*CHOOSE(CONTROL!$C$42, 0.1146, 0.1146)*CHOOSE(CONTROL!$C$42, 121.5, 121.5)*CHOOSE(CONTROL!$C$42, 28, 28))/1000000</f>
        <v>0.38986920000000003</v>
      </c>
      <c r="X782" s="57">
        <f>(28*0.1790888*100000/1000000)+(28*0.2374*100000/1000000)</f>
        <v>1.16616864</v>
      </c>
      <c r="Y782" s="57"/>
      <c r="Z782" s="14"/>
      <c r="AA782" s="56"/>
      <c r="AB782" s="50">
        <f>(B782*122.58+C782*297.941+D782*89.177+E782*40.302+F782*40+G782*160+H782*0+I782*100+J782*300)/(122.58+297.941+89.177+40.302+0+40+160+100+300)</f>
        <v>67.356866197739137</v>
      </c>
      <c r="AC782" s="45">
        <f>(M782*'RAP TEMPLATE-GAS AVAILABILITY'!O781+N782*'RAP TEMPLATE-GAS AVAILABILITY'!P781+O782*'RAP TEMPLATE-GAS AVAILABILITY'!Q781+P782*'RAP TEMPLATE-GAS AVAILABILITY'!R781)/('RAP TEMPLATE-GAS AVAILABILITY'!O781+'RAP TEMPLATE-GAS AVAILABILITY'!P781+'RAP TEMPLATE-GAS AVAILABILITY'!Q781+'RAP TEMPLATE-GAS AVAILABILITY'!R781)</f>
        <v>66.02955539568346</v>
      </c>
    </row>
    <row r="783" spans="1:29" ht="15.75" x14ac:dyDescent="0.25">
      <c r="A783" s="32">
        <v>64740</v>
      </c>
      <c r="B783" s="14">
        <f>CHOOSE(CONTROL!$C$42, 65.4018, 65.4018) * CHOOSE(CONTROL!$C$21, $C$9, 100%, $E$9)</f>
        <v>65.401799999999994</v>
      </c>
      <c r="C783" s="14">
        <f>CHOOSE(CONTROL!$C$42, 65.4069, 65.4069) * CHOOSE(CONTROL!$C$21, $C$9, 100%, $E$9)</f>
        <v>65.406899999999993</v>
      </c>
      <c r="D783" s="14">
        <f>CHOOSE(CONTROL!$C$42, 65.4837, 65.4837) * CHOOSE(CONTROL!$C$21, $C$9, 100%, $E$9)</f>
        <v>65.483699999999999</v>
      </c>
      <c r="E783" s="14">
        <f>CHOOSE(CONTROL!$C$42, 65.5178, 65.5178) * CHOOSE(CONTROL!$C$21, $C$9, 100%, $E$9)</f>
        <v>65.517799999999994</v>
      </c>
      <c r="F783" s="14">
        <f>CHOOSE(CONTROL!$C$42, 65.4253, 65.4253)*CHOOSE(CONTROL!$C$21, $C$9, 100%, $E$9)</f>
        <v>65.425299999999993</v>
      </c>
      <c r="G783" s="14">
        <f>CHOOSE(CONTROL!$C$42, 65.4429, 65.4429)*CHOOSE(CONTROL!$C$21, $C$9, 100%, $E$9)</f>
        <v>65.442899999999995</v>
      </c>
      <c r="H783" s="14">
        <f>CHOOSE(CONTROL!$C$42, 65.507, 65.507) * CHOOSE(CONTROL!$C$21, $C$9, 100%, $E$9)</f>
        <v>65.507000000000005</v>
      </c>
      <c r="I783" s="14">
        <f>CHOOSE(CONTROL!$C$42, 65.6404, 65.6404)* CHOOSE(CONTROL!$C$21, $C$9, 100%, $E$9)</f>
        <v>65.6404</v>
      </c>
      <c r="J783" s="14">
        <f>CHOOSE(CONTROL!$C$42, 65.4183, 65.4183)* CHOOSE(CONTROL!$C$21, $C$9, 100%, $E$9)</f>
        <v>65.418300000000002</v>
      </c>
      <c r="K783" s="53">
        <f>CHOOSE(CONTROL!$C$42, 65.6365, 65.6365) * CHOOSE(CONTROL!$C$21, $C$9, 100%, $E$9)</f>
        <v>65.636499999999998</v>
      </c>
      <c r="L783" s="14">
        <f>CHOOSE(CONTROL!$C$42, 66.094, 66.094) * CHOOSE(CONTROL!$C$21, $C$9, 100%, $E$9)</f>
        <v>66.093999999999994</v>
      </c>
      <c r="M783" s="14">
        <f>CHOOSE(CONTROL!$C$42, 64.0856, 64.0856) * CHOOSE(CONTROL!$C$21, $C$9, 100%, $E$9)</f>
        <v>64.085599999999999</v>
      </c>
      <c r="N783" s="14">
        <f>CHOOSE(CONTROL!$C$42, 64.1029, 64.1029) * CHOOSE(CONTROL!$C$21, $C$9, 100%, $E$9)</f>
        <v>64.102900000000005</v>
      </c>
      <c r="O783" s="14">
        <f>CHOOSE(CONTROL!$C$42, 64.1725, 64.1725) * CHOOSE(CONTROL!$C$21, $C$9, 100%, $E$9)</f>
        <v>64.172499999999999</v>
      </c>
      <c r="P783" s="14">
        <f>CHOOSE(CONTROL!$C$42, 64.2991, 64.2991) * CHOOSE(CONTROL!$C$21, $C$9, 100%, $E$9)</f>
        <v>64.299099999999996</v>
      </c>
      <c r="Q783" s="14">
        <f>CHOOSE(CONTROL!$C$42, 64.7672, 64.7672) * CHOOSE(CONTROL!$C$21, $C$9, 100%, $E$9)</f>
        <v>64.767200000000003</v>
      </c>
      <c r="R783" s="14">
        <f>CHOOSE(CONTROL!$C$42, 65.5161, 65.5161) * CHOOSE(CONTROL!$C$21, $C$9, 100%, $E$9)</f>
        <v>65.516099999999994</v>
      </c>
      <c r="S783" s="14">
        <f>CHOOSE(CONTROL!$C$42, 62.8361, 62.8361) * CHOOSE(CONTROL!$C$21, $C$9, 100%, $E$9)</f>
        <v>62.836100000000002</v>
      </c>
      <c r="T78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83" s="57">
        <f>(1000*CHOOSE(CONTROL!$C$42, 695, 695)*CHOOSE(CONTROL!$C$42, 0.5599, 0.5599)*CHOOSE(CONTROL!$C$42, 31, 31))/1000000</f>
        <v>12.063045499999998</v>
      </c>
      <c r="V783" s="57">
        <f>(1000*CHOOSE(CONTROL!$C$42, 500, 500)*CHOOSE(CONTROL!$C$42, 0.275, 0.275)*CHOOSE(CONTROL!$C$42, 31, 31))/1000000</f>
        <v>4.2625000000000002</v>
      </c>
      <c r="W783" s="57">
        <f>(1000*CHOOSE(CONTROL!$C$42, 0.1146, 0.1146)*CHOOSE(CONTROL!$C$42, 121.5, 121.5)*CHOOSE(CONTROL!$C$42, 31, 31))/1000000</f>
        <v>0.43164089999999994</v>
      </c>
      <c r="X783" s="57">
        <f>(31*0.1790888*100000/1000000)+(31*0.2374*100000/1000000)</f>
        <v>1.2911152800000001</v>
      </c>
      <c r="Y783" s="57"/>
      <c r="Z783" s="14"/>
      <c r="AA783" s="56"/>
      <c r="AB783" s="50">
        <f>(B783*122.58+C783*297.941+D783*89.177+E783*40.302+F783*40+G783*160+H783*0+I783*100+J783*300)/(122.58+297.941+89.177+40.302+0+40+160+100+300)</f>
        <v>65.445125328173916</v>
      </c>
      <c r="AC783" s="45">
        <f>(M783*'RAP TEMPLATE-GAS AVAILABILITY'!O782+N783*'RAP TEMPLATE-GAS AVAILABILITY'!P782+O783*'RAP TEMPLATE-GAS AVAILABILITY'!Q782+P783*'RAP TEMPLATE-GAS AVAILABILITY'!R782)/('RAP TEMPLATE-GAS AVAILABILITY'!O782+'RAP TEMPLATE-GAS AVAILABILITY'!P782+'RAP TEMPLATE-GAS AVAILABILITY'!Q782+'RAP TEMPLATE-GAS AVAILABILITY'!R782)</f>
        <v>64.156701438848927</v>
      </c>
    </row>
    <row r="784" spans="1:29" ht="15.75" x14ac:dyDescent="0.25">
      <c r="A784" s="32">
        <v>64770</v>
      </c>
      <c r="B784" s="14">
        <f>CHOOSE(CONTROL!$C$42, 65.207, 65.207) * CHOOSE(CONTROL!$C$21, $C$9, 100%, $E$9)</f>
        <v>65.206999999999994</v>
      </c>
      <c r="C784" s="14">
        <f>CHOOSE(CONTROL!$C$42, 65.2115, 65.2115) * CHOOSE(CONTROL!$C$21, $C$9, 100%, $E$9)</f>
        <v>65.211500000000001</v>
      </c>
      <c r="D784" s="14">
        <f>CHOOSE(CONTROL!$C$42, 65.4353, 65.4353) * CHOOSE(CONTROL!$C$21, $C$9, 100%, $E$9)</f>
        <v>65.435299999999998</v>
      </c>
      <c r="E784" s="14">
        <f>CHOOSE(CONTROL!$C$42, 65.4674, 65.4674) * CHOOSE(CONTROL!$C$21, $C$9, 100%, $E$9)</f>
        <v>65.467399999999998</v>
      </c>
      <c r="F784" s="14">
        <f>CHOOSE(CONTROL!$C$42, 65.2347, 65.2347)*CHOOSE(CONTROL!$C$21, $C$9, 100%, $E$9)</f>
        <v>65.234700000000004</v>
      </c>
      <c r="G784" s="14">
        <f>CHOOSE(CONTROL!$C$42, 65.2516, 65.2516)*CHOOSE(CONTROL!$C$21, $C$9, 100%, $E$9)</f>
        <v>65.251599999999996</v>
      </c>
      <c r="H784" s="14">
        <f>CHOOSE(CONTROL!$C$42, 65.4571, 65.4571) * CHOOSE(CONTROL!$C$21, $C$9, 100%, $E$9)</f>
        <v>65.457099999999997</v>
      </c>
      <c r="I784" s="14">
        <f>CHOOSE(CONTROL!$C$42, 65.4405, 65.4405)* CHOOSE(CONTROL!$C$21, $C$9, 100%, $E$9)</f>
        <v>65.4405</v>
      </c>
      <c r="J784" s="14">
        <f>CHOOSE(CONTROL!$C$42, 65.2277, 65.2277)* CHOOSE(CONTROL!$C$21, $C$9, 100%, $E$9)</f>
        <v>65.227699999999999</v>
      </c>
      <c r="K784" s="53">
        <f>CHOOSE(CONTROL!$C$42, 65.4367, 65.4367) * CHOOSE(CONTROL!$C$21, $C$9, 100%, $E$9)</f>
        <v>65.436700000000002</v>
      </c>
      <c r="L784" s="14">
        <f>CHOOSE(CONTROL!$C$42, 66.0441, 66.0441) * CHOOSE(CONTROL!$C$21, $C$9, 100%, $E$9)</f>
        <v>66.0441</v>
      </c>
      <c r="M784" s="14">
        <f>CHOOSE(CONTROL!$C$42, 63.899, 63.899) * CHOOSE(CONTROL!$C$21, $C$9, 100%, $E$9)</f>
        <v>63.899000000000001</v>
      </c>
      <c r="N784" s="14">
        <f>CHOOSE(CONTROL!$C$42, 63.9155, 63.9155) * CHOOSE(CONTROL!$C$21, $C$9, 100%, $E$9)</f>
        <v>63.915500000000002</v>
      </c>
      <c r="O784" s="14">
        <f>CHOOSE(CONTROL!$C$42, 64.1237, 64.1237) * CHOOSE(CONTROL!$C$21, $C$9, 100%, $E$9)</f>
        <v>64.123699999999999</v>
      </c>
      <c r="P784" s="14">
        <f>CHOOSE(CONTROL!$C$42, 64.1034, 64.1034) * CHOOSE(CONTROL!$C$21, $C$9, 100%, $E$9)</f>
        <v>64.103399999999993</v>
      </c>
      <c r="Q784" s="14">
        <f>CHOOSE(CONTROL!$C$42, 64.7184, 64.7184) * CHOOSE(CONTROL!$C$21, $C$9, 100%, $E$9)</f>
        <v>64.718400000000003</v>
      </c>
      <c r="R784" s="14">
        <f>CHOOSE(CONTROL!$C$42, 65.4672, 65.4672) * CHOOSE(CONTROL!$C$21, $C$9, 100%, $E$9)</f>
        <v>65.467200000000005</v>
      </c>
      <c r="S784" s="14">
        <f>CHOOSE(CONTROL!$C$42, 62.6482, 62.6482) * CHOOSE(CONTROL!$C$21, $C$9, 100%, $E$9)</f>
        <v>62.648200000000003</v>
      </c>
      <c r="T78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84" s="57">
        <f>(1000*CHOOSE(CONTROL!$C$42, 695, 695)*CHOOSE(CONTROL!$C$42, 0.5599, 0.5599)*CHOOSE(CONTROL!$C$42, 30, 30))/1000000</f>
        <v>11.673914999999997</v>
      </c>
      <c r="V784" s="57">
        <f>(1000*CHOOSE(CONTROL!$C$42, 500, 500)*CHOOSE(CONTROL!$C$42, 0.275, 0.275)*CHOOSE(CONTROL!$C$42, 30, 30))/1000000</f>
        <v>4.125</v>
      </c>
      <c r="W784" s="57">
        <f>(1000*CHOOSE(CONTROL!$C$42, 0.1146, 0.1146)*CHOOSE(CONTROL!$C$42, 121.5, 121.5)*CHOOSE(CONTROL!$C$42, 30, 30))/1000000</f>
        <v>0.417717</v>
      </c>
      <c r="X784" s="57">
        <f>(30*0.1790888*245000/1000000)+(30*0.2374*100000/1000000)</f>
        <v>2.0285026799999999</v>
      </c>
      <c r="Y784" s="57"/>
      <c r="Z784" s="14"/>
      <c r="AA784" s="56"/>
      <c r="AB784" s="50">
        <f>(B784*141.293+C784*267.993+D784*115.016+E784*89.698+F784*40+G784*185+H784*0+I784*100+J784*300)/(141.293+267.993+115.016+89.698+0+40+185+100+300)</f>
        <v>65.279429766343824</v>
      </c>
      <c r="AC784" s="45">
        <f>(M784*'RAP TEMPLATE-GAS AVAILABILITY'!O783+N784*'RAP TEMPLATE-GAS AVAILABILITY'!P783+O784*'RAP TEMPLATE-GAS AVAILABILITY'!Q783+P784*'RAP TEMPLATE-GAS AVAILABILITY'!R783)/('RAP TEMPLATE-GAS AVAILABILITY'!O783+'RAP TEMPLATE-GAS AVAILABILITY'!P783+'RAP TEMPLATE-GAS AVAILABILITY'!Q783+'RAP TEMPLATE-GAS AVAILABILITY'!R783)</f>
        <v>64.031202158273373</v>
      </c>
    </row>
    <row r="785" spans="1:29" ht="15.75" x14ac:dyDescent="0.25">
      <c r="A785" s="32">
        <v>64801</v>
      </c>
      <c r="B785" s="14">
        <f>CHOOSE(CONTROL!$C$42, 65.7839, 65.7839) * CHOOSE(CONTROL!$C$21, $C$9, 100%, $E$9)</f>
        <v>65.783900000000003</v>
      </c>
      <c r="C785" s="14">
        <f>CHOOSE(CONTROL!$C$42, 65.7919, 65.7919) * CHOOSE(CONTROL!$C$21, $C$9, 100%, $E$9)</f>
        <v>65.791899999999998</v>
      </c>
      <c r="D785" s="14">
        <f>CHOOSE(CONTROL!$C$42, 66.0125, 66.0125) * CHOOSE(CONTROL!$C$21, $C$9, 100%, $E$9)</f>
        <v>66.012500000000003</v>
      </c>
      <c r="E785" s="14">
        <f>CHOOSE(CONTROL!$C$42, 66.044, 66.044) * CHOOSE(CONTROL!$C$21, $C$9, 100%, $E$9)</f>
        <v>66.043999999999997</v>
      </c>
      <c r="F785" s="14">
        <f>CHOOSE(CONTROL!$C$42, 65.8101, 65.8101)*CHOOSE(CONTROL!$C$21, $C$9, 100%, $E$9)</f>
        <v>65.810100000000006</v>
      </c>
      <c r="G785" s="14">
        <f>CHOOSE(CONTROL!$C$42, 65.8273, 65.8273)*CHOOSE(CONTROL!$C$21, $C$9, 100%, $E$9)</f>
        <v>65.827299999999994</v>
      </c>
      <c r="H785" s="14">
        <f>CHOOSE(CONTROL!$C$42, 66.0326, 66.0326) * CHOOSE(CONTROL!$C$21, $C$9, 100%, $E$9)</f>
        <v>66.032600000000002</v>
      </c>
      <c r="I785" s="14">
        <f>CHOOSE(CONTROL!$C$42, 66.0178, 66.0178)* CHOOSE(CONTROL!$C$21, $C$9, 100%, $E$9)</f>
        <v>66.017799999999994</v>
      </c>
      <c r="J785" s="14">
        <f>CHOOSE(CONTROL!$C$42, 65.8031, 65.8031)* CHOOSE(CONTROL!$C$21, $C$9, 100%, $E$9)</f>
        <v>65.803100000000001</v>
      </c>
      <c r="K785" s="53">
        <f>CHOOSE(CONTROL!$C$42, 66.0139, 66.0139) * CHOOSE(CONTROL!$C$21, $C$9, 100%, $E$9)</f>
        <v>66.013900000000007</v>
      </c>
      <c r="L785" s="14">
        <f>CHOOSE(CONTROL!$C$42, 66.6196, 66.6196) * CHOOSE(CONTROL!$C$21, $C$9, 100%, $E$9)</f>
        <v>66.619600000000005</v>
      </c>
      <c r="M785" s="14">
        <f>CHOOSE(CONTROL!$C$42, 64.4626, 64.4626) * CHOOSE(CONTROL!$C$21, $C$9, 100%, $E$9)</f>
        <v>64.462599999999995</v>
      </c>
      <c r="N785" s="14">
        <f>CHOOSE(CONTROL!$C$42, 64.4793, 64.4793) * CHOOSE(CONTROL!$C$21, $C$9, 100%, $E$9)</f>
        <v>64.479299999999995</v>
      </c>
      <c r="O785" s="14">
        <f>CHOOSE(CONTROL!$C$42, 64.6873, 64.6873) * CHOOSE(CONTROL!$C$21, $C$9, 100%, $E$9)</f>
        <v>64.687299999999993</v>
      </c>
      <c r="P785" s="14">
        <f>CHOOSE(CONTROL!$C$42, 64.6688, 64.6688) * CHOOSE(CONTROL!$C$21, $C$9, 100%, $E$9)</f>
        <v>64.668800000000005</v>
      </c>
      <c r="Q785" s="14">
        <f>CHOOSE(CONTROL!$C$42, 65.282, 65.282) * CHOOSE(CONTROL!$C$21, $C$9, 100%, $E$9)</f>
        <v>65.281999999999996</v>
      </c>
      <c r="R785" s="14">
        <f>CHOOSE(CONTROL!$C$42, 66.0322, 66.0322) * CHOOSE(CONTROL!$C$21, $C$9, 100%, $E$9)</f>
        <v>66.032200000000003</v>
      </c>
      <c r="S785" s="14">
        <f>CHOOSE(CONTROL!$C$42, 63.2011, 63.2011) * CHOOSE(CONTROL!$C$21, $C$9, 100%, $E$9)</f>
        <v>63.201099999999997</v>
      </c>
      <c r="T78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85" s="57">
        <f>(1000*CHOOSE(CONTROL!$C$42, 695, 695)*CHOOSE(CONTROL!$C$42, 0.5599, 0.5599)*CHOOSE(CONTROL!$C$42, 31, 31))/1000000</f>
        <v>12.063045499999998</v>
      </c>
      <c r="V785" s="57">
        <f>(1000*CHOOSE(CONTROL!$C$42, 500, 500)*CHOOSE(CONTROL!$C$42, 0.275, 0.275)*CHOOSE(CONTROL!$C$42, 31, 31))/1000000</f>
        <v>4.2625000000000002</v>
      </c>
      <c r="W785" s="57">
        <f>(1000*CHOOSE(CONTROL!$C$42, 0.1146, 0.1146)*CHOOSE(CONTROL!$C$42, 121.5, 121.5)*CHOOSE(CONTROL!$C$42, 31, 31))/1000000</f>
        <v>0.43164089999999994</v>
      </c>
      <c r="X785" s="57">
        <f>(31*0.1790888*245000/1000000)+(31*0.2374*100000/1000000)</f>
        <v>2.0961194359999999</v>
      </c>
      <c r="Y785" s="57"/>
      <c r="Z785" s="14"/>
      <c r="AA785" s="56"/>
      <c r="AB785" s="50">
        <f>(B785*194.205+C785*267.466+D785*133.845+E785*53.484+F785*40+G785*185+H785*0+I785*100+J785*300)/(194.205+267.466+133.845+53.484+0+40+185+100+300)</f>
        <v>65.850520787598128</v>
      </c>
      <c r="AC785" s="45">
        <f>(M785*'RAP TEMPLATE-GAS AVAILABILITY'!O784+N785*'RAP TEMPLATE-GAS AVAILABILITY'!P784+O785*'RAP TEMPLATE-GAS AVAILABILITY'!Q784+P785*'RAP TEMPLATE-GAS AVAILABILITY'!R784)/('RAP TEMPLATE-GAS AVAILABILITY'!O784+'RAP TEMPLATE-GAS AVAILABILITY'!P784+'RAP TEMPLATE-GAS AVAILABILITY'!Q784+'RAP TEMPLATE-GAS AVAILABILITY'!R784)</f>
        <v>64.595072661870503</v>
      </c>
    </row>
    <row r="786" spans="1:29" ht="15.75" x14ac:dyDescent="0.25">
      <c r="A786" s="32">
        <v>64831</v>
      </c>
      <c r="B786" s="14">
        <f>CHOOSE(CONTROL!$C$42, 67.6496, 67.6496) * CHOOSE(CONTROL!$C$21, $C$9, 100%, $E$9)</f>
        <v>67.649600000000007</v>
      </c>
      <c r="C786" s="14">
        <f>CHOOSE(CONTROL!$C$42, 67.6576, 67.6576) * CHOOSE(CONTROL!$C$21, $C$9, 100%, $E$9)</f>
        <v>67.657600000000002</v>
      </c>
      <c r="D786" s="14">
        <f>CHOOSE(CONTROL!$C$42, 67.8782, 67.8782) * CHOOSE(CONTROL!$C$21, $C$9, 100%, $E$9)</f>
        <v>67.878200000000007</v>
      </c>
      <c r="E786" s="14">
        <f>CHOOSE(CONTROL!$C$42, 67.9097, 67.9097) * CHOOSE(CONTROL!$C$21, $C$9, 100%, $E$9)</f>
        <v>67.909700000000001</v>
      </c>
      <c r="F786" s="14">
        <f>CHOOSE(CONTROL!$C$42, 67.6762, 67.6762)*CHOOSE(CONTROL!$C$21, $C$9, 100%, $E$9)</f>
        <v>67.676199999999994</v>
      </c>
      <c r="G786" s="14">
        <f>CHOOSE(CONTROL!$C$42, 67.6934, 67.6934)*CHOOSE(CONTROL!$C$21, $C$9, 100%, $E$9)</f>
        <v>67.693399999999997</v>
      </c>
      <c r="H786" s="14">
        <f>CHOOSE(CONTROL!$C$42, 67.8983, 67.8983) * CHOOSE(CONTROL!$C$21, $C$9, 100%, $E$9)</f>
        <v>67.898300000000006</v>
      </c>
      <c r="I786" s="14">
        <f>CHOOSE(CONTROL!$C$42, 67.8893, 67.8893)* CHOOSE(CONTROL!$C$21, $C$9, 100%, $E$9)</f>
        <v>67.889300000000006</v>
      </c>
      <c r="J786" s="14">
        <f>CHOOSE(CONTROL!$C$42, 67.6692, 67.6692)* CHOOSE(CONTROL!$C$21, $C$9, 100%, $E$9)</f>
        <v>67.669200000000004</v>
      </c>
      <c r="K786" s="53">
        <f>CHOOSE(CONTROL!$C$42, 67.8855, 67.8855) * CHOOSE(CONTROL!$C$21, $C$9, 100%, $E$9)</f>
        <v>67.885499999999993</v>
      </c>
      <c r="L786" s="14">
        <f>CHOOSE(CONTROL!$C$42, 68.4853, 68.4853) * CHOOSE(CONTROL!$C$21, $C$9, 100%, $E$9)</f>
        <v>68.485299999999995</v>
      </c>
      <c r="M786" s="14">
        <f>CHOOSE(CONTROL!$C$42, 66.2904, 66.2904) * CHOOSE(CONTROL!$C$21, $C$9, 100%, $E$9)</f>
        <v>66.290400000000005</v>
      </c>
      <c r="N786" s="14">
        <f>CHOOSE(CONTROL!$C$42, 66.3073, 66.3073) * CHOOSE(CONTROL!$C$21, $C$9, 100%, $E$9)</f>
        <v>66.307299999999998</v>
      </c>
      <c r="O786" s="14">
        <f>CHOOSE(CONTROL!$C$42, 66.5148, 66.5148) * CHOOSE(CONTROL!$C$21, $C$9, 100%, $E$9)</f>
        <v>66.514799999999994</v>
      </c>
      <c r="P786" s="14">
        <f>CHOOSE(CONTROL!$C$42, 66.5018, 66.5018) * CHOOSE(CONTROL!$C$21, $C$9, 100%, $E$9)</f>
        <v>66.501800000000003</v>
      </c>
      <c r="Q786" s="14">
        <f>CHOOSE(CONTROL!$C$42, 67.1095, 67.1095) * CHOOSE(CONTROL!$C$21, $C$9, 100%, $E$9)</f>
        <v>67.109499999999997</v>
      </c>
      <c r="R786" s="14">
        <f>CHOOSE(CONTROL!$C$42, 67.8643, 67.8643) * CHOOSE(CONTROL!$C$21, $C$9, 100%, $E$9)</f>
        <v>67.8643</v>
      </c>
      <c r="S786" s="14">
        <f>CHOOSE(CONTROL!$C$42, 64.9939, 64.9939) * CHOOSE(CONTROL!$C$21, $C$9, 100%, $E$9)</f>
        <v>64.993899999999996</v>
      </c>
      <c r="T78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6" s="57">
        <f>(1000*CHOOSE(CONTROL!$C$42, 695, 695)*CHOOSE(CONTROL!$C$42, 0.5599, 0.5599)*CHOOSE(CONTROL!$C$42, 30, 30))/1000000</f>
        <v>11.673914999999997</v>
      </c>
      <c r="V786" s="57">
        <f>(1000*CHOOSE(CONTROL!$C$42, 500, 500)*CHOOSE(CONTROL!$C$42, 0.275, 0.275)*CHOOSE(CONTROL!$C$42, 30, 30))/1000000</f>
        <v>4.125</v>
      </c>
      <c r="W786" s="57">
        <f>(1000*CHOOSE(CONTROL!$C$42, 0.1146, 0.1146)*CHOOSE(CONTROL!$C$42, 121.5, 121.5)*CHOOSE(CONTROL!$C$42, 30, 30))/1000000</f>
        <v>0.417717</v>
      </c>
      <c r="X786" s="57">
        <f>(30*0.1790888*245000/1000000)+(30*0.2374*100000/1000000)</f>
        <v>2.0285026799999999</v>
      </c>
      <c r="Y786" s="57"/>
      <c r="Z786" s="14"/>
      <c r="AA786" s="56"/>
      <c r="AB786" s="50">
        <f>(B786*194.205+C786*267.466+D786*133.845+E786*53.484+F786*40+G786*185+H786*0+I786*100+J786*300)/(194.205+267.466+133.845+53.484+0+40+185+100+300)</f>
        <v>67.716840881789651</v>
      </c>
      <c r="AC786" s="45">
        <f>(M786*'RAP TEMPLATE-GAS AVAILABILITY'!O785+N786*'RAP TEMPLATE-GAS AVAILABILITY'!P785+O786*'RAP TEMPLATE-GAS AVAILABILITY'!Q785+P786*'RAP TEMPLATE-GAS AVAILABILITY'!R785)/('RAP TEMPLATE-GAS AVAILABILITY'!O785+'RAP TEMPLATE-GAS AVAILABILITY'!P785+'RAP TEMPLATE-GAS AVAILABILITY'!Q785+'RAP TEMPLATE-GAS AVAILABILITY'!R785)</f>
        <v>66.423496402877689</v>
      </c>
    </row>
    <row r="787" spans="1:29" ht="15.75" x14ac:dyDescent="0.25">
      <c r="A787" s="32">
        <v>64862</v>
      </c>
      <c r="B787" s="14">
        <f>CHOOSE(CONTROL!$C$42, 66.352, 66.352) * CHOOSE(CONTROL!$C$21, $C$9, 100%, $E$9)</f>
        <v>66.352000000000004</v>
      </c>
      <c r="C787" s="14">
        <f>CHOOSE(CONTROL!$C$42, 66.36, 66.36) * CHOOSE(CONTROL!$C$21, $C$9, 100%, $E$9)</f>
        <v>66.36</v>
      </c>
      <c r="D787" s="14">
        <f>CHOOSE(CONTROL!$C$42, 66.5806, 66.5806) * CHOOSE(CONTROL!$C$21, $C$9, 100%, $E$9)</f>
        <v>66.580600000000004</v>
      </c>
      <c r="E787" s="14">
        <f>CHOOSE(CONTROL!$C$42, 66.6121, 66.6121) * CHOOSE(CONTROL!$C$21, $C$9, 100%, $E$9)</f>
        <v>66.612099999999998</v>
      </c>
      <c r="F787" s="14">
        <f>CHOOSE(CONTROL!$C$42, 66.379, 66.379)*CHOOSE(CONTROL!$C$21, $C$9, 100%, $E$9)</f>
        <v>66.379000000000005</v>
      </c>
      <c r="G787" s="14">
        <f>CHOOSE(CONTROL!$C$42, 66.3964, 66.3964)*CHOOSE(CONTROL!$C$21, $C$9, 100%, $E$9)</f>
        <v>66.3964</v>
      </c>
      <c r="H787" s="14">
        <f>CHOOSE(CONTROL!$C$42, 66.6007, 66.6007) * CHOOSE(CONTROL!$C$21, $C$9, 100%, $E$9)</f>
        <v>66.600700000000003</v>
      </c>
      <c r="I787" s="14">
        <f>CHOOSE(CONTROL!$C$42, 66.5877, 66.5877)* CHOOSE(CONTROL!$C$21, $C$9, 100%, $E$9)</f>
        <v>66.587699999999998</v>
      </c>
      <c r="J787" s="14">
        <f>CHOOSE(CONTROL!$C$42, 66.372, 66.372)* CHOOSE(CONTROL!$C$21, $C$9, 100%, $E$9)</f>
        <v>66.372</v>
      </c>
      <c r="K787" s="53">
        <f>CHOOSE(CONTROL!$C$42, 66.5838, 66.5838) * CHOOSE(CONTROL!$C$21, $C$9, 100%, $E$9)</f>
        <v>66.583799999999997</v>
      </c>
      <c r="L787" s="14">
        <f>CHOOSE(CONTROL!$C$42, 67.1877, 67.1877) * CHOOSE(CONTROL!$C$21, $C$9, 100%, $E$9)</f>
        <v>67.187700000000007</v>
      </c>
      <c r="M787" s="14">
        <f>CHOOSE(CONTROL!$C$42, 65.0198, 65.0198) * CHOOSE(CONTROL!$C$21, $C$9, 100%, $E$9)</f>
        <v>65.019800000000004</v>
      </c>
      <c r="N787" s="14">
        <f>CHOOSE(CONTROL!$C$42, 65.0368, 65.0368) * CHOOSE(CONTROL!$C$21, $C$9, 100%, $E$9)</f>
        <v>65.036799999999999</v>
      </c>
      <c r="O787" s="14">
        <f>CHOOSE(CONTROL!$C$42, 65.2438, 65.2438) * CHOOSE(CONTROL!$C$21, $C$9, 100%, $E$9)</f>
        <v>65.243799999999993</v>
      </c>
      <c r="P787" s="14">
        <f>CHOOSE(CONTROL!$C$42, 65.2269, 65.2269) * CHOOSE(CONTROL!$C$21, $C$9, 100%, $E$9)</f>
        <v>65.226900000000001</v>
      </c>
      <c r="Q787" s="14">
        <f>CHOOSE(CONTROL!$C$42, 65.8385, 65.8385) * CHOOSE(CONTROL!$C$21, $C$9, 100%, $E$9)</f>
        <v>65.838499999999996</v>
      </c>
      <c r="R787" s="14">
        <f>CHOOSE(CONTROL!$C$42, 66.5901, 66.5901) * CHOOSE(CONTROL!$C$21, $C$9, 100%, $E$9)</f>
        <v>66.590100000000007</v>
      </c>
      <c r="S787" s="14">
        <f>CHOOSE(CONTROL!$C$42, 63.747, 63.747) * CHOOSE(CONTROL!$C$21, $C$9, 100%, $E$9)</f>
        <v>63.747</v>
      </c>
      <c r="T78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87" s="57">
        <f>(1000*CHOOSE(CONTROL!$C$42, 695, 695)*CHOOSE(CONTROL!$C$42, 0.5599, 0.5599)*CHOOSE(CONTROL!$C$42, 31, 31))/1000000</f>
        <v>12.063045499999998</v>
      </c>
      <c r="V787" s="57">
        <f>(1000*CHOOSE(CONTROL!$C$42, 500, 500)*CHOOSE(CONTROL!$C$42, 0.275, 0.275)*CHOOSE(CONTROL!$C$42, 31, 31))/1000000</f>
        <v>4.2625000000000002</v>
      </c>
      <c r="W787" s="57">
        <f>(1000*CHOOSE(CONTROL!$C$42, 0.1146, 0.1146)*CHOOSE(CONTROL!$C$42, 121.5, 121.5)*CHOOSE(CONTROL!$C$42, 31, 31))/1000000</f>
        <v>0.43164089999999994</v>
      </c>
      <c r="X787" s="57">
        <f>(31*0.1790888*245000/1000000)+(31*0.2374*100000/1000000)</f>
        <v>2.0961194359999999</v>
      </c>
      <c r="Y787" s="57"/>
      <c r="Z787" s="14"/>
      <c r="AA787" s="56"/>
      <c r="AB787" s="50">
        <f>(B787*194.205+C787*267.466+D787*133.845+E787*53.484+F787*40+G787*185+H787*0+I787*100+J787*300)/(194.205+267.466+133.845+53.484+0+40+185+100+300)</f>
        <v>66.419120787598118</v>
      </c>
      <c r="AC787" s="45">
        <f>(M787*'RAP TEMPLATE-GAS AVAILABILITY'!O786+N787*'RAP TEMPLATE-GAS AVAILABILITY'!P786+O787*'RAP TEMPLATE-GAS AVAILABILITY'!Q786+P787*'RAP TEMPLATE-GAS AVAILABILITY'!R786)/('RAP TEMPLATE-GAS AVAILABILITY'!O786+'RAP TEMPLATE-GAS AVAILABILITY'!P786+'RAP TEMPLATE-GAS AVAILABILITY'!Q786+'RAP TEMPLATE-GAS AVAILABILITY'!R786)</f>
        <v>65.152102158273379</v>
      </c>
    </row>
    <row r="788" spans="1:29" ht="15.75" x14ac:dyDescent="0.25">
      <c r="A788" s="32">
        <v>64893</v>
      </c>
      <c r="B788" s="14">
        <f>CHOOSE(CONTROL!$C$42, 63.0751, 63.0751) * CHOOSE(CONTROL!$C$21, $C$9, 100%, $E$9)</f>
        <v>63.075099999999999</v>
      </c>
      <c r="C788" s="14">
        <f>CHOOSE(CONTROL!$C$42, 63.0831, 63.0831) * CHOOSE(CONTROL!$C$21, $C$9, 100%, $E$9)</f>
        <v>63.083100000000002</v>
      </c>
      <c r="D788" s="14">
        <f>CHOOSE(CONTROL!$C$42, 63.3037, 63.3037) * CHOOSE(CONTROL!$C$21, $C$9, 100%, $E$9)</f>
        <v>63.303699999999999</v>
      </c>
      <c r="E788" s="14">
        <f>CHOOSE(CONTROL!$C$42, 63.3352, 63.3352) * CHOOSE(CONTROL!$C$21, $C$9, 100%, $E$9)</f>
        <v>63.3352</v>
      </c>
      <c r="F788" s="14">
        <f>CHOOSE(CONTROL!$C$42, 63.1024, 63.1024)*CHOOSE(CONTROL!$C$21, $C$9, 100%, $E$9)</f>
        <v>63.102400000000003</v>
      </c>
      <c r="G788" s="14">
        <f>CHOOSE(CONTROL!$C$42, 63.1199, 63.1199)*CHOOSE(CONTROL!$C$21, $C$9, 100%, $E$9)</f>
        <v>63.119900000000001</v>
      </c>
      <c r="H788" s="14">
        <f>CHOOSE(CONTROL!$C$42, 63.3238, 63.3238) * CHOOSE(CONTROL!$C$21, $C$9, 100%, $E$9)</f>
        <v>63.323799999999999</v>
      </c>
      <c r="I788" s="14">
        <f>CHOOSE(CONTROL!$C$42, 63.3005, 63.3005)* CHOOSE(CONTROL!$C$21, $C$9, 100%, $E$9)</f>
        <v>63.3005</v>
      </c>
      <c r="J788" s="14">
        <f>CHOOSE(CONTROL!$C$42, 63.0954, 63.0954)* CHOOSE(CONTROL!$C$21, $C$9, 100%, $E$9)</f>
        <v>63.095399999999998</v>
      </c>
      <c r="K788" s="53">
        <f>CHOOSE(CONTROL!$C$42, 63.2966, 63.2966) * CHOOSE(CONTROL!$C$21, $C$9, 100%, $E$9)</f>
        <v>63.296599999999998</v>
      </c>
      <c r="L788" s="14">
        <f>CHOOSE(CONTROL!$C$42, 63.9108, 63.9108) * CHOOSE(CONTROL!$C$21, $C$9, 100%, $E$9)</f>
        <v>63.910800000000002</v>
      </c>
      <c r="M788" s="14">
        <f>CHOOSE(CONTROL!$C$42, 61.8104, 61.8104) * CHOOSE(CONTROL!$C$21, $C$9, 100%, $E$9)</f>
        <v>61.810400000000001</v>
      </c>
      <c r="N788" s="14">
        <f>CHOOSE(CONTROL!$C$42, 61.8274, 61.8274) * CHOOSE(CONTROL!$C$21, $C$9, 100%, $E$9)</f>
        <v>61.827399999999997</v>
      </c>
      <c r="O788" s="14">
        <f>CHOOSE(CONTROL!$C$42, 62.034, 62.034) * CHOOSE(CONTROL!$C$21, $C$9, 100%, $E$9)</f>
        <v>62.033999999999999</v>
      </c>
      <c r="P788" s="14">
        <f>CHOOSE(CONTROL!$C$42, 62.0073, 62.0073) * CHOOSE(CONTROL!$C$21, $C$9, 100%, $E$9)</f>
        <v>62.007300000000001</v>
      </c>
      <c r="Q788" s="14">
        <f>CHOOSE(CONTROL!$C$42, 62.6287, 62.6287) * CHOOSE(CONTROL!$C$21, $C$9, 100%, $E$9)</f>
        <v>62.628700000000002</v>
      </c>
      <c r="R788" s="14">
        <f>CHOOSE(CONTROL!$C$42, 63.3723, 63.3723) * CHOOSE(CONTROL!$C$21, $C$9, 100%, $E$9)</f>
        <v>63.372300000000003</v>
      </c>
      <c r="S788" s="14">
        <f>CHOOSE(CONTROL!$C$42, 60.5982, 60.5982) * CHOOSE(CONTROL!$C$21, $C$9, 100%, $E$9)</f>
        <v>60.598199999999999</v>
      </c>
      <c r="T78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88" s="57">
        <f>(1000*CHOOSE(CONTROL!$C$42, 695, 695)*CHOOSE(CONTROL!$C$42, 0.5599, 0.5599)*CHOOSE(CONTROL!$C$42, 31, 31))/1000000</f>
        <v>12.063045499999998</v>
      </c>
      <c r="V788" s="57">
        <f>(1000*CHOOSE(CONTROL!$C$42, 500, 500)*CHOOSE(CONTROL!$C$42, 0.275, 0.275)*CHOOSE(CONTROL!$C$42, 31, 31))/1000000</f>
        <v>4.2625000000000002</v>
      </c>
      <c r="W788" s="57">
        <f>(1000*CHOOSE(CONTROL!$C$42, 0.1146, 0.1146)*CHOOSE(CONTROL!$C$42, 121.5, 121.5)*CHOOSE(CONTROL!$C$42, 31, 31))/1000000</f>
        <v>0.43164089999999994</v>
      </c>
      <c r="X788" s="57">
        <f>(31*0.1790888*245000/1000000)+(31*0.2374*100000/1000000)</f>
        <v>2.0961194359999999</v>
      </c>
      <c r="Y788" s="57"/>
      <c r="Z788" s="14"/>
      <c r="AA788" s="56"/>
      <c r="AB788" s="50">
        <f>(B788*194.205+C788*267.466+D788*133.845+E788*53.484+F788*40+G788*185+H788*0+I788*100+J788*300)/(194.205+267.466+133.845+53.484+0+40+185+100+300)</f>
        <v>63.141550457927785</v>
      </c>
      <c r="AC788" s="45">
        <f>(M788*'RAP TEMPLATE-GAS AVAILABILITY'!O787+N788*'RAP TEMPLATE-GAS AVAILABILITY'!P787+O788*'RAP TEMPLATE-GAS AVAILABILITY'!Q787+P788*'RAP TEMPLATE-GAS AVAILABILITY'!R787)/('RAP TEMPLATE-GAS AVAILABILITY'!O787+'RAP TEMPLATE-GAS AVAILABILITY'!P787+'RAP TEMPLATE-GAS AVAILABILITY'!Q787+'RAP TEMPLATE-GAS AVAILABILITY'!R787)</f>
        <v>61.941053237410074</v>
      </c>
    </row>
    <row r="789" spans="1:29" ht="15.75" x14ac:dyDescent="0.25">
      <c r="A789" s="32">
        <v>64923</v>
      </c>
      <c r="B789" s="14">
        <f>CHOOSE(CONTROL!$C$42, 59.0711, 59.0711) * CHOOSE(CONTROL!$C$21, $C$9, 100%, $E$9)</f>
        <v>59.071100000000001</v>
      </c>
      <c r="C789" s="14">
        <f>CHOOSE(CONTROL!$C$42, 59.0791, 59.0791) * CHOOSE(CONTROL!$C$21, $C$9, 100%, $E$9)</f>
        <v>59.079099999999997</v>
      </c>
      <c r="D789" s="14">
        <f>CHOOSE(CONTROL!$C$42, 59.2997, 59.2997) * CHOOSE(CONTROL!$C$21, $C$9, 100%, $E$9)</f>
        <v>59.299700000000001</v>
      </c>
      <c r="E789" s="14">
        <f>CHOOSE(CONTROL!$C$42, 59.3312, 59.3312) * CHOOSE(CONTROL!$C$21, $C$9, 100%, $E$9)</f>
        <v>59.331200000000003</v>
      </c>
      <c r="F789" s="14">
        <f>CHOOSE(CONTROL!$C$42, 59.0985, 59.0985)*CHOOSE(CONTROL!$C$21, $C$9, 100%, $E$9)</f>
        <v>59.098500000000001</v>
      </c>
      <c r="G789" s="14">
        <f>CHOOSE(CONTROL!$C$42, 59.1159, 59.1159)*CHOOSE(CONTROL!$C$21, $C$9, 100%, $E$9)</f>
        <v>59.115900000000003</v>
      </c>
      <c r="H789" s="14">
        <f>CHOOSE(CONTROL!$C$42, 59.3198, 59.3198) * CHOOSE(CONTROL!$C$21, $C$9, 100%, $E$9)</f>
        <v>59.319800000000001</v>
      </c>
      <c r="I789" s="14">
        <f>CHOOSE(CONTROL!$C$42, 59.284, 59.284)* CHOOSE(CONTROL!$C$21, $C$9, 100%, $E$9)</f>
        <v>59.283999999999999</v>
      </c>
      <c r="J789" s="14">
        <f>CHOOSE(CONTROL!$C$42, 59.0915, 59.0915)* CHOOSE(CONTROL!$C$21, $C$9, 100%, $E$9)</f>
        <v>59.091500000000003</v>
      </c>
      <c r="K789" s="53">
        <f>CHOOSE(CONTROL!$C$42, 59.2801, 59.2801) * CHOOSE(CONTROL!$C$21, $C$9, 100%, $E$9)</f>
        <v>59.280099999999997</v>
      </c>
      <c r="L789" s="14">
        <f>CHOOSE(CONTROL!$C$42, 59.9068, 59.9068) * CHOOSE(CONTROL!$C$21, $C$9, 100%, $E$9)</f>
        <v>59.906799999999997</v>
      </c>
      <c r="M789" s="14">
        <f>CHOOSE(CONTROL!$C$42, 57.8884, 57.8884) * CHOOSE(CONTROL!$C$21, $C$9, 100%, $E$9)</f>
        <v>57.888399999999997</v>
      </c>
      <c r="N789" s="14">
        <f>CHOOSE(CONTROL!$C$42, 57.9055, 57.9055) * CHOOSE(CONTROL!$C$21, $C$9, 100%, $E$9)</f>
        <v>57.905500000000004</v>
      </c>
      <c r="O789" s="14">
        <f>CHOOSE(CONTROL!$C$42, 58.1121, 58.1121) * CHOOSE(CONTROL!$C$21, $C$9, 100%, $E$9)</f>
        <v>58.112099999999998</v>
      </c>
      <c r="P789" s="14">
        <f>CHOOSE(CONTROL!$C$42, 58.0734, 58.0734) * CHOOSE(CONTROL!$C$21, $C$9, 100%, $E$9)</f>
        <v>58.073399999999999</v>
      </c>
      <c r="Q789" s="14">
        <f>CHOOSE(CONTROL!$C$42, 58.7068, 58.7068) * CHOOSE(CONTROL!$C$21, $C$9, 100%, $E$9)</f>
        <v>58.706800000000001</v>
      </c>
      <c r="R789" s="14">
        <f>CHOOSE(CONTROL!$C$42, 59.4406, 59.4406) * CHOOSE(CONTROL!$C$21, $C$9, 100%, $E$9)</f>
        <v>59.440600000000003</v>
      </c>
      <c r="S789" s="14">
        <f>CHOOSE(CONTROL!$C$42, 56.7508, 56.7508) * CHOOSE(CONTROL!$C$21, $C$9, 100%, $E$9)</f>
        <v>56.750799999999998</v>
      </c>
      <c r="T78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89" s="57">
        <f>(1000*CHOOSE(CONTROL!$C$42, 695, 695)*CHOOSE(CONTROL!$C$42, 0.5599, 0.5599)*CHOOSE(CONTROL!$C$42, 30, 30))/1000000</f>
        <v>11.673914999999997</v>
      </c>
      <c r="V789" s="57">
        <f>(1000*CHOOSE(CONTROL!$C$42, 500, 500)*CHOOSE(CONTROL!$C$42, 0.275, 0.275)*CHOOSE(CONTROL!$C$42, 30, 30))/1000000</f>
        <v>4.125</v>
      </c>
      <c r="W789" s="57">
        <f>(1000*CHOOSE(CONTROL!$C$42, 0.1146, 0.1146)*CHOOSE(CONTROL!$C$42, 121.5, 121.5)*CHOOSE(CONTROL!$C$42, 30, 30))/1000000</f>
        <v>0.417717</v>
      </c>
      <c r="X789" s="57">
        <f>(30*0.1790888*245000/1000000)+(30*0.2374*100000/1000000)</f>
        <v>2.0285026799999999</v>
      </c>
      <c r="Y789" s="57"/>
      <c r="Z789" s="14"/>
      <c r="AA789" s="56"/>
      <c r="AB789" s="50">
        <f>(B789*194.205+C789*267.466+D789*133.845+E789*53.484+F789*40+G789*185+H789*0+I789*100+J789*300)/(194.205+267.466+133.845+53.484+0+40+185+100+300)</f>
        <v>59.13659598383046</v>
      </c>
      <c r="AC789" s="45">
        <f>(M789*'RAP TEMPLATE-GAS AVAILABILITY'!O788+N789*'RAP TEMPLATE-GAS AVAILABILITY'!P788+O789*'RAP TEMPLATE-GAS AVAILABILITY'!Q788+P789*'RAP TEMPLATE-GAS AVAILABILITY'!R788)/('RAP TEMPLATE-GAS AVAILABILITY'!O788+'RAP TEMPLATE-GAS AVAILABILITY'!P788+'RAP TEMPLATE-GAS AVAILABILITY'!Q788+'RAP TEMPLATE-GAS AVAILABILITY'!R788)</f>
        <v>58.017392086330929</v>
      </c>
    </row>
    <row r="790" spans="1:29" ht="15.75" x14ac:dyDescent="0.25">
      <c r="A790" s="32">
        <v>64954</v>
      </c>
      <c r="B790" s="14">
        <f>CHOOSE(CONTROL!$C$42, 57.8702, 57.8702) * CHOOSE(CONTROL!$C$21, $C$9, 100%, $E$9)</f>
        <v>57.870199999999997</v>
      </c>
      <c r="C790" s="14">
        <f>CHOOSE(CONTROL!$C$42, 57.8755, 57.8755) * CHOOSE(CONTROL!$C$21, $C$9, 100%, $E$9)</f>
        <v>57.875500000000002</v>
      </c>
      <c r="D790" s="14">
        <f>CHOOSE(CONTROL!$C$42, 58.1011, 58.1011) * CHOOSE(CONTROL!$C$21, $C$9, 100%, $E$9)</f>
        <v>58.101100000000002</v>
      </c>
      <c r="E790" s="14">
        <f>CHOOSE(CONTROL!$C$42, 58.1302, 58.1302) * CHOOSE(CONTROL!$C$21, $C$9, 100%, $E$9)</f>
        <v>58.130200000000002</v>
      </c>
      <c r="F790" s="14">
        <f>CHOOSE(CONTROL!$C$42, 57.8996, 57.8996)*CHOOSE(CONTROL!$C$21, $C$9, 100%, $E$9)</f>
        <v>57.8996</v>
      </c>
      <c r="G790" s="14">
        <f>CHOOSE(CONTROL!$C$42, 57.9168, 57.9168)*CHOOSE(CONTROL!$C$21, $C$9, 100%, $E$9)</f>
        <v>57.916800000000002</v>
      </c>
      <c r="H790" s="14">
        <f>CHOOSE(CONTROL!$C$42, 58.1207, 58.1207) * CHOOSE(CONTROL!$C$21, $C$9, 100%, $E$9)</f>
        <v>58.120699999999999</v>
      </c>
      <c r="I790" s="14">
        <f>CHOOSE(CONTROL!$C$42, 58.0811, 58.0811)* CHOOSE(CONTROL!$C$21, $C$9, 100%, $E$9)</f>
        <v>58.081099999999999</v>
      </c>
      <c r="J790" s="14">
        <f>CHOOSE(CONTROL!$C$42, 57.8926, 57.8926)* CHOOSE(CONTROL!$C$21, $C$9, 100%, $E$9)</f>
        <v>57.892600000000002</v>
      </c>
      <c r="K790" s="53">
        <f>CHOOSE(CONTROL!$C$42, 58.0772, 58.0772) * CHOOSE(CONTROL!$C$21, $C$9, 100%, $E$9)</f>
        <v>58.077199999999998</v>
      </c>
      <c r="L790" s="14">
        <f>CHOOSE(CONTROL!$C$42, 58.7077, 58.7077) * CHOOSE(CONTROL!$C$21, $C$9, 100%, $E$9)</f>
        <v>58.707700000000003</v>
      </c>
      <c r="M790" s="14">
        <f>CHOOSE(CONTROL!$C$42, 56.7141, 56.7141) * CHOOSE(CONTROL!$C$21, $C$9, 100%, $E$9)</f>
        <v>56.714100000000002</v>
      </c>
      <c r="N790" s="14">
        <f>CHOOSE(CONTROL!$C$42, 56.731, 56.731) * CHOOSE(CONTROL!$C$21, $C$9, 100%, $E$9)</f>
        <v>56.731000000000002</v>
      </c>
      <c r="O790" s="14">
        <f>CHOOSE(CONTROL!$C$42, 56.9375, 56.9375) * CHOOSE(CONTROL!$C$21, $C$9, 100%, $E$9)</f>
        <v>56.9375</v>
      </c>
      <c r="P790" s="14">
        <f>CHOOSE(CONTROL!$C$42, 56.8952, 56.8952) * CHOOSE(CONTROL!$C$21, $C$9, 100%, $E$9)</f>
        <v>56.895200000000003</v>
      </c>
      <c r="Q790" s="14">
        <f>CHOOSE(CONTROL!$C$42, 57.5322, 57.5322) * CHOOSE(CONTROL!$C$21, $C$9, 100%, $E$9)</f>
        <v>57.532200000000003</v>
      </c>
      <c r="R790" s="14">
        <f>CHOOSE(CONTROL!$C$42, 58.263, 58.263) * CHOOSE(CONTROL!$C$21, $C$9, 100%, $E$9)</f>
        <v>58.262999999999998</v>
      </c>
      <c r="S790" s="14">
        <f>CHOOSE(CONTROL!$C$42, 55.5985, 55.5985) * CHOOSE(CONTROL!$C$21, $C$9, 100%, $E$9)</f>
        <v>55.598500000000001</v>
      </c>
      <c r="T79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90" s="57">
        <f>(1000*CHOOSE(CONTROL!$C$42, 695, 695)*CHOOSE(CONTROL!$C$42, 0.5599, 0.5599)*CHOOSE(CONTROL!$C$42, 31, 31))/1000000</f>
        <v>12.063045499999998</v>
      </c>
      <c r="V790" s="57">
        <f>(1000*CHOOSE(CONTROL!$C$42, 500, 500)*CHOOSE(CONTROL!$C$42, 0.275, 0.275)*CHOOSE(CONTROL!$C$42, 31, 31))/1000000</f>
        <v>4.2625000000000002</v>
      </c>
      <c r="W790" s="57">
        <f>(1000*CHOOSE(CONTROL!$C$42, 0.1146, 0.1146)*CHOOSE(CONTROL!$C$42, 121.5, 121.5)*CHOOSE(CONTROL!$C$42, 31, 31))/1000000</f>
        <v>0.43164089999999994</v>
      </c>
      <c r="X790" s="57">
        <f>(31*0.1790888*245000/1000000)+(31*0.2374*100000/1000000)</f>
        <v>2.0961194359999999</v>
      </c>
      <c r="Y790" s="57"/>
      <c r="Z790" s="14"/>
      <c r="AA790" s="56"/>
      <c r="AB790" s="50">
        <f>(B790*131.881+C790*277.167+D790*79.08+E790*125.872+F790*40+G790*185+H790*0+I790*100+J790*300)/(131.881+277.167+79.08+125.872+0+40+185+100+300)</f>
        <v>57.942889489184822</v>
      </c>
      <c r="AC790" s="45">
        <f>(M790*'RAP TEMPLATE-GAS AVAILABILITY'!O789+N790*'RAP TEMPLATE-GAS AVAILABILITY'!P789+O790*'RAP TEMPLATE-GAS AVAILABILITY'!Q789+P790*'RAP TEMPLATE-GAS AVAILABILITY'!R789)/('RAP TEMPLATE-GAS AVAILABILITY'!O789+'RAP TEMPLATE-GAS AVAILABILITY'!P789+'RAP TEMPLATE-GAS AVAILABILITY'!Q789+'RAP TEMPLATE-GAS AVAILABILITY'!R789)</f>
        <v>56.84238345323741</v>
      </c>
    </row>
    <row r="791" spans="1:29" ht="15.75" x14ac:dyDescent="0.25">
      <c r="A791" s="32">
        <v>64984</v>
      </c>
      <c r="B791" s="14">
        <f>CHOOSE(CONTROL!$C$42, 59.3941, 59.3941) * CHOOSE(CONTROL!$C$21, $C$9, 100%, $E$9)</f>
        <v>59.394100000000002</v>
      </c>
      <c r="C791" s="14">
        <f>CHOOSE(CONTROL!$C$42, 59.3992, 59.3992) * CHOOSE(CONTROL!$C$21, $C$9, 100%, $E$9)</f>
        <v>59.3992</v>
      </c>
      <c r="D791" s="14">
        <f>CHOOSE(CONTROL!$C$42, 59.4734, 59.4734) * CHOOSE(CONTROL!$C$21, $C$9, 100%, $E$9)</f>
        <v>59.473399999999998</v>
      </c>
      <c r="E791" s="14">
        <f>CHOOSE(CONTROL!$C$42, 59.5075, 59.5075) * CHOOSE(CONTROL!$C$21, $C$9, 100%, $E$9)</f>
        <v>59.5075</v>
      </c>
      <c r="F791" s="14">
        <f>CHOOSE(CONTROL!$C$42, 59.4302, 59.4302)*CHOOSE(CONTROL!$C$21, $C$9, 100%, $E$9)</f>
        <v>59.430199999999999</v>
      </c>
      <c r="G791" s="14">
        <f>CHOOSE(CONTROL!$C$42, 59.4477, 59.4477)*CHOOSE(CONTROL!$C$21, $C$9, 100%, $E$9)</f>
        <v>59.447699999999998</v>
      </c>
      <c r="H791" s="14">
        <f>CHOOSE(CONTROL!$C$42, 59.4967, 59.4967) * CHOOSE(CONTROL!$C$21, $C$9, 100%, $E$9)</f>
        <v>59.496699999999997</v>
      </c>
      <c r="I791" s="14">
        <f>CHOOSE(CONTROL!$C$42, 59.6076, 59.6076)* CHOOSE(CONTROL!$C$21, $C$9, 100%, $E$9)</f>
        <v>59.607599999999998</v>
      </c>
      <c r="J791" s="14">
        <f>CHOOSE(CONTROL!$C$42, 59.4232, 59.4232)* CHOOSE(CONTROL!$C$21, $C$9, 100%, $E$9)</f>
        <v>59.423200000000001</v>
      </c>
      <c r="K791" s="53">
        <f>CHOOSE(CONTROL!$C$42, 59.6037, 59.6037) * CHOOSE(CONTROL!$C$21, $C$9, 100%, $E$9)</f>
        <v>59.603700000000003</v>
      </c>
      <c r="L791" s="14">
        <f>CHOOSE(CONTROL!$C$42, 60.0837, 60.0837) * CHOOSE(CONTROL!$C$21, $C$9, 100%, $E$9)</f>
        <v>60.0837</v>
      </c>
      <c r="M791" s="14">
        <f>CHOOSE(CONTROL!$C$42, 58.2133, 58.2133) * CHOOSE(CONTROL!$C$21, $C$9, 100%, $E$9)</f>
        <v>58.213299999999997</v>
      </c>
      <c r="N791" s="14">
        <f>CHOOSE(CONTROL!$C$42, 58.2305, 58.2305) * CHOOSE(CONTROL!$C$21, $C$9, 100%, $E$9)</f>
        <v>58.230499999999999</v>
      </c>
      <c r="O791" s="14">
        <f>CHOOSE(CONTROL!$C$42, 58.2853, 58.2853) * CHOOSE(CONTROL!$C$21, $C$9, 100%, $E$9)</f>
        <v>58.285299999999999</v>
      </c>
      <c r="P791" s="14">
        <f>CHOOSE(CONTROL!$C$42, 58.3903, 58.3903) * CHOOSE(CONTROL!$C$21, $C$9, 100%, $E$9)</f>
        <v>58.390300000000003</v>
      </c>
      <c r="Q791" s="14">
        <f>CHOOSE(CONTROL!$C$42, 58.88, 58.88) * CHOOSE(CONTROL!$C$21, $C$9, 100%, $E$9)</f>
        <v>58.88</v>
      </c>
      <c r="R791" s="14">
        <f>CHOOSE(CONTROL!$C$42, 59.6142, 59.6142) * CHOOSE(CONTROL!$C$21, $C$9, 100%, $E$9)</f>
        <v>59.614199999999997</v>
      </c>
      <c r="S791" s="14">
        <f>CHOOSE(CONTROL!$C$42, 57.0633, 57.0633) * CHOOSE(CONTROL!$C$21, $C$9, 100%, $E$9)</f>
        <v>57.063299999999998</v>
      </c>
      <c r="T79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91" s="57">
        <f>(1000*CHOOSE(CONTROL!$C$42, 695, 695)*CHOOSE(CONTROL!$C$42, 0.5599, 0.5599)*CHOOSE(CONTROL!$C$42, 30, 30))/1000000</f>
        <v>11.673914999999997</v>
      </c>
      <c r="V791" s="57">
        <f>(1000*CHOOSE(CONTROL!$C$42, 500, 500)*CHOOSE(CONTROL!$C$42, 0.275, 0.275)*CHOOSE(CONTROL!$C$42, 30, 30))/1000000</f>
        <v>4.125</v>
      </c>
      <c r="W791" s="57">
        <f>(1000*CHOOSE(CONTROL!$C$42, 0.1146, 0.1146)*CHOOSE(CONTROL!$C$42, 121.5, 121.5)*CHOOSE(CONTROL!$C$42, 30, 30))/1000000</f>
        <v>0.417717</v>
      </c>
      <c r="X791" s="57">
        <f>(30*0.1790888*100000/1000000)+(30*0.2374*100000/1000000)</f>
        <v>1.2494664</v>
      </c>
      <c r="Y791" s="57"/>
      <c r="Z791" s="14"/>
      <c r="AA791" s="56"/>
      <c r="AB791" s="50">
        <f>(B791*122.58+C791*297.941+D791*89.177+E791*40.302+F791*40+G791*160+H791*0+I791*100+J791*300)/(122.58+297.941+89.177+40.302+0+40+160+100+300)</f>
        <v>59.440414332173908</v>
      </c>
      <c r="AC791" s="45">
        <f>(M791*'RAP TEMPLATE-GAS AVAILABILITY'!O790+N791*'RAP TEMPLATE-GAS AVAILABILITY'!P790+O791*'RAP TEMPLATE-GAS AVAILABILITY'!Q790+P791*'RAP TEMPLATE-GAS AVAILABILITY'!R790)/('RAP TEMPLATE-GAS AVAILABILITY'!O790+'RAP TEMPLATE-GAS AVAILABILITY'!P790+'RAP TEMPLATE-GAS AVAILABILITY'!Q790+'RAP TEMPLATE-GAS AVAILABILITY'!R790)</f>
        <v>58.272390647482005</v>
      </c>
    </row>
    <row r="792" spans="1:29" ht="15.75" x14ac:dyDescent="0.25">
      <c r="A792" s="32">
        <v>65015</v>
      </c>
      <c r="B792" s="14">
        <f>CHOOSE(CONTROL!$C$42, 63.4429, 63.4429) * CHOOSE(CONTROL!$C$21, $C$9, 100%, $E$9)</f>
        <v>63.442900000000002</v>
      </c>
      <c r="C792" s="14">
        <f>CHOOSE(CONTROL!$C$42, 63.448, 63.448) * CHOOSE(CONTROL!$C$21, $C$9, 100%, $E$9)</f>
        <v>63.448</v>
      </c>
      <c r="D792" s="14">
        <f>CHOOSE(CONTROL!$C$42, 63.5222, 63.5222) * CHOOSE(CONTROL!$C$21, $C$9, 100%, $E$9)</f>
        <v>63.522199999999998</v>
      </c>
      <c r="E792" s="14">
        <f>CHOOSE(CONTROL!$C$42, 63.5563, 63.5563) * CHOOSE(CONTROL!$C$21, $C$9, 100%, $E$9)</f>
        <v>63.5563</v>
      </c>
      <c r="F792" s="14">
        <f>CHOOSE(CONTROL!$C$42, 63.4813, 63.4813)*CHOOSE(CONTROL!$C$21, $C$9, 100%, $E$9)</f>
        <v>63.481299999999997</v>
      </c>
      <c r="G792" s="14">
        <f>CHOOSE(CONTROL!$C$42, 63.4995, 63.4995)*CHOOSE(CONTROL!$C$21, $C$9, 100%, $E$9)</f>
        <v>63.499499999999998</v>
      </c>
      <c r="H792" s="14">
        <f>CHOOSE(CONTROL!$C$42, 63.5455, 63.5455) * CHOOSE(CONTROL!$C$21, $C$9, 100%, $E$9)</f>
        <v>63.545499999999997</v>
      </c>
      <c r="I792" s="14">
        <f>CHOOSE(CONTROL!$C$42, 63.6691, 63.6691)* CHOOSE(CONTROL!$C$21, $C$9, 100%, $E$9)</f>
        <v>63.6691</v>
      </c>
      <c r="J792" s="14">
        <f>CHOOSE(CONTROL!$C$42, 63.4743, 63.4743)* CHOOSE(CONTROL!$C$21, $C$9, 100%, $E$9)</f>
        <v>63.474299999999999</v>
      </c>
      <c r="K792" s="53">
        <f>CHOOSE(CONTROL!$C$42, 63.6652, 63.6652) * CHOOSE(CONTROL!$C$21, $C$9, 100%, $E$9)</f>
        <v>63.665199999999999</v>
      </c>
      <c r="L792" s="14">
        <f>CHOOSE(CONTROL!$C$42, 64.1325, 64.1325) * CHOOSE(CONTROL!$C$21, $C$9, 100%, $E$9)</f>
        <v>64.132499999999993</v>
      </c>
      <c r="M792" s="14">
        <f>CHOOSE(CONTROL!$C$42, 62.1815, 62.1815) * CHOOSE(CONTROL!$C$21, $C$9, 100%, $E$9)</f>
        <v>62.1815</v>
      </c>
      <c r="N792" s="14">
        <f>CHOOSE(CONTROL!$C$42, 62.1993, 62.1993) * CHOOSE(CONTROL!$C$21, $C$9, 100%, $E$9)</f>
        <v>62.199300000000001</v>
      </c>
      <c r="O792" s="14">
        <f>CHOOSE(CONTROL!$C$42, 62.2512, 62.2512) * CHOOSE(CONTROL!$C$21, $C$9, 100%, $E$9)</f>
        <v>62.251199999999997</v>
      </c>
      <c r="P792" s="14">
        <f>CHOOSE(CONTROL!$C$42, 62.3683, 62.3683) * CHOOSE(CONTROL!$C$21, $C$9, 100%, $E$9)</f>
        <v>62.368299999999998</v>
      </c>
      <c r="Q792" s="14">
        <f>CHOOSE(CONTROL!$C$42, 62.8459, 62.8459) * CHOOSE(CONTROL!$C$21, $C$9, 100%, $E$9)</f>
        <v>62.8459</v>
      </c>
      <c r="R792" s="14">
        <f>CHOOSE(CONTROL!$C$42, 63.59, 63.59) * CHOOSE(CONTROL!$C$21, $C$9, 100%, $E$9)</f>
        <v>63.59</v>
      </c>
      <c r="S792" s="14">
        <f>CHOOSE(CONTROL!$C$42, 60.9538, 60.9538) * CHOOSE(CONTROL!$C$21, $C$9, 100%, $E$9)</f>
        <v>60.953800000000001</v>
      </c>
      <c r="T79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92" s="57">
        <f>(1000*CHOOSE(CONTROL!$C$42, 695, 695)*CHOOSE(CONTROL!$C$42, 0.5599, 0.5599)*CHOOSE(CONTROL!$C$42, 31, 31))/1000000</f>
        <v>12.063045499999998</v>
      </c>
      <c r="V792" s="57">
        <f>(1000*CHOOSE(CONTROL!$C$42, 500, 500)*CHOOSE(CONTROL!$C$42, 0.275, 0.275)*CHOOSE(CONTROL!$C$42, 31, 31))/1000000</f>
        <v>4.2625000000000002</v>
      </c>
      <c r="W792" s="57">
        <f>(1000*CHOOSE(CONTROL!$C$42, 0.1146, 0.1146)*CHOOSE(CONTROL!$C$42, 121.5, 121.5)*CHOOSE(CONTROL!$C$42, 31, 31))/1000000</f>
        <v>0.43164089999999994</v>
      </c>
      <c r="X792" s="57">
        <f>(31*0.1790888*100000/1000000)+(31*0.2374*100000/1000000)</f>
        <v>1.2911152800000001</v>
      </c>
      <c r="Y792" s="57"/>
      <c r="Z792" s="14"/>
      <c r="AA792" s="56"/>
      <c r="AB792" s="50">
        <f>(B792*122.58+C792*297.941+D792*89.177+E792*40.302+F792*40+G792*160+H792*0+I792*100+J792*300)/(122.58+297.941+89.177+40.302+0+40+160+100+300)</f>
        <v>63.49141607130435</v>
      </c>
      <c r="AC792" s="45">
        <f>(M792*'RAP TEMPLATE-GAS AVAILABILITY'!O791+N792*'RAP TEMPLATE-GAS AVAILABILITY'!P791+O792*'RAP TEMPLATE-GAS AVAILABILITY'!Q791+P792*'RAP TEMPLATE-GAS AVAILABILITY'!R791)/('RAP TEMPLATE-GAS AVAILABILITY'!O791+'RAP TEMPLATE-GAS AVAILABILITY'!P791+'RAP TEMPLATE-GAS AVAILABILITY'!Q791+'RAP TEMPLATE-GAS AVAILABILITY'!R791)</f>
        <v>62.240992805755404</v>
      </c>
    </row>
    <row r="793" spans="1:29" ht="15.75" x14ac:dyDescent="0.25">
      <c r="A793" s="32">
        <v>65046</v>
      </c>
      <c r="B793" s="14">
        <f>CHOOSE(CONTROL!$C$42, 68.7016, 68.7016) * CHOOSE(CONTROL!$C$21, $C$9, 100%, $E$9)</f>
        <v>68.701599999999999</v>
      </c>
      <c r="C793" s="14">
        <f>CHOOSE(CONTROL!$C$42, 68.7067, 68.7067) * CHOOSE(CONTROL!$C$21, $C$9, 100%, $E$9)</f>
        <v>68.706699999999998</v>
      </c>
      <c r="D793" s="14">
        <f>CHOOSE(CONTROL!$C$42, 68.7835, 68.7835) * CHOOSE(CONTROL!$C$21, $C$9, 100%, $E$9)</f>
        <v>68.783500000000004</v>
      </c>
      <c r="E793" s="14">
        <f>CHOOSE(CONTROL!$C$42, 68.8176, 68.8176) * CHOOSE(CONTROL!$C$21, $C$9, 100%, $E$9)</f>
        <v>68.817599999999999</v>
      </c>
      <c r="F793" s="14">
        <f>CHOOSE(CONTROL!$C$42, 68.7263, 68.7263)*CHOOSE(CONTROL!$C$21, $C$9, 100%, $E$9)</f>
        <v>68.726299999999995</v>
      </c>
      <c r="G793" s="14">
        <f>CHOOSE(CONTROL!$C$42, 68.7443, 68.7443)*CHOOSE(CONTROL!$C$21, $C$9, 100%, $E$9)</f>
        <v>68.744299999999996</v>
      </c>
      <c r="H793" s="14">
        <f>CHOOSE(CONTROL!$C$42, 68.8068, 68.8068) * CHOOSE(CONTROL!$C$21, $C$9, 100%, $E$9)</f>
        <v>68.806799999999996</v>
      </c>
      <c r="I793" s="14">
        <f>CHOOSE(CONTROL!$C$42, 68.9505, 68.9505)* CHOOSE(CONTROL!$C$21, $C$9, 100%, $E$9)</f>
        <v>68.950500000000005</v>
      </c>
      <c r="J793" s="14">
        <f>CHOOSE(CONTROL!$C$42, 68.7193, 68.7193)* CHOOSE(CONTROL!$C$21, $C$9, 100%, $E$9)</f>
        <v>68.719300000000004</v>
      </c>
      <c r="K793" s="53">
        <f>CHOOSE(CONTROL!$C$42, 68.9466, 68.9466) * CHOOSE(CONTROL!$C$21, $C$9, 100%, $E$9)</f>
        <v>68.946600000000004</v>
      </c>
      <c r="L793" s="14">
        <f>CHOOSE(CONTROL!$C$42, 69.3938, 69.3938) * CHOOSE(CONTROL!$C$21, $C$9, 100%, $E$9)</f>
        <v>69.393799999999999</v>
      </c>
      <c r="M793" s="14">
        <f>CHOOSE(CONTROL!$C$42, 67.319, 67.319) * CHOOSE(CONTROL!$C$21, $C$9, 100%, $E$9)</f>
        <v>67.319000000000003</v>
      </c>
      <c r="N793" s="14">
        <f>CHOOSE(CONTROL!$C$42, 67.3366, 67.3366) * CHOOSE(CONTROL!$C$21, $C$9, 100%, $E$9)</f>
        <v>67.336600000000004</v>
      </c>
      <c r="O793" s="14">
        <f>CHOOSE(CONTROL!$C$42, 67.4047, 67.4047) * CHOOSE(CONTROL!$C$21, $C$9, 100%, $E$9)</f>
        <v>67.404700000000005</v>
      </c>
      <c r="P793" s="14">
        <f>CHOOSE(CONTROL!$C$42, 67.5412, 67.5412) * CHOOSE(CONTROL!$C$21, $C$9, 100%, $E$9)</f>
        <v>67.541200000000003</v>
      </c>
      <c r="Q793" s="14">
        <f>CHOOSE(CONTROL!$C$42, 67.9994, 67.9994) * CHOOSE(CONTROL!$C$21, $C$9, 100%, $E$9)</f>
        <v>67.999399999999994</v>
      </c>
      <c r="R793" s="14">
        <f>CHOOSE(CONTROL!$C$42, 68.7564, 68.7564) * CHOOSE(CONTROL!$C$21, $C$9, 100%, $E$9)</f>
        <v>68.756399999999999</v>
      </c>
      <c r="S793" s="14">
        <f>CHOOSE(CONTROL!$C$42, 66.0068, 66.0068) * CHOOSE(CONTROL!$C$21, $C$9, 100%, $E$9)</f>
        <v>66.006799999999998</v>
      </c>
      <c r="T79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93" s="57">
        <f>(1000*CHOOSE(CONTROL!$C$42, 695, 695)*CHOOSE(CONTROL!$C$42, 0.5599, 0.5599)*CHOOSE(CONTROL!$C$42, 31, 31))/1000000</f>
        <v>12.063045499999998</v>
      </c>
      <c r="V793" s="57">
        <f>(1000*CHOOSE(CONTROL!$C$42, 500, 500)*CHOOSE(CONTROL!$C$42, 0.275, 0.275)*CHOOSE(CONTROL!$C$42, 31, 31))/1000000</f>
        <v>4.2625000000000002</v>
      </c>
      <c r="W793" s="57">
        <f>(1000*CHOOSE(CONTROL!$C$42, 0.1146, 0.1146)*CHOOSE(CONTROL!$C$42, 121.5, 121.5)*CHOOSE(CONTROL!$C$42, 31, 31))/1000000</f>
        <v>0.43164089999999994</v>
      </c>
      <c r="X793" s="57">
        <f>(31*0.1790888*100000/1000000)+(31*0.2374*100000/1000000)</f>
        <v>1.2911152800000001</v>
      </c>
      <c r="Y793" s="57"/>
      <c r="Z793" s="14"/>
      <c r="AA793" s="56"/>
      <c r="AB793" s="50">
        <f>(B793*122.58+C793*297.941+D793*89.177+E793*40.302+F793*40+G793*160+H793*0+I793*100+J793*300)/(122.58+297.941+89.177+40.302+0+40+160+100+300)</f>
        <v>68.746398371652191</v>
      </c>
      <c r="AC793" s="45">
        <f>(M793*'RAP TEMPLATE-GAS AVAILABILITY'!O792+N793*'RAP TEMPLATE-GAS AVAILABILITY'!P792+O793*'RAP TEMPLATE-GAS AVAILABILITY'!Q792+P793*'RAP TEMPLATE-GAS AVAILABILITY'!R792)/('RAP TEMPLATE-GAS AVAILABILITY'!O792+'RAP TEMPLATE-GAS AVAILABILITY'!P792+'RAP TEMPLATE-GAS AVAILABILITY'!Q792+'RAP TEMPLATE-GAS AVAILABILITY'!R792)</f>
        <v>67.390826618705049</v>
      </c>
    </row>
    <row r="794" spans="1:29" ht="15.75" x14ac:dyDescent="0.25">
      <c r="A794" s="32">
        <v>65074</v>
      </c>
      <c r="B794" s="14">
        <f>CHOOSE(CONTROL!$C$42, 69.9244, 69.9244) * CHOOSE(CONTROL!$C$21, $C$9, 100%, $E$9)</f>
        <v>69.924400000000006</v>
      </c>
      <c r="C794" s="14">
        <f>CHOOSE(CONTROL!$C$42, 69.9295, 69.9295) * CHOOSE(CONTROL!$C$21, $C$9, 100%, $E$9)</f>
        <v>69.929500000000004</v>
      </c>
      <c r="D794" s="14">
        <f>CHOOSE(CONTROL!$C$42, 70.0063, 70.0063) * CHOOSE(CONTROL!$C$21, $C$9, 100%, $E$9)</f>
        <v>70.006299999999996</v>
      </c>
      <c r="E794" s="14">
        <f>CHOOSE(CONTROL!$C$42, 70.0404, 70.0404) * CHOOSE(CONTROL!$C$21, $C$9, 100%, $E$9)</f>
        <v>70.040400000000005</v>
      </c>
      <c r="F794" s="14">
        <f>CHOOSE(CONTROL!$C$42, 69.9487, 69.9487)*CHOOSE(CONTROL!$C$21, $C$9, 100%, $E$9)</f>
        <v>69.948700000000002</v>
      </c>
      <c r="G794" s="14">
        <f>CHOOSE(CONTROL!$C$42, 69.9666, 69.9666)*CHOOSE(CONTROL!$C$21, $C$9, 100%, $E$9)</f>
        <v>69.9666</v>
      </c>
      <c r="H794" s="14">
        <f>CHOOSE(CONTROL!$C$42, 70.0296, 70.0296) * CHOOSE(CONTROL!$C$21, $C$9, 100%, $E$9)</f>
        <v>70.029600000000002</v>
      </c>
      <c r="I794" s="14">
        <f>CHOOSE(CONTROL!$C$42, 70.1771, 70.1771)* CHOOSE(CONTROL!$C$21, $C$9, 100%, $E$9)</f>
        <v>70.177099999999996</v>
      </c>
      <c r="J794" s="14">
        <f>CHOOSE(CONTROL!$C$42, 69.9417, 69.9417)* CHOOSE(CONTROL!$C$21, $C$9, 100%, $E$9)</f>
        <v>69.941699999999997</v>
      </c>
      <c r="K794" s="53">
        <f>CHOOSE(CONTROL!$C$42, 70.1732, 70.1732) * CHOOSE(CONTROL!$C$21, $C$9, 100%, $E$9)</f>
        <v>70.173199999999994</v>
      </c>
      <c r="L794" s="14">
        <f>CHOOSE(CONTROL!$C$42, 70.6166, 70.6166) * CHOOSE(CONTROL!$C$21, $C$9, 100%, $E$9)</f>
        <v>70.616600000000005</v>
      </c>
      <c r="M794" s="14">
        <f>CHOOSE(CONTROL!$C$42, 68.5164, 68.5164) * CHOOSE(CONTROL!$C$21, $C$9, 100%, $E$9)</f>
        <v>68.516400000000004</v>
      </c>
      <c r="N794" s="14">
        <f>CHOOSE(CONTROL!$C$42, 68.5339, 68.5339) * CHOOSE(CONTROL!$C$21, $C$9, 100%, $E$9)</f>
        <v>68.533900000000003</v>
      </c>
      <c r="O794" s="14">
        <f>CHOOSE(CONTROL!$C$42, 68.6024, 68.6024) * CHOOSE(CONTROL!$C$21, $C$9, 100%, $E$9)</f>
        <v>68.602400000000003</v>
      </c>
      <c r="P794" s="14">
        <f>CHOOSE(CONTROL!$C$42, 68.7426, 68.7426) * CHOOSE(CONTROL!$C$21, $C$9, 100%, $E$9)</f>
        <v>68.742599999999996</v>
      </c>
      <c r="Q794" s="14">
        <f>CHOOSE(CONTROL!$C$42, 69.1971, 69.1971) * CHOOSE(CONTROL!$C$21, $C$9, 100%, $E$9)</f>
        <v>69.197100000000006</v>
      </c>
      <c r="R794" s="14">
        <f>CHOOSE(CONTROL!$C$42, 69.9571, 69.9571) * CHOOSE(CONTROL!$C$21, $C$9, 100%, $E$9)</f>
        <v>69.957099999999997</v>
      </c>
      <c r="S794" s="14">
        <f>CHOOSE(CONTROL!$C$42, 67.1818, 67.1818) * CHOOSE(CONTROL!$C$21, $C$9, 100%, $E$9)</f>
        <v>67.181799999999996</v>
      </c>
      <c r="T79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94" s="57">
        <f>(1000*CHOOSE(CONTROL!$C$42, 695, 695)*CHOOSE(CONTROL!$C$42, 0.5599, 0.5599)*CHOOSE(CONTROL!$C$42, 28, 28))/1000000</f>
        <v>10.895653999999999</v>
      </c>
      <c r="V794" s="57">
        <f>(1000*CHOOSE(CONTROL!$C$42, 500, 500)*CHOOSE(CONTROL!$C$42, 0.275, 0.275)*CHOOSE(CONTROL!$C$42, 28, 28))/1000000</f>
        <v>3.85</v>
      </c>
      <c r="W794" s="57">
        <f>(1000*CHOOSE(CONTROL!$C$42, 0.1146, 0.1146)*CHOOSE(CONTROL!$C$42, 121.5, 121.5)*CHOOSE(CONTROL!$C$42, 28, 28))/1000000</f>
        <v>0.38986920000000003</v>
      </c>
      <c r="X794" s="57">
        <f>(28*0.1790888*100000/1000000)+(28*0.2374*100000/1000000)</f>
        <v>1.16616864</v>
      </c>
      <c r="Y794" s="57"/>
      <c r="Z794" s="14"/>
      <c r="AA794" s="56"/>
      <c r="AB794" s="50">
        <f>(B794*122.58+C794*297.941+D794*89.177+E794*40.302+F794*40+G794*160+H794*0+I794*100+J794*300)/(122.58+297.941+89.177+40.302+0+40+160+100+300)</f>
        <v>69.969340980347837</v>
      </c>
      <c r="AC794" s="45">
        <f>(M794*'RAP TEMPLATE-GAS AVAILABILITY'!O793+N794*'RAP TEMPLATE-GAS AVAILABILITY'!P793+O794*'RAP TEMPLATE-GAS AVAILABILITY'!Q793+P794*'RAP TEMPLATE-GAS AVAILABILITY'!R793)/('RAP TEMPLATE-GAS AVAILABILITY'!O793+'RAP TEMPLATE-GAS AVAILABILITY'!P793+'RAP TEMPLATE-GAS AVAILABILITY'!Q793+'RAP TEMPLATE-GAS AVAILABILITY'!R793)</f>
        <v>68.588932374100722</v>
      </c>
    </row>
    <row r="795" spans="1:29" ht="15.75" x14ac:dyDescent="0.25">
      <c r="A795" s="32">
        <v>65105</v>
      </c>
      <c r="B795" s="14">
        <f>CHOOSE(CONTROL!$C$42, 67.9395, 67.9395) * CHOOSE(CONTROL!$C$21, $C$9, 100%, $E$9)</f>
        <v>67.939499999999995</v>
      </c>
      <c r="C795" s="14">
        <f>CHOOSE(CONTROL!$C$42, 67.9445, 67.9445) * CHOOSE(CONTROL!$C$21, $C$9, 100%, $E$9)</f>
        <v>67.944500000000005</v>
      </c>
      <c r="D795" s="14">
        <f>CHOOSE(CONTROL!$C$42, 68.0214, 68.0214) * CHOOSE(CONTROL!$C$21, $C$9, 100%, $E$9)</f>
        <v>68.0214</v>
      </c>
      <c r="E795" s="14">
        <f>CHOOSE(CONTROL!$C$42, 68.0555, 68.0555) * CHOOSE(CONTROL!$C$21, $C$9, 100%, $E$9)</f>
        <v>68.055499999999995</v>
      </c>
      <c r="F795" s="14">
        <f>CHOOSE(CONTROL!$C$42, 67.9629, 67.9629)*CHOOSE(CONTROL!$C$21, $C$9, 100%, $E$9)</f>
        <v>67.962900000000005</v>
      </c>
      <c r="G795" s="14">
        <f>CHOOSE(CONTROL!$C$42, 67.9806, 67.9806)*CHOOSE(CONTROL!$C$21, $C$9, 100%, $E$9)</f>
        <v>67.980599999999995</v>
      </c>
      <c r="H795" s="14">
        <f>CHOOSE(CONTROL!$C$42, 68.0447, 68.0447) * CHOOSE(CONTROL!$C$21, $C$9, 100%, $E$9)</f>
        <v>68.044700000000006</v>
      </c>
      <c r="I795" s="14">
        <f>CHOOSE(CONTROL!$C$42, 68.186, 68.186)* CHOOSE(CONTROL!$C$21, $C$9, 100%, $E$9)</f>
        <v>68.186000000000007</v>
      </c>
      <c r="J795" s="14">
        <f>CHOOSE(CONTROL!$C$42, 67.9559, 67.9559)* CHOOSE(CONTROL!$C$21, $C$9, 100%, $E$9)</f>
        <v>67.9559</v>
      </c>
      <c r="K795" s="53">
        <f>CHOOSE(CONTROL!$C$42, 68.1821, 68.1821) * CHOOSE(CONTROL!$C$21, $C$9, 100%, $E$9)</f>
        <v>68.182100000000005</v>
      </c>
      <c r="L795" s="14">
        <f>CHOOSE(CONTROL!$C$42, 68.6317, 68.6317) * CHOOSE(CONTROL!$C$21, $C$9, 100%, $E$9)</f>
        <v>68.631699999999995</v>
      </c>
      <c r="M795" s="14">
        <f>CHOOSE(CONTROL!$C$42, 66.5713, 66.5713) * CHOOSE(CONTROL!$C$21, $C$9, 100%, $E$9)</f>
        <v>66.571299999999994</v>
      </c>
      <c r="N795" s="14">
        <f>CHOOSE(CONTROL!$C$42, 66.5885, 66.5885) * CHOOSE(CONTROL!$C$21, $C$9, 100%, $E$9)</f>
        <v>66.588499999999996</v>
      </c>
      <c r="O795" s="14">
        <f>CHOOSE(CONTROL!$C$42, 66.6582, 66.6582) * CHOOSE(CONTROL!$C$21, $C$9, 100%, $E$9)</f>
        <v>66.658199999999994</v>
      </c>
      <c r="P795" s="14">
        <f>CHOOSE(CONTROL!$C$42, 66.7924, 66.7924) * CHOOSE(CONTROL!$C$21, $C$9, 100%, $E$9)</f>
        <v>66.792400000000001</v>
      </c>
      <c r="Q795" s="14">
        <f>CHOOSE(CONTROL!$C$42, 67.2529, 67.2529) * CHOOSE(CONTROL!$C$21, $C$9, 100%, $E$9)</f>
        <v>67.252899999999997</v>
      </c>
      <c r="R795" s="14">
        <f>CHOOSE(CONTROL!$C$42, 68.008, 68.008) * CHOOSE(CONTROL!$C$21, $C$9, 100%, $E$9)</f>
        <v>68.007999999999996</v>
      </c>
      <c r="S795" s="14">
        <f>CHOOSE(CONTROL!$C$42, 65.2745, 65.2745) * CHOOSE(CONTROL!$C$21, $C$9, 100%, $E$9)</f>
        <v>65.274500000000003</v>
      </c>
      <c r="T79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95" s="57">
        <f>(1000*CHOOSE(CONTROL!$C$42, 695, 695)*CHOOSE(CONTROL!$C$42, 0.5599, 0.5599)*CHOOSE(CONTROL!$C$42, 31, 31))/1000000</f>
        <v>12.063045499999998</v>
      </c>
      <c r="V795" s="57">
        <f>(1000*CHOOSE(CONTROL!$C$42, 500, 500)*CHOOSE(CONTROL!$C$42, 0.275, 0.275)*CHOOSE(CONTROL!$C$42, 31, 31))/1000000</f>
        <v>4.2625000000000002</v>
      </c>
      <c r="W795" s="57">
        <f>(1000*CHOOSE(CONTROL!$C$42, 0.1146, 0.1146)*CHOOSE(CONTROL!$C$42, 121.5, 121.5)*CHOOSE(CONTROL!$C$42, 31, 31))/1000000</f>
        <v>0.43164089999999994</v>
      </c>
      <c r="X795" s="57">
        <f>(31*0.1790888*100000/1000000)+(31*0.2374*100000/1000000)</f>
        <v>1.2911152800000001</v>
      </c>
      <c r="Y795" s="57"/>
      <c r="Z795" s="14"/>
      <c r="AA795" s="56"/>
      <c r="AB795" s="50">
        <f>(B795*122.58+C795*297.941+D795*89.177+E795*40.302+F795*40+G795*160+H795*0+I795*100+J795*300)/(122.58+297.941+89.177+40.302+0+40+160+100+300)</f>
        <v>67.983456811565219</v>
      </c>
      <c r="AC795" s="45">
        <f>(M795*'RAP TEMPLATE-GAS AVAILABILITY'!O794+N795*'RAP TEMPLATE-GAS AVAILABILITY'!P794+O795*'RAP TEMPLATE-GAS AVAILABILITY'!Q794+P795*'RAP TEMPLATE-GAS AVAILABILITY'!R794)/('RAP TEMPLATE-GAS AVAILABILITY'!O794+'RAP TEMPLATE-GAS AVAILABILITY'!P794+'RAP TEMPLATE-GAS AVAILABILITY'!Q794+'RAP TEMPLATE-GAS AVAILABILITY'!R794)</f>
        <v>66.643489208633085</v>
      </c>
    </row>
    <row r="796" spans="1:29" ht="15.75" x14ac:dyDescent="0.25">
      <c r="A796" s="32">
        <v>65135</v>
      </c>
      <c r="B796" s="14">
        <f>CHOOSE(CONTROL!$C$42, 67.7371, 67.7371) * CHOOSE(CONTROL!$C$21, $C$9, 100%, $E$9)</f>
        <v>67.737099999999998</v>
      </c>
      <c r="C796" s="14">
        <f>CHOOSE(CONTROL!$C$42, 67.7416, 67.7416) * CHOOSE(CONTROL!$C$21, $C$9, 100%, $E$9)</f>
        <v>67.741600000000005</v>
      </c>
      <c r="D796" s="14">
        <f>CHOOSE(CONTROL!$C$42, 67.9653, 67.9653) * CHOOSE(CONTROL!$C$21, $C$9, 100%, $E$9)</f>
        <v>67.965299999999999</v>
      </c>
      <c r="E796" s="14">
        <f>CHOOSE(CONTROL!$C$42, 67.9974, 67.9974) * CHOOSE(CONTROL!$C$21, $C$9, 100%, $E$9)</f>
        <v>67.997399999999999</v>
      </c>
      <c r="F796" s="14">
        <f>CHOOSE(CONTROL!$C$42, 67.7648, 67.7648)*CHOOSE(CONTROL!$C$21, $C$9, 100%, $E$9)</f>
        <v>67.764799999999994</v>
      </c>
      <c r="G796" s="14">
        <f>CHOOSE(CONTROL!$C$42, 67.7817, 67.7817)*CHOOSE(CONTROL!$C$21, $C$9, 100%, $E$9)</f>
        <v>67.781700000000001</v>
      </c>
      <c r="H796" s="14">
        <f>CHOOSE(CONTROL!$C$42, 67.9872, 67.9872) * CHOOSE(CONTROL!$C$21, $C$9, 100%, $E$9)</f>
        <v>67.987200000000001</v>
      </c>
      <c r="I796" s="14">
        <f>CHOOSE(CONTROL!$C$42, 67.9785, 67.9785)* CHOOSE(CONTROL!$C$21, $C$9, 100%, $E$9)</f>
        <v>67.978499999999997</v>
      </c>
      <c r="J796" s="14">
        <f>CHOOSE(CONTROL!$C$42, 67.7578, 67.7578)* CHOOSE(CONTROL!$C$21, $C$9, 100%, $E$9)</f>
        <v>67.757800000000003</v>
      </c>
      <c r="K796" s="53">
        <f>CHOOSE(CONTROL!$C$42, 67.9746, 67.9746) * CHOOSE(CONTROL!$C$21, $C$9, 100%, $E$9)</f>
        <v>67.974599999999995</v>
      </c>
      <c r="L796" s="14">
        <f>CHOOSE(CONTROL!$C$42, 68.5742, 68.5742) * CHOOSE(CONTROL!$C$21, $C$9, 100%, $E$9)</f>
        <v>68.574200000000005</v>
      </c>
      <c r="M796" s="14">
        <f>CHOOSE(CONTROL!$C$42, 66.3772, 66.3772) * CHOOSE(CONTROL!$C$21, $C$9, 100%, $E$9)</f>
        <v>66.377200000000002</v>
      </c>
      <c r="N796" s="14">
        <f>CHOOSE(CONTROL!$C$42, 66.3937, 66.3937) * CHOOSE(CONTROL!$C$21, $C$9, 100%, $E$9)</f>
        <v>66.393699999999995</v>
      </c>
      <c r="O796" s="14">
        <f>CHOOSE(CONTROL!$C$42, 66.6019, 66.6019) * CHOOSE(CONTROL!$C$21, $C$9, 100%, $E$9)</f>
        <v>66.601900000000001</v>
      </c>
      <c r="P796" s="14">
        <f>CHOOSE(CONTROL!$C$42, 66.5892, 66.5892) * CHOOSE(CONTROL!$C$21, $C$9, 100%, $E$9)</f>
        <v>66.589200000000005</v>
      </c>
      <c r="Q796" s="14">
        <f>CHOOSE(CONTROL!$C$42, 67.1966, 67.1966) * CHOOSE(CONTROL!$C$21, $C$9, 100%, $E$9)</f>
        <v>67.196600000000004</v>
      </c>
      <c r="R796" s="14">
        <f>CHOOSE(CONTROL!$C$42, 67.9516, 67.9516) * CHOOSE(CONTROL!$C$21, $C$9, 100%, $E$9)</f>
        <v>67.951599999999999</v>
      </c>
      <c r="S796" s="14">
        <f>CHOOSE(CONTROL!$C$42, 65.0793, 65.0793) * CHOOSE(CONTROL!$C$21, $C$9, 100%, $E$9)</f>
        <v>65.079300000000003</v>
      </c>
      <c r="T79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96" s="57">
        <f>(1000*CHOOSE(CONTROL!$C$42, 695, 695)*CHOOSE(CONTROL!$C$42, 0.5599, 0.5599)*CHOOSE(CONTROL!$C$42, 30, 30))/1000000</f>
        <v>11.673914999999997</v>
      </c>
      <c r="V796" s="57">
        <f>(1000*CHOOSE(CONTROL!$C$42, 500, 500)*CHOOSE(CONTROL!$C$42, 0.275, 0.275)*CHOOSE(CONTROL!$C$42, 30, 30))/1000000</f>
        <v>4.125</v>
      </c>
      <c r="W796" s="57">
        <f>(1000*CHOOSE(CONTROL!$C$42, 0.1146, 0.1146)*CHOOSE(CONTROL!$C$42, 121.5, 121.5)*CHOOSE(CONTROL!$C$42, 30, 30))/1000000</f>
        <v>0.417717</v>
      </c>
      <c r="X796" s="57">
        <f>(30*0.1790888*245000/1000000)+(30*0.2374*100000/1000000)</f>
        <v>2.0285026799999999</v>
      </c>
      <c r="Y796" s="57"/>
      <c r="Z796" s="14"/>
      <c r="AA796" s="56"/>
      <c r="AB796" s="50">
        <f>(B796*141.293+C796*267.993+D796*115.016+E796*89.698+F796*40+G796*185+H796*0+I796*100+J796*300)/(141.293+267.993+115.016+89.698+0+40+185+100+300)</f>
        <v>67.810150854802274</v>
      </c>
      <c r="AC796" s="45">
        <f>(M796*'RAP TEMPLATE-GAS AVAILABILITY'!O795+N796*'RAP TEMPLATE-GAS AVAILABILITY'!P795+O796*'RAP TEMPLATE-GAS AVAILABILITY'!Q795+P796*'RAP TEMPLATE-GAS AVAILABILITY'!R795)/('RAP TEMPLATE-GAS AVAILABILITY'!O795+'RAP TEMPLATE-GAS AVAILABILITY'!P795+'RAP TEMPLATE-GAS AVAILABILITY'!Q795+'RAP TEMPLATE-GAS AVAILABILITY'!R795)</f>
        <v>66.510495683453229</v>
      </c>
    </row>
    <row r="797" spans="1:29" ht="15.75" x14ac:dyDescent="0.25">
      <c r="A797" s="32">
        <v>65166</v>
      </c>
      <c r="B797" s="14">
        <f>CHOOSE(CONTROL!$C$42, 68.3363, 68.3363) * CHOOSE(CONTROL!$C$21, $C$9, 100%, $E$9)</f>
        <v>68.336299999999994</v>
      </c>
      <c r="C797" s="14">
        <f>CHOOSE(CONTROL!$C$42, 68.3443, 68.3443) * CHOOSE(CONTROL!$C$21, $C$9, 100%, $E$9)</f>
        <v>68.344300000000004</v>
      </c>
      <c r="D797" s="14">
        <f>CHOOSE(CONTROL!$C$42, 68.5649, 68.5649) * CHOOSE(CONTROL!$C$21, $C$9, 100%, $E$9)</f>
        <v>68.564899999999994</v>
      </c>
      <c r="E797" s="14">
        <f>CHOOSE(CONTROL!$C$42, 68.5963, 68.5963) * CHOOSE(CONTROL!$C$21, $C$9, 100%, $E$9)</f>
        <v>68.596299999999999</v>
      </c>
      <c r="F797" s="14">
        <f>CHOOSE(CONTROL!$C$42, 68.3625, 68.3625)*CHOOSE(CONTROL!$C$21, $C$9, 100%, $E$9)</f>
        <v>68.362499999999997</v>
      </c>
      <c r="G797" s="14">
        <f>CHOOSE(CONTROL!$C$42, 68.3796, 68.3796)*CHOOSE(CONTROL!$C$21, $C$9, 100%, $E$9)</f>
        <v>68.379599999999996</v>
      </c>
      <c r="H797" s="14">
        <f>CHOOSE(CONTROL!$C$42, 68.585, 68.585) * CHOOSE(CONTROL!$C$21, $C$9, 100%, $E$9)</f>
        <v>68.584999999999994</v>
      </c>
      <c r="I797" s="14">
        <f>CHOOSE(CONTROL!$C$42, 68.5782, 68.5782)* CHOOSE(CONTROL!$C$21, $C$9, 100%, $E$9)</f>
        <v>68.578199999999995</v>
      </c>
      <c r="J797" s="14">
        <f>CHOOSE(CONTROL!$C$42, 68.3555, 68.3555)* CHOOSE(CONTROL!$C$21, $C$9, 100%, $E$9)</f>
        <v>68.355500000000006</v>
      </c>
      <c r="K797" s="53">
        <f>CHOOSE(CONTROL!$C$42, 68.5743, 68.5743) * CHOOSE(CONTROL!$C$21, $C$9, 100%, $E$9)</f>
        <v>68.574299999999994</v>
      </c>
      <c r="L797" s="14">
        <f>CHOOSE(CONTROL!$C$42, 69.172, 69.172) * CHOOSE(CONTROL!$C$21, $C$9, 100%, $E$9)</f>
        <v>69.171999999999997</v>
      </c>
      <c r="M797" s="14">
        <f>CHOOSE(CONTROL!$C$42, 66.9627, 66.9627) * CHOOSE(CONTROL!$C$21, $C$9, 100%, $E$9)</f>
        <v>66.962699999999998</v>
      </c>
      <c r="N797" s="14">
        <f>CHOOSE(CONTROL!$C$42, 66.9794, 66.9794) * CHOOSE(CONTROL!$C$21, $C$9, 100%, $E$9)</f>
        <v>66.979399999999998</v>
      </c>
      <c r="O797" s="14">
        <f>CHOOSE(CONTROL!$C$42, 67.1874, 67.1874) * CHOOSE(CONTROL!$C$21, $C$9, 100%, $E$9)</f>
        <v>67.187399999999997</v>
      </c>
      <c r="P797" s="14">
        <f>CHOOSE(CONTROL!$C$42, 67.1765, 67.1765) * CHOOSE(CONTROL!$C$21, $C$9, 100%, $E$9)</f>
        <v>67.176500000000004</v>
      </c>
      <c r="Q797" s="14">
        <f>CHOOSE(CONTROL!$C$42, 67.7821, 67.7821) * CHOOSE(CONTROL!$C$21, $C$9, 100%, $E$9)</f>
        <v>67.7821</v>
      </c>
      <c r="R797" s="14">
        <f>CHOOSE(CONTROL!$C$42, 68.5385, 68.5385) * CHOOSE(CONTROL!$C$21, $C$9, 100%, $E$9)</f>
        <v>68.538499999999999</v>
      </c>
      <c r="S797" s="14">
        <f>CHOOSE(CONTROL!$C$42, 65.6537, 65.6537) * CHOOSE(CONTROL!$C$21, $C$9, 100%, $E$9)</f>
        <v>65.653700000000001</v>
      </c>
      <c r="T79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97" s="57">
        <f>(1000*CHOOSE(CONTROL!$C$42, 695, 695)*CHOOSE(CONTROL!$C$42, 0.5599, 0.5599)*CHOOSE(CONTROL!$C$42, 31, 31))/1000000</f>
        <v>12.063045499999998</v>
      </c>
      <c r="V797" s="57">
        <f>(1000*CHOOSE(CONTROL!$C$42, 500, 500)*CHOOSE(CONTROL!$C$42, 0.275, 0.275)*CHOOSE(CONTROL!$C$42, 31, 31))/1000000</f>
        <v>4.2625000000000002</v>
      </c>
      <c r="W797" s="57">
        <f>(1000*CHOOSE(CONTROL!$C$42, 0.1146, 0.1146)*CHOOSE(CONTROL!$C$42, 121.5, 121.5)*CHOOSE(CONTROL!$C$42, 31, 31))/1000000</f>
        <v>0.43164089999999994</v>
      </c>
      <c r="X797" s="57">
        <f>(31*0.1790888*245000/1000000)+(31*0.2374*100000/1000000)</f>
        <v>2.0961194359999999</v>
      </c>
      <c r="Y797" s="57"/>
      <c r="Z797" s="14"/>
      <c r="AA797" s="56"/>
      <c r="AB797" s="50">
        <f>(B797*194.205+C797*267.466+D797*133.845+E797*53.484+F797*40+G797*185+H797*0+I797*100+J797*300)/(194.205+267.466+133.845+53.484+0+40+185+100+300)</f>
        <v>68.403530011773938</v>
      </c>
      <c r="AC797" s="45">
        <f>(M797*'RAP TEMPLATE-GAS AVAILABILITY'!O796+N797*'RAP TEMPLATE-GAS AVAILABILITY'!P796+O797*'RAP TEMPLATE-GAS AVAILABILITY'!Q796+P797*'RAP TEMPLATE-GAS AVAILABILITY'!R796)/('RAP TEMPLATE-GAS AVAILABILITY'!O796+'RAP TEMPLATE-GAS AVAILABILITY'!P796+'RAP TEMPLATE-GAS AVAILABILITY'!Q796+'RAP TEMPLATE-GAS AVAILABILITY'!R796)</f>
        <v>67.096266187050361</v>
      </c>
    </row>
    <row r="798" spans="1:29" ht="15.75" x14ac:dyDescent="0.25">
      <c r="A798" s="32">
        <v>65196</v>
      </c>
      <c r="B798" s="14">
        <f>CHOOSE(CONTROL!$C$42, 70.2744, 70.2744) * CHOOSE(CONTROL!$C$21, $C$9, 100%, $E$9)</f>
        <v>70.2744</v>
      </c>
      <c r="C798" s="14">
        <f>CHOOSE(CONTROL!$C$42, 70.2824, 70.2824) * CHOOSE(CONTROL!$C$21, $C$9, 100%, $E$9)</f>
        <v>70.282399999999996</v>
      </c>
      <c r="D798" s="14">
        <f>CHOOSE(CONTROL!$C$42, 70.503, 70.503) * CHOOSE(CONTROL!$C$21, $C$9, 100%, $E$9)</f>
        <v>70.503</v>
      </c>
      <c r="E798" s="14">
        <f>CHOOSE(CONTROL!$C$42, 70.5344, 70.5344) * CHOOSE(CONTROL!$C$21, $C$9, 100%, $E$9)</f>
        <v>70.534400000000005</v>
      </c>
      <c r="F798" s="14">
        <f>CHOOSE(CONTROL!$C$42, 70.301, 70.301)*CHOOSE(CONTROL!$C$21, $C$9, 100%, $E$9)</f>
        <v>70.301000000000002</v>
      </c>
      <c r="G798" s="14">
        <f>CHOOSE(CONTROL!$C$42, 70.3182, 70.3182)*CHOOSE(CONTROL!$C$21, $C$9, 100%, $E$9)</f>
        <v>70.318200000000004</v>
      </c>
      <c r="H798" s="14">
        <f>CHOOSE(CONTROL!$C$42, 70.5231, 70.5231) * CHOOSE(CONTROL!$C$21, $C$9, 100%, $E$9)</f>
        <v>70.523099999999999</v>
      </c>
      <c r="I798" s="14">
        <f>CHOOSE(CONTROL!$C$42, 70.5223, 70.5223)* CHOOSE(CONTROL!$C$21, $C$9, 100%, $E$9)</f>
        <v>70.522300000000001</v>
      </c>
      <c r="J798" s="14">
        <f>CHOOSE(CONTROL!$C$42, 70.294, 70.294)* CHOOSE(CONTROL!$C$21, $C$9, 100%, $E$9)</f>
        <v>70.293999999999997</v>
      </c>
      <c r="K798" s="53">
        <f>CHOOSE(CONTROL!$C$42, 70.5185, 70.5185) * CHOOSE(CONTROL!$C$21, $C$9, 100%, $E$9)</f>
        <v>70.518500000000003</v>
      </c>
      <c r="L798" s="14">
        <f>CHOOSE(CONTROL!$C$42, 71.1101, 71.1101) * CHOOSE(CONTROL!$C$21, $C$9, 100%, $E$9)</f>
        <v>71.110100000000003</v>
      </c>
      <c r="M798" s="14">
        <f>CHOOSE(CONTROL!$C$42, 68.8614, 68.8614) * CHOOSE(CONTROL!$C$21, $C$9, 100%, $E$9)</f>
        <v>68.861400000000003</v>
      </c>
      <c r="N798" s="14">
        <f>CHOOSE(CONTROL!$C$42, 68.8783, 68.8783) * CHOOSE(CONTROL!$C$21, $C$9, 100%, $E$9)</f>
        <v>68.878299999999996</v>
      </c>
      <c r="O798" s="14">
        <f>CHOOSE(CONTROL!$C$42, 69.0858, 69.0858) * CHOOSE(CONTROL!$C$21, $C$9, 100%, $E$9)</f>
        <v>69.085800000000006</v>
      </c>
      <c r="P798" s="14">
        <f>CHOOSE(CONTROL!$C$42, 69.0807, 69.0807) * CHOOSE(CONTROL!$C$21, $C$9, 100%, $E$9)</f>
        <v>69.080699999999993</v>
      </c>
      <c r="Q798" s="14">
        <f>CHOOSE(CONTROL!$C$42, 69.6805, 69.6805) * CHOOSE(CONTROL!$C$21, $C$9, 100%, $E$9)</f>
        <v>69.680499999999995</v>
      </c>
      <c r="R798" s="14">
        <f>CHOOSE(CONTROL!$C$42, 70.4417, 70.4417) * CHOOSE(CONTROL!$C$21, $C$9, 100%, $E$9)</f>
        <v>70.441699999999997</v>
      </c>
      <c r="S798" s="14">
        <f>CHOOSE(CONTROL!$C$42, 67.516, 67.516) * CHOOSE(CONTROL!$C$21, $C$9, 100%, $E$9)</f>
        <v>67.516000000000005</v>
      </c>
      <c r="T79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98" s="57">
        <f>(1000*CHOOSE(CONTROL!$C$42, 695, 695)*CHOOSE(CONTROL!$C$42, 0.5599, 0.5599)*CHOOSE(CONTROL!$C$42, 30, 30))/1000000</f>
        <v>11.673914999999997</v>
      </c>
      <c r="V798" s="57">
        <f>(1000*CHOOSE(CONTROL!$C$42, 500, 500)*CHOOSE(CONTROL!$C$42, 0.275, 0.275)*CHOOSE(CONTROL!$C$42, 30, 30))/1000000</f>
        <v>4.125</v>
      </c>
      <c r="W798" s="57">
        <f>(1000*CHOOSE(CONTROL!$C$42, 0.1146, 0.1146)*CHOOSE(CONTROL!$C$42, 121.5, 121.5)*CHOOSE(CONTROL!$C$42, 30, 30))/1000000</f>
        <v>0.417717</v>
      </c>
      <c r="X798" s="57">
        <f>(30*0.1790888*245000/1000000)+(30*0.2374*100000/1000000)</f>
        <v>2.0285026799999999</v>
      </c>
      <c r="Y798" s="57"/>
      <c r="Z798" s="14"/>
      <c r="AA798" s="56"/>
      <c r="AB798" s="50">
        <f>(B798*194.205+C798*267.466+D798*133.845+E798*53.484+F798*40+G798*185+H798*0+I798*100+J798*300)/(194.205+267.466+133.845+53.484+0+40+185+100+300)</f>
        <v>70.342280325745676</v>
      </c>
      <c r="AC798" s="45">
        <f>(M798*'RAP TEMPLATE-GAS AVAILABILITY'!O797+N798*'RAP TEMPLATE-GAS AVAILABILITY'!P797+O798*'RAP TEMPLATE-GAS AVAILABILITY'!Q797+P798*'RAP TEMPLATE-GAS AVAILABILITY'!R797)/('RAP TEMPLATE-GAS AVAILABILITY'!O797+'RAP TEMPLATE-GAS AVAILABILITY'!P797+'RAP TEMPLATE-GAS AVAILABILITY'!Q797+'RAP TEMPLATE-GAS AVAILABILITY'!R797)</f>
        <v>68.995633093525186</v>
      </c>
    </row>
    <row r="799" spans="1:29" ht="15.75" x14ac:dyDescent="0.25">
      <c r="A799" s="32">
        <v>65227</v>
      </c>
      <c r="B799" s="14">
        <f>CHOOSE(CONTROL!$C$42, 68.9264, 68.9264) * CHOOSE(CONTROL!$C$21, $C$9, 100%, $E$9)</f>
        <v>68.926400000000001</v>
      </c>
      <c r="C799" s="14">
        <f>CHOOSE(CONTROL!$C$42, 68.9344, 68.9344) * CHOOSE(CONTROL!$C$21, $C$9, 100%, $E$9)</f>
        <v>68.934399999999997</v>
      </c>
      <c r="D799" s="14">
        <f>CHOOSE(CONTROL!$C$42, 69.155, 69.155) * CHOOSE(CONTROL!$C$21, $C$9, 100%, $E$9)</f>
        <v>69.155000000000001</v>
      </c>
      <c r="E799" s="14">
        <f>CHOOSE(CONTROL!$C$42, 69.1865, 69.1865) * CHOOSE(CONTROL!$C$21, $C$9, 100%, $E$9)</f>
        <v>69.186499999999995</v>
      </c>
      <c r="F799" s="14">
        <f>CHOOSE(CONTROL!$C$42, 68.9535, 68.9535)*CHOOSE(CONTROL!$C$21, $C$9, 100%, $E$9)</f>
        <v>68.953500000000005</v>
      </c>
      <c r="G799" s="14">
        <f>CHOOSE(CONTROL!$C$42, 68.9708, 68.9708)*CHOOSE(CONTROL!$C$21, $C$9, 100%, $E$9)</f>
        <v>68.970799999999997</v>
      </c>
      <c r="H799" s="14">
        <f>CHOOSE(CONTROL!$C$42, 69.1751, 69.1751) * CHOOSE(CONTROL!$C$21, $C$9, 100%, $E$9)</f>
        <v>69.1751</v>
      </c>
      <c r="I799" s="14">
        <f>CHOOSE(CONTROL!$C$42, 69.1701, 69.1701)* CHOOSE(CONTROL!$C$21, $C$9, 100%, $E$9)</f>
        <v>69.170100000000005</v>
      </c>
      <c r="J799" s="14">
        <f>CHOOSE(CONTROL!$C$42, 68.9465, 68.9465)* CHOOSE(CONTROL!$C$21, $C$9, 100%, $E$9)</f>
        <v>68.9465</v>
      </c>
      <c r="K799" s="53">
        <f>CHOOSE(CONTROL!$C$42, 69.1663, 69.1663) * CHOOSE(CONTROL!$C$21, $C$9, 100%, $E$9)</f>
        <v>69.166300000000007</v>
      </c>
      <c r="L799" s="14">
        <f>CHOOSE(CONTROL!$C$42, 69.7621, 69.7621) * CHOOSE(CONTROL!$C$21, $C$9, 100%, $E$9)</f>
        <v>69.762100000000004</v>
      </c>
      <c r="M799" s="14">
        <f>CHOOSE(CONTROL!$C$42, 67.5415, 67.5415) * CHOOSE(CONTROL!$C$21, $C$9, 100%, $E$9)</f>
        <v>67.541499999999999</v>
      </c>
      <c r="N799" s="14">
        <f>CHOOSE(CONTROL!$C$42, 67.5585, 67.5585) * CHOOSE(CONTROL!$C$21, $C$9, 100%, $E$9)</f>
        <v>67.558499999999995</v>
      </c>
      <c r="O799" s="14">
        <f>CHOOSE(CONTROL!$C$42, 67.7654, 67.7654) * CHOOSE(CONTROL!$C$21, $C$9, 100%, $E$9)</f>
        <v>67.7654</v>
      </c>
      <c r="P799" s="14">
        <f>CHOOSE(CONTROL!$C$42, 67.7563, 67.7563) * CHOOSE(CONTROL!$C$21, $C$9, 100%, $E$9)</f>
        <v>67.756299999999996</v>
      </c>
      <c r="Q799" s="14">
        <f>CHOOSE(CONTROL!$C$42, 68.3601, 68.3601) * CHOOSE(CONTROL!$C$21, $C$9, 100%, $E$9)</f>
        <v>68.360100000000003</v>
      </c>
      <c r="R799" s="14">
        <f>CHOOSE(CONTROL!$C$42, 69.118, 69.118) * CHOOSE(CONTROL!$C$21, $C$9, 100%, $E$9)</f>
        <v>69.117999999999995</v>
      </c>
      <c r="S799" s="14">
        <f>CHOOSE(CONTROL!$C$42, 66.2207, 66.2207) * CHOOSE(CONTROL!$C$21, $C$9, 100%, $E$9)</f>
        <v>66.220699999999994</v>
      </c>
      <c r="T79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9" s="57">
        <f>(1000*CHOOSE(CONTROL!$C$42, 695, 695)*CHOOSE(CONTROL!$C$42, 0.5599, 0.5599)*CHOOSE(CONTROL!$C$42, 31, 31))/1000000</f>
        <v>12.063045499999998</v>
      </c>
      <c r="V799" s="57">
        <f>(1000*CHOOSE(CONTROL!$C$42, 500, 500)*CHOOSE(CONTROL!$C$42, 0.275, 0.275)*CHOOSE(CONTROL!$C$42, 31, 31))/1000000</f>
        <v>4.2625000000000002</v>
      </c>
      <c r="W799" s="57">
        <f>(1000*CHOOSE(CONTROL!$C$42, 0.1146, 0.1146)*CHOOSE(CONTROL!$C$42, 121.5, 121.5)*CHOOSE(CONTROL!$C$42, 31, 31))/1000000</f>
        <v>0.43164089999999994</v>
      </c>
      <c r="X799" s="57">
        <f>(31*0.1790888*245000/1000000)+(31*0.2374*100000/1000000)</f>
        <v>2.0961194359999999</v>
      </c>
      <c r="Y799" s="57"/>
      <c r="Z799" s="14"/>
      <c r="AA799" s="56"/>
      <c r="AB799" s="50">
        <f>(B799*194.205+C799*267.466+D799*133.845+E799*53.484+F799*40+G799*185+H799*0+I799*100+J799*300)/(194.205+267.466+133.845+53.484+0+40+185+100+300)</f>
        <v>68.994175418681323</v>
      </c>
      <c r="AC799" s="45">
        <f>(M799*'RAP TEMPLATE-GAS AVAILABILITY'!O798+N799*'RAP TEMPLATE-GAS AVAILABILITY'!P798+O799*'RAP TEMPLATE-GAS AVAILABILITY'!Q798+P799*'RAP TEMPLATE-GAS AVAILABILITY'!R798)/('RAP TEMPLATE-GAS AVAILABILITY'!O798+'RAP TEMPLATE-GAS AVAILABILITY'!P798+'RAP TEMPLATE-GAS AVAILABILITY'!Q798+'RAP TEMPLATE-GAS AVAILABILITY'!R798)</f>
        <v>67.674864748201429</v>
      </c>
    </row>
    <row r="800" spans="1:29" ht="15.75" x14ac:dyDescent="0.25">
      <c r="A800" s="32">
        <v>65258</v>
      </c>
      <c r="B800" s="14">
        <f>CHOOSE(CONTROL!$C$42, 65.5223, 65.5223) * CHOOSE(CONTROL!$C$21, $C$9, 100%, $E$9)</f>
        <v>65.522300000000001</v>
      </c>
      <c r="C800" s="14">
        <f>CHOOSE(CONTROL!$C$42, 65.5304, 65.5304) * CHOOSE(CONTROL!$C$21, $C$9, 100%, $E$9)</f>
        <v>65.5304</v>
      </c>
      <c r="D800" s="14">
        <f>CHOOSE(CONTROL!$C$42, 65.751, 65.751) * CHOOSE(CONTROL!$C$21, $C$9, 100%, $E$9)</f>
        <v>65.751000000000005</v>
      </c>
      <c r="E800" s="14">
        <f>CHOOSE(CONTROL!$C$42, 65.7824, 65.7824) * CHOOSE(CONTROL!$C$21, $C$9, 100%, $E$9)</f>
        <v>65.782399999999996</v>
      </c>
      <c r="F800" s="14">
        <f>CHOOSE(CONTROL!$C$42, 65.5497, 65.5497)*CHOOSE(CONTROL!$C$21, $C$9, 100%, $E$9)</f>
        <v>65.549700000000001</v>
      </c>
      <c r="G800" s="14">
        <f>CHOOSE(CONTROL!$C$42, 65.5671, 65.5671)*CHOOSE(CONTROL!$C$21, $C$9, 100%, $E$9)</f>
        <v>65.567099999999996</v>
      </c>
      <c r="H800" s="14">
        <f>CHOOSE(CONTROL!$C$42, 65.7711, 65.7711) * CHOOSE(CONTROL!$C$21, $C$9, 100%, $E$9)</f>
        <v>65.771100000000004</v>
      </c>
      <c r="I800" s="14">
        <f>CHOOSE(CONTROL!$C$42, 65.7554, 65.7554)* CHOOSE(CONTROL!$C$21, $C$9, 100%, $E$9)</f>
        <v>65.755399999999995</v>
      </c>
      <c r="J800" s="14">
        <f>CHOOSE(CONTROL!$C$42, 65.5427, 65.5427)* CHOOSE(CONTROL!$C$21, $C$9, 100%, $E$9)</f>
        <v>65.542699999999996</v>
      </c>
      <c r="K800" s="53">
        <f>CHOOSE(CONTROL!$C$42, 65.7515, 65.7515) * CHOOSE(CONTROL!$C$21, $C$9, 100%, $E$9)</f>
        <v>65.751499999999993</v>
      </c>
      <c r="L800" s="14">
        <f>CHOOSE(CONTROL!$C$42, 66.3581, 66.3581) * CHOOSE(CONTROL!$C$21, $C$9, 100%, $E$9)</f>
        <v>66.358099999999993</v>
      </c>
      <c r="M800" s="14">
        <f>CHOOSE(CONTROL!$C$42, 64.2075, 64.2075) * CHOOSE(CONTROL!$C$21, $C$9, 100%, $E$9)</f>
        <v>64.207499999999996</v>
      </c>
      <c r="N800" s="14">
        <f>CHOOSE(CONTROL!$C$42, 64.2245, 64.2245) * CHOOSE(CONTROL!$C$21, $C$9, 100%, $E$9)</f>
        <v>64.224500000000006</v>
      </c>
      <c r="O800" s="14">
        <f>CHOOSE(CONTROL!$C$42, 64.4311, 64.4311) * CHOOSE(CONTROL!$C$21, $C$9, 100%, $E$9)</f>
        <v>64.431100000000001</v>
      </c>
      <c r="P800" s="14">
        <f>CHOOSE(CONTROL!$C$42, 64.4118, 64.4118) * CHOOSE(CONTROL!$C$21, $C$9, 100%, $E$9)</f>
        <v>64.411799999999999</v>
      </c>
      <c r="Q800" s="14">
        <f>CHOOSE(CONTROL!$C$42, 65.0258, 65.0258) * CHOOSE(CONTROL!$C$21, $C$9, 100%, $E$9)</f>
        <v>65.025800000000004</v>
      </c>
      <c r="R800" s="14">
        <f>CHOOSE(CONTROL!$C$42, 65.7754, 65.7754) * CHOOSE(CONTROL!$C$21, $C$9, 100%, $E$9)</f>
        <v>65.775400000000005</v>
      </c>
      <c r="S800" s="14">
        <f>CHOOSE(CONTROL!$C$42, 62.9498, 62.9498) * CHOOSE(CONTROL!$C$21, $C$9, 100%, $E$9)</f>
        <v>62.949800000000003</v>
      </c>
      <c r="T80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0" s="57">
        <f>(1000*CHOOSE(CONTROL!$C$42, 695, 695)*CHOOSE(CONTROL!$C$42, 0.5599, 0.5599)*CHOOSE(CONTROL!$C$42, 31, 31))/1000000</f>
        <v>12.063045499999998</v>
      </c>
      <c r="V800" s="57">
        <f>(1000*CHOOSE(CONTROL!$C$42, 500, 500)*CHOOSE(CONTROL!$C$42, 0.275, 0.275)*CHOOSE(CONTROL!$C$42, 31, 31))/1000000</f>
        <v>4.2625000000000002</v>
      </c>
      <c r="W800" s="57">
        <f>(1000*CHOOSE(CONTROL!$C$42, 0.1146, 0.1146)*CHOOSE(CONTROL!$C$42, 121.5, 121.5)*CHOOSE(CONTROL!$C$42, 31, 31))/1000000</f>
        <v>0.43164089999999994</v>
      </c>
      <c r="X800" s="57">
        <f>(31*0.1790888*245000/1000000)+(31*0.2374*100000/1000000)</f>
        <v>2.0961194359999999</v>
      </c>
      <c r="Y800" s="57"/>
      <c r="Z800" s="14"/>
      <c r="AA800" s="56"/>
      <c r="AB800" s="50">
        <f>(B800*194.205+C800*267.466+D800*133.845+E800*53.484+F800*40+G800*185+H800*0+I800*100+J800*300)/(194.205+267.466+133.845+53.484+0+40+185+100+300)</f>
        <v>65.589413041208786</v>
      </c>
      <c r="AC800" s="45">
        <f>(M800*'RAP TEMPLATE-GAS AVAILABILITY'!O799+N800*'RAP TEMPLATE-GAS AVAILABILITY'!P799+O800*'RAP TEMPLATE-GAS AVAILABILITY'!Q799+P800*'RAP TEMPLATE-GAS AVAILABILITY'!R799)/('RAP TEMPLATE-GAS AVAILABILITY'!O799+'RAP TEMPLATE-GAS AVAILABILITY'!P799+'RAP TEMPLATE-GAS AVAILABILITY'!Q799+'RAP TEMPLATE-GAS AVAILABILITY'!R799)</f>
        <v>64.339217985611498</v>
      </c>
    </row>
    <row r="801" spans="1:29" ht="15.75" x14ac:dyDescent="0.25">
      <c r="A801" s="32">
        <v>65288</v>
      </c>
      <c r="B801" s="14">
        <f>CHOOSE(CONTROL!$C$42, 61.363, 61.363) * CHOOSE(CONTROL!$C$21, $C$9, 100%, $E$9)</f>
        <v>61.363</v>
      </c>
      <c r="C801" s="14">
        <f>CHOOSE(CONTROL!$C$42, 61.371, 61.371) * CHOOSE(CONTROL!$C$21, $C$9, 100%, $E$9)</f>
        <v>61.371000000000002</v>
      </c>
      <c r="D801" s="14">
        <f>CHOOSE(CONTROL!$C$42, 61.5916, 61.5916) * CHOOSE(CONTROL!$C$21, $C$9, 100%, $E$9)</f>
        <v>61.5916</v>
      </c>
      <c r="E801" s="14">
        <f>CHOOSE(CONTROL!$C$42, 61.6231, 61.6231) * CHOOSE(CONTROL!$C$21, $C$9, 100%, $E$9)</f>
        <v>61.623100000000001</v>
      </c>
      <c r="F801" s="14">
        <f>CHOOSE(CONTROL!$C$42, 61.3903, 61.3903)*CHOOSE(CONTROL!$C$21, $C$9, 100%, $E$9)</f>
        <v>61.390300000000003</v>
      </c>
      <c r="G801" s="14">
        <f>CHOOSE(CONTROL!$C$42, 61.4078, 61.4078)*CHOOSE(CONTROL!$C$21, $C$9, 100%, $E$9)</f>
        <v>61.407800000000002</v>
      </c>
      <c r="H801" s="14">
        <f>CHOOSE(CONTROL!$C$42, 61.6117, 61.6117) * CHOOSE(CONTROL!$C$21, $C$9, 100%, $E$9)</f>
        <v>61.611699999999999</v>
      </c>
      <c r="I801" s="14">
        <f>CHOOSE(CONTROL!$C$42, 61.5831, 61.5831)* CHOOSE(CONTROL!$C$21, $C$9, 100%, $E$9)</f>
        <v>61.583100000000002</v>
      </c>
      <c r="J801" s="14">
        <f>CHOOSE(CONTROL!$C$42, 61.3833, 61.3833)* CHOOSE(CONTROL!$C$21, $C$9, 100%, $E$9)</f>
        <v>61.383299999999998</v>
      </c>
      <c r="K801" s="53">
        <f>CHOOSE(CONTROL!$C$42, 61.5792, 61.5792) * CHOOSE(CONTROL!$C$21, $C$9, 100%, $E$9)</f>
        <v>61.5792</v>
      </c>
      <c r="L801" s="14">
        <f>CHOOSE(CONTROL!$C$42, 62.1987, 62.1987) * CHOOSE(CONTROL!$C$21, $C$9, 100%, $E$9)</f>
        <v>62.198700000000002</v>
      </c>
      <c r="M801" s="14">
        <f>CHOOSE(CONTROL!$C$42, 60.1333, 60.1333) * CHOOSE(CONTROL!$C$21, $C$9, 100%, $E$9)</f>
        <v>60.133299999999998</v>
      </c>
      <c r="N801" s="14">
        <f>CHOOSE(CONTROL!$C$42, 60.1504, 60.1504) * CHOOSE(CONTROL!$C$21, $C$9, 100%, $E$9)</f>
        <v>60.150399999999998</v>
      </c>
      <c r="O801" s="14">
        <f>CHOOSE(CONTROL!$C$42, 60.357, 60.357) * CHOOSE(CONTROL!$C$21, $C$9, 100%, $E$9)</f>
        <v>60.356999999999999</v>
      </c>
      <c r="P801" s="14">
        <f>CHOOSE(CONTROL!$C$42, 60.3252, 60.3252) * CHOOSE(CONTROL!$C$21, $C$9, 100%, $E$9)</f>
        <v>60.325200000000002</v>
      </c>
      <c r="Q801" s="14">
        <f>CHOOSE(CONTROL!$C$42, 60.9517, 60.9517) * CHOOSE(CONTROL!$C$21, $C$9, 100%, $E$9)</f>
        <v>60.951700000000002</v>
      </c>
      <c r="R801" s="14">
        <f>CHOOSE(CONTROL!$C$42, 61.6911, 61.6911) * CHOOSE(CONTROL!$C$21, $C$9, 100%, $E$9)</f>
        <v>61.691099999999999</v>
      </c>
      <c r="S801" s="14">
        <f>CHOOSE(CONTROL!$C$42, 58.9531, 58.9531) * CHOOSE(CONTROL!$C$21, $C$9, 100%, $E$9)</f>
        <v>58.953099999999999</v>
      </c>
      <c r="T80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01" s="57">
        <f>(1000*CHOOSE(CONTROL!$C$42, 695, 695)*CHOOSE(CONTROL!$C$42, 0.5599, 0.5599)*CHOOSE(CONTROL!$C$42, 30, 30))/1000000</f>
        <v>11.673914999999997</v>
      </c>
      <c r="V801" s="57">
        <f>(1000*CHOOSE(CONTROL!$C$42, 500, 500)*CHOOSE(CONTROL!$C$42, 0.275, 0.275)*CHOOSE(CONTROL!$C$42, 30, 30))/1000000</f>
        <v>4.125</v>
      </c>
      <c r="W801" s="57">
        <f>(1000*CHOOSE(CONTROL!$C$42, 0.1146, 0.1146)*CHOOSE(CONTROL!$C$42, 121.5, 121.5)*CHOOSE(CONTROL!$C$42, 30, 30))/1000000</f>
        <v>0.417717</v>
      </c>
      <c r="X801" s="57">
        <f>(30*0.1790888*245000/1000000)+(30*0.2374*100000/1000000)</f>
        <v>2.0285026799999999</v>
      </c>
      <c r="Y801" s="57"/>
      <c r="Z801" s="14"/>
      <c r="AA801" s="56"/>
      <c r="AB801" s="50">
        <f>(B801*194.205+C801*267.466+D801*133.845+E801*53.484+F801*40+G801*185+H801*0+I801*100+J801*300)/(194.205+267.466+133.845+53.484+0+40+185+100+300)</f>
        <v>61.429034445368913</v>
      </c>
      <c r="AC801" s="45">
        <f>(M801*'RAP TEMPLATE-GAS AVAILABILITY'!O800+N801*'RAP TEMPLATE-GAS AVAILABILITY'!P800+O801*'RAP TEMPLATE-GAS AVAILABILITY'!Q800+P801*'RAP TEMPLATE-GAS AVAILABILITY'!R800)/('RAP TEMPLATE-GAS AVAILABILITY'!O800+'RAP TEMPLATE-GAS AVAILABILITY'!P800+'RAP TEMPLATE-GAS AVAILABILITY'!Q800+'RAP TEMPLATE-GAS AVAILABILITY'!R800)</f>
        <v>60.26328489208634</v>
      </c>
    </row>
    <row r="802" spans="1:29" ht="15.75" x14ac:dyDescent="0.25">
      <c r="A802" s="32">
        <v>65319</v>
      </c>
      <c r="B802" s="14">
        <f>CHOOSE(CONTROL!$C$42, 60.1156, 60.1156) * CHOOSE(CONTROL!$C$21, $C$9, 100%, $E$9)</f>
        <v>60.115600000000001</v>
      </c>
      <c r="C802" s="14">
        <f>CHOOSE(CONTROL!$C$42, 60.1209, 60.1209) * CHOOSE(CONTROL!$C$21, $C$9, 100%, $E$9)</f>
        <v>60.120899999999999</v>
      </c>
      <c r="D802" s="14">
        <f>CHOOSE(CONTROL!$C$42, 60.3464, 60.3464) * CHOOSE(CONTROL!$C$21, $C$9, 100%, $E$9)</f>
        <v>60.346400000000003</v>
      </c>
      <c r="E802" s="14">
        <f>CHOOSE(CONTROL!$C$42, 60.3756, 60.3756) * CHOOSE(CONTROL!$C$21, $C$9, 100%, $E$9)</f>
        <v>60.375599999999999</v>
      </c>
      <c r="F802" s="14">
        <f>CHOOSE(CONTROL!$C$42, 60.1449, 60.1449)*CHOOSE(CONTROL!$C$21, $C$9, 100%, $E$9)</f>
        <v>60.1449</v>
      </c>
      <c r="G802" s="14">
        <f>CHOOSE(CONTROL!$C$42, 60.1622, 60.1622)*CHOOSE(CONTROL!$C$21, $C$9, 100%, $E$9)</f>
        <v>60.162199999999999</v>
      </c>
      <c r="H802" s="14">
        <f>CHOOSE(CONTROL!$C$42, 60.366, 60.366) * CHOOSE(CONTROL!$C$21, $C$9, 100%, $E$9)</f>
        <v>60.366</v>
      </c>
      <c r="I802" s="14">
        <f>CHOOSE(CONTROL!$C$42, 60.3335, 60.3335)* CHOOSE(CONTROL!$C$21, $C$9, 100%, $E$9)</f>
        <v>60.333500000000001</v>
      </c>
      <c r="J802" s="14">
        <f>CHOOSE(CONTROL!$C$42, 60.1379, 60.1379)* CHOOSE(CONTROL!$C$21, $C$9, 100%, $E$9)</f>
        <v>60.137900000000002</v>
      </c>
      <c r="K802" s="53">
        <f>CHOOSE(CONTROL!$C$42, 60.3296, 60.3296) * CHOOSE(CONTROL!$C$21, $C$9, 100%, $E$9)</f>
        <v>60.329599999999999</v>
      </c>
      <c r="L802" s="14">
        <f>CHOOSE(CONTROL!$C$42, 60.953, 60.953) * CHOOSE(CONTROL!$C$21, $C$9, 100%, $E$9)</f>
        <v>60.953000000000003</v>
      </c>
      <c r="M802" s="14">
        <f>CHOOSE(CONTROL!$C$42, 58.9134, 58.9134) * CHOOSE(CONTROL!$C$21, $C$9, 100%, $E$9)</f>
        <v>58.913400000000003</v>
      </c>
      <c r="N802" s="14">
        <f>CHOOSE(CONTROL!$C$42, 58.9303, 58.9303) * CHOOSE(CONTROL!$C$21, $C$9, 100%, $E$9)</f>
        <v>58.930300000000003</v>
      </c>
      <c r="O802" s="14">
        <f>CHOOSE(CONTROL!$C$42, 59.1369, 59.1369) * CHOOSE(CONTROL!$C$21, $C$9, 100%, $E$9)</f>
        <v>59.136899999999997</v>
      </c>
      <c r="P802" s="14">
        <f>CHOOSE(CONTROL!$C$42, 59.1013, 59.1013) * CHOOSE(CONTROL!$C$21, $C$9, 100%, $E$9)</f>
        <v>59.101300000000002</v>
      </c>
      <c r="Q802" s="14">
        <f>CHOOSE(CONTROL!$C$42, 59.7316, 59.7316) * CHOOSE(CONTROL!$C$21, $C$9, 100%, $E$9)</f>
        <v>59.7316</v>
      </c>
      <c r="R802" s="14">
        <f>CHOOSE(CONTROL!$C$42, 60.4679, 60.4679) * CHOOSE(CONTROL!$C$21, $C$9, 100%, $E$9)</f>
        <v>60.4679</v>
      </c>
      <c r="S802" s="14">
        <f>CHOOSE(CONTROL!$C$42, 57.7561, 57.7561) * CHOOSE(CONTROL!$C$21, $C$9, 100%, $E$9)</f>
        <v>57.756100000000004</v>
      </c>
      <c r="T80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02" s="57">
        <f>(1000*CHOOSE(CONTROL!$C$42, 695, 695)*CHOOSE(CONTROL!$C$42, 0.5599, 0.5599)*CHOOSE(CONTROL!$C$42, 31, 31))/1000000</f>
        <v>12.063045499999998</v>
      </c>
      <c r="V802" s="57">
        <f>(1000*CHOOSE(CONTROL!$C$42, 500, 500)*CHOOSE(CONTROL!$C$42, 0.275, 0.275)*CHOOSE(CONTROL!$C$42, 31, 31))/1000000</f>
        <v>4.2625000000000002</v>
      </c>
      <c r="W802" s="57">
        <f>(1000*CHOOSE(CONTROL!$C$42, 0.1146, 0.1146)*CHOOSE(CONTROL!$C$42, 121.5, 121.5)*CHOOSE(CONTROL!$C$42, 31, 31))/1000000</f>
        <v>0.43164089999999994</v>
      </c>
      <c r="X802" s="57">
        <f>(31*0.1790888*245000/1000000)+(31*0.2374*100000/1000000)</f>
        <v>2.0961194359999999</v>
      </c>
      <c r="Y802" s="57"/>
      <c r="Z802" s="14"/>
      <c r="AA802" s="56"/>
      <c r="AB802" s="50">
        <f>(B802*131.881+C802*277.167+D802*79.08+E802*125.872+F802*40+G802*185+H802*0+I802*100+J802*300)/(131.881+277.167+79.08+125.872+0+40+185+100+300)</f>
        <v>60.188820636884579</v>
      </c>
      <c r="AC802" s="45">
        <f>(M802*'RAP TEMPLATE-GAS AVAILABILITY'!O801+N802*'RAP TEMPLATE-GAS AVAILABILITY'!P801+O802*'RAP TEMPLATE-GAS AVAILABILITY'!Q801+P802*'RAP TEMPLATE-GAS AVAILABILITY'!R801)/('RAP TEMPLATE-GAS AVAILABILITY'!O801+'RAP TEMPLATE-GAS AVAILABILITY'!P801+'RAP TEMPLATE-GAS AVAILABILITY'!Q801+'RAP TEMPLATE-GAS AVAILABILITY'!R801)</f>
        <v>59.042707194244599</v>
      </c>
    </row>
    <row r="803" spans="1:29" ht="15.75" x14ac:dyDescent="0.25">
      <c r="A803" s="32">
        <v>65349</v>
      </c>
      <c r="B803" s="14">
        <f>CHOOSE(CONTROL!$C$42, 61.6986, 61.6986) * CHOOSE(CONTROL!$C$21, $C$9, 100%, $E$9)</f>
        <v>61.698599999999999</v>
      </c>
      <c r="C803" s="14">
        <f>CHOOSE(CONTROL!$C$42, 61.7037, 61.7037) * CHOOSE(CONTROL!$C$21, $C$9, 100%, $E$9)</f>
        <v>61.703699999999998</v>
      </c>
      <c r="D803" s="14">
        <f>CHOOSE(CONTROL!$C$42, 61.7779, 61.7779) * CHOOSE(CONTROL!$C$21, $C$9, 100%, $E$9)</f>
        <v>61.777900000000002</v>
      </c>
      <c r="E803" s="14">
        <f>CHOOSE(CONTROL!$C$42, 61.812, 61.812) * CHOOSE(CONTROL!$C$21, $C$9, 100%, $E$9)</f>
        <v>61.811999999999998</v>
      </c>
      <c r="F803" s="14">
        <f>CHOOSE(CONTROL!$C$42, 61.7347, 61.7347)*CHOOSE(CONTROL!$C$21, $C$9, 100%, $E$9)</f>
        <v>61.734699999999997</v>
      </c>
      <c r="G803" s="14">
        <f>CHOOSE(CONTROL!$C$42, 61.7522, 61.7522)*CHOOSE(CONTROL!$C$21, $C$9, 100%, $E$9)</f>
        <v>61.752200000000002</v>
      </c>
      <c r="H803" s="14">
        <f>CHOOSE(CONTROL!$C$42, 61.8012, 61.8012) * CHOOSE(CONTROL!$C$21, $C$9, 100%, $E$9)</f>
        <v>61.801200000000001</v>
      </c>
      <c r="I803" s="14">
        <f>CHOOSE(CONTROL!$C$42, 61.9193, 61.9193)* CHOOSE(CONTROL!$C$21, $C$9, 100%, $E$9)</f>
        <v>61.9193</v>
      </c>
      <c r="J803" s="14">
        <f>CHOOSE(CONTROL!$C$42, 61.7277, 61.7277)* CHOOSE(CONTROL!$C$21, $C$9, 100%, $E$9)</f>
        <v>61.727699999999999</v>
      </c>
      <c r="K803" s="53">
        <f>CHOOSE(CONTROL!$C$42, 61.9154, 61.9154) * CHOOSE(CONTROL!$C$21, $C$9, 100%, $E$9)</f>
        <v>61.915399999999998</v>
      </c>
      <c r="L803" s="14">
        <f>CHOOSE(CONTROL!$C$42, 62.3882, 62.3882) * CHOOSE(CONTROL!$C$21, $C$9, 100%, $E$9)</f>
        <v>62.388199999999998</v>
      </c>
      <c r="M803" s="14">
        <f>CHOOSE(CONTROL!$C$42, 60.4706, 60.4706) * CHOOSE(CONTROL!$C$21, $C$9, 100%, $E$9)</f>
        <v>60.470599999999997</v>
      </c>
      <c r="N803" s="14">
        <f>CHOOSE(CONTROL!$C$42, 60.4878, 60.4878) * CHOOSE(CONTROL!$C$21, $C$9, 100%, $E$9)</f>
        <v>60.4878</v>
      </c>
      <c r="O803" s="14">
        <f>CHOOSE(CONTROL!$C$42, 60.5426, 60.5426) * CHOOSE(CONTROL!$C$21, $C$9, 100%, $E$9)</f>
        <v>60.5426</v>
      </c>
      <c r="P803" s="14">
        <f>CHOOSE(CONTROL!$C$42, 60.6545, 60.6545) * CHOOSE(CONTROL!$C$21, $C$9, 100%, $E$9)</f>
        <v>60.654499999999999</v>
      </c>
      <c r="Q803" s="14">
        <f>CHOOSE(CONTROL!$C$42, 61.1373, 61.1373) * CHOOSE(CONTROL!$C$21, $C$9, 100%, $E$9)</f>
        <v>61.137300000000003</v>
      </c>
      <c r="R803" s="14">
        <f>CHOOSE(CONTROL!$C$42, 61.8772, 61.8772) * CHOOSE(CONTROL!$C$21, $C$9, 100%, $E$9)</f>
        <v>61.877200000000002</v>
      </c>
      <c r="S803" s="14">
        <f>CHOOSE(CONTROL!$C$42, 59.2777, 59.2777) * CHOOSE(CONTROL!$C$21, $C$9, 100%, $E$9)</f>
        <v>59.277700000000003</v>
      </c>
      <c r="T80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03" s="57">
        <f>(1000*CHOOSE(CONTROL!$C$42, 695, 695)*CHOOSE(CONTROL!$C$42, 0.5599, 0.5599)*CHOOSE(CONTROL!$C$42, 30, 30))/1000000</f>
        <v>11.673914999999997</v>
      </c>
      <c r="V803" s="57">
        <f>(1000*CHOOSE(CONTROL!$C$42, 500, 500)*CHOOSE(CONTROL!$C$42, 0.275, 0.275)*CHOOSE(CONTROL!$C$42, 30, 30))/1000000</f>
        <v>4.125</v>
      </c>
      <c r="W803" s="57">
        <f>(1000*CHOOSE(CONTROL!$C$42, 0.1146, 0.1146)*CHOOSE(CONTROL!$C$42, 121.5, 121.5)*CHOOSE(CONTROL!$C$42, 30, 30))/1000000</f>
        <v>0.417717</v>
      </c>
      <c r="X803" s="57">
        <f>(30*0.1790888*100000/1000000)+(30*0.2374*100000/1000000)</f>
        <v>1.2494664</v>
      </c>
      <c r="Y803" s="57"/>
      <c r="Z803" s="14"/>
      <c r="AA803" s="56"/>
      <c r="AB803" s="50">
        <f>(B803*122.58+C803*297.941+D803*89.177+E803*40.302+F803*40+G803*160+H803*0+I803*100+J803*300)/(122.58+297.941+89.177+40.302+0+40+160+100+300)</f>
        <v>61.745540419130435</v>
      </c>
      <c r="AC803" s="45">
        <f>(M803*'RAP TEMPLATE-GAS AVAILABILITY'!O802+N803*'RAP TEMPLATE-GAS AVAILABILITY'!P802+O803*'RAP TEMPLATE-GAS AVAILABILITY'!Q802+P803*'RAP TEMPLATE-GAS AVAILABILITY'!R802)/('RAP TEMPLATE-GAS AVAILABILITY'!O802+'RAP TEMPLATE-GAS AVAILABILITY'!P802+'RAP TEMPLATE-GAS AVAILABILITY'!Q802+'RAP TEMPLATE-GAS AVAILABILITY'!R802)</f>
        <v>60.530683453237408</v>
      </c>
    </row>
    <row r="804" spans="1:29" ht="15.75" x14ac:dyDescent="0.25">
      <c r="A804" s="32">
        <v>65380</v>
      </c>
      <c r="B804" s="14">
        <f>CHOOSE(CONTROL!$C$42, 65.9045, 65.9045) * CHOOSE(CONTROL!$C$21, $C$9, 100%, $E$9)</f>
        <v>65.904499999999999</v>
      </c>
      <c r="C804" s="14">
        <f>CHOOSE(CONTROL!$C$42, 65.9096, 65.9096) * CHOOSE(CONTROL!$C$21, $C$9, 100%, $E$9)</f>
        <v>65.909599999999998</v>
      </c>
      <c r="D804" s="14">
        <f>CHOOSE(CONTROL!$C$42, 65.9838, 65.9838) * CHOOSE(CONTROL!$C$21, $C$9, 100%, $E$9)</f>
        <v>65.983800000000002</v>
      </c>
      <c r="E804" s="14">
        <f>CHOOSE(CONTROL!$C$42, 66.0179, 66.0179) * CHOOSE(CONTROL!$C$21, $C$9, 100%, $E$9)</f>
        <v>66.017899999999997</v>
      </c>
      <c r="F804" s="14">
        <f>CHOOSE(CONTROL!$C$42, 65.943, 65.943)*CHOOSE(CONTROL!$C$21, $C$9, 100%, $E$9)</f>
        <v>65.942999999999998</v>
      </c>
      <c r="G804" s="14">
        <f>CHOOSE(CONTROL!$C$42, 65.9611, 65.9611)*CHOOSE(CONTROL!$C$21, $C$9, 100%, $E$9)</f>
        <v>65.961100000000002</v>
      </c>
      <c r="H804" s="14">
        <f>CHOOSE(CONTROL!$C$42, 66.0071, 66.0071) * CHOOSE(CONTROL!$C$21, $C$9, 100%, $E$9)</f>
        <v>66.007099999999994</v>
      </c>
      <c r="I804" s="14">
        <f>CHOOSE(CONTROL!$C$42, 66.1384, 66.1384)* CHOOSE(CONTROL!$C$21, $C$9, 100%, $E$9)</f>
        <v>66.138400000000004</v>
      </c>
      <c r="J804" s="14">
        <f>CHOOSE(CONTROL!$C$42, 65.936, 65.936)* CHOOSE(CONTROL!$C$21, $C$9, 100%, $E$9)</f>
        <v>65.936000000000007</v>
      </c>
      <c r="K804" s="53">
        <f>CHOOSE(CONTROL!$C$42, 66.1345, 66.1345) * CHOOSE(CONTROL!$C$21, $C$9, 100%, $E$9)</f>
        <v>66.134500000000003</v>
      </c>
      <c r="L804" s="14">
        <f>CHOOSE(CONTROL!$C$42, 66.5941, 66.5941) * CHOOSE(CONTROL!$C$21, $C$9, 100%, $E$9)</f>
        <v>66.594099999999997</v>
      </c>
      <c r="M804" s="14">
        <f>CHOOSE(CONTROL!$C$42, 64.5927, 64.5927) * CHOOSE(CONTROL!$C$21, $C$9, 100%, $E$9)</f>
        <v>64.592699999999994</v>
      </c>
      <c r="N804" s="14">
        <f>CHOOSE(CONTROL!$C$42, 64.6104, 64.6104) * CHOOSE(CONTROL!$C$21, $C$9, 100%, $E$9)</f>
        <v>64.610399999999998</v>
      </c>
      <c r="O804" s="14">
        <f>CHOOSE(CONTROL!$C$42, 64.6624, 64.6624) * CHOOSE(CONTROL!$C$21, $C$9, 100%, $E$9)</f>
        <v>64.662400000000005</v>
      </c>
      <c r="P804" s="14">
        <f>CHOOSE(CONTROL!$C$42, 64.7869, 64.7869) * CHOOSE(CONTROL!$C$21, $C$9, 100%, $E$9)</f>
        <v>64.786900000000003</v>
      </c>
      <c r="Q804" s="14">
        <f>CHOOSE(CONTROL!$C$42, 65.2571, 65.2571) * CHOOSE(CONTROL!$C$21, $C$9, 100%, $E$9)</f>
        <v>65.257099999999994</v>
      </c>
      <c r="R804" s="14">
        <f>CHOOSE(CONTROL!$C$42, 66.0072, 66.0072) * CHOOSE(CONTROL!$C$21, $C$9, 100%, $E$9)</f>
        <v>66.007199999999997</v>
      </c>
      <c r="S804" s="14">
        <f>CHOOSE(CONTROL!$C$42, 63.3191, 63.3191) * CHOOSE(CONTROL!$C$21, $C$9, 100%, $E$9)</f>
        <v>63.319099999999999</v>
      </c>
      <c r="T80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04" s="57">
        <f>(1000*CHOOSE(CONTROL!$C$42, 695, 695)*CHOOSE(CONTROL!$C$42, 0.5599, 0.5599)*CHOOSE(CONTROL!$C$42, 31, 31))/1000000</f>
        <v>12.063045499999998</v>
      </c>
      <c r="V804" s="57">
        <f>(1000*CHOOSE(CONTROL!$C$42, 500, 500)*CHOOSE(CONTROL!$C$42, 0.275, 0.275)*CHOOSE(CONTROL!$C$42, 31, 31))/1000000</f>
        <v>4.2625000000000002</v>
      </c>
      <c r="W804" s="57">
        <f>(1000*CHOOSE(CONTROL!$C$42, 0.1146, 0.1146)*CHOOSE(CONTROL!$C$42, 121.5, 121.5)*CHOOSE(CONTROL!$C$42, 31, 31))/1000000</f>
        <v>0.43164089999999994</v>
      </c>
      <c r="X804" s="57">
        <f>(31*0.1790888*100000/1000000)+(31*0.2374*100000/1000000)</f>
        <v>1.2911152800000001</v>
      </c>
      <c r="Y804" s="57"/>
      <c r="Z804" s="14"/>
      <c r="AA804" s="56"/>
      <c r="AB804" s="50">
        <f>(B804*122.58+C804*297.941+D804*89.177+E804*40.302+F804*40+G804*160+H804*0+I804*100+J804*300)/(122.58+297.941+89.177+40.302+0+40+160+100+300)</f>
        <v>65.953715201739129</v>
      </c>
      <c r="AC804" s="45">
        <f>(M804*'RAP TEMPLATE-GAS AVAILABILITY'!O803+N804*'RAP TEMPLATE-GAS AVAILABILITY'!P803+O804*'RAP TEMPLATE-GAS AVAILABILITY'!Q803+P804*'RAP TEMPLATE-GAS AVAILABILITY'!R803)/('RAP TEMPLATE-GAS AVAILABILITY'!O803+'RAP TEMPLATE-GAS AVAILABILITY'!P803+'RAP TEMPLATE-GAS AVAILABILITY'!Q803+'RAP TEMPLATE-GAS AVAILABILITY'!R803)</f>
        <v>64.653251798561158</v>
      </c>
    </row>
    <row r="805" spans="1:29" ht="15.75" x14ac:dyDescent="0.25">
      <c r="A805" s="32">
        <v>65411</v>
      </c>
      <c r="B805" s="14">
        <f>CHOOSE(CONTROL!$C$42, 71.3673, 71.3673) * CHOOSE(CONTROL!$C$21, $C$9, 100%, $E$9)</f>
        <v>71.3673</v>
      </c>
      <c r="C805" s="14">
        <f>CHOOSE(CONTROL!$C$42, 71.3723, 71.3723) * CHOOSE(CONTROL!$C$21, $C$9, 100%, $E$9)</f>
        <v>71.372299999999996</v>
      </c>
      <c r="D805" s="14">
        <f>CHOOSE(CONTROL!$C$42, 71.4492, 71.4492) * CHOOSE(CONTROL!$C$21, $C$9, 100%, $E$9)</f>
        <v>71.449200000000005</v>
      </c>
      <c r="E805" s="14">
        <f>CHOOSE(CONTROL!$C$42, 71.4833, 71.4833) * CHOOSE(CONTROL!$C$21, $C$9, 100%, $E$9)</f>
        <v>71.4833</v>
      </c>
      <c r="F805" s="14">
        <f>CHOOSE(CONTROL!$C$42, 71.392, 71.392)*CHOOSE(CONTROL!$C$21, $C$9, 100%, $E$9)</f>
        <v>71.391999999999996</v>
      </c>
      <c r="G805" s="14">
        <f>CHOOSE(CONTROL!$C$42, 71.41, 71.41)*CHOOSE(CONTROL!$C$21, $C$9, 100%, $E$9)</f>
        <v>71.41</v>
      </c>
      <c r="H805" s="14">
        <f>CHOOSE(CONTROL!$C$42, 71.4725, 71.4725) * CHOOSE(CONTROL!$C$21, $C$9, 100%, $E$9)</f>
        <v>71.472499999999997</v>
      </c>
      <c r="I805" s="14">
        <f>CHOOSE(CONTROL!$C$42, 71.6245, 71.6245)* CHOOSE(CONTROL!$C$21, $C$9, 100%, $E$9)</f>
        <v>71.624499999999998</v>
      </c>
      <c r="J805" s="14">
        <f>CHOOSE(CONTROL!$C$42, 71.385, 71.385)* CHOOSE(CONTROL!$C$21, $C$9, 100%, $E$9)</f>
        <v>71.385000000000005</v>
      </c>
      <c r="K805" s="53">
        <f>CHOOSE(CONTROL!$C$42, 71.6206, 71.6206) * CHOOSE(CONTROL!$C$21, $C$9, 100%, $E$9)</f>
        <v>71.620599999999996</v>
      </c>
      <c r="L805" s="14">
        <f>CHOOSE(CONTROL!$C$42, 72.0595, 72.0595) * CHOOSE(CONTROL!$C$21, $C$9, 100%, $E$9)</f>
        <v>72.0595</v>
      </c>
      <c r="M805" s="14">
        <f>CHOOSE(CONTROL!$C$42, 69.9301, 69.9301) * CHOOSE(CONTROL!$C$21, $C$9, 100%, $E$9)</f>
        <v>69.930099999999996</v>
      </c>
      <c r="N805" s="14">
        <f>CHOOSE(CONTROL!$C$42, 69.9477, 69.9477) * CHOOSE(CONTROL!$C$21, $C$9, 100%, $E$9)</f>
        <v>69.947699999999998</v>
      </c>
      <c r="O805" s="14">
        <f>CHOOSE(CONTROL!$C$42, 70.0157, 70.0157) * CHOOSE(CONTROL!$C$21, $C$9, 100%, $E$9)</f>
        <v>70.015699999999995</v>
      </c>
      <c r="P805" s="14">
        <f>CHOOSE(CONTROL!$C$42, 70.1603, 70.1603) * CHOOSE(CONTROL!$C$21, $C$9, 100%, $E$9)</f>
        <v>70.160300000000007</v>
      </c>
      <c r="Q805" s="14">
        <f>CHOOSE(CONTROL!$C$42, 70.6104, 70.6104) * CHOOSE(CONTROL!$C$21, $C$9, 100%, $E$9)</f>
        <v>70.610399999999998</v>
      </c>
      <c r="R805" s="14">
        <f>CHOOSE(CONTROL!$C$42, 71.374, 71.374) * CHOOSE(CONTROL!$C$21, $C$9, 100%, $E$9)</f>
        <v>71.373999999999995</v>
      </c>
      <c r="S805" s="14">
        <f>CHOOSE(CONTROL!$C$42, 68.5683, 68.5683) * CHOOSE(CONTROL!$C$21, $C$9, 100%, $E$9)</f>
        <v>68.568299999999994</v>
      </c>
      <c r="T80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05" s="57">
        <f>(1000*CHOOSE(CONTROL!$C$42, 695, 695)*CHOOSE(CONTROL!$C$42, 0.5599, 0.5599)*CHOOSE(CONTROL!$C$42, 31, 31))/1000000</f>
        <v>12.063045499999998</v>
      </c>
      <c r="V805" s="57">
        <f>(1000*CHOOSE(CONTROL!$C$42, 500, 500)*CHOOSE(CONTROL!$C$42, 0.275, 0.275)*CHOOSE(CONTROL!$C$42, 31, 31))/1000000</f>
        <v>4.2625000000000002</v>
      </c>
      <c r="W805" s="57">
        <f>(1000*CHOOSE(CONTROL!$C$42, 0.1146, 0.1146)*CHOOSE(CONTROL!$C$42, 121.5, 121.5)*CHOOSE(CONTROL!$C$42, 31, 31))/1000000</f>
        <v>0.43164089999999994</v>
      </c>
      <c r="X805" s="57">
        <f>(31*0.1790888*100000/1000000)+(31*0.2374*100000/1000000)</f>
        <v>1.2911152800000001</v>
      </c>
      <c r="Y805" s="57"/>
      <c r="Z805" s="14"/>
      <c r="AA805" s="56"/>
      <c r="AB805" s="50">
        <f>(B805*122.58+C805*297.941+D805*89.177+E805*40.302+F805*40+G805*160+H805*0+I805*100+J805*300)/(122.58+297.941+89.177+40.302+0+40+160+100+300)</f>
        <v>71.412794202869563</v>
      </c>
      <c r="AC805" s="45">
        <f>(M805*'RAP TEMPLATE-GAS AVAILABILITY'!O804+N805*'RAP TEMPLATE-GAS AVAILABILITY'!P804+O805*'RAP TEMPLATE-GAS AVAILABILITY'!Q804+P805*'RAP TEMPLATE-GAS AVAILABILITY'!R804)/('RAP TEMPLATE-GAS AVAILABILITY'!O804+'RAP TEMPLATE-GAS AVAILABILITY'!P804+'RAP TEMPLATE-GAS AVAILABILITY'!Q804+'RAP TEMPLATE-GAS AVAILABILITY'!R804)</f>
        <v>70.003032374100712</v>
      </c>
    </row>
    <row r="806" spans="1:29" ht="15.75" x14ac:dyDescent="0.25">
      <c r="A806" s="32">
        <v>65439</v>
      </c>
      <c r="B806" s="14">
        <f>CHOOSE(CONTROL!$C$42, 72.6376, 72.6376) * CHOOSE(CONTROL!$C$21, $C$9, 100%, $E$9)</f>
        <v>72.637600000000006</v>
      </c>
      <c r="C806" s="14">
        <f>CHOOSE(CONTROL!$C$42, 72.6426, 72.6426) * CHOOSE(CONTROL!$C$21, $C$9, 100%, $E$9)</f>
        <v>72.642600000000002</v>
      </c>
      <c r="D806" s="14">
        <f>CHOOSE(CONTROL!$C$42, 72.7194, 72.7194) * CHOOSE(CONTROL!$C$21, $C$9, 100%, $E$9)</f>
        <v>72.719399999999993</v>
      </c>
      <c r="E806" s="14">
        <f>CHOOSE(CONTROL!$C$42, 72.7535, 72.7535) * CHOOSE(CONTROL!$C$21, $C$9, 100%, $E$9)</f>
        <v>72.753500000000003</v>
      </c>
      <c r="F806" s="14">
        <f>CHOOSE(CONTROL!$C$42, 72.6619, 72.6619)*CHOOSE(CONTROL!$C$21, $C$9, 100%, $E$9)</f>
        <v>72.661900000000003</v>
      </c>
      <c r="G806" s="14">
        <f>CHOOSE(CONTROL!$C$42, 72.6798, 72.6798)*CHOOSE(CONTROL!$C$21, $C$9, 100%, $E$9)</f>
        <v>72.6798</v>
      </c>
      <c r="H806" s="14">
        <f>CHOOSE(CONTROL!$C$42, 72.7427, 72.7427) * CHOOSE(CONTROL!$C$21, $C$9, 100%, $E$9)</f>
        <v>72.742699999999999</v>
      </c>
      <c r="I806" s="14">
        <f>CHOOSE(CONTROL!$C$42, 72.8988, 72.8988)* CHOOSE(CONTROL!$C$21, $C$9, 100%, $E$9)</f>
        <v>72.898799999999994</v>
      </c>
      <c r="J806" s="14">
        <f>CHOOSE(CONTROL!$C$42, 72.6549, 72.6549)* CHOOSE(CONTROL!$C$21, $C$9, 100%, $E$9)</f>
        <v>72.654899999999998</v>
      </c>
      <c r="K806" s="53">
        <f>CHOOSE(CONTROL!$C$42, 72.8949, 72.8949) * CHOOSE(CONTROL!$C$21, $C$9, 100%, $E$9)</f>
        <v>72.894900000000007</v>
      </c>
      <c r="L806" s="14">
        <f>CHOOSE(CONTROL!$C$42, 73.3297, 73.3297) * CHOOSE(CONTROL!$C$21, $C$9, 100%, $E$9)</f>
        <v>73.329700000000003</v>
      </c>
      <c r="M806" s="14">
        <f>CHOOSE(CONTROL!$C$42, 71.1739, 71.1739) * CHOOSE(CONTROL!$C$21, $C$9, 100%, $E$9)</f>
        <v>71.173900000000003</v>
      </c>
      <c r="N806" s="14">
        <f>CHOOSE(CONTROL!$C$42, 71.1914, 71.1914) * CHOOSE(CONTROL!$C$21, $C$9, 100%, $E$9)</f>
        <v>71.191400000000002</v>
      </c>
      <c r="O806" s="14">
        <f>CHOOSE(CONTROL!$C$42, 71.26, 71.26) * CHOOSE(CONTROL!$C$21, $C$9, 100%, $E$9)</f>
        <v>71.260000000000005</v>
      </c>
      <c r="P806" s="14">
        <f>CHOOSE(CONTROL!$C$42, 71.4083, 71.4083) * CHOOSE(CONTROL!$C$21, $C$9, 100%, $E$9)</f>
        <v>71.408299999999997</v>
      </c>
      <c r="Q806" s="14">
        <f>CHOOSE(CONTROL!$C$42, 71.8547, 71.8547) * CHOOSE(CONTROL!$C$21, $C$9, 100%, $E$9)</f>
        <v>71.854699999999994</v>
      </c>
      <c r="R806" s="14">
        <f>CHOOSE(CONTROL!$C$42, 72.6213, 72.6213) * CHOOSE(CONTROL!$C$21, $C$9, 100%, $E$9)</f>
        <v>72.621300000000005</v>
      </c>
      <c r="S806" s="14">
        <f>CHOOSE(CONTROL!$C$42, 69.7889, 69.7889) * CHOOSE(CONTROL!$C$21, $C$9, 100%, $E$9)</f>
        <v>69.788899999999998</v>
      </c>
      <c r="T80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06" s="57">
        <f>(1000*CHOOSE(CONTROL!$C$42, 695, 695)*CHOOSE(CONTROL!$C$42, 0.5599, 0.5599)*CHOOSE(CONTROL!$C$42, 28, 28))/1000000</f>
        <v>10.895653999999999</v>
      </c>
      <c r="V806" s="57">
        <f>(1000*CHOOSE(CONTROL!$C$42, 500, 500)*CHOOSE(CONTROL!$C$42, 0.275, 0.275)*CHOOSE(CONTROL!$C$42, 28, 28))/1000000</f>
        <v>3.85</v>
      </c>
      <c r="W806" s="57">
        <f>(1000*CHOOSE(CONTROL!$C$42, 0.1146, 0.1146)*CHOOSE(CONTROL!$C$42, 121.5, 121.5)*CHOOSE(CONTROL!$C$42, 28, 28))/1000000</f>
        <v>0.38986920000000003</v>
      </c>
      <c r="X806" s="57">
        <f>(28*0.1790888*100000/1000000)+(28*0.2374*100000/1000000)</f>
        <v>1.16616864</v>
      </c>
      <c r="Y806" s="57"/>
      <c r="Z806" s="14"/>
      <c r="AA806" s="56"/>
      <c r="AB806" s="50">
        <f>(B806*122.58+C806*297.941+D806*89.177+E806*40.302+F806*40+G806*160+H806*0+I806*100+J806*300)/(122.58+297.941+89.177+40.302+0+40+160+100+300)</f>
        <v>72.683242943826102</v>
      </c>
      <c r="AC806" s="45">
        <f>(M806*'RAP TEMPLATE-GAS AVAILABILITY'!O805+N806*'RAP TEMPLATE-GAS AVAILABILITY'!P805+O806*'RAP TEMPLATE-GAS AVAILABILITY'!Q805+P806*'RAP TEMPLATE-GAS AVAILABILITY'!R805)/('RAP TEMPLATE-GAS AVAILABILITY'!O805+'RAP TEMPLATE-GAS AVAILABILITY'!P805+'RAP TEMPLATE-GAS AVAILABILITY'!Q805+'RAP TEMPLATE-GAS AVAILABILITY'!R805)</f>
        <v>71.247657553956842</v>
      </c>
    </row>
    <row r="807" spans="1:29" ht="15.75" x14ac:dyDescent="0.25">
      <c r="A807" s="32">
        <v>65470</v>
      </c>
      <c r="B807" s="14">
        <f>CHOOSE(CONTROL!$C$42, 70.5756, 70.5756) * CHOOSE(CONTROL!$C$21, $C$9, 100%, $E$9)</f>
        <v>70.575599999999994</v>
      </c>
      <c r="C807" s="14">
        <f>CHOOSE(CONTROL!$C$42, 70.5807, 70.5807) * CHOOSE(CONTROL!$C$21, $C$9, 100%, $E$9)</f>
        <v>70.580699999999993</v>
      </c>
      <c r="D807" s="14">
        <f>CHOOSE(CONTROL!$C$42, 70.6575, 70.6575) * CHOOSE(CONTROL!$C$21, $C$9, 100%, $E$9)</f>
        <v>70.657499999999999</v>
      </c>
      <c r="E807" s="14">
        <f>CHOOSE(CONTROL!$C$42, 70.6916, 70.6916) * CHOOSE(CONTROL!$C$21, $C$9, 100%, $E$9)</f>
        <v>70.691599999999994</v>
      </c>
      <c r="F807" s="14">
        <f>CHOOSE(CONTROL!$C$42, 70.5991, 70.5991)*CHOOSE(CONTROL!$C$21, $C$9, 100%, $E$9)</f>
        <v>70.599100000000007</v>
      </c>
      <c r="G807" s="14">
        <f>CHOOSE(CONTROL!$C$42, 70.6167, 70.6167)*CHOOSE(CONTROL!$C$21, $C$9, 100%, $E$9)</f>
        <v>70.616699999999994</v>
      </c>
      <c r="H807" s="14">
        <f>CHOOSE(CONTROL!$C$42, 70.6808, 70.6808) * CHOOSE(CONTROL!$C$21, $C$9, 100%, $E$9)</f>
        <v>70.680800000000005</v>
      </c>
      <c r="I807" s="14">
        <f>CHOOSE(CONTROL!$C$42, 70.8304, 70.8304)* CHOOSE(CONTROL!$C$21, $C$9, 100%, $E$9)</f>
        <v>70.830399999999997</v>
      </c>
      <c r="J807" s="14">
        <f>CHOOSE(CONTROL!$C$42, 70.5921, 70.5921)* CHOOSE(CONTROL!$C$21, $C$9, 100%, $E$9)</f>
        <v>70.592100000000002</v>
      </c>
      <c r="K807" s="53">
        <f>CHOOSE(CONTROL!$C$42, 70.8265, 70.8265) * CHOOSE(CONTROL!$C$21, $C$9, 100%, $E$9)</f>
        <v>70.826499999999996</v>
      </c>
      <c r="L807" s="14">
        <f>CHOOSE(CONTROL!$C$42, 71.2678, 71.2678) * CHOOSE(CONTROL!$C$21, $C$9, 100%, $E$9)</f>
        <v>71.267799999999994</v>
      </c>
      <c r="M807" s="14">
        <f>CHOOSE(CONTROL!$C$42, 69.1534, 69.1534) * CHOOSE(CONTROL!$C$21, $C$9, 100%, $E$9)</f>
        <v>69.153400000000005</v>
      </c>
      <c r="N807" s="14">
        <f>CHOOSE(CONTROL!$C$42, 69.1707, 69.1707) * CHOOSE(CONTROL!$C$21, $C$9, 100%, $E$9)</f>
        <v>69.170699999999997</v>
      </c>
      <c r="O807" s="14">
        <f>CHOOSE(CONTROL!$C$42, 69.2403, 69.2403) * CHOOSE(CONTROL!$C$21, $C$9, 100%, $E$9)</f>
        <v>69.240300000000005</v>
      </c>
      <c r="P807" s="14">
        <f>CHOOSE(CONTROL!$C$42, 69.3824, 69.3824) * CHOOSE(CONTROL!$C$21, $C$9, 100%, $E$9)</f>
        <v>69.382400000000004</v>
      </c>
      <c r="Q807" s="14">
        <f>CHOOSE(CONTROL!$C$42, 69.835, 69.835) * CHOOSE(CONTROL!$C$21, $C$9, 100%, $E$9)</f>
        <v>69.834999999999994</v>
      </c>
      <c r="R807" s="14">
        <f>CHOOSE(CONTROL!$C$42, 70.5966, 70.5966) * CHOOSE(CONTROL!$C$21, $C$9, 100%, $E$9)</f>
        <v>70.596599999999995</v>
      </c>
      <c r="S807" s="14">
        <f>CHOOSE(CONTROL!$C$42, 67.8076, 67.8076) * CHOOSE(CONTROL!$C$21, $C$9, 100%, $E$9)</f>
        <v>67.807599999999994</v>
      </c>
      <c r="T80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07" s="57">
        <f>(1000*CHOOSE(CONTROL!$C$42, 695, 695)*CHOOSE(CONTROL!$C$42, 0.5599, 0.5599)*CHOOSE(CONTROL!$C$42, 31, 31))/1000000</f>
        <v>12.063045499999998</v>
      </c>
      <c r="V807" s="57">
        <f>(1000*CHOOSE(CONTROL!$C$42, 500, 500)*CHOOSE(CONTROL!$C$42, 0.275, 0.275)*CHOOSE(CONTROL!$C$42, 31, 31))/1000000</f>
        <v>4.2625000000000002</v>
      </c>
      <c r="W807" s="57">
        <f>(1000*CHOOSE(CONTROL!$C$42, 0.1146, 0.1146)*CHOOSE(CONTROL!$C$42, 121.5, 121.5)*CHOOSE(CONTROL!$C$42, 31, 31))/1000000</f>
        <v>0.43164089999999994</v>
      </c>
      <c r="X807" s="57">
        <f>(31*0.1790888*100000/1000000)+(31*0.2374*100000/1000000)</f>
        <v>1.2911152800000001</v>
      </c>
      <c r="Y807" s="57"/>
      <c r="Z807" s="14"/>
      <c r="AA807" s="56"/>
      <c r="AB807" s="50">
        <f>(B807*122.58+C807*297.941+D807*89.177+E807*40.302+F807*40+G807*160+H807*0+I807*100+J807*300)/(122.58+297.941+89.177+40.302+0+40+160+100+300)</f>
        <v>70.620334023826089</v>
      </c>
      <c r="AC807" s="45">
        <f>(M807*'RAP TEMPLATE-GAS AVAILABILITY'!O806+N807*'RAP TEMPLATE-GAS AVAILABILITY'!P806+O807*'RAP TEMPLATE-GAS AVAILABILITY'!Q806+P807*'RAP TEMPLATE-GAS AVAILABILITY'!R806)/('RAP TEMPLATE-GAS AVAILABILITY'!O806+'RAP TEMPLATE-GAS AVAILABILITY'!P806+'RAP TEMPLATE-GAS AVAILABILITY'!Q806+'RAP TEMPLATE-GAS AVAILABILITY'!R806)</f>
        <v>69.226731654676257</v>
      </c>
    </row>
    <row r="808" spans="1:29" ht="15.75" x14ac:dyDescent="0.25">
      <c r="A808" s="32">
        <v>65500</v>
      </c>
      <c r="B808" s="14">
        <f>CHOOSE(CONTROL!$C$42, 70.3653, 70.3653) * CHOOSE(CONTROL!$C$21, $C$9, 100%, $E$9)</f>
        <v>70.365300000000005</v>
      </c>
      <c r="C808" s="14">
        <f>CHOOSE(CONTROL!$C$42, 70.3698, 70.3698) * CHOOSE(CONTROL!$C$21, $C$9, 100%, $E$9)</f>
        <v>70.369799999999998</v>
      </c>
      <c r="D808" s="14">
        <f>CHOOSE(CONTROL!$C$42, 70.5935, 70.5935) * CHOOSE(CONTROL!$C$21, $C$9, 100%, $E$9)</f>
        <v>70.593500000000006</v>
      </c>
      <c r="E808" s="14">
        <f>CHOOSE(CONTROL!$C$42, 70.6256, 70.6256) * CHOOSE(CONTROL!$C$21, $C$9, 100%, $E$9)</f>
        <v>70.625600000000006</v>
      </c>
      <c r="F808" s="14">
        <f>CHOOSE(CONTROL!$C$42, 70.393, 70.393)*CHOOSE(CONTROL!$C$21, $C$9, 100%, $E$9)</f>
        <v>70.393000000000001</v>
      </c>
      <c r="G808" s="14">
        <f>CHOOSE(CONTROL!$C$42, 70.4099, 70.4099)*CHOOSE(CONTROL!$C$21, $C$9, 100%, $E$9)</f>
        <v>70.409899999999993</v>
      </c>
      <c r="H808" s="14">
        <f>CHOOSE(CONTROL!$C$42, 70.6154, 70.6154) * CHOOSE(CONTROL!$C$21, $C$9, 100%, $E$9)</f>
        <v>70.615399999999994</v>
      </c>
      <c r="I808" s="14">
        <f>CHOOSE(CONTROL!$C$42, 70.615, 70.615)* CHOOSE(CONTROL!$C$21, $C$9, 100%, $E$9)</f>
        <v>70.614999999999995</v>
      </c>
      <c r="J808" s="14">
        <f>CHOOSE(CONTROL!$C$42, 70.386, 70.386)* CHOOSE(CONTROL!$C$21, $C$9, 100%, $E$9)</f>
        <v>70.385999999999996</v>
      </c>
      <c r="K808" s="53">
        <f>CHOOSE(CONTROL!$C$42, 70.6111, 70.6111) * CHOOSE(CONTROL!$C$21, $C$9, 100%, $E$9)</f>
        <v>70.611099999999993</v>
      </c>
      <c r="L808" s="14">
        <f>CHOOSE(CONTROL!$C$42, 71.2024, 71.2024) * CHOOSE(CONTROL!$C$21, $C$9, 100%, $E$9)</f>
        <v>71.202399999999997</v>
      </c>
      <c r="M808" s="14">
        <f>CHOOSE(CONTROL!$C$42, 68.9515, 68.9515) * CHOOSE(CONTROL!$C$21, $C$9, 100%, $E$9)</f>
        <v>68.951499999999996</v>
      </c>
      <c r="N808" s="14">
        <f>CHOOSE(CONTROL!$C$42, 68.9681, 68.9681) * CHOOSE(CONTROL!$C$21, $C$9, 100%, $E$9)</f>
        <v>68.968100000000007</v>
      </c>
      <c r="O808" s="14">
        <f>CHOOSE(CONTROL!$C$42, 69.1763, 69.1763) * CHOOSE(CONTROL!$C$21, $C$9, 100%, $E$9)</f>
        <v>69.176299999999998</v>
      </c>
      <c r="P808" s="14">
        <f>CHOOSE(CONTROL!$C$42, 69.1715, 69.1715) * CHOOSE(CONTROL!$C$21, $C$9, 100%, $E$9)</f>
        <v>69.171499999999995</v>
      </c>
      <c r="Q808" s="14">
        <f>CHOOSE(CONTROL!$C$42, 69.771, 69.771) * CHOOSE(CONTROL!$C$21, $C$9, 100%, $E$9)</f>
        <v>69.771000000000001</v>
      </c>
      <c r="R808" s="14">
        <f>CHOOSE(CONTROL!$C$42, 70.5324, 70.5324) * CHOOSE(CONTROL!$C$21, $C$9, 100%, $E$9)</f>
        <v>70.532399999999996</v>
      </c>
      <c r="S808" s="14">
        <f>CHOOSE(CONTROL!$C$42, 67.6047, 67.6047) * CHOOSE(CONTROL!$C$21, $C$9, 100%, $E$9)</f>
        <v>67.604699999999994</v>
      </c>
      <c r="T80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08" s="57">
        <f>(1000*CHOOSE(CONTROL!$C$42, 695, 695)*CHOOSE(CONTROL!$C$42, 0.5599, 0.5599)*CHOOSE(CONTROL!$C$42, 30, 30))/1000000</f>
        <v>11.673914999999997</v>
      </c>
      <c r="V808" s="57">
        <f>(1000*CHOOSE(CONTROL!$C$42, 500, 500)*CHOOSE(CONTROL!$C$42, 0.275, 0.275)*CHOOSE(CONTROL!$C$42, 30, 30))/1000000</f>
        <v>4.125</v>
      </c>
      <c r="W808" s="57">
        <f>(1000*CHOOSE(CONTROL!$C$42, 0.1146, 0.1146)*CHOOSE(CONTROL!$C$42, 121.5, 121.5)*CHOOSE(CONTROL!$C$42, 30, 30))/1000000</f>
        <v>0.417717</v>
      </c>
      <c r="X808" s="57">
        <f>(30*0.1790888*245000/1000000)+(30*0.2374*100000/1000000)</f>
        <v>2.0285026799999999</v>
      </c>
      <c r="Y808" s="57"/>
      <c r="Z808" s="14"/>
      <c r="AA808" s="56"/>
      <c r="AB808" s="50">
        <f>(B808*141.293+C808*267.993+D808*115.016+E808*89.698+F808*40+G808*185+H808*0+I808*100+J808*300)/(141.293+267.993+115.016+89.698+0+40+185+100+300)</f>
        <v>70.439020749878935</v>
      </c>
      <c r="AC808" s="45">
        <f>(M808*'RAP TEMPLATE-GAS AVAILABILITY'!O807+N808*'RAP TEMPLATE-GAS AVAILABILITY'!P807+O808*'RAP TEMPLATE-GAS AVAILABILITY'!Q807+P808*'RAP TEMPLATE-GAS AVAILABILITY'!R807)/('RAP TEMPLATE-GAS AVAILABILITY'!O807+'RAP TEMPLATE-GAS AVAILABILITY'!P807+'RAP TEMPLATE-GAS AVAILABILITY'!Q807+'RAP TEMPLATE-GAS AVAILABILITY'!R807)</f>
        <v>69.085997841726609</v>
      </c>
    </row>
    <row r="809" spans="1:29" ht="15.75" x14ac:dyDescent="0.25">
      <c r="A809" s="32">
        <v>65531</v>
      </c>
      <c r="B809" s="14">
        <f>CHOOSE(CONTROL!$C$42, 70.9877, 70.9877) * CHOOSE(CONTROL!$C$21, $C$9, 100%, $E$9)</f>
        <v>70.987700000000004</v>
      </c>
      <c r="C809" s="14">
        <f>CHOOSE(CONTROL!$C$42, 70.9957, 70.9957) * CHOOSE(CONTROL!$C$21, $C$9, 100%, $E$9)</f>
        <v>70.995699999999999</v>
      </c>
      <c r="D809" s="14">
        <f>CHOOSE(CONTROL!$C$42, 71.2163, 71.2163) * CHOOSE(CONTROL!$C$21, $C$9, 100%, $E$9)</f>
        <v>71.216300000000004</v>
      </c>
      <c r="E809" s="14">
        <f>CHOOSE(CONTROL!$C$42, 71.2478, 71.2478) * CHOOSE(CONTROL!$C$21, $C$9, 100%, $E$9)</f>
        <v>71.247799999999998</v>
      </c>
      <c r="F809" s="14">
        <f>CHOOSE(CONTROL!$C$42, 71.0139, 71.0139)*CHOOSE(CONTROL!$C$21, $C$9, 100%, $E$9)</f>
        <v>71.013900000000007</v>
      </c>
      <c r="G809" s="14">
        <f>CHOOSE(CONTROL!$C$42, 71.0311, 71.0311)*CHOOSE(CONTROL!$C$21, $C$9, 100%, $E$9)</f>
        <v>71.031099999999995</v>
      </c>
      <c r="H809" s="14">
        <f>CHOOSE(CONTROL!$C$42, 71.2364, 71.2364) * CHOOSE(CONTROL!$C$21, $C$9, 100%, $E$9)</f>
        <v>71.236400000000003</v>
      </c>
      <c r="I809" s="14">
        <f>CHOOSE(CONTROL!$C$42, 71.2379, 71.2379)* CHOOSE(CONTROL!$C$21, $C$9, 100%, $E$9)</f>
        <v>71.237899999999996</v>
      </c>
      <c r="J809" s="14">
        <f>CHOOSE(CONTROL!$C$42, 71.0069, 71.0069)* CHOOSE(CONTROL!$C$21, $C$9, 100%, $E$9)</f>
        <v>71.006900000000002</v>
      </c>
      <c r="K809" s="53">
        <f>CHOOSE(CONTROL!$C$42, 71.234, 71.234) * CHOOSE(CONTROL!$C$21, $C$9, 100%, $E$9)</f>
        <v>71.233999999999995</v>
      </c>
      <c r="L809" s="14">
        <f>CHOOSE(CONTROL!$C$42, 71.8234, 71.8234) * CHOOSE(CONTROL!$C$21, $C$9, 100%, $E$9)</f>
        <v>71.823400000000007</v>
      </c>
      <c r="M809" s="14">
        <f>CHOOSE(CONTROL!$C$42, 69.5597, 69.5597) * CHOOSE(CONTROL!$C$21, $C$9, 100%, $E$9)</f>
        <v>69.559700000000007</v>
      </c>
      <c r="N809" s="14">
        <f>CHOOSE(CONTROL!$C$42, 69.5765, 69.5765) * CHOOSE(CONTROL!$C$21, $C$9, 100%, $E$9)</f>
        <v>69.576499999999996</v>
      </c>
      <c r="O809" s="14">
        <f>CHOOSE(CONTROL!$C$42, 69.7845, 69.7845) * CHOOSE(CONTROL!$C$21, $C$9, 100%, $E$9)</f>
        <v>69.784499999999994</v>
      </c>
      <c r="P809" s="14">
        <f>CHOOSE(CONTROL!$C$42, 69.7816, 69.7816) * CHOOSE(CONTROL!$C$21, $C$9, 100%, $E$9)</f>
        <v>69.781599999999997</v>
      </c>
      <c r="Q809" s="14">
        <f>CHOOSE(CONTROL!$C$42, 70.3792, 70.3792) * CHOOSE(CONTROL!$C$21, $C$9, 100%, $E$9)</f>
        <v>70.379199999999997</v>
      </c>
      <c r="R809" s="14">
        <f>CHOOSE(CONTROL!$C$42, 71.1421, 71.1421) * CHOOSE(CONTROL!$C$21, $C$9, 100%, $E$9)</f>
        <v>71.142099999999999</v>
      </c>
      <c r="S809" s="14">
        <f>CHOOSE(CONTROL!$C$42, 68.2014, 68.2014) * CHOOSE(CONTROL!$C$21, $C$9, 100%, $E$9)</f>
        <v>68.201400000000007</v>
      </c>
      <c r="T80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09" s="57">
        <f>(1000*CHOOSE(CONTROL!$C$42, 695, 695)*CHOOSE(CONTROL!$C$42, 0.5599, 0.5599)*CHOOSE(CONTROL!$C$42, 31, 31))/1000000</f>
        <v>12.063045499999998</v>
      </c>
      <c r="V809" s="57">
        <f>(1000*CHOOSE(CONTROL!$C$42, 500, 500)*CHOOSE(CONTROL!$C$42, 0.275, 0.275)*CHOOSE(CONTROL!$C$42, 31, 31))/1000000</f>
        <v>4.2625000000000002</v>
      </c>
      <c r="W809" s="57">
        <f>(1000*CHOOSE(CONTROL!$C$42, 0.1146, 0.1146)*CHOOSE(CONTROL!$C$42, 121.5, 121.5)*CHOOSE(CONTROL!$C$42, 31, 31))/1000000</f>
        <v>0.43164089999999994</v>
      </c>
      <c r="X809" s="57">
        <f>(31*0.1790888*245000/1000000)+(31*0.2374*100000/1000000)</f>
        <v>2.0961194359999999</v>
      </c>
      <c r="Y809" s="57"/>
      <c r="Z809" s="14"/>
      <c r="AA809" s="56"/>
      <c r="AB809" s="50">
        <f>(B809*194.205+C809*267.466+D809*133.845+E809*53.484+F809*40+G809*185+H809*0+I809*100+J809*300)/(194.205+267.466+133.845+53.484+0+40+185+100+300)</f>
        <v>71.055600222448973</v>
      </c>
      <c r="AC809" s="45">
        <f>(M809*'RAP TEMPLATE-GAS AVAILABILITY'!O808+N809*'RAP TEMPLATE-GAS AVAILABILITY'!P808+O809*'RAP TEMPLATE-GAS AVAILABILITY'!Q808+P809*'RAP TEMPLATE-GAS AVAILABILITY'!R808)/('RAP TEMPLATE-GAS AVAILABILITY'!O808+'RAP TEMPLATE-GAS AVAILABILITY'!P808+'RAP TEMPLATE-GAS AVAILABILITY'!Q808+'RAP TEMPLATE-GAS AVAILABILITY'!R808)</f>
        <v>69.694482733812947</v>
      </c>
    </row>
    <row r="810" spans="1:29" ht="15.75" x14ac:dyDescent="0.25">
      <c r="A810" s="32">
        <v>65561</v>
      </c>
      <c r="B810" s="14">
        <f>CHOOSE(CONTROL!$C$42, 73.001, 73.001) * CHOOSE(CONTROL!$C$21, $C$9, 100%, $E$9)</f>
        <v>73.001000000000005</v>
      </c>
      <c r="C810" s="14">
        <f>CHOOSE(CONTROL!$C$42, 73.009, 73.009) * CHOOSE(CONTROL!$C$21, $C$9, 100%, $E$9)</f>
        <v>73.009</v>
      </c>
      <c r="D810" s="14">
        <f>CHOOSE(CONTROL!$C$42, 73.2296, 73.2296) * CHOOSE(CONTROL!$C$21, $C$9, 100%, $E$9)</f>
        <v>73.229600000000005</v>
      </c>
      <c r="E810" s="14">
        <f>CHOOSE(CONTROL!$C$42, 73.2611, 73.2611) * CHOOSE(CONTROL!$C$21, $C$9, 100%, $E$9)</f>
        <v>73.261099999999999</v>
      </c>
      <c r="F810" s="14">
        <f>CHOOSE(CONTROL!$C$42, 73.0276, 73.0276)*CHOOSE(CONTROL!$C$21, $C$9, 100%, $E$9)</f>
        <v>73.027600000000007</v>
      </c>
      <c r="G810" s="14">
        <f>CHOOSE(CONTROL!$C$42, 73.0448, 73.0448)*CHOOSE(CONTROL!$C$21, $C$9, 100%, $E$9)</f>
        <v>73.044799999999995</v>
      </c>
      <c r="H810" s="14">
        <f>CHOOSE(CONTROL!$C$42, 73.2497, 73.2497) * CHOOSE(CONTROL!$C$21, $C$9, 100%, $E$9)</f>
        <v>73.249700000000004</v>
      </c>
      <c r="I810" s="14">
        <f>CHOOSE(CONTROL!$C$42, 73.2575, 73.2575)* CHOOSE(CONTROL!$C$21, $C$9, 100%, $E$9)</f>
        <v>73.257499999999993</v>
      </c>
      <c r="J810" s="14">
        <f>CHOOSE(CONTROL!$C$42, 73.0206, 73.0206)* CHOOSE(CONTROL!$C$21, $C$9, 100%, $E$9)</f>
        <v>73.020600000000002</v>
      </c>
      <c r="K810" s="53">
        <f>CHOOSE(CONTROL!$C$42, 73.2536, 73.2536) * CHOOSE(CONTROL!$C$21, $C$9, 100%, $E$9)</f>
        <v>73.253600000000006</v>
      </c>
      <c r="L810" s="14">
        <f>CHOOSE(CONTROL!$C$42, 73.8367, 73.8367) * CHOOSE(CONTROL!$C$21, $C$9, 100%, $E$9)</f>
        <v>73.836699999999993</v>
      </c>
      <c r="M810" s="14">
        <f>CHOOSE(CONTROL!$C$42, 71.5322, 71.5322) * CHOOSE(CONTROL!$C$21, $C$9, 100%, $E$9)</f>
        <v>71.532200000000003</v>
      </c>
      <c r="N810" s="14">
        <f>CHOOSE(CONTROL!$C$42, 71.549, 71.549) * CHOOSE(CONTROL!$C$21, $C$9, 100%, $E$9)</f>
        <v>71.549000000000007</v>
      </c>
      <c r="O810" s="14">
        <f>CHOOSE(CONTROL!$C$42, 71.7566, 71.7566) * CHOOSE(CONTROL!$C$21, $C$9, 100%, $E$9)</f>
        <v>71.756600000000006</v>
      </c>
      <c r="P810" s="14">
        <f>CHOOSE(CONTROL!$C$42, 71.7597, 71.7597) * CHOOSE(CONTROL!$C$21, $C$9, 100%, $E$9)</f>
        <v>71.759699999999995</v>
      </c>
      <c r="Q810" s="14">
        <f>CHOOSE(CONTROL!$C$42, 72.3513, 72.3513) * CHOOSE(CONTROL!$C$21, $C$9, 100%, $E$9)</f>
        <v>72.351299999999995</v>
      </c>
      <c r="R810" s="14">
        <f>CHOOSE(CONTROL!$C$42, 73.1191, 73.1191) * CHOOSE(CONTROL!$C$21, $C$9, 100%, $E$9)</f>
        <v>73.119100000000003</v>
      </c>
      <c r="S810" s="14">
        <f>CHOOSE(CONTROL!$C$42, 70.136, 70.136) * CHOOSE(CONTROL!$C$21, $C$9, 100%, $E$9)</f>
        <v>70.135999999999996</v>
      </c>
      <c r="T81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10" s="57">
        <f>(1000*CHOOSE(CONTROL!$C$42, 695, 695)*CHOOSE(CONTROL!$C$42, 0.5599, 0.5599)*CHOOSE(CONTROL!$C$42, 30, 30))/1000000</f>
        <v>11.673914999999997</v>
      </c>
      <c r="V810" s="57">
        <f>(1000*CHOOSE(CONTROL!$C$42, 500, 500)*CHOOSE(CONTROL!$C$42, 0.275, 0.275)*CHOOSE(CONTROL!$C$42, 30, 30))/1000000</f>
        <v>4.125</v>
      </c>
      <c r="W810" s="57">
        <f>(1000*CHOOSE(CONTROL!$C$42, 0.1146, 0.1146)*CHOOSE(CONTROL!$C$42, 121.5, 121.5)*CHOOSE(CONTROL!$C$42, 30, 30))/1000000</f>
        <v>0.417717</v>
      </c>
      <c r="X810" s="57">
        <f>(30*0.1790888*245000/1000000)+(30*0.2374*100000/1000000)</f>
        <v>2.0285026799999999</v>
      </c>
      <c r="Y810" s="57"/>
      <c r="Z810" s="14"/>
      <c r="AA810" s="56"/>
      <c r="AB810" s="50">
        <f>(B810*194.205+C810*267.466+D810*133.845+E810*53.484+F810*40+G810*185+H810*0+I810*100+J810*300)/(194.205+267.466+133.845+53.484+0+40+185+100+300)</f>
        <v>73.069559563108314</v>
      </c>
      <c r="AC810" s="45">
        <f>(M810*'RAP TEMPLATE-GAS AVAILABILITY'!O809+N810*'RAP TEMPLATE-GAS AVAILABILITY'!P809+O810*'RAP TEMPLATE-GAS AVAILABILITY'!Q809+P810*'RAP TEMPLATE-GAS AVAILABILITY'!R809)/('RAP TEMPLATE-GAS AVAILABILITY'!O809+'RAP TEMPLATE-GAS AVAILABILITY'!P809+'RAP TEMPLATE-GAS AVAILABILITY'!Q809+'RAP TEMPLATE-GAS AVAILABILITY'!R809)</f>
        <v>71.66760719424461</v>
      </c>
    </row>
    <row r="811" spans="1:29" ht="15.75" x14ac:dyDescent="0.25">
      <c r="A811" s="32">
        <v>65592</v>
      </c>
      <c r="B811" s="14">
        <f>CHOOSE(CONTROL!$C$42, 71.6007, 71.6007) * CHOOSE(CONTROL!$C$21, $C$9, 100%, $E$9)</f>
        <v>71.600700000000003</v>
      </c>
      <c r="C811" s="14">
        <f>CHOOSE(CONTROL!$C$42, 71.6087, 71.6087) * CHOOSE(CONTROL!$C$21, $C$9, 100%, $E$9)</f>
        <v>71.608699999999999</v>
      </c>
      <c r="D811" s="14">
        <f>CHOOSE(CONTROL!$C$42, 71.8293, 71.8293) * CHOOSE(CONTROL!$C$21, $C$9, 100%, $E$9)</f>
        <v>71.829300000000003</v>
      </c>
      <c r="E811" s="14">
        <f>CHOOSE(CONTROL!$C$42, 71.8608, 71.8608) * CHOOSE(CONTROL!$C$21, $C$9, 100%, $E$9)</f>
        <v>71.860799999999998</v>
      </c>
      <c r="F811" s="14">
        <f>CHOOSE(CONTROL!$C$42, 71.6278, 71.6278)*CHOOSE(CONTROL!$C$21, $C$9, 100%, $E$9)</f>
        <v>71.627799999999993</v>
      </c>
      <c r="G811" s="14">
        <f>CHOOSE(CONTROL!$C$42, 71.6451, 71.6451)*CHOOSE(CONTROL!$C$21, $C$9, 100%, $E$9)</f>
        <v>71.645099999999999</v>
      </c>
      <c r="H811" s="14">
        <f>CHOOSE(CONTROL!$C$42, 71.8494, 71.8494) * CHOOSE(CONTROL!$C$21, $C$9, 100%, $E$9)</f>
        <v>71.849400000000003</v>
      </c>
      <c r="I811" s="14">
        <f>CHOOSE(CONTROL!$C$42, 71.8528, 71.8528)* CHOOSE(CONTROL!$C$21, $C$9, 100%, $E$9)</f>
        <v>71.852800000000002</v>
      </c>
      <c r="J811" s="14">
        <f>CHOOSE(CONTROL!$C$42, 71.6208, 71.6208)* CHOOSE(CONTROL!$C$21, $C$9, 100%, $E$9)</f>
        <v>71.620800000000003</v>
      </c>
      <c r="K811" s="53">
        <f>CHOOSE(CONTROL!$C$42, 71.849, 71.849) * CHOOSE(CONTROL!$C$21, $C$9, 100%, $E$9)</f>
        <v>71.849000000000004</v>
      </c>
      <c r="L811" s="14">
        <f>CHOOSE(CONTROL!$C$42, 72.4364, 72.4364) * CHOOSE(CONTROL!$C$21, $C$9, 100%, $E$9)</f>
        <v>72.436400000000006</v>
      </c>
      <c r="M811" s="14">
        <f>CHOOSE(CONTROL!$C$42, 70.161, 70.161) * CHOOSE(CONTROL!$C$21, $C$9, 100%, $E$9)</f>
        <v>70.161000000000001</v>
      </c>
      <c r="N811" s="14">
        <f>CHOOSE(CONTROL!$C$42, 70.178, 70.178) * CHOOSE(CONTROL!$C$21, $C$9, 100%, $E$9)</f>
        <v>70.177999999999997</v>
      </c>
      <c r="O811" s="14">
        <f>CHOOSE(CONTROL!$C$42, 70.385, 70.385) * CHOOSE(CONTROL!$C$21, $C$9, 100%, $E$9)</f>
        <v>70.385000000000005</v>
      </c>
      <c r="P811" s="14">
        <f>CHOOSE(CONTROL!$C$42, 70.3839, 70.3839) * CHOOSE(CONTROL!$C$21, $C$9, 100%, $E$9)</f>
        <v>70.383899999999997</v>
      </c>
      <c r="Q811" s="14">
        <f>CHOOSE(CONTROL!$C$42, 70.9797, 70.9797) * CHOOSE(CONTROL!$C$21, $C$9, 100%, $E$9)</f>
        <v>70.979699999999994</v>
      </c>
      <c r="R811" s="14">
        <f>CHOOSE(CONTROL!$C$42, 71.7441, 71.7441) * CHOOSE(CONTROL!$C$21, $C$9, 100%, $E$9)</f>
        <v>71.744100000000003</v>
      </c>
      <c r="S811" s="14">
        <f>CHOOSE(CONTROL!$C$42, 68.7905, 68.7905) * CHOOSE(CONTROL!$C$21, $C$9, 100%, $E$9)</f>
        <v>68.790499999999994</v>
      </c>
      <c r="T81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11" s="57">
        <f>(1000*CHOOSE(CONTROL!$C$42, 695, 695)*CHOOSE(CONTROL!$C$42, 0.5599, 0.5599)*CHOOSE(CONTROL!$C$42, 31, 31))/1000000</f>
        <v>12.063045499999998</v>
      </c>
      <c r="V811" s="57">
        <f>(1000*CHOOSE(CONTROL!$C$42, 500, 500)*CHOOSE(CONTROL!$C$42, 0.275, 0.275)*CHOOSE(CONTROL!$C$42, 31, 31))/1000000</f>
        <v>4.2625000000000002</v>
      </c>
      <c r="W811" s="57">
        <f>(1000*CHOOSE(CONTROL!$C$42, 0.1146, 0.1146)*CHOOSE(CONTROL!$C$42, 121.5, 121.5)*CHOOSE(CONTROL!$C$42, 31, 31))/1000000</f>
        <v>0.43164089999999994</v>
      </c>
      <c r="X811" s="57">
        <f>(31*0.1790888*245000/1000000)+(31*0.2374*100000/1000000)</f>
        <v>2.0961194359999999</v>
      </c>
      <c r="Y811" s="57"/>
      <c r="Z811" s="14"/>
      <c r="AA811" s="56"/>
      <c r="AB811" s="50">
        <f>(B811*194.205+C811*267.466+D811*133.845+E811*53.484+F811*40+G811*185+H811*0+I811*100+J811*300)/(194.205+267.466+133.845+53.484+0+40+185+100+300)</f>
        <v>71.669134759340665</v>
      </c>
      <c r="AC811" s="45">
        <f>(M811*'RAP TEMPLATE-GAS AVAILABILITY'!O810+N811*'RAP TEMPLATE-GAS AVAILABILITY'!P810+O811*'RAP TEMPLATE-GAS AVAILABILITY'!Q810+P811*'RAP TEMPLATE-GAS AVAILABILITY'!R810)/('RAP TEMPLATE-GAS AVAILABILITY'!O810+'RAP TEMPLATE-GAS AVAILABILITY'!P810+'RAP TEMPLATE-GAS AVAILABILITY'!Q810+'RAP TEMPLATE-GAS AVAILABILITY'!R810)</f>
        <v>70.295575539568347</v>
      </c>
    </row>
    <row r="812" spans="1:29" ht="15.75" x14ac:dyDescent="0.25">
      <c r="A812" s="32">
        <v>65623</v>
      </c>
      <c r="B812" s="14">
        <f>CHOOSE(CONTROL!$C$42, 68.0646, 68.0646) * CHOOSE(CONTROL!$C$21, $C$9, 100%, $E$9)</f>
        <v>68.064599999999999</v>
      </c>
      <c r="C812" s="14">
        <f>CHOOSE(CONTROL!$C$42, 68.0726, 68.0726) * CHOOSE(CONTROL!$C$21, $C$9, 100%, $E$9)</f>
        <v>68.072599999999994</v>
      </c>
      <c r="D812" s="14">
        <f>CHOOSE(CONTROL!$C$42, 68.2932, 68.2932) * CHOOSE(CONTROL!$C$21, $C$9, 100%, $E$9)</f>
        <v>68.293199999999999</v>
      </c>
      <c r="E812" s="14">
        <f>CHOOSE(CONTROL!$C$42, 68.3246, 68.3246) * CHOOSE(CONTROL!$C$21, $C$9, 100%, $E$9)</f>
        <v>68.324600000000004</v>
      </c>
      <c r="F812" s="14">
        <f>CHOOSE(CONTROL!$C$42, 68.0919, 68.0919)*CHOOSE(CONTROL!$C$21, $C$9, 100%, $E$9)</f>
        <v>68.091899999999995</v>
      </c>
      <c r="G812" s="14">
        <f>CHOOSE(CONTROL!$C$42, 68.1093, 68.1093)*CHOOSE(CONTROL!$C$21, $C$9, 100%, $E$9)</f>
        <v>68.109300000000005</v>
      </c>
      <c r="H812" s="14">
        <f>CHOOSE(CONTROL!$C$42, 68.3133, 68.3133) * CHOOSE(CONTROL!$C$21, $C$9, 100%, $E$9)</f>
        <v>68.313299999999998</v>
      </c>
      <c r="I812" s="14">
        <f>CHOOSE(CONTROL!$C$42, 68.3056, 68.3056)* CHOOSE(CONTROL!$C$21, $C$9, 100%, $E$9)</f>
        <v>68.305599999999998</v>
      </c>
      <c r="J812" s="14">
        <f>CHOOSE(CONTROL!$C$42, 68.0849, 68.0849)* CHOOSE(CONTROL!$C$21, $C$9, 100%, $E$9)</f>
        <v>68.084900000000005</v>
      </c>
      <c r="K812" s="53">
        <f>CHOOSE(CONTROL!$C$42, 68.3017, 68.3017) * CHOOSE(CONTROL!$C$21, $C$9, 100%, $E$9)</f>
        <v>68.301699999999997</v>
      </c>
      <c r="L812" s="14">
        <f>CHOOSE(CONTROL!$C$42, 68.9003, 68.9003) * CHOOSE(CONTROL!$C$21, $C$9, 100%, $E$9)</f>
        <v>68.900300000000001</v>
      </c>
      <c r="M812" s="14">
        <f>CHOOSE(CONTROL!$C$42, 66.6976, 66.6976) * CHOOSE(CONTROL!$C$21, $C$9, 100%, $E$9)</f>
        <v>66.697599999999994</v>
      </c>
      <c r="N812" s="14">
        <f>CHOOSE(CONTROL!$C$42, 66.7147, 66.7147) * CHOOSE(CONTROL!$C$21, $C$9, 100%, $E$9)</f>
        <v>66.714699999999993</v>
      </c>
      <c r="O812" s="14">
        <f>CHOOSE(CONTROL!$C$42, 66.9213, 66.9213) * CHOOSE(CONTROL!$C$21, $C$9, 100%, $E$9)</f>
        <v>66.921300000000002</v>
      </c>
      <c r="P812" s="14">
        <f>CHOOSE(CONTROL!$C$42, 66.9096, 66.9096) * CHOOSE(CONTROL!$C$21, $C$9, 100%, $E$9)</f>
        <v>66.909599999999998</v>
      </c>
      <c r="Q812" s="14">
        <f>CHOOSE(CONTROL!$C$42, 67.516, 67.516) * CHOOSE(CONTROL!$C$21, $C$9, 100%, $E$9)</f>
        <v>67.516000000000005</v>
      </c>
      <c r="R812" s="14">
        <f>CHOOSE(CONTROL!$C$42, 68.2718, 68.2718) * CHOOSE(CONTROL!$C$21, $C$9, 100%, $E$9)</f>
        <v>68.271799999999999</v>
      </c>
      <c r="S812" s="14">
        <f>CHOOSE(CONTROL!$C$42, 65.3926, 65.3926) * CHOOSE(CONTROL!$C$21, $C$9, 100%, $E$9)</f>
        <v>65.392600000000002</v>
      </c>
      <c r="T81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12" s="57">
        <f>(1000*CHOOSE(CONTROL!$C$42, 695, 695)*CHOOSE(CONTROL!$C$42, 0.5599, 0.5599)*CHOOSE(CONTROL!$C$42, 31, 31))/1000000</f>
        <v>12.063045499999998</v>
      </c>
      <c r="V812" s="57">
        <f>(1000*CHOOSE(CONTROL!$C$42, 500, 500)*CHOOSE(CONTROL!$C$42, 0.275, 0.275)*CHOOSE(CONTROL!$C$42, 31, 31))/1000000</f>
        <v>4.2625000000000002</v>
      </c>
      <c r="W812" s="57">
        <f>(1000*CHOOSE(CONTROL!$C$42, 0.1146, 0.1146)*CHOOSE(CONTROL!$C$42, 121.5, 121.5)*CHOOSE(CONTROL!$C$42, 31, 31))/1000000</f>
        <v>0.43164089999999994</v>
      </c>
      <c r="X812" s="57">
        <f>(31*0.1790888*245000/1000000)+(31*0.2374*100000/1000000)</f>
        <v>2.0961194359999999</v>
      </c>
      <c r="Y812" s="57"/>
      <c r="Z812" s="14"/>
      <c r="AA812" s="56"/>
      <c r="AB812" s="50">
        <f>(B812*194.205+C812*267.466+D812*133.845+E812*53.484+F812*40+G812*185+H812*0+I812*100+J812*300)/(194.205+267.466+133.845+53.484+0+40+185+100+300)</f>
        <v>68.132256228414448</v>
      </c>
      <c r="AC812" s="45">
        <f>(M812*'RAP TEMPLATE-GAS AVAILABILITY'!O811+N812*'RAP TEMPLATE-GAS AVAILABILITY'!P811+O812*'RAP TEMPLATE-GAS AVAILABILITY'!Q811+P812*'RAP TEMPLATE-GAS AVAILABILITY'!R811)/('RAP TEMPLATE-GAS AVAILABILITY'!O811+'RAP TEMPLATE-GAS AVAILABILITY'!P811+'RAP TEMPLATE-GAS AVAILABILITY'!Q811+'RAP TEMPLATE-GAS AVAILABILITY'!R811)</f>
        <v>66.830476978417266</v>
      </c>
    </row>
    <row r="813" spans="1:29" ht="15.75" x14ac:dyDescent="0.25">
      <c r="A813" s="32">
        <v>65653</v>
      </c>
      <c r="B813" s="14">
        <f>CHOOSE(CONTROL!$C$42, 63.7438, 63.7438) * CHOOSE(CONTROL!$C$21, $C$9, 100%, $E$9)</f>
        <v>63.7438</v>
      </c>
      <c r="C813" s="14">
        <f>CHOOSE(CONTROL!$C$42, 63.7518, 63.7518) * CHOOSE(CONTROL!$C$21, $C$9, 100%, $E$9)</f>
        <v>63.751800000000003</v>
      </c>
      <c r="D813" s="14">
        <f>CHOOSE(CONTROL!$C$42, 63.9724, 63.9724) * CHOOSE(CONTROL!$C$21, $C$9, 100%, $E$9)</f>
        <v>63.9724</v>
      </c>
      <c r="E813" s="14">
        <f>CHOOSE(CONTROL!$C$42, 64.0039, 64.0039) * CHOOSE(CONTROL!$C$21, $C$9, 100%, $E$9)</f>
        <v>64.003900000000002</v>
      </c>
      <c r="F813" s="14">
        <f>CHOOSE(CONTROL!$C$42, 63.7712, 63.7712)*CHOOSE(CONTROL!$C$21, $C$9, 100%, $E$9)</f>
        <v>63.7712</v>
      </c>
      <c r="G813" s="14">
        <f>CHOOSE(CONTROL!$C$42, 63.7886, 63.7886)*CHOOSE(CONTROL!$C$21, $C$9, 100%, $E$9)</f>
        <v>63.788600000000002</v>
      </c>
      <c r="H813" s="14">
        <f>CHOOSE(CONTROL!$C$42, 63.9925, 63.9925) * CHOOSE(CONTROL!$C$21, $C$9, 100%, $E$9)</f>
        <v>63.9925</v>
      </c>
      <c r="I813" s="14">
        <f>CHOOSE(CONTROL!$C$42, 63.9713, 63.9713)* CHOOSE(CONTROL!$C$21, $C$9, 100%, $E$9)</f>
        <v>63.971299999999999</v>
      </c>
      <c r="J813" s="14">
        <f>CHOOSE(CONTROL!$C$42, 63.7642, 63.7642)* CHOOSE(CONTROL!$C$21, $C$9, 100%, $E$9)</f>
        <v>63.764200000000002</v>
      </c>
      <c r="K813" s="53">
        <f>CHOOSE(CONTROL!$C$42, 63.9675, 63.9675) * CHOOSE(CONTROL!$C$21, $C$9, 100%, $E$9)</f>
        <v>63.967500000000001</v>
      </c>
      <c r="L813" s="14">
        <f>CHOOSE(CONTROL!$C$42, 64.5795, 64.5795) * CHOOSE(CONTROL!$C$21, $C$9, 100%, $E$9)</f>
        <v>64.579499999999996</v>
      </c>
      <c r="M813" s="14">
        <f>CHOOSE(CONTROL!$C$42, 62.4654, 62.4654) * CHOOSE(CONTROL!$C$21, $C$9, 100%, $E$9)</f>
        <v>62.465400000000002</v>
      </c>
      <c r="N813" s="14">
        <f>CHOOSE(CONTROL!$C$42, 62.4824, 62.4824) * CHOOSE(CONTROL!$C$21, $C$9, 100%, $E$9)</f>
        <v>62.482399999999998</v>
      </c>
      <c r="O813" s="14">
        <f>CHOOSE(CONTROL!$C$42, 62.6891, 62.6891) * CHOOSE(CONTROL!$C$21, $C$9, 100%, $E$9)</f>
        <v>62.689100000000003</v>
      </c>
      <c r="P813" s="14">
        <f>CHOOSE(CONTROL!$C$42, 62.6644, 62.6644) * CHOOSE(CONTROL!$C$21, $C$9, 100%, $E$9)</f>
        <v>62.664400000000001</v>
      </c>
      <c r="Q813" s="14">
        <f>CHOOSE(CONTROL!$C$42, 63.2838, 63.2838) * CHOOSE(CONTROL!$C$21, $C$9, 100%, $E$9)</f>
        <v>63.283799999999999</v>
      </c>
      <c r="R813" s="14">
        <f>CHOOSE(CONTROL!$C$42, 64.029, 64.029) * CHOOSE(CONTROL!$C$21, $C$9, 100%, $E$9)</f>
        <v>64.028999999999996</v>
      </c>
      <c r="S813" s="14">
        <f>CHOOSE(CONTROL!$C$42, 61.2408, 61.2408) * CHOOSE(CONTROL!$C$21, $C$9, 100%, $E$9)</f>
        <v>61.2408</v>
      </c>
      <c r="T81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3" s="57">
        <f>(1000*CHOOSE(CONTROL!$C$42, 695, 695)*CHOOSE(CONTROL!$C$42, 0.5599, 0.5599)*CHOOSE(CONTROL!$C$42, 30, 30))/1000000</f>
        <v>11.673914999999997</v>
      </c>
      <c r="V813" s="57">
        <f>(1000*CHOOSE(CONTROL!$C$42, 500, 500)*CHOOSE(CONTROL!$C$42, 0.275, 0.275)*CHOOSE(CONTROL!$C$42, 30, 30))/1000000</f>
        <v>4.125</v>
      </c>
      <c r="W813" s="57">
        <f>(1000*CHOOSE(CONTROL!$C$42, 0.1146, 0.1146)*CHOOSE(CONTROL!$C$42, 121.5, 121.5)*CHOOSE(CONTROL!$C$42, 30, 30))/1000000</f>
        <v>0.417717</v>
      </c>
      <c r="X813" s="57">
        <f>(30*0.1790888*245000/1000000)+(30*0.2374*100000/1000000)</f>
        <v>2.0285026799999999</v>
      </c>
      <c r="Y813" s="57"/>
      <c r="Z813" s="14"/>
      <c r="AA813" s="56"/>
      <c r="AB813" s="50">
        <f>(B813*194.205+C813*267.466+D813*133.845+E813*53.484+F813*40+G813*185+H813*0+I813*100+J813*300)/(194.205+267.466+133.845+53.484+0+40+185+100+300)</f>
        <v>63.81044198069074</v>
      </c>
      <c r="AC813" s="45">
        <f>(M813*'RAP TEMPLATE-GAS AVAILABILITY'!O812+N813*'RAP TEMPLATE-GAS AVAILABILITY'!P812+O813*'RAP TEMPLATE-GAS AVAILABILITY'!Q812+P813*'RAP TEMPLATE-GAS AVAILABILITY'!R812)/('RAP TEMPLATE-GAS AVAILABILITY'!O812+'RAP TEMPLATE-GAS AVAILABILITY'!P812+'RAP TEMPLATE-GAS AVAILABILITY'!Q812+'RAP TEMPLATE-GAS AVAILABILITY'!R812)</f>
        <v>62.596400719424466</v>
      </c>
    </row>
    <row r="814" spans="1:29" ht="15.75" x14ac:dyDescent="0.25">
      <c r="A814" s="32">
        <v>65684</v>
      </c>
      <c r="B814" s="14">
        <f>CHOOSE(CONTROL!$C$42, 62.448, 62.448) * CHOOSE(CONTROL!$C$21, $C$9, 100%, $E$9)</f>
        <v>62.448</v>
      </c>
      <c r="C814" s="14">
        <f>CHOOSE(CONTROL!$C$42, 62.4534, 62.4534) * CHOOSE(CONTROL!$C$21, $C$9, 100%, $E$9)</f>
        <v>62.453400000000002</v>
      </c>
      <c r="D814" s="14">
        <f>CHOOSE(CONTROL!$C$42, 62.6789, 62.6789) * CHOOSE(CONTROL!$C$21, $C$9, 100%, $E$9)</f>
        <v>62.678899999999999</v>
      </c>
      <c r="E814" s="14">
        <f>CHOOSE(CONTROL!$C$42, 62.708, 62.708) * CHOOSE(CONTROL!$C$21, $C$9, 100%, $E$9)</f>
        <v>62.707999999999998</v>
      </c>
      <c r="F814" s="14">
        <f>CHOOSE(CONTROL!$C$42, 62.4774, 62.4774)*CHOOSE(CONTROL!$C$21, $C$9, 100%, $E$9)</f>
        <v>62.477400000000003</v>
      </c>
      <c r="G814" s="14">
        <f>CHOOSE(CONTROL!$C$42, 62.4947, 62.4947)*CHOOSE(CONTROL!$C$21, $C$9, 100%, $E$9)</f>
        <v>62.494700000000002</v>
      </c>
      <c r="H814" s="14">
        <f>CHOOSE(CONTROL!$C$42, 62.6985, 62.6985) * CHOOSE(CONTROL!$C$21, $C$9, 100%, $E$9)</f>
        <v>62.698500000000003</v>
      </c>
      <c r="I814" s="14">
        <f>CHOOSE(CONTROL!$C$42, 62.6733, 62.6733)* CHOOSE(CONTROL!$C$21, $C$9, 100%, $E$9)</f>
        <v>62.673299999999998</v>
      </c>
      <c r="J814" s="14">
        <f>CHOOSE(CONTROL!$C$42, 62.4704, 62.4704)* CHOOSE(CONTROL!$C$21, $C$9, 100%, $E$9)</f>
        <v>62.470399999999998</v>
      </c>
      <c r="K814" s="53">
        <f>CHOOSE(CONTROL!$C$42, 62.6694, 62.6694) * CHOOSE(CONTROL!$C$21, $C$9, 100%, $E$9)</f>
        <v>62.669400000000003</v>
      </c>
      <c r="L814" s="14">
        <f>CHOOSE(CONTROL!$C$42, 63.2855, 63.2855) * CHOOSE(CONTROL!$C$21, $C$9, 100%, $E$9)</f>
        <v>63.285499999999999</v>
      </c>
      <c r="M814" s="14">
        <f>CHOOSE(CONTROL!$C$42, 61.1981, 61.1981) * CHOOSE(CONTROL!$C$21, $C$9, 100%, $E$9)</f>
        <v>61.198099999999997</v>
      </c>
      <c r="N814" s="14">
        <f>CHOOSE(CONTROL!$C$42, 61.215, 61.215) * CHOOSE(CONTROL!$C$21, $C$9, 100%, $E$9)</f>
        <v>61.215000000000003</v>
      </c>
      <c r="O814" s="14">
        <f>CHOOSE(CONTROL!$C$42, 61.4216, 61.4216) * CHOOSE(CONTROL!$C$21, $C$9, 100%, $E$9)</f>
        <v>61.421599999999998</v>
      </c>
      <c r="P814" s="14">
        <f>CHOOSE(CONTROL!$C$42, 61.393, 61.393) * CHOOSE(CONTROL!$C$21, $C$9, 100%, $E$9)</f>
        <v>61.393000000000001</v>
      </c>
      <c r="Q814" s="14">
        <f>CHOOSE(CONTROL!$C$42, 62.0163, 62.0163) * CHOOSE(CONTROL!$C$21, $C$9, 100%, $E$9)</f>
        <v>62.016300000000001</v>
      </c>
      <c r="R814" s="14">
        <f>CHOOSE(CONTROL!$C$42, 62.7583, 62.7583) * CHOOSE(CONTROL!$C$21, $C$9, 100%, $E$9)</f>
        <v>62.758299999999998</v>
      </c>
      <c r="S814" s="14">
        <f>CHOOSE(CONTROL!$C$42, 59.9974, 59.9974) * CHOOSE(CONTROL!$C$21, $C$9, 100%, $E$9)</f>
        <v>59.997399999999999</v>
      </c>
      <c r="T81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14" s="57">
        <f>(1000*CHOOSE(CONTROL!$C$42, 695, 695)*CHOOSE(CONTROL!$C$42, 0.5599, 0.5599)*CHOOSE(CONTROL!$C$42, 31, 31))/1000000</f>
        <v>12.063045499999998</v>
      </c>
      <c r="V814" s="57">
        <f>(1000*CHOOSE(CONTROL!$C$42, 500, 500)*CHOOSE(CONTROL!$C$42, 0.275, 0.275)*CHOOSE(CONTROL!$C$42, 31, 31))/1000000</f>
        <v>4.2625000000000002</v>
      </c>
      <c r="W814" s="57">
        <f>(1000*CHOOSE(CONTROL!$C$42, 0.1146, 0.1146)*CHOOSE(CONTROL!$C$42, 121.5, 121.5)*CHOOSE(CONTROL!$C$42, 31, 31))/1000000</f>
        <v>0.43164089999999994</v>
      </c>
      <c r="X814" s="57">
        <f>(31*0.1790888*245000/1000000)+(31*0.2374*100000/1000000)</f>
        <v>2.0961194359999999</v>
      </c>
      <c r="Y814" s="57"/>
      <c r="Z814" s="14"/>
      <c r="AA814" s="56"/>
      <c r="AB814" s="50">
        <f>(B814*131.881+C814*277.167+D814*79.08+E814*125.872+F814*40+G814*185+H814*0+I814*100+J814*300)/(131.881+277.167+79.08+125.872+0+40+185+100+300)</f>
        <v>62.521889018401936</v>
      </c>
      <c r="AC814" s="45">
        <f>(M814*'RAP TEMPLATE-GAS AVAILABILITY'!O813+N814*'RAP TEMPLATE-GAS AVAILABILITY'!P813+O814*'RAP TEMPLATE-GAS AVAILABILITY'!Q813+P814*'RAP TEMPLATE-GAS AVAILABILITY'!R813)/('RAP TEMPLATE-GAS AVAILABILITY'!O813+'RAP TEMPLATE-GAS AVAILABILITY'!P813+'RAP TEMPLATE-GAS AVAILABILITY'!Q813+'RAP TEMPLATE-GAS AVAILABILITY'!R813)</f>
        <v>61.328414388489222</v>
      </c>
    </row>
    <row r="815" spans="1:29" ht="15.75" x14ac:dyDescent="0.25">
      <c r="A815" s="32">
        <v>65714</v>
      </c>
      <c r="B815" s="14">
        <f>CHOOSE(CONTROL!$C$42, 64.0925, 64.0925) * CHOOSE(CONTROL!$C$21, $C$9, 100%, $E$9)</f>
        <v>64.092500000000001</v>
      </c>
      <c r="C815" s="14">
        <f>CHOOSE(CONTROL!$C$42, 64.0976, 64.0976) * CHOOSE(CONTROL!$C$21, $C$9, 100%, $E$9)</f>
        <v>64.0976</v>
      </c>
      <c r="D815" s="14">
        <f>CHOOSE(CONTROL!$C$42, 64.1718, 64.1718) * CHOOSE(CONTROL!$C$21, $C$9, 100%, $E$9)</f>
        <v>64.171800000000005</v>
      </c>
      <c r="E815" s="14">
        <f>CHOOSE(CONTROL!$C$42, 64.2059, 64.2059) * CHOOSE(CONTROL!$C$21, $C$9, 100%, $E$9)</f>
        <v>64.2059</v>
      </c>
      <c r="F815" s="14">
        <f>CHOOSE(CONTROL!$C$42, 64.1286, 64.1286)*CHOOSE(CONTROL!$C$21, $C$9, 100%, $E$9)</f>
        <v>64.128600000000006</v>
      </c>
      <c r="G815" s="14">
        <f>CHOOSE(CONTROL!$C$42, 64.1461, 64.1461)*CHOOSE(CONTROL!$C$21, $C$9, 100%, $E$9)</f>
        <v>64.146100000000004</v>
      </c>
      <c r="H815" s="14">
        <f>CHOOSE(CONTROL!$C$42, 64.1951, 64.1951) * CHOOSE(CONTROL!$C$21, $C$9, 100%, $E$9)</f>
        <v>64.195099999999996</v>
      </c>
      <c r="I815" s="14">
        <f>CHOOSE(CONTROL!$C$42, 64.3207, 64.3207)* CHOOSE(CONTROL!$C$21, $C$9, 100%, $E$9)</f>
        <v>64.320700000000002</v>
      </c>
      <c r="J815" s="14">
        <f>CHOOSE(CONTROL!$C$42, 64.1216, 64.1216)* CHOOSE(CONTROL!$C$21, $C$9, 100%, $E$9)</f>
        <v>64.121600000000001</v>
      </c>
      <c r="K815" s="53">
        <f>CHOOSE(CONTROL!$C$42, 64.3168, 64.3168) * CHOOSE(CONTROL!$C$21, $C$9, 100%, $E$9)</f>
        <v>64.316800000000001</v>
      </c>
      <c r="L815" s="14">
        <f>CHOOSE(CONTROL!$C$42, 64.7821, 64.7821) * CHOOSE(CONTROL!$C$21, $C$9, 100%, $E$9)</f>
        <v>64.7821</v>
      </c>
      <c r="M815" s="14">
        <f>CHOOSE(CONTROL!$C$42, 62.8155, 62.8155) * CHOOSE(CONTROL!$C$21, $C$9, 100%, $E$9)</f>
        <v>62.8155</v>
      </c>
      <c r="N815" s="14">
        <f>CHOOSE(CONTROL!$C$42, 62.8327, 62.8327) * CHOOSE(CONTROL!$C$21, $C$9, 100%, $E$9)</f>
        <v>62.832700000000003</v>
      </c>
      <c r="O815" s="14">
        <f>CHOOSE(CONTROL!$C$42, 62.8875, 62.8875) * CHOOSE(CONTROL!$C$21, $C$9, 100%, $E$9)</f>
        <v>62.887500000000003</v>
      </c>
      <c r="P815" s="14">
        <f>CHOOSE(CONTROL!$C$42, 63.0066, 63.0066) * CHOOSE(CONTROL!$C$21, $C$9, 100%, $E$9)</f>
        <v>63.006599999999999</v>
      </c>
      <c r="Q815" s="14">
        <f>CHOOSE(CONTROL!$C$42, 63.4822, 63.4822) * CHOOSE(CONTROL!$C$21, $C$9, 100%, $E$9)</f>
        <v>63.482199999999999</v>
      </c>
      <c r="R815" s="14">
        <f>CHOOSE(CONTROL!$C$42, 64.2279, 64.2279) * CHOOSE(CONTROL!$C$21, $C$9, 100%, $E$9)</f>
        <v>64.227900000000005</v>
      </c>
      <c r="S815" s="14">
        <f>CHOOSE(CONTROL!$C$42, 61.578, 61.578) * CHOOSE(CONTROL!$C$21, $C$9, 100%, $E$9)</f>
        <v>61.578000000000003</v>
      </c>
      <c r="T81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15" s="57">
        <f>(1000*CHOOSE(CONTROL!$C$42, 695, 695)*CHOOSE(CONTROL!$C$42, 0.5599, 0.5599)*CHOOSE(CONTROL!$C$42, 30, 30))/1000000</f>
        <v>11.673914999999997</v>
      </c>
      <c r="V815" s="57">
        <f>(1000*CHOOSE(CONTROL!$C$42, 500, 500)*CHOOSE(CONTROL!$C$42, 0.275, 0.275)*CHOOSE(CONTROL!$C$42, 30, 30))/1000000</f>
        <v>4.125</v>
      </c>
      <c r="W815" s="57">
        <f>(1000*CHOOSE(CONTROL!$C$42, 0.1146, 0.1146)*CHOOSE(CONTROL!$C$42, 121.5, 121.5)*CHOOSE(CONTROL!$C$42, 30, 30))/1000000</f>
        <v>0.417717</v>
      </c>
      <c r="X815" s="57">
        <f>(30*0.1790888*100000/1000000)+(30*0.2374*100000/1000000)</f>
        <v>1.2494664</v>
      </c>
      <c r="Y815" s="57"/>
      <c r="Z815" s="14"/>
      <c r="AA815" s="56"/>
      <c r="AB815" s="50">
        <f>(B815*122.58+C815*297.941+D815*89.177+E815*40.302+F815*40+G815*160+H815*0+I815*100+J815*300)/(122.58+297.941+89.177+40.302+0+40+160+100+300)</f>
        <v>64.140092593043477</v>
      </c>
      <c r="AC815" s="45">
        <f>(M815*'RAP TEMPLATE-GAS AVAILABILITY'!O814+N815*'RAP TEMPLATE-GAS AVAILABILITY'!P814+O815*'RAP TEMPLATE-GAS AVAILABILITY'!Q814+P815*'RAP TEMPLATE-GAS AVAILABILITY'!R814)/('RAP TEMPLATE-GAS AVAILABILITY'!O814+'RAP TEMPLATE-GAS AVAILABILITY'!P814+'RAP TEMPLATE-GAS AVAILABILITY'!Q814+'RAP TEMPLATE-GAS AVAILABILITY'!R814)</f>
        <v>62.876619424460422</v>
      </c>
    </row>
    <row r="816" spans="1:29" ht="15.75" x14ac:dyDescent="0.25">
      <c r="A816" s="32">
        <v>65745</v>
      </c>
      <c r="B816" s="14">
        <f>CHOOSE(CONTROL!$C$42, 68.4617, 68.4617) * CHOOSE(CONTROL!$C$21, $C$9, 100%, $E$9)</f>
        <v>68.461699999999993</v>
      </c>
      <c r="C816" s="14">
        <f>CHOOSE(CONTROL!$C$42, 68.4668, 68.4668) * CHOOSE(CONTROL!$C$21, $C$9, 100%, $E$9)</f>
        <v>68.466800000000006</v>
      </c>
      <c r="D816" s="14">
        <f>CHOOSE(CONTROL!$C$42, 68.541, 68.541) * CHOOSE(CONTROL!$C$21, $C$9, 100%, $E$9)</f>
        <v>68.540999999999997</v>
      </c>
      <c r="E816" s="14">
        <f>CHOOSE(CONTROL!$C$42, 68.5751, 68.5751) * CHOOSE(CONTROL!$C$21, $C$9, 100%, $E$9)</f>
        <v>68.575100000000006</v>
      </c>
      <c r="F816" s="14">
        <f>CHOOSE(CONTROL!$C$42, 68.5001, 68.5001)*CHOOSE(CONTROL!$C$21, $C$9, 100%, $E$9)</f>
        <v>68.500100000000003</v>
      </c>
      <c r="G816" s="14">
        <f>CHOOSE(CONTROL!$C$42, 68.5183, 68.5183)*CHOOSE(CONTROL!$C$21, $C$9, 100%, $E$9)</f>
        <v>68.518299999999996</v>
      </c>
      <c r="H816" s="14">
        <f>CHOOSE(CONTROL!$C$42, 68.5643, 68.5643) * CHOOSE(CONTROL!$C$21, $C$9, 100%, $E$9)</f>
        <v>68.564300000000003</v>
      </c>
      <c r="I816" s="14">
        <f>CHOOSE(CONTROL!$C$42, 68.7036, 68.7036)* CHOOSE(CONTROL!$C$21, $C$9, 100%, $E$9)</f>
        <v>68.703599999999994</v>
      </c>
      <c r="J816" s="14">
        <f>CHOOSE(CONTROL!$C$42, 68.4931, 68.4931)* CHOOSE(CONTROL!$C$21, $C$9, 100%, $E$9)</f>
        <v>68.493099999999998</v>
      </c>
      <c r="K816" s="53">
        <f>CHOOSE(CONTROL!$C$42, 68.6997, 68.6997) * CHOOSE(CONTROL!$C$21, $C$9, 100%, $E$9)</f>
        <v>68.699700000000007</v>
      </c>
      <c r="L816" s="14">
        <f>CHOOSE(CONTROL!$C$42, 69.1513, 69.1513) * CHOOSE(CONTROL!$C$21, $C$9, 100%, $E$9)</f>
        <v>69.151300000000006</v>
      </c>
      <c r="M816" s="14">
        <f>CHOOSE(CONTROL!$C$42, 67.0974, 67.0974) * CHOOSE(CONTROL!$C$21, $C$9, 100%, $E$9)</f>
        <v>67.097399999999993</v>
      </c>
      <c r="N816" s="14">
        <f>CHOOSE(CONTROL!$C$42, 67.1152, 67.1152) * CHOOSE(CONTROL!$C$21, $C$9, 100%, $E$9)</f>
        <v>67.115200000000002</v>
      </c>
      <c r="O816" s="14">
        <f>CHOOSE(CONTROL!$C$42, 67.1671, 67.1671) * CHOOSE(CONTROL!$C$21, $C$9, 100%, $E$9)</f>
        <v>67.167100000000005</v>
      </c>
      <c r="P816" s="14">
        <f>CHOOSE(CONTROL!$C$42, 67.2993, 67.2993) * CHOOSE(CONTROL!$C$21, $C$9, 100%, $E$9)</f>
        <v>67.299300000000002</v>
      </c>
      <c r="Q816" s="14">
        <f>CHOOSE(CONTROL!$C$42, 67.7618, 67.7618) * CHOOSE(CONTROL!$C$21, $C$9, 100%, $E$9)</f>
        <v>67.761799999999994</v>
      </c>
      <c r="R816" s="14">
        <f>CHOOSE(CONTROL!$C$42, 68.5182, 68.5182) * CHOOSE(CONTROL!$C$21, $C$9, 100%, $E$9)</f>
        <v>68.518199999999993</v>
      </c>
      <c r="S816" s="14">
        <f>CHOOSE(CONTROL!$C$42, 65.7763, 65.7763) * CHOOSE(CONTROL!$C$21, $C$9, 100%, $E$9)</f>
        <v>65.776300000000006</v>
      </c>
      <c r="T81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16" s="57">
        <f>(1000*CHOOSE(CONTROL!$C$42, 695, 695)*CHOOSE(CONTROL!$C$42, 0.5599, 0.5599)*CHOOSE(CONTROL!$C$42, 31, 31))/1000000</f>
        <v>12.063045499999998</v>
      </c>
      <c r="V816" s="57">
        <f>(1000*CHOOSE(CONTROL!$C$42, 500, 500)*CHOOSE(CONTROL!$C$42, 0.275, 0.275)*CHOOSE(CONTROL!$C$42, 31, 31))/1000000</f>
        <v>4.2625000000000002</v>
      </c>
      <c r="W816" s="57">
        <f>(1000*CHOOSE(CONTROL!$C$42, 0.1146, 0.1146)*CHOOSE(CONTROL!$C$42, 121.5, 121.5)*CHOOSE(CONTROL!$C$42, 31, 31))/1000000</f>
        <v>0.43164089999999994</v>
      </c>
      <c r="X816" s="57">
        <f>(31*0.1790888*100000/1000000)+(31*0.2374*100000/1000000)</f>
        <v>1.2911152800000001</v>
      </c>
      <c r="Y816" s="57"/>
      <c r="Z816" s="14"/>
      <c r="AA816" s="56"/>
      <c r="AB816" s="50">
        <f>(B816*122.58+C816*297.941+D816*89.177+E816*40.302+F816*40+G816*160+H816*0+I816*100+J816*300)/(122.58+297.941+89.177+40.302+0+40+160+100+300)</f>
        <v>68.511581288695652</v>
      </c>
      <c r="AC816" s="45">
        <f>(M816*'RAP TEMPLATE-GAS AVAILABILITY'!O815+N816*'RAP TEMPLATE-GAS AVAILABILITY'!P815+O816*'RAP TEMPLATE-GAS AVAILABILITY'!Q815+P816*'RAP TEMPLATE-GAS AVAILABILITY'!R815)/('RAP TEMPLATE-GAS AVAILABILITY'!O815+'RAP TEMPLATE-GAS AVAILABILITY'!P815+'RAP TEMPLATE-GAS AVAILABILITY'!Q815+'RAP TEMPLATE-GAS AVAILABILITY'!R815)</f>
        <v>67.159065467625894</v>
      </c>
    </row>
    <row r="817" spans="1:29" ht="15.75" x14ac:dyDescent="0.25">
      <c r="A817" s="32">
        <v>65776</v>
      </c>
      <c r="B817" s="14">
        <f>CHOOSE(CONTROL!$C$42, 74.1364, 74.1364) * CHOOSE(CONTROL!$C$21, $C$9, 100%, $E$9)</f>
        <v>74.136399999999995</v>
      </c>
      <c r="C817" s="14">
        <f>CHOOSE(CONTROL!$C$42, 74.1415, 74.1415) * CHOOSE(CONTROL!$C$21, $C$9, 100%, $E$9)</f>
        <v>74.141499999999994</v>
      </c>
      <c r="D817" s="14">
        <f>CHOOSE(CONTROL!$C$42, 74.2183, 74.2183) * CHOOSE(CONTROL!$C$21, $C$9, 100%, $E$9)</f>
        <v>74.218299999999999</v>
      </c>
      <c r="E817" s="14">
        <f>CHOOSE(CONTROL!$C$42, 74.2524, 74.2524) * CHOOSE(CONTROL!$C$21, $C$9, 100%, $E$9)</f>
        <v>74.252399999999994</v>
      </c>
      <c r="F817" s="14">
        <f>CHOOSE(CONTROL!$C$42, 74.1612, 74.1612)*CHOOSE(CONTROL!$C$21, $C$9, 100%, $E$9)</f>
        <v>74.161199999999994</v>
      </c>
      <c r="G817" s="14">
        <f>CHOOSE(CONTROL!$C$42, 74.1791, 74.1791)*CHOOSE(CONTROL!$C$21, $C$9, 100%, $E$9)</f>
        <v>74.179100000000005</v>
      </c>
      <c r="H817" s="14">
        <f>CHOOSE(CONTROL!$C$42, 74.2416, 74.2416) * CHOOSE(CONTROL!$C$21, $C$9, 100%, $E$9)</f>
        <v>74.241600000000005</v>
      </c>
      <c r="I817" s="14">
        <f>CHOOSE(CONTROL!$C$42, 74.4023, 74.4023)* CHOOSE(CONTROL!$C$21, $C$9, 100%, $E$9)</f>
        <v>74.402299999999997</v>
      </c>
      <c r="J817" s="14">
        <f>CHOOSE(CONTROL!$C$42, 74.1542, 74.1542)* CHOOSE(CONTROL!$C$21, $C$9, 100%, $E$9)</f>
        <v>74.154200000000003</v>
      </c>
      <c r="K817" s="53">
        <f>CHOOSE(CONTROL!$C$42, 74.3984, 74.3984) * CHOOSE(CONTROL!$C$21, $C$9, 100%, $E$9)</f>
        <v>74.398399999999995</v>
      </c>
      <c r="L817" s="14">
        <f>CHOOSE(CONTROL!$C$42, 74.8286, 74.8286) * CHOOSE(CONTROL!$C$21, $C$9, 100%, $E$9)</f>
        <v>74.828599999999994</v>
      </c>
      <c r="M817" s="14">
        <f>CHOOSE(CONTROL!$C$42, 72.6425, 72.6425) * CHOOSE(CONTROL!$C$21, $C$9, 100%, $E$9)</f>
        <v>72.642499999999998</v>
      </c>
      <c r="N817" s="14">
        <f>CHOOSE(CONTROL!$C$42, 72.6601, 72.6601) * CHOOSE(CONTROL!$C$21, $C$9, 100%, $E$9)</f>
        <v>72.6601</v>
      </c>
      <c r="O817" s="14">
        <f>CHOOSE(CONTROL!$C$42, 72.7281, 72.7281) * CHOOSE(CONTROL!$C$21, $C$9, 100%, $E$9)</f>
        <v>72.728099999999998</v>
      </c>
      <c r="P817" s="14">
        <f>CHOOSE(CONTROL!$C$42, 72.881, 72.881) * CHOOSE(CONTROL!$C$21, $C$9, 100%, $E$9)</f>
        <v>72.881</v>
      </c>
      <c r="Q817" s="14">
        <f>CHOOSE(CONTROL!$C$42, 73.3228, 73.3228) * CHOOSE(CONTROL!$C$21, $C$9, 100%, $E$9)</f>
        <v>73.322800000000001</v>
      </c>
      <c r="R817" s="14">
        <f>CHOOSE(CONTROL!$C$42, 74.0932, 74.0932) * CHOOSE(CONTROL!$C$21, $C$9, 100%, $E$9)</f>
        <v>74.093199999999996</v>
      </c>
      <c r="S817" s="14">
        <f>CHOOSE(CONTROL!$C$42, 71.2292, 71.2292) * CHOOSE(CONTROL!$C$21, $C$9, 100%, $E$9)</f>
        <v>71.229200000000006</v>
      </c>
      <c r="T81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17" s="57">
        <f>(1000*CHOOSE(CONTROL!$C$42, 695, 695)*CHOOSE(CONTROL!$C$42, 0.5599, 0.5599)*CHOOSE(CONTROL!$C$42, 31, 31))/1000000</f>
        <v>12.063045499999998</v>
      </c>
      <c r="V817" s="57">
        <f>(1000*CHOOSE(CONTROL!$C$42, 500, 500)*CHOOSE(CONTROL!$C$42, 0.275, 0.275)*CHOOSE(CONTROL!$C$42, 31, 31))/1000000</f>
        <v>4.2625000000000002</v>
      </c>
      <c r="W817" s="57">
        <f>(1000*CHOOSE(CONTROL!$C$42, 0.1146, 0.1146)*CHOOSE(CONTROL!$C$42, 121.5, 121.5)*CHOOSE(CONTROL!$C$42, 31, 31))/1000000</f>
        <v>0.43164089999999994</v>
      </c>
      <c r="X817" s="57">
        <f>(31*0.1790888*100000/1000000)+(31*0.2374*100000/1000000)</f>
        <v>1.2911152800000001</v>
      </c>
      <c r="Y817" s="57"/>
      <c r="Z817" s="14"/>
      <c r="AA817" s="56"/>
      <c r="AB817" s="50">
        <f>(B817*122.58+C817*297.941+D817*89.177+E817*40.302+F817*40+G817*160+H817*0+I817*100+J817*300)/(122.58+297.941+89.177+40.302+0+40+160+100+300)</f>
        <v>74.182706197739137</v>
      </c>
      <c r="AC817" s="45">
        <f>(M817*'RAP TEMPLATE-GAS AVAILABILITY'!O816+N817*'RAP TEMPLATE-GAS AVAILABILITY'!P816+O817*'RAP TEMPLATE-GAS AVAILABILITY'!Q816+P817*'RAP TEMPLATE-GAS AVAILABILITY'!R816)/('RAP TEMPLATE-GAS AVAILABILITY'!O816+'RAP TEMPLATE-GAS AVAILABILITY'!P816+'RAP TEMPLATE-GAS AVAILABILITY'!Q816+'RAP TEMPLATE-GAS AVAILABILITY'!R816)</f>
        <v>72.716626618705035</v>
      </c>
    </row>
    <row r="818" spans="1:29" ht="15.75" x14ac:dyDescent="0.25">
      <c r="A818" s="32">
        <v>65805</v>
      </c>
      <c r="B818" s="14">
        <f>CHOOSE(CONTROL!$C$42, 75.456, 75.456) * CHOOSE(CONTROL!$C$21, $C$9, 100%, $E$9)</f>
        <v>75.456000000000003</v>
      </c>
      <c r="C818" s="14">
        <f>CHOOSE(CONTROL!$C$42, 75.4611, 75.4611) * CHOOSE(CONTROL!$C$21, $C$9, 100%, $E$9)</f>
        <v>75.461100000000002</v>
      </c>
      <c r="D818" s="14">
        <f>CHOOSE(CONTROL!$C$42, 75.5379, 75.5379) * CHOOSE(CONTROL!$C$21, $C$9, 100%, $E$9)</f>
        <v>75.537899999999993</v>
      </c>
      <c r="E818" s="14">
        <f>CHOOSE(CONTROL!$C$42, 75.572, 75.572) * CHOOSE(CONTROL!$C$21, $C$9, 100%, $E$9)</f>
        <v>75.572000000000003</v>
      </c>
      <c r="F818" s="14">
        <f>CHOOSE(CONTROL!$C$42, 75.4803, 75.4803)*CHOOSE(CONTROL!$C$21, $C$9, 100%, $E$9)</f>
        <v>75.4803</v>
      </c>
      <c r="G818" s="14">
        <f>CHOOSE(CONTROL!$C$42, 75.4982, 75.4982)*CHOOSE(CONTROL!$C$21, $C$9, 100%, $E$9)</f>
        <v>75.498199999999997</v>
      </c>
      <c r="H818" s="14">
        <f>CHOOSE(CONTROL!$C$42, 75.5612, 75.5612) * CHOOSE(CONTROL!$C$21, $C$9, 100%, $E$9)</f>
        <v>75.561199999999999</v>
      </c>
      <c r="I818" s="14">
        <f>CHOOSE(CONTROL!$C$42, 75.726, 75.726)* CHOOSE(CONTROL!$C$21, $C$9, 100%, $E$9)</f>
        <v>75.725999999999999</v>
      </c>
      <c r="J818" s="14">
        <f>CHOOSE(CONTROL!$C$42, 75.4733, 75.4733)* CHOOSE(CONTROL!$C$21, $C$9, 100%, $E$9)</f>
        <v>75.473299999999995</v>
      </c>
      <c r="K818" s="53">
        <f>CHOOSE(CONTROL!$C$42, 75.7221, 75.7221) * CHOOSE(CONTROL!$C$21, $C$9, 100%, $E$9)</f>
        <v>75.722099999999998</v>
      </c>
      <c r="L818" s="14">
        <f>CHOOSE(CONTROL!$C$42, 76.1482, 76.1482) * CHOOSE(CONTROL!$C$21, $C$9, 100%, $E$9)</f>
        <v>76.148200000000003</v>
      </c>
      <c r="M818" s="14">
        <f>CHOOSE(CONTROL!$C$42, 73.9346, 73.9346) * CHOOSE(CONTROL!$C$21, $C$9, 100%, $E$9)</f>
        <v>73.934600000000003</v>
      </c>
      <c r="N818" s="14">
        <f>CHOOSE(CONTROL!$C$42, 73.9521, 73.9521) * CHOOSE(CONTROL!$C$21, $C$9, 100%, $E$9)</f>
        <v>73.952100000000002</v>
      </c>
      <c r="O818" s="14">
        <f>CHOOSE(CONTROL!$C$42, 74.0207, 74.0207) * CHOOSE(CONTROL!$C$21, $C$9, 100%, $E$9)</f>
        <v>74.020700000000005</v>
      </c>
      <c r="P818" s="14">
        <f>CHOOSE(CONTROL!$C$42, 74.1775, 74.1775) * CHOOSE(CONTROL!$C$21, $C$9, 100%, $E$9)</f>
        <v>74.177499999999995</v>
      </c>
      <c r="Q818" s="14">
        <f>CHOOSE(CONTROL!$C$42, 74.6154, 74.6154) * CHOOSE(CONTROL!$C$21, $C$9, 100%, $E$9)</f>
        <v>74.615399999999994</v>
      </c>
      <c r="R818" s="14">
        <f>CHOOSE(CONTROL!$C$42, 75.3889, 75.3889) * CHOOSE(CONTROL!$C$21, $C$9, 100%, $E$9)</f>
        <v>75.388900000000007</v>
      </c>
      <c r="S818" s="14">
        <f>CHOOSE(CONTROL!$C$42, 72.4971, 72.4971) * CHOOSE(CONTROL!$C$21, $C$9, 100%, $E$9)</f>
        <v>72.497100000000003</v>
      </c>
      <c r="T81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18" s="57">
        <f>(1000*CHOOSE(CONTROL!$C$42, 695, 695)*CHOOSE(CONTROL!$C$42, 0.5599, 0.5599)*CHOOSE(CONTROL!$C$42, 29, 29))/1000000</f>
        <v>11.284784499999999</v>
      </c>
      <c r="V818" s="57">
        <f>(1000*CHOOSE(CONTROL!$C$42, 500, 500)*CHOOSE(CONTROL!$C$42, 0.275, 0.275)*CHOOSE(CONTROL!$C$42, 29, 29))/1000000</f>
        <v>3.9874999999999998</v>
      </c>
      <c r="W818" s="57">
        <f>(1000*CHOOSE(CONTROL!$C$42, 0.1146, 0.1146)*CHOOSE(CONTROL!$C$42, 121.5, 121.5)*CHOOSE(CONTROL!$C$42, 29, 29))/1000000</f>
        <v>0.40379309999999996</v>
      </c>
      <c r="X818" s="57">
        <f>(29*0.1790888*100000/1000000)+(29*0.2374*100000/1000000)</f>
        <v>1.2078175199999999</v>
      </c>
      <c r="Y818" s="57"/>
      <c r="Z818" s="14"/>
      <c r="AA818" s="56"/>
      <c r="AB818" s="50">
        <f>(B818*122.58+C818*297.941+D818*89.177+E818*40.302+F818*40+G818*160+H818*0+I818*100+J818*300)/(122.58+297.941+89.177+40.302+0+40+160+100+300)</f>
        <v>75.502445328173906</v>
      </c>
      <c r="AC818" s="45">
        <f>(M818*'RAP TEMPLATE-GAS AVAILABILITY'!O817+N818*'RAP TEMPLATE-GAS AVAILABILITY'!P817+O818*'RAP TEMPLATE-GAS AVAILABILITY'!Q817+P818*'RAP TEMPLATE-GAS AVAILABILITY'!R817)/('RAP TEMPLATE-GAS AVAILABILITY'!O817+'RAP TEMPLATE-GAS AVAILABILITY'!P817+'RAP TEMPLATE-GAS AVAILABILITY'!Q817+'RAP TEMPLATE-GAS AVAILABILITY'!R817)</f>
        <v>74.009580575539573</v>
      </c>
    </row>
    <row r="819" spans="1:29" ht="15.75" x14ac:dyDescent="0.25">
      <c r="A819" s="32">
        <v>65836</v>
      </c>
      <c r="B819" s="14">
        <f>CHOOSE(CONTROL!$C$42, 73.314, 73.314) * CHOOSE(CONTROL!$C$21, $C$9, 100%, $E$9)</f>
        <v>73.313999999999993</v>
      </c>
      <c r="C819" s="14">
        <f>CHOOSE(CONTROL!$C$42, 73.3191, 73.3191) * CHOOSE(CONTROL!$C$21, $C$9, 100%, $E$9)</f>
        <v>73.319100000000006</v>
      </c>
      <c r="D819" s="14">
        <f>CHOOSE(CONTROL!$C$42, 73.3959, 73.3959) * CHOOSE(CONTROL!$C$21, $C$9, 100%, $E$9)</f>
        <v>73.395899999999997</v>
      </c>
      <c r="E819" s="14">
        <f>CHOOSE(CONTROL!$C$42, 73.43, 73.43) * CHOOSE(CONTROL!$C$21, $C$9, 100%, $E$9)</f>
        <v>73.430000000000007</v>
      </c>
      <c r="F819" s="14">
        <f>CHOOSE(CONTROL!$C$42, 73.3375, 73.3375)*CHOOSE(CONTROL!$C$21, $C$9, 100%, $E$9)</f>
        <v>73.337500000000006</v>
      </c>
      <c r="G819" s="14">
        <f>CHOOSE(CONTROL!$C$42, 73.3551, 73.3551)*CHOOSE(CONTROL!$C$21, $C$9, 100%, $E$9)</f>
        <v>73.355099999999993</v>
      </c>
      <c r="H819" s="14">
        <f>CHOOSE(CONTROL!$C$42, 73.4192, 73.4192) * CHOOSE(CONTROL!$C$21, $C$9, 100%, $E$9)</f>
        <v>73.419200000000004</v>
      </c>
      <c r="I819" s="14">
        <f>CHOOSE(CONTROL!$C$42, 73.5773, 73.5773)* CHOOSE(CONTROL!$C$21, $C$9, 100%, $E$9)</f>
        <v>73.577299999999994</v>
      </c>
      <c r="J819" s="14">
        <f>CHOOSE(CONTROL!$C$42, 73.3305, 73.3305)* CHOOSE(CONTROL!$C$21, $C$9, 100%, $E$9)</f>
        <v>73.330500000000001</v>
      </c>
      <c r="K819" s="53">
        <f>CHOOSE(CONTROL!$C$42, 73.5735, 73.5735) * CHOOSE(CONTROL!$C$21, $C$9, 100%, $E$9)</f>
        <v>73.573499999999996</v>
      </c>
      <c r="L819" s="14">
        <f>CHOOSE(CONTROL!$C$42, 74.0062, 74.0062) * CHOOSE(CONTROL!$C$21, $C$9, 100%, $E$9)</f>
        <v>74.006200000000007</v>
      </c>
      <c r="M819" s="14">
        <f>CHOOSE(CONTROL!$C$42, 71.8357, 71.8357) * CHOOSE(CONTROL!$C$21, $C$9, 100%, $E$9)</f>
        <v>71.835700000000003</v>
      </c>
      <c r="N819" s="14">
        <f>CHOOSE(CONTROL!$C$42, 71.853, 71.853) * CHOOSE(CONTROL!$C$21, $C$9, 100%, $E$9)</f>
        <v>71.852999999999994</v>
      </c>
      <c r="O819" s="14">
        <f>CHOOSE(CONTROL!$C$42, 71.9226, 71.9226) * CHOOSE(CONTROL!$C$21, $C$9, 100%, $E$9)</f>
        <v>71.922600000000003</v>
      </c>
      <c r="P819" s="14">
        <f>CHOOSE(CONTROL!$C$42, 72.0729, 72.0729) * CHOOSE(CONTROL!$C$21, $C$9, 100%, $E$9)</f>
        <v>72.072900000000004</v>
      </c>
      <c r="Q819" s="14">
        <f>CHOOSE(CONTROL!$C$42, 72.5173, 72.5173) * CHOOSE(CONTROL!$C$21, $C$9, 100%, $E$9)</f>
        <v>72.517300000000006</v>
      </c>
      <c r="R819" s="14">
        <f>CHOOSE(CONTROL!$C$42, 73.2856, 73.2856) * CHOOSE(CONTROL!$C$21, $C$9, 100%, $E$9)</f>
        <v>73.285600000000002</v>
      </c>
      <c r="S819" s="14">
        <f>CHOOSE(CONTROL!$C$42, 70.4389, 70.4389) * CHOOSE(CONTROL!$C$21, $C$9, 100%, $E$9)</f>
        <v>70.438900000000004</v>
      </c>
      <c r="T81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19" s="57">
        <f>(1000*CHOOSE(CONTROL!$C$42, 695, 695)*CHOOSE(CONTROL!$C$42, 0.5599, 0.5599)*CHOOSE(CONTROL!$C$42, 31, 31))/1000000</f>
        <v>12.063045499999998</v>
      </c>
      <c r="V819" s="57">
        <f>(1000*CHOOSE(CONTROL!$C$42, 500, 500)*CHOOSE(CONTROL!$C$42, 0.275, 0.275)*CHOOSE(CONTROL!$C$42, 31, 31))/1000000</f>
        <v>4.2625000000000002</v>
      </c>
      <c r="W819" s="57">
        <f>(1000*CHOOSE(CONTROL!$C$42, 0.1146, 0.1146)*CHOOSE(CONTROL!$C$42, 121.5, 121.5)*CHOOSE(CONTROL!$C$42, 31, 31))/1000000</f>
        <v>0.43164089999999994</v>
      </c>
      <c r="X819" s="57">
        <f>(31*0.1790888*100000/1000000)+(31*0.2374*100000/1000000)</f>
        <v>1.2911152800000001</v>
      </c>
      <c r="Y819" s="57"/>
      <c r="Z819" s="14"/>
      <c r="AA819" s="56"/>
      <c r="AB819" s="50">
        <f>(B819*122.58+C819*297.941+D819*89.177+E819*40.302+F819*40+G819*160+H819*0+I819*100+J819*300)/(122.58+297.941+89.177+40.302+0+40+160+100+300)</f>
        <v>73.359473154260883</v>
      </c>
      <c r="AC819" s="45">
        <f>(M819*'RAP TEMPLATE-GAS AVAILABILITY'!O818+N819*'RAP TEMPLATE-GAS AVAILABILITY'!P818+O819*'RAP TEMPLATE-GAS AVAILABILITY'!Q818+P819*'RAP TEMPLATE-GAS AVAILABILITY'!R818)/('RAP TEMPLATE-GAS AVAILABILITY'!O818+'RAP TEMPLATE-GAS AVAILABILITY'!P818+'RAP TEMPLATE-GAS AVAILABILITY'!Q818+'RAP TEMPLATE-GAS AVAILABILITY'!R818)</f>
        <v>71.91021151079137</v>
      </c>
    </row>
    <row r="820" spans="1:29" ht="15.75" x14ac:dyDescent="0.25">
      <c r="A820" s="32">
        <v>65866</v>
      </c>
      <c r="B820" s="14">
        <f>CHOOSE(CONTROL!$C$42, 73.0955, 73.0955) * CHOOSE(CONTROL!$C$21, $C$9, 100%, $E$9)</f>
        <v>73.095500000000001</v>
      </c>
      <c r="C820" s="14">
        <f>CHOOSE(CONTROL!$C$42, 73.1, 73.1) * CHOOSE(CONTROL!$C$21, $C$9, 100%, $E$9)</f>
        <v>73.099999999999994</v>
      </c>
      <c r="D820" s="14">
        <f>CHOOSE(CONTROL!$C$42, 73.3237, 73.3237) * CHOOSE(CONTROL!$C$21, $C$9, 100%, $E$9)</f>
        <v>73.323700000000002</v>
      </c>
      <c r="E820" s="14">
        <f>CHOOSE(CONTROL!$C$42, 73.3559, 73.3559) * CHOOSE(CONTROL!$C$21, $C$9, 100%, $E$9)</f>
        <v>73.355900000000005</v>
      </c>
      <c r="F820" s="14">
        <f>CHOOSE(CONTROL!$C$42, 73.1232, 73.1232)*CHOOSE(CONTROL!$C$21, $C$9, 100%, $E$9)</f>
        <v>73.123199999999997</v>
      </c>
      <c r="G820" s="14">
        <f>CHOOSE(CONTROL!$C$42, 73.1401, 73.1401)*CHOOSE(CONTROL!$C$21, $C$9, 100%, $E$9)</f>
        <v>73.140100000000004</v>
      </c>
      <c r="H820" s="14">
        <f>CHOOSE(CONTROL!$C$42, 73.3456, 73.3456) * CHOOSE(CONTROL!$C$21, $C$9, 100%, $E$9)</f>
        <v>73.345600000000005</v>
      </c>
      <c r="I820" s="14">
        <f>CHOOSE(CONTROL!$C$42, 73.3537, 73.3537)* CHOOSE(CONTROL!$C$21, $C$9, 100%, $E$9)</f>
        <v>73.353700000000003</v>
      </c>
      <c r="J820" s="14">
        <f>CHOOSE(CONTROL!$C$42, 73.1162, 73.1162)* CHOOSE(CONTROL!$C$21, $C$9, 100%, $E$9)</f>
        <v>73.116200000000006</v>
      </c>
      <c r="K820" s="53">
        <f>CHOOSE(CONTROL!$C$42, 73.3499, 73.3499) * CHOOSE(CONTROL!$C$21, $C$9, 100%, $E$9)</f>
        <v>73.349900000000005</v>
      </c>
      <c r="L820" s="14">
        <f>CHOOSE(CONTROL!$C$42, 73.9326, 73.9326) * CHOOSE(CONTROL!$C$21, $C$9, 100%, $E$9)</f>
        <v>73.932599999999994</v>
      </c>
      <c r="M820" s="14">
        <f>CHOOSE(CONTROL!$C$42, 71.6258, 71.6258) * CHOOSE(CONTROL!$C$21, $C$9, 100%, $E$9)</f>
        <v>71.625799999999998</v>
      </c>
      <c r="N820" s="14">
        <f>CHOOSE(CONTROL!$C$42, 71.6424, 71.6424) * CHOOSE(CONTROL!$C$21, $C$9, 100%, $E$9)</f>
        <v>71.642399999999995</v>
      </c>
      <c r="O820" s="14">
        <f>CHOOSE(CONTROL!$C$42, 71.8505, 71.8505) * CHOOSE(CONTROL!$C$21, $C$9, 100%, $E$9)</f>
        <v>71.850499999999997</v>
      </c>
      <c r="P820" s="14">
        <f>CHOOSE(CONTROL!$C$42, 71.8539, 71.8539) * CHOOSE(CONTROL!$C$21, $C$9, 100%, $E$9)</f>
        <v>71.853899999999996</v>
      </c>
      <c r="Q820" s="14">
        <f>CHOOSE(CONTROL!$C$42, 72.4452, 72.4452) * CHOOSE(CONTROL!$C$21, $C$9, 100%, $E$9)</f>
        <v>72.4452</v>
      </c>
      <c r="R820" s="14">
        <f>CHOOSE(CONTROL!$C$42, 73.2133, 73.2133) * CHOOSE(CONTROL!$C$21, $C$9, 100%, $E$9)</f>
        <v>73.213300000000004</v>
      </c>
      <c r="S820" s="14">
        <f>CHOOSE(CONTROL!$C$42, 70.2282, 70.2282) * CHOOSE(CONTROL!$C$21, $C$9, 100%, $E$9)</f>
        <v>70.228200000000001</v>
      </c>
      <c r="T82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20" s="57">
        <f>(1000*CHOOSE(CONTROL!$C$42, 695, 695)*CHOOSE(CONTROL!$C$42, 0.5599, 0.5599)*CHOOSE(CONTROL!$C$42, 30, 30))/1000000</f>
        <v>11.673914999999997</v>
      </c>
      <c r="V820" s="57">
        <f>(1000*CHOOSE(CONTROL!$C$42, 500, 500)*CHOOSE(CONTROL!$C$42, 0.275, 0.275)*CHOOSE(CONTROL!$C$42, 30, 30))/1000000</f>
        <v>4.125</v>
      </c>
      <c r="W820" s="57">
        <f>(1000*CHOOSE(CONTROL!$C$42, 0.1146, 0.1146)*CHOOSE(CONTROL!$C$42, 121.5, 121.5)*CHOOSE(CONTROL!$C$42, 30, 30))/1000000</f>
        <v>0.417717</v>
      </c>
      <c r="X820" s="57">
        <f>(30*0.1790888*245000/1000000)+(30*0.2374*100000/1000000)</f>
        <v>2.0285026799999999</v>
      </c>
      <c r="Y820" s="57"/>
      <c r="Z820" s="14"/>
      <c r="AA820" s="56"/>
      <c r="AB820" s="50">
        <f>(B820*141.293+C820*267.993+D820*115.016+E820*89.698+F820*40+G820*185+H820*0+I820*100+J820*300)/(141.293+267.993+115.016+89.698+0+40+185+100+300)</f>
        <v>73.16991402655367</v>
      </c>
      <c r="AC820" s="45">
        <f>(M820*'RAP TEMPLATE-GAS AVAILABILITY'!O819+N820*'RAP TEMPLATE-GAS AVAILABILITY'!P819+O820*'RAP TEMPLATE-GAS AVAILABILITY'!Q819+P820*'RAP TEMPLATE-GAS AVAILABILITY'!R819)/('RAP TEMPLATE-GAS AVAILABILITY'!O819+'RAP TEMPLATE-GAS AVAILABILITY'!P819+'RAP TEMPLATE-GAS AVAILABILITY'!Q819+'RAP TEMPLATE-GAS AVAILABILITY'!R819)</f>
        <v>71.761417985611502</v>
      </c>
    </row>
    <row r="821" spans="1:29" ht="15.75" x14ac:dyDescent="0.25">
      <c r="A821" s="32">
        <v>65897</v>
      </c>
      <c r="B821" s="14">
        <f>CHOOSE(CONTROL!$C$42, 73.742, 73.742) * CHOOSE(CONTROL!$C$21, $C$9, 100%, $E$9)</f>
        <v>73.742000000000004</v>
      </c>
      <c r="C821" s="14">
        <f>CHOOSE(CONTROL!$C$42, 73.75, 73.75) * CHOOSE(CONTROL!$C$21, $C$9, 100%, $E$9)</f>
        <v>73.75</v>
      </c>
      <c r="D821" s="14">
        <f>CHOOSE(CONTROL!$C$42, 73.9706, 73.9706) * CHOOSE(CONTROL!$C$21, $C$9, 100%, $E$9)</f>
        <v>73.970600000000005</v>
      </c>
      <c r="E821" s="14">
        <f>CHOOSE(CONTROL!$C$42, 74.0021, 74.0021) * CHOOSE(CONTROL!$C$21, $C$9, 100%, $E$9)</f>
        <v>74.002099999999999</v>
      </c>
      <c r="F821" s="14">
        <f>CHOOSE(CONTROL!$C$42, 73.7683, 73.7683)*CHOOSE(CONTROL!$C$21, $C$9, 100%, $E$9)</f>
        <v>73.768299999999996</v>
      </c>
      <c r="G821" s="14">
        <f>CHOOSE(CONTROL!$C$42, 73.7854, 73.7854)*CHOOSE(CONTROL!$C$21, $C$9, 100%, $E$9)</f>
        <v>73.785399999999996</v>
      </c>
      <c r="H821" s="14">
        <f>CHOOSE(CONTROL!$C$42, 73.9907, 73.9907) * CHOOSE(CONTROL!$C$21, $C$9, 100%, $E$9)</f>
        <v>73.990700000000004</v>
      </c>
      <c r="I821" s="14">
        <f>CHOOSE(CONTROL!$C$42, 74.0008, 74.0008)* CHOOSE(CONTROL!$C$21, $C$9, 100%, $E$9)</f>
        <v>74.000799999999998</v>
      </c>
      <c r="J821" s="14">
        <f>CHOOSE(CONTROL!$C$42, 73.7613, 73.7613)* CHOOSE(CONTROL!$C$21, $C$9, 100%, $E$9)</f>
        <v>73.761300000000006</v>
      </c>
      <c r="K821" s="53">
        <f>CHOOSE(CONTROL!$C$42, 73.9969, 73.9969) * CHOOSE(CONTROL!$C$21, $C$9, 100%, $E$9)</f>
        <v>73.996899999999997</v>
      </c>
      <c r="L821" s="14">
        <f>CHOOSE(CONTROL!$C$42, 74.5777, 74.5777) * CHOOSE(CONTROL!$C$21, $C$9, 100%, $E$9)</f>
        <v>74.577699999999993</v>
      </c>
      <c r="M821" s="14">
        <f>CHOOSE(CONTROL!$C$42, 72.2576, 72.2576) * CHOOSE(CONTROL!$C$21, $C$9, 100%, $E$9)</f>
        <v>72.257599999999996</v>
      </c>
      <c r="N821" s="14">
        <f>CHOOSE(CONTROL!$C$42, 72.2744, 72.2744) * CHOOSE(CONTROL!$C$21, $C$9, 100%, $E$9)</f>
        <v>72.2744</v>
      </c>
      <c r="O821" s="14">
        <f>CHOOSE(CONTROL!$C$42, 72.4824, 72.4824) * CHOOSE(CONTROL!$C$21, $C$9, 100%, $E$9)</f>
        <v>72.482399999999998</v>
      </c>
      <c r="P821" s="14">
        <f>CHOOSE(CONTROL!$C$42, 72.4877, 72.4877) * CHOOSE(CONTROL!$C$21, $C$9, 100%, $E$9)</f>
        <v>72.487700000000004</v>
      </c>
      <c r="Q821" s="14">
        <f>CHOOSE(CONTROL!$C$42, 73.0771, 73.0771) * CHOOSE(CONTROL!$C$21, $C$9, 100%, $E$9)</f>
        <v>73.077100000000002</v>
      </c>
      <c r="R821" s="14">
        <f>CHOOSE(CONTROL!$C$42, 73.8468, 73.8468) * CHOOSE(CONTROL!$C$21, $C$9, 100%, $E$9)</f>
        <v>73.846800000000002</v>
      </c>
      <c r="S821" s="14">
        <f>CHOOSE(CONTROL!$C$42, 70.848, 70.848) * CHOOSE(CONTROL!$C$21, $C$9, 100%, $E$9)</f>
        <v>70.847999999999999</v>
      </c>
      <c r="T82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21" s="57">
        <f>(1000*CHOOSE(CONTROL!$C$42, 695, 695)*CHOOSE(CONTROL!$C$42, 0.5599, 0.5599)*CHOOSE(CONTROL!$C$42, 31, 31))/1000000</f>
        <v>12.063045499999998</v>
      </c>
      <c r="V821" s="57">
        <f>(1000*CHOOSE(CONTROL!$C$42, 500, 500)*CHOOSE(CONTROL!$C$42, 0.275, 0.275)*CHOOSE(CONTROL!$C$42, 31, 31))/1000000</f>
        <v>4.2625000000000002</v>
      </c>
      <c r="W821" s="57">
        <f>(1000*CHOOSE(CONTROL!$C$42, 0.1146, 0.1146)*CHOOSE(CONTROL!$C$42, 121.5, 121.5)*CHOOSE(CONTROL!$C$42, 31, 31))/1000000</f>
        <v>0.43164089999999994</v>
      </c>
      <c r="X821" s="57">
        <f>(31*0.1790888*245000/1000000)+(31*0.2374*100000/1000000)</f>
        <v>2.0961194359999999</v>
      </c>
      <c r="Y821" s="57"/>
      <c r="Z821" s="14"/>
      <c r="AA821" s="56"/>
      <c r="AB821" s="50">
        <f>(B821*194.205+C821*267.466+D821*133.845+E821*53.484+F821*40+G821*185+H821*0+I821*100+J821*300)/(194.205+267.466+133.845+53.484+0+40+185+100+300)</f>
        <v>73.81060194929357</v>
      </c>
      <c r="AC821" s="45">
        <f>(M821*'RAP TEMPLATE-GAS AVAILABILITY'!O820+N821*'RAP TEMPLATE-GAS AVAILABILITY'!P820+O821*'RAP TEMPLATE-GAS AVAILABILITY'!Q820+P821*'RAP TEMPLATE-GAS AVAILABILITY'!R820)/('RAP TEMPLATE-GAS AVAILABILITY'!O820+'RAP TEMPLATE-GAS AVAILABILITY'!P820+'RAP TEMPLATE-GAS AVAILABILITY'!Q820+'RAP TEMPLATE-GAS AVAILABILITY'!R820)</f>
        <v>72.393562589928052</v>
      </c>
    </row>
    <row r="822" spans="1:29" ht="15.75" x14ac:dyDescent="0.25">
      <c r="A822" s="32">
        <v>65927</v>
      </c>
      <c r="B822" s="14">
        <f>CHOOSE(CONTROL!$C$42, 75.8335, 75.8335) * CHOOSE(CONTROL!$C$21, $C$9, 100%, $E$9)</f>
        <v>75.833500000000001</v>
      </c>
      <c r="C822" s="14">
        <f>CHOOSE(CONTROL!$C$42, 75.8415, 75.8415) * CHOOSE(CONTROL!$C$21, $C$9, 100%, $E$9)</f>
        <v>75.841499999999996</v>
      </c>
      <c r="D822" s="14">
        <f>CHOOSE(CONTROL!$C$42, 76.0621, 76.0621) * CHOOSE(CONTROL!$C$21, $C$9, 100%, $E$9)</f>
        <v>76.062100000000001</v>
      </c>
      <c r="E822" s="14">
        <f>CHOOSE(CONTROL!$C$42, 76.0935, 76.0935) * CHOOSE(CONTROL!$C$21, $C$9, 100%, $E$9)</f>
        <v>76.093500000000006</v>
      </c>
      <c r="F822" s="14">
        <f>CHOOSE(CONTROL!$C$42, 75.8601, 75.8601)*CHOOSE(CONTROL!$C$21, $C$9, 100%, $E$9)</f>
        <v>75.860100000000003</v>
      </c>
      <c r="G822" s="14">
        <f>CHOOSE(CONTROL!$C$42, 75.8773, 75.8773)*CHOOSE(CONTROL!$C$21, $C$9, 100%, $E$9)</f>
        <v>75.877300000000005</v>
      </c>
      <c r="H822" s="14">
        <f>CHOOSE(CONTROL!$C$42, 76.0822, 76.0822) * CHOOSE(CONTROL!$C$21, $C$9, 100%, $E$9)</f>
        <v>76.0822</v>
      </c>
      <c r="I822" s="14">
        <f>CHOOSE(CONTROL!$C$42, 76.0988, 76.0988)* CHOOSE(CONTROL!$C$21, $C$9, 100%, $E$9)</f>
        <v>76.098799999999997</v>
      </c>
      <c r="J822" s="14">
        <f>CHOOSE(CONTROL!$C$42, 75.8531, 75.8531)* CHOOSE(CONTROL!$C$21, $C$9, 100%, $E$9)</f>
        <v>75.853099999999998</v>
      </c>
      <c r="K822" s="53">
        <f>CHOOSE(CONTROL!$C$42, 76.0949, 76.0949) * CHOOSE(CONTROL!$C$21, $C$9, 100%, $E$9)</f>
        <v>76.094899999999996</v>
      </c>
      <c r="L822" s="14">
        <f>CHOOSE(CONTROL!$C$42, 76.6692, 76.6692) * CHOOSE(CONTROL!$C$21, $C$9, 100%, $E$9)</f>
        <v>76.669200000000004</v>
      </c>
      <c r="M822" s="14">
        <f>CHOOSE(CONTROL!$C$42, 74.3066, 74.3066) * CHOOSE(CONTROL!$C$21, $C$9, 100%, $E$9)</f>
        <v>74.306600000000003</v>
      </c>
      <c r="N822" s="14">
        <f>CHOOSE(CONTROL!$C$42, 74.3234, 74.3234) * CHOOSE(CONTROL!$C$21, $C$9, 100%, $E$9)</f>
        <v>74.323400000000007</v>
      </c>
      <c r="O822" s="14">
        <f>CHOOSE(CONTROL!$C$42, 74.531, 74.531) * CHOOSE(CONTROL!$C$21, $C$9, 100%, $E$9)</f>
        <v>74.531000000000006</v>
      </c>
      <c r="P822" s="14">
        <f>CHOOSE(CONTROL!$C$42, 74.5426, 74.5426) * CHOOSE(CONTROL!$C$21, $C$9, 100%, $E$9)</f>
        <v>74.542599999999993</v>
      </c>
      <c r="Q822" s="14">
        <f>CHOOSE(CONTROL!$C$42, 75.1257, 75.1257) * CHOOSE(CONTROL!$C$21, $C$9, 100%, $E$9)</f>
        <v>75.125699999999995</v>
      </c>
      <c r="R822" s="14">
        <f>CHOOSE(CONTROL!$C$42, 75.9005, 75.9005) * CHOOSE(CONTROL!$C$21, $C$9, 100%, $E$9)</f>
        <v>75.900499999999994</v>
      </c>
      <c r="S822" s="14">
        <f>CHOOSE(CONTROL!$C$42, 72.8577, 72.8577) * CHOOSE(CONTROL!$C$21, $C$9, 100%, $E$9)</f>
        <v>72.857699999999994</v>
      </c>
      <c r="T82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22" s="57">
        <f>(1000*CHOOSE(CONTROL!$C$42, 695, 695)*CHOOSE(CONTROL!$C$42, 0.5599, 0.5599)*CHOOSE(CONTROL!$C$42, 30, 30))/1000000</f>
        <v>11.673914999999997</v>
      </c>
      <c r="V822" s="57">
        <f>(1000*CHOOSE(CONTROL!$C$42, 500, 500)*CHOOSE(CONTROL!$C$42, 0.275, 0.275)*CHOOSE(CONTROL!$C$42, 30, 30))/1000000</f>
        <v>4.125</v>
      </c>
      <c r="W822" s="57">
        <f>(1000*CHOOSE(CONTROL!$C$42, 0.1146, 0.1146)*CHOOSE(CONTROL!$C$42, 121.5, 121.5)*CHOOSE(CONTROL!$C$42, 30, 30))/1000000</f>
        <v>0.417717</v>
      </c>
      <c r="X822" s="57">
        <f>(30*0.1790888*245000/1000000)+(30*0.2374*100000/1000000)</f>
        <v>2.0285026799999999</v>
      </c>
      <c r="Y822" s="57"/>
      <c r="Z822" s="14"/>
      <c r="AA822" s="56"/>
      <c r="AB822" s="50">
        <f>(B822*194.205+C822*267.466+D822*133.845+E822*53.484+F822*40+G822*185+H822*0+I822*100+J822*300)/(194.205+267.466+133.845+53.484+0+40+185+100+300)</f>
        <v>75.902746102825745</v>
      </c>
      <c r="AC822" s="45">
        <f>(M822*'RAP TEMPLATE-GAS AVAILABILITY'!O821+N822*'RAP TEMPLATE-GAS AVAILABILITY'!P821+O822*'RAP TEMPLATE-GAS AVAILABILITY'!Q821+P822*'RAP TEMPLATE-GAS AVAILABILITY'!R821)/('RAP TEMPLATE-GAS AVAILABILITY'!O821+'RAP TEMPLATE-GAS AVAILABILITY'!P821+'RAP TEMPLATE-GAS AVAILABILITY'!Q821+'RAP TEMPLATE-GAS AVAILABILITY'!R821)</f>
        <v>74.443230215827342</v>
      </c>
    </row>
    <row r="823" spans="1:29" ht="15.75" x14ac:dyDescent="0.25">
      <c r="A823" s="32">
        <v>65958</v>
      </c>
      <c r="B823" s="14">
        <f>CHOOSE(CONTROL!$C$42, 74.3788, 74.3788) * CHOOSE(CONTROL!$C$21, $C$9, 100%, $E$9)</f>
        <v>74.378799999999998</v>
      </c>
      <c r="C823" s="14">
        <f>CHOOSE(CONTROL!$C$42, 74.3869, 74.3869) * CHOOSE(CONTROL!$C$21, $C$9, 100%, $E$9)</f>
        <v>74.386899999999997</v>
      </c>
      <c r="D823" s="14">
        <f>CHOOSE(CONTROL!$C$42, 74.6074, 74.6074) * CHOOSE(CONTROL!$C$21, $C$9, 100%, $E$9)</f>
        <v>74.607399999999998</v>
      </c>
      <c r="E823" s="14">
        <f>CHOOSE(CONTROL!$C$42, 74.6389, 74.6389) * CHOOSE(CONTROL!$C$21, $C$9, 100%, $E$9)</f>
        <v>74.638900000000007</v>
      </c>
      <c r="F823" s="14">
        <f>CHOOSE(CONTROL!$C$42, 74.4059, 74.4059)*CHOOSE(CONTROL!$C$21, $C$9, 100%, $E$9)</f>
        <v>74.405900000000003</v>
      </c>
      <c r="G823" s="14">
        <f>CHOOSE(CONTROL!$C$42, 74.4232, 74.4232)*CHOOSE(CONTROL!$C$21, $C$9, 100%, $E$9)</f>
        <v>74.423199999999994</v>
      </c>
      <c r="H823" s="14">
        <f>CHOOSE(CONTROL!$C$42, 74.6275, 74.6275) * CHOOSE(CONTROL!$C$21, $C$9, 100%, $E$9)</f>
        <v>74.627499999999998</v>
      </c>
      <c r="I823" s="14">
        <f>CHOOSE(CONTROL!$C$42, 74.6397, 74.6397)* CHOOSE(CONTROL!$C$21, $C$9, 100%, $E$9)</f>
        <v>74.639700000000005</v>
      </c>
      <c r="J823" s="14">
        <f>CHOOSE(CONTROL!$C$42, 74.3989, 74.3989)* CHOOSE(CONTROL!$C$21, $C$9, 100%, $E$9)</f>
        <v>74.398899999999998</v>
      </c>
      <c r="K823" s="53">
        <f>CHOOSE(CONTROL!$C$42, 74.6358, 74.6358) * CHOOSE(CONTROL!$C$21, $C$9, 100%, $E$9)</f>
        <v>74.635800000000003</v>
      </c>
      <c r="L823" s="14">
        <f>CHOOSE(CONTROL!$C$42, 75.2145, 75.2145) * CHOOSE(CONTROL!$C$21, $C$9, 100%, $E$9)</f>
        <v>75.214500000000001</v>
      </c>
      <c r="M823" s="14">
        <f>CHOOSE(CONTROL!$C$42, 72.8822, 72.8822) * CHOOSE(CONTROL!$C$21, $C$9, 100%, $E$9)</f>
        <v>72.882199999999997</v>
      </c>
      <c r="N823" s="14">
        <f>CHOOSE(CONTROL!$C$42, 72.8992, 72.8992) * CHOOSE(CONTROL!$C$21, $C$9, 100%, $E$9)</f>
        <v>72.899199999999993</v>
      </c>
      <c r="O823" s="14">
        <f>CHOOSE(CONTROL!$C$42, 73.1062, 73.1062) * CHOOSE(CONTROL!$C$21, $C$9, 100%, $E$9)</f>
        <v>73.106200000000001</v>
      </c>
      <c r="P823" s="14">
        <f>CHOOSE(CONTROL!$C$42, 73.1134, 73.1134) * CHOOSE(CONTROL!$C$21, $C$9, 100%, $E$9)</f>
        <v>73.113399999999999</v>
      </c>
      <c r="Q823" s="14">
        <f>CHOOSE(CONTROL!$C$42, 73.7009, 73.7009) * CHOOSE(CONTROL!$C$21, $C$9, 100%, $E$9)</f>
        <v>73.700900000000004</v>
      </c>
      <c r="R823" s="14">
        <f>CHOOSE(CONTROL!$C$42, 74.4721, 74.4721) * CHOOSE(CONTROL!$C$21, $C$9, 100%, $E$9)</f>
        <v>74.472099999999998</v>
      </c>
      <c r="S823" s="14">
        <f>CHOOSE(CONTROL!$C$42, 71.46, 71.46) * CHOOSE(CONTROL!$C$21, $C$9, 100%, $E$9)</f>
        <v>71.459999999999994</v>
      </c>
      <c r="T82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23" s="57">
        <f>(1000*CHOOSE(CONTROL!$C$42, 695, 695)*CHOOSE(CONTROL!$C$42, 0.5599, 0.5599)*CHOOSE(CONTROL!$C$42, 31, 31))/1000000</f>
        <v>12.063045499999998</v>
      </c>
      <c r="V823" s="57">
        <f>(1000*CHOOSE(CONTROL!$C$42, 500, 500)*CHOOSE(CONTROL!$C$42, 0.275, 0.275)*CHOOSE(CONTROL!$C$42, 31, 31))/1000000</f>
        <v>4.2625000000000002</v>
      </c>
      <c r="W823" s="57">
        <f>(1000*CHOOSE(CONTROL!$C$42, 0.1146, 0.1146)*CHOOSE(CONTROL!$C$42, 121.5, 121.5)*CHOOSE(CONTROL!$C$42, 31, 31))/1000000</f>
        <v>0.43164089999999994</v>
      </c>
      <c r="X823" s="57">
        <f>(31*0.1790888*245000/1000000)+(31*0.2374*100000/1000000)</f>
        <v>2.0961194359999999</v>
      </c>
      <c r="Y823" s="57"/>
      <c r="Z823" s="14"/>
      <c r="AA823" s="56"/>
      <c r="AB823" s="50">
        <f>(B823*194.205+C823*267.466+D823*133.845+E823*53.484+F823*40+G823*185+H823*0+I823*100+J823*300)/(194.205+267.466+133.845+53.484+0+40+185+100+300)</f>
        <v>74.447946491365769</v>
      </c>
      <c r="AC823" s="45">
        <f>(M823*'RAP TEMPLATE-GAS AVAILABILITY'!O822+N823*'RAP TEMPLATE-GAS AVAILABILITY'!P822+O823*'RAP TEMPLATE-GAS AVAILABILITY'!Q822+P823*'RAP TEMPLATE-GAS AVAILABILITY'!R822)/('RAP TEMPLATE-GAS AVAILABILITY'!O822+'RAP TEMPLATE-GAS AVAILABILITY'!P822+'RAP TEMPLATE-GAS AVAILABILITY'!Q822+'RAP TEMPLATE-GAS AVAILABILITY'!R822)</f>
        <v>73.017969784172664</v>
      </c>
    </row>
    <row r="824" spans="1:29" ht="15.75" x14ac:dyDescent="0.25">
      <c r="A824" s="32">
        <v>65989</v>
      </c>
      <c r="B824" s="14">
        <f>CHOOSE(CONTROL!$C$42, 70.7055, 70.7055) * CHOOSE(CONTROL!$C$21, $C$9, 100%, $E$9)</f>
        <v>70.705500000000001</v>
      </c>
      <c r="C824" s="14">
        <f>CHOOSE(CONTROL!$C$42, 70.7135, 70.7135) * CHOOSE(CONTROL!$C$21, $C$9, 100%, $E$9)</f>
        <v>70.713499999999996</v>
      </c>
      <c r="D824" s="14">
        <f>CHOOSE(CONTROL!$C$42, 70.9341, 70.9341) * CHOOSE(CONTROL!$C$21, $C$9, 100%, $E$9)</f>
        <v>70.934100000000001</v>
      </c>
      <c r="E824" s="14">
        <f>CHOOSE(CONTROL!$C$42, 70.9655, 70.9655) * CHOOSE(CONTROL!$C$21, $C$9, 100%, $E$9)</f>
        <v>70.965500000000006</v>
      </c>
      <c r="F824" s="14">
        <f>CHOOSE(CONTROL!$C$42, 70.7328, 70.7328)*CHOOSE(CONTROL!$C$21, $C$9, 100%, $E$9)</f>
        <v>70.732799999999997</v>
      </c>
      <c r="G824" s="14">
        <f>CHOOSE(CONTROL!$C$42, 70.7502, 70.7502)*CHOOSE(CONTROL!$C$21, $C$9, 100%, $E$9)</f>
        <v>70.750200000000007</v>
      </c>
      <c r="H824" s="14">
        <f>CHOOSE(CONTROL!$C$42, 70.9542, 70.9542) * CHOOSE(CONTROL!$C$21, $C$9, 100%, $E$9)</f>
        <v>70.9542</v>
      </c>
      <c r="I824" s="14">
        <f>CHOOSE(CONTROL!$C$42, 70.9548, 70.9548)* CHOOSE(CONTROL!$C$21, $C$9, 100%, $E$9)</f>
        <v>70.954800000000006</v>
      </c>
      <c r="J824" s="14">
        <f>CHOOSE(CONTROL!$C$42, 70.7258, 70.7258)* CHOOSE(CONTROL!$C$21, $C$9, 100%, $E$9)</f>
        <v>70.725800000000007</v>
      </c>
      <c r="K824" s="53">
        <f>CHOOSE(CONTROL!$C$42, 70.9509, 70.9509) * CHOOSE(CONTROL!$C$21, $C$9, 100%, $E$9)</f>
        <v>70.950900000000004</v>
      </c>
      <c r="L824" s="14">
        <f>CHOOSE(CONTROL!$C$42, 71.5412, 71.5412) * CHOOSE(CONTROL!$C$21, $C$9, 100%, $E$9)</f>
        <v>71.541200000000003</v>
      </c>
      <c r="M824" s="14">
        <f>CHOOSE(CONTROL!$C$42, 69.2844, 69.2844) * CHOOSE(CONTROL!$C$21, $C$9, 100%, $E$9)</f>
        <v>69.284400000000005</v>
      </c>
      <c r="N824" s="14">
        <f>CHOOSE(CONTROL!$C$42, 69.3014, 69.3014) * CHOOSE(CONTROL!$C$21, $C$9, 100%, $E$9)</f>
        <v>69.301400000000001</v>
      </c>
      <c r="O824" s="14">
        <f>CHOOSE(CONTROL!$C$42, 69.508, 69.508) * CHOOSE(CONTROL!$C$21, $C$9, 100%, $E$9)</f>
        <v>69.507999999999996</v>
      </c>
      <c r="P824" s="14">
        <f>CHOOSE(CONTROL!$C$42, 69.5043, 69.5043) * CHOOSE(CONTROL!$C$21, $C$9, 100%, $E$9)</f>
        <v>69.504300000000001</v>
      </c>
      <c r="Q824" s="14">
        <f>CHOOSE(CONTROL!$C$42, 70.1027, 70.1027) * CHOOSE(CONTROL!$C$21, $C$9, 100%, $E$9)</f>
        <v>70.102699999999999</v>
      </c>
      <c r="R824" s="14">
        <f>CHOOSE(CONTROL!$C$42, 70.865, 70.865) * CHOOSE(CONTROL!$C$21, $C$9, 100%, $E$9)</f>
        <v>70.864999999999995</v>
      </c>
      <c r="S824" s="14">
        <f>CHOOSE(CONTROL!$C$42, 67.9302, 67.9302) * CHOOSE(CONTROL!$C$21, $C$9, 100%, $E$9)</f>
        <v>67.930199999999999</v>
      </c>
      <c r="T82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24" s="57">
        <f>(1000*CHOOSE(CONTROL!$C$42, 695, 695)*CHOOSE(CONTROL!$C$42, 0.5599, 0.5599)*CHOOSE(CONTROL!$C$42, 31, 31))/1000000</f>
        <v>12.063045499999998</v>
      </c>
      <c r="V824" s="57">
        <f>(1000*CHOOSE(CONTROL!$C$42, 500, 500)*CHOOSE(CONTROL!$C$42, 0.275, 0.275)*CHOOSE(CONTROL!$C$42, 31, 31))/1000000</f>
        <v>4.2625000000000002</v>
      </c>
      <c r="W824" s="57">
        <f>(1000*CHOOSE(CONTROL!$C$42, 0.1146, 0.1146)*CHOOSE(CONTROL!$C$42, 121.5, 121.5)*CHOOSE(CONTROL!$C$42, 31, 31))/1000000</f>
        <v>0.43164089999999994</v>
      </c>
      <c r="X824" s="57">
        <f>(31*0.1790888*245000/1000000)+(31*0.2374*100000/1000000)</f>
        <v>2.0961194359999999</v>
      </c>
      <c r="Y824" s="57"/>
      <c r="Z824" s="14"/>
      <c r="AA824" s="56"/>
      <c r="AB824" s="50">
        <f>(B824*194.205+C824*267.466+D824*133.845+E824*53.484+F824*40+G824*185+H824*0+I824*100+J824*300)/(194.205+267.466+133.845+53.484+0+40+185+100+300)</f>
        <v>70.773807719780223</v>
      </c>
      <c r="AC824" s="45">
        <f>(M824*'RAP TEMPLATE-GAS AVAILABILITY'!O823+N824*'RAP TEMPLATE-GAS AVAILABILITY'!P823+O824*'RAP TEMPLATE-GAS AVAILABILITY'!Q823+P824*'RAP TEMPLATE-GAS AVAILABILITY'!R823)/('RAP TEMPLATE-GAS AVAILABILITY'!O823+'RAP TEMPLATE-GAS AVAILABILITY'!P823+'RAP TEMPLATE-GAS AVAILABILITY'!Q823+'RAP TEMPLATE-GAS AVAILABILITY'!R823)</f>
        <v>69.418362589928051</v>
      </c>
    </row>
    <row r="825" spans="1:29" ht="15.75" x14ac:dyDescent="0.25">
      <c r="A825" s="32">
        <v>66019</v>
      </c>
      <c r="B825" s="14">
        <f>CHOOSE(CONTROL!$C$42, 66.217, 66.217) * CHOOSE(CONTROL!$C$21, $C$9, 100%, $E$9)</f>
        <v>66.216999999999999</v>
      </c>
      <c r="C825" s="14">
        <f>CHOOSE(CONTROL!$C$42, 66.2251, 66.2251) * CHOOSE(CONTROL!$C$21, $C$9, 100%, $E$9)</f>
        <v>66.225099999999998</v>
      </c>
      <c r="D825" s="14">
        <f>CHOOSE(CONTROL!$C$42, 66.4456, 66.4456) * CHOOSE(CONTROL!$C$21, $C$9, 100%, $E$9)</f>
        <v>66.445599999999999</v>
      </c>
      <c r="E825" s="14">
        <f>CHOOSE(CONTROL!$C$42, 66.4771, 66.4771) * CHOOSE(CONTROL!$C$21, $C$9, 100%, $E$9)</f>
        <v>66.477099999999993</v>
      </c>
      <c r="F825" s="14">
        <f>CHOOSE(CONTROL!$C$42, 66.2444, 66.2444)*CHOOSE(CONTROL!$C$21, $C$9, 100%, $E$9)</f>
        <v>66.244399999999999</v>
      </c>
      <c r="G825" s="14">
        <f>CHOOSE(CONTROL!$C$42, 66.2618, 66.2618)*CHOOSE(CONTROL!$C$21, $C$9, 100%, $E$9)</f>
        <v>66.261799999999994</v>
      </c>
      <c r="H825" s="14">
        <f>CHOOSE(CONTROL!$C$42, 66.4657, 66.4657) * CHOOSE(CONTROL!$C$21, $C$9, 100%, $E$9)</f>
        <v>66.465699999999998</v>
      </c>
      <c r="I825" s="14">
        <f>CHOOSE(CONTROL!$C$42, 66.4523, 66.4523)* CHOOSE(CONTROL!$C$21, $C$9, 100%, $E$9)</f>
        <v>66.452299999999994</v>
      </c>
      <c r="J825" s="14">
        <f>CHOOSE(CONTROL!$C$42, 66.2374, 66.2374)* CHOOSE(CONTROL!$C$21, $C$9, 100%, $E$9)</f>
        <v>66.237399999999994</v>
      </c>
      <c r="K825" s="53">
        <f>CHOOSE(CONTROL!$C$42, 66.4484, 66.4484) * CHOOSE(CONTROL!$C$21, $C$9, 100%, $E$9)</f>
        <v>66.448400000000007</v>
      </c>
      <c r="L825" s="14">
        <f>CHOOSE(CONTROL!$C$42, 67.0527, 67.0527) * CHOOSE(CONTROL!$C$21, $C$9, 100%, $E$9)</f>
        <v>67.052700000000002</v>
      </c>
      <c r="M825" s="14">
        <f>CHOOSE(CONTROL!$C$42, 64.8879, 64.8879) * CHOOSE(CONTROL!$C$21, $C$9, 100%, $E$9)</f>
        <v>64.887900000000002</v>
      </c>
      <c r="N825" s="14">
        <f>CHOOSE(CONTROL!$C$42, 64.905, 64.905) * CHOOSE(CONTROL!$C$21, $C$9, 100%, $E$9)</f>
        <v>64.905000000000001</v>
      </c>
      <c r="O825" s="14">
        <f>CHOOSE(CONTROL!$C$42, 65.1116, 65.1116) * CHOOSE(CONTROL!$C$21, $C$9, 100%, $E$9)</f>
        <v>65.111599999999996</v>
      </c>
      <c r="P825" s="14">
        <f>CHOOSE(CONTROL!$C$42, 65.0943, 65.0943) * CHOOSE(CONTROL!$C$21, $C$9, 100%, $E$9)</f>
        <v>65.094300000000004</v>
      </c>
      <c r="Q825" s="14">
        <f>CHOOSE(CONTROL!$C$42, 65.7063, 65.7063) * CHOOSE(CONTROL!$C$21, $C$9, 100%, $E$9)</f>
        <v>65.706299999999999</v>
      </c>
      <c r="R825" s="14">
        <f>CHOOSE(CONTROL!$C$42, 66.4576, 66.4576) * CHOOSE(CONTROL!$C$21, $C$9, 100%, $E$9)</f>
        <v>66.457599999999999</v>
      </c>
      <c r="S825" s="14">
        <f>CHOOSE(CONTROL!$C$42, 63.6173, 63.6173) * CHOOSE(CONTROL!$C$21, $C$9, 100%, $E$9)</f>
        <v>63.6173</v>
      </c>
      <c r="T82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25" s="57">
        <f>(1000*CHOOSE(CONTROL!$C$42, 695, 695)*CHOOSE(CONTROL!$C$42, 0.5599, 0.5599)*CHOOSE(CONTROL!$C$42, 30, 30))/1000000</f>
        <v>11.673914999999997</v>
      </c>
      <c r="V825" s="57">
        <f>(1000*CHOOSE(CONTROL!$C$42, 500, 500)*CHOOSE(CONTROL!$C$42, 0.275, 0.275)*CHOOSE(CONTROL!$C$42, 30, 30))/1000000</f>
        <v>4.125</v>
      </c>
      <c r="W825" s="57">
        <f>(1000*CHOOSE(CONTROL!$C$42, 0.1146, 0.1146)*CHOOSE(CONTROL!$C$42, 121.5, 121.5)*CHOOSE(CONTROL!$C$42, 30, 30))/1000000</f>
        <v>0.417717</v>
      </c>
      <c r="X825" s="57">
        <f>(30*0.1790888*245000/1000000)+(30*0.2374*100000/1000000)</f>
        <v>2.0285026799999999</v>
      </c>
      <c r="Y825" s="57"/>
      <c r="Z825" s="14"/>
      <c r="AA825" s="56"/>
      <c r="AB825" s="50">
        <f>(B825*194.205+C825*267.466+D825*133.845+E825*53.484+F825*40+G825*185+H825*0+I825*100+J825*300)/(194.205+267.466+133.845+53.484+0+40+185+100+300)</f>
        <v>66.284275219780213</v>
      </c>
      <c r="AC825" s="45">
        <f>(M825*'RAP TEMPLATE-GAS AVAILABILITY'!O824+N825*'RAP TEMPLATE-GAS AVAILABILITY'!P824+O825*'RAP TEMPLATE-GAS AVAILABILITY'!Q824+P825*'RAP TEMPLATE-GAS AVAILABILITY'!R824)/('RAP TEMPLATE-GAS AVAILABILITY'!O824+'RAP TEMPLATE-GAS AVAILABILITY'!P824+'RAP TEMPLATE-GAS AVAILABILITY'!Q824+'RAP TEMPLATE-GAS AVAILABILITY'!R824)</f>
        <v>65.019971223021585</v>
      </c>
    </row>
    <row r="826" spans="1:29" ht="15.75" x14ac:dyDescent="0.25">
      <c r="A826" s="32">
        <v>66050</v>
      </c>
      <c r="B826" s="14">
        <f>CHOOSE(CONTROL!$C$42, 64.871, 64.871) * CHOOSE(CONTROL!$C$21, $C$9, 100%, $E$9)</f>
        <v>64.870999999999995</v>
      </c>
      <c r="C826" s="14">
        <f>CHOOSE(CONTROL!$C$42, 64.8764, 64.8764) * CHOOSE(CONTROL!$C$21, $C$9, 100%, $E$9)</f>
        <v>64.876400000000004</v>
      </c>
      <c r="D826" s="14">
        <f>CHOOSE(CONTROL!$C$42, 65.1019, 65.1019) * CHOOSE(CONTROL!$C$21, $C$9, 100%, $E$9)</f>
        <v>65.101900000000001</v>
      </c>
      <c r="E826" s="14">
        <f>CHOOSE(CONTROL!$C$42, 65.131, 65.131) * CHOOSE(CONTROL!$C$21, $C$9, 100%, $E$9)</f>
        <v>65.131</v>
      </c>
      <c r="F826" s="14">
        <f>CHOOSE(CONTROL!$C$42, 64.9004, 64.9004)*CHOOSE(CONTROL!$C$21, $C$9, 100%, $E$9)</f>
        <v>64.900400000000005</v>
      </c>
      <c r="G826" s="14">
        <f>CHOOSE(CONTROL!$C$42, 64.9177, 64.9177)*CHOOSE(CONTROL!$C$21, $C$9, 100%, $E$9)</f>
        <v>64.917699999999996</v>
      </c>
      <c r="H826" s="14">
        <f>CHOOSE(CONTROL!$C$42, 65.1215, 65.1215) * CHOOSE(CONTROL!$C$21, $C$9, 100%, $E$9)</f>
        <v>65.121499999999997</v>
      </c>
      <c r="I826" s="14">
        <f>CHOOSE(CONTROL!$C$42, 65.1039, 65.1039)* CHOOSE(CONTROL!$C$21, $C$9, 100%, $E$9)</f>
        <v>65.103899999999996</v>
      </c>
      <c r="J826" s="14">
        <f>CHOOSE(CONTROL!$C$42, 64.8934, 64.8934)* CHOOSE(CONTROL!$C$21, $C$9, 100%, $E$9)</f>
        <v>64.8934</v>
      </c>
      <c r="K826" s="53">
        <f>CHOOSE(CONTROL!$C$42, 65.1, 65.1) * CHOOSE(CONTROL!$C$21, $C$9, 100%, $E$9)</f>
        <v>65.099999999999994</v>
      </c>
      <c r="L826" s="14">
        <f>CHOOSE(CONTROL!$C$42, 65.7085, 65.7085) * CHOOSE(CONTROL!$C$21, $C$9, 100%, $E$9)</f>
        <v>65.708500000000001</v>
      </c>
      <c r="M826" s="14">
        <f>CHOOSE(CONTROL!$C$42, 63.5715, 63.5715) * CHOOSE(CONTROL!$C$21, $C$9, 100%, $E$9)</f>
        <v>63.5715</v>
      </c>
      <c r="N826" s="14">
        <f>CHOOSE(CONTROL!$C$42, 63.5884, 63.5884) * CHOOSE(CONTROL!$C$21, $C$9, 100%, $E$9)</f>
        <v>63.5884</v>
      </c>
      <c r="O826" s="14">
        <f>CHOOSE(CONTROL!$C$42, 63.7949, 63.7949) * CHOOSE(CONTROL!$C$21, $C$9, 100%, $E$9)</f>
        <v>63.794899999999998</v>
      </c>
      <c r="P826" s="14">
        <f>CHOOSE(CONTROL!$C$42, 63.7736, 63.7736) * CHOOSE(CONTROL!$C$21, $C$9, 100%, $E$9)</f>
        <v>63.773600000000002</v>
      </c>
      <c r="Q826" s="14">
        <f>CHOOSE(CONTROL!$C$42, 64.3896, 64.3896) * CHOOSE(CONTROL!$C$21, $C$9, 100%, $E$9)</f>
        <v>64.389600000000002</v>
      </c>
      <c r="R826" s="14">
        <f>CHOOSE(CONTROL!$C$42, 65.1376, 65.1376) * CHOOSE(CONTROL!$C$21, $C$9, 100%, $E$9)</f>
        <v>65.137600000000006</v>
      </c>
      <c r="S826" s="14">
        <f>CHOOSE(CONTROL!$C$42, 62.3256, 62.3256) * CHOOSE(CONTROL!$C$21, $C$9, 100%, $E$9)</f>
        <v>62.325600000000001</v>
      </c>
      <c r="T82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6" s="57">
        <f>(1000*CHOOSE(CONTROL!$C$42, 695, 695)*CHOOSE(CONTROL!$C$42, 0.5599, 0.5599)*CHOOSE(CONTROL!$C$42, 31, 31))/1000000</f>
        <v>12.063045499999998</v>
      </c>
      <c r="V826" s="57">
        <f>(1000*CHOOSE(CONTROL!$C$42, 500, 500)*CHOOSE(CONTROL!$C$42, 0.275, 0.275)*CHOOSE(CONTROL!$C$42, 31, 31))/1000000</f>
        <v>4.2625000000000002</v>
      </c>
      <c r="W826" s="57">
        <f>(1000*CHOOSE(CONTROL!$C$42, 0.1146, 0.1146)*CHOOSE(CONTROL!$C$42, 121.5, 121.5)*CHOOSE(CONTROL!$C$42, 31, 31))/1000000</f>
        <v>0.43164089999999994</v>
      </c>
      <c r="X826" s="57">
        <f>(31*0.1790888*245000/1000000)+(31*0.2374*100000/1000000)</f>
        <v>2.0961194359999999</v>
      </c>
      <c r="Y826" s="57"/>
      <c r="Z826" s="14"/>
      <c r="AA826" s="56"/>
      <c r="AB826" s="50">
        <f>(B826*131.881+C826*277.167+D826*79.08+E826*125.872+F826*40+G826*185+H826*0+I826*100+J826*300)/(131.881+277.167+79.08+125.872+0+40+185+100+300)</f>
        <v>64.945502416303469</v>
      </c>
      <c r="AC826" s="45">
        <f>(M826*'RAP TEMPLATE-GAS AVAILABILITY'!O825+N826*'RAP TEMPLATE-GAS AVAILABILITY'!P825+O826*'RAP TEMPLATE-GAS AVAILABILITY'!Q825+P826*'RAP TEMPLATE-GAS AVAILABILITY'!R825)/('RAP TEMPLATE-GAS AVAILABILITY'!O825+'RAP TEMPLATE-GAS AVAILABILITY'!P825+'RAP TEMPLATE-GAS AVAILABILITY'!Q825+'RAP TEMPLATE-GAS AVAILABILITY'!R825)</f>
        <v>63.702805035971224</v>
      </c>
    </row>
    <row r="827" spans="1:29" ht="15.75" x14ac:dyDescent="0.25">
      <c r="A827" s="32">
        <v>66080</v>
      </c>
      <c r="B827" s="14">
        <f>CHOOSE(CONTROL!$C$42, 66.5794, 66.5794) * CHOOSE(CONTROL!$C$21, $C$9, 100%, $E$9)</f>
        <v>66.579400000000007</v>
      </c>
      <c r="C827" s="14">
        <f>CHOOSE(CONTROL!$C$42, 66.5844, 66.5844) * CHOOSE(CONTROL!$C$21, $C$9, 100%, $E$9)</f>
        <v>66.584400000000002</v>
      </c>
      <c r="D827" s="14">
        <f>CHOOSE(CONTROL!$C$42, 66.6587, 66.6587) * CHOOSE(CONTROL!$C$21, $C$9, 100%, $E$9)</f>
        <v>66.658699999999996</v>
      </c>
      <c r="E827" s="14">
        <f>CHOOSE(CONTROL!$C$42, 66.6928, 66.6928) * CHOOSE(CONTROL!$C$21, $C$9, 100%, $E$9)</f>
        <v>66.692800000000005</v>
      </c>
      <c r="F827" s="14">
        <f>CHOOSE(CONTROL!$C$42, 66.6154, 66.6154)*CHOOSE(CONTROL!$C$21, $C$9, 100%, $E$9)</f>
        <v>66.615399999999994</v>
      </c>
      <c r="G827" s="14">
        <f>CHOOSE(CONTROL!$C$42, 66.633, 66.633)*CHOOSE(CONTROL!$C$21, $C$9, 100%, $E$9)</f>
        <v>66.632999999999996</v>
      </c>
      <c r="H827" s="14">
        <f>CHOOSE(CONTROL!$C$42, 66.682, 66.682) * CHOOSE(CONTROL!$C$21, $C$9, 100%, $E$9)</f>
        <v>66.682000000000002</v>
      </c>
      <c r="I827" s="14">
        <f>CHOOSE(CONTROL!$C$42, 66.8154, 66.8154)* CHOOSE(CONTROL!$C$21, $C$9, 100%, $E$9)</f>
        <v>66.815399999999997</v>
      </c>
      <c r="J827" s="14">
        <f>CHOOSE(CONTROL!$C$42, 66.6084, 66.6084)* CHOOSE(CONTROL!$C$21, $C$9, 100%, $E$9)</f>
        <v>66.608400000000003</v>
      </c>
      <c r="K827" s="53">
        <f>CHOOSE(CONTROL!$C$42, 66.8115, 66.8115) * CHOOSE(CONTROL!$C$21, $C$9, 100%, $E$9)</f>
        <v>66.811499999999995</v>
      </c>
      <c r="L827" s="14">
        <f>CHOOSE(CONTROL!$C$42, 67.269, 67.269) * CHOOSE(CONTROL!$C$21, $C$9, 100%, $E$9)</f>
        <v>67.269000000000005</v>
      </c>
      <c r="M827" s="14">
        <f>CHOOSE(CONTROL!$C$42, 65.2514, 65.2514) * CHOOSE(CONTROL!$C$21, $C$9, 100%, $E$9)</f>
        <v>65.251400000000004</v>
      </c>
      <c r="N827" s="14">
        <f>CHOOSE(CONTROL!$C$42, 65.2685, 65.2685) * CHOOSE(CONTROL!$C$21, $C$9, 100%, $E$9)</f>
        <v>65.268500000000003</v>
      </c>
      <c r="O827" s="14">
        <f>CHOOSE(CONTROL!$C$42, 65.3234, 65.3234) * CHOOSE(CONTROL!$C$21, $C$9, 100%, $E$9)</f>
        <v>65.323400000000007</v>
      </c>
      <c r="P827" s="14">
        <f>CHOOSE(CONTROL!$C$42, 65.4499, 65.4499) * CHOOSE(CONTROL!$C$21, $C$9, 100%, $E$9)</f>
        <v>65.4499</v>
      </c>
      <c r="Q827" s="14">
        <f>CHOOSE(CONTROL!$C$42, 65.9181, 65.9181) * CHOOSE(CONTROL!$C$21, $C$9, 100%, $E$9)</f>
        <v>65.918099999999995</v>
      </c>
      <c r="R827" s="14">
        <f>CHOOSE(CONTROL!$C$42, 66.6699, 66.6699) * CHOOSE(CONTROL!$C$21, $C$9, 100%, $E$9)</f>
        <v>66.669899999999998</v>
      </c>
      <c r="S827" s="14">
        <f>CHOOSE(CONTROL!$C$42, 63.9676, 63.9676) * CHOOSE(CONTROL!$C$21, $C$9, 100%, $E$9)</f>
        <v>63.967599999999997</v>
      </c>
      <c r="T82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27" s="57">
        <f>(1000*CHOOSE(CONTROL!$C$42, 695, 695)*CHOOSE(CONTROL!$C$42, 0.5599, 0.5599)*CHOOSE(CONTROL!$C$42, 30, 30))/1000000</f>
        <v>11.673914999999997</v>
      </c>
      <c r="V827" s="57">
        <f>(1000*CHOOSE(CONTROL!$C$42, 500, 500)*CHOOSE(CONTROL!$C$42, 0.275, 0.275)*CHOOSE(CONTROL!$C$42, 30, 30))/1000000</f>
        <v>4.125</v>
      </c>
      <c r="W827" s="57">
        <f>(1000*CHOOSE(CONTROL!$C$42, 0.1146, 0.1146)*CHOOSE(CONTROL!$C$42, 121.5, 121.5)*CHOOSE(CONTROL!$C$42, 30, 30))/1000000</f>
        <v>0.417717</v>
      </c>
      <c r="X827" s="57">
        <f>(30*0.1790888*100000/1000000)+(30*0.2374*100000/1000000)</f>
        <v>1.2494664</v>
      </c>
      <c r="Y827" s="57"/>
      <c r="Z827" s="14"/>
      <c r="AA827" s="56"/>
      <c r="AB827" s="50">
        <f>(B827*122.58+C827*297.941+D827*89.177+E827*40.302+F827*40+G827*160+H827*0+I827*100+J827*300)/(122.58+297.941+89.177+40.302+0+40+160+100+300)</f>
        <v>66.627615380782601</v>
      </c>
      <c r="AC827" s="45">
        <f>(M827*'RAP TEMPLATE-GAS AVAILABILITY'!O826+N827*'RAP TEMPLATE-GAS AVAILABILITY'!P826+O827*'RAP TEMPLATE-GAS AVAILABILITY'!Q826+P827*'RAP TEMPLATE-GAS AVAILABILITY'!R826)/('RAP TEMPLATE-GAS AVAILABILITY'!O826+'RAP TEMPLATE-GAS AVAILABILITY'!P826+'RAP TEMPLATE-GAS AVAILABILITY'!Q826+'RAP TEMPLATE-GAS AVAILABILITY'!R826)</f>
        <v>65.313578417266186</v>
      </c>
    </row>
    <row r="828" spans="1:29" ht="15.75" x14ac:dyDescent="0.25">
      <c r="A828" s="32">
        <v>66111</v>
      </c>
      <c r="B828" s="14">
        <f>CHOOSE(CONTROL!$C$42, 71.1181, 71.1181) * CHOOSE(CONTROL!$C$21, $C$9, 100%, $E$9)</f>
        <v>71.118099999999998</v>
      </c>
      <c r="C828" s="14">
        <f>CHOOSE(CONTROL!$C$42, 71.1231, 71.1231) * CHOOSE(CONTROL!$C$21, $C$9, 100%, $E$9)</f>
        <v>71.123099999999994</v>
      </c>
      <c r="D828" s="14">
        <f>CHOOSE(CONTROL!$C$42, 71.1974, 71.1974) * CHOOSE(CONTROL!$C$21, $C$9, 100%, $E$9)</f>
        <v>71.197400000000002</v>
      </c>
      <c r="E828" s="14">
        <f>CHOOSE(CONTROL!$C$42, 71.2315, 71.2315) * CHOOSE(CONTROL!$C$21, $C$9, 100%, $E$9)</f>
        <v>71.231499999999997</v>
      </c>
      <c r="F828" s="14">
        <f>CHOOSE(CONTROL!$C$42, 71.1565, 71.1565)*CHOOSE(CONTROL!$C$21, $C$9, 100%, $E$9)</f>
        <v>71.156499999999994</v>
      </c>
      <c r="G828" s="14">
        <f>CHOOSE(CONTROL!$C$42, 71.1746, 71.1746)*CHOOSE(CONTROL!$C$21, $C$9, 100%, $E$9)</f>
        <v>71.174599999999998</v>
      </c>
      <c r="H828" s="14">
        <f>CHOOSE(CONTROL!$C$42, 71.2207, 71.2207) * CHOOSE(CONTROL!$C$21, $C$9, 100%, $E$9)</f>
        <v>71.220699999999994</v>
      </c>
      <c r="I828" s="14">
        <f>CHOOSE(CONTROL!$C$42, 71.3683, 71.3683)* CHOOSE(CONTROL!$C$21, $C$9, 100%, $E$9)</f>
        <v>71.368300000000005</v>
      </c>
      <c r="J828" s="14">
        <f>CHOOSE(CONTROL!$C$42, 71.1495, 71.1495)* CHOOSE(CONTROL!$C$21, $C$9, 100%, $E$9)</f>
        <v>71.149500000000003</v>
      </c>
      <c r="K828" s="53">
        <f>CHOOSE(CONTROL!$C$42, 71.3644, 71.3644) * CHOOSE(CONTROL!$C$21, $C$9, 100%, $E$9)</f>
        <v>71.364400000000003</v>
      </c>
      <c r="L828" s="14">
        <f>CHOOSE(CONTROL!$C$42, 71.8077, 71.8077) * CHOOSE(CONTROL!$C$21, $C$9, 100%, $E$9)</f>
        <v>71.807699999999997</v>
      </c>
      <c r="M828" s="14">
        <f>CHOOSE(CONTROL!$C$42, 69.6994, 69.6994) * CHOOSE(CONTROL!$C$21, $C$9, 100%, $E$9)</f>
        <v>69.699399999999997</v>
      </c>
      <c r="N828" s="14">
        <f>CHOOSE(CONTROL!$C$42, 69.7172, 69.7172) * CHOOSE(CONTROL!$C$21, $C$9, 100%, $E$9)</f>
        <v>69.717200000000005</v>
      </c>
      <c r="O828" s="14">
        <f>CHOOSE(CONTROL!$C$42, 69.7691, 69.7691) * CHOOSE(CONTROL!$C$21, $C$9, 100%, $E$9)</f>
        <v>69.769099999999995</v>
      </c>
      <c r="P828" s="14">
        <f>CHOOSE(CONTROL!$C$42, 69.9093, 69.9093) * CHOOSE(CONTROL!$C$21, $C$9, 100%, $E$9)</f>
        <v>69.909300000000002</v>
      </c>
      <c r="Q828" s="14">
        <f>CHOOSE(CONTROL!$C$42, 70.3638, 70.3638) * CHOOSE(CONTROL!$C$21, $C$9, 100%, $E$9)</f>
        <v>70.363799999999998</v>
      </c>
      <c r="R828" s="14">
        <f>CHOOSE(CONTROL!$C$42, 71.1267, 71.1267) * CHOOSE(CONTROL!$C$21, $C$9, 100%, $E$9)</f>
        <v>71.1267</v>
      </c>
      <c r="S828" s="14">
        <f>CHOOSE(CONTROL!$C$42, 68.3288, 68.3288) * CHOOSE(CONTROL!$C$21, $C$9, 100%, $E$9)</f>
        <v>68.328800000000001</v>
      </c>
      <c r="T82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28" s="57">
        <f>(1000*CHOOSE(CONTROL!$C$42, 695, 695)*CHOOSE(CONTROL!$C$42, 0.5599, 0.5599)*CHOOSE(CONTROL!$C$42, 31, 31))/1000000</f>
        <v>12.063045499999998</v>
      </c>
      <c r="V828" s="57">
        <f>(1000*CHOOSE(CONTROL!$C$42, 500, 500)*CHOOSE(CONTROL!$C$42, 0.275, 0.275)*CHOOSE(CONTROL!$C$42, 31, 31))/1000000</f>
        <v>4.2625000000000002</v>
      </c>
      <c r="W828" s="57">
        <f>(1000*CHOOSE(CONTROL!$C$42, 0.1146, 0.1146)*CHOOSE(CONTROL!$C$42, 121.5, 121.5)*CHOOSE(CONTROL!$C$42, 31, 31))/1000000</f>
        <v>0.43164089999999994</v>
      </c>
      <c r="X828" s="57">
        <f>(31*0.1790888*100000/1000000)+(31*0.2374*100000/1000000)</f>
        <v>1.2911152800000001</v>
      </c>
      <c r="Y828" s="57"/>
      <c r="Z828" s="14"/>
      <c r="AA828" s="56"/>
      <c r="AB828" s="50">
        <f>(B828*122.58+C828*297.941+D828*89.177+E828*40.302+F828*40+G828*160+H828*0+I828*100+J828*300)/(122.58+297.941+89.177+40.302+0+40+160+100+300)</f>
        <v>71.168663206869567</v>
      </c>
      <c r="AC828" s="45">
        <f>(M828*'RAP TEMPLATE-GAS AVAILABILITY'!O827+N828*'RAP TEMPLATE-GAS AVAILABILITY'!P827+O828*'RAP TEMPLATE-GAS AVAILABILITY'!Q827+P828*'RAP TEMPLATE-GAS AVAILABILITY'!R827)/('RAP TEMPLATE-GAS AVAILABILITY'!O827+'RAP TEMPLATE-GAS AVAILABILITY'!P827+'RAP TEMPLATE-GAS AVAILABILITY'!Q827+'RAP TEMPLATE-GAS AVAILABILITY'!R827)</f>
        <v>69.762216546762588</v>
      </c>
    </row>
    <row r="829" spans="1:29" ht="15.75" x14ac:dyDescent="0.25">
      <c r="A829" s="32">
        <v>66142</v>
      </c>
      <c r="B829" s="14">
        <f>CHOOSE(CONTROL!$C$42, 77.013, 77.013) * CHOOSE(CONTROL!$C$21, $C$9, 100%, $E$9)</f>
        <v>77.013000000000005</v>
      </c>
      <c r="C829" s="14">
        <f>CHOOSE(CONTROL!$C$42, 77.0181, 77.0181) * CHOOSE(CONTROL!$C$21, $C$9, 100%, $E$9)</f>
        <v>77.018100000000004</v>
      </c>
      <c r="D829" s="14">
        <f>CHOOSE(CONTROL!$C$42, 77.0949, 77.0949) * CHOOSE(CONTROL!$C$21, $C$9, 100%, $E$9)</f>
        <v>77.094899999999996</v>
      </c>
      <c r="E829" s="14">
        <f>CHOOSE(CONTROL!$C$42, 77.129, 77.129) * CHOOSE(CONTROL!$C$21, $C$9, 100%, $E$9)</f>
        <v>77.129000000000005</v>
      </c>
      <c r="F829" s="14">
        <f>CHOOSE(CONTROL!$C$42, 77.0378, 77.0378)*CHOOSE(CONTROL!$C$21, $C$9, 100%, $E$9)</f>
        <v>77.037800000000004</v>
      </c>
      <c r="G829" s="14">
        <f>CHOOSE(CONTROL!$C$42, 77.0557, 77.0557)*CHOOSE(CONTROL!$C$21, $C$9, 100%, $E$9)</f>
        <v>77.055700000000002</v>
      </c>
      <c r="H829" s="14">
        <f>CHOOSE(CONTROL!$C$42, 77.1182, 77.1182) * CHOOSE(CONTROL!$C$21, $C$9, 100%, $E$9)</f>
        <v>77.118200000000002</v>
      </c>
      <c r="I829" s="14">
        <f>CHOOSE(CONTROL!$C$42, 77.2879, 77.2879)* CHOOSE(CONTROL!$C$21, $C$9, 100%, $E$9)</f>
        <v>77.287899999999993</v>
      </c>
      <c r="J829" s="14">
        <f>CHOOSE(CONTROL!$C$42, 77.0308, 77.0308)* CHOOSE(CONTROL!$C$21, $C$9, 100%, $E$9)</f>
        <v>77.030799999999999</v>
      </c>
      <c r="K829" s="53">
        <f>CHOOSE(CONTROL!$C$42, 77.2841, 77.2841) * CHOOSE(CONTROL!$C$21, $C$9, 100%, $E$9)</f>
        <v>77.284099999999995</v>
      </c>
      <c r="L829" s="14">
        <f>CHOOSE(CONTROL!$C$42, 77.7052, 77.7052) * CHOOSE(CONTROL!$C$21, $C$9, 100%, $E$9)</f>
        <v>77.705200000000005</v>
      </c>
      <c r="M829" s="14">
        <f>CHOOSE(CONTROL!$C$42, 75.4602, 75.4602) * CHOOSE(CONTROL!$C$21, $C$9, 100%, $E$9)</f>
        <v>75.4602</v>
      </c>
      <c r="N829" s="14">
        <f>CHOOSE(CONTROL!$C$42, 75.4778, 75.4778) * CHOOSE(CONTROL!$C$21, $C$9, 100%, $E$9)</f>
        <v>75.477800000000002</v>
      </c>
      <c r="O829" s="14">
        <f>CHOOSE(CONTROL!$C$42, 75.5458, 75.5458) * CHOOSE(CONTROL!$C$21, $C$9, 100%, $E$9)</f>
        <v>75.5458</v>
      </c>
      <c r="P829" s="14">
        <f>CHOOSE(CONTROL!$C$42, 75.7073, 75.7073) * CHOOSE(CONTROL!$C$21, $C$9, 100%, $E$9)</f>
        <v>75.707300000000004</v>
      </c>
      <c r="Q829" s="14">
        <f>CHOOSE(CONTROL!$C$42, 76.1405, 76.1405) * CHOOSE(CONTROL!$C$21, $C$9, 100%, $E$9)</f>
        <v>76.140500000000003</v>
      </c>
      <c r="R829" s="14">
        <f>CHOOSE(CONTROL!$C$42, 76.9179, 76.9179) * CHOOSE(CONTROL!$C$21, $C$9, 100%, $E$9)</f>
        <v>76.917900000000003</v>
      </c>
      <c r="S829" s="14">
        <f>CHOOSE(CONTROL!$C$42, 73.9933, 73.9933) * CHOOSE(CONTROL!$C$21, $C$9, 100%, $E$9)</f>
        <v>73.993300000000005</v>
      </c>
      <c r="T82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29" s="57">
        <f>(1000*CHOOSE(CONTROL!$C$42, 695, 695)*CHOOSE(CONTROL!$C$42, 0.5599, 0.5599)*CHOOSE(CONTROL!$C$42, 31, 31))/1000000</f>
        <v>12.063045499999998</v>
      </c>
      <c r="V829" s="57">
        <f>(1000*CHOOSE(CONTROL!$C$42, 500, 500)*CHOOSE(CONTROL!$C$42, 0.275, 0.275)*CHOOSE(CONTROL!$C$42, 31, 31))/1000000</f>
        <v>4.2625000000000002</v>
      </c>
      <c r="W829" s="57">
        <f>(1000*CHOOSE(CONTROL!$C$42, 0.1146, 0.1146)*CHOOSE(CONTROL!$C$42, 121.5, 121.5)*CHOOSE(CONTROL!$C$42, 31, 31))/1000000</f>
        <v>0.43164089999999994</v>
      </c>
      <c r="X829" s="57">
        <f>(31*0.1790888*100000/1000000)+(31*0.2374*100000/1000000)</f>
        <v>1.2911152800000001</v>
      </c>
      <c r="Y829" s="57"/>
      <c r="Z829" s="14"/>
      <c r="AA829" s="56"/>
      <c r="AB829" s="50">
        <f>(B829*122.58+C829*297.941+D829*89.177+E829*40.302+F829*40+G829*160+H829*0+I829*100+J829*300)/(122.58+297.941+89.177+40.302+0+40+160+100+300)</f>
        <v>77.060088806434791</v>
      </c>
      <c r="AC829" s="45">
        <f>(M829*'RAP TEMPLATE-GAS AVAILABILITY'!O828+N829*'RAP TEMPLATE-GAS AVAILABILITY'!P828+O829*'RAP TEMPLATE-GAS AVAILABILITY'!Q828+P829*'RAP TEMPLATE-GAS AVAILABILITY'!R828)/('RAP TEMPLATE-GAS AVAILABILITY'!O828+'RAP TEMPLATE-GAS AVAILABILITY'!P828+'RAP TEMPLATE-GAS AVAILABILITY'!Q828+'RAP TEMPLATE-GAS AVAILABILITY'!R828)</f>
        <v>75.535564028776989</v>
      </c>
    </row>
    <row r="830" spans="1:29" ht="15.75" x14ac:dyDescent="0.25">
      <c r="A830" s="32">
        <v>66170</v>
      </c>
      <c r="B830" s="14">
        <f>CHOOSE(CONTROL!$C$42, 78.3838, 78.3838) * CHOOSE(CONTROL!$C$21, $C$9, 100%, $E$9)</f>
        <v>78.383799999999994</v>
      </c>
      <c r="C830" s="14">
        <f>CHOOSE(CONTROL!$C$42, 78.3889, 78.3889) * CHOOSE(CONTROL!$C$21, $C$9, 100%, $E$9)</f>
        <v>78.388900000000007</v>
      </c>
      <c r="D830" s="14">
        <f>CHOOSE(CONTROL!$C$42, 78.4657, 78.4657) * CHOOSE(CONTROL!$C$21, $C$9, 100%, $E$9)</f>
        <v>78.465699999999998</v>
      </c>
      <c r="E830" s="14">
        <f>CHOOSE(CONTROL!$C$42, 78.4998, 78.4998) * CHOOSE(CONTROL!$C$21, $C$9, 100%, $E$9)</f>
        <v>78.499799999999993</v>
      </c>
      <c r="F830" s="14">
        <f>CHOOSE(CONTROL!$C$42, 78.4081, 78.4081)*CHOOSE(CONTROL!$C$21, $C$9, 100%, $E$9)</f>
        <v>78.408100000000005</v>
      </c>
      <c r="G830" s="14">
        <f>CHOOSE(CONTROL!$C$42, 78.426, 78.426)*CHOOSE(CONTROL!$C$21, $C$9, 100%, $E$9)</f>
        <v>78.426000000000002</v>
      </c>
      <c r="H830" s="14">
        <f>CHOOSE(CONTROL!$C$42, 78.489, 78.489) * CHOOSE(CONTROL!$C$21, $C$9, 100%, $E$9)</f>
        <v>78.489000000000004</v>
      </c>
      <c r="I830" s="14">
        <f>CHOOSE(CONTROL!$C$42, 78.663, 78.663)* CHOOSE(CONTROL!$C$21, $C$9, 100%, $E$9)</f>
        <v>78.662999999999997</v>
      </c>
      <c r="J830" s="14">
        <f>CHOOSE(CONTROL!$C$42, 78.4011, 78.4011)* CHOOSE(CONTROL!$C$21, $C$9, 100%, $E$9)</f>
        <v>78.4011</v>
      </c>
      <c r="K830" s="53">
        <f>CHOOSE(CONTROL!$C$42, 78.6591, 78.6591) * CHOOSE(CONTROL!$C$21, $C$9, 100%, $E$9)</f>
        <v>78.659099999999995</v>
      </c>
      <c r="L830" s="14">
        <f>CHOOSE(CONTROL!$C$42, 79.076, 79.076) * CHOOSE(CONTROL!$C$21, $C$9, 100%, $E$9)</f>
        <v>79.075999999999993</v>
      </c>
      <c r="M830" s="14">
        <f>CHOOSE(CONTROL!$C$42, 76.8024, 76.8024) * CHOOSE(CONTROL!$C$21, $C$9, 100%, $E$9)</f>
        <v>76.802400000000006</v>
      </c>
      <c r="N830" s="14">
        <f>CHOOSE(CONTROL!$C$42, 76.8199, 76.8199) * CHOOSE(CONTROL!$C$21, $C$9, 100%, $E$9)</f>
        <v>76.819900000000004</v>
      </c>
      <c r="O830" s="14">
        <f>CHOOSE(CONTROL!$C$42, 76.8885, 76.8885) * CHOOSE(CONTROL!$C$21, $C$9, 100%, $E$9)</f>
        <v>76.888499999999993</v>
      </c>
      <c r="P830" s="14">
        <f>CHOOSE(CONTROL!$C$42, 77.0541, 77.0541) * CHOOSE(CONTROL!$C$21, $C$9, 100%, $E$9)</f>
        <v>77.054100000000005</v>
      </c>
      <c r="Q830" s="14">
        <f>CHOOSE(CONTROL!$C$42, 77.4832, 77.4832) * CHOOSE(CONTROL!$C$21, $C$9, 100%, $E$9)</f>
        <v>77.483199999999997</v>
      </c>
      <c r="R830" s="14">
        <f>CHOOSE(CONTROL!$C$42, 78.2639, 78.2639) * CHOOSE(CONTROL!$C$21, $C$9, 100%, $E$9)</f>
        <v>78.263900000000007</v>
      </c>
      <c r="S830" s="14">
        <f>CHOOSE(CONTROL!$C$42, 75.3105, 75.3105) * CHOOSE(CONTROL!$C$21, $C$9, 100%, $E$9)</f>
        <v>75.310500000000005</v>
      </c>
      <c r="T83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30" s="57">
        <f>(1000*CHOOSE(CONTROL!$C$42, 695, 695)*CHOOSE(CONTROL!$C$42, 0.5599, 0.5599)*CHOOSE(CONTROL!$C$42, 28, 28))/1000000</f>
        <v>10.895653999999999</v>
      </c>
      <c r="V830" s="57">
        <f>(1000*CHOOSE(CONTROL!$C$42, 500, 500)*CHOOSE(CONTROL!$C$42, 0.275, 0.275)*CHOOSE(CONTROL!$C$42, 28, 28))/1000000</f>
        <v>3.85</v>
      </c>
      <c r="W830" s="57">
        <f>(1000*CHOOSE(CONTROL!$C$42, 0.1146, 0.1146)*CHOOSE(CONTROL!$C$42, 121.5, 121.5)*CHOOSE(CONTROL!$C$42, 28, 28))/1000000</f>
        <v>0.38986920000000003</v>
      </c>
      <c r="X830" s="57">
        <f>(28*0.1790888*100000/1000000)+(28*0.2374*100000/1000000)</f>
        <v>1.16616864</v>
      </c>
      <c r="Y830" s="57"/>
      <c r="Z830" s="14"/>
      <c r="AA830" s="56"/>
      <c r="AB830" s="50">
        <f>(B830*122.58+C830*297.941+D830*89.177+E830*40.302+F830*40+G830*160+H830*0+I830*100+J830*300)/(122.58+297.941+89.177+40.302+0+40+160+100+300)</f>
        <v>78.431045328173909</v>
      </c>
      <c r="AC830" s="45">
        <f>(M830*'RAP TEMPLATE-GAS AVAILABILITY'!O829+N830*'RAP TEMPLATE-GAS AVAILABILITY'!P829+O830*'RAP TEMPLATE-GAS AVAILABILITY'!Q829+P830*'RAP TEMPLATE-GAS AVAILABILITY'!R829)/('RAP TEMPLATE-GAS AVAILABILITY'!O829+'RAP TEMPLATE-GAS AVAILABILITY'!P829+'RAP TEMPLATE-GAS AVAILABILITY'!Q829+'RAP TEMPLATE-GAS AVAILABILITY'!R829)</f>
        <v>76.878646762589938</v>
      </c>
    </row>
    <row r="831" spans="1:29" ht="15.75" x14ac:dyDescent="0.25">
      <c r="A831" s="32">
        <v>66201</v>
      </c>
      <c r="B831" s="14">
        <f>CHOOSE(CONTROL!$C$42, 76.1587, 76.1587) * CHOOSE(CONTROL!$C$21, $C$9, 100%, $E$9)</f>
        <v>76.158699999999996</v>
      </c>
      <c r="C831" s="14">
        <f>CHOOSE(CONTROL!$C$42, 76.1638, 76.1638) * CHOOSE(CONTROL!$C$21, $C$9, 100%, $E$9)</f>
        <v>76.163799999999995</v>
      </c>
      <c r="D831" s="14">
        <f>CHOOSE(CONTROL!$C$42, 76.2406, 76.2406) * CHOOSE(CONTROL!$C$21, $C$9, 100%, $E$9)</f>
        <v>76.240600000000001</v>
      </c>
      <c r="E831" s="14">
        <f>CHOOSE(CONTROL!$C$42, 76.2747, 76.2747) * CHOOSE(CONTROL!$C$21, $C$9, 100%, $E$9)</f>
        <v>76.274699999999996</v>
      </c>
      <c r="F831" s="14">
        <f>CHOOSE(CONTROL!$C$42, 76.1822, 76.1822)*CHOOSE(CONTROL!$C$21, $C$9, 100%, $E$9)</f>
        <v>76.182199999999995</v>
      </c>
      <c r="G831" s="14">
        <f>CHOOSE(CONTROL!$C$42, 76.1998, 76.1998)*CHOOSE(CONTROL!$C$21, $C$9, 100%, $E$9)</f>
        <v>76.199799999999996</v>
      </c>
      <c r="H831" s="14">
        <f>CHOOSE(CONTROL!$C$42, 76.2639, 76.2639) * CHOOSE(CONTROL!$C$21, $C$9, 100%, $E$9)</f>
        <v>76.263900000000007</v>
      </c>
      <c r="I831" s="14">
        <f>CHOOSE(CONTROL!$C$42, 76.4309, 76.4309)* CHOOSE(CONTROL!$C$21, $C$9, 100%, $E$9)</f>
        <v>76.430899999999994</v>
      </c>
      <c r="J831" s="14">
        <f>CHOOSE(CONTROL!$C$42, 76.1752, 76.1752)* CHOOSE(CONTROL!$C$21, $C$9, 100%, $E$9)</f>
        <v>76.175200000000004</v>
      </c>
      <c r="K831" s="53">
        <f>CHOOSE(CONTROL!$C$42, 76.4271, 76.4271) * CHOOSE(CONTROL!$C$21, $C$9, 100%, $E$9)</f>
        <v>76.427099999999996</v>
      </c>
      <c r="L831" s="14">
        <f>CHOOSE(CONTROL!$C$42, 76.8509, 76.8509) * CHOOSE(CONTROL!$C$21, $C$9, 100%, $E$9)</f>
        <v>76.850899999999996</v>
      </c>
      <c r="M831" s="14">
        <f>CHOOSE(CONTROL!$C$42, 74.6221, 74.6221) * CHOOSE(CONTROL!$C$21, $C$9, 100%, $E$9)</f>
        <v>74.622100000000003</v>
      </c>
      <c r="N831" s="14">
        <f>CHOOSE(CONTROL!$C$42, 74.6394, 74.6394) * CHOOSE(CONTROL!$C$21, $C$9, 100%, $E$9)</f>
        <v>74.639399999999995</v>
      </c>
      <c r="O831" s="14">
        <f>CHOOSE(CONTROL!$C$42, 74.709, 74.709) * CHOOSE(CONTROL!$C$21, $C$9, 100%, $E$9)</f>
        <v>74.709000000000003</v>
      </c>
      <c r="P831" s="14">
        <f>CHOOSE(CONTROL!$C$42, 74.8679, 74.8679) * CHOOSE(CONTROL!$C$21, $C$9, 100%, $E$9)</f>
        <v>74.867900000000006</v>
      </c>
      <c r="Q831" s="14">
        <f>CHOOSE(CONTROL!$C$42, 75.3037, 75.3037) * CHOOSE(CONTROL!$C$21, $C$9, 100%, $E$9)</f>
        <v>75.303700000000006</v>
      </c>
      <c r="R831" s="14">
        <f>CHOOSE(CONTROL!$C$42, 76.0789, 76.0789) * CHOOSE(CONTROL!$C$21, $C$9, 100%, $E$9)</f>
        <v>76.078900000000004</v>
      </c>
      <c r="S831" s="14">
        <f>CHOOSE(CONTROL!$C$42, 73.1724, 73.1724) * CHOOSE(CONTROL!$C$21, $C$9, 100%, $E$9)</f>
        <v>73.172399999999996</v>
      </c>
      <c r="T83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31" s="57">
        <f>(1000*CHOOSE(CONTROL!$C$42, 695, 695)*CHOOSE(CONTROL!$C$42, 0.5599, 0.5599)*CHOOSE(CONTROL!$C$42, 31, 31))/1000000</f>
        <v>12.063045499999998</v>
      </c>
      <c r="V831" s="57">
        <f>(1000*CHOOSE(CONTROL!$C$42, 500, 500)*CHOOSE(CONTROL!$C$42, 0.275, 0.275)*CHOOSE(CONTROL!$C$42, 31, 31))/1000000</f>
        <v>4.2625000000000002</v>
      </c>
      <c r="W831" s="57">
        <f>(1000*CHOOSE(CONTROL!$C$42, 0.1146, 0.1146)*CHOOSE(CONTROL!$C$42, 121.5, 121.5)*CHOOSE(CONTROL!$C$42, 31, 31))/1000000</f>
        <v>0.43164089999999994</v>
      </c>
      <c r="X831" s="57">
        <f>(31*0.1790888*100000/1000000)+(31*0.2374*100000/1000000)</f>
        <v>1.2911152800000001</v>
      </c>
      <c r="Y831" s="57"/>
      <c r="Z831" s="14"/>
      <c r="AA831" s="56"/>
      <c r="AB831" s="50">
        <f>(B831*122.58+C831*297.941+D831*89.177+E831*40.302+F831*40+G831*160+H831*0+I831*100+J831*300)/(122.58+297.941+89.177+40.302+0+40+160+100+300)</f>
        <v>76.204947067304346</v>
      </c>
      <c r="AC831" s="45">
        <f>(M831*'RAP TEMPLATE-GAS AVAILABILITY'!O830+N831*'RAP TEMPLATE-GAS AVAILABILITY'!P830+O831*'RAP TEMPLATE-GAS AVAILABILITY'!Q830+P831*'RAP TEMPLATE-GAS AVAILABILITY'!R830)/('RAP TEMPLATE-GAS AVAILABILITY'!O830+'RAP TEMPLATE-GAS AVAILABILITY'!P830+'RAP TEMPLATE-GAS AVAILABILITY'!Q830+'RAP TEMPLATE-GAS AVAILABILITY'!R830)</f>
        <v>74.697848920863322</v>
      </c>
    </row>
    <row r="832" spans="1:29" ht="15.75" x14ac:dyDescent="0.25">
      <c r="A832" s="32">
        <v>66231</v>
      </c>
      <c r="B832" s="14">
        <f>CHOOSE(CONTROL!$C$42, 75.9317, 75.9317) * CHOOSE(CONTROL!$C$21, $C$9, 100%, $E$9)</f>
        <v>75.931700000000006</v>
      </c>
      <c r="C832" s="14">
        <f>CHOOSE(CONTROL!$C$42, 75.9362, 75.9362) * CHOOSE(CONTROL!$C$21, $C$9, 100%, $E$9)</f>
        <v>75.936199999999999</v>
      </c>
      <c r="D832" s="14">
        <f>CHOOSE(CONTROL!$C$42, 76.1599, 76.1599) * CHOOSE(CONTROL!$C$21, $C$9, 100%, $E$9)</f>
        <v>76.159899999999993</v>
      </c>
      <c r="E832" s="14">
        <f>CHOOSE(CONTROL!$C$42, 76.192, 76.192) * CHOOSE(CONTROL!$C$21, $C$9, 100%, $E$9)</f>
        <v>76.191999999999993</v>
      </c>
      <c r="F832" s="14">
        <f>CHOOSE(CONTROL!$C$42, 75.9594, 75.9594)*CHOOSE(CONTROL!$C$21, $C$9, 100%, $E$9)</f>
        <v>75.959400000000002</v>
      </c>
      <c r="G832" s="14">
        <f>CHOOSE(CONTROL!$C$42, 75.9763, 75.9763)*CHOOSE(CONTROL!$C$21, $C$9, 100%, $E$9)</f>
        <v>75.976299999999995</v>
      </c>
      <c r="H832" s="14">
        <f>CHOOSE(CONTROL!$C$42, 76.1818, 76.1818) * CHOOSE(CONTROL!$C$21, $C$9, 100%, $E$9)</f>
        <v>76.181799999999996</v>
      </c>
      <c r="I832" s="14">
        <f>CHOOSE(CONTROL!$C$42, 76.1988, 76.1988)* CHOOSE(CONTROL!$C$21, $C$9, 100%, $E$9)</f>
        <v>76.198800000000006</v>
      </c>
      <c r="J832" s="14">
        <f>CHOOSE(CONTROL!$C$42, 75.9524, 75.9524)* CHOOSE(CONTROL!$C$21, $C$9, 100%, $E$9)</f>
        <v>75.952399999999997</v>
      </c>
      <c r="K832" s="53">
        <f>CHOOSE(CONTROL!$C$42, 76.1949, 76.1949) * CHOOSE(CONTROL!$C$21, $C$9, 100%, $E$9)</f>
        <v>76.194900000000004</v>
      </c>
      <c r="L832" s="14">
        <f>CHOOSE(CONTROL!$C$42, 76.7688, 76.7688) * CHOOSE(CONTROL!$C$21, $C$9, 100%, $E$9)</f>
        <v>76.768799999999999</v>
      </c>
      <c r="M832" s="14">
        <f>CHOOSE(CONTROL!$C$42, 74.4039, 74.4039) * CHOOSE(CONTROL!$C$21, $C$9, 100%, $E$9)</f>
        <v>74.403899999999993</v>
      </c>
      <c r="N832" s="14">
        <f>CHOOSE(CONTROL!$C$42, 74.4204, 74.4204) * CHOOSE(CONTROL!$C$21, $C$9, 100%, $E$9)</f>
        <v>74.420400000000001</v>
      </c>
      <c r="O832" s="14">
        <f>CHOOSE(CONTROL!$C$42, 74.6286, 74.6286) * CHOOSE(CONTROL!$C$21, $C$9, 100%, $E$9)</f>
        <v>74.628600000000006</v>
      </c>
      <c r="P832" s="14">
        <f>CHOOSE(CONTROL!$C$42, 74.6405, 74.6405) * CHOOSE(CONTROL!$C$21, $C$9, 100%, $E$9)</f>
        <v>74.640500000000003</v>
      </c>
      <c r="Q832" s="14">
        <f>CHOOSE(CONTROL!$C$42, 75.2233, 75.2233) * CHOOSE(CONTROL!$C$21, $C$9, 100%, $E$9)</f>
        <v>75.223299999999995</v>
      </c>
      <c r="R832" s="14">
        <f>CHOOSE(CONTROL!$C$42, 75.9983, 75.9983) * CHOOSE(CONTROL!$C$21, $C$9, 100%, $E$9)</f>
        <v>75.9983</v>
      </c>
      <c r="S832" s="14">
        <f>CHOOSE(CONTROL!$C$42, 72.9535, 72.9535) * CHOOSE(CONTROL!$C$21, $C$9, 100%, $E$9)</f>
        <v>72.953500000000005</v>
      </c>
      <c r="T83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32" s="57">
        <f>(1000*CHOOSE(CONTROL!$C$42, 695, 695)*CHOOSE(CONTROL!$C$42, 0.5599, 0.5599)*CHOOSE(CONTROL!$C$42, 30, 30))/1000000</f>
        <v>11.673914999999997</v>
      </c>
      <c r="V832" s="57">
        <f>(1000*CHOOSE(CONTROL!$C$42, 500, 500)*CHOOSE(CONTROL!$C$42, 0.275, 0.275)*CHOOSE(CONTROL!$C$42, 30, 30))/1000000</f>
        <v>4.125</v>
      </c>
      <c r="W832" s="57">
        <f>(1000*CHOOSE(CONTROL!$C$42, 0.1146, 0.1146)*CHOOSE(CONTROL!$C$42, 121.5, 121.5)*CHOOSE(CONTROL!$C$42, 30, 30))/1000000</f>
        <v>0.417717</v>
      </c>
      <c r="X832" s="57">
        <f>(30*0.1790888*245000/1000000)+(30*0.2374*100000/1000000)</f>
        <v>2.0285026799999999</v>
      </c>
      <c r="Y832" s="57"/>
      <c r="Z832" s="14"/>
      <c r="AA832" s="56"/>
      <c r="AB832" s="50">
        <f>(B832*141.293+C832*267.993+D832*115.016+E832*89.698+F832*40+G832*185+H832*0+I832*100+J832*300)/(141.293+267.993+115.016+89.698+0+40+185+100+300)</f>
        <v>76.006825108232448</v>
      </c>
      <c r="AC832" s="45">
        <f>(M832*'RAP TEMPLATE-GAS AVAILABILITY'!O831+N832*'RAP TEMPLATE-GAS AVAILABILITY'!P831+O832*'RAP TEMPLATE-GAS AVAILABILITY'!Q831+P832*'RAP TEMPLATE-GAS AVAILABILITY'!R831)/('RAP TEMPLATE-GAS AVAILABILITY'!O831+'RAP TEMPLATE-GAS AVAILABILITY'!P831+'RAP TEMPLATE-GAS AVAILABILITY'!Q831+'RAP TEMPLATE-GAS AVAILABILITY'!R831)</f>
        <v>74.540735251798566</v>
      </c>
    </row>
    <row r="833" spans="1:29" ht="15.75" x14ac:dyDescent="0.25">
      <c r="A833" s="32">
        <v>66262</v>
      </c>
      <c r="B833" s="14">
        <f>CHOOSE(CONTROL!$C$42, 76.6032, 76.6032) * CHOOSE(CONTROL!$C$21, $C$9, 100%, $E$9)</f>
        <v>76.603200000000001</v>
      </c>
      <c r="C833" s="14">
        <f>CHOOSE(CONTROL!$C$42, 76.6112, 76.6112) * CHOOSE(CONTROL!$C$21, $C$9, 100%, $E$9)</f>
        <v>76.611199999999997</v>
      </c>
      <c r="D833" s="14">
        <f>CHOOSE(CONTROL!$C$42, 76.8318, 76.8318) * CHOOSE(CONTROL!$C$21, $C$9, 100%, $E$9)</f>
        <v>76.831800000000001</v>
      </c>
      <c r="E833" s="14">
        <f>CHOOSE(CONTROL!$C$42, 76.8633, 76.8633) * CHOOSE(CONTROL!$C$21, $C$9, 100%, $E$9)</f>
        <v>76.863299999999995</v>
      </c>
      <c r="F833" s="14">
        <f>CHOOSE(CONTROL!$C$42, 76.6295, 76.6295)*CHOOSE(CONTROL!$C$21, $C$9, 100%, $E$9)</f>
        <v>76.629499999999993</v>
      </c>
      <c r="G833" s="14">
        <f>CHOOSE(CONTROL!$C$42, 76.6466, 76.6466)*CHOOSE(CONTROL!$C$21, $C$9, 100%, $E$9)</f>
        <v>76.646600000000007</v>
      </c>
      <c r="H833" s="14">
        <f>CHOOSE(CONTROL!$C$42, 76.8519, 76.8519) * CHOOSE(CONTROL!$C$21, $C$9, 100%, $E$9)</f>
        <v>76.851900000000001</v>
      </c>
      <c r="I833" s="14">
        <f>CHOOSE(CONTROL!$C$42, 76.871, 76.871)* CHOOSE(CONTROL!$C$21, $C$9, 100%, $E$9)</f>
        <v>76.870999999999995</v>
      </c>
      <c r="J833" s="14">
        <f>CHOOSE(CONTROL!$C$42, 76.6225, 76.6225)* CHOOSE(CONTROL!$C$21, $C$9, 100%, $E$9)</f>
        <v>76.622500000000002</v>
      </c>
      <c r="K833" s="53">
        <f>CHOOSE(CONTROL!$C$42, 76.8671, 76.8671) * CHOOSE(CONTROL!$C$21, $C$9, 100%, $E$9)</f>
        <v>76.867099999999994</v>
      </c>
      <c r="L833" s="14">
        <f>CHOOSE(CONTROL!$C$42, 77.4389, 77.4389) * CHOOSE(CONTROL!$C$21, $C$9, 100%, $E$9)</f>
        <v>77.438900000000004</v>
      </c>
      <c r="M833" s="14">
        <f>CHOOSE(CONTROL!$C$42, 75.0602, 75.0602) * CHOOSE(CONTROL!$C$21, $C$9, 100%, $E$9)</f>
        <v>75.060199999999995</v>
      </c>
      <c r="N833" s="14">
        <f>CHOOSE(CONTROL!$C$42, 75.077, 75.077) * CHOOSE(CONTROL!$C$21, $C$9, 100%, $E$9)</f>
        <v>75.076999999999998</v>
      </c>
      <c r="O833" s="14">
        <f>CHOOSE(CONTROL!$C$42, 75.285, 75.285) * CHOOSE(CONTROL!$C$21, $C$9, 100%, $E$9)</f>
        <v>75.284999999999997</v>
      </c>
      <c r="P833" s="14">
        <f>CHOOSE(CONTROL!$C$42, 75.2989, 75.2989) * CHOOSE(CONTROL!$C$21, $C$9, 100%, $E$9)</f>
        <v>75.298900000000003</v>
      </c>
      <c r="Q833" s="14">
        <f>CHOOSE(CONTROL!$C$42, 75.8797, 75.8797) * CHOOSE(CONTROL!$C$21, $C$9, 100%, $E$9)</f>
        <v>75.8797</v>
      </c>
      <c r="R833" s="14">
        <f>CHOOSE(CONTROL!$C$42, 76.6564, 76.6564) * CHOOSE(CONTROL!$C$21, $C$9, 100%, $E$9)</f>
        <v>76.656400000000005</v>
      </c>
      <c r="S833" s="14">
        <f>CHOOSE(CONTROL!$C$42, 73.5974, 73.5974) * CHOOSE(CONTROL!$C$21, $C$9, 100%, $E$9)</f>
        <v>73.597399999999993</v>
      </c>
      <c r="T83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33" s="57">
        <f>(1000*CHOOSE(CONTROL!$C$42, 695, 695)*CHOOSE(CONTROL!$C$42, 0.5599, 0.5599)*CHOOSE(CONTROL!$C$42, 31, 31))/1000000</f>
        <v>12.063045499999998</v>
      </c>
      <c r="V833" s="57">
        <f>(1000*CHOOSE(CONTROL!$C$42, 500, 500)*CHOOSE(CONTROL!$C$42, 0.275, 0.275)*CHOOSE(CONTROL!$C$42, 31, 31))/1000000</f>
        <v>4.2625000000000002</v>
      </c>
      <c r="W833" s="57">
        <f>(1000*CHOOSE(CONTROL!$C$42, 0.1146, 0.1146)*CHOOSE(CONTROL!$C$42, 121.5, 121.5)*CHOOSE(CONTROL!$C$42, 31, 31))/1000000</f>
        <v>0.43164089999999994</v>
      </c>
      <c r="X833" s="57">
        <f>(31*0.1790888*245000/1000000)+(31*0.2374*100000/1000000)</f>
        <v>2.0961194359999999</v>
      </c>
      <c r="Y833" s="57"/>
      <c r="Z833" s="14"/>
      <c r="AA833" s="56"/>
      <c r="AB833" s="50">
        <f>(B833*194.205+C833*267.466+D833*133.845+E833*53.484+F833*40+G833*185+H833*0+I833*100+J833*300)/(194.205+267.466+133.845+53.484+0+40+185+100+300)</f>
        <v>76.672508385714295</v>
      </c>
      <c r="AC833" s="45">
        <f>(M833*'RAP TEMPLATE-GAS AVAILABILITY'!O832+N833*'RAP TEMPLATE-GAS AVAILABILITY'!P832+O833*'RAP TEMPLATE-GAS AVAILABILITY'!Q832+P833*'RAP TEMPLATE-GAS AVAILABILITY'!R832)/('RAP TEMPLATE-GAS AVAILABILITY'!O832+'RAP TEMPLATE-GAS AVAILABILITY'!P832+'RAP TEMPLATE-GAS AVAILABILITY'!Q832+'RAP TEMPLATE-GAS AVAILABILITY'!R832)</f>
        <v>75.197400000000002</v>
      </c>
    </row>
    <row r="834" spans="1:29" ht="15.75" x14ac:dyDescent="0.25">
      <c r="A834" s="32">
        <v>66292</v>
      </c>
      <c r="B834" s="14">
        <f>CHOOSE(CONTROL!$C$42, 78.7758, 78.7758) * CHOOSE(CONTROL!$C$21, $C$9, 100%, $E$9)</f>
        <v>78.775800000000004</v>
      </c>
      <c r="C834" s="14">
        <f>CHOOSE(CONTROL!$C$42, 78.7838, 78.7838) * CHOOSE(CONTROL!$C$21, $C$9, 100%, $E$9)</f>
        <v>78.783799999999999</v>
      </c>
      <c r="D834" s="14">
        <f>CHOOSE(CONTROL!$C$42, 79.0044, 79.0044) * CHOOSE(CONTROL!$C$21, $C$9, 100%, $E$9)</f>
        <v>79.004400000000004</v>
      </c>
      <c r="E834" s="14">
        <f>CHOOSE(CONTROL!$C$42, 79.0359, 79.0359) * CHOOSE(CONTROL!$C$21, $C$9, 100%, $E$9)</f>
        <v>79.035899999999998</v>
      </c>
      <c r="F834" s="14">
        <f>CHOOSE(CONTROL!$C$42, 78.8024, 78.8024)*CHOOSE(CONTROL!$C$21, $C$9, 100%, $E$9)</f>
        <v>78.802400000000006</v>
      </c>
      <c r="G834" s="14">
        <f>CHOOSE(CONTROL!$C$42, 78.8196, 78.8196)*CHOOSE(CONTROL!$C$21, $C$9, 100%, $E$9)</f>
        <v>78.819599999999994</v>
      </c>
      <c r="H834" s="14">
        <f>CHOOSE(CONTROL!$C$42, 79.0245, 79.0245) * CHOOSE(CONTROL!$C$21, $C$9, 100%, $E$9)</f>
        <v>79.024500000000003</v>
      </c>
      <c r="I834" s="14">
        <f>CHOOSE(CONTROL!$C$42, 79.0504, 79.0504)* CHOOSE(CONTROL!$C$21, $C$9, 100%, $E$9)</f>
        <v>79.050399999999996</v>
      </c>
      <c r="J834" s="14">
        <f>CHOOSE(CONTROL!$C$42, 78.7954, 78.7954)* CHOOSE(CONTROL!$C$21, $C$9, 100%, $E$9)</f>
        <v>78.795400000000001</v>
      </c>
      <c r="K834" s="53">
        <f>CHOOSE(CONTROL!$C$42, 79.0465, 79.0465) * CHOOSE(CONTROL!$C$21, $C$9, 100%, $E$9)</f>
        <v>79.046499999999995</v>
      </c>
      <c r="L834" s="14">
        <f>CHOOSE(CONTROL!$C$42, 79.6115, 79.6115) * CHOOSE(CONTROL!$C$21, $C$9, 100%, $E$9)</f>
        <v>79.611500000000007</v>
      </c>
      <c r="M834" s="14">
        <f>CHOOSE(CONTROL!$C$42, 77.1887, 77.1887) * CHOOSE(CONTROL!$C$21, $C$9, 100%, $E$9)</f>
        <v>77.188699999999997</v>
      </c>
      <c r="N834" s="14">
        <f>CHOOSE(CONTROL!$C$42, 77.2055, 77.2055) * CHOOSE(CONTROL!$C$21, $C$9, 100%, $E$9)</f>
        <v>77.205500000000001</v>
      </c>
      <c r="O834" s="14">
        <f>CHOOSE(CONTROL!$C$42, 77.4131, 77.4131) * CHOOSE(CONTROL!$C$21, $C$9, 100%, $E$9)</f>
        <v>77.4131</v>
      </c>
      <c r="P834" s="14">
        <f>CHOOSE(CONTROL!$C$42, 77.4335, 77.4335) * CHOOSE(CONTROL!$C$21, $C$9, 100%, $E$9)</f>
        <v>77.433499999999995</v>
      </c>
      <c r="Q834" s="14">
        <f>CHOOSE(CONTROL!$C$42, 78.0078, 78.0078) * CHOOSE(CONTROL!$C$21, $C$9, 100%, $E$9)</f>
        <v>78.007800000000003</v>
      </c>
      <c r="R834" s="14">
        <f>CHOOSE(CONTROL!$C$42, 78.7898, 78.7898) * CHOOSE(CONTROL!$C$21, $C$9, 100%, $E$9)</f>
        <v>78.7898</v>
      </c>
      <c r="S834" s="14">
        <f>CHOOSE(CONTROL!$C$42, 75.685, 75.685) * CHOOSE(CONTROL!$C$21, $C$9, 100%, $E$9)</f>
        <v>75.685000000000002</v>
      </c>
      <c r="T83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34" s="57">
        <f>(1000*CHOOSE(CONTROL!$C$42, 695, 695)*CHOOSE(CONTROL!$C$42, 0.5599, 0.5599)*CHOOSE(CONTROL!$C$42, 30, 30))/1000000</f>
        <v>11.673914999999997</v>
      </c>
      <c r="V834" s="57">
        <f>(1000*CHOOSE(CONTROL!$C$42, 500, 500)*CHOOSE(CONTROL!$C$42, 0.275, 0.275)*CHOOSE(CONTROL!$C$42, 30, 30))/1000000</f>
        <v>4.125</v>
      </c>
      <c r="W834" s="57">
        <f>(1000*CHOOSE(CONTROL!$C$42, 0.1146, 0.1146)*CHOOSE(CONTROL!$C$42, 121.5, 121.5)*CHOOSE(CONTROL!$C$42, 30, 30))/1000000</f>
        <v>0.417717</v>
      </c>
      <c r="X834" s="57">
        <f>(30*0.1790888*245000/1000000)+(30*0.2374*100000/1000000)</f>
        <v>2.0285026799999999</v>
      </c>
      <c r="Y834" s="57"/>
      <c r="Z834" s="14"/>
      <c r="AA834" s="56"/>
      <c r="AB834" s="50">
        <f>(B834*194.205+C834*267.466+D834*133.845+E834*53.484+F834*40+G834*185+H834*0+I834*100+J834*300)/(194.205+267.466+133.845+53.484+0+40+185+100+300)</f>
        <v>78.845780285243322</v>
      </c>
      <c r="AC834" s="45">
        <f>(M834*'RAP TEMPLATE-GAS AVAILABILITY'!O833+N834*'RAP TEMPLATE-GAS AVAILABILITY'!P833+O834*'RAP TEMPLATE-GAS AVAILABILITY'!Q833+P834*'RAP TEMPLATE-GAS AVAILABILITY'!R833)/('RAP TEMPLATE-GAS AVAILABILITY'!O833+'RAP TEMPLATE-GAS AVAILABILITY'!P833+'RAP TEMPLATE-GAS AVAILABILITY'!Q833+'RAP TEMPLATE-GAS AVAILABILITY'!R833)</f>
        <v>77.326596402877698</v>
      </c>
    </row>
    <row r="835" spans="1:29" ht="15.75" x14ac:dyDescent="0.25">
      <c r="A835" s="32">
        <v>66323</v>
      </c>
      <c r="B835" s="14">
        <f>CHOOSE(CONTROL!$C$42, 77.2647, 77.2647) * CHOOSE(CONTROL!$C$21, $C$9, 100%, $E$9)</f>
        <v>77.264700000000005</v>
      </c>
      <c r="C835" s="14">
        <f>CHOOSE(CONTROL!$C$42, 77.2728, 77.2728) * CHOOSE(CONTROL!$C$21, $C$9, 100%, $E$9)</f>
        <v>77.272800000000004</v>
      </c>
      <c r="D835" s="14">
        <f>CHOOSE(CONTROL!$C$42, 77.4934, 77.4934) * CHOOSE(CONTROL!$C$21, $C$9, 100%, $E$9)</f>
        <v>77.493399999999994</v>
      </c>
      <c r="E835" s="14">
        <f>CHOOSE(CONTROL!$C$42, 77.5248, 77.5248) * CHOOSE(CONTROL!$C$21, $C$9, 100%, $E$9)</f>
        <v>77.524799999999999</v>
      </c>
      <c r="F835" s="14">
        <f>CHOOSE(CONTROL!$C$42, 77.2918, 77.2918)*CHOOSE(CONTROL!$C$21, $C$9, 100%, $E$9)</f>
        <v>77.291799999999995</v>
      </c>
      <c r="G835" s="14">
        <f>CHOOSE(CONTROL!$C$42, 77.3091, 77.3091)*CHOOSE(CONTROL!$C$21, $C$9, 100%, $E$9)</f>
        <v>77.309100000000001</v>
      </c>
      <c r="H835" s="14">
        <f>CHOOSE(CONTROL!$C$42, 77.5135, 77.5135) * CHOOSE(CONTROL!$C$21, $C$9, 100%, $E$9)</f>
        <v>77.513499999999993</v>
      </c>
      <c r="I835" s="14">
        <f>CHOOSE(CONTROL!$C$42, 77.5346, 77.5346)* CHOOSE(CONTROL!$C$21, $C$9, 100%, $E$9)</f>
        <v>77.534599999999998</v>
      </c>
      <c r="J835" s="14">
        <f>CHOOSE(CONTROL!$C$42, 77.2848, 77.2848)* CHOOSE(CONTROL!$C$21, $C$9, 100%, $E$9)</f>
        <v>77.284800000000004</v>
      </c>
      <c r="K835" s="53">
        <f>CHOOSE(CONTROL!$C$42, 77.5307, 77.5307) * CHOOSE(CONTROL!$C$21, $C$9, 100%, $E$9)</f>
        <v>77.530699999999996</v>
      </c>
      <c r="L835" s="14">
        <f>CHOOSE(CONTROL!$C$42, 78.1005, 78.1005) * CHOOSE(CONTROL!$C$21, $C$9, 100%, $E$9)</f>
        <v>78.100499999999997</v>
      </c>
      <c r="M835" s="14">
        <f>CHOOSE(CONTROL!$C$42, 75.709, 75.709) * CHOOSE(CONTROL!$C$21, $C$9, 100%, $E$9)</f>
        <v>75.709000000000003</v>
      </c>
      <c r="N835" s="14">
        <f>CHOOSE(CONTROL!$C$42, 75.726, 75.726) * CHOOSE(CONTROL!$C$21, $C$9, 100%, $E$9)</f>
        <v>75.725999999999999</v>
      </c>
      <c r="O835" s="14">
        <f>CHOOSE(CONTROL!$C$42, 75.9329, 75.9329) * CHOOSE(CONTROL!$C$21, $C$9, 100%, $E$9)</f>
        <v>75.932900000000004</v>
      </c>
      <c r="P835" s="14">
        <f>CHOOSE(CONTROL!$C$42, 75.9489, 75.9489) * CHOOSE(CONTROL!$C$21, $C$9, 100%, $E$9)</f>
        <v>75.948899999999995</v>
      </c>
      <c r="Q835" s="14">
        <f>CHOOSE(CONTROL!$C$42, 76.5276, 76.5276) * CHOOSE(CONTROL!$C$21, $C$9, 100%, $E$9)</f>
        <v>76.527600000000007</v>
      </c>
      <c r="R835" s="14">
        <f>CHOOSE(CONTROL!$C$42, 77.306, 77.306) * CHOOSE(CONTROL!$C$21, $C$9, 100%, $E$9)</f>
        <v>77.305999999999997</v>
      </c>
      <c r="S835" s="14">
        <f>CHOOSE(CONTROL!$C$42, 74.2331, 74.2331) * CHOOSE(CONTROL!$C$21, $C$9, 100%, $E$9)</f>
        <v>74.233099999999993</v>
      </c>
      <c r="T83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35" s="57">
        <f>(1000*CHOOSE(CONTROL!$C$42, 695, 695)*CHOOSE(CONTROL!$C$42, 0.5599, 0.5599)*CHOOSE(CONTROL!$C$42, 31, 31))/1000000</f>
        <v>12.063045499999998</v>
      </c>
      <c r="V835" s="57">
        <f>(1000*CHOOSE(CONTROL!$C$42, 500, 500)*CHOOSE(CONTROL!$C$42, 0.275, 0.275)*CHOOSE(CONTROL!$C$42, 31, 31))/1000000</f>
        <v>4.2625000000000002</v>
      </c>
      <c r="W835" s="57">
        <f>(1000*CHOOSE(CONTROL!$C$42, 0.1146, 0.1146)*CHOOSE(CONTROL!$C$42, 121.5, 121.5)*CHOOSE(CONTROL!$C$42, 31, 31))/1000000</f>
        <v>0.43164089999999994</v>
      </c>
      <c r="X835" s="57">
        <f>(31*0.1790888*245000/1000000)+(31*0.2374*100000/1000000)</f>
        <v>2.0961194359999999</v>
      </c>
      <c r="Y835" s="57"/>
      <c r="Z835" s="14"/>
      <c r="AA835" s="56"/>
      <c r="AB835" s="50">
        <f>(B835*194.205+C835*267.466+D835*133.845+E835*53.484+F835*40+G835*185+H835*0+I835*100+J835*300)/(194.205+267.466+133.845+53.484+0+40+185+100+300)</f>
        <v>77.33456343367348</v>
      </c>
      <c r="AC835" s="45">
        <f>(M835*'RAP TEMPLATE-GAS AVAILABILITY'!O834+N835*'RAP TEMPLATE-GAS AVAILABILITY'!P834+O835*'RAP TEMPLATE-GAS AVAILABILITY'!Q834+P835*'RAP TEMPLATE-GAS AVAILABILITY'!R834)/('RAP TEMPLATE-GAS AVAILABILITY'!O834+'RAP TEMPLATE-GAS AVAILABILITY'!P834+'RAP TEMPLATE-GAS AVAILABILITY'!Q834+'RAP TEMPLATE-GAS AVAILABILITY'!R834)</f>
        <v>75.845976258992806</v>
      </c>
    </row>
    <row r="836" spans="1:29" ht="15.75" x14ac:dyDescent="0.25">
      <c r="A836" s="32">
        <v>66354</v>
      </c>
      <c r="B836" s="14">
        <f>CHOOSE(CONTROL!$C$42, 73.4488, 73.4488) * CHOOSE(CONTROL!$C$21, $C$9, 100%, $E$9)</f>
        <v>73.448800000000006</v>
      </c>
      <c r="C836" s="14">
        <f>CHOOSE(CONTROL!$C$42, 73.4568, 73.4568) * CHOOSE(CONTROL!$C$21, $C$9, 100%, $E$9)</f>
        <v>73.456800000000001</v>
      </c>
      <c r="D836" s="14">
        <f>CHOOSE(CONTROL!$C$42, 73.6774, 73.6774) * CHOOSE(CONTROL!$C$21, $C$9, 100%, $E$9)</f>
        <v>73.677400000000006</v>
      </c>
      <c r="E836" s="14">
        <f>CHOOSE(CONTROL!$C$42, 73.7089, 73.7089) * CHOOSE(CONTROL!$C$21, $C$9, 100%, $E$9)</f>
        <v>73.7089</v>
      </c>
      <c r="F836" s="14">
        <f>CHOOSE(CONTROL!$C$42, 73.4762, 73.4762)*CHOOSE(CONTROL!$C$21, $C$9, 100%, $E$9)</f>
        <v>73.476200000000006</v>
      </c>
      <c r="G836" s="14">
        <f>CHOOSE(CONTROL!$C$42, 73.4936, 73.4936)*CHOOSE(CONTROL!$C$21, $C$9, 100%, $E$9)</f>
        <v>73.493600000000001</v>
      </c>
      <c r="H836" s="14">
        <f>CHOOSE(CONTROL!$C$42, 73.6975, 73.6975) * CHOOSE(CONTROL!$C$21, $C$9, 100%, $E$9)</f>
        <v>73.697500000000005</v>
      </c>
      <c r="I836" s="14">
        <f>CHOOSE(CONTROL!$C$42, 73.7067, 73.7067)* CHOOSE(CONTROL!$C$21, $C$9, 100%, $E$9)</f>
        <v>73.706699999999998</v>
      </c>
      <c r="J836" s="14">
        <f>CHOOSE(CONTROL!$C$42, 73.4692, 73.4692)* CHOOSE(CONTROL!$C$21, $C$9, 100%, $E$9)</f>
        <v>73.469200000000001</v>
      </c>
      <c r="K836" s="53">
        <f>CHOOSE(CONTROL!$C$42, 73.7028, 73.7028) * CHOOSE(CONTROL!$C$21, $C$9, 100%, $E$9)</f>
        <v>73.702799999999996</v>
      </c>
      <c r="L836" s="14">
        <f>CHOOSE(CONTROL!$C$42, 74.2845, 74.2845) * CHOOSE(CONTROL!$C$21, $C$9, 100%, $E$9)</f>
        <v>74.284499999999994</v>
      </c>
      <c r="M836" s="14">
        <f>CHOOSE(CONTROL!$C$42, 71.9715, 71.9715) * CHOOSE(CONTROL!$C$21, $C$9, 100%, $E$9)</f>
        <v>71.971500000000006</v>
      </c>
      <c r="N836" s="14">
        <f>CHOOSE(CONTROL!$C$42, 71.9886, 71.9886) * CHOOSE(CONTROL!$C$21, $C$9, 100%, $E$9)</f>
        <v>71.988600000000005</v>
      </c>
      <c r="O836" s="14">
        <f>CHOOSE(CONTROL!$C$42, 72.1952, 72.1952) * CHOOSE(CONTROL!$C$21, $C$9, 100%, $E$9)</f>
        <v>72.1952</v>
      </c>
      <c r="P836" s="14">
        <f>CHOOSE(CONTROL!$C$42, 72.1997, 72.1997) * CHOOSE(CONTROL!$C$21, $C$9, 100%, $E$9)</f>
        <v>72.199700000000007</v>
      </c>
      <c r="Q836" s="14">
        <f>CHOOSE(CONTROL!$C$42, 72.7899, 72.7899) * CHOOSE(CONTROL!$C$21, $C$9, 100%, $E$9)</f>
        <v>72.789900000000003</v>
      </c>
      <c r="R836" s="14">
        <f>CHOOSE(CONTROL!$C$42, 73.5589, 73.5589) * CHOOSE(CONTROL!$C$21, $C$9, 100%, $E$9)</f>
        <v>73.558899999999994</v>
      </c>
      <c r="S836" s="14">
        <f>CHOOSE(CONTROL!$C$42, 70.5663, 70.5663) * CHOOSE(CONTROL!$C$21, $C$9, 100%, $E$9)</f>
        <v>70.566299999999998</v>
      </c>
      <c r="T83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36" s="57">
        <f>(1000*CHOOSE(CONTROL!$C$42, 695, 695)*CHOOSE(CONTROL!$C$42, 0.5599, 0.5599)*CHOOSE(CONTROL!$C$42, 31, 31))/1000000</f>
        <v>12.063045499999998</v>
      </c>
      <c r="V836" s="57">
        <f>(1000*CHOOSE(CONTROL!$C$42, 500, 500)*CHOOSE(CONTROL!$C$42, 0.275, 0.275)*CHOOSE(CONTROL!$C$42, 31, 31))/1000000</f>
        <v>4.2625000000000002</v>
      </c>
      <c r="W836" s="57">
        <f>(1000*CHOOSE(CONTROL!$C$42, 0.1146, 0.1146)*CHOOSE(CONTROL!$C$42, 121.5, 121.5)*CHOOSE(CONTROL!$C$42, 31, 31))/1000000</f>
        <v>0.43164089999999994</v>
      </c>
      <c r="X836" s="57">
        <f>(31*0.1790888*245000/1000000)+(31*0.2374*100000/1000000)</f>
        <v>2.0961194359999999</v>
      </c>
      <c r="Y836" s="57"/>
      <c r="Z836" s="14"/>
      <c r="AA836" s="56"/>
      <c r="AB836" s="50">
        <f>(B836*194.205+C836*267.466+D836*133.845+E836*53.484+F836*40+G836*185+H836*0+I836*100+J836*300)/(194.205+267.466+133.845+53.484+0+40+185+100+300)</f>
        <v>73.517828165934077</v>
      </c>
      <c r="AC836" s="45">
        <f>(M836*'RAP TEMPLATE-GAS AVAILABILITY'!O835+N836*'RAP TEMPLATE-GAS AVAILABILITY'!P835+O836*'RAP TEMPLATE-GAS AVAILABILITY'!Q835+P836*'RAP TEMPLATE-GAS AVAILABILITY'!R835)/('RAP TEMPLATE-GAS AVAILABILITY'!O835+'RAP TEMPLATE-GAS AVAILABILITY'!P835+'RAP TEMPLATE-GAS AVAILABILITY'!Q835+'RAP TEMPLATE-GAS AVAILABILITY'!R835)</f>
        <v>72.106707913669069</v>
      </c>
    </row>
    <row r="837" spans="1:29" ht="15.75" x14ac:dyDescent="0.25">
      <c r="A837" s="32">
        <v>66384</v>
      </c>
      <c r="B837" s="14">
        <f>CHOOSE(CONTROL!$C$42, 68.7862, 68.7862) * CHOOSE(CONTROL!$C$21, $C$9, 100%, $E$9)</f>
        <v>68.786199999999994</v>
      </c>
      <c r="C837" s="14">
        <f>CHOOSE(CONTROL!$C$42, 68.7943, 68.7943) * CHOOSE(CONTROL!$C$21, $C$9, 100%, $E$9)</f>
        <v>68.794300000000007</v>
      </c>
      <c r="D837" s="14">
        <f>CHOOSE(CONTROL!$C$42, 69.0148, 69.0148) * CHOOSE(CONTROL!$C$21, $C$9, 100%, $E$9)</f>
        <v>69.014799999999994</v>
      </c>
      <c r="E837" s="14">
        <f>CHOOSE(CONTROL!$C$42, 69.0463, 69.0463) * CHOOSE(CONTROL!$C$21, $C$9, 100%, $E$9)</f>
        <v>69.046300000000002</v>
      </c>
      <c r="F837" s="14">
        <f>CHOOSE(CONTROL!$C$42, 68.8136, 68.8136)*CHOOSE(CONTROL!$C$21, $C$9, 100%, $E$9)</f>
        <v>68.813599999999994</v>
      </c>
      <c r="G837" s="14">
        <f>CHOOSE(CONTROL!$C$42, 68.831, 68.831)*CHOOSE(CONTROL!$C$21, $C$9, 100%, $E$9)</f>
        <v>68.831000000000003</v>
      </c>
      <c r="H837" s="14">
        <f>CHOOSE(CONTROL!$C$42, 69.0349, 69.0349) * CHOOSE(CONTROL!$C$21, $C$9, 100%, $E$9)</f>
        <v>69.034899999999993</v>
      </c>
      <c r="I837" s="14">
        <f>CHOOSE(CONTROL!$C$42, 69.0295, 69.0295)* CHOOSE(CONTROL!$C$21, $C$9, 100%, $E$9)</f>
        <v>69.029499999999999</v>
      </c>
      <c r="J837" s="14">
        <f>CHOOSE(CONTROL!$C$42, 68.8066, 68.8066)* CHOOSE(CONTROL!$C$21, $C$9, 100%, $E$9)</f>
        <v>68.806600000000003</v>
      </c>
      <c r="K837" s="53">
        <f>CHOOSE(CONTROL!$C$42, 69.0257, 69.0257) * CHOOSE(CONTROL!$C$21, $C$9, 100%, $E$9)</f>
        <v>69.025700000000001</v>
      </c>
      <c r="L837" s="14">
        <f>CHOOSE(CONTROL!$C$42, 69.6219, 69.6219) * CHOOSE(CONTROL!$C$21, $C$9, 100%, $E$9)</f>
        <v>69.621899999999997</v>
      </c>
      <c r="M837" s="14">
        <f>CHOOSE(CONTROL!$C$42, 67.4045, 67.4045) * CHOOSE(CONTROL!$C$21, $C$9, 100%, $E$9)</f>
        <v>67.404499999999999</v>
      </c>
      <c r="N837" s="14">
        <f>CHOOSE(CONTROL!$C$42, 67.4215, 67.4215) * CHOOSE(CONTROL!$C$21, $C$9, 100%, $E$9)</f>
        <v>67.421499999999995</v>
      </c>
      <c r="O837" s="14">
        <f>CHOOSE(CONTROL!$C$42, 67.6282, 67.6282) * CHOOSE(CONTROL!$C$21, $C$9, 100%, $E$9)</f>
        <v>67.628200000000007</v>
      </c>
      <c r="P837" s="14">
        <f>CHOOSE(CONTROL!$C$42, 67.6186, 67.6186) * CHOOSE(CONTROL!$C$21, $C$9, 100%, $E$9)</f>
        <v>67.618600000000001</v>
      </c>
      <c r="Q837" s="14">
        <f>CHOOSE(CONTROL!$C$42, 68.2229, 68.2229) * CHOOSE(CONTROL!$C$21, $C$9, 100%, $E$9)</f>
        <v>68.222899999999996</v>
      </c>
      <c r="R837" s="14">
        <f>CHOOSE(CONTROL!$C$42, 68.9804, 68.9804) * CHOOSE(CONTROL!$C$21, $C$9, 100%, $E$9)</f>
        <v>68.980400000000003</v>
      </c>
      <c r="S837" s="14">
        <f>CHOOSE(CONTROL!$C$42, 66.0861, 66.0861) * CHOOSE(CONTROL!$C$21, $C$9, 100%, $E$9)</f>
        <v>66.086100000000002</v>
      </c>
      <c r="T83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37" s="57">
        <f>(1000*CHOOSE(CONTROL!$C$42, 695, 695)*CHOOSE(CONTROL!$C$42, 0.5599, 0.5599)*CHOOSE(CONTROL!$C$42, 30, 30))/1000000</f>
        <v>11.673914999999997</v>
      </c>
      <c r="V837" s="57">
        <f>(1000*CHOOSE(CONTROL!$C$42, 500, 500)*CHOOSE(CONTROL!$C$42, 0.275, 0.275)*CHOOSE(CONTROL!$C$42, 30, 30))/1000000</f>
        <v>4.125</v>
      </c>
      <c r="W837" s="57">
        <f>(1000*CHOOSE(CONTROL!$C$42, 0.1146, 0.1146)*CHOOSE(CONTROL!$C$42, 121.5, 121.5)*CHOOSE(CONTROL!$C$42, 30, 30))/1000000</f>
        <v>0.417717</v>
      </c>
      <c r="X837" s="57">
        <f>(30*0.1790888*245000/1000000)+(30*0.2374*100000/1000000)</f>
        <v>2.0285026799999999</v>
      </c>
      <c r="Y837" s="57"/>
      <c r="Z837" s="14"/>
      <c r="AA837" s="56"/>
      <c r="AB837" s="50">
        <f>(B837*194.205+C837*267.466+D837*133.845+E837*53.484+F837*40+G837*185+H837*0+I837*100+J837*300)/(194.205+267.466+133.845+53.484+0+40+185+100+300)</f>
        <v>68.854103163265307</v>
      </c>
      <c r="AC837" s="45">
        <f>(M837*'RAP TEMPLATE-GAS AVAILABILITY'!O836+N837*'RAP TEMPLATE-GAS AVAILABILITY'!P836+O837*'RAP TEMPLATE-GAS AVAILABILITY'!Q836+P837*'RAP TEMPLATE-GAS AVAILABILITY'!R836)/('RAP TEMPLATE-GAS AVAILABILITY'!O836+'RAP TEMPLATE-GAS AVAILABILITY'!P836+'RAP TEMPLATE-GAS AVAILABILITY'!Q836+'RAP TEMPLATE-GAS AVAILABILITY'!R836)</f>
        <v>67.537673381294965</v>
      </c>
    </row>
    <row r="838" spans="1:29" ht="15.75" x14ac:dyDescent="0.25">
      <c r="A838" s="32">
        <v>66415</v>
      </c>
      <c r="B838" s="14">
        <f>CHOOSE(CONTROL!$C$42, 67.3881, 67.3881) * CHOOSE(CONTROL!$C$21, $C$9, 100%, $E$9)</f>
        <v>67.388099999999994</v>
      </c>
      <c r="C838" s="14">
        <f>CHOOSE(CONTROL!$C$42, 67.3934, 67.3934) * CHOOSE(CONTROL!$C$21, $C$9, 100%, $E$9)</f>
        <v>67.3934</v>
      </c>
      <c r="D838" s="14">
        <f>CHOOSE(CONTROL!$C$42, 67.6189, 67.6189) * CHOOSE(CONTROL!$C$21, $C$9, 100%, $E$9)</f>
        <v>67.618899999999996</v>
      </c>
      <c r="E838" s="14">
        <f>CHOOSE(CONTROL!$C$42, 67.6481, 67.6481) * CHOOSE(CONTROL!$C$21, $C$9, 100%, $E$9)</f>
        <v>67.648099999999999</v>
      </c>
      <c r="F838" s="14">
        <f>CHOOSE(CONTROL!$C$42, 67.4174, 67.4174)*CHOOSE(CONTROL!$C$21, $C$9, 100%, $E$9)</f>
        <v>67.417400000000001</v>
      </c>
      <c r="G838" s="14">
        <f>CHOOSE(CONTROL!$C$42, 67.4347, 67.4347)*CHOOSE(CONTROL!$C$21, $C$9, 100%, $E$9)</f>
        <v>67.434700000000007</v>
      </c>
      <c r="H838" s="14">
        <f>CHOOSE(CONTROL!$C$42, 67.6385, 67.6385) * CHOOSE(CONTROL!$C$21, $C$9, 100%, $E$9)</f>
        <v>67.638499999999993</v>
      </c>
      <c r="I838" s="14">
        <f>CHOOSE(CONTROL!$C$42, 67.6288, 67.6288)* CHOOSE(CONTROL!$C$21, $C$9, 100%, $E$9)</f>
        <v>67.628799999999998</v>
      </c>
      <c r="J838" s="14">
        <f>CHOOSE(CONTROL!$C$42, 67.4104, 67.4104)* CHOOSE(CONTROL!$C$21, $C$9, 100%, $E$9)</f>
        <v>67.410399999999996</v>
      </c>
      <c r="K838" s="53">
        <f>CHOOSE(CONTROL!$C$42, 67.6249, 67.6249) * CHOOSE(CONTROL!$C$21, $C$9, 100%, $E$9)</f>
        <v>67.624899999999997</v>
      </c>
      <c r="L838" s="14">
        <f>CHOOSE(CONTROL!$C$42, 68.2255, 68.2255) * CHOOSE(CONTROL!$C$21, $C$9, 100%, $E$9)</f>
        <v>68.225499999999997</v>
      </c>
      <c r="M838" s="14">
        <f>CHOOSE(CONTROL!$C$42, 66.0369, 66.0369) * CHOOSE(CONTROL!$C$21, $C$9, 100%, $E$9)</f>
        <v>66.036900000000003</v>
      </c>
      <c r="N838" s="14">
        <f>CHOOSE(CONTROL!$C$42, 66.0538, 66.0538) * CHOOSE(CONTROL!$C$21, $C$9, 100%, $E$9)</f>
        <v>66.053799999999995</v>
      </c>
      <c r="O838" s="14">
        <f>CHOOSE(CONTROL!$C$42, 66.2604, 66.2604) * CHOOSE(CONTROL!$C$21, $C$9, 100%, $E$9)</f>
        <v>66.260400000000004</v>
      </c>
      <c r="P838" s="14">
        <f>CHOOSE(CONTROL!$C$42, 66.2466, 66.2466) * CHOOSE(CONTROL!$C$21, $C$9, 100%, $E$9)</f>
        <v>66.246600000000001</v>
      </c>
      <c r="Q838" s="14">
        <f>CHOOSE(CONTROL!$C$42, 66.8551, 66.8551) * CHOOSE(CONTROL!$C$21, $C$9, 100%, $E$9)</f>
        <v>66.855099999999993</v>
      </c>
      <c r="R838" s="14">
        <f>CHOOSE(CONTROL!$C$42, 67.6092, 67.6092) * CHOOSE(CONTROL!$C$21, $C$9, 100%, $E$9)</f>
        <v>67.609200000000001</v>
      </c>
      <c r="S838" s="14">
        <f>CHOOSE(CONTROL!$C$42, 64.7443, 64.7443) * CHOOSE(CONTROL!$C$21, $C$9, 100%, $E$9)</f>
        <v>64.744299999999996</v>
      </c>
      <c r="T83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38" s="57">
        <f>(1000*CHOOSE(CONTROL!$C$42, 695, 695)*CHOOSE(CONTROL!$C$42, 0.5599, 0.5599)*CHOOSE(CONTROL!$C$42, 31, 31))/1000000</f>
        <v>12.063045499999998</v>
      </c>
      <c r="V838" s="57">
        <f>(1000*CHOOSE(CONTROL!$C$42, 500, 500)*CHOOSE(CONTROL!$C$42, 0.275, 0.275)*CHOOSE(CONTROL!$C$42, 31, 31))/1000000</f>
        <v>4.2625000000000002</v>
      </c>
      <c r="W838" s="57">
        <f>(1000*CHOOSE(CONTROL!$C$42, 0.1146, 0.1146)*CHOOSE(CONTROL!$C$42, 121.5, 121.5)*CHOOSE(CONTROL!$C$42, 31, 31))/1000000</f>
        <v>0.43164089999999994</v>
      </c>
      <c r="X838" s="57">
        <f>(31*0.1790888*245000/1000000)+(31*0.2374*100000/1000000)</f>
        <v>2.0961194359999999</v>
      </c>
      <c r="Y838" s="57"/>
      <c r="Z838" s="14"/>
      <c r="AA838" s="56"/>
      <c r="AB838" s="50">
        <f>(B838*131.881+C838*277.167+D838*79.08+E838*125.872+F838*40+G838*185+H838*0+I838*100+J838*300)/(131.881+277.167+79.08+125.872+0+40+185+100+300)</f>
        <v>67.463160830589189</v>
      </c>
      <c r="AC838" s="45">
        <f>(M838*'RAP TEMPLATE-GAS AVAILABILITY'!O837+N838*'RAP TEMPLATE-GAS AVAILABILITY'!P837+O838*'RAP TEMPLATE-GAS AVAILABILITY'!Q837+P838*'RAP TEMPLATE-GAS AVAILABILITY'!R837)/('RAP TEMPLATE-GAS AVAILABILITY'!O837+'RAP TEMPLATE-GAS AVAILABILITY'!P837+'RAP TEMPLATE-GAS AVAILABILITY'!Q837+'RAP TEMPLATE-GAS AVAILABILITY'!R837)</f>
        <v>66.169343884892086</v>
      </c>
    </row>
    <row r="839" spans="1:29" ht="15.75" x14ac:dyDescent="0.25">
      <c r="A839" s="32">
        <v>66445</v>
      </c>
      <c r="B839" s="14">
        <f>CHOOSE(CONTROL!$C$42, 69.1627, 69.1627) * CHOOSE(CONTROL!$C$21, $C$9, 100%, $E$9)</f>
        <v>69.162700000000001</v>
      </c>
      <c r="C839" s="14">
        <f>CHOOSE(CONTROL!$C$42, 69.1678, 69.1678) * CHOOSE(CONTROL!$C$21, $C$9, 100%, $E$9)</f>
        <v>69.1678</v>
      </c>
      <c r="D839" s="14">
        <f>CHOOSE(CONTROL!$C$42, 69.242, 69.242) * CHOOSE(CONTROL!$C$21, $C$9, 100%, $E$9)</f>
        <v>69.242000000000004</v>
      </c>
      <c r="E839" s="14">
        <f>CHOOSE(CONTROL!$C$42, 69.2761, 69.2761) * CHOOSE(CONTROL!$C$21, $C$9, 100%, $E$9)</f>
        <v>69.2761</v>
      </c>
      <c r="F839" s="14">
        <f>CHOOSE(CONTROL!$C$42, 69.1988, 69.1988)*CHOOSE(CONTROL!$C$21, $C$9, 100%, $E$9)</f>
        <v>69.198800000000006</v>
      </c>
      <c r="G839" s="14">
        <f>CHOOSE(CONTROL!$C$42, 69.2163, 69.2163)*CHOOSE(CONTROL!$C$21, $C$9, 100%, $E$9)</f>
        <v>69.216300000000004</v>
      </c>
      <c r="H839" s="14">
        <f>CHOOSE(CONTROL!$C$42, 69.2653, 69.2653) * CHOOSE(CONTROL!$C$21, $C$9, 100%, $E$9)</f>
        <v>69.265299999999996</v>
      </c>
      <c r="I839" s="14">
        <f>CHOOSE(CONTROL!$C$42, 69.4068, 69.4068)* CHOOSE(CONTROL!$C$21, $C$9, 100%, $E$9)</f>
        <v>69.406800000000004</v>
      </c>
      <c r="J839" s="14">
        <f>CHOOSE(CONTROL!$C$42, 69.1918, 69.1918)* CHOOSE(CONTROL!$C$21, $C$9, 100%, $E$9)</f>
        <v>69.191800000000001</v>
      </c>
      <c r="K839" s="53">
        <f>CHOOSE(CONTROL!$C$42, 69.4029, 69.4029) * CHOOSE(CONTROL!$C$21, $C$9, 100%, $E$9)</f>
        <v>69.402900000000002</v>
      </c>
      <c r="L839" s="14">
        <f>CHOOSE(CONTROL!$C$42, 69.8523, 69.8523) * CHOOSE(CONTROL!$C$21, $C$9, 100%, $E$9)</f>
        <v>69.8523</v>
      </c>
      <c r="M839" s="14">
        <f>CHOOSE(CONTROL!$C$42, 67.7818, 67.7818) * CHOOSE(CONTROL!$C$21, $C$9, 100%, $E$9)</f>
        <v>67.781800000000004</v>
      </c>
      <c r="N839" s="14">
        <f>CHOOSE(CONTROL!$C$42, 67.7989, 67.7989) * CHOOSE(CONTROL!$C$21, $C$9, 100%, $E$9)</f>
        <v>67.798900000000003</v>
      </c>
      <c r="O839" s="14">
        <f>CHOOSE(CONTROL!$C$42, 67.8538, 67.8538) * CHOOSE(CONTROL!$C$21, $C$9, 100%, $E$9)</f>
        <v>67.853800000000007</v>
      </c>
      <c r="P839" s="14">
        <f>CHOOSE(CONTROL!$C$42, 67.9881, 67.9881) * CHOOSE(CONTROL!$C$21, $C$9, 100%, $E$9)</f>
        <v>67.988100000000003</v>
      </c>
      <c r="Q839" s="14">
        <f>CHOOSE(CONTROL!$C$42, 68.4485, 68.4485) * CHOOSE(CONTROL!$C$21, $C$9, 100%, $E$9)</f>
        <v>68.448499999999996</v>
      </c>
      <c r="R839" s="14">
        <f>CHOOSE(CONTROL!$C$42, 69.2066, 69.2066) * CHOOSE(CONTROL!$C$21, $C$9, 100%, $E$9)</f>
        <v>69.206599999999995</v>
      </c>
      <c r="S839" s="14">
        <f>CHOOSE(CONTROL!$C$42, 66.4499, 66.4499) * CHOOSE(CONTROL!$C$21, $C$9, 100%, $E$9)</f>
        <v>66.4499</v>
      </c>
      <c r="T83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9" s="57">
        <f>(1000*CHOOSE(CONTROL!$C$42, 695, 695)*CHOOSE(CONTROL!$C$42, 0.5599, 0.5599)*CHOOSE(CONTROL!$C$42, 30, 30))/1000000</f>
        <v>11.673914999999997</v>
      </c>
      <c r="V839" s="57">
        <f>(1000*CHOOSE(CONTROL!$C$42, 500, 500)*CHOOSE(CONTROL!$C$42, 0.275, 0.275)*CHOOSE(CONTROL!$C$42, 30, 30))/1000000</f>
        <v>4.125</v>
      </c>
      <c r="W839" s="57">
        <f>(1000*CHOOSE(CONTROL!$C$42, 0.1146, 0.1146)*CHOOSE(CONTROL!$C$42, 121.5, 121.5)*CHOOSE(CONTROL!$C$42, 30, 30))/1000000</f>
        <v>0.417717</v>
      </c>
      <c r="X839" s="57">
        <f>(30*0.1790888*100000/1000000)+(30*0.2374*100000/1000000)</f>
        <v>1.2494664</v>
      </c>
      <c r="Y839" s="57"/>
      <c r="Z839" s="14"/>
      <c r="AA839" s="56"/>
      <c r="AB839" s="50">
        <f>(B839*122.58+C839*297.941+D839*89.177+E839*40.302+F839*40+G839*160+H839*0+I839*100+J839*300)/(122.58+297.941+89.177+40.302+0+40+160+100+300)</f>
        <v>69.211675201739126</v>
      </c>
      <c r="AC839" s="45">
        <f>(M839*'RAP TEMPLATE-GAS AVAILABILITY'!O838+N839*'RAP TEMPLATE-GAS AVAILABILITY'!P838+O839*'RAP TEMPLATE-GAS AVAILABILITY'!Q838+P839*'RAP TEMPLATE-GAS AVAILABILITY'!R838)/('RAP TEMPLATE-GAS AVAILABILITY'!O838+'RAP TEMPLATE-GAS AVAILABILITY'!P838+'RAP TEMPLATE-GAS AVAILABILITY'!Q838+'RAP TEMPLATE-GAS AVAILABILITY'!R838)</f>
        <v>67.845100719424465</v>
      </c>
    </row>
    <row r="840" spans="1:29" ht="15.75" x14ac:dyDescent="0.25">
      <c r="A840" s="32">
        <v>66476</v>
      </c>
      <c r="B840" s="14">
        <f>CHOOSE(CONTROL!$C$42, 73.8775, 73.8775) * CHOOSE(CONTROL!$C$21, $C$9, 100%, $E$9)</f>
        <v>73.877499999999998</v>
      </c>
      <c r="C840" s="14">
        <f>CHOOSE(CONTROL!$C$42, 73.8826, 73.8826) * CHOOSE(CONTROL!$C$21, $C$9, 100%, $E$9)</f>
        <v>73.882599999999996</v>
      </c>
      <c r="D840" s="14">
        <f>CHOOSE(CONTROL!$C$42, 73.9568, 73.9568) * CHOOSE(CONTROL!$C$21, $C$9, 100%, $E$9)</f>
        <v>73.956800000000001</v>
      </c>
      <c r="E840" s="14">
        <f>CHOOSE(CONTROL!$C$42, 73.9909, 73.9909) * CHOOSE(CONTROL!$C$21, $C$9, 100%, $E$9)</f>
        <v>73.990899999999996</v>
      </c>
      <c r="F840" s="14">
        <f>CHOOSE(CONTROL!$C$42, 73.916, 73.916)*CHOOSE(CONTROL!$C$21, $C$9, 100%, $E$9)</f>
        <v>73.915999999999997</v>
      </c>
      <c r="G840" s="14">
        <f>CHOOSE(CONTROL!$C$42, 73.9341, 73.9341)*CHOOSE(CONTROL!$C$21, $C$9, 100%, $E$9)</f>
        <v>73.934100000000001</v>
      </c>
      <c r="H840" s="14">
        <f>CHOOSE(CONTROL!$C$42, 73.9801, 73.9801) * CHOOSE(CONTROL!$C$21, $C$9, 100%, $E$9)</f>
        <v>73.980099999999993</v>
      </c>
      <c r="I840" s="14">
        <f>CHOOSE(CONTROL!$C$42, 74.1364, 74.1364)* CHOOSE(CONTROL!$C$21, $C$9, 100%, $E$9)</f>
        <v>74.136399999999995</v>
      </c>
      <c r="J840" s="14">
        <f>CHOOSE(CONTROL!$C$42, 73.909, 73.909)* CHOOSE(CONTROL!$C$21, $C$9, 100%, $E$9)</f>
        <v>73.909000000000006</v>
      </c>
      <c r="K840" s="53">
        <f>CHOOSE(CONTROL!$C$42, 74.1325, 74.1325) * CHOOSE(CONTROL!$C$21, $C$9, 100%, $E$9)</f>
        <v>74.132499999999993</v>
      </c>
      <c r="L840" s="14">
        <f>CHOOSE(CONTROL!$C$42, 74.5671, 74.5671) * CHOOSE(CONTROL!$C$21, $C$9, 100%, $E$9)</f>
        <v>74.567099999999996</v>
      </c>
      <c r="M840" s="14">
        <f>CHOOSE(CONTROL!$C$42, 72.4023, 72.4023) * CHOOSE(CONTROL!$C$21, $C$9, 100%, $E$9)</f>
        <v>72.402299999999997</v>
      </c>
      <c r="N840" s="14">
        <f>CHOOSE(CONTROL!$C$42, 72.4201, 72.4201) * CHOOSE(CONTROL!$C$21, $C$9, 100%, $E$9)</f>
        <v>72.420100000000005</v>
      </c>
      <c r="O840" s="14">
        <f>CHOOSE(CONTROL!$C$42, 72.472, 72.472) * CHOOSE(CONTROL!$C$21, $C$9, 100%, $E$9)</f>
        <v>72.471999999999994</v>
      </c>
      <c r="P840" s="14">
        <f>CHOOSE(CONTROL!$C$42, 72.6205, 72.6205) * CHOOSE(CONTROL!$C$21, $C$9, 100%, $E$9)</f>
        <v>72.620500000000007</v>
      </c>
      <c r="Q840" s="14">
        <f>CHOOSE(CONTROL!$C$42, 73.0667, 73.0667) * CHOOSE(CONTROL!$C$21, $C$9, 100%, $E$9)</f>
        <v>73.066699999999997</v>
      </c>
      <c r="R840" s="14">
        <f>CHOOSE(CONTROL!$C$42, 73.8364, 73.8364) * CHOOSE(CONTROL!$C$21, $C$9, 100%, $E$9)</f>
        <v>73.836399999999998</v>
      </c>
      <c r="S840" s="14">
        <f>CHOOSE(CONTROL!$C$42, 70.9804, 70.9804) * CHOOSE(CONTROL!$C$21, $C$9, 100%, $E$9)</f>
        <v>70.980400000000003</v>
      </c>
      <c r="T84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0" s="57">
        <f>(1000*CHOOSE(CONTROL!$C$42, 695, 695)*CHOOSE(CONTROL!$C$42, 0.5599, 0.5599)*CHOOSE(CONTROL!$C$42, 31, 31))/1000000</f>
        <v>12.063045499999998</v>
      </c>
      <c r="V840" s="57">
        <f>(1000*CHOOSE(CONTROL!$C$42, 500, 500)*CHOOSE(CONTROL!$C$42, 0.275, 0.275)*CHOOSE(CONTROL!$C$42, 31, 31))/1000000</f>
        <v>4.2625000000000002</v>
      </c>
      <c r="W840" s="57">
        <f>(1000*CHOOSE(CONTROL!$C$42, 0.1146, 0.1146)*CHOOSE(CONTROL!$C$42, 121.5, 121.5)*CHOOSE(CONTROL!$C$42, 31, 31))/1000000</f>
        <v>0.43164089999999994</v>
      </c>
      <c r="X840" s="57">
        <f>(31*0.1790888*100000/1000000)+(31*0.2374*100000/1000000)</f>
        <v>1.2911152800000001</v>
      </c>
      <c r="Y840" s="57"/>
      <c r="Z840" s="14"/>
      <c r="AA840" s="56"/>
      <c r="AB840" s="50">
        <f>(B840*122.58+C840*297.941+D840*89.177+E840*40.302+F840*40+G840*160+H840*0+I840*100+J840*300)/(122.58+297.941+89.177+40.302+0+40+160+100+300)</f>
        <v>73.928889114782606</v>
      </c>
      <c r="AC840" s="45">
        <f>(M840*'RAP TEMPLATE-GAS AVAILABILITY'!O839+N840*'RAP TEMPLATE-GAS AVAILABILITY'!P839+O840*'RAP TEMPLATE-GAS AVAILABILITY'!Q839+P840*'RAP TEMPLATE-GAS AVAILABILITY'!R839)/('RAP TEMPLATE-GAS AVAILABILITY'!O839+'RAP TEMPLATE-GAS AVAILABILITY'!P839+'RAP TEMPLATE-GAS AVAILABILITY'!Q839+'RAP TEMPLATE-GAS AVAILABILITY'!R839)</f>
        <v>72.466310791366894</v>
      </c>
    </row>
    <row r="841" spans="1:29" ht="15.75" x14ac:dyDescent="0.25">
      <c r="A841" s="32">
        <v>66507</v>
      </c>
      <c r="B841" s="14">
        <f>CHOOSE(CONTROL!$C$42, 80.0013, 80.0013) * CHOOSE(CONTROL!$C$21, $C$9, 100%, $E$9)</f>
        <v>80.001300000000001</v>
      </c>
      <c r="C841" s="14">
        <f>CHOOSE(CONTROL!$C$42, 80.0063, 80.0063) * CHOOSE(CONTROL!$C$21, $C$9, 100%, $E$9)</f>
        <v>80.006299999999996</v>
      </c>
      <c r="D841" s="14">
        <f>CHOOSE(CONTROL!$C$42, 80.0831, 80.0831) * CHOOSE(CONTROL!$C$21, $C$9, 100%, $E$9)</f>
        <v>80.083100000000002</v>
      </c>
      <c r="E841" s="14">
        <f>CHOOSE(CONTROL!$C$42, 80.1173, 80.1173) * CHOOSE(CONTROL!$C$21, $C$9, 100%, $E$9)</f>
        <v>80.1173</v>
      </c>
      <c r="F841" s="14">
        <f>CHOOSE(CONTROL!$C$42, 80.026, 80.026)*CHOOSE(CONTROL!$C$21, $C$9, 100%, $E$9)</f>
        <v>80.025999999999996</v>
      </c>
      <c r="G841" s="14">
        <f>CHOOSE(CONTROL!$C$42, 80.044, 80.044)*CHOOSE(CONTROL!$C$21, $C$9, 100%, $E$9)</f>
        <v>80.043999999999997</v>
      </c>
      <c r="H841" s="14">
        <f>CHOOSE(CONTROL!$C$42, 80.1064, 80.1064) * CHOOSE(CONTROL!$C$21, $C$9, 100%, $E$9)</f>
        <v>80.106399999999994</v>
      </c>
      <c r="I841" s="14">
        <f>CHOOSE(CONTROL!$C$42, 80.2855, 80.2855)* CHOOSE(CONTROL!$C$21, $C$9, 100%, $E$9)</f>
        <v>80.285499999999999</v>
      </c>
      <c r="J841" s="14">
        <f>CHOOSE(CONTROL!$C$42, 80.019, 80.019)* CHOOSE(CONTROL!$C$21, $C$9, 100%, $E$9)</f>
        <v>80.019000000000005</v>
      </c>
      <c r="K841" s="53">
        <f>CHOOSE(CONTROL!$C$42, 80.2816, 80.2816) * CHOOSE(CONTROL!$C$21, $C$9, 100%, $E$9)</f>
        <v>80.281599999999997</v>
      </c>
      <c r="L841" s="14">
        <f>CHOOSE(CONTROL!$C$42, 80.6934, 80.6934) * CHOOSE(CONTROL!$C$21, $C$9, 100%, $E$9)</f>
        <v>80.693399999999997</v>
      </c>
      <c r="M841" s="14">
        <f>CHOOSE(CONTROL!$C$42, 78.3872, 78.3872) * CHOOSE(CONTROL!$C$21, $C$9, 100%, $E$9)</f>
        <v>78.387200000000007</v>
      </c>
      <c r="N841" s="14">
        <f>CHOOSE(CONTROL!$C$42, 78.4048, 78.4048) * CHOOSE(CONTROL!$C$21, $C$9, 100%, $E$9)</f>
        <v>78.404799999999994</v>
      </c>
      <c r="O841" s="14">
        <f>CHOOSE(CONTROL!$C$42, 78.4728, 78.4728) * CHOOSE(CONTROL!$C$21, $C$9, 100%, $E$9)</f>
        <v>78.472800000000007</v>
      </c>
      <c r="P841" s="14">
        <f>CHOOSE(CONTROL!$C$42, 78.6433, 78.6433) * CHOOSE(CONTROL!$C$21, $C$9, 100%, $E$9)</f>
        <v>78.643299999999996</v>
      </c>
      <c r="Q841" s="14">
        <f>CHOOSE(CONTROL!$C$42, 79.0675, 79.0675) * CHOOSE(CONTROL!$C$21, $C$9, 100%, $E$9)</f>
        <v>79.067499999999995</v>
      </c>
      <c r="R841" s="14">
        <f>CHOOSE(CONTROL!$C$42, 79.8522, 79.8522) * CHOOSE(CONTROL!$C$21, $C$9, 100%, $E$9)</f>
        <v>79.852199999999996</v>
      </c>
      <c r="S841" s="14">
        <f>CHOOSE(CONTROL!$C$42, 76.8647, 76.8647) * CHOOSE(CONTROL!$C$21, $C$9, 100%, $E$9)</f>
        <v>76.864699999999999</v>
      </c>
      <c r="T84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41" s="57">
        <f>(1000*CHOOSE(CONTROL!$C$42, 695, 695)*CHOOSE(CONTROL!$C$42, 0.5599, 0.5599)*CHOOSE(CONTROL!$C$42, 31, 31))/1000000</f>
        <v>12.063045499999998</v>
      </c>
      <c r="V841" s="57">
        <f>(1000*CHOOSE(CONTROL!$C$42, 500, 500)*CHOOSE(CONTROL!$C$42, 0.275, 0.275)*CHOOSE(CONTROL!$C$42, 31, 31))/1000000</f>
        <v>4.2625000000000002</v>
      </c>
      <c r="W841" s="57">
        <f>(1000*CHOOSE(CONTROL!$C$42, 0.1146, 0.1146)*CHOOSE(CONTROL!$C$42, 121.5, 121.5)*CHOOSE(CONTROL!$C$42, 31, 31))/1000000</f>
        <v>0.43164089999999994</v>
      </c>
      <c r="X841" s="57">
        <f>(31*0.1790888*100000/1000000)+(31*0.2374*100000/1000000)</f>
        <v>1.2911152800000001</v>
      </c>
      <c r="Y841" s="57"/>
      <c r="Z841" s="14"/>
      <c r="AA841" s="56"/>
      <c r="AB841" s="50">
        <f>(B841*122.58+C841*297.941+D841*89.177+E841*40.302+F841*40+G841*160+H841*0+I841*100+J841*300)/(122.58+297.941+89.177+40.302+0+40+160+100+300)</f>
        <v>80.049134274434778</v>
      </c>
      <c r="AC841" s="45">
        <f>(M841*'RAP TEMPLATE-GAS AVAILABILITY'!O840+N841*'RAP TEMPLATE-GAS AVAILABILITY'!P840+O841*'RAP TEMPLATE-GAS AVAILABILITY'!Q840+P841*'RAP TEMPLATE-GAS AVAILABILITY'!R840)/('RAP TEMPLATE-GAS AVAILABILITY'!O840+'RAP TEMPLATE-GAS AVAILABILITY'!P840+'RAP TEMPLATE-GAS AVAILABILITY'!Q840+'RAP TEMPLATE-GAS AVAILABILITY'!R840)</f>
        <v>78.463858992805754</v>
      </c>
    </row>
    <row r="842" spans="1:29" ht="15.75" x14ac:dyDescent="0.25">
      <c r="A842" s="32">
        <v>66535</v>
      </c>
      <c r="B842" s="14">
        <f>CHOOSE(CONTROL!$C$42, 81.4252, 81.4252) * CHOOSE(CONTROL!$C$21, $C$9, 100%, $E$9)</f>
        <v>81.425200000000004</v>
      </c>
      <c r="C842" s="14">
        <f>CHOOSE(CONTROL!$C$42, 81.4303, 81.4303) * CHOOSE(CONTROL!$C$21, $C$9, 100%, $E$9)</f>
        <v>81.430300000000003</v>
      </c>
      <c r="D842" s="14">
        <f>CHOOSE(CONTROL!$C$42, 81.5071, 81.5071) * CHOOSE(CONTROL!$C$21, $C$9, 100%, $E$9)</f>
        <v>81.507099999999994</v>
      </c>
      <c r="E842" s="14">
        <f>CHOOSE(CONTROL!$C$42, 81.5412, 81.5412) * CHOOSE(CONTROL!$C$21, $C$9, 100%, $E$9)</f>
        <v>81.541200000000003</v>
      </c>
      <c r="F842" s="14">
        <f>CHOOSE(CONTROL!$C$42, 81.4496, 81.4496)*CHOOSE(CONTROL!$C$21, $C$9, 100%, $E$9)</f>
        <v>81.449600000000004</v>
      </c>
      <c r="G842" s="14">
        <f>CHOOSE(CONTROL!$C$42, 81.4674, 81.4674)*CHOOSE(CONTROL!$C$21, $C$9, 100%, $E$9)</f>
        <v>81.467399999999998</v>
      </c>
      <c r="H842" s="14">
        <f>CHOOSE(CONTROL!$C$42, 81.5304, 81.5304) * CHOOSE(CONTROL!$C$21, $C$9, 100%, $E$9)</f>
        <v>81.5304</v>
      </c>
      <c r="I842" s="14">
        <f>CHOOSE(CONTROL!$C$42, 81.714, 81.714)* CHOOSE(CONTROL!$C$21, $C$9, 100%, $E$9)</f>
        <v>81.713999999999999</v>
      </c>
      <c r="J842" s="14">
        <f>CHOOSE(CONTROL!$C$42, 81.4426, 81.4426)* CHOOSE(CONTROL!$C$21, $C$9, 100%, $E$9)</f>
        <v>81.442599999999999</v>
      </c>
      <c r="K842" s="53">
        <f>CHOOSE(CONTROL!$C$42, 81.7101, 81.7101) * CHOOSE(CONTROL!$C$21, $C$9, 100%, $E$9)</f>
        <v>81.710099999999997</v>
      </c>
      <c r="L842" s="14">
        <f>CHOOSE(CONTROL!$C$42, 82.1174, 82.1174) * CHOOSE(CONTROL!$C$21, $C$9, 100%, $E$9)</f>
        <v>82.117400000000004</v>
      </c>
      <c r="M842" s="14">
        <f>CHOOSE(CONTROL!$C$42, 79.7816, 79.7816) * CHOOSE(CONTROL!$C$21, $C$9, 100%, $E$9)</f>
        <v>79.781599999999997</v>
      </c>
      <c r="N842" s="14">
        <f>CHOOSE(CONTROL!$C$42, 79.7991, 79.7991) * CHOOSE(CONTROL!$C$21, $C$9, 100%, $E$9)</f>
        <v>79.799099999999996</v>
      </c>
      <c r="O842" s="14">
        <f>CHOOSE(CONTROL!$C$42, 79.8676, 79.8676) * CHOOSE(CONTROL!$C$21, $C$9, 100%, $E$9)</f>
        <v>79.867599999999996</v>
      </c>
      <c r="P842" s="14">
        <f>CHOOSE(CONTROL!$C$42, 80.0423, 80.0423) * CHOOSE(CONTROL!$C$21, $C$9, 100%, $E$9)</f>
        <v>80.042299999999997</v>
      </c>
      <c r="Q842" s="14">
        <f>CHOOSE(CONTROL!$C$42, 80.4623, 80.4623) * CHOOSE(CONTROL!$C$21, $C$9, 100%, $E$9)</f>
        <v>80.462299999999999</v>
      </c>
      <c r="R842" s="14">
        <f>CHOOSE(CONTROL!$C$42, 81.2505, 81.2505) * CHOOSE(CONTROL!$C$21, $C$9, 100%, $E$9)</f>
        <v>81.250500000000002</v>
      </c>
      <c r="S842" s="14">
        <f>CHOOSE(CONTROL!$C$42, 78.233, 78.233) * CHOOSE(CONTROL!$C$21, $C$9, 100%, $E$9)</f>
        <v>78.233000000000004</v>
      </c>
      <c r="T84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42" s="57">
        <f>(1000*CHOOSE(CONTROL!$C$42, 695, 695)*CHOOSE(CONTROL!$C$42, 0.5599, 0.5599)*CHOOSE(CONTROL!$C$42, 28, 28))/1000000</f>
        <v>10.895653999999999</v>
      </c>
      <c r="V842" s="57">
        <f>(1000*CHOOSE(CONTROL!$C$42, 500, 500)*CHOOSE(CONTROL!$C$42, 0.275, 0.275)*CHOOSE(CONTROL!$C$42, 28, 28))/1000000</f>
        <v>3.85</v>
      </c>
      <c r="W842" s="57">
        <f>(1000*CHOOSE(CONTROL!$C$42, 0.1146, 0.1146)*CHOOSE(CONTROL!$C$42, 121.5, 121.5)*CHOOSE(CONTROL!$C$42, 28, 28))/1000000</f>
        <v>0.38986920000000003</v>
      </c>
      <c r="X842" s="57">
        <f>(28*0.1790888*100000/1000000)+(28*0.2374*100000/1000000)</f>
        <v>1.16616864</v>
      </c>
      <c r="Y842" s="57"/>
      <c r="Z842" s="14"/>
      <c r="AA842" s="56"/>
      <c r="AB842" s="50">
        <f>(B842*122.58+C842*297.941+D842*89.177+E842*40.302+F842*40+G842*160+H842*0+I842*100+J842*300)/(122.58+297.941+89.177+40.302+0+40+160+100+300)</f>
        <v>81.473309676</v>
      </c>
      <c r="AC842" s="45">
        <f>(M842*'RAP TEMPLATE-GAS AVAILABILITY'!O841+N842*'RAP TEMPLATE-GAS AVAILABILITY'!P841+O842*'RAP TEMPLATE-GAS AVAILABILITY'!Q841+P842*'RAP TEMPLATE-GAS AVAILABILITY'!R841)/('RAP TEMPLATE-GAS AVAILABILITY'!O841+'RAP TEMPLATE-GAS AVAILABILITY'!P841+'RAP TEMPLATE-GAS AVAILABILITY'!Q841+'RAP TEMPLATE-GAS AVAILABILITY'!R841)</f>
        <v>79.859096402877697</v>
      </c>
    </row>
    <row r="843" spans="1:29" ht="15.75" x14ac:dyDescent="0.25">
      <c r="A843" s="32">
        <v>66566</v>
      </c>
      <c r="B843" s="14">
        <f>CHOOSE(CONTROL!$C$42, 79.1138, 79.1138) * CHOOSE(CONTROL!$C$21, $C$9, 100%, $E$9)</f>
        <v>79.113799999999998</v>
      </c>
      <c r="C843" s="14">
        <f>CHOOSE(CONTROL!$C$42, 79.1188, 79.1188) * CHOOSE(CONTROL!$C$21, $C$9, 100%, $E$9)</f>
        <v>79.118799999999993</v>
      </c>
      <c r="D843" s="14">
        <f>CHOOSE(CONTROL!$C$42, 79.1957, 79.1957) * CHOOSE(CONTROL!$C$21, $C$9, 100%, $E$9)</f>
        <v>79.195700000000002</v>
      </c>
      <c r="E843" s="14">
        <f>CHOOSE(CONTROL!$C$42, 79.2298, 79.2298) * CHOOSE(CONTROL!$C$21, $C$9, 100%, $E$9)</f>
        <v>79.229799999999997</v>
      </c>
      <c r="F843" s="14">
        <f>CHOOSE(CONTROL!$C$42, 79.1372, 79.1372)*CHOOSE(CONTROL!$C$21, $C$9, 100%, $E$9)</f>
        <v>79.137200000000007</v>
      </c>
      <c r="G843" s="14">
        <f>CHOOSE(CONTROL!$C$42, 79.1549, 79.1549)*CHOOSE(CONTROL!$C$21, $C$9, 100%, $E$9)</f>
        <v>79.154899999999998</v>
      </c>
      <c r="H843" s="14">
        <f>CHOOSE(CONTROL!$C$42, 79.219, 79.219) * CHOOSE(CONTROL!$C$21, $C$9, 100%, $E$9)</f>
        <v>79.218999999999994</v>
      </c>
      <c r="I843" s="14">
        <f>CHOOSE(CONTROL!$C$42, 79.3953, 79.3953)* CHOOSE(CONTROL!$C$21, $C$9, 100%, $E$9)</f>
        <v>79.395300000000006</v>
      </c>
      <c r="J843" s="14">
        <f>CHOOSE(CONTROL!$C$42, 79.1302, 79.1302)* CHOOSE(CONTROL!$C$21, $C$9, 100%, $E$9)</f>
        <v>79.130200000000002</v>
      </c>
      <c r="K843" s="53">
        <f>CHOOSE(CONTROL!$C$42, 79.3914, 79.3914) * CHOOSE(CONTROL!$C$21, $C$9, 100%, $E$9)</f>
        <v>79.391400000000004</v>
      </c>
      <c r="L843" s="14">
        <f>CHOOSE(CONTROL!$C$42, 79.806, 79.806) * CHOOSE(CONTROL!$C$21, $C$9, 100%, $E$9)</f>
        <v>79.805999999999997</v>
      </c>
      <c r="M843" s="14">
        <f>CHOOSE(CONTROL!$C$42, 77.5166, 77.5166) * CHOOSE(CONTROL!$C$21, $C$9, 100%, $E$9)</f>
        <v>77.516599999999997</v>
      </c>
      <c r="N843" s="14">
        <f>CHOOSE(CONTROL!$C$42, 77.5339, 77.5339) * CHOOSE(CONTROL!$C$21, $C$9, 100%, $E$9)</f>
        <v>77.533900000000003</v>
      </c>
      <c r="O843" s="14">
        <f>CHOOSE(CONTROL!$C$42, 77.6035, 77.6035) * CHOOSE(CONTROL!$C$21, $C$9, 100%, $E$9)</f>
        <v>77.603499999999997</v>
      </c>
      <c r="P843" s="14">
        <f>CHOOSE(CONTROL!$C$42, 77.7713, 77.7713) * CHOOSE(CONTROL!$C$21, $C$9, 100%, $E$9)</f>
        <v>77.771299999999997</v>
      </c>
      <c r="Q843" s="14">
        <f>CHOOSE(CONTROL!$C$42, 78.1982, 78.1982) * CHOOSE(CONTROL!$C$21, $C$9, 100%, $E$9)</f>
        <v>78.1982</v>
      </c>
      <c r="R843" s="14">
        <f>CHOOSE(CONTROL!$C$42, 78.9807, 78.9807) * CHOOSE(CONTROL!$C$21, $C$9, 100%, $E$9)</f>
        <v>78.980699999999999</v>
      </c>
      <c r="S843" s="14">
        <f>CHOOSE(CONTROL!$C$42, 76.0119, 76.0119) * CHOOSE(CONTROL!$C$21, $C$9, 100%, $E$9)</f>
        <v>76.011899999999997</v>
      </c>
      <c r="T84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43" s="57">
        <f>(1000*CHOOSE(CONTROL!$C$42, 695, 695)*CHOOSE(CONTROL!$C$42, 0.5599, 0.5599)*CHOOSE(CONTROL!$C$42, 31, 31))/1000000</f>
        <v>12.063045499999998</v>
      </c>
      <c r="V843" s="57">
        <f>(1000*CHOOSE(CONTROL!$C$42, 500, 500)*CHOOSE(CONTROL!$C$42, 0.275, 0.275)*CHOOSE(CONTROL!$C$42, 31, 31))/1000000</f>
        <v>4.2625000000000002</v>
      </c>
      <c r="W843" s="57">
        <f>(1000*CHOOSE(CONTROL!$C$42, 0.1146, 0.1146)*CHOOSE(CONTROL!$C$42, 121.5, 121.5)*CHOOSE(CONTROL!$C$42, 31, 31))/1000000</f>
        <v>0.43164089999999994</v>
      </c>
      <c r="X843" s="57">
        <f>(31*0.1790888*100000/1000000)+(31*0.2374*100000/1000000)</f>
        <v>1.2911152800000001</v>
      </c>
      <c r="Y843" s="57"/>
      <c r="Z843" s="14"/>
      <c r="AA843" s="56"/>
      <c r="AB843" s="50">
        <f>(B843*122.58+C843*297.941+D843*89.177+E843*40.302+F843*40+G843*160+H843*0+I843*100+J843*300)/(122.58+297.941+89.177+40.302+0+40+160+100+300)</f>
        <v>79.160800289826085</v>
      </c>
      <c r="AC843" s="45">
        <f>(M843*'RAP TEMPLATE-GAS AVAILABILITY'!O842+N843*'RAP TEMPLATE-GAS AVAILABILITY'!P842+O843*'RAP TEMPLATE-GAS AVAILABILITY'!Q842+P843*'RAP TEMPLATE-GAS AVAILABILITY'!R842)/('RAP TEMPLATE-GAS AVAILABILITY'!O842+'RAP TEMPLATE-GAS AVAILABILITY'!P842+'RAP TEMPLATE-GAS AVAILABILITY'!Q842+'RAP TEMPLATE-GAS AVAILABILITY'!R842)</f>
        <v>77.593629496402869</v>
      </c>
    </row>
    <row r="844" spans="1:29" ht="15.75" x14ac:dyDescent="0.25">
      <c r="A844" s="32">
        <v>66596</v>
      </c>
      <c r="B844" s="14">
        <f>CHOOSE(CONTROL!$C$42, 78.8779, 78.8779) * CHOOSE(CONTROL!$C$21, $C$9, 100%, $E$9)</f>
        <v>78.877899999999997</v>
      </c>
      <c r="C844" s="14">
        <f>CHOOSE(CONTROL!$C$42, 78.8824, 78.8824) * CHOOSE(CONTROL!$C$21, $C$9, 100%, $E$9)</f>
        <v>78.882400000000004</v>
      </c>
      <c r="D844" s="14">
        <f>CHOOSE(CONTROL!$C$42, 79.1061, 79.1061) * CHOOSE(CONTROL!$C$21, $C$9, 100%, $E$9)</f>
        <v>79.106099999999998</v>
      </c>
      <c r="E844" s="14">
        <f>CHOOSE(CONTROL!$C$42, 79.1383, 79.1383) * CHOOSE(CONTROL!$C$21, $C$9, 100%, $E$9)</f>
        <v>79.138300000000001</v>
      </c>
      <c r="F844" s="14">
        <f>CHOOSE(CONTROL!$C$42, 78.9056, 78.9056)*CHOOSE(CONTROL!$C$21, $C$9, 100%, $E$9)</f>
        <v>78.905600000000007</v>
      </c>
      <c r="G844" s="14">
        <f>CHOOSE(CONTROL!$C$42, 78.9225, 78.9225)*CHOOSE(CONTROL!$C$21, $C$9, 100%, $E$9)</f>
        <v>78.922499999999999</v>
      </c>
      <c r="H844" s="14">
        <f>CHOOSE(CONTROL!$C$42, 79.128, 79.128) * CHOOSE(CONTROL!$C$21, $C$9, 100%, $E$9)</f>
        <v>79.128</v>
      </c>
      <c r="I844" s="14">
        <f>CHOOSE(CONTROL!$C$42, 79.1543, 79.1543)* CHOOSE(CONTROL!$C$21, $C$9, 100%, $E$9)</f>
        <v>79.154300000000006</v>
      </c>
      <c r="J844" s="14">
        <f>CHOOSE(CONTROL!$C$42, 78.8986, 78.8986)* CHOOSE(CONTROL!$C$21, $C$9, 100%, $E$9)</f>
        <v>78.898600000000002</v>
      </c>
      <c r="K844" s="53">
        <f>CHOOSE(CONTROL!$C$42, 79.1504, 79.1504) * CHOOSE(CONTROL!$C$21, $C$9, 100%, $E$9)</f>
        <v>79.150400000000005</v>
      </c>
      <c r="L844" s="14">
        <f>CHOOSE(CONTROL!$C$42, 79.715, 79.715) * CHOOSE(CONTROL!$C$21, $C$9, 100%, $E$9)</f>
        <v>79.715000000000003</v>
      </c>
      <c r="M844" s="14">
        <f>CHOOSE(CONTROL!$C$42, 77.2897, 77.2897) * CHOOSE(CONTROL!$C$21, $C$9, 100%, $E$9)</f>
        <v>77.289699999999996</v>
      </c>
      <c r="N844" s="14">
        <f>CHOOSE(CONTROL!$C$42, 77.3063, 77.3063) * CHOOSE(CONTROL!$C$21, $C$9, 100%, $E$9)</f>
        <v>77.306299999999993</v>
      </c>
      <c r="O844" s="14">
        <f>CHOOSE(CONTROL!$C$42, 77.5145, 77.5145) * CHOOSE(CONTROL!$C$21, $C$9, 100%, $E$9)</f>
        <v>77.514499999999998</v>
      </c>
      <c r="P844" s="14">
        <f>CHOOSE(CONTROL!$C$42, 77.5352, 77.5352) * CHOOSE(CONTROL!$C$21, $C$9, 100%, $E$9)</f>
        <v>77.535200000000003</v>
      </c>
      <c r="Q844" s="14">
        <f>CHOOSE(CONTROL!$C$42, 78.1092, 78.1092) * CHOOSE(CONTROL!$C$21, $C$9, 100%, $E$9)</f>
        <v>78.109200000000001</v>
      </c>
      <c r="R844" s="14">
        <f>CHOOSE(CONTROL!$C$42, 78.8914, 78.8914) * CHOOSE(CONTROL!$C$21, $C$9, 100%, $E$9)</f>
        <v>78.891400000000004</v>
      </c>
      <c r="S844" s="14">
        <f>CHOOSE(CONTROL!$C$42, 75.7845, 75.7845) * CHOOSE(CONTROL!$C$21, $C$9, 100%, $E$9)</f>
        <v>75.784499999999994</v>
      </c>
      <c r="T84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44" s="57">
        <f>(1000*CHOOSE(CONTROL!$C$42, 695, 695)*CHOOSE(CONTROL!$C$42, 0.5599, 0.5599)*CHOOSE(CONTROL!$C$42, 30, 30))/1000000</f>
        <v>11.673914999999997</v>
      </c>
      <c r="V844" s="57">
        <f>(1000*CHOOSE(CONTROL!$C$42, 500, 500)*CHOOSE(CONTROL!$C$42, 0.275, 0.275)*CHOOSE(CONTROL!$C$42, 30, 30))/1000000</f>
        <v>4.125</v>
      </c>
      <c r="W844" s="57">
        <f>(1000*CHOOSE(CONTROL!$C$42, 0.1146, 0.1146)*CHOOSE(CONTROL!$C$42, 121.5, 121.5)*CHOOSE(CONTROL!$C$42, 30, 30))/1000000</f>
        <v>0.417717</v>
      </c>
      <c r="X844" s="57">
        <f>(30*0.1790888*245000/1000000)+(30*0.2374*100000/1000000)</f>
        <v>2.0285026799999999</v>
      </c>
      <c r="Y844" s="57"/>
      <c r="Z844" s="14"/>
      <c r="AA844" s="56"/>
      <c r="AB844" s="50">
        <f>(B844*141.293+C844*267.993+D844*115.016+E844*89.698+F844*40+G844*185+H844*0+I844*100+J844*300)/(141.293+267.993+115.016+89.698+0+40+185+100+300)</f>
        <v>78.95378295310735</v>
      </c>
      <c r="AC844" s="45">
        <f>(M844*'RAP TEMPLATE-GAS AVAILABILITY'!O843+N844*'RAP TEMPLATE-GAS AVAILABILITY'!P843+O844*'RAP TEMPLATE-GAS AVAILABILITY'!Q843+P844*'RAP TEMPLATE-GAS AVAILABILITY'!R843)/('RAP TEMPLATE-GAS AVAILABILITY'!O843+'RAP TEMPLATE-GAS AVAILABILITY'!P843+'RAP TEMPLATE-GAS AVAILABILITY'!Q843+'RAP TEMPLATE-GAS AVAILABILITY'!R843)</f>
        <v>77.427866906474833</v>
      </c>
    </row>
    <row r="845" spans="1:29" ht="15.75" x14ac:dyDescent="0.25">
      <c r="A845" s="32">
        <v>66627</v>
      </c>
      <c r="B845" s="14">
        <f>CHOOSE(CONTROL!$C$42, 79.5754, 79.5754) * CHOOSE(CONTROL!$C$21, $C$9, 100%, $E$9)</f>
        <v>79.575400000000002</v>
      </c>
      <c r="C845" s="14">
        <f>CHOOSE(CONTROL!$C$42, 79.5835, 79.5835) * CHOOSE(CONTROL!$C$21, $C$9, 100%, $E$9)</f>
        <v>79.583500000000001</v>
      </c>
      <c r="D845" s="14">
        <f>CHOOSE(CONTROL!$C$42, 79.804, 79.804) * CHOOSE(CONTROL!$C$21, $C$9, 100%, $E$9)</f>
        <v>79.804000000000002</v>
      </c>
      <c r="E845" s="14">
        <f>CHOOSE(CONTROL!$C$42, 79.8355, 79.8355) * CHOOSE(CONTROL!$C$21, $C$9, 100%, $E$9)</f>
        <v>79.835499999999996</v>
      </c>
      <c r="F845" s="14">
        <f>CHOOSE(CONTROL!$C$42, 79.6017, 79.6017)*CHOOSE(CONTROL!$C$21, $C$9, 100%, $E$9)</f>
        <v>79.601699999999994</v>
      </c>
      <c r="G845" s="14">
        <f>CHOOSE(CONTROL!$C$42, 79.6188, 79.6188)*CHOOSE(CONTROL!$C$21, $C$9, 100%, $E$9)</f>
        <v>79.618799999999993</v>
      </c>
      <c r="H845" s="14">
        <f>CHOOSE(CONTROL!$C$42, 79.8241, 79.8241) * CHOOSE(CONTROL!$C$21, $C$9, 100%, $E$9)</f>
        <v>79.824100000000001</v>
      </c>
      <c r="I845" s="14">
        <f>CHOOSE(CONTROL!$C$42, 79.8525, 79.8525)* CHOOSE(CONTROL!$C$21, $C$9, 100%, $E$9)</f>
        <v>79.852500000000006</v>
      </c>
      <c r="J845" s="14">
        <f>CHOOSE(CONTROL!$C$42, 79.5947, 79.5947)* CHOOSE(CONTROL!$C$21, $C$9, 100%, $E$9)</f>
        <v>79.594700000000003</v>
      </c>
      <c r="K845" s="53">
        <f>CHOOSE(CONTROL!$C$42, 79.8486, 79.8486) * CHOOSE(CONTROL!$C$21, $C$9, 100%, $E$9)</f>
        <v>79.848600000000005</v>
      </c>
      <c r="L845" s="14">
        <f>CHOOSE(CONTROL!$C$42, 80.4111, 80.4111) * CHOOSE(CONTROL!$C$21, $C$9, 100%, $E$9)</f>
        <v>80.411100000000005</v>
      </c>
      <c r="M845" s="14">
        <f>CHOOSE(CONTROL!$C$42, 77.9715, 77.9715) * CHOOSE(CONTROL!$C$21, $C$9, 100%, $E$9)</f>
        <v>77.971500000000006</v>
      </c>
      <c r="N845" s="14">
        <f>CHOOSE(CONTROL!$C$42, 77.9883, 77.9883) * CHOOSE(CONTROL!$C$21, $C$9, 100%, $E$9)</f>
        <v>77.988299999999995</v>
      </c>
      <c r="O845" s="14">
        <f>CHOOSE(CONTROL!$C$42, 78.1963, 78.1963) * CHOOSE(CONTROL!$C$21, $C$9, 100%, $E$9)</f>
        <v>78.196299999999994</v>
      </c>
      <c r="P845" s="14">
        <f>CHOOSE(CONTROL!$C$42, 78.2192, 78.2192) * CHOOSE(CONTROL!$C$21, $C$9, 100%, $E$9)</f>
        <v>78.219200000000001</v>
      </c>
      <c r="Q845" s="14">
        <f>CHOOSE(CONTROL!$C$42, 78.791, 78.791) * CHOOSE(CONTROL!$C$21, $C$9, 100%, $E$9)</f>
        <v>78.790999999999997</v>
      </c>
      <c r="R845" s="14">
        <f>CHOOSE(CONTROL!$C$42, 79.575, 79.575) * CHOOSE(CONTROL!$C$21, $C$9, 100%, $E$9)</f>
        <v>79.575000000000003</v>
      </c>
      <c r="S845" s="14">
        <f>CHOOSE(CONTROL!$C$42, 76.4534, 76.4534) * CHOOSE(CONTROL!$C$21, $C$9, 100%, $E$9)</f>
        <v>76.453400000000002</v>
      </c>
      <c r="T84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45" s="57">
        <f>(1000*CHOOSE(CONTROL!$C$42, 695, 695)*CHOOSE(CONTROL!$C$42, 0.5599, 0.5599)*CHOOSE(CONTROL!$C$42, 31, 31))/1000000</f>
        <v>12.063045499999998</v>
      </c>
      <c r="V845" s="57">
        <f>(1000*CHOOSE(CONTROL!$C$42, 500, 500)*CHOOSE(CONTROL!$C$42, 0.275, 0.275)*CHOOSE(CONTROL!$C$42, 31, 31))/1000000</f>
        <v>4.2625000000000002</v>
      </c>
      <c r="W845" s="57">
        <f>(1000*CHOOSE(CONTROL!$C$42, 0.1146, 0.1146)*CHOOSE(CONTROL!$C$42, 121.5, 121.5)*CHOOSE(CONTROL!$C$42, 31, 31))/1000000</f>
        <v>0.43164089999999994</v>
      </c>
      <c r="X845" s="57">
        <f>(31*0.1790888*245000/1000000)+(31*0.2374*100000/1000000)</f>
        <v>2.0961194359999999</v>
      </c>
      <c r="Y845" s="57"/>
      <c r="Z845" s="14"/>
      <c r="AA845" s="56"/>
      <c r="AB845" s="50">
        <f>(B845*194.205+C845*267.466+D845*133.845+E845*53.484+F845*40+G845*185+H845*0+I845*100+J845*300)/(194.205+267.466+133.845+53.484+0+40+185+100+300)</f>
        <v>79.645459364207227</v>
      </c>
      <c r="AC845" s="45">
        <f>(M845*'RAP TEMPLATE-GAS AVAILABILITY'!O844+N845*'RAP TEMPLATE-GAS AVAILABILITY'!P844+O845*'RAP TEMPLATE-GAS AVAILABILITY'!Q844+P845*'RAP TEMPLATE-GAS AVAILABILITY'!R844)/('RAP TEMPLATE-GAS AVAILABILITY'!O844+'RAP TEMPLATE-GAS AVAILABILITY'!P844+'RAP TEMPLATE-GAS AVAILABILITY'!Q844+'RAP TEMPLATE-GAS AVAILABILITY'!R844)</f>
        <v>78.109994964028758</v>
      </c>
    </row>
    <row r="846" spans="1:29" ht="15.75" x14ac:dyDescent="0.25">
      <c r="A846" s="32">
        <v>66657</v>
      </c>
      <c r="B846" s="14">
        <f>CHOOSE(CONTROL!$C$42, 81.8324, 81.8324) * CHOOSE(CONTROL!$C$21, $C$9, 100%, $E$9)</f>
        <v>81.832400000000007</v>
      </c>
      <c r="C846" s="14">
        <f>CHOOSE(CONTROL!$C$42, 81.8404, 81.8404) * CHOOSE(CONTROL!$C$21, $C$9, 100%, $E$9)</f>
        <v>81.840400000000002</v>
      </c>
      <c r="D846" s="14">
        <f>CHOOSE(CONTROL!$C$42, 82.061, 82.061) * CHOOSE(CONTROL!$C$21, $C$9, 100%, $E$9)</f>
        <v>82.061000000000007</v>
      </c>
      <c r="E846" s="14">
        <f>CHOOSE(CONTROL!$C$42, 82.0924, 82.0924) * CHOOSE(CONTROL!$C$21, $C$9, 100%, $E$9)</f>
        <v>82.092399999999998</v>
      </c>
      <c r="F846" s="14">
        <f>CHOOSE(CONTROL!$C$42, 81.859, 81.859)*CHOOSE(CONTROL!$C$21, $C$9, 100%, $E$9)</f>
        <v>81.858999999999995</v>
      </c>
      <c r="G846" s="14">
        <f>CHOOSE(CONTROL!$C$42, 81.8762, 81.8762)*CHOOSE(CONTROL!$C$21, $C$9, 100%, $E$9)</f>
        <v>81.876199999999997</v>
      </c>
      <c r="H846" s="14">
        <f>CHOOSE(CONTROL!$C$42, 82.0811, 82.0811) * CHOOSE(CONTROL!$C$21, $C$9, 100%, $E$9)</f>
        <v>82.081100000000006</v>
      </c>
      <c r="I846" s="14">
        <f>CHOOSE(CONTROL!$C$42, 82.1165, 82.1165)* CHOOSE(CONTROL!$C$21, $C$9, 100%, $E$9)</f>
        <v>82.116500000000002</v>
      </c>
      <c r="J846" s="14">
        <f>CHOOSE(CONTROL!$C$42, 81.852, 81.852)* CHOOSE(CONTROL!$C$21, $C$9, 100%, $E$9)</f>
        <v>81.852000000000004</v>
      </c>
      <c r="K846" s="53">
        <f>CHOOSE(CONTROL!$C$42, 82.1126, 82.1126) * CHOOSE(CONTROL!$C$21, $C$9, 100%, $E$9)</f>
        <v>82.1126</v>
      </c>
      <c r="L846" s="14">
        <f>CHOOSE(CONTROL!$C$42, 82.6681, 82.6681) * CHOOSE(CONTROL!$C$21, $C$9, 100%, $E$9)</f>
        <v>82.668099999999995</v>
      </c>
      <c r="M846" s="14">
        <f>CHOOSE(CONTROL!$C$42, 80.1826, 80.1826) * CHOOSE(CONTROL!$C$21, $C$9, 100%, $E$9)</f>
        <v>80.182599999999994</v>
      </c>
      <c r="N846" s="14">
        <f>CHOOSE(CONTROL!$C$42, 80.1994, 80.1994) * CHOOSE(CONTROL!$C$21, $C$9, 100%, $E$9)</f>
        <v>80.199399999999997</v>
      </c>
      <c r="O846" s="14">
        <f>CHOOSE(CONTROL!$C$42, 80.407, 80.407) * CHOOSE(CONTROL!$C$21, $C$9, 100%, $E$9)</f>
        <v>80.406999999999996</v>
      </c>
      <c r="P846" s="14">
        <f>CHOOSE(CONTROL!$C$42, 80.4366, 80.4366) * CHOOSE(CONTROL!$C$21, $C$9, 100%, $E$9)</f>
        <v>80.436599999999999</v>
      </c>
      <c r="Q846" s="14">
        <f>CHOOSE(CONTROL!$C$42, 81.0017, 81.0017) * CHOOSE(CONTROL!$C$21, $C$9, 100%, $E$9)</f>
        <v>81.0017</v>
      </c>
      <c r="R846" s="14">
        <f>CHOOSE(CONTROL!$C$42, 81.7912, 81.7912) * CHOOSE(CONTROL!$C$21, $C$9, 100%, $E$9)</f>
        <v>81.791200000000003</v>
      </c>
      <c r="S846" s="14">
        <f>CHOOSE(CONTROL!$C$42, 78.6221, 78.6221) * CHOOSE(CONTROL!$C$21, $C$9, 100%, $E$9)</f>
        <v>78.622100000000003</v>
      </c>
      <c r="T84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46" s="57">
        <f>(1000*CHOOSE(CONTROL!$C$42, 695, 695)*CHOOSE(CONTROL!$C$42, 0.5599, 0.5599)*CHOOSE(CONTROL!$C$42, 30, 30))/1000000</f>
        <v>11.673914999999997</v>
      </c>
      <c r="V846" s="57">
        <f>(1000*CHOOSE(CONTROL!$C$42, 500, 500)*CHOOSE(CONTROL!$C$42, 0.275, 0.275)*CHOOSE(CONTROL!$C$42, 30, 30))/1000000</f>
        <v>4.125</v>
      </c>
      <c r="W846" s="57">
        <f>(1000*CHOOSE(CONTROL!$C$42, 0.1146, 0.1146)*CHOOSE(CONTROL!$C$42, 121.5, 121.5)*CHOOSE(CONTROL!$C$42, 30, 30))/1000000</f>
        <v>0.417717</v>
      </c>
      <c r="X846" s="57">
        <f>(30*0.1790888*245000/1000000)+(30*0.2374*100000/1000000)</f>
        <v>2.0285026799999999</v>
      </c>
      <c r="Y846" s="57"/>
      <c r="Z846" s="14"/>
      <c r="AA846" s="56"/>
      <c r="AB846" s="50">
        <f>(B846*194.205+C846*267.466+D846*133.845+E846*53.484+F846*40+G846*185+H846*0+I846*100+J846*300)/(194.205+267.466+133.845+53.484+0+40+185+100+300)</f>
        <v>81.903121770015701</v>
      </c>
      <c r="AC846" s="45">
        <f>(M846*'RAP TEMPLATE-GAS AVAILABILITY'!O845+N846*'RAP TEMPLATE-GAS AVAILABILITY'!P845+O846*'RAP TEMPLATE-GAS AVAILABILITY'!Q845+P846*'RAP TEMPLATE-GAS AVAILABILITY'!R845)/('RAP TEMPLATE-GAS AVAILABILITY'!O845+'RAP TEMPLATE-GAS AVAILABILITY'!P845+'RAP TEMPLATE-GAS AVAILABILITY'!Q845+'RAP TEMPLATE-GAS AVAILABILITY'!R845)</f>
        <v>80.321820143884878</v>
      </c>
    </row>
    <row r="847" spans="1:29" ht="15.75" x14ac:dyDescent="0.25">
      <c r="A847" s="32">
        <v>66688</v>
      </c>
      <c r="B847" s="14">
        <f>CHOOSE(CONTROL!$C$42, 80.2627, 80.2627) * CHOOSE(CONTROL!$C$21, $C$9, 100%, $E$9)</f>
        <v>80.262699999999995</v>
      </c>
      <c r="C847" s="14">
        <f>CHOOSE(CONTROL!$C$42, 80.2707, 80.2707) * CHOOSE(CONTROL!$C$21, $C$9, 100%, $E$9)</f>
        <v>80.270700000000005</v>
      </c>
      <c r="D847" s="14">
        <f>CHOOSE(CONTROL!$C$42, 80.4913, 80.4913) * CHOOSE(CONTROL!$C$21, $C$9, 100%, $E$9)</f>
        <v>80.491299999999995</v>
      </c>
      <c r="E847" s="14">
        <f>CHOOSE(CONTROL!$C$42, 80.5227, 80.5227) * CHOOSE(CONTROL!$C$21, $C$9, 100%, $E$9)</f>
        <v>80.5227</v>
      </c>
      <c r="F847" s="14">
        <f>CHOOSE(CONTROL!$C$42, 80.2897, 80.2897)*CHOOSE(CONTROL!$C$21, $C$9, 100%, $E$9)</f>
        <v>80.289699999999996</v>
      </c>
      <c r="G847" s="14">
        <f>CHOOSE(CONTROL!$C$42, 80.3071, 80.3071)*CHOOSE(CONTROL!$C$21, $C$9, 100%, $E$9)</f>
        <v>80.307100000000005</v>
      </c>
      <c r="H847" s="14">
        <f>CHOOSE(CONTROL!$C$42, 80.5114, 80.5114) * CHOOSE(CONTROL!$C$21, $C$9, 100%, $E$9)</f>
        <v>80.511399999999995</v>
      </c>
      <c r="I847" s="14">
        <f>CHOOSE(CONTROL!$C$42, 80.5419, 80.5419)* CHOOSE(CONTROL!$C$21, $C$9, 100%, $E$9)</f>
        <v>80.541899999999998</v>
      </c>
      <c r="J847" s="14">
        <f>CHOOSE(CONTROL!$C$42, 80.2827, 80.2827)* CHOOSE(CONTROL!$C$21, $C$9, 100%, $E$9)</f>
        <v>80.282700000000006</v>
      </c>
      <c r="K847" s="53">
        <f>CHOOSE(CONTROL!$C$42, 80.538, 80.538) * CHOOSE(CONTROL!$C$21, $C$9, 100%, $E$9)</f>
        <v>80.537999999999997</v>
      </c>
      <c r="L847" s="14">
        <f>CHOOSE(CONTROL!$C$42, 81.0984, 81.0984) * CHOOSE(CONTROL!$C$21, $C$9, 100%, $E$9)</f>
        <v>81.098399999999998</v>
      </c>
      <c r="M847" s="14">
        <f>CHOOSE(CONTROL!$C$42, 78.6455, 78.6455) * CHOOSE(CONTROL!$C$21, $C$9, 100%, $E$9)</f>
        <v>78.645499999999998</v>
      </c>
      <c r="N847" s="14">
        <f>CHOOSE(CONTROL!$C$42, 78.6625, 78.6625) * CHOOSE(CONTROL!$C$21, $C$9, 100%, $E$9)</f>
        <v>78.662499999999994</v>
      </c>
      <c r="O847" s="14">
        <f>CHOOSE(CONTROL!$C$42, 78.8694, 78.8694) * CHOOSE(CONTROL!$C$21, $C$9, 100%, $E$9)</f>
        <v>78.869399999999999</v>
      </c>
      <c r="P847" s="14">
        <f>CHOOSE(CONTROL!$C$42, 78.8944, 78.8944) * CHOOSE(CONTROL!$C$21, $C$9, 100%, $E$9)</f>
        <v>78.894400000000005</v>
      </c>
      <c r="Q847" s="14">
        <f>CHOOSE(CONTROL!$C$42, 79.4641, 79.4641) * CHOOSE(CONTROL!$C$21, $C$9, 100%, $E$9)</f>
        <v>79.464100000000002</v>
      </c>
      <c r="R847" s="14">
        <f>CHOOSE(CONTROL!$C$42, 80.2498, 80.2498) * CHOOSE(CONTROL!$C$21, $C$9, 100%, $E$9)</f>
        <v>80.249799999999993</v>
      </c>
      <c r="S847" s="14">
        <f>CHOOSE(CONTROL!$C$42, 77.1137, 77.1137) * CHOOSE(CONTROL!$C$21, $C$9, 100%, $E$9)</f>
        <v>77.113699999999994</v>
      </c>
      <c r="T84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47" s="57">
        <f>(1000*CHOOSE(CONTROL!$C$42, 695, 695)*CHOOSE(CONTROL!$C$42, 0.5599, 0.5599)*CHOOSE(CONTROL!$C$42, 31, 31))/1000000</f>
        <v>12.063045499999998</v>
      </c>
      <c r="V847" s="57">
        <f>(1000*CHOOSE(CONTROL!$C$42, 500, 500)*CHOOSE(CONTROL!$C$42, 0.275, 0.275)*CHOOSE(CONTROL!$C$42, 31, 31))/1000000</f>
        <v>4.2625000000000002</v>
      </c>
      <c r="W847" s="57">
        <f>(1000*CHOOSE(CONTROL!$C$42, 0.1146, 0.1146)*CHOOSE(CONTROL!$C$42, 121.5, 121.5)*CHOOSE(CONTROL!$C$42, 31, 31))/1000000</f>
        <v>0.43164089999999994</v>
      </c>
      <c r="X847" s="57">
        <f>(31*0.1790888*245000/1000000)+(31*0.2374*100000/1000000)</f>
        <v>2.0961194359999999</v>
      </c>
      <c r="Y847" s="57"/>
      <c r="Z847" s="14"/>
      <c r="AA847" s="56"/>
      <c r="AB847" s="50">
        <f>(B847*194.205+C847*267.466+D847*133.845+E847*53.484+F847*40+G847*185+H847*0+I847*100+J847*300)/(194.205+267.466+133.845+53.484+0+40+185+100+300)</f>
        <v>80.333231032182113</v>
      </c>
      <c r="AC847" s="45">
        <f>(M847*'RAP TEMPLATE-GAS AVAILABILITY'!O846+N847*'RAP TEMPLATE-GAS AVAILABILITY'!P846+O847*'RAP TEMPLATE-GAS AVAILABILITY'!Q846+P847*'RAP TEMPLATE-GAS AVAILABILITY'!R846)/('RAP TEMPLATE-GAS AVAILABILITY'!O846+'RAP TEMPLATE-GAS AVAILABILITY'!P846+'RAP TEMPLATE-GAS AVAILABILITY'!Q846+'RAP TEMPLATE-GAS AVAILABILITY'!R846)</f>
        <v>78.783771223021589</v>
      </c>
    </row>
    <row r="848" spans="1:29" ht="15.75" x14ac:dyDescent="0.25">
      <c r="A848" s="32">
        <v>66719</v>
      </c>
      <c r="B848" s="14">
        <f>CHOOSE(CONTROL!$C$42, 76.2986, 76.2986) * CHOOSE(CONTROL!$C$21, $C$9, 100%, $E$9)</f>
        <v>76.298599999999993</v>
      </c>
      <c r="C848" s="14">
        <f>CHOOSE(CONTROL!$C$42, 76.3067, 76.3067) * CHOOSE(CONTROL!$C$21, $C$9, 100%, $E$9)</f>
        <v>76.306700000000006</v>
      </c>
      <c r="D848" s="14">
        <f>CHOOSE(CONTROL!$C$42, 76.5273, 76.5273) * CHOOSE(CONTROL!$C$21, $C$9, 100%, $E$9)</f>
        <v>76.527299999999997</v>
      </c>
      <c r="E848" s="14">
        <f>CHOOSE(CONTROL!$C$42, 76.5587, 76.5587) * CHOOSE(CONTROL!$C$21, $C$9, 100%, $E$9)</f>
        <v>76.558700000000002</v>
      </c>
      <c r="F848" s="14">
        <f>CHOOSE(CONTROL!$C$42, 76.326, 76.326)*CHOOSE(CONTROL!$C$21, $C$9, 100%, $E$9)</f>
        <v>76.325999999999993</v>
      </c>
      <c r="G848" s="14">
        <f>CHOOSE(CONTROL!$C$42, 76.3434, 76.3434)*CHOOSE(CONTROL!$C$21, $C$9, 100%, $E$9)</f>
        <v>76.343400000000003</v>
      </c>
      <c r="H848" s="14">
        <f>CHOOSE(CONTROL!$C$42, 76.5473, 76.5473) * CHOOSE(CONTROL!$C$21, $C$9, 100%, $E$9)</f>
        <v>76.547300000000007</v>
      </c>
      <c r="I848" s="14">
        <f>CHOOSE(CONTROL!$C$42, 76.5655, 76.5655)* CHOOSE(CONTROL!$C$21, $C$9, 100%, $E$9)</f>
        <v>76.5655</v>
      </c>
      <c r="J848" s="14">
        <f>CHOOSE(CONTROL!$C$42, 76.319, 76.319)* CHOOSE(CONTROL!$C$21, $C$9, 100%, $E$9)</f>
        <v>76.319000000000003</v>
      </c>
      <c r="K848" s="53">
        <f>CHOOSE(CONTROL!$C$42, 76.5616, 76.5616) * CHOOSE(CONTROL!$C$21, $C$9, 100%, $E$9)</f>
        <v>76.561599999999999</v>
      </c>
      <c r="L848" s="14">
        <f>CHOOSE(CONTROL!$C$42, 77.1343, 77.1343) * CHOOSE(CONTROL!$C$21, $C$9, 100%, $E$9)</f>
        <v>77.134299999999996</v>
      </c>
      <c r="M848" s="14">
        <f>CHOOSE(CONTROL!$C$42, 74.763, 74.763) * CHOOSE(CONTROL!$C$21, $C$9, 100%, $E$9)</f>
        <v>74.763000000000005</v>
      </c>
      <c r="N848" s="14">
        <f>CHOOSE(CONTROL!$C$42, 74.78, 74.78) * CHOOSE(CONTROL!$C$21, $C$9, 100%, $E$9)</f>
        <v>74.78</v>
      </c>
      <c r="O848" s="14">
        <f>CHOOSE(CONTROL!$C$42, 74.9866, 74.9866) * CHOOSE(CONTROL!$C$21, $C$9, 100%, $E$9)</f>
        <v>74.986599999999996</v>
      </c>
      <c r="P848" s="14">
        <f>CHOOSE(CONTROL!$C$42, 74.9997, 74.9997) * CHOOSE(CONTROL!$C$21, $C$9, 100%, $E$9)</f>
        <v>74.999700000000004</v>
      </c>
      <c r="Q848" s="14">
        <f>CHOOSE(CONTROL!$C$42, 75.5813, 75.5813) * CHOOSE(CONTROL!$C$21, $C$9, 100%, $E$9)</f>
        <v>75.581299999999999</v>
      </c>
      <c r="R848" s="14">
        <f>CHOOSE(CONTROL!$C$42, 76.3573, 76.3573) * CHOOSE(CONTROL!$C$21, $C$9, 100%, $E$9)</f>
        <v>76.357299999999995</v>
      </c>
      <c r="S848" s="14">
        <f>CHOOSE(CONTROL!$C$42, 73.3047, 73.3047) * CHOOSE(CONTROL!$C$21, $C$9, 100%, $E$9)</f>
        <v>73.304699999999997</v>
      </c>
      <c r="T84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48" s="57">
        <f>(1000*CHOOSE(CONTROL!$C$42, 695, 695)*CHOOSE(CONTROL!$C$42, 0.5599, 0.5599)*CHOOSE(CONTROL!$C$42, 31, 31))/1000000</f>
        <v>12.063045499999998</v>
      </c>
      <c r="V848" s="57">
        <f>(1000*CHOOSE(CONTROL!$C$42, 500, 500)*CHOOSE(CONTROL!$C$42, 0.275, 0.275)*CHOOSE(CONTROL!$C$42, 31, 31))/1000000</f>
        <v>4.2625000000000002</v>
      </c>
      <c r="W848" s="57">
        <f>(1000*CHOOSE(CONTROL!$C$42, 0.1146, 0.1146)*CHOOSE(CONTROL!$C$42, 121.5, 121.5)*CHOOSE(CONTROL!$C$42, 31, 31))/1000000</f>
        <v>0.43164089999999994</v>
      </c>
      <c r="X848" s="57">
        <f>(31*0.1790888*245000/1000000)+(31*0.2374*100000/1000000)</f>
        <v>2.0961194359999999</v>
      </c>
      <c r="Y848" s="57"/>
      <c r="Z848" s="14"/>
      <c r="AA848" s="56"/>
      <c r="AB848" s="50">
        <f>(B848*194.205+C848*267.466+D848*133.845+E848*53.484+F848*40+G848*185+H848*0+I848*100+J848*300)/(194.205+267.466+133.845+53.484+0+40+185+100+300)</f>
        <v>76.368366102433271</v>
      </c>
      <c r="AC848" s="45">
        <f>(M848*'RAP TEMPLATE-GAS AVAILABILITY'!O847+N848*'RAP TEMPLATE-GAS AVAILABILITY'!P847+O848*'RAP TEMPLATE-GAS AVAILABILITY'!Q847+P848*'RAP TEMPLATE-GAS AVAILABILITY'!R847)/('RAP TEMPLATE-GAS AVAILABILITY'!O847+'RAP TEMPLATE-GAS AVAILABILITY'!P847+'RAP TEMPLATE-GAS AVAILABILITY'!Q847+'RAP TEMPLATE-GAS AVAILABILITY'!R847)</f>
        <v>74.899379856115118</v>
      </c>
    </row>
    <row r="849" spans="1:29" ht="15.75" x14ac:dyDescent="0.25">
      <c r="A849" s="32">
        <v>66749</v>
      </c>
      <c r="B849" s="14">
        <f>CHOOSE(CONTROL!$C$42, 71.4551, 71.4551) * CHOOSE(CONTROL!$C$21, $C$9, 100%, $E$9)</f>
        <v>71.455100000000002</v>
      </c>
      <c r="C849" s="14">
        <f>CHOOSE(CONTROL!$C$42, 71.4632, 71.4632) * CHOOSE(CONTROL!$C$21, $C$9, 100%, $E$9)</f>
        <v>71.463200000000001</v>
      </c>
      <c r="D849" s="14">
        <f>CHOOSE(CONTROL!$C$42, 71.6837, 71.6837) * CHOOSE(CONTROL!$C$21, $C$9, 100%, $E$9)</f>
        <v>71.683700000000002</v>
      </c>
      <c r="E849" s="14">
        <f>CHOOSE(CONTROL!$C$42, 71.7152, 71.7152) * CHOOSE(CONTROL!$C$21, $C$9, 100%, $E$9)</f>
        <v>71.715199999999996</v>
      </c>
      <c r="F849" s="14">
        <f>CHOOSE(CONTROL!$C$42, 71.4825, 71.4825)*CHOOSE(CONTROL!$C$21, $C$9, 100%, $E$9)</f>
        <v>71.482500000000002</v>
      </c>
      <c r="G849" s="14">
        <f>CHOOSE(CONTROL!$C$42, 71.4999, 71.4999)*CHOOSE(CONTROL!$C$21, $C$9, 100%, $E$9)</f>
        <v>71.499899999999997</v>
      </c>
      <c r="H849" s="14">
        <f>CHOOSE(CONTROL!$C$42, 71.7038, 71.7038) * CHOOSE(CONTROL!$C$21, $C$9, 100%, $E$9)</f>
        <v>71.703800000000001</v>
      </c>
      <c r="I849" s="14">
        <f>CHOOSE(CONTROL!$C$42, 71.7068, 71.7068)* CHOOSE(CONTROL!$C$21, $C$9, 100%, $E$9)</f>
        <v>71.706800000000001</v>
      </c>
      <c r="J849" s="14">
        <f>CHOOSE(CONTROL!$C$42, 71.4755, 71.4755)* CHOOSE(CONTROL!$C$21, $C$9, 100%, $E$9)</f>
        <v>71.475499999999997</v>
      </c>
      <c r="K849" s="53">
        <f>CHOOSE(CONTROL!$C$42, 71.7029, 71.7029) * CHOOSE(CONTROL!$C$21, $C$9, 100%, $E$9)</f>
        <v>71.7029</v>
      </c>
      <c r="L849" s="14">
        <f>CHOOSE(CONTROL!$C$42, 72.2908, 72.2908) * CHOOSE(CONTROL!$C$21, $C$9, 100%, $E$9)</f>
        <v>72.290800000000004</v>
      </c>
      <c r="M849" s="14">
        <f>CHOOSE(CONTROL!$C$42, 70.0187, 70.0187) * CHOOSE(CONTROL!$C$21, $C$9, 100%, $E$9)</f>
        <v>70.018699999999995</v>
      </c>
      <c r="N849" s="14">
        <f>CHOOSE(CONTROL!$C$42, 70.0357, 70.0357) * CHOOSE(CONTROL!$C$21, $C$9, 100%, $E$9)</f>
        <v>70.035700000000006</v>
      </c>
      <c r="O849" s="14">
        <f>CHOOSE(CONTROL!$C$42, 70.2424, 70.2424) * CHOOSE(CONTROL!$C$21, $C$9, 100%, $E$9)</f>
        <v>70.242400000000004</v>
      </c>
      <c r="P849" s="14">
        <f>CHOOSE(CONTROL!$C$42, 70.2408, 70.2408) * CHOOSE(CONTROL!$C$21, $C$9, 100%, $E$9)</f>
        <v>70.240799999999993</v>
      </c>
      <c r="Q849" s="14">
        <f>CHOOSE(CONTROL!$C$42, 70.8371, 70.8371) * CHOOSE(CONTROL!$C$21, $C$9, 100%, $E$9)</f>
        <v>70.837100000000007</v>
      </c>
      <c r="R849" s="14">
        <f>CHOOSE(CONTROL!$C$42, 71.6012, 71.6012) * CHOOSE(CONTROL!$C$21, $C$9, 100%, $E$9)</f>
        <v>71.601200000000006</v>
      </c>
      <c r="S849" s="14">
        <f>CHOOSE(CONTROL!$C$42, 68.6506, 68.6506) * CHOOSE(CONTROL!$C$21, $C$9, 100%, $E$9)</f>
        <v>68.650599999999997</v>
      </c>
      <c r="T84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49" s="57">
        <f>(1000*CHOOSE(CONTROL!$C$42, 695, 695)*CHOOSE(CONTROL!$C$42, 0.5599, 0.5599)*CHOOSE(CONTROL!$C$42, 30, 30))/1000000</f>
        <v>11.673914999999997</v>
      </c>
      <c r="V849" s="57">
        <f>(1000*CHOOSE(CONTROL!$C$42, 500, 500)*CHOOSE(CONTROL!$C$42, 0.275, 0.275)*CHOOSE(CONTROL!$C$42, 30, 30))/1000000</f>
        <v>4.125</v>
      </c>
      <c r="W849" s="57">
        <f>(1000*CHOOSE(CONTROL!$C$42, 0.1146, 0.1146)*CHOOSE(CONTROL!$C$42, 121.5, 121.5)*CHOOSE(CONTROL!$C$42, 30, 30))/1000000</f>
        <v>0.417717</v>
      </c>
      <c r="X849" s="57">
        <f>(30*0.1790888*245000/1000000)+(30*0.2374*100000/1000000)</f>
        <v>2.0285026799999999</v>
      </c>
      <c r="Y849" s="57"/>
      <c r="Z849" s="14"/>
      <c r="AA849" s="56"/>
      <c r="AB849" s="50">
        <f>(B849*194.205+C849*267.466+D849*133.845+E849*53.484+F849*40+G849*185+H849*0+I849*100+J849*300)/(194.205+267.466+133.845+53.484+0+40+185+100+300)</f>
        <v>71.523662503924655</v>
      </c>
      <c r="AC849" s="45">
        <f>(M849*'RAP TEMPLATE-GAS AVAILABILITY'!O848+N849*'RAP TEMPLATE-GAS AVAILABILITY'!P848+O849*'RAP TEMPLATE-GAS AVAILABILITY'!Q848+P849*'RAP TEMPLATE-GAS AVAILABILITY'!R848)/('RAP TEMPLATE-GAS AVAILABILITY'!O848+'RAP TEMPLATE-GAS AVAILABILITY'!P848+'RAP TEMPLATE-GAS AVAILABILITY'!Q848+'RAP TEMPLATE-GAS AVAILABILITY'!R848)</f>
        <v>70.153024460431652</v>
      </c>
    </row>
    <row r="850" spans="1:29" ht="15.75" x14ac:dyDescent="0.25">
      <c r="A850" s="32">
        <v>66780</v>
      </c>
      <c r="B850" s="14">
        <f>CHOOSE(CONTROL!$C$42, 70.0028, 70.0028) * CHOOSE(CONTROL!$C$21, $C$9, 100%, $E$9)</f>
        <v>70.002799999999993</v>
      </c>
      <c r="C850" s="14">
        <f>CHOOSE(CONTROL!$C$42, 70.0081, 70.0081) * CHOOSE(CONTROL!$C$21, $C$9, 100%, $E$9)</f>
        <v>70.008099999999999</v>
      </c>
      <c r="D850" s="14">
        <f>CHOOSE(CONTROL!$C$42, 70.2337, 70.2337) * CHOOSE(CONTROL!$C$21, $C$9, 100%, $E$9)</f>
        <v>70.233699999999999</v>
      </c>
      <c r="E850" s="14">
        <f>CHOOSE(CONTROL!$C$42, 70.2628, 70.2628) * CHOOSE(CONTROL!$C$21, $C$9, 100%, $E$9)</f>
        <v>70.262799999999999</v>
      </c>
      <c r="F850" s="14">
        <f>CHOOSE(CONTROL!$C$42, 70.0321, 70.0321)*CHOOSE(CONTROL!$C$21, $C$9, 100%, $E$9)</f>
        <v>70.0321</v>
      </c>
      <c r="G850" s="14">
        <f>CHOOSE(CONTROL!$C$42, 70.0494, 70.0494)*CHOOSE(CONTROL!$C$21, $C$9, 100%, $E$9)</f>
        <v>70.049400000000006</v>
      </c>
      <c r="H850" s="14">
        <f>CHOOSE(CONTROL!$C$42, 70.2532, 70.2532) * CHOOSE(CONTROL!$C$21, $C$9, 100%, $E$9)</f>
        <v>70.253200000000007</v>
      </c>
      <c r="I850" s="14">
        <f>CHOOSE(CONTROL!$C$42, 70.2517, 70.2517)* CHOOSE(CONTROL!$C$21, $C$9, 100%, $E$9)</f>
        <v>70.2517</v>
      </c>
      <c r="J850" s="14">
        <f>CHOOSE(CONTROL!$C$42, 70.0251, 70.0251)* CHOOSE(CONTROL!$C$21, $C$9, 100%, $E$9)</f>
        <v>70.025099999999995</v>
      </c>
      <c r="K850" s="53">
        <f>CHOOSE(CONTROL!$C$42, 70.2478, 70.2478) * CHOOSE(CONTROL!$C$21, $C$9, 100%, $E$9)</f>
        <v>70.247799999999998</v>
      </c>
      <c r="L850" s="14">
        <f>CHOOSE(CONTROL!$C$42, 70.8402, 70.8402) * CHOOSE(CONTROL!$C$21, $C$9, 100%, $E$9)</f>
        <v>70.840199999999996</v>
      </c>
      <c r="M850" s="14">
        <f>CHOOSE(CONTROL!$C$42, 68.5981, 68.5981) * CHOOSE(CONTROL!$C$21, $C$9, 100%, $E$9)</f>
        <v>68.598100000000002</v>
      </c>
      <c r="N850" s="14">
        <f>CHOOSE(CONTROL!$C$42, 68.615, 68.615) * CHOOSE(CONTROL!$C$21, $C$9, 100%, $E$9)</f>
        <v>68.614999999999995</v>
      </c>
      <c r="O850" s="14">
        <f>CHOOSE(CONTROL!$C$42, 68.8215, 68.8215) * CHOOSE(CONTROL!$C$21, $C$9, 100%, $E$9)</f>
        <v>68.8215</v>
      </c>
      <c r="P850" s="14">
        <f>CHOOSE(CONTROL!$C$42, 68.8156, 68.8156) * CHOOSE(CONTROL!$C$21, $C$9, 100%, $E$9)</f>
        <v>68.815600000000003</v>
      </c>
      <c r="Q850" s="14">
        <f>CHOOSE(CONTROL!$C$42, 69.4162, 69.4162) * CHOOSE(CONTROL!$C$21, $C$9, 100%, $E$9)</f>
        <v>69.416200000000003</v>
      </c>
      <c r="R850" s="14">
        <f>CHOOSE(CONTROL!$C$42, 70.1767, 70.1767) * CHOOSE(CONTROL!$C$21, $C$9, 100%, $E$9)</f>
        <v>70.176699999999997</v>
      </c>
      <c r="S850" s="14">
        <f>CHOOSE(CONTROL!$C$42, 67.2567, 67.2567) * CHOOSE(CONTROL!$C$21, $C$9, 100%, $E$9)</f>
        <v>67.256699999999995</v>
      </c>
      <c r="T85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50" s="57">
        <f>(1000*CHOOSE(CONTROL!$C$42, 695, 695)*CHOOSE(CONTROL!$C$42, 0.5599, 0.5599)*CHOOSE(CONTROL!$C$42, 31, 31))/1000000</f>
        <v>12.063045499999998</v>
      </c>
      <c r="V850" s="57">
        <f>(1000*CHOOSE(CONTROL!$C$42, 500, 500)*CHOOSE(CONTROL!$C$42, 0.275, 0.275)*CHOOSE(CONTROL!$C$42, 31, 31))/1000000</f>
        <v>4.2625000000000002</v>
      </c>
      <c r="W850" s="57">
        <f>(1000*CHOOSE(CONTROL!$C$42, 0.1146, 0.1146)*CHOOSE(CONTROL!$C$42, 121.5, 121.5)*CHOOSE(CONTROL!$C$42, 31, 31))/1000000</f>
        <v>0.43164089999999994</v>
      </c>
      <c r="X850" s="57">
        <f>(31*0.1790888*245000/1000000)+(31*0.2374*100000/1000000)</f>
        <v>2.0961194359999999</v>
      </c>
      <c r="Y850" s="57"/>
      <c r="Z850" s="14"/>
      <c r="AA850" s="56"/>
      <c r="AB850" s="50">
        <f>(B850*131.881+C850*277.167+D850*79.08+E850*125.872+F850*40+G850*185+H850*0+I850*100+J850*300)/(131.881+277.167+79.08+125.872+0+40+185+100+300)</f>
        <v>70.078529037207431</v>
      </c>
      <c r="AC850" s="45">
        <f>(M850*'RAP TEMPLATE-GAS AVAILABILITY'!O849+N850*'RAP TEMPLATE-GAS AVAILABILITY'!P849+O850*'RAP TEMPLATE-GAS AVAILABILITY'!Q849+P850*'RAP TEMPLATE-GAS AVAILABILITY'!R849)/('RAP TEMPLATE-GAS AVAILABILITY'!O849+'RAP TEMPLATE-GAS AVAILABILITY'!P849+'RAP TEMPLATE-GAS AVAILABILITY'!Q849+'RAP TEMPLATE-GAS AVAILABILITY'!R849)</f>
        <v>68.731620863309345</v>
      </c>
    </row>
    <row r="851" spans="1:29" ht="15.75" x14ac:dyDescent="0.25">
      <c r="A851" s="32">
        <v>66810</v>
      </c>
      <c r="B851" s="14">
        <f>CHOOSE(CONTROL!$C$42, 71.8463, 71.8463) * CHOOSE(CONTROL!$C$21, $C$9, 100%, $E$9)</f>
        <v>71.846299999999999</v>
      </c>
      <c r="C851" s="14">
        <f>CHOOSE(CONTROL!$C$42, 71.8514, 71.8514) * CHOOSE(CONTROL!$C$21, $C$9, 100%, $E$9)</f>
        <v>71.851399999999998</v>
      </c>
      <c r="D851" s="14">
        <f>CHOOSE(CONTROL!$C$42, 71.9256, 71.9256) * CHOOSE(CONTROL!$C$21, $C$9, 100%, $E$9)</f>
        <v>71.925600000000003</v>
      </c>
      <c r="E851" s="14">
        <f>CHOOSE(CONTROL!$C$42, 71.9597, 71.9597) * CHOOSE(CONTROL!$C$21, $C$9, 100%, $E$9)</f>
        <v>71.959699999999998</v>
      </c>
      <c r="F851" s="14">
        <f>CHOOSE(CONTROL!$C$42, 71.8824, 71.8824)*CHOOSE(CONTROL!$C$21, $C$9, 100%, $E$9)</f>
        <v>71.882400000000004</v>
      </c>
      <c r="G851" s="14">
        <f>CHOOSE(CONTROL!$C$42, 71.8999, 71.8999)*CHOOSE(CONTROL!$C$21, $C$9, 100%, $E$9)</f>
        <v>71.899900000000002</v>
      </c>
      <c r="H851" s="14">
        <f>CHOOSE(CONTROL!$C$42, 71.9489, 71.9489) * CHOOSE(CONTROL!$C$21, $C$9, 100%, $E$9)</f>
        <v>71.948899999999995</v>
      </c>
      <c r="I851" s="14">
        <f>CHOOSE(CONTROL!$C$42, 72.0988, 72.0988)* CHOOSE(CONTROL!$C$21, $C$9, 100%, $E$9)</f>
        <v>72.098799999999997</v>
      </c>
      <c r="J851" s="14">
        <f>CHOOSE(CONTROL!$C$42, 71.8754, 71.8754)* CHOOSE(CONTROL!$C$21, $C$9, 100%, $E$9)</f>
        <v>71.875399999999999</v>
      </c>
      <c r="K851" s="53">
        <f>CHOOSE(CONTROL!$C$42, 72.0949, 72.0949) * CHOOSE(CONTROL!$C$21, $C$9, 100%, $E$9)</f>
        <v>72.094899999999996</v>
      </c>
      <c r="L851" s="14">
        <f>CHOOSE(CONTROL!$C$42, 72.5359, 72.5359) * CHOOSE(CONTROL!$C$21, $C$9, 100%, $E$9)</f>
        <v>72.535899999999998</v>
      </c>
      <c r="M851" s="14">
        <f>CHOOSE(CONTROL!$C$42, 70.4104, 70.4104) * CHOOSE(CONTROL!$C$21, $C$9, 100%, $E$9)</f>
        <v>70.410399999999996</v>
      </c>
      <c r="N851" s="14">
        <f>CHOOSE(CONTROL!$C$42, 70.4275, 70.4275) * CHOOSE(CONTROL!$C$21, $C$9, 100%, $E$9)</f>
        <v>70.427499999999995</v>
      </c>
      <c r="O851" s="14">
        <f>CHOOSE(CONTROL!$C$42, 70.4824, 70.4824) * CHOOSE(CONTROL!$C$21, $C$9, 100%, $E$9)</f>
        <v>70.482399999999998</v>
      </c>
      <c r="P851" s="14">
        <f>CHOOSE(CONTROL!$C$42, 70.6248, 70.6248) * CHOOSE(CONTROL!$C$21, $C$9, 100%, $E$9)</f>
        <v>70.624799999999993</v>
      </c>
      <c r="Q851" s="14">
        <f>CHOOSE(CONTROL!$C$42, 71.0771, 71.0771) * CHOOSE(CONTROL!$C$21, $C$9, 100%, $E$9)</f>
        <v>71.077100000000002</v>
      </c>
      <c r="R851" s="14">
        <f>CHOOSE(CONTROL!$C$42, 71.8418, 71.8418) * CHOOSE(CONTROL!$C$21, $C$9, 100%, $E$9)</f>
        <v>71.841800000000006</v>
      </c>
      <c r="S851" s="14">
        <f>CHOOSE(CONTROL!$C$42, 69.0286, 69.0286) * CHOOSE(CONTROL!$C$21, $C$9, 100%, $E$9)</f>
        <v>69.028599999999997</v>
      </c>
      <c r="T85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51" s="57">
        <f>(1000*CHOOSE(CONTROL!$C$42, 695, 695)*CHOOSE(CONTROL!$C$42, 0.5599, 0.5599)*CHOOSE(CONTROL!$C$42, 30, 30))/1000000</f>
        <v>11.673914999999997</v>
      </c>
      <c r="V851" s="57">
        <f>(1000*CHOOSE(CONTROL!$C$42, 500, 500)*CHOOSE(CONTROL!$C$42, 0.275, 0.275)*CHOOSE(CONTROL!$C$42, 30, 30))/1000000</f>
        <v>4.125</v>
      </c>
      <c r="W851" s="57">
        <f>(1000*CHOOSE(CONTROL!$C$42, 0.1146, 0.1146)*CHOOSE(CONTROL!$C$42, 121.5, 121.5)*CHOOSE(CONTROL!$C$42, 30, 30))/1000000</f>
        <v>0.417717</v>
      </c>
      <c r="X851" s="57">
        <f>(30*0.1790888*100000/1000000)+(30*0.2374*100000/1000000)</f>
        <v>1.2494664</v>
      </c>
      <c r="Y851" s="57"/>
      <c r="Z851" s="14"/>
      <c r="AA851" s="56"/>
      <c r="AB851" s="50">
        <f>(B851*122.58+C851*297.941+D851*89.177+E851*40.302+F851*40+G851*160+H851*0+I851*100+J851*300)/(122.58+297.941+89.177+40.302+0+40+160+100+300)</f>
        <v>71.89600563652175</v>
      </c>
      <c r="AC851" s="45">
        <f>(M851*'RAP TEMPLATE-GAS AVAILABILITY'!O850+N851*'RAP TEMPLATE-GAS AVAILABILITY'!P850+O851*'RAP TEMPLATE-GAS AVAILABILITY'!Q850+P851*'RAP TEMPLATE-GAS AVAILABILITY'!R850)/('RAP TEMPLATE-GAS AVAILABILITY'!O850+'RAP TEMPLATE-GAS AVAILABILITY'!P850+'RAP TEMPLATE-GAS AVAILABILITY'!Q850+'RAP TEMPLATE-GAS AVAILABILITY'!R850)</f>
        <v>70.474866187050353</v>
      </c>
    </row>
    <row r="852" spans="1:29" ht="15.75" x14ac:dyDescent="0.25">
      <c r="A852" s="32">
        <v>66841</v>
      </c>
      <c r="B852" s="14">
        <f>CHOOSE(CONTROL!$C$42, 76.7441, 76.7441) * CHOOSE(CONTROL!$C$21, $C$9, 100%, $E$9)</f>
        <v>76.744100000000003</v>
      </c>
      <c r="C852" s="14">
        <f>CHOOSE(CONTROL!$C$42, 76.7492, 76.7492) * CHOOSE(CONTROL!$C$21, $C$9, 100%, $E$9)</f>
        <v>76.749200000000002</v>
      </c>
      <c r="D852" s="14">
        <f>CHOOSE(CONTROL!$C$42, 76.8234, 76.8234) * CHOOSE(CONTROL!$C$21, $C$9, 100%, $E$9)</f>
        <v>76.823400000000007</v>
      </c>
      <c r="E852" s="14">
        <f>CHOOSE(CONTROL!$C$42, 76.8575, 76.8575) * CHOOSE(CONTROL!$C$21, $C$9, 100%, $E$9)</f>
        <v>76.857500000000002</v>
      </c>
      <c r="F852" s="14">
        <f>CHOOSE(CONTROL!$C$42, 76.7825, 76.7825)*CHOOSE(CONTROL!$C$21, $C$9, 100%, $E$9)</f>
        <v>76.782499999999999</v>
      </c>
      <c r="G852" s="14">
        <f>CHOOSE(CONTROL!$C$42, 76.8007, 76.8007)*CHOOSE(CONTROL!$C$21, $C$9, 100%, $E$9)</f>
        <v>76.800700000000006</v>
      </c>
      <c r="H852" s="14">
        <f>CHOOSE(CONTROL!$C$42, 76.8467, 76.8467) * CHOOSE(CONTROL!$C$21, $C$9, 100%, $E$9)</f>
        <v>76.846699999999998</v>
      </c>
      <c r="I852" s="14">
        <f>CHOOSE(CONTROL!$C$42, 77.0119, 77.0119)* CHOOSE(CONTROL!$C$21, $C$9, 100%, $E$9)</f>
        <v>77.011899999999997</v>
      </c>
      <c r="J852" s="14">
        <f>CHOOSE(CONTROL!$C$42, 76.7755, 76.7755)* CHOOSE(CONTROL!$C$21, $C$9, 100%, $E$9)</f>
        <v>76.775499999999994</v>
      </c>
      <c r="K852" s="53">
        <f>CHOOSE(CONTROL!$C$42, 77.008, 77.008) * CHOOSE(CONTROL!$C$21, $C$9, 100%, $E$9)</f>
        <v>77.007999999999996</v>
      </c>
      <c r="L852" s="14">
        <f>CHOOSE(CONTROL!$C$42, 77.4337, 77.4337) * CHOOSE(CONTROL!$C$21, $C$9, 100%, $E$9)</f>
        <v>77.433700000000002</v>
      </c>
      <c r="M852" s="14">
        <f>CHOOSE(CONTROL!$C$42, 75.2101, 75.2101) * CHOOSE(CONTROL!$C$21, $C$9, 100%, $E$9)</f>
        <v>75.210099999999997</v>
      </c>
      <c r="N852" s="14">
        <f>CHOOSE(CONTROL!$C$42, 75.2279, 75.2279) * CHOOSE(CONTROL!$C$21, $C$9, 100%, $E$9)</f>
        <v>75.227900000000005</v>
      </c>
      <c r="O852" s="14">
        <f>CHOOSE(CONTROL!$C$42, 75.2798, 75.2798) * CHOOSE(CONTROL!$C$21, $C$9, 100%, $E$9)</f>
        <v>75.279799999999994</v>
      </c>
      <c r="P852" s="14">
        <f>CHOOSE(CONTROL!$C$42, 75.4369, 75.4369) * CHOOSE(CONTROL!$C$21, $C$9, 100%, $E$9)</f>
        <v>75.436899999999994</v>
      </c>
      <c r="Q852" s="14">
        <f>CHOOSE(CONTROL!$C$42, 75.8745, 75.8745) * CHOOSE(CONTROL!$C$21, $C$9, 100%, $E$9)</f>
        <v>75.874499999999998</v>
      </c>
      <c r="R852" s="14">
        <f>CHOOSE(CONTROL!$C$42, 76.6512, 76.6512) * CHOOSE(CONTROL!$C$21, $C$9, 100%, $E$9)</f>
        <v>76.651200000000003</v>
      </c>
      <c r="S852" s="14">
        <f>CHOOSE(CONTROL!$C$42, 73.7349, 73.7349) * CHOOSE(CONTROL!$C$21, $C$9, 100%, $E$9)</f>
        <v>73.734899999999996</v>
      </c>
      <c r="T85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52" s="57">
        <f>(1000*CHOOSE(CONTROL!$C$42, 695, 695)*CHOOSE(CONTROL!$C$42, 0.5599, 0.5599)*CHOOSE(CONTROL!$C$42, 31, 31))/1000000</f>
        <v>12.063045499999998</v>
      </c>
      <c r="V852" s="57">
        <f>(1000*CHOOSE(CONTROL!$C$42, 500, 500)*CHOOSE(CONTROL!$C$42, 0.275, 0.275)*CHOOSE(CONTROL!$C$42, 31, 31))/1000000</f>
        <v>4.2625000000000002</v>
      </c>
      <c r="W852" s="57">
        <f>(1000*CHOOSE(CONTROL!$C$42, 0.1146, 0.1146)*CHOOSE(CONTROL!$C$42, 121.5, 121.5)*CHOOSE(CONTROL!$C$42, 31, 31))/1000000</f>
        <v>0.43164089999999994</v>
      </c>
      <c r="X852" s="57">
        <f>(31*0.1790888*100000/1000000)+(31*0.2374*100000/1000000)</f>
        <v>1.2911152800000001</v>
      </c>
      <c r="Y852" s="57"/>
      <c r="Z852" s="14"/>
      <c r="AA852" s="56"/>
      <c r="AB852" s="50">
        <f>(B852*122.58+C852*297.941+D852*89.177+E852*40.302+F852*40+G852*160+H852*0+I852*100+J852*300)/(122.58+297.941+89.177+40.302+0+40+160+100+300)</f>
        <v>76.796233462608697</v>
      </c>
      <c r="AC852" s="45">
        <f>(M852*'RAP TEMPLATE-GAS AVAILABILITY'!O851+N852*'RAP TEMPLATE-GAS AVAILABILITY'!P851+O852*'RAP TEMPLATE-GAS AVAILABILITY'!Q851+P852*'RAP TEMPLATE-GAS AVAILABILITY'!R851)/('RAP TEMPLATE-GAS AVAILABILITY'!O851+'RAP TEMPLATE-GAS AVAILABILITY'!P851+'RAP TEMPLATE-GAS AVAILABILITY'!Q851+'RAP TEMPLATE-GAS AVAILABILITY'!R851)</f>
        <v>75.275348201438845</v>
      </c>
    </row>
    <row r="853" spans="1:29" ht="15.75" x14ac:dyDescent="0.25">
      <c r="A853" s="32">
        <v>66872</v>
      </c>
      <c r="B853" s="14">
        <f>CHOOSE(CONTROL!$C$42, 83.1055, 83.1055) * CHOOSE(CONTROL!$C$21, $C$9, 100%, $E$9)</f>
        <v>83.105500000000006</v>
      </c>
      <c r="C853" s="14">
        <f>CHOOSE(CONTROL!$C$42, 83.1105, 83.1105) * CHOOSE(CONTROL!$C$21, $C$9, 100%, $E$9)</f>
        <v>83.110500000000002</v>
      </c>
      <c r="D853" s="14">
        <f>CHOOSE(CONTROL!$C$42, 83.1873, 83.1873) * CHOOSE(CONTROL!$C$21, $C$9, 100%, $E$9)</f>
        <v>83.187299999999993</v>
      </c>
      <c r="E853" s="14">
        <f>CHOOSE(CONTROL!$C$42, 83.2214, 83.2214) * CHOOSE(CONTROL!$C$21, $C$9, 100%, $E$9)</f>
        <v>83.221400000000003</v>
      </c>
      <c r="F853" s="14">
        <f>CHOOSE(CONTROL!$C$42, 83.1302, 83.1302)*CHOOSE(CONTROL!$C$21, $C$9, 100%, $E$9)</f>
        <v>83.130200000000002</v>
      </c>
      <c r="G853" s="14">
        <f>CHOOSE(CONTROL!$C$42, 83.1482, 83.1482)*CHOOSE(CONTROL!$C$21, $C$9, 100%, $E$9)</f>
        <v>83.148200000000003</v>
      </c>
      <c r="H853" s="14">
        <f>CHOOSE(CONTROL!$C$42, 83.2106, 83.2106) * CHOOSE(CONTROL!$C$21, $C$9, 100%, $E$9)</f>
        <v>83.210599999999999</v>
      </c>
      <c r="I853" s="14">
        <f>CHOOSE(CONTROL!$C$42, 83.3995, 83.3995)* CHOOSE(CONTROL!$C$21, $C$9, 100%, $E$9)</f>
        <v>83.399500000000003</v>
      </c>
      <c r="J853" s="14">
        <f>CHOOSE(CONTROL!$C$42, 83.1232, 83.1232)* CHOOSE(CONTROL!$C$21, $C$9, 100%, $E$9)</f>
        <v>83.123199999999997</v>
      </c>
      <c r="K853" s="53">
        <f>CHOOSE(CONTROL!$C$42, 83.3956, 83.3956) * CHOOSE(CONTROL!$C$21, $C$9, 100%, $E$9)</f>
        <v>83.395600000000002</v>
      </c>
      <c r="L853" s="14">
        <f>CHOOSE(CONTROL!$C$42, 83.7976, 83.7976) * CHOOSE(CONTROL!$C$21, $C$9, 100%, $E$9)</f>
        <v>83.797600000000003</v>
      </c>
      <c r="M853" s="14">
        <f>CHOOSE(CONTROL!$C$42, 81.4278, 81.4278) * CHOOSE(CONTROL!$C$21, $C$9, 100%, $E$9)</f>
        <v>81.427800000000005</v>
      </c>
      <c r="N853" s="14">
        <f>CHOOSE(CONTROL!$C$42, 81.4454, 81.4454) * CHOOSE(CONTROL!$C$21, $C$9, 100%, $E$9)</f>
        <v>81.445400000000006</v>
      </c>
      <c r="O853" s="14">
        <f>CHOOSE(CONTROL!$C$42, 81.5134, 81.5134) * CHOOSE(CONTROL!$C$21, $C$9, 100%, $E$9)</f>
        <v>81.513400000000004</v>
      </c>
      <c r="P853" s="14">
        <f>CHOOSE(CONTROL!$C$42, 81.6932, 81.6932) * CHOOSE(CONTROL!$C$21, $C$9, 100%, $E$9)</f>
        <v>81.693200000000004</v>
      </c>
      <c r="Q853" s="14">
        <f>CHOOSE(CONTROL!$C$42, 82.1081, 82.1081) * CHOOSE(CONTROL!$C$21, $C$9, 100%, $E$9)</f>
        <v>82.108099999999993</v>
      </c>
      <c r="R853" s="14">
        <f>CHOOSE(CONTROL!$C$42, 82.9004, 82.9004) * CHOOSE(CONTROL!$C$21, $C$9, 100%, $E$9)</f>
        <v>82.900400000000005</v>
      </c>
      <c r="S853" s="14">
        <f>CHOOSE(CONTROL!$C$42, 79.8475, 79.8475) * CHOOSE(CONTROL!$C$21, $C$9, 100%, $E$9)</f>
        <v>79.847499999999997</v>
      </c>
      <c r="T85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3" s="57">
        <f>(1000*CHOOSE(CONTROL!$C$42, 695, 695)*CHOOSE(CONTROL!$C$42, 0.5599, 0.5599)*CHOOSE(CONTROL!$C$42, 31, 31))/1000000</f>
        <v>12.063045499999998</v>
      </c>
      <c r="V853" s="57">
        <f>(1000*CHOOSE(CONTROL!$C$42, 500, 500)*CHOOSE(CONTROL!$C$42, 0.275, 0.275)*CHOOSE(CONTROL!$C$42, 31, 31))/1000000</f>
        <v>4.2625000000000002</v>
      </c>
      <c r="W853" s="57">
        <f>(1000*CHOOSE(CONTROL!$C$42, 0.1146, 0.1146)*CHOOSE(CONTROL!$C$42, 121.5, 121.5)*CHOOSE(CONTROL!$C$42, 31, 31))/1000000</f>
        <v>0.43164089999999994</v>
      </c>
      <c r="X853" s="57">
        <f>(31*0.1790888*100000/1000000)+(31*0.2374*100000/1000000)</f>
        <v>1.2911152800000001</v>
      </c>
      <c r="Y853" s="57"/>
      <c r="Z853" s="14"/>
      <c r="AA853" s="56"/>
      <c r="AB853" s="50">
        <f>(B853*122.58+C853*297.941+D853*89.177+E853*40.302+F853*40+G853*160+H853*0+I853*100+J853*300)/(122.58+297.941+89.177+40.302+0+40+160+100+300)</f>
        <v>83.154182943826086</v>
      </c>
      <c r="AC853" s="45">
        <f>(M853*'RAP TEMPLATE-GAS AVAILABILITY'!O852+N853*'RAP TEMPLATE-GAS AVAILABILITY'!P852+O853*'RAP TEMPLATE-GAS AVAILABILITY'!Q852+P853*'RAP TEMPLATE-GAS AVAILABILITY'!R852)/('RAP TEMPLATE-GAS AVAILABILITY'!O852+'RAP TEMPLATE-GAS AVAILABILITY'!P852+'RAP TEMPLATE-GAS AVAILABILITY'!Q852+'RAP TEMPLATE-GAS AVAILABILITY'!R852)</f>
        <v>81.505797122302155</v>
      </c>
    </row>
    <row r="854" spans="1:29" ht="15.75" x14ac:dyDescent="0.25">
      <c r="A854" s="32">
        <v>66900</v>
      </c>
      <c r="B854" s="14">
        <f>CHOOSE(CONTROL!$C$42, 84.5847, 84.5847) * CHOOSE(CONTROL!$C$21, $C$9, 100%, $E$9)</f>
        <v>84.584699999999998</v>
      </c>
      <c r="C854" s="14">
        <f>CHOOSE(CONTROL!$C$42, 84.5897, 84.5897) * CHOOSE(CONTROL!$C$21, $C$9, 100%, $E$9)</f>
        <v>84.589699999999993</v>
      </c>
      <c r="D854" s="14">
        <f>CHOOSE(CONTROL!$C$42, 84.6666, 84.6666) * CHOOSE(CONTROL!$C$21, $C$9, 100%, $E$9)</f>
        <v>84.666600000000003</v>
      </c>
      <c r="E854" s="14">
        <f>CHOOSE(CONTROL!$C$42, 84.7007, 84.7007) * CHOOSE(CONTROL!$C$21, $C$9, 100%, $E$9)</f>
        <v>84.700699999999998</v>
      </c>
      <c r="F854" s="14">
        <f>CHOOSE(CONTROL!$C$42, 84.609, 84.609)*CHOOSE(CONTROL!$C$21, $C$9, 100%, $E$9)</f>
        <v>84.608999999999995</v>
      </c>
      <c r="G854" s="14">
        <f>CHOOSE(CONTROL!$C$42, 84.6269, 84.6269)*CHOOSE(CONTROL!$C$21, $C$9, 100%, $E$9)</f>
        <v>84.626900000000006</v>
      </c>
      <c r="H854" s="14">
        <f>CHOOSE(CONTROL!$C$42, 84.6899, 84.6899) * CHOOSE(CONTROL!$C$21, $C$9, 100%, $E$9)</f>
        <v>84.689899999999994</v>
      </c>
      <c r="I854" s="14">
        <f>CHOOSE(CONTROL!$C$42, 84.8833, 84.8833)* CHOOSE(CONTROL!$C$21, $C$9, 100%, $E$9)</f>
        <v>84.883300000000006</v>
      </c>
      <c r="J854" s="14">
        <f>CHOOSE(CONTROL!$C$42, 84.602, 84.602)* CHOOSE(CONTROL!$C$21, $C$9, 100%, $E$9)</f>
        <v>84.602000000000004</v>
      </c>
      <c r="K854" s="53">
        <f>CHOOSE(CONTROL!$C$42, 84.8794, 84.8794) * CHOOSE(CONTROL!$C$21, $C$9, 100%, $E$9)</f>
        <v>84.879400000000004</v>
      </c>
      <c r="L854" s="14">
        <f>CHOOSE(CONTROL!$C$42, 85.2769, 85.2769) * CHOOSE(CONTROL!$C$21, $C$9, 100%, $E$9)</f>
        <v>85.276899999999998</v>
      </c>
      <c r="M854" s="14">
        <f>CHOOSE(CONTROL!$C$42, 82.8763, 82.8763) * CHOOSE(CONTROL!$C$21, $C$9, 100%, $E$9)</f>
        <v>82.876300000000001</v>
      </c>
      <c r="N854" s="14">
        <f>CHOOSE(CONTROL!$C$42, 82.8938, 82.8938) * CHOOSE(CONTROL!$C$21, $C$9, 100%, $E$9)</f>
        <v>82.893799999999999</v>
      </c>
      <c r="O854" s="14">
        <f>CHOOSE(CONTROL!$C$42, 82.9623, 82.9623) * CHOOSE(CONTROL!$C$21, $C$9, 100%, $E$9)</f>
        <v>82.962299999999999</v>
      </c>
      <c r="P854" s="14">
        <f>CHOOSE(CONTROL!$C$42, 83.1466, 83.1466) * CHOOSE(CONTROL!$C$21, $C$9, 100%, $E$9)</f>
        <v>83.146600000000007</v>
      </c>
      <c r="Q854" s="14">
        <f>CHOOSE(CONTROL!$C$42, 83.557, 83.557) * CHOOSE(CONTROL!$C$21, $C$9, 100%, $E$9)</f>
        <v>83.557000000000002</v>
      </c>
      <c r="R854" s="14">
        <f>CHOOSE(CONTROL!$C$42, 84.3529, 84.3529) * CHOOSE(CONTROL!$C$21, $C$9, 100%, $E$9)</f>
        <v>84.352900000000005</v>
      </c>
      <c r="S854" s="14">
        <f>CHOOSE(CONTROL!$C$42, 81.2689, 81.2689) * CHOOSE(CONTROL!$C$21, $C$9, 100%, $E$9)</f>
        <v>81.268900000000002</v>
      </c>
      <c r="T85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54" s="57">
        <f>(1000*CHOOSE(CONTROL!$C$42, 695, 695)*CHOOSE(CONTROL!$C$42, 0.5599, 0.5599)*CHOOSE(CONTROL!$C$42, 28, 28))/1000000</f>
        <v>10.895653999999999</v>
      </c>
      <c r="V854" s="57">
        <f>(1000*CHOOSE(CONTROL!$C$42, 500, 500)*CHOOSE(CONTROL!$C$42, 0.275, 0.275)*CHOOSE(CONTROL!$C$42, 28, 28))/1000000</f>
        <v>3.85</v>
      </c>
      <c r="W854" s="57">
        <f>(1000*CHOOSE(CONTROL!$C$42, 0.1146, 0.1146)*CHOOSE(CONTROL!$C$42, 121.5, 121.5)*CHOOSE(CONTROL!$C$42, 28, 28))/1000000</f>
        <v>0.38986920000000003</v>
      </c>
      <c r="X854" s="57">
        <f>(28*0.1790888*100000/1000000)+(28*0.2374*100000/1000000)</f>
        <v>1.16616864</v>
      </c>
      <c r="Y854" s="57"/>
      <c r="Z854" s="14"/>
      <c r="AA854" s="56"/>
      <c r="AB854" s="50">
        <f>(B854*122.58+C854*297.941+D854*89.177+E854*40.302+F854*40+G854*160+H854*0+I854*100+J854*300)/(122.58+297.941+89.177+40.302+0+40+160+100+300)</f>
        <v>84.633606376782609</v>
      </c>
      <c r="AC854" s="45">
        <f>(M854*'RAP TEMPLATE-GAS AVAILABILITY'!O853+N854*'RAP TEMPLATE-GAS AVAILABILITY'!P853+O854*'RAP TEMPLATE-GAS AVAILABILITY'!Q853+P854*'RAP TEMPLATE-GAS AVAILABILITY'!R853)/('RAP TEMPLATE-GAS AVAILABILITY'!O853+'RAP TEMPLATE-GAS AVAILABILITY'!P853+'RAP TEMPLATE-GAS AVAILABILITY'!Q853+'RAP TEMPLATE-GAS AVAILABILITY'!R853)</f>
        <v>82.955177697841734</v>
      </c>
    </row>
    <row r="855" spans="1:29" ht="15.75" x14ac:dyDescent="0.25">
      <c r="A855" s="32">
        <v>66931</v>
      </c>
      <c r="B855" s="14">
        <f>CHOOSE(CONTROL!$C$42, 82.1835, 82.1835) * CHOOSE(CONTROL!$C$21, $C$9, 100%, $E$9)</f>
        <v>82.183499999999995</v>
      </c>
      <c r="C855" s="14">
        <f>CHOOSE(CONTROL!$C$42, 82.1886, 82.1886) * CHOOSE(CONTROL!$C$21, $C$9, 100%, $E$9)</f>
        <v>82.188599999999994</v>
      </c>
      <c r="D855" s="14">
        <f>CHOOSE(CONTROL!$C$42, 82.2654, 82.2654) * CHOOSE(CONTROL!$C$21, $C$9, 100%, $E$9)</f>
        <v>82.2654</v>
      </c>
      <c r="E855" s="14">
        <f>CHOOSE(CONTROL!$C$42, 82.2995, 82.2995) * CHOOSE(CONTROL!$C$21, $C$9, 100%, $E$9)</f>
        <v>82.299499999999995</v>
      </c>
      <c r="F855" s="14">
        <f>CHOOSE(CONTROL!$C$42, 82.207, 82.207)*CHOOSE(CONTROL!$C$21, $C$9, 100%, $E$9)</f>
        <v>82.206999999999994</v>
      </c>
      <c r="G855" s="14">
        <f>CHOOSE(CONTROL!$C$42, 82.2246, 82.2246)*CHOOSE(CONTROL!$C$21, $C$9, 100%, $E$9)</f>
        <v>82.224599999999995</v>
      </c>
      <c r="H855" s="14">
        <f>CHOOSE(CONTROL!$C$42, 82.2887, 82.2887) * CHOOSE(CONTROL!$C$21, $C$9, 100%, $E$9)</f>
        <v>82.288700000000006</v>
      </c>
      <c r="I855" s="14">
        <f>CHOOSE(CONTROL!$C$42, 82.4746, 82.4746)* CHOOSE(CONTROL!$C$21, $C$9, 100%, $E$9)</f>
        <v>82.474599999999995</v>
      </c>
      <c r="J855" s="14">
        <f>CHOOSE(CONTROL!$C$42, 82.2, 82.2)* CHOOSE(CONTROL!$C$21, $C$9, 100%, $E$9)</f>
        <v>82.2</v>
      </c>
      <c r="K855" s="53">
        <f>CHOOSE(CONTROL!$C$42, 82.4708, 82.4708) * CHOOSE(CONTROL!$C$21, $C$9, 100%, $E$9)</f>
        <v>82.470799999999997</v>
      </c>
      <c r="L855" s="14">
        <f>CHOOSE(CONTROL!$C$42, 82.8757, 82.8757) * CHOOSE(CONTROL!$C$21, $C$9, 100%, $E$9)</f>
        <v>82.875699999999995</v>
      </c>
      <c r="M855" s="14">
        <f>CHOOSE(CONTROL!$C$42, 80.5235, 80.5235) * CHOOSE(CONTROL!$C$21, $C$9, 100%, $E$9)</f>
        <v>80.523499999999999</v>
      </c>
      <c r="N855" s="14">
        <f>CHOOSE(CONTROL!$C$42, 80.5408, 80.5408) * CHOOSE(CONTROL!$C$21, $C$9, 100%, $E$9)</f>
        <v>80.540800000000004</v>
      </c>
      <c r="O855" s="14">
        <f>CHOOSE(CONTROL!$C$42, 80.6104, 80.6104) * CHOOSE(CONTROL!$C$21, $C$9, 100%, $E$9)</f>
        <v>80.610399999999998</v>
      </c>
      <c r="P855" s="14">
        <f>CHOOSE(CONTROL!$C$42, 80.7874, 80.7874) * CHOOSE(CONTROL!$C$21, $C$9, 100%, $E$9)</f>
        <v>80.787400000000005</v>
      </c>
      <c r="Q855" s="14">
        <f>CHOOSE(CONTROL!$C$42, 81.2051, 81.2051) * CHOOSE(CONTROL!$C$21, $C$9, 100%, $E$9)</f>
        <v>81.205100000000002</v>
      </c>
      <c r="R855" s="14">
        <f>CHOOSE(CONTROL!$C$42, 81.9951, 81.9951) * CHOOSE(CONTROL!$C$21, $C$9, 100%, $E$9)</f>
        <v>81.995099999999994</v>
      </c>
      <c r="S855" s="14">
        <f>CHOOSE(CONTROL!$C$42, 78.9616, 78.9616) * CHOOSE(CONTROL!$C$21, $C$9, 100%, $E$9)</f>
        <v>78.961600000000004</v>
      </c>
      <c r="T85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55" s="57">
        <f>(1000*CHOOSE(CONTROL!$C$42, 695, 695)*CHOOSE(CONTROL!$C$42, 0.5599, 0.5599)*CHOOSE(CONTROL!$C$42, 31, 31))/1000000</f>
        <v>12.063045499999998</v>
      </c>
      <c r="V855" s="57">
        <f>(1000*CHOOSE(CONTROL!$C$42, 500, 500)*CHOOSE(CONTROL!$C$42, 0.275, 0.275)*CHOOSE(CONTROL!$C$42, 31, 31))/1000000</f>
        <v>4.2625000000000002</v>
      </c>
      <c r="W855" s="57">
        <f>(1000*CHOOSE(CONTROL!$C$42, 0.1146, 0.1146)*CHOOSE(CONTROL!$C$42, 121.5, 121.5)*CHOOSE(CONTROL!$C$42, 31, 31))/1000000</f>
        <v>0.43164089999999994</v>
      </c>
      <c r="X855" s="57">
        <f>(31*0.1790888*100000/1000000)+(31*0.2374*100000/1000000)</f>
        <v>1.2911152800000001</v>
      </c>
      <c r="Y855" s="57"/>
      <c r="Z855" s="14"/>
      <c r="AA855" s="56"/>
      <c r="AB855" s="50">
        <f>(B855*122.58+C855*297.941+D855*89.177+E855*40.302+F855*40+G855*160+H855*0+I855*100+J855*300)/(122.58+297.941+89.177+40.302+0+40+160+100+300)</f>
        <v>82.231390545565219</v>
      </c>
      <c r="AC855" s="45">
        <f>(M855*'RAP TEMPLATE-GAS AVAILABILITY'!O854+N855*'RAP TEMPLATE-GAS AVAILABILITY'!P854+O855*'RAP TEMPLATE-GAS AVAILABILITY'!Q854+P855*'RAP TEMPLATE-GAS AVAILABILITY'!R854)/('RAP TEMPLATE-GAS AVAILABILITY'!O854+'RAP TEMPLATE-GAS AVAILABILITY'!P854+'RAP TEMPLATE-GAS AVAILABILITY'!Q854+'RAP TEMPLATE-GAS AVAILABILITY'!R854)</f>
        <v>80.601853237410069</v>
      </c>
    </row>
    <row r="856" spans="1:29" ht="15.75" x14ac:dyDescent="0.25">
      <c r="A856" s="32">
        <v>66961</v>
      </c>
      <c r="B856" s="14">
        <f>CHOOSE(CONTROL!$C$42, 81.9385, 81.9385) * CHOOSE(CONTROL!$C$21, $C$9, 100%, $E$9)</f>
        <v>81.938500000000005</v>
      </c>
      <c r="C856" s="14">
        <f>CHOOSE(CONTROL!$C$42, 81.943, 81.943) * CHOOSE(CONTROL!$C$21, $C$9, 100%, $E$9)</f>
        <v>81.942999999999998</v>
      </c>
      <c r="D856" s="14">
        <f>CHOOSE(CONTROL!$C$42, 82.1667, 82.1667) * CHOOSE(CONTROL!$C$21, $C$9, 100%, $E$9)</f>
        <v>82.166700000000006</v>
      </c>
      <c r="E856" s="14">
        <f>CHOOSE(CONTROL!$C$42, 82.1988, 82.1988) * CHOOSE(CONTROL!$C$21, $C$9, 100%, $E$9)</f>
        <v>82.198800000000006</v>
      </c>
      <c r="F856" s="14">
        <f>CHOOSE(CONTROL!$C$42, 81.9662, 81.9662)*CHOOSE(CONTROL!$C$21, $C$9, 100%, $E$9)</f>
        <v>81.966200000000001</v>
      </c>
      <c r="G856" s="14">
        <f>CHOOSE(CONTROL!$C$42, 81.9831, 81.9831)*CHOOSE(CONTROL!$C$21, $C$9, 100%, $E$9)</f>
        <v>81.983099999999993</v>
      </c>
      <c r="H856" s="14">
        <f>CHOOSE(CONTROL!$C$42, 82.1886, 82.1886) * CHOOSE(CONTROL!$C$21, $C$9, 100%, $E$9)</f>
        <v>82.188599999999994</v>
      </c>
      <c r="I856" s="14">
        <f>CHOOSE(CONTROL!$C$42, 82.2244, 82.2244)* CHOOSE(CONTROL!$C$21, $C$9, 100%, $E$9)</f>
        <v>82.224400000000003</v>
      </c>
      <c r="J856" s="14">
        <f>CHOOSE(CONTROL!$C$42, 81.9592, 81.9592)* CHOOSE(CONTROL!$C$21, $C$9, 100%, $E$9)</f>
        <v>81.959199999999996</v>
      </c>
      <c r="K856" s="53">
        <f>CHOOSE(CONTROL!$C$42, 82.2205, 82.2205) * CHOOSE(CONTROL!$C$21, $C$9, 100%, $E$9)</f>
        <v>82.220500000000001</v>
      </c>
      <c r="L856" s="14">
        <f>CHOOSE(CONTROL!$C$42, 82.7756, 82.7756) * CHOOSE(CONTROL!$C$21, $C$9, 100%, $E$9)</f>
        <v>82.775599999999997</v>
      </c>
      <c r="M856" s="14">
        <f>CHOOSE(CONTROL!$C$42, 80.2876, 80.2876) * CHOOSE(CONTROL!$C$21, $C$9, 100%, $E$9)</f>
        <v>80.287599999999998</v>
      </c>
      <c r="N856" s="14">
        <f>CHOOSE(CONTROL!$C$42, 80.3041, 80.3041) * CHOOSE(CONTROL!$C$21, $C$9, 100%, $E$9)</f>
        <v>80.304100000000005</v>
      </c>
      <c r="O856" s="14">
        <f>CHOOSE(CONTROL!$C$42, 80.5123, 80.5123) * CHOOSE(CONTROL!$C$21, $C$9, 100%, $E$9)</f>
        <v>80.512299999999996</v>
      </c>
      <c r="P856" s="14">
        <f>CHOOSE(CONTROL!$C$42, 80.5423, 80.5423) * CHOOSE(CONTROL!$C$21, $C$9, 100%, $E$9)</f>
        <v>80.542299999999997</v>
      </c>
      <c r="Q856" s="14">
        <f>CHOOSE(CONTROL!$C$42, 81.107, 81.107) * CHOOSE(CONTROL!$C$21, $C$9, 100%, $E$9)</f>
        <v>81.106999999999999</v>
      </c>
      <c r="R856" s="14">
        <f>CHOOSE(CONTROL!$C$42, 81.8968, 81.8968) * CHOOSE(CONTROL!$C$21, $C$9, 100%, $E$9)</f>
        <v>81.896799999999999</v>
      </c>
      <c r="S856" s="14">
        <f>CHOOSE(CONTROL!$C$42, 78.7254, 78.7254) * CHOOSE(CONTROL!$C$21, $C$9, 100%, $E$9)</f>
        <v>78.725399999999993</v>
      </c>
      <c r="T85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56" s="57">
        <f>(1000*CHOOSE(CONTROL!$C$42, 695, 695)*CHOOSE(CONTROL!$C$42, 0.5599, 0.5599)*CHOOSE(CONTROL!$C$42, 30, 30))/1000000</f>
        <v>11.673914999999997</v>
      </c>
      <c r="V856" s="57">
        <f>(1000*CHOOSE(CONTROL!$C$42, 500, 500)*CHOOSE(CONTROL!$C$42, 0.275, 0.275)*CHOOSE(CONTROL!$C$42, 30, 30))/1000000</f>
        <v>4.125</v>
      </c>
      <c r="W856" s="57">
        <f>(1000*CHOOSE(CONTROL!$C$42, 0.1146, 0.1146)*CHOOSE(CONTROL!$C$42, 121.5, 121.5)*CHOOSE(CONTROL!$C$42, 30, 30))/1000000</f>
        <v>0.417717</v>
      </c>
      <c r="X856" s="57">
        <f>(30*0.1790888*245000/1000000)+(30*0.2374*100000/1000000)</f>
        <v>2.0285026799999999</v>
      </c>
      <c r="Y856" s="57"/>
      <c r="Z856" s="14"/>
      <c r="AA856" s="56"/>
      <c r="AB856" s="50">
        <f>(B856*141.293+C856*267.993+D856*115.016+E856*89.698+F856*40+G856*185+H856*0+I856*100+J856*300)/(141.293+267.993+115.016+89.698+0+40+185+100+300)</f>
        <v>82.015142460936246</v>
      </c>
      <c r="AC856" s="45">
        <f>(M856*'RAP TEMPLATE-GAS AVAILABILITY'!O855+N856*'RAP TEMPLATE-GAS AVAILABILITY'!P855+O856*'RAP TEMPLATE-GAS AVAILABILITY'!Q855+P856*'RAP TEMPLATE-GAS AVAILABILITY'!R855)/('RAP TEMPLATE-GAS AVAILABILITY'!O855+'RAP TEMPLATE-GAS AVAILABILITY'!P855+'RAP TEMPLATE-GAS AVAILABILITY'!Q855+'RAP TEMPLATE-GAS AVAILABILITY'!R855)</f>
        <v>80.427039568345322</v>
      </c>
    </row>
    <row r="857" spans="1:29" ht="15.75" x14ac:dyDescent="0.25">
      <c r="A857" s="32">
        <v>66992</v>
      </c>
      <c r="B857" s="14">
        <f>CHOOSE(CONTROL!$C$42, 82.663, 82.663) * CHOOSE(CONTROL!$C$21, $C$9, 100%, $E$9)</f>
        <v>82.662999999999997</v>
      </c>
      <c r="C857" s="14">
        <f>CHOOSE(CONTROL!$C$42, 82.671, 82.671) * CHOOSE(CONTROL!$C$21, $C$9, 100%, $E$9)</f>
        <v>82.671000000000006</v>
      </c>
      <c r="D857" s="14">
        <f>CHOOSE(CONTROL!$C$42, 82.8916, 82.8916) * CHOOSE(CONTROL!$C$21, $C$9, 100%, $E$9)</f>
        <v>82.891599999999997</v>
      </c>
      <c r="E857" s="14">
        <f>CHOOSE(CONTROL!$C$42, 82.9231, 82.9231) * CHOOSE(CONTROL!$C$21, $C$9, 100%, $E$9)</f>
        <v>82.923100000000005</v>
      </c>
      <c r="F857" s="14">
        <f>CHOOSE(CONTROL!$C$42, 82.6893, 82.6893)*CHOOSE(CONTROL!$C$21, $C$9, 100%, $E$9)</f>
        <v>82.689300000000003</v>
      </c>
      <c r="G857" s="14">
        <f>CHOOSE(CONTROL!$C$42, 82.7064, 82.7064)*CHOOSE(CONTROL!$C$21, $C$9, 100%, $E$9)</f>
        <v>82.706400000000002</v>
      </c>
      <c r="H857" s="14">
        <f>CHOOSE(CONTROL!$C$42, 82.9117, 82.9117) * CHOOSE(CONTROL!$C$21, $C$9, 100%, $E$9)</f>
        <v>82.911699999999996</v>
      </c>
      <c r="I857" s="14">
        <f>CHOOSE(CONTROL!$C$42, 82.9498, 82.9498)* CHOOSE(CONTROL!$C$21, $C$9, 100%, $E$9)</f>
        <v>82.949799999999996</v>
      </c>
      <c r="J857" s="14">
        <f>CHOOSE(CONTROL!$C$42, 82.6823, 82.6823)* CHOOSE(CONTROL!$C$21, $C$9, 100%, $E$9)</f>
        <v>82.682299999999998</v>
      </c>
      <c r="K857" s="53">
        <f>CHOOSE(CONTROL!$C$42, 82.9459, 82.9459) * CHOOSE(CONTROL!$C$21, $C$9, 100%, $E$9)</f>
        <v>82.945899999999995</v>
      </c>
      <c r="L857" s="14">
        <f>CHOOSE(CONTROL!$C$42, 83.4987, 83.4987) * CHOOSE(CONTROL!$C$21, $C$9, 100%, $E$9)</f>
        <v>83.498699999999999</v>
      </c>
      <c r="M857" s="14">
        <f>CHOOSE(CONTROL!$C$42, 80.9959, 80.9959) * CHOOSE(CONTROL!$C$21, $C$9, 100%, $E$9)</f>
        <v>80.995900000000006</v>
      </c>
      <c r="N857" s="14">
        <f>CHOOSE(CONTROL!$C$42, 81.0126, 81.0126) * CHOOSE(CONTROL!$C$21, $C$9, 100%, $E$9)</f>
        <v>81.012600000000006</v>
      </c>
      <c r="O857" s="14">
        <f>CHOOSE(CONTROL!$C$42, 81.2206, 81.2206) * CHOOSE(CONTROL!$C$21, $C$9, 100%, $E$9)</f>
        <v>81.220600000000005</v>
      </c>
      <c r="P857" s="14">
        <f>CHOOSE(CONTROL!$C$42, 81.2528, 81.2528) * CHOOSE(CONTROL!$C$21, $C$9, 100%, $E$9)</f>
        <v>81.252799999999993</v>
      </c>
      <c r="Q857" s="14">
        <f>CHOOSE(CONTROL!$C$42, 81.8153, 81.8153) * CHOOSE(CONTROL!$C$21, $C$9, 100%, $E$9)</f>
        <v>81.815299999999993</v>
      </c>
      <c r="R857" s="14">
        <f>CHOOSE(CONTROL!$C$42, 82.6068, 82.6068) * CHOOSE(CONTROL!$C$21, $C$9, 100%, $E$9)</f>
        <v>82.606800000000007</v>
      </c>
      <c r="S857" s="14">
        <f>CHOOSE(CONTROL!$C$42, 79.4202, 79.4202) * CHOOSE(CONTROL!$C$21, $C$9, 100%, $E$9)</f>
        <v>79.420199999999994</v>
      </c>
      <c r="T85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57" s="57">
        <f>(1000*CHOOSE(CONTROL!$C$42, 695, 695)*CHOOSE(CONTROL!$C$42, 0.5599, 0.5599)*CHOOSE(CONTROL!$C$42, 31, 31))/1000000</f>
        <v>12.063045499999998</v>
      </c>
      <c r="V857" s="57">
        <f>(1000*CHOOSE(CONTROL!$C$42, 500, 500)*CHOOSE(CONTROL!$C$42, 0.275, 0.275)*CHOOSE(CONTROL!$C$42, 31, 31))/1000000</f>
        <v>4.2625000000000002</v>
      </c>
      <c r="W857" s="57">
        <f>(1000*CHOOSE(CONTROL!$C$42, 0.1146, 0.1146)*CHOOSE(CONTROL!$C$42, 121.5, 121.5)*CHOOSE(CONTROL!$C$42, 31, 31))/1000000</f>
        <v>0.43164089999999994</v>
      </c>
      <c r="X857" s="57">
        <f>(31*0.1790888*245000/1000000)+(31*0.2374*100000/1000000)</f>
        <v>2.0961194359999999</v>
      </c>
      <c r="Y857" s="57"/>
      <c r="Z857" s="14"/>
      <c r="AA857" s="56"/>
      <c r="AB857" s="50">
        <f>(B857*194.205+C857*267.466+D857*133.845+E857*53.484+F857*40+G857*185+H857*0+I857*100+J857*300)/(194.205+267.466+133.845+53.484+0+40+185+100+300)</f>
        <v>82.733799751491375</v>
      </c>
      <c r="AC857" s="45">
        <f>(M857*'RAP TEMPLATE-GAS AVAILABILITY'!O856+N857*'RAP TEMPLATE-GAS AVAILABILITY'!P856+O857*'RAP TEMPLATE-GAS AVAILABILITY'!Q856+P857*'RAP TEMPLATE-GAS AVAILABILITY'!R856)/('RAP TEMPLATE-GAS AVAILABILITY'!O856+'RAP TEMPLATE-GAS AVAILABILITY'!P856+'RAP TEMPLATE-GAS AVAILABILITY'!Q856+'RAP TEMPLATE-GAS AVAILABILITY'!R856)</f>
        <v>81.135667625899288</v>
      </c>
    </row>
    <row r="858" spans="1:29" ht="15.75" x14ac:dyDescent="0.25">
      <c r="A858" s="32">
        <v>67022</v>
      </c>
      <c r="B858" s="14">
        <f>CHOOSE(CONTROL!$C$42, 85.0075, 85.0075) * CHOOSE(CONTROL!$C$21, $C$9, 100%, $E$9)</f>
        <v>85.007499999999993</v>
      </c>
      <c r="C858" s="14">
        <f>CHOOSE(CONTROL!$C$42, 85.0156, 85.0156) * CHOOSE(CONTROL!$C$21, $C$9, 100%, $E$9)</f>
        <v>85.015600000000006</v>
      </c>
      <c r="D858" s="14">
        <f>CHOOSE(CONTROL!$C$42, 85.2361, 85.2361) * CHOOSE(CONTROL!$C$21, $C$9, 100%, $E$9)</f>
        <v>85.236099999999993</v>
      </c>
      <c r="E858" s="14">
        <f>CHOOSE(CONTROL!$C$42, 85.2676, 85.2676) * CHOOSE(CONTROL!$C$21, $C$9, 100%, $E$9)</f>
        <v>85.267600000000002</v>
      </c>
      <c r="F858" s="14">
        <f>CHOOSE(CONTROL!$C$42, 85.0341, 85.0341)*CHOOSE(CONTROL!$C$21, $C$9, 100%, $E$9)</f>
        <v>85.034099999999995</v>
      </c>
      <c r="G858" s="14">
        <f>CHOOSE(CONTROL!$C$42, 85.0513, 85.0513)*CHOOSE(CONTROL!$C$21, $C$9, 100%, $E$9)</f>
        <v>85.051299999999998</v>
      </c>
      <c r="H858" s="14">
        <f>CHOOSE(CONTROL!$C$42, 85.2562, 85.2562) * CHOOSE(CONTROL!$C$21, $C$9, 100%, $E$9)</f>
        <v>85.256200000000007</v>
      </c>
      <c r="I858" s="14">
        <f>CHOOSE(CONTROL!$C$42, 85.3016, 85.3016)* CHOOSE(CONTROL!$C$21, $C$9, 100%, $E$9)</f>
        <v>85.301599999999993</v>
      </c>
      <c r="J858" s="14">
        <f>CHOOSE(CONTROL!$C$42, 85.0271, 85.0271)* CHOOSE(CONTROL!$C$21, $C$9, 100%, $E$9)</f>
        <v>85.027100000000004</v>
      </c>
      <c r="K858" s="53">
        <f>CHOOSE(CONTROL!$C$42, 85.2977, 85.2977) * CHOOSE(CONTROL!$C$21, $C$9, 100%, $E$9)</f>
        <v>85.297700000000006</v>
      </c>
      <c r="L858" s="14">
        <f>CHOOSE(CONTROL!$C$42, 85.8432, 85.8432) * CHOOSE(CONTROL!$C$21, $C$9, 100%, $E$9)</f>
        <v>85.843199999999996</v>
      </c>
      <c r="M858" s="14">
        <f>CHOOSE(CONTROL!$C$42, 83.2927, 83.2927) * CHOOSE(CONTROL!$C$21, $C$9, 100%, $E$9)</f>
        <v>83.292699999999996</v>
      </c>
      <c r="N858" s="14">
        <f>CHOOSE(CONTROL!$C$42, 83.3095, 83.3095) * CHOOSE(CONTROL!$C$21, $C$9, 100%, $E$9)</f>
        <v>83.3095</v>
      </c>
      <c r="O858" s="14">
        <f>CHOOSE(CONTROL!$C$42, 83.5171, 83.5171) * CHOOSE(CONTROL!$C$21, $C$9, 100%, $E$9)</f>
        <v>83.517099999999999</v>
      </c>
      <c r="P858" s="14">
        <f>CHOOSE(CONTROL!$C$42, 83.5563, 83.5563) * CHOOSE(CONTROL!$C$21, $C$9, 100%, $E$9)</f>
        <v>83.556299999999993</v>
      </c>
      <c r="Q858" s="14">
        <f>CHOOSE(CONTROL!$C$42, 84.1118, 84.1118) * CHOOSE(CONTROL!$C$21, $C$9, 100%, $E$9)</f>
        <v>84.111800000000002</v>
      </c>
      <c r="R858" s="14">
        <f>CHOOSE(CONTROL!$C$42, 84.9091, 84.9091) * CHOOSE(CONTROL!$C$21, $C$9, 100%, $E$9)</f>
        <v>84.909099999999995</v>
      </c>
      <c r="S858" s="14">
        <f>CHOOSE(CONTROL!$C$42, 81.6731, 81.6731) * CHOOSE(CONTROL!$C$21, $C$9, 100%, $E$9)</f>
        <v>81.673100000000005</v>
      </c>
      <c r="T85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58" s="57">
        <f>(1000*CHOOSE(CONTROL!$C$42, 695, 695)*CHOOSE(CONTROL!$C$42, 0.5599, 0.5599)*CHOOSE(CONTROL!$C$42, 30, 30))/1000000</f>
        <v>11.673914999999997</v>
      </c>
      <c r="V858" s="57">
        <f>(1000*CHOOSE(CONTROL!$C$42, 500, 500)*CHOOSE(CONTROL!$C$42, 0.275, 0.275)*CHOOSE(CONTROL!$C$42, 30, 30))/1000000</f>
        <v>4.125</v>
      </c>
      <c r="W858" s="57">
        <f>(1000*CHOOSE(CONTROL!$C$42, 0.1146, 0.1146)*CHOOSE(CONTROL!$C$42, 121.5, 121.5)*CHOOSE(CONTROL!$C$42, 30, 30))/1000000</f>
        <v>0.417717</v>
      </c>
      <c r="X858" s="57">
        <f>(30*0.1790888*245000/1000000)+(30*0.2374*100000/1000000)</f>
        <v>2.0285026799999999</v>
      </c>
      <c r="Y858" s="57"/>
      <c r="Z858" s="14"/>
      <c r="AA858" s="56"/>
      <c r="AB858" s="50">
        <f>(B858*194.205+C858*267.466+D858*133.845+E858*53.484+F858*40+G858*185+H858*0+I858*100+J858*300)/(194.205+267.466+133.845+53.484+0+40+185+100+300)</f>
        <v>85.079031891679762</v>
      </c>
      <c r="AC858" s="45">
        <f>(M858*'RAP TEMPLATE-GAS AVAILABILITY'!O857+N858*'RAP TEMPLATE-GAS AVAILABILITY'!P857+O858*'RAP TEMPLATE-GAS AVAILABILITY'!Q857+P858*'RAP TEMPLATE-GAS AVAILABILITY'!R857)/('RAP TEMPLATE-GAS AVAILABILITY'!O857+'RAP TEMPLATE-GAS AVAILABILITY'!P857+'RAP TEMPLATE-GAS AVAILABILITY'!Q857+'RAP TEMPLATE-GAS AVAILABILITY'!R857)</f>
        <v>83.433301438848929</v>
      </c>
    </row>
    <row r="859" spans="1:29" ht="15.75" x14ac:dyDescent="0.25">
      <c r="A859" s="32">
        <v>67053</v>
      </c>
      <c r="B859" s="14">
        <f>CHOOSE(CONTROL!$C$42, 83.3769, 83.3769) * CHOOSE(CONTROL!$C$21, $C$9, 100%, $E$9)</f>
        <v>83.376900000000006</v>
      </c>
      <c r="C859" s="14">
        <f>CHOOSE(CONTROL!$C$42, 83.3849, 83.3849) * CHOOSE(CONTROL!$C$21, $C$9, 100%, $E$9)</f>
        <v>83.384900000000002</v>
      </c>
      <c r="D859" s="14">
        <f>CHOOSE(CONTROL!$C$42, 83.6055, 83.6055) * CHOOSE(CONTROL!$C$21, $C$9, 100%, $E$9)</f>
        <v>83.605500000000006</v>
      </c>
      <c r="E859" s="14">
        <f>CHOOSE(CONTROL!$C$42, 83.637, 83.637) * CHOOSE(CONTROL!$C$21, $C$9, 100%, $E$9)</f>
        <v>83.637</v>
      </c>
      <c r="F859" s="14">
        <f>CHOOSE(CONTROL!$C$42, 83.404, 83.404)*CHOOSE(CONTROL!$C$21, $C$9, 100%, $E$9)</f>
        <v>83.403999999999996</v>
      </c>
      <c r="G859" s="14">
        <f>CHOOSE(CONTROL!$C$42, 83.4213, 83.4213)*CHOOSE(CONTROL!$C$21, $C$9, 100%, $E$9)</f>
        <v>83.421300000000002</v>
      </c>
      <c r="H859" s="14">
        <f>CHOOSE(CONTROL!$C$42, 83.6256, 83.6256) * CHOOSE(CONTROL!$C$21, $C$9, 100%, $E$9)</f>
        <v>83.625600000000006</v>
      </c>
      <c r="I859" s="14">
        <f>CHOOSE(CONTROL!$C$42, 83.6659, 83.6659)* CHOOSE(CONTROL!$C$21, $C$9, 100%, $E$9)</f>
        <v>83.665899999999993</v>
      </c>
      <c r="J859" s="14">
        <f>CHOOSE(CONTROL!$C$42, 83.397, 83.397)* CHOOSE(CONTROL!$C$21, $C$9, 100%, $E$9)</f>
        <v>83.397000000000006</v>
      </c>
      <c r="K859" s="53">
        <f>CHOOSE(CONTROL!$C$42, 83.662, 83.662) * CHOOSE(CONTROL!$C$21, $C$9, 100%, $E$9)</f>
        <v>83.662000000000006</v>
      </c>
      <c r="L859" s="14">
        <f>CHOOSE(CONTROL!$C$42, 84.2126, 84.2126) * CHOOSE(CONTROL!$C$21, $C$9, 100%, $E$9)</f>
        <v>84.212599999999995</v>
      </c>
      <c r="M859" s="14">
        <f>CHOOSE(CONTROL!$C$42, 81.6959, 81.6959) * CHOOSE(CONTROL!$C$21, $C$9, 100%, $E$9)</f>
        <v>81.695899999999995</v>
      </c>
      <c r="N859" s="14">
        <f>CHOOSE(CONTROL!$C$42, 81.7129, 81.7129) * CHOOSE(CONTROL!$C$21, $C$9, 100%, $E$9)</f>
        <v>81.712900000000005</v>
      </c>
      <c r="O859" s="14">
        <f>CHOOSE(CONTROL!$C$42, 81.9199, 81.9199) * CHOOSE(CONTROL!$C$21, $C$9, 100%, $E$9)</f>
        <v>81.919899999999998</v>
      </c>
      <c r="P859" s="14">
        <f>CHOOSE(CONTROL!$C$42, 81.9542, 81.9542) * CHOOSE(CONTROL!$C$21, $C$9, 100%, $E$9)</f>
        <v>81.9542</v>
      </c>
      <c r="Q859" s="14">
        <f>CHOOSE(CONTROL!$C$42, 82.5146, 82.5146) * CHOOSE(CONTROL!$C$21, $C$9, 100%, $E$9)</f>
        <v>82.514600000000002</v>
      </c>
      <c r="R859" s="14">
        <f>CHOOSE(CONTROL!$C$42, 83.3079, 83.3079) * CHOOSE(CONTROL!$C$21, $C$9, 100%, $E$9)</f>
        <v>83.307900000000004</v>
      </c>
      <c r="S859" s="14">
        <f>CHOOSE(CONTROL!$C$42, 80.1062, 80.1062) * CHOOSE(CONTROL!$C$21, $C$9, 100%, $E$9)</f>
        <v>80.106200000000001</v>
      </c>
      <c r="T85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59" s="57">
        <f>(1000*CHOOSE(CONTROL!$C$42, 695, 695)*CHOOSE(CONTROL!$C$42, 0.5599, 0.5599)*CHOOSE(CONTROL!$C$42, 31, 31))/1000000</f>
        <v>12.063045499999998</v>
      </c>
      <c r="V859" s="57">
        <f>(1000*CHOOSE(CONTROL!$C$42, 500, 500)*CHOOSE(CONTROL!$C$42, 0.275, 0.275)*CHOOSE(CONTROL!$C$42, 31, 31))/1000000</f>
        <v>4.2625000000000002</v>
      </c>
      <c r="W859" s="57">
        <f>(1000*CHOOSE(CONTROL!$C$42, 0.1146, 0.1146)*CHOOSE(CONTROL!$C$42, 121.5, 121.5)*CHOOSE(CONTROL!$C$42, 31, 31))/1000000</f>
        <v>0.43164089999999994</v>
      </c>
      <c r="X859" s="57">
        <f>(31*0.1790888*245000/1000000)+(31*0.2374*100000/1000000)</f>
        <v>2.0961194359999999</v>
      </c>
      <c r="Y859" s="57"/>
      <c r="Z859" s="14"/>
      <c r="AA859" s="56"/>
      <c r="AB859" s="50">
        <f>(B859*194.205+C859*267.466+D859*133.845+E859*53.484+F859*40+G859*185+H859*0+I859*100+J859*300)/(194.205+267.466+133.845+53.484+0+40+185+100+300)</f>
        <v>83.448231148665627</v>
      </c>
      <c r="AC859" s="45">
        <f>(M859*'RAP TEMPLATE-GAS AVAILABILITY'!O858+N859*'RAP TEMPLATE-GAS AVAILABILITY'!P858+O859*'RAP TEMPLATE-GAS AVAILABILITY'!Q858+P859*'RAP TEMPLATE-GAS AVAILABILITY'!R858)/('RAP TEMPLATE-GAS AVAILABILITY'!O858+'RAP TEMPLATE-GAS AVAILABILITY'!P858+'RAP TEMPLATE-GAS AVAILABILITY'!Q858+'RAP TEMPLATE-GAS AVAILABILITY'!R858)</f>
        <v>81.835569064748199</v>
      </c>
    </row>
    <row r="860" spans="1:29" ht="15.75" x14ac:dyDescent="0.25">
      <c r="A860" s="32">
        <v>67084</v>
      </c>
      <c r="B860" s="14">
        <f>CHOOSE(CONTROL!$C$42, 79.2591, 79.2591) * CHOOSE(CONTROL!$C$21, $C$9, 100%, $E$9)</f>
        <v>79.259100000000004</v>
      </c>
      <c r="C860" s="14">
        <f>CHOOSE(CONTROL!$C$42, 79.2671, 79.2671) * CHOOSE(CONTROL!$C$21, $C$9, 100%, $E$9)</f>
        <v>79.267099999999999</v>
      </c>
      <c r="D860" s="14">
        <f>CHOOSE(CONTROL!$C$42, 79.4877, 79.4877) * CHOOSE(CONTROL!$C$21, $C$9, 100%, $E$9)</f>
        <v>79.487700000000004</v>
      </c>
      <c r="E860" s="14">
        <f>CHOOSE(CONTROL!$C$42, 79.5191, 79.5191) * CHOOSE(CONTROL!$C$21, $C$9, 100%, $E$9)</f>
        <v>79.519099999999995</v>
      </c>
      <c r="F860" s="14">
        <f>CHOOSE(CONTROL!$C$42, 79.2864, 79.2864)*CHOOSE(CONTROL!$C$21, $C$9, 100%, $E$9)</f>
        <v>79.2864</v>
      </c>
      <c r="G860" s="14">
        <f>CHOOSE(CONTROL!$C$42, 79.3038, 79.3038)*CHOOSE(CONTROL!$C$21, $C$9, 100%, $E$9)</f>
        <v>79.303799999999995</v>
      </c>
      <c r="H860" s="14">
        <f>CHOOSE(CONTROL!$C$42, 79.5078, 79.5078) * CHOOSE(CONTROL!$C$21, $C$9, 100%, $E$9)</f>
        <v>79.507800000000003</v>
      </c>
      <c r="I860" s="14">
        <f>CHOOSE(CONTROL!$C$42, 79.5352, 79.5352)* CHOOSE(CONTROL!$C$21, $C$9, 100%, $E$9)</f>
        <v>79.535200000000003</v>
      </c>
      <c r="J860" s="14">
        <f>CHOOSE(CONTROL!$C$42, 79.2794, 79.2794)* CHOOSE(CONTROL!$C$21, $C$9, 100%, $E$9)</f>
        <v>79.279399999999995</v>
      </c>
      <c r="K860" s="53">
        <f>CHOOSE(CONTROL!$C$42, 79.5313, 79.5313) * CHOOSE(CONTROL!$C$21, $C$9, 100%, $E$9)</f>
        <v>79.531300000000002</v>
      </c>
      <c r="L860" s="14">
        <f>CHOOSE(CONTROL!$C$42, 80.0948, 80.0948) * CHOOSE(CONTROL!$C$21, $C$9, 100%, $E$9)</f>
        <v>80.094800000000006</v>
      </c>
      <c r="M860" s="14">
        <f>CHOOSE(CONTROL!$C$42, 77.6627, 77.6627) * CHOOSE(CONTROL!$C$21, $C$9, 100%, $E$9)</f>
        <v>77.662700000000001</v>
      </c>
      <c r="N860" s="14">
        <f>CHOOSE(CONTROL!$C$42, 77.6798, 77.6798) * CHOOSE(CONTROL!$C$21, $C$9, 100%, $E$9)</f>
        <v>77.6798</v>
      </c>
      <c r="O860" s="14">
        <f>CHOOSE(CONTROL!$C$42, 77.8864, 77.8864) * CHOOSE(CONTROL!$C$21, $C$9, 100%, $E$9)</f>
        <v>77.886399999999995</v>
      </c>
      <c r="P860" s="14">
        <f>CHOOSE(CONTROL!$C$42, 77.9083, 77.9083) * CHOOSE(CONTROL!$C$21, $C$9, 100%, $E$9)</f>
        <v>77.908299999999997</v>
      </c>
      <c r="Q860" s="14">
        <f>CHOOSE(CONTROL!$C$42, 78.4811, 78.4811) * CHOOSE(CONTROL!$C$21, $C$9, 100%, $E$9)</f>
        <v>78.481099999999998</v>
      </c>
      <c r="R860" s="14">
        <f>CHOOSE(CONTROL!$C$42, 79.2643, 79.2643) * CHOOSE(CONTROL!$C$21, $C$9, 100%, $E$9)</f>
        <v>79.264300000000006</v>
      </c>
      <c r="S860" s="14">
        <f>CHOOSE(CONTROL!$C$42, 76.1494, 76.1494) * CHOOSE(CONTROL!$C$21, $C$9, 100%, $E$9)</f>
        <v>76.1494</v>
      </c>
      <c r="T86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60" s="57">
        <f>(1000*CHOOSE(CONTROL!$C$42, 695, 695)*CHOOSE(CONTROL!$C$42, 0.5599, 0.5599)*CHOOSE(CONTROL!$C$42, 31, 31))/1000000</f>
        <v>12.063045499999998</v>
      </c>
      <c r="V860" s="57">
        <f>(1000*CHOOSE(CONTROL!$C$42, 500, 500)*CHOOSE(CONTROL!$C$42, 0.275, 0.275)*CHOOSE(CONTROL!$C$42, 31, 31))/1000000</f>
        <v>4.2625000000000002</v>
      </c>
      <c r="W860" s="57">
        <f>(1000*CHOOSE(CONTROL!$C$42, 0.1146, 0.1146)*CHOOSE(CONTROL!$C$42, 121.5, 121.5)*CHOOSE(CONTROL!$C$42, 31, 31))/1000000</f>
        <v>0.43164089999999994</v>
      </c>
      <c r="X860" s="57">
        <f>(31*0.1790888*245000/1000000)+(31*0.2374*100000/1000000)</f>
        <v>2.0961194359999999</v>
      </c>
      <c r="Y860" s="57"/>
      <c r="Z860" s="14"/>
      <c r="AA860" s="56"/>
      <c r="AB860" s="50">
        <f>(B860*194.205+C860*267.466+D860*133.845+E860*53.484+F860*40+G860*185+H860*0+I860*100+J860*300)/(194.205+267.466+133.845+53.484+0+40+185+100+300)</f>
        <v>79.329511330455276</v>
      </c>
      <c r="AC860" s="45">
        <f>(M860*'RAP TEMPLATE-GAS AVAILABILITY'!O859+N860*'RAP TEMPLATE-GAS AVAILABILITY'!P859+O860*'RAP TEMPLATE-GAS AVAILABILITY'!Q859+P860*'RAP TEMPLATE-GAS AVAILABILITY'!R859)/('RAP TEMPLATE-GAS AVAILABILITY'!O859+'RAP TEMPLATE-GAS AVAILABILITY'!P859+'RAP TEMPLATE-GAS AVAILABILITY'!Q859+'RAP TEMPLATE-GAS AVAILABILITY'!R859)</f>
        <v>77.800411510791363</v>
      </c>
    </row>
    <row r="861" spans="1:29" ht="15.75" x14ac:dyDescent="0.25">
      <c r="A861" s="32">
        <v>67114</v>
      </c>
      <c r="B861" s="14">
        <f>CHOOSE(CONTROL!$C$42, 74.2276, 74.2276) * CHOOSE(CONTROL!$C$21, $C$9, 100%, $E$9)</f>
        <v>74.227599999999995</v>
      </c>
      <c r="C861" s="14">
        <f>CHOOSE(CONTROL!$C$42, 74.2356, 74.2356) * CHOOSE(CONTROL!$C$21, $C$9, 100%, $E$9)</f>
        <v>74.235600000000005</v>
      </c>
      <c r="D861" s="14">
        <f>CHOOSE(CONTROL!$C$42, 74.4562, 74.4562) * CHOOSE(CONTROL!$C$21, $C$9, 100%, $E$9)</f>
        <v>74.456199999999995</v>
      </c>
      <c r="E861" s="14">
        <f>CHOOSE(CONTROL!$C$42, 74.4877, 74.4877) * CHOOSE(CONTROL!$C$21, $C$9, 100%, $E$9)</f>
        <v>74.487700000000004</v>
      </c>
      <c r="F861" s="14">
        <f>CHOOSE(CONTROL!$C$42, 74.2549, 74.2549)*CHOOSE(CONTROL!$C$21, $C$9, 100%, $E$9)</f>
        <v>74.254900000000006</v>
      </c>
      <c r="G861" s="14">
        <f>CHOOSE(CONTROL!$C$42, 74.2723, 74.2723)*CHOOSE(CONTROL!$C$21, $C$9, 100%, $E$9)</f>
        <v>74.272300000000001</v>
      </c>
      <c r="H861" s="14">
        <f>CHOOSE(CONTROL!$C$42, 74.4763, 74.4763) * CHOOSE(CONTROL!$C$21, $C$9, 100%, $E$9)</f>
        <v>74.476299999999995</v>
      </c>
      <c r="I861" s="14">
        <f>CHOOSE(CONTROL!$C$42, 74.4879, 74.4879)* CHOOSE(CONTROL!$C$21, $C$9, 100%, $E$9)</f>
        <v>74.487899999999996</v>
      </c>
      <c r="J861" s="14">
        <f>CHOOSE(CONTROL!$C$42, 74.2479, 74.2479)* CHOOSE(CONTROL!$C$21, $C$9, 100%, $E$9)</f>
        <v>74.247900000000001</v>
      </c>
      <c r="K861" s="53">
        <f>CHOOSE(CONTROL!$C$42, 74.4841, 74.4841) * CHOOSE(CONTROL!$C$21, $C$9, 100%, $E$9)</f>
        <v>74.484099999999998</v>
      </c>
      <c r="L861" s="14">
        <f>CHOOSE(CONTROL!$C$42, 75.0633, 75.0633) * CHOOSE(CONTROL!$C$21, $C$9, 100%, $E$9)</f>
        <v>75.063299999999998</v>
      </c>
      <c r="M861" s="14">
        <f>CHOOSE(CONTROL!$C$42, 72.7343, 72.7343) * CHOOSE(CONTROL!$C$21, $C$9, 100%, $E$9)</f>
        <v>72.734300000000005</v>
      </c>
      <c r="N861" s="14">
        <f>CHOOSE(CONTROL!$C$42, 72.7514, 72.7514) * CHOOSE(CONTROL!$C$21, $C$9, 100%, $E$9)</f>
        <v>72.751400000000004</v>
      </c>
      <c r="O861" s="14">
        <f>CHOOSE(CONTROL!$C$42, 72.958, 72.958) * CHOOSE(CONTROL!$C$21, $C$9, 100%, $E$9)</f>
        <v>72.957999999999998</v>
      </c>
      <c r="P861" s="14">
        <f>CHOOSE(CONTROL!$C$42, 72.9648, 72.9648) * CHOOSE(CONTROL!$C$21, $C$9, 100%, $E$9)</f>
        <v>72.964799999999997</v>
      </c>
      <c r="Q861" s="14">
        <f>CHOOSE(CONTROL!$C$42, 73.5527, 73.5527) * CHOOSE(CONTROL!$C$21, $C$9, 100%, $E$9)</f>
        <v>73.552700000000002</v>
      </c>
      <c r="R861" s="14">
        <f>CHOOSE(CONTROL!$C$42, 74.3236, 74.3236) * CHOOSE(CONTROL!$C$21, $C$9, 100%, $E$9)</f>
        <v>74.323599999999999</v>
      </c>
      <c r="S861" s="14">
        <f>CHOOSE(CONTROL!$C$42, 71.3147, 71.3147) * CHOOSE(CONTROL!$C$21, $C$9, 100%, $E$9)</f>
        <v>71.314700000000002</v>
      </c>
      <c r="T86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61" s="57">
        <f>(1000*CHOOSE(CONTROL!$C$42, 695, 695)*CHOOSE(CONTROL!$C$42, 0.5599, 0.5599)*CHOOSE(CONTROL!$C$42, 30, 30))/1000000</f>
        <v>11.673914999999997</v>
      </c>
      <c r="V861" s="57">
        <f>(1000*CHOOSE(CONTROL!$C$42, 500, 500)*CHOOSE(CONTROL!$C$42, 0.275, 0.275)*CHOOSE(CONTROL!$C$42, 30, 30))/1000000</f>
        <v>4.125</v>
      </c>
      <c r="W861" s="57">
        <f>(1000*CHOOSE(CONTROL!$C$42, 0.1146, 0.1146)*CHOOSE(CONTROL!$C$42, 121.5, 121.5)*CHOOSE(CONTROL!$C$42, 30, 30))/1000000</f>
        <v>0.417717</v>
      </c>
      <c r="X861" s="57">
        <f>(30*0.1790888*245000/1000000)+(30*0.2374*100000/1000000)</f>
        <v>2.0285026799999999</v>
      </c>
      <c r="Y861" s="57"/>
      <c r="Z861" s="14"/>
      <c r="AA861" s="56"/>
      <c r="AB861" s="50">
        <f>(B861*194.205+C861*267.466+D861*133.845+E861*53.484+F861*40+G861*185+H861*0+I861*100+J861*300)/(194.205+267.466+133.845+53.484+0+40+185+100+300)</f>
        <v>74.296775340188375</v>
      </c>
      <c r="AC861" s="45">
        <f>(M861*'RAP TEMPLATE-GAS AVAILABILITY'!O860+N861*'RAP TEMPLATE-GAS AVAILABILITY'!P860+O861*'RAP TEMPLATE-GAS AVAILABILITY'!Q860+P861*'RAP TEMPLATE-GAS AVAILABILITY'!R860)/('RAP TEMPLATE-GAS AVAILABILITY'!O860+'RAP TEMPLATE-GAS AVAILABILITY'!P860+'RAP TEMPLATE-GAS AVAILABILITY'!Q860+'RAP TEMPLATE-GAS AVAILABILITY'!R860)</f>
        <v>72.869838848920864</v>
      </c>
    </row>
    <row r="862" spans="1:29" ht="15.75" x14ac:dyDescent="0.25">
      <c r="A862" s="32">
        <v>67145</v>
      </c>
      <c r="B862" s="14">
        <f>CHOOSE(CONTROL!$C$42, 72.719, 72.719) * CHOOSE(CONTROL!$C$21, $C$9, 100%, $E$9)</f>
        <v>72.718999999999994</v>
      </c>
      <c r="C862" s="14">
        <f>CHOOSE(CONTROL!$C$42, 72.7243, 72.7243) * CHOOSE(CONTROL!$C$21, $C$9, 100%, $E$9)</f>
        <v>72.724299999999999</v>
      </c>
      <c r="D862" s="14">
        <f>CHOOSE(CONTROL!$C$42, 72.9498, 72.9498) * CHOOSE(CONTROL!$C$21, $C$9, 100%, $E$9)</f>
        <v>72.949799999999996</v>
      </c>
      <c r="E862" s="14">
        <f>CHOOSE(CONTROL!$C$42, 72.979, 72.979) * CHOOSE(CONTROL!$C$21, $C$9, 100%, $E$9)</f>
        <v>72.978999999999999</v>
      </c>
      <c r="F862" s="14">
        <f>CHOOSE(CONTROL!$C$42, 72.7483, 72.7483)*CHOOSE(CONTROL!$C$21, $C$9, 100%, $E$9)</f>
        <v>72.7483</v>
      </c>
      <c r="G862" s="14">
        <f>CHOOSE(CONTROL!$C$42, 72.7656, 72.7656)*CHOOSE(CONTROL!$C$21, $C$9, 100%, $E$9)</f>
        <v>72.765600000000006</v>
      </c>
      <c r="H862" s="14">
        <f>CHOOSE(CONTROL!$C$42, 72.9694, 72.9694) * CHOOSE(CONTROL!$C$21, $C$9, 100%, $E$9)</f>
        <v>72.969399999999993</v>
      </c>
      <c r="I862" s="14">
        <f>CHOOSE(CONTROL!$C$42, 72.9763, 72.9763)* CHOOSE(CONTROL!$C$21, $C$9, 100%, $E$9)</f>
        <v>72.976299999999995</v>
      </c>
      <c r="J862" s="14">
        <f>CHOOSE(CONTROL!$C$42, 72.7413, 72.7413)* CHOOSE(CONTROL!$C$21, $C$9, 100%, $E$9)</f>
        <v>72.741299999999995</v>
      </c>
      <c r="K862" s="53">
        <f>CHOOSE(CONTROL!$C$42, 72.9725, 72.9725) * CHOOSE(CONTROL!$C$21, $C$9, 100%, $E$9)</f>
        <v>72.972499999999997</v>
      </c>
      <c r="L862" s="14">
        <f>CHOOSE(CONTROL!$C$42, 73.5564, 73.5564) * CHOOSE(CONTROL!$C$21, $C$9, 100%, $E$9)</f>
        <v>73.556399999999996</v>
      </c>
      <c r="M862" s="14">
        <f>CHOOSE(CONTROL!$C$42, 71.2586, 71.2586) * CHOOSE(CONTROL!$C$21, $C$9, 100%, $E$9)</f>
        <v>71.258600000000001</v>
      </c>
      <c r="N862" s="14">
        <f>CHOOSE(CONTROL!$C$42, 71.2755, 71.2755) * CHOOSE(CONTROL!$C$21, $C$9, 100%, $E$9)</f>
        <v>71.275499999999994</v>
      </c>
      <c r="O862" s="14">
        <f>CHOOSE(CONTROL!$C$42, 71.482, 71.482) * CHOOSE(CONTROL!$C$21, $C$9, 100%, $E$9)</f>
        <v>71.481999999999999</v>
      </c>
      <c r="P862" s="14">
        <f>CHOOSE(CONTROL!$C$42, 71.4843, 71.4843) * CHOOSE(CONTROL!$C$21, $C$9, 100%, $E$9)</f>
        <v>71.484300000000005</v>
      </c>
      <c r="Q862" s="14">
        <f>CHOOSE(CONTROL!$C$42, 72.0767, 72.0767) * CHOOSE(CONTROL!$C$21, $C$9, 100%, $E$9)</f>
        <v>72.076700000000002</v>
      </c>
      <c r="R862" s="14">
        <f>CHOOSE(CONTROL!$C$42, 72.8439, 72.8439) * CHOOSE(CONTROL!$C$21, $C$9, 100%, $E$9)</f>
        <v>72.843900000000005</v>
      </c>
      <c r="S862" s="14">
        <f>CHOOSE(CONTROL!$C$42, 69.8667, 69.8667) * CHOOSE(CONTROL!$C$21, $C$9, 100%, $E$9)</f>
        <v>69.866699999999994</v>
      </c>
      <c r="T86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62" s="57">
        <f>(1000*CHOOSE(CONTROL!$C$42, 695, 695)*CHOOSE(CONTROL!$C$42, 0.5599, 0.5599)*CHOOSE(CONTROL!$C$42, 31, 31))/1000000</f>
        <v>12.063045499999998</v>
      </c>
      <c r="V862" s="57">
        <f>(1000*CHOOSE(CONTROL!$C$42, 500, 500)*CHOOSE(CONTROL!$C$42, 0.275, 0.275)*CHOOSE(CONTROL!$C$42, 31, 31))/1000000</f>
        <v>4.2625000000000002</v>
      </c>
      <c r="W862" s="57">
        <f>(1000*CHOOSE(CONTROL!$C$42, 0.1146, 0.1146)*CHOOSE(CONTROL!$C$42, 121.5, 121.5)*CHOOSE(CONTROL!$C$42, 31, 31))/1000000</f>
        <v>0.43164089999999994</v>
      </c>
      <c r="X862" s="57">
        <f>(31*0.1790888*245000/1000000)+(31*0.2374*100000/1000000)</f>
        <v>2.0961194359999999</v>
      </c>
      <c r="Y862" s="57"/>
      <c r="Z862" s="14"/>
      <c r="AA862" s="56"/>
      <c r="AB862" s="50">
        <f>(B862*131.881+C862*277.167+D862*79.08+E862*125.872+F862*40+G862*185+H862*0+I862*100+J862*300)/(131.881+277.167+79.08+125.872+0+40+185+100+300)</f>
        <v>72.795400620742527</v>
      </c>
      <c r="AC862" s="45">
        <f>(M862*'RAP TEMPLATE-GAS AVAILABILITY'!O861+N862*'RAP TEMPLATE-GAS AVAILABILITY'!P861+O862*'RAP TEMPLATE-GAS AVAILABILITY'!Q861+P862*'RAP TEMPLATE-GAS AVAILABILITY'!R861)/('RAP TEMPLATE-GAS AVAILABILITY'!O861+'RAP TEMPLATE-GAS AVAILABILITY'!P861+'RAP TEMPLATE-GAS AVAILABILITY'!Q861+'RAP TEMPLATE-GAS AVAILABILITY'!R861)</f>
        <v>71.39330071942446</v>
      </c>
    </row>
    <row r="863" spans="1:29" ht="15.75" x14ac:dyDescent="0.25">
      <c r="A863" s="32">
        <v>67175</v>
      </c>
      <c r="B863" s="14">
        <f>CHOOSE(CONTROL!$C$42, 74.634, 74.634) * CHOOSE(CONTROL!$C$21, $C$9, 100%, $E$9)</f>
        <v>74.634</v>
      </c>
      <c r="C863" s="14">
        <f>CHOOSE(CONTROL!$C$42, 74.6391, 74.6391) * CHOOSE(CONTROL!$C$21, $C$9, 100%, $E$9)</f>
        <v>74.639099999999999</v>
      </c>
      <c r="D863" s="14">
        <f>CHOOSE(CONTROL!$C$42, 74.7133, 74.7133) * CHOOSE(CONTROL!$C$21, $C$9, 100%, $E$9)</f>
        <v>74.713300000000004</v>
      </c>
      <c r="E863" s="14">
        <f>CHOOSE(CONTROL!$C$42, 74.7474, 74.7474) * CHOOSE(CONTROL!$C$21, $C$9, 100%, $E$9)</f>
        <v>74.747399999999999</v>
      </c>
      <c r="F863" s="14">
        <f>CHOOSE(CONTROL!$C$42, 74.6701, 74.6701)*CHOOSE(CONTROL!$C$21, $C$9, 100%, $E$9)</f>
        <v>74.670100000000005</v>
      </c>
      <c r="G863" s="14">
        <f>CHOOSE(CONTROL!$C$42, 74.6876, 74.6876)*CHOOSE(CONTROL!$C$21, $C$9, 100%, $E$9)</f>
        <v>74.687600000000003</v>
      </c>
      <c r="H863" s="14">
        <f>CHOOSE(CONTROL!$C$42, 74.7366, 74.7366) * CHOOSE(CONTROL!$C$21, $C$9, 100%, $E$9)</f>
        <v>74.736599999999996</v>
      </c>
      <c r="I863" s="14">
        <f>CHOOSE(CONTROL!$C$42, 74.8952, 74.8952)* CHOOSE(CONTROL!$C$21, $C$9, 100%, $E$9)</f>
        <v>74.895200000000003</v>
      </c>
      <c r="J863" s="14">
        <f>CHOOSE(CONTROL!$C$42, 74.6631, 74.6631)* CHOOSE(CONTROL!$C$21, $C$9, 100%, $E$9)</f>
        <v>74.6631</v>
      </c>
      <c r="K863" s="53">
        <f>CHOOSE(CONTROL!$C$42, 74.8913, 74.8913) * CHOOSE(CONTROL!$C$21, $C$9, 100%, $E$9)</f>
        <v>74.891300000000001</v>
      </c>
      <c r="L863" s="14">
        <f>CHOOSE(CONTROL!$C$42, 75.3236, 75.3236) * CHOOSE(CONTROL!$C$21, $C$9, 100%, $E$9)</f>
        <v>75.323599999999999</v>
      </c>
      <c r="M863" s="14">
        <f>CHOOSE(CONTROL!$C$42, 73.141, 73.141) * CHOOSE(CONTROL!$C$21, $C$9, 100%, $E$9)</f>
        <v>73.141000000000005</v>
      </c>
      <c r="N863" s="14">
        <f>CHOOSE(CONTROL!$C$42, 73.1582, 73.1582) * CHOOSE(CONTROL!$C$21, $C$9, 100%, $E$9)</f>
        <v>73.158199999999994</v>
      </c>
      <c r="O863" s="14">
        <f>CHOOSE(CONTROL!$C$42, 73.213, 73.213) * CHOOSE(CONTROL!$C$21, $C$9, 100%, $E$9)</f>
        <v>73.212999999999994</v>
      </c>
      <c r="P863" s="14">
        <f>CHOOSE(CONTROL!$C$42, 73.3638, 73.3638) * CHOOSE(CONTROL!$C$21, $C$9, 100%, $E$9)</f>
        <v>73.363799999999998</v>
      </c>
      <c r="Q863" s="14">
        <f>CHOOSE(CONTROL!$C$42, 73.8077, 73.8077) * CHOOSE(CONTROL!$C$21, $C$9, 100%, $E$9)</f>
        <v>73.807699999999997</v>
      </c>
      <c r="R863" s="14">
        <f>CHOOSE(CONTROL!$C$42, 74.5792, 74.5792) * CHOOSE(CONTROL!$C$21, $C$9, 100%, $E$9)</f>
        <v>74.5792</v>
      </c>
      <c r="S863" s="14">
        <f>CHOOSE(CONTROL!$C$42, 71.7073, 71.7073) * CHOOSE(CONTROL!$C$21, $C$9, 100%, $E$9)</f>
        <v>71.707300000000004</v>
      </c>
      <c r="T86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63" s="57">
        <f>(1000*CHOOSE(CONTROL!$C$42, 695, 695)*CHOOSE(CONTROL!$C$42, 0.5599, 0.5599)*CHOOSE(CONTROL!$C$42, 30, 30))/1000000</f>
        <v>11.673914999999997</v>
      </c>
      <c r="V863" s="57">
        <f>(1000*CHOOSE(CONTROL!$C$42, 500, 500)*CHOOSE(CONTROL!$C$42, 0.275, 0.275)*CHOOSE(CONTROL!$C$42, 30, 30))/1000000</f>
        <v>4.125</v>
      </c>
      <c r="W863" s="57">
        <f>(1000*CHOOSE(CONTROL!$C$42, 0.1146, 0.1146)*CHOOSE(CONTROL!$C$42, 121.5, 121.5)*CHOOSE(CONTROL!$C$42, 30, 30))/1000000</f>
        <v>0.417717</v>
      </c>
      <c r="X863" s="57">
        <f>(30*0.1790888*100000/1000000)+(30*0.2374*100000/1000000)</f>
        <v>1.2494664</v>
      </c>
      <c r="Y863" s="57"/>
      <c r="Z863" s="14"/>
      <c r="AA863" s="56"/>
      <c r="AB863" s="50">
        <f>(B863*122.58+C863*297.941+D863*89.177+E863*40.302+F863*40+G863*160+H863*0+I863*100+J863*300)/(122.58+297.941+89.177+40.302+0+40+160+100+300)</f>
        <v>74.684462158260871</v>
      </c>
      <c r="AC863" s="45">
        <f>(M863*'RAP TEMPLATE-GAS AVAILABILITY'!O862+N863*'RAP TEMPLATE-GAS AVAILABILITY'!P862+O863*'RAP TEMPLATE-GAS AVAILABILITY'!Q862+P863*'RAP TEMPLATE-GAS AVAILABILITY'!R862)/('RAP TEMPLATE-GAS AVAILABILITY'!O862+'RAP TEMPLATE-GAS AVAILABILITY'!P862+'RAP TEMPLATE-GAS AVAILABILITY'!Q862+'RAP TEMPLATE-GAS AVAILABILITY'!R862)</f>
        <v>73.206680575539551</v>
      </c>
    </row>
    <row r="864" spans="1:29" ht="15.75" x14ac:dyDescent="0.25">
      <c r="A864" s="32">
        <v>67206</v>
      </c>
      <c r="B864" s="14">
        <f>CHOOSE(CONTROL!$C$42, 79.7219, 79.7219) * CHOOSE(CONTROL!$C$21, $C$9, 100%, $E$9)</f>
        <v>79.721900000000005</v>
      </c>
      <c r="C864" s="14">
        <f>CHOOSE(CONTROL!$C$42, 79.727, 79.727) * CHOOSE(CONTROL!$C$21, $C$9, 100%, $E$9)</f>
        <v>79.727000000000004</v>
      </c>
      <c r="D864" s="14">
        <f>CHOOSE(CONTROL!$C$42, 79.8012, 79.8012) * CHOOSE(CONTROL!$C$21, $C$9, 100%, $E$9)</f>
        <v>79.801199999999994</v>
      </c>
      <c r="E864" s="14">
        <f>CHOOSE(CONTROL!$C$42, 79.8353, 79.8353) * CHOOSE(CONTROL!$C$21, $C$9, 100%, $E$9)</f>
        <v>79.835300000000004</v>
      </c>
      <c r="F864" s="14">
        <f>CHOOSE(CONTROL!$C$42, 79.7603, 79.7603)*CHOOSE(CONTROL!$C$21, $C$9, 100%, $E$9)</f>
        <v>79.760300000000001</v>
      </c>
      <c r="G864" s="14">
        <f>CHOOSE(CONTROL!$C$42, 79.7785, 79.7785)*CHOOSE(CONTROL!$C$21, $C$9, 100%, $E$9)</f>
        <v>79.778499999999994</v>
      </c>
      <c r="H864" s="14">
        <f>CHOOSE(CONTROL!$C$42, 79.8245, 79.8245) * CHOOSE(CONTROL!$C$21, $C$9, 100%, $E$9)</f>
        <v>79.8245</v>
      </c>
      <c r="I864" s="14">
        <f>CHOOSE(CONTROL!$C$42, 79.999, 79.999)* CHOOSE(CONTROL!$C$21, $C$9, 100%, $E$9)</f>
        <v>79.998999999999995</v>
      </c>
      <c r="J864" s="14">
        <f>CHOOSE(CONTROL!$C$42, 79.7533, 79.7533)* CHOOSE(CONTROL!$C$21, $C$9, 100%, $E$9)</f>
        <v>79.753299999999996</v>
      </c>
      <c r="K864" s="53">
        <f>CHOOSE(CONTROL!$C$42, 79.9951, 79.9951) * CHOOSE(CONTROL!$C$21, $C$9, 100%, $E$9)</f>
        <v>79.995099999999994</v>
      </c>
      <c r="L864" s="14">
        <f>CHOOSE(CONTROL!$C$42, 80.4115, 80.4115) * CHOOSE(CONTROL!$C$21, $C$9, 100%, $E$9)</f>
        <v>80.411500000000004</v>
      </c>
      <c r="M864" s="14">
        <f>CHOOSE(CONTROL!$C$42, 78.1269, 78.1269) * CHOOSE(CONTROL!$C$21, $C$9, 100%, $E$9)</f>
        <v>78.126900000000006</v>
      </c>
      <c r="N864" s="14">
        <f>CHOOSE(CONTROL!$C$42, 78.1447, 78.1447) * CHOOSE(CONTROL!$C$21, $C$9, 100%, $E$9)</f>
        <v>78.1447</v>
      </c>
      <c r="O864" s="14">
        <f>CHOOSE(CONTROL!$C$42, 78.1966, 78.1966) * CHOOSE(CONTROL!$C$21, $C$9, 100%, $E$9)</f>
        <v>78.196600000000004</v>
      </c>
      <c r="P864" s="14">
        <f>CHOOSE(CONTROL!$C$42, 78.3627, 78.3627) * CHOOSE(CONTROL!$C$21, $C$9, 100%, $E$9)</f>
        <v>78.362700000000004</v>
      </c>
      <c r="Q864" s="14">
        <f>CHOOSE(CONTROL!$C$42, 78.7913, 78.7913) * CHOOSE(CONTROL!$C$21, $C$9, 100%, $E$9)</f>
        <v>78.791300000000007</v>
      </c>
      <c r="R864" s="14">
        <f>CHOOSE(CONTROL!$C$42, 79.5753, 79.5753) * CHOOSE(CONTROL!$C$21, $C$9, 100%, $E$9)</f>
        <v>79.575299999999999</v>
      </c>
      <c r="S864" s="14">
        <f>CHOOSE(CONTROL!$C$42, 76.5962, 76.5962) * CHOOSE(CONTROL!$C$21, $C$9, 100%, $E$9)</f>
        <v>76.596199999999996</v>
      </c>
      <c r="T86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64" s="57">
        <f>(1000*CHOOSE(CONTROL!$C$42, 695, 695)*CHOOSE(CONTROL!$C$42, 0.5599, 0.5599)*CHOOSE(CONTROL!$C$42, 31, 31))/1000000</f>
        <v>12.063045499999998</v>
      </c>
      <c r="V864" s="57">
        <f>(1000*CHOOSE(CONTROL!$C$42, 500, 500)*CHOOSE(CONTROL!$C$42, 0.275, 0.275)*CHOOSE(CONTROL!$C$42, 31, 31))/1000000</f>
        <v>4.2625000000000002</v>
      </c>
      <c r="W864" s="57">
        <f>(1000*CHOOSE(CONTROL!$C$42, 0.1146, 0.1146)*CHOOSE(CONTROL!$C$42, 121.5, 121.5)*CHOOSE(CONTROL!$C$42, 31, 31))/1000000</f>
        <v>0.43164089999999994</v>
      </c>
      <c r="X864" s="57">
        <f>(31*0.1790888*100000/1000000)+(31*0.2374*100000/1000000)</f>
        <v>1.2911152800000001</v>
      </c>
      <c r="Y864" s="57"/>
      <c r="Z864" s="14"/>
      <c r="AA864" s="56"/>
      <c r="AB864" s="50">
        <f>(B864*122.58+C864*297.941+D864*89.177+E864*40.302+F864*40+G864*160+H864*0+I864*100+J864*300)/(122.58+297.941+89.177+40.302+0+40+160+100+300)</f>
        <v>79.774842158260867</v>
      </c>
      <c r="AC864" s="45">
        <f>(M864*'RAP TEMPLATE-GAS AVAILABILITY'!O863+N864*'RAP TEMPLATE-GAS AVAILABILITY'!P863+O864*'RAP TEMPLATE-GAS AVAILABILITY'!Q863+P864*'RAP TEMPLATE-GAS AVAILABILITY'!R863)/('RAP TEMPLATE-GAS AVAILABILITY'!O863+'RAP TEMPLATE-GAS AVAILABILITY'!P863+'RAP TEMPLATE-GAS AVAILABILITY'!Q863+'RAP TEMPLATE-GAS AVAILABILITY'!R863)</f>
        <v>78.193443165467627</v>
      </c>
    </row>
    <row r="865" spans="1:29" ht="15.75" x14ac:dyDescent="0.25">
      <c r="A865" s="32">
        <v>67237</v>
      </c>
      <c r="B865" s="14">
        <f>CHOOSE(CONTROL!$C$42, 86.3301, 86.3301) * CHOOSE(CONTROL!$C$21, $C$9, 100%, $E$9)</f>
        <v>86.330100000000002</v>
      </c>
      <c r="C865" s="14">
        <f>CHOOSE(CONTROL!$C$42, 86.3352, 86.3352) * CHOOSE(CONTROL!$C$21, $C$9, 100%, $E$9)</f>
        <v>86.3352</v>
      </c>
      <c r="D865" s="14">
        <f>CHOOSE(CONTROL!$C$42, 86.412, 86.412) * CHOOSE(CONTROL!$C$21, $C$9, 100%, $E$9)</f>
        <v>86.412000000000006</v>
      </c>
      <c r="E865" s="14">
        <f>CHOOSE(CONTROL!$C$42, 86.4461, 86.4461) * CHOOSE(CONTROL!$C$21, $C$9, 100%, $E$9)</f>
        <v>86.446100000000001</v>
      </c>
      <c r="F865" s="14">
        <f>CHOOSE(CONTROL!$C$42, 86.3549, 86.3549)*CHOOSE(CONTROL!$C$21, $C$9, 100%, $E$9)</f>
        <v>86.354900000000001</v>
      </c>
      <c r="G865" s="14">
        <f>CHOOSE(CONTROL!$C$42, 86.3728, 86.3728)*CHOOSE(CONTROL!$C$21, $C$9, 100%, $E$9)</f>
        <v>86.372799999999998</v>
      </c>
      <c r="H865" s="14">
        <f>CHOOSE(CONTROL!$C$42, 86.4353, 86.4353) * CHOOSE(CONTROL!$C$21, $C$9, 100%, $E$9)</f>
        <v>86.435299999999998</v>
      </c>
      <c r="I865" s="14">
        <f>CHOOSE(CONTROL!$C$42, 86.6342, 86.6342)* CHOOSE(CONTROL!$C$21, $C$9, 100%, $E$9)</f>
        <v>86.634200000000007</v>
      </c>
      <c r="J865" s="14">
        <f>CHOOSE(CONTROL!$C$42, 86.3479, 86.3479)* CHOOSE(CONTROL!$C$21, $C$9, 100%, $E$9)</f>
        <v>86.347899999999996</v>
      </c>
      <c r="K865" s="53">
        <f>CHOOSE(CONTROL!$C$42, 86.6303, 86.6303) * CHOOSE(CONTROL!$C$21, $C$9, 100%, $E$9)</f>
        <v>86.630300000000005</v>
      </c>
      <c r="L865" s="14">
        <f>CHOOSE(CONTROL!$C$42, 87.0223, 87.0223) * CHOOSE(CONTROL!$C$21, $C$9, 100%, $E$9)</f>
        <v>87.022300000000001</v>
      </c>
      <c r="M865" s="14">
        <f>CHOOSE(CONTROL!$C$42, 84.5863, 84.5863) * CHOOSE(CONTROL!$C$21, $C$9, 100%, $E$9)</f>
        <v>84.586299999999994</v>
      </c>
      <c r="N865" s="14">
        <f>CHOOSE(CONTROL!$C$42, 84.6039, 84.6039) * CHOOSE(CONTROL!$C$21, $C$9, 100%, $E$9)</f>
        <v>84.603899999999996</v>
      </c>
      <c r="O865" s="14">
        <f>CHOOSE(CONTROL!$C$42, 84.672, 84.672) * CHOOSE(CONTROL!$C$21, $C$9, 100%, $E$9)</f>
        <v>84.671999999999997</v>
      </c>
      <c r="P865" s="14">
        <f>CHOOSE(CONTROL!$C$42, 84.8615, 84.8615) * CHOOSE(CONTROL!$C$21, $C$9, 100%, $E$9)</f>
        <v>84.861500000000007</v>
      </c>
      <c r="Q865" s="14">
        <f>CHOOSE(CONTROL!$C$42, 85.2667, 85.2667) * CHOOSE(CONTROL!$C$21, $C$9, 100%, $E$9)</f>
        <v>85.2667</v>
      </c>
      <c r="R865" s="14">
        <f>CHOOSE(CONTROL!$C$42, 86.0669, 86.0669) * CHOOSE(CONTROL!$C$21, $C$9, 100%, $E$9)</f>
        <v>86.066900000000004</v>
      </c>
      <c r="S865" s="14">
        <f>CHOOSE(CONTROL!$C$42, 82.9461, 82.9461) * CHOOSE(CONTROL!$C$21, $C$9, 100%, $E$9)</f>
        <v>82.946100000000001</v>
      </c>
      <c r="T86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65" s="57">
        <f>(1000*CHOOSE(CONTROL!$C$42, 695, 695)*CHOOSE(CONTROL!$C$42, 0.5599, 0.5599)*CHOOSE(CONTROL!$C$42, 31, 31))/1000000</f>
        <v>12.063045499999998</v>
      </c>
      <c r="V865" s="57">
        <f>(1000*CHOOSE(CONTROL!$C$42, 500, 500)*CHOOSE(CONTROL!$C$42, 0.275, 0.275)*CHOOSE(CONTROL!$C$42, 31, 31))/1000000</f>
        <v>4.2625000000000002</v>
      </c>
      <c r="W865" s="57">
        <f>(1000*CHOOSE(CONTROL!$C$42, 0.1146, 0.1146)*CHOOSE(CONTROL!$C$42, 121.5, 121.5)*CHOOSE(CONTROL!$C$42, 31, 31))/1000000</f>
        <v>0.43164089999999994</v>
      </c>
      <c r="X865" s="57">
        <f>(31*0.1790888*100000/1000000)+(31*0.2374*100000/1000000)</f>
        <v>1.2911152800000001</v>
      </c>
      <c r="Y865" s="57"/>
      <c r="Z865" s="14"/>
      <c r="AA865" s="56"/>
      <c r="AB865" s="50">
        <f>(B865*122.58+C865*297.941+D865*89.177+E865*40.302+F865*40+G865*160+H865*0+I865*100+J865*300)/(122.58+297.941+89.177+40.302+0+40+160+100+300)</f>
        <v>86.379727936869571</v>
      </c>
      <c r="AC865" s="45">
        <f>(M865*'RAP TEMPLATE-GAS AVAILABILITY'!O864+N865*'RAP TEMPLATE-GAS AVAILABILITY'!P864+O865*'RAP TEMPLATE-GAS AVAILABILITY'!Q864+P865*'RAP TEMPLATE-GAS AVAILABILITY'!R864)/('RAP TEMPLATE-GAS AVAILABILITY'!O864+'RAP TEMPLATE-GAS AVAILABILITY'!P864+'RAP TEMPLATE-GAS AVAILABILITY'!Q864+'RAP TEMPLATE-GAS AVAILABILITY'!R864)</f>
        <v>84.665752517985609</v>
      </c>
    </row>
    <row r="866" spans="1:29" ht="15.75" x14ac:dyDescent="0.25">
      <c r="A866" s="32">
        <v>67266</v>
      </c>
      <c r="B866" s="14">
        <f>CHOOSE(CONTROL!$C$42, 87.8667, 87.8667) * CHOOSE(CONTROL!$C$21, $C$9, 100%, $E$9)</f>
        <v>87.866699999999994</v>
      </c>
      <c r="C866" s="14">
        <f>CHOOSE(CONTROL!$C$42, 87.8718, 87.8718) * CHOOSE(CONTROL!$C$21, $C$9, 100%, $E$9)</f>
        <v>87.871799999999993</v>
      </c>
      <c r="D866" s="14">
        <f>CHOOSE(CONTROL!$C$42, 87.9486, 87.9486) * CHOOSE(CONTROL!$C$21, $C$9, 100%, $E$9)</f>
        <v>87.948599999999999</v>
      </c>
      <c r="E866" s="14">
        <f>CHOOSE(CONTROL!$C$42, 87.9827, 87.9827) * CHOOSE(CONTROL!$C$21, $C$9, 100%, $E$9)</f>
        <v>87.982699999999994</v>
      </c>
      <c r="F866" s="14">
        <f>CHOOSE(CONTROL!$C$42, 87.8911, 87.8911)*CHOOSE(CONTROL!$C$21, $C$9, 100%, $E$9)</f>
        <v>87.891099999999994</v>
      </c>
      <c r="G866" s="14">
        <f>CHOOSE(CONTROL!$C$42, 87.909, 87.909)*CHOOSE(CONTROL!$C$21, $C$9, 100%, $E$9)</f>
        <v>87.909000000000006</v>
      </c>
      <c r="H866" s="14">
        <f>CHOOSE(CONTROL!$C$42, 87.9719, 87.9719) * CHOOSE(CONTROL!$C$21, $C$9, 100%, $E$9)</f>
        <v>87.971900000000005</v>
      </c>
      <c r="I866" s="14">
        <f>CHOOSE(CONTROL!$C$42, 88.1757, 88.1757)* CHOOSE(CONTROL!$C$21, $C$9, 100%, $E$9)</f>
        <v>88.175700000000006</v>
      </c>
      <c r="J866" s="14">
        <f>CHOOSE(CONTROL!$C$42, 87.8841, 87.8841)* CHOOSE(CONTROL!$C$21, $C$9, 100%, $E$9)</f>
        <v>87.884100000000004</v>
      </c>
      <c r="K866" s="53">
        <f>CHOOSE(CONTROL!$C$42, 88.1718, 88.1718) * CHOOSE(CONTROL!$C$21, $C$9, 100%, $E$9)</f>
        <v>88.171800000000005</v>
      </c>
      <c r="L866" s="14">
        <f>CHOOSE(CONTROL!$C$42, 88.5589, 88.5589) * CHOOSE(CONTROL!$C$21, $C$9, 100%, $E$9)</f>
        <v>88.558899999999994</v>
      </c>
      <c r="M866" s="14">
        <f>CHOOSE(CONTROL!$C$42, 86.0911, 86.0911) * CHOOSE(CONTROL!$C$21, $C$9, 100%, $E$9)</f>
        <v>86.091099999999997</v>
      </c>
      <c r="N866" s="14">
        <f>CHOOSE(CONTROL!$C$42, 86.1086, 86.1086) * CHOOSE(CONTROL!$C$21, $C$9, 100%, $E$9)</f>
        <v>86.108599999999996</v>
      </c>
      <c r="O866" s="14">
        <f>CHOOSE(CONTROL!$C$42, 86.1771, 86.1771) * CHOOSE(CONTROL!$C$21, $C$9, 100%, $E$9)</f>
        <v>86.177099999999996</v>
      </c>
      <c r="P866" s="14">
        <f>CHOOSE(CONTROL!$C$42, 86.3712, 86.3712) * CHOOSE(CONTROL!$C$21, $C$9, 100%, $E$9)</f>
        <v>86.371200000000002</v>
      </c>
      <c r="Q866" s="14">
        <f>CHOOSE(CONTROL!$C$42, 86.7718, 86.7718) * CHOOSE(CONTROL!$C$21, $C$9, 100%, $E$9)</f>
        <v>86.771799999999999</v>
      </c>
      <c r="R866" s="14">
        <f>CHOOSE(CONTROL!$C$42, 87.5758, 87.5758) * CHOOSE(CONTROL!$C$21, $C$9, 100%, $E$9)</f>
        <v>87.575800000000001</v>
      </c>
      <c r="S866" s="14">
        <f>CHOOSE(CONTROL!$C$42, 84.4226, 84.4226) * CHOOSE(CONTROL!$C$21, $C$9, 100%, $E$9)</f>
        <v>84.422600000000003</v>
      </c>
      <c r="T86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66" s="57">
        <f>(1000*CHOOSE(CONTROL!$C$42, 695, 695)*CHOOSE(CONTROL!$C$42, 0.5599, 0.5599)*CHOOSE(CONTROL!$C$42, 29, 29))/1000000</f>
        <v>11.284784499999999</v>
      </c>
      <c r="V866" s="57">
        <f>(1000*CHOOSE(CONTROL!$C$42, 500, 500)*CHOOSE(CONTROL!$C$42, 0.275, 0.275)*CHOOSE(CONTROL!$C$42, 29, 29))/1000000</f>
        <v>3.9874999999999998</v>
      </c>
      <c r="W866" s="57">
        <f>(1000*CHOOSE(CONTROL!$C$42, 0.1146, 0.1146)*CHOOSE(CONTROL!$C$42, 121.5, 121.5)*CHOOSE(CONTROL!$C$42, 29, 29))/1000000</f>
        <v>0.40379309999999996</v>
      </c>
      <c r="X866" s="57">
        <f>(29*0.1790888*100000/1000000)+(29*0.2374*100000/1000000)</f>
        <v>1.2078175199999999</v>
      </c>
      <c r="Y866" s="57"/>
      <c r="Z866" s="14"/>
      <c r="AA866" s="56"/>
      <c r="AB866" s="50">
        <f>(B866*122.58+C866*297.941+D866*89.177+E866*40.302+F866*40+G866*160+H866*0+I866*100+J866*300)/(122.58+297.941+89.177+40.302+0+40+160+100+300)</f>
        <v>87.91658011078259</v>
      </c>
      <c r="AC866" s="45">
        <f>(M866*'RAP TEMPLATE-GAS AVAILABILITY'!O865+N866*'RAP TEMPLATE-GAS AVAILABILITY'!P865+O866*'RAP TEMPLATE-GAS AVAILABILITY'!Q865+P866*'RAP TEMPLATE-GAS AVAILABILITY'!R865)/('RAP TEMPLATE-GAS AVAILABILITY'!O865+'RAP TEMPLATE-GAS AVAILABILITY'!P865+'RAP TEMPLATE-GAS AVAILABILITY'!Q865+'RAP TEMPLATE-GAS AVAILABILITY'!R865)</f>
        <v>86.171387769784175</v>
      </c>
    </row>
    <row r="867" spans="1:29" ht="15.75" x14ac:dyDescent="0.25">
      <c r="A867" s="32">
        <v>67297</v>
      </c>
      <c r="B867" s="14">
        <f>CHOOSE(CONTROL!$C$42, 85.3724, 85.3724) * CHOOSE(CONTROL!$C$21, $C$9, 100%, $E$9)</f>
        <v>85.372399999999999</v>
      </c>
      <c r="C867" s="14">
        <f>CHOOSE(CONTROL!$C$42, 85.3775, 85.3775) * CHOOSE(CONTROL!$C$21, $C$9, 100%, $E$9)</f>
        <v>85.377499999999998</v>
      </c>
      <c r="D867" s="14">
        <f>CHOOSE(CONTROL!$C$42, 85.4543, 85.4543) * CHOOSE(CONTROL!$C$21, $C$9, 100%, $E$9)</f>
        <v>85.454300000000003</v>
      </c>
      <c r="E867" s="14">
        <f>CHOOSE(CONTROL!$C$42, 85.4884, 85.4884) * CHOOSE(CONTROL!$C$21, $C$9, 100%, $E$9)</f>
        <v>85.488399999999999</v>
      </c>
      <c r="F867" s="14">
        <f>CHOOSE(CONTROL!$C$42, 85.3959, 85.3959)*CHOOSE(CONTROL!$C$21, $C$9, 100%, $E$9)</f>
        <v>85.395899999999997</v>
      </c>
      <c r="G867" s="14">
        <f>CHOOSE(CONTROL!$C$42, 85.4135, 85.4135)*CHOOSE(CONTROL!$C$21, $C$9, 100%, $E$9)</f>
        <v>85.413499999999999</v>
      </c>
      <c r="H867" s="14">
        <f>CHOOSE(CONTROL!$C$42, 85.4776, 85.4776) * CHOOSE(CONTROL!$C$21, $C$9, 100%, $E$9)</f>
        <v>85.477599999999995</v>
      </c>
      <c r="I867" s="14">
        <f>CHOOSE(CONTROL!$C$42, 85.6735, 85.6735)* CHOOSE(CONTROL!$C$21, $C$9, 100%, $E$9)</f>
        <v>85.673500000000004</v>
      </c>
      <c r="J867" s="14">
        <f>CHOOSE(CONTROL!$C$42, 85.3889, 85.3889)* CHOOSE(CONTROL!$C$21, $C$9, 100%, $E$9)</f>
        <v>85.388900000000007</v>
      </c>
      <c r="K867" s="53">
        <f>CHOOSE(CONTROL!$C$42, 85.6696, 85.6696) * CHOOSE(CONTROL!$C$21, $C$9, 100%, $E$9)</f>
        <v>85.669600000000003</v>
      </c>
      <c r="L867" s="14">
        <f>CHOOSE(CONTROL!$C$42, 86.0646, 86.0646) * CHOOSE(CONTROL!$C$21, $C$9, 100%, $E$9)</f>
        <v>86.064599999999999</v>
      </c>
      <c r="M867" s="14">
        <f>CHOOSE(CONTROL!$C$42, 83.647, 83.647) * CHOOSE(CONTROL!$C$21, $C$9, 100%, $E$9)</f>
        <v>83.647000000000006</v>
      </c>
      <c r="N867" s="14">
        <f>CHOOSE(CONTROL!$C$42, 83.6643, 83.6643) * CHOOSE(CONTROL!$C$21, $C$9, 100%, $E$9)</f>
        <v>83.664299999999997</v>
      </c>
      <c r="O867" s="14">
        <f>CHOOSE(CONTROL!$C$42, 83.7339, 83.7339) * CHOOSE(CONTROL!$C$21, $C$9, 100%, $E$9)</f>
        <v>83.733900000000006</v>
      </c>
      <c r="P867" s="14">
        <f>CHOOSE(CONTROL!$C$42, 83.9205, 83.9205) * CHOOSE(CONTROL!$C$21, $C$9, 100%, $E$9)</f>
        <v>83.920500000000004</v>
      </c>
      <c r="Q867" s="14">
        <f>CHOOSE(CONTROL!$C$42, 84.3286, 84.3286) * CHOOSE(CONTROL!$C$21, $C$9, 100%, $E$9)</f>
        <v>84.328599999999994</v>
      </c>
      <c r="R867" s="14">
        <f>CHOOSE(CONTROL!$C$42, 85.1264, 85.1264) * CHOOSE(CONTROL!$C$21, $C$9, 100%, $E$9)</f>
        <v>85.126400000000004</v>
      </c>
      <c r="S867" s="14">
        <f>CHOOSE(CONTROL!$C$42, 82.0258, 82.0258) * CHOOSE(CONTROL!$C$21, $C$9, 100%, $E$9)</f>
        <v>82.025800000000004</v>
      </c>
      <c r="T86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67" s="57">
        <f>(1000*CHOOSE(CONTROL!$C$42, 695, 695)*CHOOSE(CONTROL!$C$42, 0.5599, 0.5599)*CHOOSE(CONTROL!$C$42, 31, 31))/1000000</f>
        <v>12.063045499999998</v>
      </c>
      <c r="V867" s="57">
        <f>(1000*CHOOSE(CONTROL!$C$42, 500, 500)*CHOOSE(CONTROL!$C$42, 0.275, 0.275)*CHOOSE(CONTROL!$C$42, 31, 31))/1000000</f>
        <v>4.2625000000000002</v>
      </c>
      <c r="W867" s="57">
        <f>(1000*CHOOSE(CONTROL!$C$42, 0.1146, 0.1146)*CHOOSE(CONTROL!$C$42, 121.5, 121.5)*CHOOSE(CONTROL!$C$42, 31, 31))/1000000</f>
        <v>0.43164089999999994</v>
      </c>
      <c r="X867" s="57">
        <f>(31*0.1790888*100000/1000000)+(31*0.2374*100000/1000000)</f>
        <v>1.2911152800000001</v>
      </c>
      <c r="Y867" s="57"/>
      <c r="Z867" s="14"/>
      <c r="AA867" s="56"/>
      <c r="AB867" s="50">
        <f>(B867*122.58+C867*297.941+D867*89.177+E867*40.302+F867*40+G867*160+H867*0+I867*100+J867*300)/(122.58+297.941+89.177+40.302+0+40+160+100+300)</f>
        <v>85.421160110782623</v>
      </c>
      <c r="AC867" s="45">
        <f>(M867*'RAP TEMPLATE-GAS AVAILABILITY'!O866+N867*'RAP TEMPLATE-GAS AVAILABILITY'!P866+O867*'RAP TEMPLATE-GAS AVAILABILITY'!Q866+P867*'RAP TEMPLATE-GAS AVAILABILITY'!R866)/('RAP TEMPLATE-GAS AVAILABILITY'!O866+'RAP TEMPLATE-GAS AVAILABILITY'!P866+'RAP TEMPLATE-GAS AVAILABILITY'!Q866+'RAP TEMPLATE-GAS AVAILABILITY'!R866)</f>
        <v>83.72673453237411</v>
      </c>
    </row>
    <row r="868" spans="1:29" ht="15.75" x14ac:dyDescent="0.25">
      <c r="A868" s="32">
        <v>67327</v>
      </c>
      <c r="B868" s="14">
        <f>CHOOSE(CONTROL!$C$42, 85.1178, 85.1178) * CHOOSE(CONTROL!$C$21, $C$9, 100%, $E$9)</f>
        <v>85.117800000000003</v>
      </c>
      <c r="C868" s="14">
        <f>CHOOSE(CONTROL!$C$42, 85.1223, 85.1223) * CHOOSE(CONTROL!$C$21, $C$9, 100%, $E$9)</f>
        <v>85.122299999999996</v>
      </c>
      <c r="D868" s="14">
        <f>CHOOSE(CONTROL!$C$42, 85.346, 85.346) * CHOOSE(CONTROL!$C$21, $C$9, 100%, $E$9)</f>
        <v>85.346000000000004</v>
      </c>
      <c r="E868" s="14">
        <f>CHOOSE(CONTROL!$C$42, 85.3782, 85.3782) * CHOOSE(CONTROL!$C$21, $C$9, 100%, $E$9)</f>
        <v>85.378200000000007</v>
      </c>
      <c r="F868" s="14">
        <f>CHOOSE(CONTROL!$C$42, 85.1455, 85.1455)*CHOOSE(CONTROL!$C$21, $C$9, 100%, $E$9)</f>
        <v>85.145499999999998</v>
      </c>
      <c r="G868" s="14">
        <f>CHOOSE(CONTROL!$C$42, 85.1624, 85.1624)*CHOOSE(CONTROL!$C$21, $C$9, 100%, $E$9)</f>
        <v>85.162400000000005</v>
      </c>
      <c r="H868" s="14">
        <f>CHOOSE(CONTROL!$C$42, 85.3679, 85.3679) * CHOOSE(CONTROL!$C$21, $C$9, 100%, $E$9)</f>
        <v>85.367900000000006</v>
      </c>
      <c r="I868" s="14">
        <f>CHOOSE(CONTROL!$C$42, 85.4137, 85.4137)* CHOOSE(CONTROL!$C$21, $C$9, 100%, $E$9)</f>
        <v>85.413700000000006</v>
      </c>
      <c r="J868" s="14">
        <f>CHOOSE(CONTROL!$C$42, 85.1385, 85.1385)* CHOOSE(CONTROL!$C$21, $C$9, 100%, $E$9)</f>
        <v>85.138499999999993</v>
      </c>
      <c r="K868" s="53">
        <f>CHOOSE(CONTROL!$C$42, 85.4098, 85.4098) * CHOOSE(CONTROL!$C$21, $C$9, 100%, $E$9)</f>
        <v>85.409800000000004</v>
      </c>
      <c r="L868" s="14">
        <f>CHOOSE(CONTROL!$C$42, 85.9549, 85.9549) * CHOOSE(CONTROL!$C$21, $C$9, 100%, $E$9)</f>
        <v>85.954899999999995</v>
      </c>
      <c r="M868" s="14">
        <f>CHOOSE(CONTROL!$C$42, 83.4018, 83.4018) * CHOOSE(CONTROL!$C$21, $C$9, 100%, $E$9)</f>
        <v>83.401799999999994</v>
      </c>
      <c r="N868" s="14">
        <f>CHOOSE(CONTROL!$C$42, 83.4183, 83.4183) * CHOOSE(CONTROL!$C$21, $C$9, 100%, $E$9)</f>
        <v>83.418300000000002</v>
      </c>
      <c r="O868" s="14">
        <f>CHOOSE(CONTROL!$C$42, 83.6265, 83.6265) * CHOOSE(CONTROL!$C$21, $C$9, 100%, $E$9)</f>
        <v>83.626499999999993</v>
      </c>
      <c r="P868" s="14">
        <f>CHOOSE(CONTROL!$C$42, 83.666, 83.666) * CHOOSE(CONTROL!$C$21, $C$9, 100%, $E$9)</f>
        <v>83.665999999999997</v>
      </c>
      <c r="Q868" s="14">
        <f>CHOOSE(CONTROL!$C$42, 84.2212, 84.2212) * CHOOSE(CONTROL!$C$21, $C$9, 100%, $E$9)</f>
        <v>84.221199999999996</v>
      </c>
      <c r="R868" s="14">
        <f>CHOOSE(CONTROL!$C$42, 85.0188, 85.0188) * CHOOSE(CONTROL!$C$21, $C$9, 100%, $E$9)</f>
        <v>85.018799999999999</v>
      </c>
      <c r="S868" s="14">
        <f>CHOOSE(CONTROL!$C$42, 81.7804, 81.7804) * CHOOSE(CONTROL!$C$21, $C$9, 100%, $E$9)</f>
        <v>81.7804</v>
      </c>
      <c r="T86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68" s="57">
        <f>(1000*CHOOSE(CONTROL!$C$42, 695, 695)*CHOOSE(CONTROL!$C$42, 0.5599, 0.5599)*CHOOSE(CONTROL!$C$42, 30, 30))/1000000</f>
        <v>11.673914999999997</v>
      </c>
      <c r="V868" s="57">
        <f>(1000*CHOOSE(CONTROL!$C$42, 500, 500)*CHOOSE(CONTROL!$C$42, 0.275, 0.275)*CHOOSE(CONTROL!$C$42, 30, 30))/1000000</f>
        <v>4.125</v>
      </c>
      <c r="W868" s="57">
        <f>(1000*CHOOSE(CONTROL!$C$42, 0.1146, 0.1146)*CHOOSE(CONTROL!$C$42, 121.5, 121.5)*CHOOSE(CONTROL!$C$42, 30, 30))/1000000</f>
        <v>0.417717</v>
      </c>
      <c r="X868" s="57">
        <f>(30*0.1790888*245000/1000000)+(30*0.2374*100000/1000000)</f>
        <v>2.0285026799999999</v>
      </c>
      <c r="Y868" s="57"/>
      <c r="Z868" s="14"/>
      <c r="AA868" s="56"/>
      <c r="AB868" s="50">
        <f>(B868*141.293+C868*267.993+D868*115.016+E868*89.698+F868*40+G868*185+H868*0+I868*100+J868*300)/(141.293+267.993+115.016+89.698+0+40+185+100+300)</f>
        <v>85.195256802986265</v>
      </c>
      <c r="AC868" s="45">
        <f>(M868*'RAP TEMPLATE-GAS AVAILABILITY'!O867+N868*'RAP TEMPLATE-GAS AVAILABILITY'!P867+O868*'RAP TEMPLATE-GAS AVAILABILITY'!Q867+P868*'RAP TEMPLATE-GAS AVAILABILITY'!R867)/('RAP TEMPLATE-GAS AVAILABILITY'!O867+'RAP TEMPLATE-GAS AVAILABILITY'!P867+'RAP TEMPLATE-GAS AVAILABILITY'!Q867+'RAP TEMPLATE-GAS AVAILABILITY'!R867)</f>
        <v>83.542606474820133</v>
      </c>
    </row>
    <row r="869" spans="1:29" ht="15.75" x14ac:dyDescent="0.25">
      <c r="A869" s="32">
        <v>67358</v>
      </c>
      <c r="B869" s="14">
        <f>CHOOSE(CONTROL!$C$42, 85.8704, 85.8704) * CHOOSE(CONTROL!$C$21, $C$9, 100%, $E$9)</f>
        <v>85.870400000000004</v>
      </c>
      <c r="C869" s="14">
        <f>CHOOSE(CONTROL!$C$42, 85.8784, 85.8784) * CHOOSE(CONTROL!$C$21, $C$9, 100%, $E$9)</f>
        <v>85.878399999999999</v>
      </c>
      <c r="D869" s="14">
        <f>CHOOSE(CONTROL!$C$42, 86.099, 86.099) * CHOOSE(CONTROL!$C$21, $C$9, 100%, $E$9)</f>
        <v>86.099000000000004</v>
      </c>
      <c r="E869" s="14">
        <f>CHOOSE(CONTROL!$C$42, 86.1305, 86.1305) * CHOOSE(CONTROL!$C$21, $C$9, 100%, $E$9)</f>
        <v>86.130499999999998</v>
      </c>
      <c r="F869" s="14">
        <f>CHOOSE(CONTROL!$C$42, 85.8967, 85.8967)*CHOOSE(CONTROL!$C$21, $C$9, 100%, $E$9)</f>
        <v>85.896699999999996</v>
      </c>
      <c r="G869" s="14">
        <f>CHOOSE(CONTROL!$C$42, 85.9138, 85.9138)*CHOOSE(CONTROL!$C$21, $C$9, 100%, $E$9)</f>
        <v>85.913799999999995</v>
      </c>
      <c r="H869" s="14">
        <f>CHOOSE(CONTROL!$C$42, 86.1191, 86.1191) * CHOOSE(CONTROL!$C$21, $C$9, 100%, $E$9)</f>
        <v>86.119100000000003</v>
      </c>
      <c r="I869" s="14">
        <f>CHOOSE(CONTROL!$C$42, 86.1672, 86.1672)* CHOOSE(CONTROL!$C$21, $C$9, 100%, $E$9)</f>
        <v>86.167199999999994</v>
      </c>
      <c r="J869" s="14">
        <f>CHOOSE(CONTROL!$C$42, 85.8897, 85.8897)* CHOOSE(CONTROL!$C$21, $C$9, 100%, $E$9)</f>
        <v>85.889700000000005</v>
      </c>
      <c r="K869" s="53">
        <f>CHOOSE(CONTROL!$C$42, 86.1633, 86.1633) * CHOOSE(CONTROL!$C$21, $C$9, 100%, $E$9)</f>
        <v>86.163300000000007</v>
      </c>
      <c r="L869" s="14">
        <f>CHOOSE(CONTROL!$C$42, 86.7061, 86.7061) * CHOOSE(CONTROL!$C$21, $C$9, 100%, $E$9)</f>
        <v>86.706100000000006</v>
      </c>
      <c r="M869" s="14">
        <f>CHOOSE(CONTROL!$C$42, 84.1375, 84.1375) * CHOOSE(CONTROL!$C$21, $C$9, 100%, $E$9)</f>
        <v>84.137500000000003</v>
      </c>
      <c r="N869" s="14">
        <f>CHOOSE(CONTROL!$C$42, 84.1543, 84.1543) * CHOOSE(CONTROL!$C$21, $C$9, 100%, $E$9)</f>
        <v>84.154300000000006</v>
      </c>
      <c r="O869" s="14">
        <f>CHOOSE(CONTROL!$C$42, 84.3623, 84.3623) * CHOOSE(CONTROL!$C$21, $C$9, 100%, $E$9)</f>
        <v>84.362300000000005</v>
      </c>
      <c r="P869" s="14">
        <f>CHOOSE(CONTROL!$C$42, 84.4041, 84.4041) * CHOOSE(CONTROL!$C$21, $C$9, 100%, $E$9)</f>
        <v>84.4041</v>
      </c>
      <c r="Q869" s="14">
        <f>CHOOSE(CONTROL!$C$42, 84.957, 84.957) * CHOOSE(CONTROL!$C$21, $C$9, 100%, $E$9)</f>
        <v>84.956999999999994</v>
      </c>
      <c r="R869" s="14">
        <f>CHOOSE(CONTROL!$C$42, 85.7564, 85.7564) * CHOOSE(CONTROL!$C$21, $C$9, 100%, $E$9)</f>
        <v>85.756399999999999</v>
      </c>
      <c r="S869" s="14">
        <f>CHOOSE(CONTROL!$C$42, 82.5022, 82.5022) * CHOOSE(CONTROL!$C$21, $C$9, 100%, $E$9)</f>
        <v>82.502200000000002</v>
      </c>
      <c r="T86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69" s="57">
        <f>(1000*CHOOSE(CONTROL!$C$42, 695, 695)*CHOOSE(CONTROL!$C$42, 0.5599, 0.5599)*CHOOSE(CONTROL!$C$42, 31, 31))/1000000</f>
        <v>12.063045499999998</v>
      </c>
      <c r="V869" s="57">
        <f>(1000*CHOOSE(CONTROL!$C$42, 500, 500)*CHOOSE(CONTROL!$C$42, 0.275, 0.275)*CHOOSE(CONTROL!$C$42, 31, 31))/1000000</f>
        <v>4.2625000000000002</v>
      </c>
      <c r="W869" s="57">
        <f>(1000*CHOOSE(CONTROL!$C$42, 0.1146, 0.1146)*CHOOSE(CONTROL!$C$42, 121.5, 121.5)*CHOOSE(CONTROL!$C$42, 31, 31))/1000000</f>
        <v>0.43164089999999994</v>
      </c>
      <c r="X869" s="57">
        <f>(31*0.1790888*245000/1000000)+(31*0.2374*100000/1000000)</f>
        <v>2.0961194359999999</v>
      </c>
      <c r="Y869" s="57"/>
      <c r="Z869" s="14"/>
      <c r="AA869" s="56"/>
      <c r="AB869" s="50">
        <f>(B869*194.205+C869*267.466+D869*133.845+E869*53.484+F869*40+G869*185+H869*0+I869*100+J869*300)/(194.205+267.466+133.845+53.484+0+40+185+100+300)</f>
        <v>85.941984680847739</v>
      </c>
      <c r="AC869" s="45">
        <f>(M869*'RAP TEMPLATE-GAS AVAILABILITY'!O868+N869*'RAP TEMPLATE-GAS AVAILABILITY'!P868+O869*'RAP TEMPLATE-GAS AVAILABILITY'!Q868+P869*'RAP TEMPLATE-GAS AVAILABILITY'!R868)/('RAP TEMPLATE-GAS AVAILABILITY'!O868+'RAP TEMPLATE-GAS AVAILABILITY'!P868+'RAP TEMPLATE-GAS AVAILABILITY'!Q868+'RAP TEMPLATE-GAS AVAILABILITY'!R868)</f>
        <v>84.278714388489206</v>
      </c>
    </row>
    <row r="870" spans="1:29" ht="15.75" x14ac:dyDescent="0.25">
      <c r="A870" s="32">
        <v>67388</v>
      </c>
      <c r="B870" s="14">
        <f>CHOOSE(CONTROL!$C$42, 88.3059, 88.3059) * CHOOSE(CONTROL!$C$21, $C$9, 100%, $E$9)</f>
        <v>88.305899999999994</v>
      </c>
      <c r="C870" s="14">
        <f>CHOOSE(CONTROL!$C$42, 88.3139, 88.3139) * CHOOSE(CONTROL!$C$21, $C$9, 100%, $E$9)</f>
        <v>88.313900000000004</v>
      </c>
      <c r="D870" s="14">
        <f>CHOOSE(CONTROL!$C$42, 88.5345, 88.5345) * CHOOSE(CONTROL!$C$21, $C$9, 100%, $E$9)</f>
        <v>88.534499999999994</v>
      </c>
      <c r="E870" s="14">
        <f>CHOOSE(CONTROL!$C$42, 88.566, 88.566) * CHOOSE(CONTROL!$C$21, $C$9, 100%, $E$9)</f>
        <v>88.566000000000003</v>
      </c>
      <c r="F870" s="14">
        <f>CHOOSE(CONTROL!$C$42, 88.3325, 88.3325)*CHOOSE(CONTROL!$C$21, $C$9, 100%, $E$9)</f>
        <v>88.332499999999996</v>
      </c>
      <c r="G870" s="14">
        <f>CHOOSE(CONTROL!$C$42, 88.3497, 88.3497)*CHOOSE(CONTROL!$C$21, $C$9, 100%, $E$9)</f>
        <v>88.349699999999999</v>
      </c>
      <c r="H870" s="14">
        <f>CHOOSE(CONTROL!$C$42, 88.5546, 88.5546) * CHOOSE(CONTROL!$C$21, $C$9, 100%, $E$9)</f>
        <v>88.554599999999994</v>
      </c>
      <c r="I870" s="14">
        <f>CHOOSE(CONTROL!$C$42, 88.6103, 88.6103)* CHOOSE(CONTROL!$C$21, $C$9, 100%, $E$9)</f>
        <v>88.610299999999995</v>
      </c>
      <c r="J870" s="14">
        <f>CHOOSE(CONTROL!$C$42, 88.3255, 88.3255)* CHOOSE(CONTROL!$C$21, $C$9, 100%, $E$9)</f>
        <v>88.325500000000005</v>
      </c>
      <c r="K870" s="53">
        <f>CHOOSE(CONTROL!$C$42, 88.6065, 88.6065) * CHOOSE(CONTROL!$C$21, $C$9, 100%, $E$9)</f>
        <v>88.606499999999997</v>
      </c>
      <c r="L870" s="14">
        <f>CHOOSE(CONTROL!$C$42, 89.1416, 89.1416) * CHOOSE(CONTROL!$C$21, $C$9, 100%, $E$9)</f>
        <v>89.141599999999997</v>
      </c>
      <c r="M870" s="14">
        <f>CHOOSE(CONTROL!$C$42, 86.5235, 86.5235) * CHOOSE(CONTROL!$C$21, $C$9, 100%, $E$9)</f>
        <v>86.523499999999999</v>
      </c>
      <c r="N870" s="14">
        <f>CHOOSE(CONTROL!$C$42, 86.5403, 86.5403) * CHOOSE(CONTROL!$C$21, $C$9, 100%, $E$9)</f>
        <v>86.540300000000002</v>
      </c>
      <c r="O870" s="14">
        <f>CHOOSE(CONTROL!$C$42, 86.7479, 86.7479) * CHOOSE(CONTROL!$C$21, $C$9, 100%, $E$9)</f>
        <v>86.747900000000001</v>
      </c>
      <c r="P870" s="14">
        <f>CHOOSE(CONTROL!$C$42, 86.797, 86.797) * CHOOSE(CONTROL!$C$21, $C$9, 100%, $E$9)</f>
        <v>86.796999999999997</v>
      </c>
      <c r="Q870" s="14">
        <f>CHOOSE(CONTROL!$C$42, 87.3426, 87.3426) * CHOOSE(CONTROL!$C$21, $C$9, 100%, $E$9)</f>
        <v>87.342600000000004</v>
      </c>
      <c r="R870" s="14">
        <f>CHOOSE(CONTROL!$C$42, 88.1479, 88.1479) * CHOOSE(CONTROL!$C$21, $C$9, 100%, $E$9)</f>
        <v>88.147900000000007</v>
      </c>
      <c r="S870" s="14">
        <f>CHOOSE(CONTROL!$C$42, 84.8425, 84.8425) * CHOOSE(CONTROL!$C$21, $C$9, 100%, $E$9)</f>
        <v>84.842500000000001</v>
      </c>
      <c r="T87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70" s="57">
        <f>(1000*CHOOSE(CONTROL!$C$42, 695, 695)*CHOOSE(CONTROL!$C$42, 0.5599, 0.5599)*CHOOSE(CONTROL!$C$42, 30, 30))/1000000</f>
        <v>11.673914999999997</v>
      </c>
      <c r="V870" s="57">
        <f>(1000*CHOOSE(CONTROL!$C$42, 500, 500)*CHOOSE(CONTROL!$C$42, 0.275, 0.275)*CHOOSE(CONTROL!$C$42, 30, 30))/1000000</f>
        <v>4.125</v>
      </c>
      <c r="W870" s="57">
        <f>(1000*CHOOSE(CONTROL!$C$42, 0.1146, 0.1146)*CHOOSE(CONTROL!$C$42, 121.5, 121.5)*CHOOSE(CONTROL!$C$42, 30, 30))/1000000</f>
        <v>0.417717</v>
      </c>
      <c r="X870" s="57">
        <f>(30*0.1790888*245000/1000000)+(30*0.2374*100000/1000000)</f>
        <v>2.0285026799999999</v>
      </c>
      <c r="Y870" s="57"/>
      <c r="Z870" s="14"/>
      <c r="AA870" s="56"/>
      <c r="AB870" s="50">
        <f>(B870*194.205+C870*267.466+D870*133.845+E870*53.484+F870*40+G870*185+H870*0+I870*100+J870*300)/(194.205+267.466+133.845+53.484+0+40+185+100+300)</f>
        <v>88.378219374725276</v>
      </c>
      <c r="AC870" s="45">
        <f>(M870*'RAP TEMPLATE-GAS AVAILABILITY'!O869+N870*'RAP TEMPLATE-GAS AVAILABILITY'!P869+O870*'RAP TEMPLATE-GAS AVAILABILITY'!Q869+P870*'RAP TEMPLATE-GAS AVAILABILITY'!R869)/('RAP TEMPLATE-GAS AVAILABILITY'!O869+'RAP TEMPLATE-GAS AVAILABILITY'!P869+'RAP TEMPLATE-GAS AVAILABILITY'!Q869+'RAP TEMPLATE-GAS AVAILABILITY'!R869)</f>
        <v>86.665525899280581</v>
      </c>
    </row>
    <row r="871" spans="1:29" ht="15.75" x14ac:dyDescent="0.25">
      <c r="A871" s="32">
        <v>67419</v>
      </c>
      <c r="B871" s="14">
        <f>CHOOSE(CONTROL!$C$42, 86.612, 86.612) * CHOOSE(CONTROL!$C$21, $C$9, 100%, $E$9)</f>
        <v>86.611999999999995</v>
      </c>
      <c r="C871" s="14">
        <f>CHOOSE(CONTROL!$C$42, 86.62, 86.62) * CHOOSE(CONTROL!$C$21, $C$9, 100%, $E$9)</f>
        <v>86.62</v>
      </c>
      <c r="D871" s="14">
        <f>CHOOSE(CONTROL!$C$42, 86.8406, 86.8406) * CHOOSE(CONTROL!$C$21, $C$9, 100%, $E$9)</f>
        <v>86.840599999999995</v>
      </c>
      <c r="E871" s="14">
        <f>CHOOSE(CONTROL!$C$42, 86.8721, 86.8721) * CHOOSE(CONTROL!$C$21, $C$9, 100%, $E$9)</f>
        <v>86.872100000000003</v>
      </c>
      <c r="F871" s="14">
        <f>CHOOSE(CONTROL!$C$42, 86.6391, 86.6391)*CHOOSE(CONTROL!$C$21, $C$9, 100%, $E$9)</f>
        <v>86.639099999999999</v>
      </c>
      <c r="G871" s="14">
        <f>CHOOSE(CONTROL!$C$42, 86.6564, 86.6564)*CHOOSE(CONTROL!$C$21, $C$9, 100%, $E$9)</f>
        <v>86.656400000000005</v>
      </c>
      <c r="H871" s="14">
        <f>CHOOSE(CONTROL!$C$42, 86.8607, 86.8607) * CHOOSE(CONTROL!$C$21, $C$9, 100%, $E$9)</f>
        <v>86.860699999999994</v>
      </c>
      <c r="I871" s="14">
        <f>CHOOSE(CONTROL!$C$42, 86.9111, 86.9111)* CHOOSE(CONTROL!$C$21, $C$9, 100%, $E$9)</f>
        <v>86.911100000000005</v>
      </c>
      <c r="J871" s="14">
        <f>CHOOSE(CONTROL!$C$42, 86.6321, 86.6321)* CHOOSE(CONTROL!$C$21, $C$9, 100%, $E$9)</f>
        <v>86.632099999999994</v>
      </c>
      <c r="K871" s="53">
        <f>CHOOSE(CONTROL!$C$42, 86.9072, 86.9072) * CHOOSE(CONTROL!$C$21, $C$9, 100%, $E$9)</f>
        <v>86.907200000000003</v>
      </c>
      <c r="L871" s="14">
        <f>CHOOSE(CONTROL!$C$42, 87.4477, 87.4477) * CHOOSE(CONTROL!$C$21, $C$9, 100%, $E$9)</f>
        <v>87.447699999999998</v>
      </c>
      <c r="M871" s="14">
        <f>CHOOSE(CONTROL!$C$42, 84.8647, 84.8647) * CHOOSE(CONTROL!$C$21, $C$9, 100%, $E$9)</f>
        <v>84.864699999999999</v>
      </c>
      <c r="N871" s="14">
        <f>CHOOSE(CONTROL!$C$42, 84.8817, 84.8817) * CHOOSE(CONTROL!$C$21, $C$9, 100%, $E$9)</f>
        <v>84.881699999999995</v>
      </c>
      <c r="O871" s="14">
        <f>CHOOSE(CONTROL!$C$42, 85.0887, 85.0887) * CHOOSE(CONTROL!$C$21, $C$9, 100%, $E$9)</f>
        <v>85.088700000000003</v>
      </c>
      <c r="P871" s="14">
        <f>CHOOSE(CONTROL!$C$42, 85.1327, 85.1327) * CHOOSE(CONTROL!$C$21, $C$9, 100%, $E$9)</f>
        <v>85.1327</v>
      </c>
      <c r="Q871" s="14">
        <f>CHOOSE(CONTROL!$C$42, 85.6834, 85.6834) * CHOOSE(CONTROL!$C$21, $C$9, 100%, $E$9)</f>
        <v>85.683400000000006</v>
      </c>
      <c r="R871" s="14">
        <f>CHOOSE(CONTROL!$C$42, 86.4846, 86.4846) * CHOOSE(CONTROL!$C$21, $C$9, 100%, $E$9)</f>
        <v>86.4846</v>
      </c>
      <c r="S871" s="14">
        <f>CHOOSE(CONTROL!$C$42, 83.2148, 83.2148) * CHOOSE(CONTROL!$C$21, $C$9, 100%, $E$9)</f>
        <v>83.214799999999997</v>
      </c>
      <c r="T87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71" s="57">
        <f>(1000*CHOOSE(CONTROL!$C$42, 695, 695)*CHOOSE(CONTROL!$C$42, 0.5599, 0.5599)*CHOOSE(CONTROL!$C$42, 31, 31))/1000000</f>
        <v>12.063045499999998</v>
      </c>
      <c r="V871" s="57">
        <f>(1000*CHOOSE(CONTROL!$C$42, 500, 500)*CHOOSE(CONTROL!$C$42, 0.275, 0.275)*CHOOSE(CONTROL!$C$42, 31, 31))/1000000</f>
        <v>4.2625000000000002</v>
      </c>
      <c r="W871" s="57">
        <f>(1000*CHOOSE(CONTROL!$C$42, 0.1146, 0.1146)*CHOOSE(CONTROL!$C$42, 121.5, 121.5)*CHOOSE(CONTROL!$C$42, 31, 31))/1000000</f>
        <v>0.43164089999999994</v>
      </c>
      <c r="X871" s="57">
        <f>(31*0.1790888*245000/1000000)+(31*0.2374*100000/1000000)</f>
        <v>2.0961194359999999</v>
      </c>
      <c r="Y871" s="57"/>
      <c r="Z871" s="14"/>
      <c r="AA871" s="56"/>
      <c r="AB871" s="50">
        <f>(B871*194.205+C871*267.466+D871*133.845+E871*53.484+F871*40+G871*185+H871*0+I871*100+J871*300)/(194.205+267.466+133.845+53.484+0+40+185+100+300)</f>
        <v>86.684123927315554</v>
      </c>
      <c r="AC871" s="45">
        <f>(M871*'RAP TEMPLATE-GAS AVAILABILITY'!O870+N871*'RAP TEMPLATE-GAS AVAILABILITY'!P870+O871*'RAP TEMPLATE-GAS AVAILABILITY'!Q870+P871*'RAP TEMPLATE-GAS AVAILABILITY'!R870)/('RAP TEMPLATE-GAS AVAILABILITY'!O870+'RAP TEMPLATE-GAS AVAILABILITY'!P870+'RAP TEMPLATE-GAS AVAILABILITY'!Q870+'RAP TEMPLATE-GAS AVAILABILITY'!R870)</f>
        <v>85.005764748201443</v>
      </c>
    </row>
    <row r="872" spans="1:29" ht="15.75" x14ac:dyDescent="0.25">
      <c r="A872" s="32">
        <v>67450</v>
      </c>
      <c r="B872" s="14">
        <f>CHOOSE(CONTROL!$C$42, 82.3344, 82.3344) * CHOOSE(CONTROL!$C$21, $C$9, 100%, $E$9)</f>
        <v>82.334400000000002</v>
      </c>
      <c r="C872" s="14">
        <f>CHOOSE(CONTROL!$C$42, 82.3424, 82.3424) * CHOOSE(CONTROL!$C$21, $C$9, 100%, $E$9)</f>
        <v>82.342399999999998</v>
      </c>
      <c r="D872" s="14">
        <f>CHOOSE(CONTROL!$C$42, 82.563, 82.563) * CHOOSE(CONTROL!$C$21, $C$9, 100%, $E$9)</f>
        <v>82.563000000000002</v>
      </c>
      <c r="E872" s="14">
        <f>CHOOSE(CONTROL!$C$42, 82.5944, 82.5944) * CHOOSE(CONTROL!$C$21, $C$9, 100%, $E$9)</f>
        <v>82.594399999999993</v>
      </c>
      <c r="F872" s="14">
        <f>CHOOSE(CONTROL!$C$42, 82.3617, 82.3617)*CHOOSE(CONTROL!$C$21, $C$9, 100%, $E$9)</f>
        <v>82.361699999999999</v>
      </c>
      <c r="G872" s="14">
        <f>CHOOSE(CONTROL!$C$42, 82.3791, 82.3791)*CHOOSE(CONTROL!$C$21, $C$9, 100%, $E$9)</f>
        <v>82.379099999999994</v>
      </c>
      <c r="H872" s="14">
        <f>CHOOSE(CONTROL!$C$42, 82.5831, 82.5831) * CHOOSE(CONTROL!$C$21, $C$9, 100%, $E$9)</f>
        <v>82.583100000000002</v>
      </c>
      <c r="I872" s="14">
        <f>CHOOSE(CONTROL!$C$42, 82.6201, 82.6201)* CHOOSE(CONTROL!$C$21, $C$9, 100%, $E$9)</f>
        <v>82.620099999999994</v>
      </c>
      <c r="J872" s="14">
        <f>CHOOSE(CONTROL!$C$42, 82.3547, 82.3547)* CHOOSE(CONTROL!$C$21, $C$9, 100%, $E$9)</f>
        <v>82.354699999999994</v>
      </c>
      <c r="K872" s="53">
        <f>CHOOSE(CONTROL!$C$42, 82.6162, 82.6162) * CHOOSE(CONTROL!$C$21, $C$9, 100%, $E$9)</f>
        <v>82.616200000000006</v>
      </c>
      <c r="L872" s="14">
        <f>CHOOSE(CONTROL!$C$42, 83.1701, 83.1701) * CHOOSE(CONTROL!$C$21, $C$9, 100%, $E$9)</f>
        <v>83.170100000000005</v>
      </c>
      <c r="M872" s="14">
        <f>CHOOSE(CONTROL!$C$42, 80.675, 80.675) * CHOOSE(CONTROL!$C$21, $C$9, 100%, $E$9)</f>
        <v>80.674999999999997</v>
      </c>
      <c r="N872" s="14">
        <f>CHOOSE(CONTROL!$C$42, 80.6921, 80.6921) * CHOOSE(CONTROL!$C$21, $C$9, 100%, $E$9)</f>
        <v>80.692099999999996</v>
      </c>
      <c r="O872" s="14">
        <f>CHOOSE(CONTROL!$C$42, 80.8987, 80.8987) * CHOOSE(CONTROL!$C$21, $C$9, 100%, $E$9)</f>
        <v>80.898700000000005</v>
      </c>
      <c r="P872" s="14">
        <f>CHOOSE(CONTROL!$C$42, 80.9299, 80.9299) * CHOOSE(CONTROL!$C$21, $C$9, 100%, $E$9)</f>
        <v>80.929900000000004</v>
      </c>
      <c r="Q872" s="14">
        <f>CHOOSE(CONTROL!$C$42, 81.4934, 81.4934) * CHOOSE(CONTROL!$C$21, $C$9, 100%, $E$9)</f>
        <v>81.493399999999994</v>
      </c>
      <c r="R872" s="14">
        <f>CHOOSE(CONTROL!$C$42, 82.2841, 82.2841) * CHOOSE(CONTROL!$C$21, $C$9, 100%, $E$9)</f>
        <v>82.284099999999995</v>
      </c>
      <c r="S872" s="14">
        <f>CHOOSE(CONTROL!$C$42, 79.1045, 79.1045) * CHOOSE(CONTROL!$C$21, $C$9, 100%, $E$9)</f>
        <v>79.104500000000002</v>
      </c>
      <c r="T87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72" s="57">
        <f>(1000*CHOOSE(CONTROL!$C$42, 695, 695)*CHOOSE(CONTROL!$C$42, 0.5599, 0.5599)*CHOOSE(CONTROL!$C$42, 31, 31))/1000000</f>
        <v>12.063045499999998</v>
      </c>
      <c r="V872" s="57">
        <f>(1000*CHOOSE(CONTROL!$C$42, 500, 500)*CHOOSE(CONTROL!$C$42, 0.275, 0.275)*CHOOSE(CONTROL!$C$42, 31, 31))/1000000</f>
        <v>4.2625000000000002</v>
      </c>
      <c r="W872" s="57">
        <f>(1000*CHOOSE(CONTROL!$C$42, 0.1146, 0.1146)*CHOOSE(CONTROL!$C$42, 121.5, 121.5)*CHOOSE(CONTROL!$C$42, 31, 31))/1000000</f>
        <v>0.43164089999999994</v>
      </c>
      <c r="X872" s="57">
        <f>(31*0.1790888*245000/1000000)+(31*0.2374*100000/1000000)</f>
        <v>2.0961194359999999</v>
      </c>
      <c r="Y872" s="57"/>
      <c r="Z872" s="14"/>
      <c r="AA872" s="56"/>
      <c r="AB872" s="50">
        <f>(B872*194.205+C872*267.466+D872*133.845+E872*53.484+F872*40+G872*185+H872*0+I872*100+J872*300)/(194.205+267.466+133.845+53.484+0+40+185+100+300)</f>
        <v>82.405564862637362</v>
      </c>
      <c r="AC872" s="45">
        <f>(M872*'RAP TEMPLATE-GAS AVAILABILITY'!O871+N872*'RAP TEMPLATE-GAS AVAILABILITY'!P871+O872*'RAP TEMPLATE-GAS AVAILABILITY'!Q871+P872*'RAP TEMPLATE-GAS AVAILABILITY'!R871)/('RAP TEMPLATE-GAS AVAILABILITY'!O871+'RAP TEMPLATE-GAS AVAILABILITY'!P871+'RAP TEMPLATE-GAS AVAILABILITY'!Q871+'RAP TEMPLATE-GAS AVAILABILITY'!R871)</f>
        <v>80.814049640287763</v>
      </c>
    </row>
    <row r="873" spans="1:29" ht="15.75" x14ac:dyDescent="0.25">
      <c r="A873" s="32">
        <v>67480</v>
      </c>
      <c r="B873" s="14">
        <f>CHOOSE(CONTROL!$C$42, 77.1076, 77.1076) * CHOOSE(CONTROL!$C$21, $C$9, 100%, $E$9)</f>
        <v>77.107600000000005</v>
      </c>
      <c r="C873" s="14">
        <f>CHOOSE(CONTROL!$C$42, 77.1157, 77.1157) * CHOOSE(CONTROL!$C$21, $C$9, 100%, $E$9)</f>
        <v>77.115700000000004</v>
      </c>
      <c r="D873" s="14">
        <f>CHOOSE(CONTROL!$C$42, 77.3363, 77.3363) * CHOOSE(CONTROL!$C$21, $C$9, 100%, $E$9)</f>
        <v>77.336299999999994</v>
      </c>
      <c r="E873" s="14">
        <f>CHOOSE(CONTROL!$C$42, 77.3677, 77.3677) * CHOOSE(CONTROL!$C$21, $C$9, 100%, $E$9)</f>
        <v>77.367699999999999</v>
      </c>
      <c r="F873" s="14">
        <f>CHOOSE(CONTROL!$C$42, 77.135, 77.135)*CHOOSE(CONTROL!$C$21, $C$9, 100%, $E$9)</f>
        <v>77.135000000000005</v>
      </c>
      <c r="G873" s="14">
        <f>CHOOSE(CONTROL!$C$42, 77.1524, 77.1524)*CHOOSE(CONTROL!$C$21, $C$9, 100%, $E$9)</f>
        <v>77.1524</v>
      </c>
      <c r="H873" s="14">
        <f>CHOOSE(CONTROL!$C$42, 77.3564, 77.3564) * CHOOSE(CONTROL!$C$21, $C$9, 100%, $E$9)</f>
        <v>77.356399999999994</v>
      </c>
      <c r="I873" s="14">
        <f>CHOOSE(CONTROL!$C$42, 77.377, 77.377)* CHOOSE(CONTROL!$C$21, $C$9, 100%, $E$9)</f>
        <v>77.376999999999995</v>
      </c>
      <c r="J873" s="14">
        <f>CHOOSE(CONTROL!$C$42, 77.128, 77.128)* CHOOSE(CONTROL!$C$21, $C$9, 100%, $E$9)</f>
        <v>77.128</v>
      </c>
      <c r="K873" s="53">
        <f>CHOOSE(CONTROL!$C$42, 77.3731, 77.3731) * CHOOSE(CONTROL!$C$21, $C$9, 100%, $E$9)</f>
        <v>77.373099999999994</v>
      </c>
      <c r="L873" s="14">
        <f>CHOOSE(CONTROL!$C$42, 77.9434, 77.9434) * CHOOSE(CONTROL!$C$21, $C$9, 100%, $E$9)</f>
        <v>77.943399999999997</v>
      </c>
      <c r="M873" s="14">
        <f>CHOOSE(CONTROL!$C$42, 75.5554, 75.5554) * CHOOSE(CONTROL!$C$21, $C$9, 100%, $E$9)</f>
        <v>75.555400000000006</v>
      </c>
      <c r="N873" s="14">
        <f>CHOOSE(CONTROL!$C$42, 75.5724, 75.5724) * CHOOSE(CONTROL!$C$21, $C$9, 100%, $E$9)</f>
        <v>75.572400000000002</v>
      </c>
      <c r="O873" s="14">
        <f>CHOOSE(CONTROL!$C$42, 75.7791, 75.7791) * CHOOSE(CONTROL!$C$21, $C$9, 100%, $E$9)</f>
        <v>75.7791</v>
      </c>
      <c r="P873" s="14">
        <f>CHOOSE(CONTROL!$C$42, 75.7945, 75.7945) * CHOOSE(CONTROL!$C$21, $C$9, 100%, $E$9)</f>
        <v>75.794499999999999</v>
      </c>
      <c r="Q873" s="14">
        <f>CHOOSE(CONTROL!$C$42, 76.3738, 76.3738) * CHOOSE(CONTROL!$C$21, $C$9, 100%, $E$9)</f>
        <v>76.373800000000003</v>
      </c>
      <c r="R873" s="14">
        <f>CHOOSE(CONTROL!$C$42, 77.1517, 77.1517) * CHOOSE(CONTROL!$C$21, $C$9, 100%, $E$9)</f>
        <v>77.151700000000005</v>
      </c>
      <c r="S873" s="14">
        <f>CHOOSE(CONTROL!$C$42, 74.0821, 74.0821) * CHOOSE(CONTROL!$C$21, $C$9, 100%, $E$9)</f>
        <v>74.082099999999997</v>
      </c>
      <c r="T87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73" s="57">
        <f>(1000*CHOOSE(CONTROL!$C$42, 695, 695)*CHOOSE(CONTROL!$C$42, 0.5599, 0.5599)*CHOOSE(CONTROL!$C$42, 30, 30))/1000000</f>
        <v>11.673914999999997</v>
      </c>
      <c r="V873" s="57">
        <f>(1000*CHOOSE(CONTROL!$C$42, 500, 500)*CHOOSE(CONTROL!$C$42, 0.275, 0.275)*CHOOSE(CONTROL!$C$42, 30, 30))/1000000</f>
        <v>4.125</v>
      </c>
      <c r="W873" s="57">
        <f>(1000*CHOOSE(CONTROL!$C$42, 0.1146, 0.1146)*CHOOSE(CONTROL!$C$42, 121.5, 121.5)*CHOOSE(CONTROL!$C$42, 30, 30))/1000000</f>
        <v>0.417717</v>
      </c>
      <c r="X873" s="57">
        <f>(30*0.1790888*245000/1000000)+(30*0.2374*100000/1000000)</f>
        <v>2.0285026799999999</v>
      </c>
      <c r="Y873" s="57"/>
      <c r="Z873" s="14"/>
      <c r="AA873" s="56"/>
      <c r="AB873" s="50">
        <f>(B873*194.205+C873*267.466+D873*133.845+E873*53.484+F873*40+G873*185+H873*0+I873*100+J873*300)/(194.205+267.466+133.845+53.484+0+40+185+100+300)</f>
        <v>77.177562334772361</v>
      </c>
      <c r="AC873" s="45">
        <f>(M873*'RAP TEMPLATE-GAS AVAILABILITY'!O872+N873*'RAP TEMPLATE-GAS AVAILABILITY'!P872+O873*'RAP TEMPLATE-GAS AVAILABILITY'!Q872+P873*'RAP TEMPLATE-GAS AVAILABILITY'!R872)/('RAP TEMPLATE-GAS AVAILABILITY'!O872+'RAP TEMPLATE-GAS AVAILABILITY'!P872+'RAP TEMPLATE-GAS AVAILABILITY'!Q872+'RAP TEMPLATE-GAS AVAILABILITY'!R872)</f>
        <v>75.692170503597126</v>
      </c>
    </row>
    <row r="874" spans="1:29" ht="15.75" x14ac:dyDescent="0.25">
      <c r="A874" s="32">
        <v>67511</v>
      </c>
      <c r="B874" s="14">
        <f>CHOOSE(CONTROL!$C$42, 75.5405, 75.5405) * CHOOSE(CONTROL!$C$21, $C$9, 100%, $E$9)</f>
        <v>75.540499999999994</v>
      </c>
      <c r="C874" s="14">
        <f>CHOOSE(CONTROL!$C$42, 75.5459, 75.5459) * CHOOSE(CONTROL!$C$21, $C$9, 100%, $E$9)</f>
        <v>75.545900000000003</v>
      </c>
      <c r="D874" s="14">
        <f>CHOOSE(CONTROL!$C$42, 75.7714, 75.7714) * CHOOSE(CONTROL!$C$21, $C$9, 100%, $E$9)</f>
        <v>75.7714</v>
      </c>
      <c r="E874" s="14">
        <f>CHOOSE(CONTROL!$C$42, 75.8005, 75.8005) * CHOOSE(CONTROL!$C$21, $C$9, 100%, $E$9)</f>
        <v>75.8005</v>
      </c>
      <c r="F874" s="14">
        <f>CHOOSE(CONTROL!$C$42, 75.5699, 75.5699)*CHOOSE(CONTROL!$C$21, $C$9, 100%, $E$9)</f>
        <v>75.569900000000004</v>
      </c>
      <c r="G874" s="14">
        <f>CHOOSE(CONTROL!$C$42, 75.5871, 75.5871)*CHOOSE(CONTROL!$C$21, $C$9, 100%, $E$9)</f>
        <v>75.587100000000007</v>
      </c>
      <c r="H874" s="14">
        <f>CHOOSE(CONTROL!$C$42, 75.791, 75.791) * CHOOSE(CONTROL!$C$21, $C$9, 100%, $E$9)</f>
        <v>75.790999999999997</v>
      </c>
      <c r="I874" s="14">
        <f>CHOOSE(CONTROL!$C$42, 75.8068, 75.8068)* CHOOSE(CONTROL!$C$21, $C$9, 100%, $E$9)</f>
        <v>75.806799999999996</v>
      </c>
      <c r="J874" s="14">
        <f>CHOOSE(CONTROL!$C$42, 75.5629, 75.5629)* CHOOSE(CONTROL!$C$21, $C$9, 100%, $E$9)</f>
        <v>75.562899999999999</v>
      </c>
      <c r="K874" s="53">
        <f>CHOOSE(CONTROL!$C$42, 75.8029, 75.8029) * CHOOSE(CONTROL!$C$21, $C$9, 100%, $E$9)</f>
        <v>75.802899999999994</v>
      </c>
      <c r="L874" s="14">
        <f>CHOOSE(CONTROL!$C$42, 76.378, 76.378) * CHOOSE(CONTROL!$C$21, $C$9, 100%, $E$9)</f>
        <v>76.378</v>
      </c>
      <c r="M874" s="14">
        <f>CHOOSE(CONTROL!$C$42, 74.0224, 74.0224) * CHOOSE(CONTROL!$C$21, $C$9, 100%, $E$9)</f>
        <v>74.022400000000005</v>
      </c>
      <c r="N874" s="14">
        <f>CHOOSE(CONTROL!$C$42, 74.0392, 74.0392) * CHOOSE(CONTROL!$C$21, $C$9, 100%, $E$9)</f>
        <v>74.039199999999994</v>
      </c>
      <c r="O874" s="14">
        <f>CHOOSE(CONTROL!$C$42, 74.2458, 74.2458) * CHOOSE(CONTROL!$C$21, $C$9, 100%, $E$9)</f>
        <v>74.245800000000003</v>
      </c>
      <c r="P874" s="14">
        <f>CHOOSE(CONTROL!$C$42, 74.2565, 74.2565) * CHOOSE(CONTROL!$C$21, $C$9, 100%, $E$9)</f>
        <v>74.256500000000003</v>
      </c>
      <c r="Q874" s="14">
        <f>CHOOSE(CONTROL!$C$42, 74.8405, 74.8405) * CHOOSE(CONTROL!$C$21, $C$9, 100%, $E$9)</f>
        <v>74.840500000000006</v>
      </c>
      <c r="R874" s="14">
        <f>CHOOSE(CONTROL!$C$42, 75.6146, 75.6146) * CHOOSE(CONTROL!$C$21, $C$9, 100%, $E$9)</f>
        <v>75.614599999999996</v>
      </c>
      <c r="S874" s="14">
        <f>CHOOSE(CONTROL!$C$42, 72.578, 72.578) * CHOOSE(CONTROL!$C$21, $C$9, 100%, $E$9)</f>
        <v>72.578000000000003</v>
      </c>
      <c r="T87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74" s="57">
        <f>(1000*CHOOSE(CONTROL!$C$42, 695, 695)*CHOOSE(CONTROL!$C$42, 0.5599, 0.5599)*CHOOSE(CONTROL!$C$42, 31, 31))/1000000</f>
        <v>12.063045499999998</v>
      </c>
      <c r="V874" s="57">
        <f>(1000*CHOOSE(CONTROL!$C$42, 500, 500)*CHOOSE(CONTROL!$C$42, 0.275, 0.275)*CHOOSE(CONTROL!$C$42, 31, 31))/1000000</f>
        <v>4.2625000000000002</v>
      </c>
      <c r="W874" s="57">
        <f>(1000*CHOOSE(CONTROL!$C$42, 0.1146, 0.1146)*CHOOSE(CONTROL!$C$42, 121.5, 121.5)*CHOOSE(CONTROL!$C$42, 31, 31))/1000000</f>
        <v>0.43164089999999994</v>
      </c>
      <c r="X874" s="57">
        <f>(31*0.1790888*245000/1000000)+(31*0.2374*100000/1000000)</f>
        <v>2.0961194359999999</v>
      </c>
      <c r="Y874" s="57"/>
      <c r="Z874" s="14"/>
      <c r="AA874" s="56"/>
      <c r="AB874" s="50">
        <f>(B874*131.881+C874*277.167+D874*79.08+E874*125.872+F874*40+G874*185+H874*0+I874*100+J874*300)/(131.881+277.167+79.08+125.872+0+40+185+100+300)</f>
        <v>75.617683207263909</v>
      </c>
      <c r="AC874" s="45">
        <f>(M874*'RAP TEMPLATE-GAS AVAILABILITY'!O873+N874*'RAP TEMPLATE-GAS AVAILABILITY'!P873+O874*'RAP TEMPLATE-GAS AVAILABILITY'!Q873+P874*'RAP TEMPLATE-GAS AVAILABILITY'!R873)/('RAP TEMPLATE-GAS AVAILABILITY'!O873+'RAP TEMPLATE-GAS AVAILABILITY'!P873+'RAP TEMPLATE-GAS AVAILABILITY'!Q873+'RAP TEMPLATE-GAS AVAILABILITY'!R873)</f>
        <v>74.158303597122298</v>
      </c>
    </row>
    <row r="875" spans="1:29" ht="15.75" x14ac:dyDescent="0.25">
      <c r="A875" s="32">
        <v>67541</v>
      </c>
      <c r="B875" s="14">
        <f>CHOOSE(CONTROL!$C$42, 77.53, 77.53) * CHOOSE(CONTROL!$C$21, $C$9, 100%, $E$9)</f>
        <v>77.53</v>
      </c>
      <c r="C875" s="14">
        <f>CHOOSE(CONTROL!$C$42, 77.535, 77.535) * CHOOSE(CONTROL!$C$21, $C$9, 100%, $E$9)</f>
        <v>77.534999999999997</v>
      </c>
      <c r="D875" s="14">
        <f>CHOOSE(CONTROL!$C$42, 77.6092, 77.6092) * CHOOSE(CONTROL!$C$21, $C$9, 100%, $E$9)</f>
        <v>77.609200000000001</v>
      </c>
      <c r="E875" s="14">
        <f>CHOOSE(CONTROL!$C$42, 77.6433, 77.6433) * CHOOSE(CONTROL!$C$21, $C$9, 100%, $E$9)</f>
        <v>77.643299999999996</v>
      </c>
      <c r="F875" s="14">
        <f>CHOOSE(CONTROL!$C$42, 77.566, 77.566)*CHOOSE(CONTROL!$C$21, $C$9, 100%, $E$9)</f>
        <v>77.566000000000003</v>
      </c>
      <c r="G875" s="14">
        <f>CHOOSE(CONTROL!$C$42, 77.5835, 77.5835)*CHOOSE(CONTROL!$C$21, $C$9, 100%, $E$9)</f>
        <v>77.583500000000001</v>
      </c>
      <c r="H875" s="14">
        <f>CHOOSE(CONTROL!$C$42, 77.6325, 77.6325) * CHOOSE(CONTROL!$C$21, $C$9, 100%, $E$9)</f>
        <v>77.632499999999993</v>
      </c>
      <c r="I875" s="14">
        <f>CHOOSE(CONTROL!$C$42, 77.8002, 77.8002)* CHOOSE(CONTROL!$C$21, $C$9, 100%, $E$9)</f>
        <v>77.800200000000004</v>
      </c>
      <c r="J875" s="14">
        <f>CHOOSE(CONTROL!$C$42, 77.559, 77.559)* CHOOSE(CONTROL!$C$21, $C$9, 100%, $E$9)</f>
        <v>77.558999999999997</v>
      </c>
      <c r="K875" s="53">
        <f>CHOOSE(CONTROL!$C$42, 77.7963, 77.7963) * CHOOSE(CONTROL!$C$21, $C$9, 100%, $E$9)</f>
        <v>77.796300000000002</v>
      </c>
      <c r="L875" s="14">
        <f>CHOOSE(CONTROL!$C$42, 78.2195, 78.2195) * CHOOSE(CONTROL!$C$21, $C$9, 100%, $E$9)</f>
        <v>78.219499999999996</v>
      </c>
      <c r="M875" s="14">
        <f>CHOOSE(CONTROL!$C$42, 75.9776, 75.9776) * CHOOSE(CONTROL!$C$21, $C$9, 100%, $E$9)</f>
        <v>75.977599999999995</v>
      </c>
      <c r="N875" s="14">
        <f>CHOOSE(CONTROL!$C$42, 75.9947, 75.9947) * CHOOSE(CONTROL!$C$21, $C$9, 100%, $E$9)</f>
        <v>75.994699999999995</v>
      </c>
      <c r="O875" s="14">
        <f>CHOOSE(CONTROL!$C$42, 76.0496, 76.0496) * CHOOSE(CONTROL!$C$21, $C$9, 100%, $E$9)</f>
        <v>76.049599999999998</v>
      </c>
      <c r="P875" s="14">
        <f>CHOOSE(CONTROL!$C$42, 76.209, 76.209) * CHOOSE(CONTROL!$C$21, $C$9, 100%, $E$9)</f>
        <v>76.209000000000003</v>
      </c>
      <c r="Q875" s="14">
        <f>CHOOSE(CONTROL!$C$42, 76.6443, 76.6443) * CHOOSE(CONTROL!$C$21, $C$9, 100%, $E$9)</f>
        <v>76.644300000000001</v>
      </c>
      <c r="R875" s="14">
        <f>CHOOSE(CONTROL!$C$42, 77.4229, 77.4229) * CHOOSE(CONTROL!$C$21, $C$9, 100%, $E$9)</f>
        <v>77.422899999999998</v>
      </c>
      <c r="S875" s="14">
        <f>CHOOSE(CONTROL!$C$42, 74.49, 74.49) * CHOOSE(CONTROL!$C$21, $C$9, 100%, $E$9)</f>
        <v>74.489999999999995</v>
      </c>
      <c r="T87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75" s="57">
        <f>(1000*CHOOSE(CONTROL!$C$42, 695, 695)*CHOOSE(CONTROL!$C$42, 0.5599, 0.5599)*CHOOSE(CONTROL!$C$42, 30, 30))/1000000</f>
        <v>11.673914999999997</v>
      </c>
      <c r="V875" s="57">
        <f>(1000*CHOOSE(CONTROL!$C$42, 500, 500)*CHOOSE(CONTROL!$C$42, 0.275, 0.275)*CHOOSE(CONTROL!$C$42, 30, 30))/1000000</f>
        <v>4.125</v>
      </c>
      <c r="W875" s="57">
        <f>(1000*CHOOSE(CONTROL!$C$42, 0.1146, 0.1146)*CHOOSE(CONTROL!$C$42, 121.5, 121.5)*CHOOSE(CONTROL!$C$42, 30, 30))/1000000</f>
        <v>0.417717</v>
      </c>
      <c r="X875" s="57">
        <f>(30*0.1790888*100000/1000000)+(30*0.2374*100000/1000000)</f>
        <v>1.2494664</v>
      </c>
      <c r="Y875" s="57"/>
      <c r="Z875" s="14"/>
      <c r="AA875" s="56"/>
      <c r="AB875" s="50">
        <f>(B875*122.58+C875*297.941+D875*89.177+E875*40.302+F875*40+G875*160+H875*0+I875*100+J875*300)/(122.58+297.941+89.177+40.302+0+40+160+100+300)</f>
        <v>77.581164121739121</v>
      </c>
      <c r="AC875" s="45">
        <f>(M875*'RAP TEMPLATE-GAS AVAILABILITY'!O874+N875*'RAP TEMPLATE-GAS AVAILABILITY'!P874+O875*'RAP TEMPLATE-GAS AVAILABILITY'!Q874+P875*'RAP TEMPLATE-GAS AVAILABILITY'!R874)/('RAP TEMPLATE-GAS AVAILABILITY'!O874+'RAP TEMPLATE-GAS AVAILABILITY'!P874+'RAP TEMPLATE-GAS AVAILABILITY'!Q874+'RAP TEMPLATE-GAS AVAILABILITY'!R874)</f>
        <v>76.04451223021583</v>
      </c>
    </row>
    <row r="876" spans="1:29" ht="15.75" x14ac:dyDescent="0.25">
      <c r="A876" s="32">
        <v>67572</v>
      </c>
      <c r="B876" s="14">
        <f>CHOOSE(CONTROL!$C$42, 82.8153, 82.8153) * CHOOSE(CONTROL!$C$21, $C$9, 100%, $E$9)</f>
        <v>82.815299999999993</v>
      </c>
      <c r="C876" s="14">
        <f>CHOOSE(CONTROL!$C$42, 82.8203, 82.8203) * CHOOSE(CONTROL!$C$21, $C$9, 100%, $E$9)</f>
        <v>82.820300000000003</v>
      </c>
      <c r="D876" s="14">
        <f>CHOOSE(CONTROL!$C$42, 82.8945, 82.8945) * CHOOSE(CONTROL!$C$21, $C$9, 100%, $E$9)</f>
        <v>82.894499999999994</v>
      </c>
      <c r="E876" s="14">
        <f>CHOOSE(CONTROL!$C$42, 82.9286, 82.9286) * CHOOSE(CONTROL!$C$21, $C$9, 100%, $E$9)</f>
        <v>82.928600000000003</v>
      </c>
      <c r="F876" s="14">
        <f>CHOOSE(CONTROL!$C$42, 82.8537, 82.8537)*CHOOSE(CONTROL!$C$21, $C$9, 100%, $E$9)</f>
        <v>82.853700000000003</v>
      </c>
      <c r="G876" s="14">
        <f>CHOOSE(CONTROL!$C$42, 82.8718, 82.8718)*CHOOSE(CONTROL!$C$21, $C$9, 100%, $E$9)</f>
        <v>82.871799999999993</v>
      </c>
      <c r="H876" s="14">
        <f>CHOOSE(CONTROL!$C$42, 82.9178, 82.9178) * CHOOSE(CONTROL!$C$21, $C$9, 100%, $E$9)</f>
        <v>82.9178</v>
      </c>
      <c r="I876" s="14">
        <f>CHOOSE(CONTROL!$C$42, 83.1021, 83.1021)* CHOOSE(CONTROL!$C$21, $C$9, 100%, $E$9)</f>
        <v>83.102099999999993</v>
      </c>
      <c r="J876" s="14">
        <f>CHOOSE(CONTROL!$C$42, 82.8467, 82.8467)* CHOOSE(CONTROL!$C$21, $C$9, 100%, $E$9)</f>
        <v>82.846699999999998</v>
      </c>
      <c r="K876" s="53">
        <f>CHOOSE(CONTROL!$C$42, 83.0982, 83.0982) * CHOOSE(CONTROL!$C$21, $C$9, 100%, $E$9)</f>
        <v>83.098200000000006</v>
      </c>
      <c r="L876" s="14">
        <f>CHOOSE(CONTROL!$C$42, 83.5048, 83.5048) * CHOOSE(CONTROL!$C$21, $C$9, 100%, $E$9)</f>
        <v>83.504800000000003</v>
      </c>
      <c r="M876" s="14">
        <f>CHOOSE(CONTROL!$C$42, 81.1569, 81.1569) * CHOOSE(CONTROL!$C$21, $C$9, 100%, $E$9)</f>
        <v>81.156899999999993</v>
      </c>
      <c r="N876" s="14">
        <f>CHOOSE(CONTROL!$C$42, 81.1747, 81.1747) * CHOOSE(CONTROL!$C$21, $C$9, 100%, $E$9)</f>
        <v>81.174700000000001</v>
      </c>
      <c r="O876" s="14">
        <f>CHOOSE(CONTROL!$C$42, 81.2266, 81.2266) * CHOOSE(CONTROL!$C$21, $C$9, 100%, $E$9)</f>
        <v>81.226600000000005</v>
      </c>
      <c r="P876" s="14">
        <f>CHOOSE(CONTROL!$C$42, 81.4019, 81.4019) * CHOOSE(CONTROL!$C$21, $C$9, 100%, $E$9)</f>
        <v>81.401899999999998</v>
      </c>
      <c r="Q876" s="14">
        <f>CHOOSE(CONTROL!$C$42, 81.8213, 81.8213) * CHOOSE(CONTROL!$C$21, $C$9, 100%, $E$9)</f>
        <v>81.821299999999994</v>
      </c>
      <c r="R876" s="14">
        <f>CHOOSE(CONTROL!$C$42, 82.6129, 82.6129) * CHOOSE(CONTROL!$C$21, $C$9, 100%, $E$9)</f>
        <v>82.612899999999996</v>
      </c>
      <c r="S876" s="14">
        <f>CHOOSE(CONTROL!$C$42, 79.5686, 79.5686) * CHOOSE(CONTROL!$C$21, $C$9, 100%, $E$9)</f>
        <v>79.568600000000004</v>
      </c>
      <c r="T87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76" s="57">
        <f>(1000*CHOOSE(CONTROL!$C$42, 695, 695)*CHOOSE(CONTROL!$C$42, 0.5599, 0.5599)*CHOOSE(CONTROL!$C$42, 31, 31))/1000000</f>
        <v>12.063045499999998</v>
      </c>
      <c r="V876" s="57">
        <f>(1000*CHOOSE(CONTROL!$C$42, 500, 500)*CHOOSE(CONTROL!$C$42, 0.275, 0.275)*CHOOSE(CONTROL!$C$42, 31, 31))/1000000</f>
        <v>4.2625000000000002</v>
      </c>
      <c r="W876" s="57">
        <f>(1000*CHOOSE(CONTROL!$C$42, 0.1146, 0.1146)*CHOOSE(CONTROL!$C$42, 121.5, 121.5)*CHOOSE(CONTROL!$C$42, 31, 31))/1000000</f>
        <v>0.43164089999999994</v>
      </c>
      <c r="X876" s="57">
        <f>(31*0.1790888*100000/1000000)+(31*0.2374*100000/1000000)</f>
        <v>1.2911152800000001</v>
      </c>
      <c r="Y876" s="57"/>
      <c r="Z876" s="14"/>
      <c r="AA876" s="56"/>
      <c r="AB876" s="50">
        <f>(B876*122.58+C876*297.941+D876*89.177+E876*40.302+F876*40+G876*160+H876*0+I876*100+J876*300)/(122.58+297.941+89.177+40.302+0+40+160+100+300)</f>
        <v>82.869034556521726</v>
      </c>
      <c r="AC876" s="45">
        <f>(M876*'RAP TEMPLATE-GAS AVAILABILITY'!O875+N876*'RAP TEMPLATE-GAS AVAILABILITY'!P875+O876*'RAP TEMPLATE-GAS AVAILABILITY'!Q875+P876*'RAP TEMPLATE-GAS AVAILABILITY'!R875)/('RAP TEMPLATE-GAS AVAILABILITY'!O875+'RAP TEMPLATE-GAS AVAILABILITY'!P875+'RAP TEMPLATE-GAS AVAILABILITY'!Q875+'RAP TEMPLATE-GAS AVAILABILITY'!R875)</f>
        <v>81.224766906474827</v>
      </c>
    </row>
    <row r="877" spans="1:29" ht="15.75" x14ac:dyDescent="0.25">
      <c r="A877" s="32">
        <v>67603</v>
      </c>
      <c r="B877" s="14">
        <f>CHOOSE(CONTROL!$C$42, 89.6799, 89.6799) * CHOOSE(CONTROL!$C$21, $C$9, 100%, $E$9)</f>
        <v>89.679900000000004</v>
      </c>
      <c r="C877" s="14">
        <f>CHOOSE(CONTROL!$C$42, 89.685, 89.685) * CHOOSE(CONTROL!$C$21, $C$9, 100%, $E$9)</f>
        <v>89.685000000000002</v>
      </c>
      <c r="D877" s="14">
        <f>CHOOSE(CONTROL!$C$42, 89.7618, 89.7618) * CHOOSE(CONTROL!$C$21, $C$9, 100%, $E$9)</f>
        <v>89.761799999999994</v>
      </c>
      <c r="E877" s="14">
        <f>CHOOSE(CONTROL!$C$42, 89.7959, 89.7959) * CHOOSE(CONTROL!$C$21, $C$9, 100%, $E$9)</f>
        <v>89.795900000000003</v>
      </c>
      <c r="F877" s="14">
        <f>CHOOSE(CONTROL!$C$42, 89.7046, 89.7046)*CHOOSE(CONTROL!$C$21, $C$9, 100%, $E$9)</f>
        <v>89.704599999999999</v>
      </c>
      <c r="G877" s="14">
        <f>CHOOSE(CONTROL!$C$42, 89.7226, 89.7226)*CHOOSE(CONTROL!$C$21, $C$9, 100%, $E$9)</f>
        <v>89.7226</v>
      </c>
      <c r="H877" s="14">
        <f>CHOOSE(CONTROL!$C$42, 89.7851, 89.7851) * CHOOSE(CONTROL!$C$21, $C$9, 100%, $E$9)</f>
        <v>89.7851</v>
      </c>
      <c r="I877" s="14">
        <f>CHOOSE(CONTROL!$C$42, 89.9945, 89.9945)* CHOOSE(CONTROL!$C$21, $C$9, 100%, $E$9)</f>
        <v>89.994500000000002</v>
      </c>
      <c r="J877" s="14">
        <f>CHOOSE(CONTROL!$C$42, 89.6976, 89.6976)* CHOOSE(CONTROL!$C$21, $C$9, 100%, $E$9)</f>
        <v>89.697599999999994</v>
      </c>
      <c r="K877" s="53">
        <f>CHOOSE(CONTROL!$C$42, 89.9906, 89.9906) * CHOOSE(CONTROL!$C$21, $C$9, 100%, $E$9)</f>
        <v>89.990600000000001</v>
      </c>
      <c r="L877" s="14">
        <f>CHOOSE(CONTROL!$C$42, 90.3721, 90.3721) * CHOOSE(CONTROL!$C$21, $C$9, 100%, $E$9)</f>
        <v>90.372100000000003</v>
      </c>
      <c r="M877" s="14">
        <f>CHOOSE(CONTROL!$C$42, 87.8675, 87.8675) * CHOOSE(CONTROL!$C$21, $C$9, 100%, $E$9)</f>
        <v>87.867500000000007</v>
      </c>
      <c r="N877" s="14">
        <f>CHOOSE(CONTROL!$C$42, 87.8851, 87.8851) * CHOOSE(CONTROL!$C$21, $C$9, 100%, $E$9)</f>
        <v>87.885099999999994</v>
      </c>
      <c r="O877" s="14">
        <f>CHOOSE(CONTROL!$C$42, 87.9532, 87.9532) * CHOOSE(CONTROL!$C$21, $C$9, 100%, $E$9)</f>
        <v>87.953199999999995</v>
      </c>
      <c r="P877" s="14">
        <f>CHOOSE(CONTROL!$C$42, 88.1527, 88.1527) * CHOOSE(CONTROL!$C$21, $C$9, 100%, $E$9)</f>
        <v>88.152699999999996</v>
      </c>
      <c r="Q877" s="14">
        <f>CHOOSE(CONTROL!$C$42, 88.5479, 88.5479) * CHOOSE(CONTROL!$C$21, $C$9, 100%, $E$9)</f>
        <v>88.547899999999998</v>
      </c>
      <c r="R877" s="14">
        <f>CHOOSE(CONTROL!$C$42, 89.3562, 89.3562) * CHOOSE(CONTROL!$C$21, $C$9, 100%, $E$9)</f>
        <v>89.356200000000001</v>
      </c>
      <c r="S877" s="14">
        <f>CHOOSE(CONTROL!$C$42, 86.1649, 86.1649) * CHOOSE(CONTROL!$C$21, $C$9, 100%, $E$9)</f>
        <v>86.164900000000003</v>
      </c>
      <c r="T87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77" s="57">
        <f>(1000*CHOOSE(CONTROL!$C$42, 695, 695)*CHOOSE(CONTROL!$C$42, 0.5599, 0.5599)*CHOOSE(CONTROL!$C$42, 31, 31))/1000000</f>
        <v>12.063045499999998</v>
      </c>
      <c r="V877" s="57">
        <f>(1000*CHOOSE(CONTROL!$C$42, 500, 500)*CHOOSE(CONTROL!$C$42, 0.275, 0.275)*CHOOSE(CONTROL!$C$42, 31, 31))/1000000</f>
        <v>4.2625000000000002</v>
      </c>
      <c r="W877" s="57">
        <f>(1000*CHOOSE(CONTROL!$C$42, 0.1146, 0.1146)*CHOOSE(CONTROL!$C$42, 121.5, 121.5)*CHOOSE(CONTROL!$C$42, 31, 31))/1000000</f>
        <v>0.43164089999999994</v>
      </c>
      <c r="X877" s="57">
        <f>(31*0.1790888*100000/1000000)+(31*0.2374*100000/1000000)</f>
        <v>1.2911152800000001</v>
      </c>
      <c r="Y877" s="57"/>
      <c r="Z877" s="14"/>
      <c r="AA877" s="56"/>
      <c r="AB877" s="50">
        <f>(B877*122.58+C877*297.941+D877*89.177+E877*40.302+F877*40+G877*160+H877*0+I877*100+J877*300)/(122.58+297.941+89.177+40.302+0+40+160+100+300)</f>
        <v>89.730411415130433</v>
      </c>
      <c r="AC877" s="45">
        <f>(M877*'RAP TEMPLATE-GAS AVAILABILITY'!O876+N877*'RAP TEMPLATE-GAS AVAILABILITY'!P876+O877*'RAP TEMPLATE-GAS AVAILABILITY'!Q876+P877*'RAP TEMPLATE-GAS AVAILABILITY'!R876)/('RAP TEMPLATE-GAS AVAILABILITY'!O876+'RAP TEMPLATE-GAS AVAILABILITY'!P876+'RAP TEMPLATE-GAS AVAILABILITY'!Q876+'RAP TEMPLATE-GAS AVAILABILITY'!R876)</f>
        <v>87.948391366906478</v>
      </c>
    </row>
    <row r="878" spans="1:29" ht="15.75" x14ac:dyDescent="0.25">
      <c r="A878" s="32">
        <v>67631</v>
      </c>
      <c r="B878" s="14">
        <f>CHOOSE(CONTROL!$C$42, 91.2762, 91.2762) * CHOOSE(CONTROL!$C$21, $C$9, 100%, $E$9)</f>
        <v>91.276200000000003</v>
      </c>
      <c r="C878" s="14">
        <f>CHOOSE(CONTROL!$C$42, 91.2812, 91.2812) * CHOOSE(CONTROL!$C$21, $C$9, 100%, $E$9)</f>
        <v>91.281199999999998</v>
      </c>
      <c r="D878" s="14">
        <f>CHOOSE(CONTROL!$C$42, 91.3581, 91.3581) * CHOOSE(CONTROL!$C$21, $C$9, 100%, $E$9)</f>
        <v>91.358099999999993</v>
      </c>
      <c r="E878" s="14">
        <f>CHOOSE(CONTROL!$C$42, 91.3922, 91.3922) * CHOOSE(CONTROL!$C$21, $C$9, 100%, $E$9)</f>
        <v>91.392200000000003</v>
      </c>
      <c r="F878" s="14">
        <f>CHOOSE(CONTROL!$C$42, 91.3005, 91.3005)*CHOOSE(CONTROL!$C$21, $C$9, 100%, $E$9)</f>
        <v>91.3005</v>
      </c>
      <c r="G878" s="14">
        <f>CHOOSE(CONTROL!$C$42, 91.3184, 91.3184)*CHOOSE(CONTROL!$C$21, $C$9, 100%, $E$9)</f>
        <v>91.318399999999997</v>
      </c>
      <c r="H878" s="14">
        <f>CHOOSE(CONTROL!$C$42, 91.3814, 91.3814) * CHOOSE(CONTROL!$C$21, $C$9, 100%, $E$9)</f>
        <v>91.381399999999999</v>
      </c>
      <c r="I878" s="14">
        <f>CHOOSE(CONTROL!$C$42, 91.5958, 91.5958)* CHOOSE(CONTROL!$C$21, $C$9, 100%, $E$9)</f>
        <v>91.595799999999997</v>
      </c>
      <c r="J878" s="14">
        <f>CHOOSE(CONTROL!$C$42, 91.2935, 91.2935)* CHOOSE(CONTROL!$C$21, $C$9, 100%, $E$9)</f>
        <v>91.293499999999995</v>
      </c>
      <c r="K878" s="53">
        <f>CHOOSE(CONTROL!$C$42, 91.5919, 91.5919) * CHOOSE(CONTROL!$C$21, $C$9, 100%, $E$9)</f>
        <v>91.591899999999995</v>
      </c>
      <c r="L878" s="14">
        <f>CHOOSE(CONTROL!$C$42, 91.9684, 91.9684) * CHOOSE(CONTROL!$C$21, $C$9, 100%, $E$9)</f>
        <v>91.968400000000003</v>
      </c>
      <c r="M878" s="14">
        <f>CHOOSE(CONTROL!$C$42, 89.4307, 89.4307) * CHOOSE(CONTROL!$C$21, $C$9, 100%, $E$9)</f>
        <v>89.430700000000002</v>
      </c>
      <c r="N878" s="14">
        <f>CHOOSE(CONTROL!$C$42, 89.4482, 89.4482) * CHOOSE(CONTROL!$C$21, $C$9, 100%, $E$9)</f>
        <v>89.4482</v>
      </c>
      <c r="O878" s="14">
        <f>CHOOSE(CONTROL!$C$42, 89.5167, 89.5167) * CHOOSE(CONTROL!$C$21, $C$9, 100%, $E$9)</f>
        <v>89.5167</v>
      </c>
      <c r="P878" s="14">
        <f>CHOOSE(CONTROL!$C$42, 89.721, 89.721) * CHOOSE(CONTROL!$C$21, $C$9, 100%, $E$9)</f>
        <v>89.721000000000004</v>
      </c>
      <c r="Q878" s="14">
        <f>CHOOSE(CONTROL!$C$42, 90.1114, 90.1114) * CHOOSE(CONTROL!$C$21, $C$9, 100%, $E$9)</f>
        <v>90.111400000000003</v>
      </c>
      <c r="R878" s="14">
        <f>CHOOSE(CONTROL!$C$42, 90.9237, 90.9237) * CHOOSE(CONTROL!$C$21, $C$9, 100%, $E$9)</f>
        <v>90.923699999999997</v>
      </c>
      <c r="S878" s="14">
        <f>CHOOSE(CONTROL!$C$42, 87.6987, 87.6987) * CHOOSE(CONTROL!$C$21, $C$9, 100%, $E$9)</f>
        <v>87.698700000000002</v>
      </c>
      <c r="T87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78" s="57">
        <f>(1000*CHOOSE(CONTROL!$C$42, 695, 695)*CHOOSE(CONTROL!$C$42, 0.5599, 0.5599)*CHOOSE(CONTROL!$C$42, 28, 28))/1000000</f>
        <v>10.895653999999999</v>
      </c>
      <c r="V878" s="57">
        <f>(1000*CHOOSE(CONTROL!$C$42, 500, 500)*CHOOSE(CONTROL!$C$42, 0.275, 0.275)*CHOOSE(CONTROL!$C$42, 28, 28))/1000000</f>
        <v>3.85</v>
      </c>
      <c r="W878" s="57">
        <f>(1000*CHOOSE(CONTROL!$C$42, 0.1146, 0.1146)*CHOOSE(CONTROL!$C$42, 121.5, 121.5)*CHOOSE(CONTROL!$C$42, 28, 28))/1000000</f>
        <v>0.38986920000000003</v>
      </c>
      <c r="X878" s="57">
        <f>(28*0.1790888*100000/1000000)+(28*0.2374*100000/1000000)</f>
        <v>1.16616864</v>
      </c>
      <c r="Y878" s="57"/>
      <c r="Z878" s="14"/>
      <c r="AA878" s="56"/>
      <c r="AB878" s="50">
        <f>(B878*122.58+C878*297.941+D878*89.177+E878*40.302+F878*40+G878*160+H878*0+I878*100+J878*300)/(122.58+297.941+89.177+40.302+0+40+160+100+300)</f>
        <v>91.326932463739126</v>
      </c>
      <c r="AC878" s="45">
        <f>(M878*'RAP TEMPLATE-GAS AVAILABILITY'!O877+N878*'RAP TEMPLATE-GAS AVAILABILITY'!P877+O878*'RAP TEMPLATE-GAS AVAILABILITY'!Q877+P878*'RAP TEMPLATE-GAS AVAILABILITY'!R877)/('RAP TEMPLATE-GAS AVAILABILITY'!O877+'RAP TEMPLATE-GAS AVAILABILITY'!P877+'RAP TEMPLATE-GAS AVAILABILITY'!Q877+'RAP TEMPLATE-GAS AVAILABILITY'!R877)</f>
        <v>89.51245539568346</v>
      </c>
    </row>
    <row r="879" spans="1:29" ht="15.75" x14ac:dyDescent="0.25">
      <c r="A879" s="32">
        <v>67662</v>
      </c>
      <c r="B879" s="14">
        <f>CHOOSE(CONTROL!$C$42, 88.6851, 88.6851) * CHOOSE(CONTROL!$C$21, $C$9, 100%, $E$9)</f>
        <v>88.685100000000006</v>
      </c>
      <c r="C879" s="14">
        <f>CHOOSE(CONTROL!$C$42, 88.6901, 88.6901) * CHOOSE(CONTROL!$C$21, $C$9, 100%, $E$9)</f>
        <v>88.690100000000001</v>
      </c>
      <c r="D879" s="14">
        <f>CHOOSE(CONTROL!$C$42, 88.7669, 88.7669) * CHOOSE(CONTROL!$C$21, $C$9, 100%, $E$9)</f>
        <v>88.766900000000007</v>
      </c>
      <c r="E879" s="14">
        <f>CHOOSE(CONTROL!$C$42, 88.801, 88.801) * CHOOSE(CONTROL!$C$21, $C$9, 100%, $E$9)</f>
        <v>88.801000000000002</v>
      </c>
      <c r="F879" s="14">
        <f>CHOOSE(CONTROL!$C$42, 88.7085, 88.7085)*CHOOSE(CONTROL!$C$21, $C$9, 100%, $E$9)</f>
        <v>88.708500000000001</v>
      </c>
      <c r="G879" s="14">
        <f>CHOOSE(CONTROL!$C$42, 88.7262, 88.7262)*CHOOSE(CONTROL!$C$21, $C$9, 100%, $E$9)</f>
        <v>88.726200000000006</v>
      </c>
      <c r="H879" s="14">
        <f>CHOOSE(CONTROL!$C$42, 88.7902, 88.7902) * CHOOSE(CONTROL!$C$21, $C$9, 100%, $E$9)</f>
        <v>88.790199999999999</v>
      </c>
      <c r="I879" s="14">
        <f>CHOOSE(CONTROL!$C$42, 88.9965, 88.9965)* CHOOSE(CONTROL!$C$21, $C$9, 100%, $E$9)</f>
        <v>88.996499999999997</v>
      </c>
      <c r="J879" s="14">
        <f>CHOOSE(CONTROL!$C$42, 88.7015, 88.7015)* CHOOSE(CONTROL!$C$21, $C$9, 100%, $E$9)</f>
        <v>88.701499999999996</v>
      </c>
      <c r="K879" s="53">
        <f>CHOOSE(CONTROL!$C$42, 88.9926, 88.9926) * CHOOSE(CONTROL!$C$21, $C$9, 100%, $E$9)</f>
        <v>88.992599999999996</v>
      </c>
      <c r="L879" s="14">
        <f>CHOOSE(CONTROL!$C$42, 89.3772, 89.3772) * CHOOSE(CONTROL!$C$21, $C$9, 100%, $E$9)</f>
        <v>89.377200000000002</v>
      </c>
      <c r="M879" s="14">
        <f>CHOOSE(CONTROL!$C$42, 86.8918, 86.8918) * CHOOSE(CONTROL!$C$21, $C$9, 100%, $E$9)</f>
        <v>86.891800000000003</v>
      </c>
      <c r="N879" s="14">
        <f>CHOOSE(CONTROL!$C$42, 86.9091, 86.9091) * CHOOSE(CONTROL!$C$21, $C$9, 100%, $E$9)</f>
        <v>86.909099999999995</v>
      </c>
      <c r="O879" s="14">
        <f>CHOOSE(CONTROL!$C$42, 86.9787, 86.9787) * CHOOSE(CONTROL!$C$21, $C$9, 100%, $E$9)</f>
        <v>86.978700000000003</v>
      </c>
      <c r="P879" s="14">
        <f>CHOOSE(CONTROL!$C$42, 87.1752, 87.1752) * CHOOSE(CONTROL!$C$21, $C$9, 100%, $E$9)</f>
        <v>87.175200000000004</v>
      </c>
      <c r="Q879" s="14">
        <f>CHOOSE(CONTROL!$C$42, 87.5734, 87.5734) * CHOOSE(CONTROL!$C$21, $C$9, 100%, $E$9)</f>
        <v>87.573400000000007</v>
      </c>
      <c r="R879" s="14">
        <f>CHOOSE(CONTROL!$C$42, 88.3793, 88.3793) * CHOOSE(CONTROL!$C$21, $C$9, 100%, $E$9)</f>
        <v>88.379300000000001</v>
      </c>
      <c r="S879" s="14">
        <f>CHOOSE(CONTROL!$C$42, 85.2089, 85.2089) * CHOOSE(CONTROL!$C$21, $C$9, 100%, $E$9)</f>
        <v>85.2089</v>
      </c>
      <c r="T87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9" s="57">
        <f>(1000*CHOOSE(CONTROL!$C$42, 695, 695)*CHOOSE(CONTROL!$C$42, 0.5599, 0.5599)*CHOOSE(CONTROL!$C$42, 31, 31))/1000000</f>
        <v>12.063045499999998</v>
      </c>
      <c r="V879" s="57">
        <f>(1000*CHOOSE(CONTROL!$C$42, 500, 500)*CHOOSE(CONTROL!$C$42, 0.275, 0.275)*CHOOSE(CONTROL!$C$42, 31, 31))/1000000</f>
        <v>4.2625000000000002</v>
      </c>
      <c r="W879" s="57">
        <f>(1000*CHOOSE(CONTROL!$C$42, 0.1146, 0.1146)*CHOOSE(CONTROL!$C$42, 121.5, 121.5)*CHOOSE(CONTROL!$C$42, 31, 31))/1000000</f>
        <v>0.43164089999999994</v>
      </c>
      <c r="X879" s="57">
        <f>(31*0.1790888*100000/1000000)+(31*0.2374*100000/1000000)</f>
        <v>1.2911152800000001</v>
      </c>
      <c r="Y879" s="57"/>
      <c r="Z879" s="14"/>
      <c r="AA879" s="56"/>
      <c r="AB879" s="50">
        <f>(B879*122.58+C879*297.941+D879*89.177+E879*40.302+F879*40+G879*160+H879*0+I879*100+J879*300)/(122.58+297.941+89.177+40.302+0+40+160+100+300)</f>
        <v>88.734689030782604</v>
      </c>
      <c r="AC879" s="45">
        <f>(M879*'RAP TEMPLATE-GAS AVAILABILITY'!O878+N879*'RAP TEMPLATE-GAS AVAILABILITY'!P878+O879*'RAP TEMPLATE-GAS AVAILABILITY'!Q878+P879*'RAP TEMPLATE-GAS AVAILABILITY'!R878)/('RAP TEMPLATE-GAS AVAILABILITY'!O878+'RAP TEMPLATE-GAS AVAILABILITY'!P878+'RAP TEMPLATE-GAS AVAILABILITY'!Q878+'RAP TEMPLATE-GAS AVAILABILITY'!R878)</f>
        <v>86.972958992805758</v>
      </c>
    </row>
    <row r="880" spans="1:29" ht="15.75" x14ac:dyDescent="0.25">
      <c r="A880" s="32">
        <v>67692</v>
      </c>
      <c r="B880" s="14">
        <f>CHOOSE(CONTROL!$C$42, 88.4205, 88.4205) * CHOOSE(CONTROL!$C$21, $C$9, 100%, $E$9)</f>
        <v>88.420500000000004</v>
      </c>
      <c r="C880" s="14">
        <f>CHOOSE(CONTROL!$C$42, 88.425, 88.425) * CHOOSE(CONTROL!$C$21, $C$9, 100%, $E$9)</f>
        <v>88.424999999999997</v>
      </c>
      <c r="D880" s="14">
        <f>CHOOSE(CONTROL!$C$42, 88.6488, 88.6488) * CHOOSE(CONTROL!$C$21, $C$9, 100%, $E$9)</f>
        <v>88.648799999999994</v>
      </c>
      <c r="E880" s="14">
        <f>CHOOSE(CONTROL!$C$42, 88.6809, 88.6809) * CHOOSE(CONTROL!$C$21, $C$9, 100%, $E$9)</f>
        <v>88.680899999999994</v>
      </c>
      <c r="F880" s="14">
        <f>CHOOSE(CONTROL!$C$42, 88.4482, 88.4482)*CHOOSE(CONTROL!$C$21, $C$9, 100%, $E$9)</f>
        <v>88.4482</v>
      </c>
      <c r="G880" s="14">
        <f>CHOOSE(CONTROL!$C$42, 88.4651, 88.4651)*CHOOSE(CONTROL!$C$21, $C$9, 100%, $E$9)</f>
        <v>88.465100000000007</v>
      </c>
      <c r="H880" s="14">
        <f>CHOOSE(CONTROL!$C$42, 88.6706, 88.6706) * CHOOSE(CONTROL!$C$21, $C$9, 100%, $E$9)</f>
        <v>88.670599999999993</v>
      </c>
      <c r="I880" s="14">
        <f>CHOOSE(CONTROL!$C$42, 88.7268, 88.7268)* CHOOSE(CONTROL!$C$21, $C$9, 100%, $E$9)</f>
        <v>88.726799999999997</v>
      </c>
      <c r="J880" s="14">
        <f>CHOOSE(CONTROL!$C$42, 88.4412, 88.4412)* CHOOSE(CONTROL!$C$21, $C$9, 100%, $E$9)</f>
        <v>88.441199999999995</v>
      </c>
      <c r="K880" s="53">
        <f>CHOOSE(CONTROL!$C$42, 88.7229, 88.7229) * CHOOSE(CONTROL!$C$21, $C$9, 100%, $E$9)</f>
        <v>88.722899999999996</v>
      </c>
      <c r="L880" s="14">
        <f>CHOOSE(CONTROL!$C$42, 89.2576, 89.2576) * CHOOSE(CONTROL!$C$21, $C$9, 100%, $E$9)</f>
        <v>89.257599999999996</v>
      </c>
      <c r="M880" s="14">
        <f>CHOOSE(CONTROL!$C$42, 86.6368, 86.6368) * CHOOSE(CONTROL!$C$21, $C$9, 100%, $E$9)</f>
        <v>86.636799999999994</v>
      </c>
      <c r="N880" s="14">
        <f>CHOOSE(CONTROL!$C$42, 86.6534, 86.6534) * CHOOSE(CONTROL!$C$21, $C$9, 100%, $E$9)</f>
        <v>86.653400000000005</v>
      </c>
      <c r="O880" s="14">
        <f>CHOOSE(CONTROL!$C$42, 86.8615, 86.8615) * CHOOSE(CONTROL!$C$21, $C$9, 100%, $E$9)</f>
        <v>86.861500000000007</v>
      </c>
      <c r="P880" s="14">
        <f>CHOOSE(CONTROL!$C$42, 86.911, 86.911) * CHOOSE(CONTROL!$C$21, $C$9, 100%, $E$9)</f>
        <v>86.911000000000001</v>
      </c>
      <c r="Q880" s="14">
        <f>CHOOSE(CONTROL!$C$42, 87.4562, 87.4562) * CHOOSE(CONTROL!$C$21, $C$9, 100%, $E$9)</f>
        <v>87.456199999999995</v>
      </c>
      <c r="R880" s="14">
        <f>CHOOSE(CONTROL!$C$42, 88.2619, 88.2619) * CHOOSE(CONTROL!$C$21, $C$9, 100%, $E$9)</f>
        <v>88.261899999999997</v>
      </c>
      <c r="S880" s="14">
        <f>CHOOSE(CONTROL!$C$42, 84.954, 84.954) * CHOOSE(CONTROL!$C$21, $C$9, 100%, $E$9)</f>
        <v>84.953999999999994</v>
      </c>
      <c r="T88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0" s="57">
        <f>(1000*CHOOSE(CONTROL!$C$42, 695, 695)*CHOOSE(CONTROL!$C$42, 0.5599, 0.5599)*CHOOSE(CONTROL!$C$42, 30, 30))/1000000</f>
        <v>11.673914999999997</v>
      </c>
      <c r="V880" s="57">
        <f>(1000*CHOOSE(CONTROL!$C$42, 500, 500)*CHOOSE(CONTROL!$C$42, 0.275, 0.275)*CHOOSE(CONTROL!$C$42, 30, 30))/1000000</f>
        <v>4.125</v>
      </c>
      <c r="W880" s="57">
        <f>(1000*CHOOSE(CONTROL!$C$42, 0.1146, 0.1146)*CHOOSE(CONTROL!$C$42, 121.5, 121.5)*CHOOSE(CONTROL!$C$42, 30, 30))/1000000</f>
        <v>0.417717</v>
      </c>
      <c r="X880" s="57">
        <f>(30*0.1790888*245000/1000000)+(30*0.2374*100000/1000000)</f>
        <v>2.0285026799999999</v>
      </c>
      <c r="Y880" s="57"/>
      <c r="Z880" s="14"/>
      <c r="AA880" s="56"/>
      <c r="AB880" s="50">
        <f>(B880*141.293+C880*267.993+D880*115.016+E880*89.698+F880*40+G880*185+H880*0+I880*100+J880*300)/(141.293+267.993+115.016+89.698+0+40+185+100+300)</f>
        <v>88.498805472558516</v>
      </c>
      <c r="AC880" s="45">
        <f>(M880*'RAP TEMPLATE-GAS AVAILABILITY'!O879+N880*'RAP TEMPLATE-GAS AVAILABILITY'!P879+O880*'RAP TEMPLATE-GAS AVAILABILITY'!Q879+P880*'RAP TEMPLATE-GAS AVAILABILITY'!R879)/('RAP TEMPLATE-GAS AVAILABILITY'!O879+'RAP TEMPLATE-GAS AVAILABILITY'!P879+'RAP TEMPLATE-GAS AVAILABILITY'!Q879+'RAP TEMPLATE-GAS AVAILABILITY'!R879)</f>
        <v>86.779051079136693</v>
      </c>
    </row>
    <row r="881" spans="1:29" ht="15.75" x14ac:dyDescent="0.25">
      <c r="A881" s="32">
        <v>67723</v>
      </c>
      <c r="B881" s="14">
        <f>CHOOSE(CONTROL!$C$42, 89.2023, 89.2023) * CHOOSE(CONTROL!$C$21, $C$9, 100%, $E$9)</f>
        <v>89.202299999999994</v>
      </c>
      <c r="C881" s="14">
        <f>CHOOSE(CONTROL!$C$42, 89.2103, 89.2103) * CHOOSE(CONTROL!$C$21, $C$9, 100%, $E$9)</f>
        <v>89.210300000000004</v>
      </c>
      <c r="D881" s="14">
        <f>CHOOSE(CONTROL!$C$42, 89.4309, 89.4309) * CHOOSE(CONTROL!$C$21, $C$9, 100%, $E$9)</f>
        <v>89.430899999999994</v>
      </c>
      <c r="E881" s="14">
        <f>CHOOSE(CONTROL!$C$42, 89.4623, 89.4623) * CHOOSE(CONTROL!$C$21, $C$9, 100%, $E$9)</f>
        <v>89.462299999999999</v>
      </c>
      <c r="F881" s="14">
        <f>CHOOSE(CONTROL!$C$42, 89.2285, 89.2285)*CHOOSE(CONTROL!$C$21, $C$9, 100%, $E$9)</f>
        <v>89.228499999999997</v>
      </c>
      <c r="G881" s="14">
        <f>CHOOSE(CONTROL!$C$42, 89.2456, 89.2456)*CHOOSE(CONTROL!$C$21, $C$9, 100%, $E$9)</f>
        <v>89.245599999999996</v>
      </c>
      <c r="H881" s="14">
        <f>CHOOSE(CONTROL!$C$42, 89.451, 89.451) * CHOOSE(CONTROL!$C$21, $C$9, 100%, $E$9)</f>
        <v>89.450999999999993</v>
      </c>
      <c r="I881" s="14">
        <f>CHOOSE(CONTROL!$C$42, 89.5095, 89.5095)* CHOOSE(CONTROL!$C$21, $C$9, 100%, $E$9)</f>
        <v>89.509500000000003</v>
      </c>
      <c r="J881" s="14">
        <f>CHOOSE(CONTROL!$C$42, 89.2215, 89.2215)* CHOOSE(CONTROL!$C$21, $C$9, 100%, $E$9)</f>
        <v>89.221500000000006</v>
      </c>
      <c r="K881" s="53">
        <f>CHOOSE(CONTROL!$C$42, 89.5056, 89.5056) * CHOOSE(CONTROL!$C$21, $C$9, 100%, $E$9)</f>
        <v>89.505600000000001</v>
      </c>
      <c r="L881" s="14">
        <f>CHOOSE(CONTROL!$C$42, 90.038, 90.038) * CHOOSE(CONTROL!$C$21, $C$9, 100%, $E$9)</f>
        <v>90.037999999999997</v>
      </c>
      <c r="M881" s="14">
        <f>CHOOSE(CONTROL!$C$42, 87.4011, 87.4011) * CHOOSE(CONTROL!$C$21, $C$9, 100%, $E$9)</f>
        <v>87.4011</v>
      </c>
      <c r="N881" s="14">
        <f>CHOOSE(CONTROL!$C$42, 87.4179, 87.4179) * CHOOSE(CONTROL!$C$21, $C$9, 100%, $E$9)</f>
        <v>87.417900000000003</v>
      </c>
      <c r="O881" s="14">
        <f>CHOOSE(CONTROL!$C$42, 87.6259, 87.6259) * CHOOSE(CONTROL!$C$21, $C$9, 100%, $E$9)</f>
        <v>87.625900000000001</v>
      </c>
      <c r="P881" s="14">
        <f>CHOOSE(CONTROL!$C$42, 87.6777, 87.6777) * CHOOSE(CONTROL!$C$21, $C$9, 100%, $E$9)</f>
        <v>87.677700000000002</v>
      </c>
      <c r="Q881" s="14">
        <f>CHOOSE(CONTROL!$C$42, 88.2206, 88.2206) * CHOOSE(CONTROL!$C$21, $C$9, 100%, $E$9)</f>
        <v>88.220600000000005</v>
      </c>
      <c r="R881" s="14">
        <f>CHOOSE(CONTROL!$C$42, 89.0281, 89.0281) * CHOOSE(CONTROL!$C$21, $C$9, 100%, $E$9)</f>
        <v>89.028099999999995</v>
      </c>
      <c r="S881" s="14">
        <f>CHOOSE(CONTROL!$C$42, 85.7038, 85.7038) * CHOOSE(CONTROL!$C$21, $C$9, 100%, $E$9)</f>
        <v>85.703800000000001</v>
      </c>
      <c r="T88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81" s="57">
        <f>(1000*CHOOSE(CONTROL!$C$42, 695, 695)*CHOOSE(CONTROL!$C$42, 0.5599, 0.5599)*CHOOSE(CONTROL!$C$42, 31, 31))/1000000</f>
        <v>12.063045499999998</v>
      </c>
      <c r="V881" s="57">
        <f>(1000*CHOOSE(CONTROL!$C$42, 500, 500)*CHOOSE(CONTROL!$C$42, 0.275, 0.275)*CHOOSE(CONTROL!$C$42, 31, 31))/1000000</f>
        <v>4.2625000000000002</v>
      </c>
      <c r="W881" s="57">
        <f>(1000*CHOOSE(CONTROL!$C$42, 0.1146, 0.1146)*CHOOSE(CONTROL!$C$42, 121.5, 121.5)*CHOOSE(CONTROL!$C$42, 31, 31))/1000000</f>
        <v>0.43164089999999994</v>
      </c>
      <c r="X881" s="57">
        <f>(31*0.1790888*245000/1000000)+(31*0.2374*100000/1000000)</f>
        <v>2.0961194359999999</v>
      </c>
      <c r="Y881" s="57"/>
      <c r="Z881" s="14"/>
      <c r="AA881" s="56"/>
      <c r="AB881" s="50">
        <f>(B881*194.205+C881*267.466+D881*133.845+E881*53.484+F881*40+G881*185+H881*0+I881*100+J881*300)/(194.205+267.466+133.845+53.484+0+40+185+100+300)</f>
        <v>89.27465560047095</v>
      </c>
      <c r="AC881" s="45">
        <f>(M881*'RAP TEMPLATE-GAS AVAILABILITY'!O880+N881*'RAP TEMPLATE-GAS AVAILABILITY'!P880+O881*'RAP TEMPLATE-GAS AVAILABILITY'!Q880+P881*'RAP TEMPLATE-GAS AVAILABILITY'!R880)/('RAP TEMPLATE-GAS AVAILABILITY'!O880+'RAP TEMPLATE-GAS AVAILABILITY'!P880+'RAP TEMPLATE-GAS AVAILABILITY'!Q880+'RAP TEMPLATE-GAS AVAILABILITY'!R880)</f>
        <v>87.543753237410073</v>
      </c>
    </row>
    <row r="882" spans="1:29" ht="15.75" x14ac:dyDescent="0.25">
      <c r="A882" s="32">
        <v>67753</v>
      </c>
      <c r="B882" s="14">
        <f>CHOOSE(CONTROL!$C$42, 91.7323, 91.7323) * CHOOSE(CONTROL!$C$21, $C$9, 100%, $E$9)</f>
        <v>91.732299999999995</v>
      </c>
      <c r="C882" s="14">
        <f>CHOOSE(CONTROL!$C$42, 91.7403, 91.7403) * CHOOSE(CONTROL!$C$21, $C$9, 100%, $E$9)</f>
        <v>91.740300000000005</v>
      </c>
      <c r="D882" s="14">
        <f>CHOOSE(CONTROL!$C$42, 91.9609, 91.9609) * CHOOSE(CONTROL!$C$21, $C$9, 100%, $E$9)</f>
        <v>91.960899999999995</v>
      </c>
      <c r="E882" s="14">
        <f>CHOOSE(CONTROL!$C$42, 91.9924, 91.9924) * CHOOSE(CONTROL!$C$21, $C$9, 100%, $E$9)</f>
        <v>91.992400000000004</v>
      </c>
      <c r="F882" s="14">
        <f>CHOOSE(CONTROL!$C$42, 91.7589, 91.7589)*CHOOSE(CONTROL!$C$21, $C$9, 100%, $E$9)</f>
        <v>91.758899999999997</v>
      </c>
      <c r="G882" s="14">
        <f>CHOOSE(CONTROL!$C$42, 91.7761, 91.7761)*CHOOSE(CONTROL!$C$21, $C$9, 100%, $E$9)</f>
        <v>91.7761</v>
      </c>
      <c r="H882" s="14">
        <f>CHOOSE(CONTROL!$C$42, 91.981, 91.981) * CHOOSE(CONTROL!$C$21, $C$9, 100%, $E$9)</f>
        <v>91.980999999999995</v>
      </c>
      <c r="I882" s="14">
        <f>CHOOSE(CONTROL!$C$42, 92.0475, 92.0475)* CHOOSE(CONTROL!$C$21, $C$9, 100%, $E$9)</f>
        <v>92.047499999999999</v>
      </c>
      <c r="J882" s="14">
        <f>CHOOSE(CONTROL!$C$42, 91.7519, 91.7519)* CHOOSE(CONTROL!$C$21, $C$9, 100%, $E$9)</f>
        <v>91.751900000000006</v>
      </c>
      <c r="K882" s="53">
        <f>CHOOSE(CONTROL!$C$42, 92.0436, 92.0436) * CHOOSE(CONTROL!$C$21, $C$9, 100%, $E$9)</f>
        <v>92.043599999999998</v>
      </c>
      <c r="L882" s="14">
        <f>CHOOSE(CONTROL!$C$42, 92.568, 92.568) * CHOOSE(CONTROL!$C$21, $C$9, 100%, $E$9)</f>
        <v>92.567999999999998</v>
      </c>
      <c r="M882" s="14">
        <f>CHOOSE(CONTROL!$C$42, 89.8796, 89.8796) * CHOOSE(CONTROL!$C$21, $C$9, 100%, $E$9)</f>
        <v>89.879599999999996</v>
      </c>
      <c r="N882" s="14">
        <f>CHOOSE(CONTROL!$C$42, 89.8965, 89.8965) * CHOOSE(CONTROL!$C$21, $C$9, 100%, $E$9)</f>
        <v>89.896500000000003</v>
      </c>
      <c r="O882" s="14">
        <f>CHOOSE(CONTROL!$C$42, 90.1041, 90.1041) * CHOOSE(CONTROL!$C$21, $C$9, 100%, $E$9)</f>
        <v>90.104100000000003</v>
      </c>
      <c r="P882" s="14">
        <f>CHOOSE(CONTROL!$C$42, 90.1635, 90.1635) * CHOOSE(CONTROL!$C$21, $C$9, 100%, $E$9)</f>
        <v>90.163499999999999</v>
      </c>
      <c r="Q882" s="14">
        <f>CHOOSE(CONTROL!$C$42, 90.6988, 90.6988) * CHOOSE(CONTROL!$C$21, $C$9, 100%, $E$9)</f>
        <v>90.698800000000006</v>
      </c>
      <c r="R882" s="14">
        <f>CHOOSE(CONTROL!$C$42, 91.5125, 91.5125) * CHOOSE(CONTROL!$C$21, $C$9, 100%, $E$9)</f>
        <v>91.512500000000003</v>
      </c>
      <c r="S882" s="14">
        <f>CHOOSE(CONTROL!$C$42, 88.1349, 88.1349) * CHOOSE(CONTROL!$C$21, $C$9, 100%, $E$9)</f>
        <v>88.134900000000002</v>
      </c>
      <c r="T88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82" s="57">
        <f>(1000*CHOOSE(CONTROL!$C$42, 695, 695)*CHOOSE(CONTROL!$C$42, 0.5599, 0.5599)*CHOOSE(CONTROL!$C$42, 30, 30))/1000000</f>
        <v>11.673914999999997</v>
      </c>
      <c r="V882" s="57">
        <f>(1000*CHOOSE(CONTROL!$C$42, 500, 500)*CHOOSE(CONTROL!$C$42, 0.275, 0.275)*CHOOSE(CONTROL!$C$42, 30, 30))/1000000</f>
        <v>4.125</v>
      </c>
      <c r="W882" s="57">
        <f>(1000*CHOOSE(CONTROL!$C$42, 0.1146, 0.1146)*CHOOSE(CONTROL!$C$42, 121.5, 121.5)*CHOOSE(CONTROL!$C$42, 30, 30))/1000000</f>
        <v>0.417717</v>
      </c>
      <c r="X882" s="57">
        <f>(30*0.1790888*245000/1000000)+(30*0.2374*100000/1000000)</f>
        <v>2.0285026799999999</v>
      </c>
      <c r="Y882" s="57"/>
      <c r="Z882" s="14"/>
      <c r="AA882" s="56"/>
      <c r="AB882" s="50">
        <f>(B882*194.205+C882*267.466+D882*133.845+E882*53.484+F882*40+G882*185+H882*0+I882*100+J882*300)/(194.205+267.466+133.845+53.484+0+40+185+100+300)</f>
        <v>91.805467098430157</v>
      </c>
      <c r="AC882" s="45">
        <f>(M882*'RAP TEMPLATE-GAS AVAILABILITY'!O881+N882*'RAP TEMPLATE-GAS AVAILABILITY'!P881+O882*'RAP TEMPLATE-GAS AVAILABILITY'!Q881+P882*'RAP TEMPLATE-GAS AVAILABILITY'!R881)/('RAP TEMPLATE-GAS AVAILABILITY'!O881+'RAP TEMPLATE-GAS AVAILABILITY'!P881+'RAP TEMPLATE-GAS AVAILABILITY'!Q881+'RAP TEMPLATE-GAS AVAILABILITY'!R881)</f>
        <v>90.023173381294967</v>
      </c>
    </row>
    <row r="883" spans="1:29" ht="15.75" x14ac:dyDescent="0.25">
      <c r="A883" s="32">
        <v>67784</v>
      </c>
      <c r="B883" s="14">
        <f>CHOOSE(CONTROL!$C$42, 89.9726, 89.9726) * CHOOSE(CONTROL!$C$21, $C$9, 100%, $E$9)</f>
        <v>89.9726</v>
      </c>
      <c r="C883" s="14">
        <f>CHOOSE(CONTROL!$C$42, 89.9807, 89.9807) * CHOOSE(CONTROL!$C$21, $C$9, 100%, $E$9)</f>
        <v>89.980699999999999</v>
      </c>
      <c r="D883" s="14">
        <f>CHOOSE(CONTROL!$C$42, 90.2012, 90.2012) * CHOOSE(CONTROL!$C$21, $C$9, 100%, $E$9)</f>
        <v>90.2012</v>
      </c>
      <c r="E883" s="14">
        <f>CHOOSE(CONTROL!$C$42, 90.2327, 90.2327) * CHOOSE(CONTROL!$C$21, $C$9, 100%, $E$9)</f>
        <v>90.232699999999994</v>
      </c>
      <c r="F883" s="14">
        <f>CHOOSE(CONTROL!$C$42, 89.9997, 89.9997)*CHOOSE(CONTROL!$C$21, $C$9, 100%, $E$9)</f>
        <v>89.999700000000004</v>
      </c>
      <c r="G883" s="14">
        <f>CHOOSE(CONTROL!$C$42, 90.017, 90.017)*CHOOSE(CONTROL!$C$21, $C$9, 100%, $E$9)</f>
        <v>90.016999999999996</v>
      </c>
      <c r="H883" s="14">
        <f>CHOOSE(CONTROL!$C$42, 90.2213, 90.2213) * CHOOSE(CONTROL!$C$21, $C$9, 100%, $E$9)</f>
        <v>90.221299999999999</v>
      </c>
      <c r="I883" s="14">
        <f>CHOOSE(CONTROL!$C$42, 90.2823, 90.2823)* CHOOSE(CONTROL!$C$21, $C$9, 100%, $E$9)</f>
        <v>90.282300000000006</v>
      </c>
      <c r="J883" s="14">
        <f>CHOOSE(CONTROL!$C$42, 89.9927, 89.9927)* CHOOSE(CONTROL!$C$21, $C$9, 100%, $E$9)</f>
        <v>89.992699999999999</v>
      </c>
      <c r="K883" s="53">
        <f>CHOOSE(CONTROL!$C$42, 90.2784, 90.2784) * CHOOSE(CONTROL!$C$21, $C$9, 100%, $E$9)</f>
        <v>90.278400000000005</v>
      </c>
      <c r="L883" s="14">
        <f>CHOOSE(CONTROL!$C$42, 90.8083, 90.8083) * CHOOSE(CONTROL!$C$21, $C$9, 100%, $E$9)</f>
        <v>90.808300000000003</v>
      </c>
      <c r="M883" s="14">
        <f>CHOOSE(CONTROL!$C$42, 88.1565, 88.1565) * CHOOSE(CONTROL!$C$21, $C$9, 100%, $E$9)</f>
        <v>88.156499999999994</v>
      </c>
      <c r="N883" s="14">
        <f>CHOOSE(CONTROL!$C$42, 88.1735, 88.1735) * CHOOSE(CONTROL!$C$21, $C$9, 100%, $E$9)</f>
        <v>88.173500000000004</v>
      </c>
      <c r="O883" s="14">
        <f>CHOOSE(CONTROL!$C$42, 88.3805, 88.3805) * CHOOSE(CONTROL!$C$21, $C$9, 100%, $E$9)</f>
        <v>88.380499999999998</v>
      </c>
      <c r="P883" s="14">
        <f>CHOOSE(CONTROL!$C$42, 88.4346, 88.4346) * CHOOSE(CONTROL!$C$21, $C$9, 100%, $E$9)</f>
        <v>88.434600000000003</v>
      </c>
      <c r="Q883" s="14">
        <f>CHOOSE(CONTROL!$C$42, 88.9752, 88.9752) * CHOOSE(CONTROL!$C$21, $C$9, 100%, $E$9)</f>
        <v>88.975200000000001</v>
      </c>
      <c r="R883" s="14">
        <f>CHOOSE(CONTROL!$C$42, 89.7846, 89.7846) * CHOOSE(CONTROL!$C$21, $C$9, 100%, $E$9)</f>
        <v>89.784599999999998</v>
      </c>
      <c r="S883" s="14">
        <f>CHOOSE(CONTROL!$C$42, 86.4441, 86.4441) * CHOOSE(CONTROL!$C$21, $C$9, 100%, $E$9)</f>
        <v>86.444100000000006</v>
      </c>
      <c r="T88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83" s="57">
        <f>(1000*CHOOSE(CONTROL!$C$42, 695, 695)*CHOOSE(CONTROL!$C$42, 0.5599, 0.5599)*CHOOSE(CONTROL!$C$42, 31, 31))/1000000</f>
        <v>12.063045499999998</v>
      </c>
      <c r="V883" s="57">
        <f>(1000*CHOOSE(CONTROL!$C$42, 500, 500)*CHOOSE(CONTROL!$C$42, 0.275, 0.275)*CHOOSE(CONTROL!$C$42, 31, 31))/1000000</f>
        <v>4.2625000000000002</v>
      </c>
      <c r="W883" s="57">
        <f>(1000*CHOOSE(CONTROL!$C$42, 0.1146, 0.1146)*CHOOSE(CONTROL!$C$42, 121.5, 121.5)*CHOOSE(CONTROL!$C$42, 31, 31))/1000000</f>
        <v>0.43164089999999994</v>
      </c>
      <c r="X883" s="57">
        <f>(31*0.1790888*245000/1000000)+(31*0.2374*100000/1000000)</f>
        <v>2.0961194359999999</v>
      </c>
      <c r="Y883" s="57"/>
      <c r="Z883" s="14"/>
      <c r="AA883" s="56"/>
      <c r="AB883" s="50">
        <f>(B883*194.205+C883*267.466+D883*133.845+E883*53.484+F883*40+G883*185+H883*0+I883*100+J883*300)/(194.205+267.466+133.845+53.484+0+40+185+100+300)</f>
        <v>90.045576946624792</v>
      </c>
      <c r="AC883" s="45">
        <f>(M883*'RAP TEMPLATE-GAS AVAILABILITY'!O882+N883*'RAP TEMPLATE-GAS AVAILABILITY'!P882+O883*'RAP TEMPLATE-GAS AVAILABILITY'!Q882+P883*'RAP TEMPLATE-GAS AVAILABILITY'!R882)/('RAP TEMPLATE-GAS AVAILABILITY'!O882+'RAP TEMPLATE-GAS AVAILABILITY'!P882+'RAP TEMPLATE-GAS AVAILABILITY'!Q882+'RAP TEMPLATE-GAS AVAILABILITY'!R882)</f>
        <v>88.299017985611513</v>
      </c>
    </row>
    <row r="884" spans="1:29" ht="15.75" x14ac:dyDescent="0.25">
      <c r="A884" s="32">
        <v>67815</v>
      </c>
      <c r="B884" s="14">
        <f>CHOOSE(CONTROL!$C$42, 85.529, 85.529) * CHOOSE(CONTROL!$C$21, $C$9, 100%, $E$9)</f>
        <v>85.528999999999996</v>
      </c>
      <c r="C884" s="14">
        <f>CHOOSE(CONTROL!$C$42, 85.537, 85.537) * CHOOSE(CONTROL!$C$21, $C$9, 100%, $E$9)</f>
        <v>85.537000000000006</v>
      </c>
      <c r="D884" s="14">
        <f>CHOOSE(CONTROL!$C$42, 85.7576, 85.7576) * CHOOSE(CONTROL!$C$21, $C$9, 100%, $E$9)</f>
        <v>85.757599999999996</v>
      </c>
      <c r="E884" s="14">
        <f>CHOOSE(CONTROL!$C$42, 85.7891, 85.7891) * CHOOSE(CONTROL!$C$21, $C$9, 100%, $E$9)</f>
        <v>85.789100000000005</v>
      </c>
      <c r="F884" s="14">
        <f>CHOOSE(CONTROL!$C$42, 85.5564, 85.5564)*CHOOSE(CONTROL!$C$21, $C$9, 100%, $E$9)</f>
        <v>85.556399999999996</v>
      </c>
      <c r="G884" s="14">
        <f>CHOOSE(CONTROL!$C$42, 85.5738, 85.5738)*CHOOSE(CONTROL!$C$21, $C$9, 100%, $E$9)</f>
        <v>85.573800000000006</v>
      </c>
      <c r="H884" s="14">
        <f>CHOOSE(CONTROL!$C$42, 85.7777, 85.7777) * CHOOSE(CONTROL!$C$21, $C$9, 100%, $E$9)</f>
        <v>85.777699999999996</v>
      </c>
      <c r="I884" s="14">
        <f>CHOOSE(CONTROL!$C$42, 85.8247, 85.8247)* CHOOSE(CONTROL!$C$21, $C$9, 100%, $E$9)</f>
        <v>85.824700000000007</v>
      </c>
      <c r="J884" s="14">
        <f>CHOOSE(CONTROL!$C$42, 85.5494, 85.5494)* CHOOSE(CONTROL!$C$21, $C$9, 100%, $E$9)</f>
        <v>85.549400000000006</v>
      </c>
      <c r="K884" s="53">
        <f>CHOOSE(CONTROL!$C$42, 85.8209, 85.8209) * CHOOSE(CONTROL!$C$21, $C$9, 100%, $E$9)</f>
        <v>85.820899999999995</v>
      </c>
      <c r="L884" s="14">
        <f>CHOOSE(CONTROL!$C$42, 86.3647, 86.3647) * CHOOSE(CONTROL!$C$21, $C$9, 100%, $E$9)</f>
        <v>86.364699999999999</v>
      </c>
      <c r="M884" s="14">
        <f>CHOOSE(CONTROL!$C$42, 83.8042, 83.8042) * CHOOSE(CONTROL!$C$21, $C$9, 100%, $E$9)</f>
        <v>83.804199999999994</v>
      </c>
      <c r="N884" s="14">
        <f>CHOOSE(CONTROL!$C$42, 83.8213, 83.8213) * CHOOSE(CONTROL!$C$21, $C$9, 100%, $E$9)</f>
        <v>83.821299999999994</v>
      </c>
      <c r="O884" s="14">
        <f>CHOOSE(CONTROL!$C$42, 84.0279, 84.0279) * CHOOSE(CONTROL!$C$21, $C$9, 100%, $E$9)</f>
        <v>84.027900000000002</v>
      </c>
      <c r="P884" s="14">
        <f>CHOOSE(CONTROL!$C$42, 84.0686, 84.0686) * CHOOSE(CONTROL!$C$21, $C$9, 100%, $E$9)</f>
        <v>84.068600000000004</v>
      </c>
      <c r="Q884" s="14">
        <f>CHOOSE(CONTROL!$C$42, 84.6226, 84.6226) * CHOOSE(CONTROL!$C$21, $C$9, 100%, $E$9)</f>
        <v>84.622600000000006</v>
      </c>
      <c r="R884" s="14">
        <f>CHOOSE(CONTROL!$C$42, 85.4211, 85.4211) * CHOOSE(CONTROL!$C$21, $C$9, 100%, $E$9)</f>
        <v>85.421099999999996</v>
      </c>
      <c r="S884" s="14">
        <f>CHOOSE(CONTROL!$C$42, 82.1742, 82.1742) * CHOOSE(CONTROL!$C$21, $C$9, 100%, $E$9)</f>
        <v>82.174199999999999</v>
      </c>
      <c r="T88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84" s="57">
        <f>(1000*CHOOSE(CONTROL!$C$42, 695, 695)*CHOOSE(CONTROL!$C$42, 0.5599, 0.5599)*CHOOSE(CONTROL!$C$42, 31, 31))/1000000</f>
        <v>12.063045499999998</v>
      </c>
      <c r="V884" s="57">
        <f>(1000*CHOOSE(CONTROL!$C$42, 500, 500)*CHOOSE(CONTROL!$C$42, 0.275, 0.275)*CHOOSE(CONTROL!$C$42, 31, 31))/1000000</f>
        <v>4.2625000000000002</v>
      </c>
      <c r="W884" s="57">
        <f>(1000*CHOOSE(CONTROL!$C$42, 0.1146, 0.1146)*CHOOSE(CONTROL!$C$42, 121.5, 121.5)*CHOOSE(CONTROL!$C$42, 31, 31))/1000000</f>
        <v>0.43164089999999994</v>
      </c>
      <c r="X884" s="57">
        <f>(31*0.1790888*245000/1000000)+(31*0.2374*100000/1000000)</f>
        <v>2.0961194359999999</v>
      </c>
      <c r="Y884" s="57"/>
      <c r="Z884" s="14"/>
      <c r="AA884" s="56"/>
      <c r="AB884" s="50">
        <f>(B884*194.205+C884*267.466+D884*133.845+E884*53.484+F884*40+G884*185+H884*0+I884*100+J884*300)/(194.205+267.466+133.845+53.484+0+40+185+100+300)</f>
        <v>85.600995198901117</v>
      </c>
      <c r="AC884" s="45">
        <f>(M884*'RAP TEMPLATE-GAS AVAILABILITY'!O883+N884*'RAP TEMPLATE-GAS AVAILABILITY'!P883+O884*'RAP TEMPLATE-GAS AVAILABILITY'!Q883+P884*'RAP TEMPLATE-GAS AVAILABILITY'!R883)/('RAP TEMPLATE-GAS AVAILABILITY'!O883+'RAP TEMPLATE-GAS AVAILABILITY'!P883+'RAP TEMPLATE-GAS AVAILABILITY'!Q883+'RAP TEMPLATE-GAS AVAILABILITY'!R883)</f>
        <v>83.944616546762589</v>
      </c>
    </row>
    <row r="885" spans="1:29" ht="15.75" x14ac:dyDescent="0.25">
      <c r="A885" s="32">
        <v>67845</v>
      </c>
      <c r="B885" s="14">
        <f>CHOOSE(CONTROL!$C$42, 80.0995, 80.0995) * CHOOSE(CONTROL!$C$21, $C$9, 100%, $E$9)</f>
        <v>80.099500000000006</v>
      </c>
      <c r="C885" s="14">
        <f>CHOOSE(CONTROL!$C$42, 80.1075, 80.1075) * CHOOSE(CONTROL!$C$21, $C$9, 100%, $E$9)</f>
        <v>80.107500000000002</v>
      </c>
      <c r="D885" s="14">
        <f>CHOOSE(CONTROL!$C$42, 80.3281, 80.3281) * CHOOSE(CONTROL!$C$21, $C$9, 100%, $E$9)</f>
        <v>80.328100000000006</v>
      </c>
      <c r="E885" s="14">
        <f>CHOOSE(CONTROL!$C$42, 80.3595, 80.3595) * CHOOSE(CONTROL!$C$21, $C$9, 100%, $E$9)</f>
        <v>80.359499999999997</v>
      </c>
      <c r="F885" s="14">
        <f>CHOOSE(CONTROL!$C$42, 80.1268, 80.1268)*CHOOSE(CONTROL!$C$21, $C$9, 100%, $E$9)</f>
        <v>80.126800000000003</v>
      </c>
      <c r="G885" s="14">
        <f>CHOOSE(CONTROL!$C$42, 80.1442, 80.1442)*CHOOSE(CONTROL!$C$21, $C$9, 100%, $E$9)</f>
        <v>80.144199999999998</v>
      </c>
      <c r="H885" s="14">
        <f>CHOOSE(CONTROL!$C$42, 80.3482, 80.3482) * CHOOSE(CONTROL!$C$21, $C$9, 100%, $E$9)</f>
        <v>80.348200000000006</v>
      </c>
      <c r="I885" s="14">
        <f>CHOOSE(CONTROL!$C$42, 80.3782, 80.3782)* CHOOSE(CONTROL!$C$21, $C$9, 100%, $E$9)</f>
        <v>80.378200000000007</v>
      </c>
      <c r="J885" s="14">
        <f>CHOOSE(CONTROL!$C$42, 80.1198, 80.1198)* CHOOSE(CONTROL!$C$21, $C$9, 100%, $E$9)</f>
        <v>80.119799999999998</v>
      </c>
      <c r="K885" s="53">
        <f>CHOOSE(CONTROL!$C$42, 80.3743, 80.3743) * CHOOSE(CONTROL!$C$21, $C$9, 100%, $E$9)</f>
        <v>80.374300000000005</v>
      </c>
      <c r="L885" s="14">
        <f>CHOOSE(CONTROL!$C$42, 80.9352, 80.9352) * CHOOSE(CONTROL!$C$21, $C$9, 100%, $E$9)</f>
        <v>80.935199999999995</v>
      </c>
      <c r="M885" s="14">
        <f>CHOOSE(CONTROL!$C$42, 78.4859, 78.4859) * CHOOSE(CONTROL!$C$21, $C$9, 100%, $E$9)</f>
        <v>78.485900000000001</v>
      </c>
      <c r="N885" s="14">
        <f>CHOOSE(CONTROL!$C$42, 78.503, 78.503) * CHOOSE(CONTROL!$C$21, $C$9, 100%, $E$9)</f>
        <v>78.503</v>
      </c>
      <c r="O885" s="14">
        <f>CHOOSE(CONTROL!$C$42, 78.7096, 78.7096) * CHOOSE(CONTROL!$C$21, $C$9, 100%, $E$9)</f>
        <v>78.709599999999995</v>
      </c>
      <c r="P885" s="14">
        <f>CHOOSE(CONTROL!$C$42, 78.734, 78.734) * CHOOSE(CONTROL!$C$21, $C$9, 100%, $E$9)</f>
        <v>78.733999999999995</v>
      </c>
      <c r="Q885" s="14">
        <f>CHOOSE(CONTROL!$C$42, 79.3043, 79.3043) * CHOOSE(CONTROL!$C$21, $C$9, 100%, $E$9)</f>
        <v>79.304299999999998</v>
      </c>
      <c r="R885" s="14">
        <f>CHOOSE(CONTROL!$C$42, 80.0896, 80.0896) * CHOOSE(CONTROL!$C$21, $C$9, 100%, $E$9)</f>
        <v>80.089600000000004</v>
      </c>
      <c r="S885" s="14">
        <f>CHOOSE(CONTROL!$C$42, 76.9569, 76.9569) * CHOOSE(CONTROL!$C$21, $C$9, 100%, $E$9)</f>
        <v>76.956900000000005</v>
      </c>
      <c r="T88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85" s="57">
        <f>(1000*CHOOSE(CONTROL!$C$42, 695, 695)*CHOOSE(CONTROL!$C$42, 0.5599, 0.5599)*CHOOSE(CONTROL!$C$42, 30, 30))/1000000</f>
        <v>11.673914999999997</v>
      </c>
      <c r="V885" s="57">
        <f>(1000*CHOOSE(CONTROL!$C$42, 500, 500)*CHOOSE(CONTROL!$C$42, 0.275, 0.275)*CHOOSE(CONTROL!$C$42, 30, 30))/1000000</f>
        <v>4.125</v>
      </c>
      <c r="W885" s="57">
        <f>(1000*CHOOSE(CONTROL!$C$42, 0.1146, 0.1146)*CHOOSE(CONTROL!$C$42, 121.5, 121.5)*CHOOSE(CONTROL!$C$42, 30, 30))/1000000</f>
        <v>0.417717</v>
      </c>
      <c r="X885" s="57">
        <f>(30*0.1790888*245000/1000000)+(30*0.2374*100000/1000000)</f>
        <v>2.0285026799999999</v>
      </c>
      <c r="Y885" s="57"/>
      <c r="Z885" s="14"/>
      <c r="AA885" s="56"/>
      <c r="AB885" s="50">
        <f>(B885*194.205+C885*267.466+D885*133.845+E885*53.484+F885*40+G885*185+H885*0+I885*100+J885*300)/(194.205+267.466+133.845+53.484+0+40+185+100+300)</f>
        <v>80.170115412087924</v>
      </c>
      <c r="AC885" s="45">
        <f>(M885*'RAP TEMPLATE-GAS AVAILABILITY'!O884+N885*'RAP TEMPLATE-GAS AVAILABILITY'!P884+O885*'RAP TEMPLATE-GAS AVAILABILITY'!Q884+P885*'RAP TEMPLATE-GAS AVAILABILITY'!R884)/('RAP TEMPLATE-GAS AVAILABILITY'!O884+'RAP TEMPLATE-GAS AVAILABILITY'!P884+'RAP TEMPLATE-GAS AVAILABILITY'!Q884+'RAP TEMPLATE-GAS AVAILABILITY'!R884)</f>
        <v>78.623971223021584</v>
      </c>
    </row>
    <row r="886" spans="1:29" ht="15.75" x14ac:dyDescent="0.25">
      <c r="A886" s="32">
        <v>67876</v>
      </c>
      <c r="B886" s="14">
        <f>CHOOSE(CONTROL!$C$42, 78.4716, 78.4716) * CHOOSE(CONTROL!$C$21, $C$9, 100%, $E$9)</f>
        <v>78.471599999999995</v>
      </c>
      <c r="C886" s="14">
        <f>CHOOSE(CONTROL!$C$42, 78.4769, 78.4769) * CHOOSE(CONTROL!$C$21, $C$9, 100%, $E$9)</f>
        <v>78.476900000000001</v>
      </c>
      <c r="D886" s="14">
        <f>CHOOSE(CONTROL!$C$42, 78.7025, 78.7025) * CHOOSE(CONTROL!$C$21, $C$9, 100%, $E$9)</f>
        <v>78.702500000000001</v>
      </c>
      <c r="E886" s="14">
        <f>CHOOSE(CONTROL!$C$42, 78.7316, 78.7316) * CHOOSE(CONTROL!$C$21, $C$9, 100%, $E$9)</f>
        <v>78.7316</v>
      </c>
      <c r="F886" s="14">
        <f>CHOOSE(CONTROL!$C$42, 78.501, 78.501)*CHOOSE(CONTROL!$C$21, $C$9, 100%, $E$9)</f>
        <v>78.501000000000005</v>
      </c>
      <c r="G886" s="14">
        <f>CHOOSE(CONTROL!$C$42, 78.5182, 78.5182)*CHOOSE(CONTROL!$C$21, $C$9, 100%, $E$9)</f>
        <v>78.518199999999993</v>
      </c>
      <c r="H886" s="14">
        <f>CHOOSE(CONTROL!$C$42, 78.7221, 78.7221) * CHOOSE(CONTROL!$C$21, $C$9, 100%, $E$9)</f>
        <v>78.722099999999998</v>
      </c>
      <c r="I886" s="14">
        <f>CHOOSE(CONTROL!$C$42, 78.747, 78.747)* CHOOSE(CONTROL!$C$21, $C$9, 100%, $E$9)</f>
        <v>78.747</v>
      </c>
      <c r="J886" s="14">
        <f>CHOOSE(CONTROL!$C$42, 78.494, 78.494)* CHOOSE(CONTROL!$C$21, $C$9, 100%, $E$9)</f>
        <v>78.494</v>
      </c>
      <c r="K886" s="53">
        <f>CHOOSE(CONTROL!$C$42, 78.7431, 78.7431) * CHOOSE(CONTROL!$C$21, $C$9, 100%, $E$9)</f>
        <v>78.743099999999998</v>
      </c>
      <c r="L886" s="14">
        <f>CHOOSE(CONTROL!$C$42, 79.3091, 79.3091) * CHOOSE(CONTROL!$C$21, $C$9, 100%, $E$9)</f>
        <v>79.309100000000001</v>
      </c>
      <c r="M886" s="14">
        <f>CHOOSE(CONTROL!$C$42, 76.8934, 76.8934) * CHOOSE(CONTROL!$C$21, $C$9, 100%, $E$9)</f>
        <v>76.8934</v>
      </c>
      <c r="N886" s="14">
        <f>CHOOSE(CONTROL!$C$42, 76.9103, 76.9103) * CHOOSE(CONTROL!$C$21, $C$9, 100%, $E$9)</f>
        <v>76.910300000000007</v>
      </c>
      <c r="O886" s="14">
        <f>CHOOSE(CONTROL!$C$42, 77.1168, 77.1168) * CHOOSE(CONTROL!$C$21, $C$9, 100%, $E$9)</f>
        <v>77.116799999999998</v>
      </c>
      <c r="P886" s="14">
        <f>CHOOSE(CONTROL!$C$42, 77.1364, 77.1364) * CHOOSE(CONTROL!$C$21, $C$9, 100%, $E$9)</f>
        <v>77.136399999999995</v>
      </c>
      <c r="Q886" s="14">
        <f>CHOOSE(CONTROL!$C$42, 77.7115, 77.7115) * CHOOSE(CONTROL!$C$21, $C$9, 100%, $E$9)</f>
        <v>77.711500000000001</v>
      </c>
      <c r="R886" s="14">
        <f>CHOOSE(CONTROL!$C$42, 78.4928, 78.4928) * CHOOSE(CONTROL!$C$21, $C$9, 100%, $E$9)</f>
        <v>78.492800000000003</v>
      </c>
      <c r="S886" s="14">
        <f>CHOOSE(CONTROL!$C$42, 75.3944, 75.3944) * CHOOSE(CONTROL!$C$21, $C$9, 100%, $E$9)</f>
        <v>75.394400000000005</v>
      </c>
      <c r="T88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86" s="57">
        <f>(1000*CHOOSE(CONTROL!$C$42, 695, 695)*CHOOSE(CONTROL!$C$42, 0.5599, 0.5599)*CHOOSE(CONTROL!$C$42, 31, 31))/1000000</f>
        <v>12.063045499999998</v>
      </c>
      <c r="V886" s="57">
        <f>(1000*CHOOSE(CONTROL!$C$42, 500, 500)*CHOOSE(CONTROL!$C$42, 0.275, 0.275)*CHOOSE(CONTROL!$C$42, 31, 31))/1000000</f>
        <v>4.2625000000000002</v>
      </c>
      <c r="W886" s="57">
        <f>(1000*CHOOSE(CONTROL!$C$42, 0.1146, 0.1146)*CHOOSE(CONTROL!$C$42, 121.5, 121.5)*CHOOSE(CONTROL!$C$42, 31, 31))/1000000</f>
        <v>0.43164089999999994</v>
      </c>
      <c r="X886" s="57">
        <f>(31*0.1790888*245000/1000000)+(31*0.2374*100000/1000000)</f>
        <v>2.0961194359999999</v>
      </c>
      <c r="Y886" s="57"/>
      <c r="Z886" s="14"/>
      <c r="AA886" s="56"/>
      <c r="AB886" s="50">
        <f>(B886*131.881+C886*277.167+D886*79.08+E886*125.872+F886*40+G886*185+H886*0+I886*100+J886*300)/(131.881+277.167+79.08+125.872+0+40+185+100+300)</f>
        <v>78.549495300322846</v>
      </c>
      <c r="AC886" s="45">
        <f>(M886*'RAP TEMPLATE-GAS AVAILABILITY'!O885+N886*'RAP TEMPLATE-GAS AVAILABILITY'!P885+O886*'RAP TEMPLATE-GAS AVAILABILITY'!Q885+P886*'RAP TEMPLATE-GAS AVAILABILITY'!R885)/('RAP TEMPLATE-GAS AVAILABILITY'!O885+'RAP TEMPLATE-GAS AVAILABILITY'!P885+'RAP TEMPLATE-GAS AVAILABILITY'!Q885+'RAP TEMPLATE-GAS AVAILABILITY'!R885)</f>
        <v>77.030589928057552</v>
      </c>
    </row>
    <row r="887" spans="1:29" ht="15.75" x14ac:dyDescent="0.25">
      <c r="A887" s="32">
        <v>67906</v>
      </c>
      <c r="B887" s="14">
        <f>CHOOSE(CONTROL!$C$42, 80.5382, 80.5382) * CHOOSE(CONTROL!$C$21, $C$9, 100%, $E$9)</f>
        <v>80.538200000000003</v>
      </c>
      <c r="C887" s="14">
        <f>CHOOSE(CONTROL!$C$42, 80.5433, 80.5433) * CHOOSE(CONTROL!$C$21, $C$9, 100%, $E$9)</f>
        <v>80.543300000000002</v>
      </c>
      <c r="D887" s="14">
        <f>CHOOSE(CONTROL!$C$42, 80.6175, 80.6175) * CHOOSE(CONTROL!$C$21, $C$9, 100%, $E$9)</f>
        <v>80.617500000000007</v>
      </c>
      <c r="E887" s="14">
        <f>CHOOSE(CONTROL!$C$42, 80.6516, 80.6516) * CHOOSE(CONTROL!$C$21, $C$9, 100%, $E$9)</f>
        <v>80.651600000000002</v>
      </c>
      <c r="F887" s="14">
        <f>CHOOSE(CONTROL!$C$42, 80.5743, 80.5743)*CHOOSE(CONTROL!$C$21, $C$9, 100%, $E$9)</f>
        <v>80.574299999999994</v>
      </c>
      <c r="G887" s="14">
        <f>CHOOSE(CONTROL!$C$42, 80.5918, 80.5918)*CHOOSE(CONTROL!$C$21, $C$9, 100%, $E$9)</f>
        <v>80.591800000000006</v>
      </c>
      <c r="H887" s="14">
        <f>CHOOSE(CONTROL!$C$42, 80.6408, 80.6408) * CHOOSE(CONTROL!$C$21, $C$9, 100%, $E$9)</f>
        <v>80.640799999999999</v>
      </c>
      <c r="I887" s="14">
        <f>CHOOSE(CONTROL!$C$42, 80.8179, 80.8179)* CHOOSE(CONTROL!$C$21, $C$9, 100%, $E$9)</f>
        <v>80.817899999999995</v>
      </c>
      <c r="J887" s="14">
        <f>CHOOSE(CONTROL!$C$42, 80.5673, 80.5673)* CHOOSE(CONTROL!$C$21, $C$9, 100%, $E$9)</f>
        <v>80.567300000000003</v>
      </c>
      <c r="K887" s="53">
        <f>CHOOSE(CONTROL!$C$42, 80.814, 80.814) * CHOOSE(CONTROL!$C$21, $C$9, 100%, $E$9)</f>
        <v>80.813999999999993</v>
      </c>
      <c r="L887" s="14">
        <f>CHOOSE(CONTROL!$C$42, 81.2278, 81.2278) * CHOOSE(CONTROL!$C$21, $C$9, 100%, $E$9)</f>
        <v>81.227800000000002</v>
      </c>
      <c r="M887" s="14">
        <f>CHOOSE(CONTROL!$C$42, 78.9242, 78.9242) * CHOOSE(CONTROL!$C$21, $C$9, 100%, $E$9)</f>
        <v>78.924199999999999</v>
      </c>
      <c r="N887" s="14">
        <f>CHOOSE(CONTROL!$C$42, 78.9414, 78.9414) * CHOOSE(CONTROL!$C$21, $C$9, 100%, $E$9)</f>
        <v>78.941400000000002</v>
      </c>
      <c r="O887" s="14">
        <f>CHOOSE(CONTROL!$C$42, 78.9962, 78.9962) * CHOOSE(CONTROL!$C$21, $C$9, 100%, $E$9)</f>
        <v>78.996200000000002</v>
      </c>
      <c r="P887" s="14">
        <f>CHOOSE(CONTROL!$C$42, 79.1647, 79.1647) * CHOOSE(CONTROL!$C$21, $C$9, 100%, $E$9)</f>
        <v>79.164699999999996</v>
      </c>
      <c r="Q887" s="14">
        <f>CHOOSE(CONTROL!$C$42, 79.5909, 79.5909) * CHOOSE(CONTROL!$C$21, $C$9, 100%, $E$9)</f>
        <v>79.590900000000005</v>
      </c>
      <c r="R887" s="14">
        <f>CHOOSE(CONTROL!$C$42, 80.3769, 80.3769) * CHOOSE(CONTROL!$C$21, $C$9, 100%, $E$9)</f>
        <v>80.376900000000006</v>
      </c>
      <c r="S887" s="14">
        <f>CHOOSE(CONTROL!$C$42, 77.3807, 77.3807) * CHOOSE(CONTROL!$C$21, $C$9, 100%, $E$9)</f>
        <v>77.380700000000004</v>
      </c>
      <c r="T88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87" s="57">
        <f>(1000*CHOOSE(CONTROL!$C$42, 695, 695)*CHOOSE(CONTROL!$C$42, 0.5599, 0.5599)*CHOOSE(CONTROL!$C$42, 30, 30))/1000000</f>
        <v>11.673914999999997</v>
      </c>
      <c r="V887" s="57">
        <f>(1000*CHOOSE(CONTROL!$C$42, 500, 500)*CHOOSE(CONTROL!$C$42, 0.275, 0.275)*CHOOSE(CONTROL!$C$42, 30, 30))/1000000</f>
        <v>4.125</v>
      </c>
      <c r="W887" s="57">
        <f>(1000*CHOOSE(CONTROL!$C$42, 0.1146, 0.1146)*CHOOSE(CONTROL!$C$42, 121.5, 121.5)*CHOOSE(CONTROL!$C$42, 30, 30))/1000000</f>
        <v>0.417717</v>
      </c>
      <c r="X887" s="57">
        <f>(30*0.1790888*100000/1000000)+(30*0.2374*100000/1000000)</f>
        <v>1.2494664</v>
      </c>
      <c r="Y887" s="57"/>
      <c r="Z887" s="14"/>
      <c r="AA887" s="56"/>
      <c r="AB887" s="50">
        <f>(B887*122.58+C887*297.941+D887*89.177+E887*40.302+F887*40+G887*160+H887*0+I887*100+J887*300)/(122.58+297.941+89.177+40.302+0+40+160+100+300)</f>
        <v>80.590270853913054</v>
      </c>
      <c r="AC887" s="45">
        <f>(M887*'RAP TEMPLATE-GAS AVAILABILITY'!O886+N887*'RAP TEMPLATE-GAS AVAILABILITY'!P886+O887*'RAP TEMPLATE-GAS AVAILABILITY'!Q886+P887*'RAP TEMPLATE-GAS AVAILABILITY'!R886)/('RAP TEMPLATE-GAS AVAILABILITY'!O886+'RAP TEMPLATE-GAS AVAILABILITY'!P886+'RAP TEMPLATE-GAS AVAILABILITY'!Q886+'RAP TEMPLATE-GAS AVAILABILITY'!R886)</f>
        <v>78.992427338129502</v>
      </c>
    </row>
    <row r="888" spans="1:29" ht="15.75" x14ac:dyDescent="0.25">
      <c r="A888" s="32">
        <v>67937</v>
      </c>
      <c r="B888" s="14">
        <f>CHOOSE(CONTROL!$C$42, 86.0287, 86.0287) * CHOOSE(CONTROL!$C$21, $C$9, 100%, $E$9)</f>
        <v>86.028700000000001</v>
      </c>
      <c r="C888" s="14">
        <f>CHOOSE(CONTROL!$C$42, 86.0337, 86.0337) * CHOOSE(CONTROL!$C$21, $C$9, 100%, $E$9)</f>
        <v>86.033699999999996</v>
      </c>
      <c r="D888" s="14">
        <f>CHOOSE(CONTROL!$C$42, 86.1079, 86.1079) * CHOOSE(CONTROL!$C$21, $C$9, 100%, $E$9)</f>
        <v>86.107900000000001</v>
      </c>
      <c r="E888" s="14">
        <f>CHOOSE(CONTROL!$C$42, 86.142, 86.142) * CHOOSE(CONTROL!$C$21, $C$9, 100%, $E$9)</f>
        <v>86.141999999999996</v>
      </c>
      <c r="F888" s="14">
        <f>CHOOSE(CONTROL!$C$42, 86.0671, 86.0671)*CHOOSE(CONTROL!$C$21, $C$9, 100%, $E$9)</f>
        <v>86.067099999999996</v>
      </c>
      <c r="G888" s="14">
        <f>CHOOSE(CONTROL!$C$42, 86.0852, 86.0852)*CHOOSE(CONTROL!$C$21, $C$9, 100%, $E$9)</f>
        <v>86.0852</v>
      </c>
      <c r="H888" s="14">
        <f>CHOOSE(CONTROL!$C$42, 86.1312, 86.1312) * CHOOSE(CONTROL!$C$21, $C$9, 100%, $E$9)</f>
        <v>86.131200000000007</v>
      </c>
      <c r="I888" s="14">
        <f>CHOOSE(CONTROL!$C$42, 86.3255, 86.3255)* CHOOSE(CONTROL!$C$21, $C$9, 100%, $E$9)</f>
        <v>86.325500000000005</v>
      </c>
      <c r="J888" s="14">
        <f>CHOOSE(CONTROL!$C$42, 86.0601, 86.0601)* CHOOSE(CONTROL!$C$21, $C$9, 100%, $E$9)</f>
        <v>86.060100000000006</v>
      </c>
      <c r="K888" s="53">
        <f>CHOOSE(CONTROL!$C$42, 86.3216, 86.3216) * CHOOSE(CONTROL!$C$21, $C$9, 100%, $E$9)</f>
        <v>86.321600000000004</v>
      </c>
      <c r="L888" s="14">
        <f>CHOOSE(CONTROL!$C$42, 86.7182, 86.7182) * CHOOSE(CONTROL!$C$21, $C$9, 100%, $E$9)</f>
        <v>86.718199999999996</v>
      </c>
      <c r="M888" s="14">
        <f>CHOOSE(CONTROL!$C$42, 84.3044, 84.3044) * CHOOSE(CONTROL!$C$21, $C$9, 100%, $E$9)</f>
        <v>84.304400000000001</v>
      </c>
      <c r="N888" s="14">
        <f>CHOOSE(CONTROL!$C$42, 84.3222, 84.3222) * CHOOSE(CONTROL!$C$21, $C$9, 100%, $E$9)</f>
        <v>84.322199999999995</v>
      </c>
      <c r="O888" s="14">
        <f>CHOOSE(CONTROL!$C$42, 84.3742, 84.3742) * CHOOSE(CONTROL!$C$21, $C$9, 100%, $E$9)</f>
        <v>84.374200000000002</v>
      </c>
      <c r="P888" s="14">
        <f>CHOOSE(CONTROL!$C$42, 84.5591, 84.5591) * CHOOSE(CONTROL!$C$21, $C$9, 100%, $E$9)</f>
        <v>84.559100000000001</v>
      </c>
      <c r="Q888" s="14">
        <f>CHOOSE(CONTROL!$C$42, 84.9689, 84.9689) * CHOOSE(CONTROL!$C$21, $C$9, 100%, $E$9)</f>
        <v>84.968900000000005</v>
      </c>
      <c r="R888" s="14">
        <f>CHOOSE(CONTROL!$C$42, 85.7683, 85.7683) * CHOOSE(CONTROL!$C$21, $C$9, 100%, $E$9)</f>
        <v>85.768299999999996</v>
      </c>
      <c r="S888" s="14">
        <f>CHOOSE(CONTROL!$C$42, 82.6564, 82.6564) * CHOOSE(CONTROL!$C$21, $C$9, 100%, $E$9)</f>
        <v>82.656400000000005</v>
      </c>
      <c r="T88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88" s="57">
        <f>(1000*CHOOSE(CONTROL!$C$42, 695, 695)*CHOOSE(CONTROL!$C$42, 0.5599, 0.5599)*CHOOSE(CONTROL!$C$42, 31, 31))/1000000</f>
        <v>12.063045499999998</v>
      </c>
      <c r="V888" s="57">
        <f>(1000*CHOOSE(CONTROL!$C$42, 500, 500)*CHOOSE(CONTROL!$C$42, 0.275, 0.275)*CHOOSE(CONTROL!$C$42, 31, 31))/1000000</f>
        <v>4.2625000000000002</v>
      </c>
      <c r="W888" s="57">
        <f>(1000*CHOOSE(CONTROL!$C$42, 0.1146, 0.1146)*CHOOSE(CONTROL!$C$42, 121.5, 121.5)*CHOOSE(CONTROL!$C$42, 31, 31))/1000000</f>
        <v>0.43164089999999994</v>
      </c>
      <c r="X888" s="57">
        <f>(31*0.1790888*100000/1000000)+(31*0.2374*100000/1000000)</f>
        <v>1.2911152800000001</v>
      </c>
      <c r="Y888" s="57"/>
      <c r="Z888" s="14"/>
      <c r="AA888" s="56"/>
      <c r="AB888" s="50">
        <f>(B888*122.58+C888*297.941+D888*89.177+E888*40.302+F888*40+G888*160+H888*0+I888*100+J888*300)/(122.58+297.941+89.177+40.302+0+40+160+100+300)</f>
        <v>86.083304121739118</v>
      </c>
      <c r="AC888" s="45">
        <f>(M888*'RAP TEMPLATE-GAS AVAILABILITY'!O887+N888*'RAP TEMPLATE-GAS AVAILABILITY'!P887+O888*'RAP TEMPLATE-GAS AVAILABILITY'!Q887+P888*'RAP TEMPLATE-GAS AVAILABILITY'!R887)/('RAP TEMPLATE-GAS AVAILABILITY'!O887+'RAP TEMPLATE-GAS AVAILABILITY'!P887+'RAP TEMPLATE-GAS AVAILABILITY'!Q887+'RAP TEMPLATE-GAS AVAILABILITY'!R887)</f>
        <v>84.373707913669065</v>
      </c>
    </row>
    <row r="889" spans="1:29" ht="15.75" x14ac:dyDescent="0.25">
      <c r="A889" s="32">
        <v>67968</v>
      </c>
      <c r="B889" s="14">
        <f>CHOOSE(CONTROL!$C$42, 93.1597, 93.1597) * CHOOSE(CONTROL!$C$21, $C$9, 100%, $E$9)</f>
        <v>93.159700000000001</v>
      </c>
      <c r="C889" s="14">
        <f>CHOOSE(CONTROL!$C$42, 93.1648, 93.1648) * CHOOSE(CONTROL!$C$21, $C$9, 100%, $E$9)</f>
        <v>93.1648</v>
      </c>
      <c r="D889" s="14">
        <f>CHOOSE(CONTROL!$C$42, 93.2416, 93.2416) * CHOOSE(CONTROL!$C$21, $C$9, 100%, $E$9)</f>
        <v>93.241600000000005</v>
      </c>
      <c r="E889" s="14">
        <f>CHOOSE(CONTROL!$C$42, 93.2757, 93.2757) * CHOOSE(CONTROL!$C$21, $C$9, 100%, $E$9)</f>
        <v>93.275700000000001</v>
      </c>
      <c r="F889" s="14">
        <f>CHOOSE(CONTROL!$C$42, 93.1844, 93.1844)*CHOOSE(CONTROL!$C$21, $C$9, 100%, $E$9)</f>
        <v>93.184399999999997</v>
      </c>
      <c r="G889" s="14">
        <f>CHOOSE(CONTROL!$C$42, 93.2024, 93.2024)*CHOOSE(CONTROL!$C$21, $C$9, 100%, $E$9)</f>
        <v>93.202399999999997</v>
      </c>
      <c r="H889" s="14">
        <f>CHOOSE(CONTROL!$C$42, 93.2649, 93.2649) * CHOOSE(CONTROL!$C$21, $C$9, 100%, $E$9)</f>
        <v>93.264899999999997</v>
      </c>
      <c r="I889" s="14">
        <f>CHOOSE(CONTROL!$C$42, 93.4852, 93.4852)* CHOOSE(CONTROL!$C$21, $C$9, 100%, $E$9)</f>
        <v>93.485200000000006</v>
      </c>
      <c r="J889" s="14">
        <f>CHOOSE(CONTROL!$C$42, 93.1774, 93.1774)* CHOOSE(CONTROL!$C$21, $C$9, 100%, $E$9)</f>
        <v>93.177400000000006</v>
      </c>
      <c r="K889" s="53">
        <f>CHOOSE(CONTROL!$C$42, 93.4813, 93.4813) * CHOOSE(CONTROL!$C$21, $C$9, 100%, $E$9)</f>
        <v>93.481300000000005</v>
      </c>
      <c r="L889" s="14">
        <f>CHOOSE(CONTROL!$C$42, 93.8519, 93.8519) * CHOOSE(CONTROL!$C$21, $C$9, 100%, $E$9)</f>
        <v>93.851900000000001</v>
      </c>
      <c r="M889" s="14">
        <f>CHOOSE(CONTROL!$C$42, 91.276, 91.276) * CHOOSE(CONTROL!$C$21, $C$9, 100%, $E$9)</f>
        <v>91.275999999999996</v>
      </c>
      <c r="N889" s="14">
        <f>CHOOSE(CONTROL!$C$42, 91.2936, 91.2936) * CHOOSE(CONTROL!$C$21, $C$9, 100%, $E$9)</f>
        <v>91.293599999999998</v>
      </c>
      <c r="O889" s="14">
        <f>CHOOSE(CONTROL!$C$42, 91.3616, 91.3616) * CHOOSE(CONTROL!$C$21, $C$9, 100%, $E$9)</f>
        <v>91.361599999999996</v>
      </c>
      <c r="P889" s="14">
        <f>CHOOSE(CONTROL!$C$42, 91.5716, 91.5716) * CHOOSE(CONTROL!$C$21, $C$9, 100%, $E$9)</f>
        <v>91.571600000000004</v>
      </c>
      <c r="Q889" s="14">
        <f>CHOOSE(CONTROL!$C$42, 91.9563, 91.9563) * CHOOSE(CONTROL!$C$21, $C$9, 100%, $E$9)</f>
        <v>91.956299999999999</v>
      </c>
      <c r="R889" s="14">
        <f>CHOOSE(CONTROL!$C$42, 92.7732, 92.7732) * CHOOSE(CONTROL!$C$21, $C$9, 100%, $E$9)</f>
        <v>92.773200000000003</v>
      </c>
      <c r="S889" s="14">
        <f>CHOOSE(CONTROL!$C$42, 89.5086, 89.5086) * CHOOSE(CONTROL!$C$21, $C$9, 100%, $E$9)</f>
        <v>89.508600000000001</v>
      </c>
      <c r="T88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89" s="57">
        <f>(1000*CHOOSE(CONTROL!$C$42, 695, 695)*CHOOSE(CONTROL!$C$42, 0.5599, 0.5599)*CHOOSE(CONTROL!$C$42, 31, 31))/1000000</f>
        <v>12.063045499999998</v>
      </c>
      <c r="V889" s="57">
        <f>(1000*CHOOSE(CONTROL!$C$42, 500, 500)*CHOOSE(CONTROL!$C$42, 0.275, 0.275)*CHOOSE(CONTROL!$C$42, 31, 31))/1000000</f>
        <v>4.2625000000000002</v>
      </c>
      <c r="W889" s="57">
        <f>(1000*CHOOSE(CONTROL!$C$42, 0.1146, 0.1146)*CHOOSE(CONTROL!$C$42, 121.5, 121.5)*CHOOSE(CONTROL!$C$42, 31, 31))/1000000</f>
        <v>0.43164089999999994</v>
      </c>
      <c r="X889" s="57">
        <f>(31*0.1790888*100000/1000000)+(31*0.2374*100000/1000000)</f>
        <v>1.2911152800000001</v>
      </c>
      <c r="Y889" s="57"/>
      <c r="Z889" s="14"/>
      <c r="AA889" s="56"/>
      <c r="AB889" s="50">
        <f>(B889*122.58+C889*297.941+D889*89.177+E889*40.302+F889*40+G889*160+H889*0+I889*100+J889*300)/(122.58+297.941+89.177+40.302+0+40+160+100+300)</f>
        <v>93.211159241217388</v>
      </c>
      <c r="AC889" s="45">
        <f>(M889*'RAP TEMPLATE-GAS AVAILABILITY'!O888+N889*'RAP TEMPLATE-GAS AVAILABILITY'!P888+O889*'RAP TEMPLATE-GAS AVAILABILITY'!Q888+P889*'RAP TEMPLATE-GAS AVAILABILITY'!R888)/('RAP TEMPLATE-GAS AVAILABILITY'!O888+'RAP TEMPLATE-GAS AVAILABILITY'!P888+'RAP TEMPLATE-GAS AVAILABILITY'!Q888+'RAP TEMPLATE-GAS AVAILABILITY'!R888)</f>
        <v>91.358342446043153</v>
      </c>
    </row>
    <row r="890" spans="1:29" ht="15.75" x14ac:dyDescent="0.25">
      <c r="A890" s="32">
        <v>67996</v>
      </c>
      <c r="B890" s="14">
        <f>CHOOSE(CONTROL!$C$42, 94.8179, 94.8179) * CHOOSE(CONTROL!$C$21, $C$9, 100%, $E$9)</f>
        <v>94.817899999999995</v>
      </c>
      <c r="C890" s="14">
        <f>CHOOSE(CONTROL!$C$42, 94.823, 94.823) * CHOOSE(CONTROL!$C$21, $C$9, 100%, $E$9)</f>
        <v>94.822999999999993</v>
      </c>
      <c r="D890" s="14">
        <f>CHOOSE(CONTROL!$C$42, 94.8998, 94.8998) * CHOOSE(CONTROL!$C$21, $C$9, 100%, $E$9)</f>
        <v>94.899799999999999</v>
      </c>
      <c r="E890" s="14">
        <f>CHOOSE(CONTROL!$C$42, 94.9339, 94.9339) * CHOOSE(CONTROL!$C$21, $C$9, 100%, $E$9)</f>
        <v>94.933899999999994</v>
      </c>
      <c r="F890" s="14">
        <f>CHOOSE(CONTROL!$C$42, 94.8422, 94.8422)*CHOOSE(CONTROL!$C$21, $C$9, 100%, $E$9)</f>
        <v>94.842200000000005</v>
      </c>
      <c r="G890" s="14">
        <f>CHOOSE(CONTROL!$C$42, 94.8601, 94.8601)*CHOOSE(CONTROL!$C$21, $C$9, 100%, $E$9)</f>
        <v>94.860100000000003</v>
      </c>
      <c r="H890" s="14">
        <f>CHOOSE(CONTROL!$C$42, 94.9231, 94.9231) * CHOOSE(CONTROL!$C$21, $C$9, 100%, $E$9)</f>
        <v>94.923100000000005</v>
      </c>
      <c r="I890" s="14">
        <f>CHOOSE(CONTROL!$C$42, 95.1486, 95.1486)* CHOOSE(CONTROL!$C$21, $C$9, 100%, $E$9)</f>
        <v>95.148600000000002</v>
      </c>
      <c r="J890" s="14">
        <f>CHOOSE(CONTROL!$C$42, 94.8352, 94.8352)* CHOOSE(CONTROL!$C$21, $C$9, 100%, $E$9)</f>
        <v>94.8352</v>
      </c>
      <c r="K890" s="53">
        <f>CHOOSE(CONTROL!$C$42, 95.1447, 95.1447) * CHOOSE(CONTROL!$C$21, $C$9, 100%, $E$9)</f>
        <v>95.1447</v>
      </c>
      <c r="L890" s="14">
        <f>CHOOSE(CONTROL!$C$42, 95.5101, 95.5101) * CHOOSE(CONTROL!$C$21, $C$9, 100%, $E$9)</f>
        <v>95.510099999999994</v>
      </c>
      <c r="M890" s="14">
        <f>CHOOSE(CONTROL!$C$42, 92.8998, 92.8998) * CHOOSE(CONTROL!$C$21, $C$9, 100%, $E$9)</f>
        <v>92.899799999999999</v>
      </c>
      <c r="N890" s="14">
        <f>CHOOSE(CONTROL!$C$42, 92.9173, 92.9173) * CHOOSE(CONTROL!$C$21, $C$9, 100%, $E$9)</f>
        <v>92.917299999999997</v>
      </c>
      <c r="O890" s="14">
        <f>CHOOSE(CONTROL!$C$42, 92.9859, 92.9859) * CHOOSE(CONTROL!$C$21, $C$9, 100%, $E$9)</f>
        <v>92.985900000000001</v>
      </c>
      <c r="P890" s="14">
        <f>CHOOSE(CONTROL!$C$42, 93.2009, 93.2009) * CHOOSE(CONTROL!$C$21, $C$9, 100%, $E$9)</f>
        <v>93.200900000000004</v>
      </c>
      <c r="Q890" s="14">
        <f>CHOOSE(CONTROL!$C$42, 93.5806, 93.5806) * CHOOSE(CONTROL!$C$21, $C$9, 100%, $E$9)</f>
        <v>93.580600000000004</v>
      </c>
      <c r="R890" s="14">
        <f>CHOOSE(CONTROL!$C$42, 94.4015, 94.4015) * CHOOSE(CONTROL!$C$21, $C$9, 100%, $E$9)</f>
        <v>94.401499999999999</v>
      </c>
      <c r="S890" s="14">
        <f>CHOOSE(CONTROL!$C$42, 91.102, 91.102) * CHOOSE(CONTROL!$C$21, $C$9, 100%, $E$9)</f>
        <v>91.102000000000004</v>
      </c>
      <c r="T89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90" s="57">
        <f>(1000*CHOOSE(CONTROL!$C$42, 695, 695)*CHOOSE(CONTROL!$C$42, 0.5599, 0.5599)*CHOOSE(CONTROL!$C$42, 28, 28))/1000000</f>
        <v>10.895653999999999</v>
      </c>
      <c r="V890" s="57">
        <f>(1000*CHOOSE(CONTROL!$C$42, 500, 500)*CHOOSE(CONTROL!$C$42, 0.275, 0.275)*CHOOSE(CONTROL!$C$42, 28, 28))/1000000</f>
        <v>3.85</v>
      </c>
      <c r="W890" s="57">
        <f>(1000*CHOOSE(CONTROL!$C$42, 0.1146, 0.1146)*CHOOSE(CONTROL!$C$42, 121.5, 121.5)*CHOOSE(CONTROL!$C$42, 28, 28))/1000000</f>
        <v>0.38986920000000003</v>
      </c>
      <c r="X890" s="57">
        <f>(28*0.1790888*100000/1000000)+(28*0.2374*100000/1000000)</f>
        <v>1.16616864</v>
      </c>
      <c r="Y890" s="57"/>
      <c r="Z890" s="14"/>
      <c r="AA890" s="56"/>
      <c r="AB890" s="50">
        <f>(B890*122.58+C890*297.941+D890*89.177+E890*40.302+F890*40+G890*160+H890*0+I890*100+J890*300)/(122.58+297.941+89.177+40.302+0+40+160+100+300)</f>
        <v>94.869623589043485</v>
      </c>
      <c r="AC890" s="45">
        <f>(M890*'RAP TEMPLATE-GAS AVAILABILITY'!O889+N890*'RAP TEMPLATE-GAS AVAILABILITY'!P889+O890*'RAP TEMPLATE-GAS AVAILABILITY'!Q889+P890*'RAP TEMPLATE-GAS AVAILABILITY'!R889)/('RAP TEMPLATE-GAS AVAILABILITY'!O889+'RAP TEMPLATE-GAS AVAILABILITY'!P889+'RAP TEMPLATE-GAS AVAILABILITY'!Q889+'RAP TEMPLATE-GAS AVAILABILITY'!R889)</f>
        <v>92.983154676258991</v>
      </c>
    </row>
    <row r="891" spans="1:29" ht="15.75" x14ac:dyDescent="0.25">
      <c r="A891" s="32">
        <v>68027</v>
      </c>
      <c r="B891" s="14">
        <f>CHOOSE(CONTROL!$C$42, 92.1262, 92.1262) * CHOOSE(CONTROL!$C$21, $C$9, 100%, $E$9)</f>
        <v>92.126199999999997</v>
      </c>
      <c r="C891" s="14">
        <f>CHOOSE(CONTROL!$C$42, 92.1313, 92.1313) * CHOOSE(CONTROL!$C$21, $C$9, 100%, $E$9)</f>
        <v>92.131299999999996</v>
      </c>
      <c r="D891" s="14">
        <f>CHOOSE(CONTROL!$C$42, 92.2081, 92.2081) * CHOOSE(CONTROL!$C$21, $C$9, 100%, $E$9)</f>
        <v>92.208100000000002</v>
      </c>
      <c r="E891" s="14">
        <f>CHOOSE(CONTROL!$C$42, 92.2422, 92.2422) * CHOOSE(CONTROL!$C$21, $C$9, 100%, $E$9)</f>
        <v>92.242199999999997</v>
      </c>
      <c r="F891" s="14">
        <f>CHOOSE(CONTROL!$C$42, 92.1497, 92.1497)*CHOOSE(CONTROL!$C$21, $C$9, 100%, $E$9)</f>
        <v>92.149699999999996</v>
      </c>
      <c r="G891" s="14">
        <f>CHOOSE(CONTROL!$C$42, 92.1673, 92.1673)*CHOOSE(CONTROL!$C$21, $C$9, 100%, $E$9)</f>
        <v>92.167299999999997</v>
      </c>
      <c r="H891" s="14">
        <f>CHOOSE(CONTROL!$C$42, 92.2314, 92.2314) * CHOOSE(CONTROL!$C$21, $C$9, 100%, $E$9)</f>
        <v>92.231399999999994</v>
      </c>
      <c r="I891" s="14">
        <f>CHOOSE(CONTROL!$C$42, 92.4485, 92.4485)* CHOOSE(CONTROL!$C$21, $C$9, 100%, $E$9)</f>
        <v>92.448499999999996</v>
      </c>
      <c r="J891" s="14">
        <f>CHOOSE(CONTROL!$C$42, 92.1427, 92.1427)* CHOOSE(CONTROL!$C$21, $C$9, 100%, $E$9)</f>
        <v>92.142700000000005</v>
      </c>
      <c r="K891" s="53">
        <f>CHOOSE(CONTROL!$C$42, 92.4446, 92.4446) * CHOOSE(CONTROL!$C$21, $C$9, 100%, $E$9)</f>
        <v>92.444599999999994</v>
      </c>
      <c r="L891" s="14">
        <f>CHOOSE(CONTROL!$C$42, 92.8184, 92.8184) * CHOOSE(CONTROL!$C$21, $C$9, 100%, $E$9)</f>
        <v>92.818399999999997</v>
      </c>
      <c r="M891" s="14">
        <f>CHOOSE(CONTROL!$C$42, 90.2625, 90.2625) * CHOOSE(CONTROL!$C$21, $C$9, 100%, $E$9)</f>
        <v>90.262500000000003</v>
      </c>
      <c r="N891" s="14">
        <f>CHOOSE(CONTROL!$C$42, 90.2797, 90.2797) * CHOOSE(CONTROL!$C$21, $C$9, 100%, $E$9)</f>
        <v>90.279700000000005</v>
      </c>
      <c r="O891" s="14">
        <f>CHOOSE(CONTROL!$C$42, 90.3494, 90.3494) * CHOOSE(CONTROL!$C$21, $C$9, 100%, $E$9)</f>
        <v>90.349400000000003</v>
      </c>
      <c r="P891" s="14">
        <f>CHOOSE(CONTROL!$C$42, 90.5562, 90.5562) * CHOOSE(CONTROL!$C$21, $C$9, 100%, $E$9)</f>
        <v>90.556200000000004</v>
      </c>
      <c r="Q891" s="14">
        <f>CHOOSE(CONTROL!$C$42, 90.9441, 90.9441) * CHOOSE(CONTROL!$C$21, $C$9, 100%, $E$9)</f>
        <v>90.944100000000006</v>
      </c>
      <c r="R891" s="14">
        <f>CHOOSE(CONTROL!$C$42, 91.7584, 91.7584) * CHOOSE(CONTROL!$C$21, $C$9, 100%, $E$9)</f>
        <v>91.758399999999995</v>
      </c>
      <c r="S891" s="14">
        <f>CHOOSE(CONTROL!$C$42, 88.5156, 88.5156) * CHOOSE(CONTROL!$C$21, $C$9, 100%, $E$9)</f>
        <v>88.515600000000006</v>
      </c>
      <c r="T89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91" s="57">
        <f>(1000*CHOOSE(CONTROL!$C$42, 695, 695)*CHOOSE(CONTROL!$C$42, 0.5599, 0.5599)*CHOOSE(CONTROL!$C$42, 31, 31))/1000000</f>
        <v>12.063045499999998</v>
      </c>
      <c r="V891" s="57">
        <f>(1000*CHOOSE(CONTROL!$C$42, 500, 500)*CHOOSE(CONTROL!$C$42, 0.275, 0.275)*CHOOSE(CONTROL!$C$42, 31, 31))/1000000</f>
        <v>4.2625000000000002</v>
      </c>
      <c r="W891" s="57">
        <f>(1000*CHOOSE(CONTROL!$C$42, 0.1146, 0.1146)*CHOOSE(CONTROL!$C$42, 121.5, 121.5)*CHOOSE(CONTROL!$C$42, 31, 31))/1000000</f>
        <v>0.43164089999999994</v>
      </c>
      <c r="X891" s="57">
        <f>(31*0.1790888*100000/1000000)+(31*0.2374*100000/1000000)</f>
        <v>1.2911152800000001</v>
      </c>
      <c r="Y891" s="57"/>
      <c r="Z891" s="14"/>
      <c r="AA891" s="56"/>
      <c r="AB891" s="50">
        <f>(B891*122.58+C891*297.941+D891*89.177+E891*40.302+F891*40+G891*160+H891*0+I891*100+J891*300)/(122.58+297.941+89.177+40.302+0+40+160+100+300)</f>
        <v>92.176803589043487</v>
      </c>
      <c r="AC891" s="45">
        <f>(M891*'RAP TEMPLATE-GAS AVAILABILITY'!O890+N891*'RAP TEMPLATE-GAS AVAILABILITY'!P890+O891*'RAP TEMPLATE-GAS AVAILABILITY'!Q890+P891*'RAP TEMPLATE-GAS AVAILABILITY'!R890)/('RAP TEMPLATE-GAS AVAILABILITY'!O890+'RAP TEMPLATE-GAS AVAILABILITY'!P890+'RAP TEMPLATE-GAS AVAILABILITY'!Q890+'RAP TEMPLATE-GAS AVAILABILITY'!R890)</f>
        <v>90.345135251798567</v>
      </c>
    </row>
    <row r="892" spans="1:29" ht="15.75" x14ac:dyDescent="0.25">
      <c r="A892" s="32">
        <v>68057</v>
      </c>
      <c r="B892" s="14">
        <f>CHOOSE(CONTROL!$C$42, 91.8514, 91.8514) * CHOOSE(CONTROL!$C$21, $C$9, 100%, $E$9)</f>
        <v>91.851399999999998</v>
      </c>
      <c r="C892" s="14">
        <f>CHOOSE(CONTROL!$C$42, 91.8559, 91.8559) * CHOOSE(CONTROL!$C$21, $C$9, 100%, $E$9)</f>
        <v>91.855900000000005</v>
      </c>
      <c r="D892" s="14">
        <f>CHOOSE(CONTROL!$C$42, 92.0796, 92.0796) * CHOOSE(CONTROL!$C$21, $C$9, 100%, $E$9)</f>
        <v>92.079599999999999</v>
      </c>
      <c r="E892" s="14">
        <f>CHOOSE(CONTROL!$C$42, 92.1117, 92.1117) * CHOOSE(CONTROL!$C$21, $C$9, 100%, $E$9)</f>
        <v>92.111699999999999</v>
      </c>
      <c r="F892" s="14">
        <f>CHOOSE(CONTROL!$C$42, 91.8791, 91.8791)*CHOOSE(CONTROL!$C$21, $C$9, 100%, $E$9)</f>
        <v>91.879099999999994</v>
      </c>
      <c r="G892" s="14">
        <f>CHOOSE(CONTROL!$C$42, 91.896, 91.896)*CHOOSE(CONTROL!$C$21, $C$9, 100%, $E$9)</f>
        <v>91.896000000000001</v>
      </c>
      <c r="H892" s="14">
        <f>CHOOSE(CONTROL!$C$42, 92.1015, 92.1015) * CHOOSE(CONTROL!$C$21, $C$9, 100%, $E$9)</f>
        <v>92.101500000000001</v>
      </c>
      <c r="I892" s="14">
        <f>CHOOSE(CONTROL!$C$42, 92.1684, 92.1684)* CHOOSE(CONTROL!$C$21, $C$9, 100%, $E$9)</f>
        <v>92.168400000000005</v>
      </c>
      <c r="J892" s="14">
        <f>CHOOSE(CONTROL!$C$42, 91.8721, 91.8721)* CHOOSE(CONTROL!$C$21, $C$9, 100%, $E$9)</f>
        <v>91.872100000000003</v>
      </c>
      <c r="K892" s="53">
        <f>CHOOSE(CONTROL!$C$42, 92.1645, 92.1645) * CHOOSE(CONTROL!$C$21, $C$9, 100%, $E$9)</f>
        <v>92.164500000000004</v>
      </c>
      <c r="L892" s="14">
        <f>CHOOSE(CONTROL!$C$42, 92.6885, 92.6885) * CHOOSE(CONTROL!$C$21, $C$9, 100%, $E$9)</f>
        <v>92.688500000000005</v>
      </c>
      <c r="M892" s="14">
        <f>CHOOSE(CONTROL!$C$42, 89.9974, 89.9974) * CHOOSE(CONTROL!$C$21, $C$9, 100%, $E$9)</f>
        <v>89.997399999999999</v>
      </c>
      <c r="N892" s="14">
        <f>CHOOSE(CONTROL!$C$42, 90.014, 90.014) * CHOOSE(CONTROL!$C$21, $C$9, 100%, $E$9)</f>
        <v>90.013999999999996</v>
      </c>
      <c r="O892" s="14">
        <f>CHOOSE(CONTROL!$C$42, 90.2221, 90.2221) * CHOOSE(CONTROL!$C$21, $C$9, 100%, $E$9)</f>
        <v>90.222099999999998</v>
      </c>
      <c r="P892" s="14">
        <f>CHOOSE(CONTROL!$C$42, 90.2819, 90.2819) * CHOOSE(CONTROL!$C$21, $C$9, 100%, $E$9)</f>
        <v>90.281899999999993</v>
      </c>
      <c r="Q892" s="14">
        <f>CHOOSE(CONTROL!$C$42, 90.8168, 90.8168) * CHOOSE(CONTROL!$C$21, $C$9, 100%, $E$9)</f>
        <v>90.816800000000001</v>
      </c>
      <c r="R892" s="14">
        <f>CHOOSE(CONTROL!$C$42, 91.6309, 91.6309) * CHOOSE(CONTROL!$C$21, $C$9, 100%, $E$9)</f>
        <v>91.630899999999997</v>
      </c>
      <c r="S892" s="14">
        <f>CHOOSE(CONTROL!$C$42, 88.2507, 88.2507) * CHOOSE(CONTROL!$C$21, $C$9, 100%, $E$9)</f>
        <v>88.250699999999995</v>
      </c>
      <c r="T89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92" s="57">
        <f>(1000*CHOOSE(CONTROL!$C$42, 695, 695)*CHOOSE(CONTROL!$C$42, 0.5599, 0.5599)*CHOOSE(CONTROL!$C$42, 30, 30))/1000000</f>
        <v>11.673914999999997</v>
      </c>
      <c r="V892" s="57">
        <f>(1000*CHOOSE(CONTROL!$C$42, 500, 500)*CHOOSE(CONTROL!$C$42, 0.275, 0.275)*CHOOSE(CONTROL!$C$42, 30, 30))/1000000</f>
        <v>4.125</v>
      </c>
      <c r="W892" s="57">
        <f>(1000*CHOOSE(CONTROL!$C$42, 0.1146, 0.1146)*CHOOSE(CONTROL!$C$42, 121.5, 121.5)*CHOOSE(CONTROL!$C$42, 30, 30))/1000000</f>
        <v>0.417717</v>
      </c>
      <c r="X892" s="57">
        <f>(30*0.1790888*245000/1000000)+(30*0.2374*100000/1000000)</f>
        <v>2.0285026799999999</v>
      </c>
      <c r="Y892" s="57"/>
      <c r="Z892" s="14"/>
      <c r="AA892" s="56"/>
      <c r="AB892" s="50">
        <f>(B892*141.293+C892*267.993+D892*115.016+E892*89.698+F892*40+G892*185+H892*0+I892*100+J892*300)/(141.293+267.993+115.016+89.698+0+40+185+100+300)</f>
        <v>91.930552549717518</v>
      </c>
      <c r="AC892" s="45">
        <f>(M892*'RAP TEMPLATE-GAS AVAILABILITY'!O891+N892*'RAP TEMPLATE-GAS AVAILABILITY'!P891+O892*'RAP TEMPLATE-GAS AVAILABILITY'!Q891+P892*'RAP TEMPLATE-GAS AVAILABILITY'!R891)/('RAP TEMPLATE-GAS AVAILABILITY'!O891+'RAP TEMPLATE-GAS AVAILABILITY'!P891+'RAP TEMPLATE-GAS AVAILABILITY'!Q891+'RAP TEMPLATE-GAS AVAILABILITY'!R891)</f>
        <v>90.14113309352517</v>
      </c>
    </row>
    <row r="893" spans="1:29" ht="15.75" x14ac:dyDescent="0.25">
      <c r="A893" s="32">
        <v>68088</v>
      </c>
      <c r="B893" s="14">
        <f>CHOOSE(CONTROL!$C$42, 92.6634, 92.6634) * CHOOSE(CONTROL!$C$21, $C$9, 100%, $E$9)</f>
        <v>92.663399999999996</v>
      </c>
      <c r="C893" s="14">
        <f>CHOOSE(CONTROL!$C$42, 92.6715, 92.6715) * CHOOSE(CONTROL!$C$21, $C$9, 100%, $E$9)</f>
        <v>92.671499999999995</v>
      </c>
      <c r="D893" s="14">
        <f>CHOOSE(CONTROL!$C$42, 92.892, 92.892) * CHOOSE(CONTROL!$C$21, $C$9, 100%, $E$9)</f>
        <v>92.891999999999996</v>
      </c>
      <c r="E893" s="14">
        <f>CHOOSE(CONTROL!$C$42, 92.9235, 92.9235) * CHOOSE(CONTROL!$C$21, $C$9, 100%, $E$9)</f>
        <v>92.923500000000004</v>
      </c>
      <c r="F893" s="14">
        <f>CHOOSE(CONTROL!$C$42, 92.6897, 92.6897)*CHOOSE(CONTROL!$C$21, $C$9, 100%, $E$9)</f>
        <v>92.689700000000002</v>
      </c>
      <c r="G893" s="14">
        <f>CHOOSE(CONTROL!$C$42, 92.7068, 92.7068)*CHOOSE(CONTROL!$C$21, $C$9, 100%, $E$9)</f>
        <v>92.706800000000001</v>
      </c>
      <c r="H893" s="14">
        <f>CHOOSE(CONTROL!$C$42, 92.9121, 92.9121) * CHOOSE(CONTROL!$C$21, $C$9, 100%, $E$9)</f>
        <v>92.912099999999995</v>
      </c>
      <c r="I893" s="14">
        <f>CHOOSE(CONTROL!$C$42, 92.9815, 92.9815)* CHOOSE(CONTROL!$C$21, $C$9, 100%, $E$9)</f>
        <v>92.981499999999997</v>
      </c>
      <c r="J893" s="14">
        <f>CHOOSE(CONTROL!$C$42, 92.6827, 92.6827)* CHOOSE(CONTROL!$C$21, $C$9, 100%, $E$9)</f>
        <v>92.682699999999997</v>
      </c>
      <c r="K893" s="53">
        <f>CHOOSE(CONTROL!$C$42, 92.9776, 92.9776) * CHOOSE(CONTROL!$C$21, $C$9, 100%, $E$9)</f>
        <v>92.977599999999995</v>
      </c>
      <c r="L893" s="14">
        <f>CHOOSE(CONTROL!$C$42, 93.4991, 93.4991) * CHOOSE(CONTROL!$C$21, $C$9, 100%, $E$9)</f>
        <v>93.499099999999999</v>
      </c>
      <c r="M893" s="14">
        <f>CHOOSE(CONTROL!$C$42, 90.7914, 90.7914) * CHOOSE(CONTROL!$C$21, $C$9, 100%, $E$9)</f>
        <v>90.791399999999996</v>
      </c>
      <c r="N893" s="14">
        <f>CHOOSE(CONTROL!$C$42, 90.8081, 90.8081) * CHOOSE(CONTROL!$C$21, $C$9, 100%, $E$9)</f>
        <v>90.808099999999996</v>
      </c>
      <c r="O893" s="14">
        <f>CHOOSE(CONTROL!$C$42, 91.0161, 91.0161) * CHOOSE(CONTROL!$C$21, $C$9, 100%, $E$9)</f>
        <v>91.016099999999994</v>
      </c>
      <c r="P893" s="14">
        <f>CHOOSE(CONTROL!$C$42, 91.0783, 91.0783) * CHOOSE(CONTROL!$C$21, $C$9, 100%, $E$9)</f>
        <v>91.078299999999999</v>
      </c>
      <c r="Q893" s="14">
        <f>CHOOSE(CONTROL!$C$42, 91.6108, 91.6108) * CHOOSE(CONTROL!$C$21, $C$9, 100%, $E$9)</f>
        <v>91.610799999999998</v>
      </c>
      <c r="R893" s="14">
        <f>CHOOSE(CONTROL!$C$42, 92.4268, 92.4268) * CHOOSE(CONTROL!$C$21, $C$9, 100%, $E$9)</f>
        <v>92.4268</v>
      </c>
      <c r="S893" s="14">
        <f>CHOOSE(CONTROL!$C$42, 89.0297, 89.0297) * CHOOSE(CONTROL!$C$21, $C$9, 100%, $E$9)</f>
        <v>89.029700000000005</v>
      </c>
      <c r="T89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3" s="57">
        <f>(1000*CHOOSE(CONTROL!$C$42, 695, 695)*CHOOSE(CONTROL!$C$42, 0.5599, 0.5599)*CHOOSE(CONTROL!$C$42, 31, 31))/1000000</f>
        <v>12.063045499999998</v>
      </c>
      <c r="V893" s="57">
        <f>(1000*CHOOSE(CONTROL!$C$42, 500, 500)*CHOOSE(CONTROL!$C$42, 0.275, 0.275)*CHOOSE(CONTROL!$C$42, 31, 31))/1000000</f>
        <v>4.2625000000000002</v>
      </c>
      <c r="W893" s="57">
        <f>(1000*CHOOSE(CONTROL!$C$42, 0.1146, 0.1146)*CHOOSE(CONTROL!$C$42, 121.5, 121.5)*CHOOSE(CONTROL!$C$42, 31, 31))/1000000</f>
        <v>0.43164089999999994</v>
      </c>
      <c r="X893" s="57">
        <f>(31*0.1790888*245000/1000000)+(31*0.2374*100000/1000000)</f>
        <v>2.0961194359999999</v>
      </c>
      <c r="Y893" s="57"/>
      <c r="Z893" s="14"/>
      <c r="AA893" s="56"/>
      <c r="AB893" s="50">
        <f>(B893*194.205+C893*267.466+D893*133.845+E893*53.484+F893*40+G893*185+H893*0+I893*100+J893*300)/(194.205+267.466+133.845+53.484+0+40+185+100+300)</f>
        <v>92.736677574568276</v>
      </c>
      <c r="AC893" s="45">
        <f>(M893*'RAP TEMPLATE-GAS AVAILABILITY'!O892+N893*'RAP TEMPLATE-GAS AVAILABILITY'!P892+O893*'RAP TEMPLATE-GAS AVAILABILITY'!Q892+P893*'RAP TEMPLATE-GAS AVAILABILITY'!R892)/('RAP TEMPLATE-GAS AVAILABILITY'!O892+'RAP TEMPLATE-GAS AVAILABILITY'!P892+'RAP TEMPLATE-GAS AVAILABILITY'!Q892+'RAP TEMPLATE-GAS AVAILABILITY'!R892)</f>
        <v>90.935484172661873</v>
      </c>
    </row>
    <row r="894" spans="1:29" ht="15.75" x14ac:dyDescent="0.25">
      <c r="A894" s="32">
        <v>68118</v>
      </c>
      <c r="B894" s="14">
        <f>CHOOSE(CONTROL!$C$42, 95.2916, 95.2916) * CHOOSE(CONTROL!$C$21, $C$9, 100%, $E$9)</f>
        <v>95.291600000000003</v>
      </c>
      <c r="C894" s="14">
        <f>CHOOSE(CONTROL!$C$42, 95.2996, 95.2996) * CHOOSE(CONTROL!$C$21, $C$9, 100%, $E$9)</f>
        <v>95.299599999999998</v>
      </c>
      <c r="D894" s="14">
        <f>CHOOSE(CONTROL!$C$42, 95.5202, 95.5202) * CHOOSE(CONTROL!$C$21, $C$9, 100%, $E$9)</f>
        <v>95.520200000000003</v>
      </c>
      <c r="E894" s="14">
        <f>CHOOSE(CONTROL!$C$42, 95.5517, 95.5517) * CHOOSE(CONTROL!$C$21, $C$9, 100%, $E$9)</f>
        <v>95.551699999999997</v>
      </c>
      <c r="F894" s="14">
        <f>CHOOSE(CONTROL!$C$42, 95.3182, 95.3182)*CHOOSE(CONTROL!$C$21, $C$9, 100%, $E$9)</f>
        <v>95.318200000000004</v>
      </c>
      <c r="G894" s="14">
        <f>CHOOSE(CONTROL!$C$42, 95.3354, 95.3354)*CHOOSE(CONTROL!$C$21, $C$9, 100%, $E$9)</f>
        <v>95.335400000000007</v>
      </c>
      <c r="H894" s="14">
        <f>CHOOSE(CONTROL!$C$42, 95.5403, 95.5403) * CHOOSE(CONTROL!$C$21, $C$9, 100%, $E$9)</f>
        <v>95.540300000000002</v>
      </c>
      <c r="I894" s="14">
        <f>CHOOSE(CONTROL!$C$42, 95.6179, 95.6179)* CHOOSE(CONTROL!$C$21, $C$9, 100%, $E$9)</f>
        <v>95.617900000000006</v>
      </c>
      <c r="J894" s="14">
        <f>CHOOSE(CONTROL!$C$42, 95.3112, 95.3112)* CHOOSE(CONTROL!$C$21, $C$9, 100%, $E$9)</f>
        <v>95.311199999999999</v>
      </c>
      <c r="K894" s="53">
        <f>CHOOSE(CONTROL!$C$42, 95.6141, 95.6141) * CHOOSE(CONTROL!$C$21, $C$9, 100%, $E$9)</f>
        <v>95.614099999999993</v>
      </c>
      <c r="L894" s="14">
        <f>CHOOSE(CONTROL!$C$42, 96.1273, 96.1273) * CHOOSE(CONTROL!$C$21, $C$9, 100%, $E$9)</f>
        <v>96.127300000000005</v>
      </c>
      <c r="M894" s="14">
        <f>CHOOSE(CONTROL!$C$42, 93.3661, 93.3661) * CHOOSE(CONTROL!$C$21, $C$9, 100%, $E$9)</f>
        <v>93.366100000000003</v>
      </c>
      <c r="N894" s="14">
        <f>CHOOSE(CONTROL!$C$42, 93.3829, 93.3829) * CHOOSE(CONTROL!$C$21, $C$9, 100%, $E$9)</f>
        <v>93.382900000000006</v>
      </c>
      <c r="O894" s="14">
        <f>CHOOSE(CONTROL!$C$42, 93.5905, 93.5905) * CHOOSE(CONTROL!$C$21, $C$9, 100%, $E$9)</f>
        <v>93.590500000000006</v>
      </c>
      <c r="P894" s="14">
        <f>CHOOSE(CONTROL!$C$42, 93.6606, 93.6606) * CHOOSE(CONTROL!$C$21, $C$9, 100%, $E$9)</f>
        <v>93.660600000000002</v>
      </c>
      <c r="Q894" s="14">
        <f>CHOOSE(CONTROL!$C$42, 94.1852, 94.1852) * CHOOSE(CONTROL!$C$21, $C$9, 100%, $E$9)</f>
        <v>94.185199999999995</v>
      </c>
      <c r="R894" s="14">
        <f>CHOOSE(CONTROL!$C$42, 95.0076, 95.0076) * CHOOSE(CONTROL!$C$21, $C$9, 100%, $E$9)</f>
        <v>95.007599999999996</v>
      </c>
      <c r="S894" s="14">
        <f>CHOOSE(CONTROL!$C$42, 91.5551, 91.5551) * CHOOSE(CONTROL!$C$21, $C$9, 100%, $E$9)</f>
        <v>91.555099999999996</v>
      </c>
      <c r="T89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94" s="57">
        <f>(1000*CHOOSE(CONTROL!$C$42, 695, 695)*CHOOSE(CONTROL!$C$42, 0.5599, 0.5599)*CHOOSE(CONTROL!$C$42, 30, 30))/1000000</f>
        <v>11.673914999999997</v>
      </c>
      <c r="V894" s="57">
        <f>(1000*CHOOSE(CONTROL!$C$42, 500, 500)*CHOOSE(CONTROL!$C$42, 0.275, 0.275)*CHOOSE(CONTROL!$C$42, 30, 30))/1000000</f>
        <v>4.125</v>
      </c>
      <c r="W894" s="57">
        <f>(1000*CHOOSE(CONTROL!$C$42, 0.1146, 0.1146)*CHOOSE(CONTROL!$C$42, 121.5, 121.5)*CHOOSE(CONTROL!$C$42, 30, 30))/1000000</f>
        <v>0.417717</v>
      </c>
      <c r="X894" s="57">
        <f>(30*0.1790888*245000/1000000)+(30*0.2374*100000/1000000)</f>
        <v>2.0285026799999999</v>
      </c>
      <c r="Y894" s="57"/>
      <c r="Z894" s="14"/>
      <c r="AA894" s="56"/>
      <c r="AB894" s="50">
        <f>(B894*194.205+C894*267.466+D894*133.845+E894*53.484+F894*40+G894*185+H894*0+I894*100+J894*300)/(194.205+267.466+133.845+53.484+0+40+185+100+300)</f>
        <v>95.365638370015688</v>
      </c>
      <c r="AC894" s="45">
        <f>(M894*'RAP TEMPLATE-GAS AVAILABILITY'!O893+N894*'RAP TEMPLATE-GAS AVAILABILITY'!P893+O894*'RAP TEMPLATE-GAS AVAILABILITY'!Q893+P894*'RAP TEMPLATE-GAS AVAILABILITY'!R893)/('RAP TEMPLATE-GAS AVAILABILITY'!O893+'RAP TEMPLATE-GAS AVAILABILITY'!P893+'RAP TEMPLATE-GAS AVAILABILITY'!Q893+'RAP TEMPLATE-GAS AVAILABILITY'!R893)</f>
        <v>93.51114748201438</v>
      </c>
    </row>
    <row r="895" spans="1:29" ht="15.75" x14ac:dyDescent="0.25">
      <c r="A895" s="32">
        <v>68149</v>
      </c>
      <c r="B895" s="14">
        <f>CHOOSE(CONTROL!$C$42, 93.4637, 93.4637) * CHOOSE(CONTROL!$C$21, $C$9, 100%, $E$9)</f>
        <v>93.463700000000003</v>
      </c>
      <c r="C895" s="14">
        <f>CHOOSE(CONTROL!$C$42, 93.4717, 93.4717) * CHOOSE(CONTROL!$C$21, $C$9, 100%, $E$9)</f>
        <v>93.471699999999998</v>
      </c>
      <c r="D895" s="14">
        <f>CHOOSE(CONTROL!$C$42, 93.6923, 93.6923) * CHOOSE(CONTROL!$C$21, $C$9, 100%, $E$9)</f>
        <v>93.692300000000003</v>
      </c>
      <c r="E895" s="14">
        <f>CHOOSE(CONTROL!$C$42, 93.7238, 93.7238) * CHOOSE(CONTROL!$C$21, $C$9, 100%, $E$9)</f>
        <v>93.723799999999997</v>
      </c>
      <c r="F895" s="14">
        <f>CHOOSE(CONTROL!$C$42, 93.4908, 93.4908)*CHOOSE(CONTROL!$C$21, $C$9, 100%, $E$9)</f>
        <v>93.490799999999993</v>
      </c>
      <c r="G895" s="14">
        <f>CHOOSE(CONTROL!$C$42, 93.5081, 93.5081)*CHOOSE(CONTROL!$C$21, $C$9, 100%, $E$9)</f>
        <v>93.508099999999999</v>
      </c>
      <c r="H895" s="14">
        <f>CHOOSE(CONTROL!$C$42, 93.7124, 93.7124) * CHOOSE(CONTROL!$C$21, $C$9, 100%, $E$9)</f>
        <v>93.712400000000002</v>
      </c>
      <c r="I895" s="14">
        <f>CHOOSE(CONTROL!$C$42, 93.7843, 93.7843)* CHOOSE(CONTROL!$C$21, $C$9, 100%, $E$9)</f>
        <v>93.784300000000002</v>
      </c>
      <c r="J895" s="14">
        <f>CHOOSE(CONTROL!$C$42, 93.4838, 93.4838)* CHOOSE(CONTROL!$C$21, $C$9, 100%, $E$9)</f>
        <v>93.483800000000002</v>
      </c>
      <c r="K895" s="53">
        <f>CHOOSE(CONTROL!$C$42, 93.7804, 93.7804) * CHOOSE(CONTROL!$C$21, $C$9, 100%, $E$9)</f>
        <v>93.7804</v>
      </c>
      <c r="L895" s="14">
        <f>CHOOSE(CONTROL!$C$42, 94.2994, 94.2994) * CHOOSE(CONTROL!$C$21, $C$9, 100%, $E$9)</f>
        <v>94.299400000000006</v>
      </c>
      <c r="M895" s="14">
        <f>CHOOSE(CONTROL!$C$42, 91.576, 91.576) * CHOOSE(CONTROL!$C$21, $C$9, 100%, $E$9)</f>
        <v>91.575999999999993</v>
      </c>
      <c r="N895" s="14">
        <f>CHOOSE(CONTROL!$C$42, 91.593, 91.593) * CHOOSE(CONTROL!$C$21, $C$9, 100%, $E$9)</f>
        <v>91.593000000000004</v>
      </c>
      <c r="O895" s="14">
        <f>CHOOSE(CONTROL!$C$42, 91.8, 91.8) * CHOOSE(CONTROL!$C$21, $C$9, 100%, $E$9)</f>
        <v>91.8</v>
      </c>
      <c r="P895" s="14">
        <f>CHOOSE(CONTROL!$C$42, 91.8646, 91.8646) * CHOOSE(CONTROL!$C$21, $C$9, 100%, $E$9)</f>
        <v>91.864599999999996</v>
      </c>
      <c r="Q895" s="14">
        <f>CHOOSE(CONTROL!$C$42, 92.3947, 92.3947) * CHOOSE(CONTROL!$C$21, $C$9, 100%, $E$9)</f>
        <v>92.3947</v>
      </c>
      <c r="R895" s="14">
        <f>CHOOSE(CONTROL!$C$42, 93.2127, 93.2127) * CHOOSE(CONTROL!$C$21, $C$9, 100%, $E$9)</f>
        <v>93.212699999999998</v>
      </c>
      <c r="S895" s="14">
        <f>CHOOSE(CONTROL!$C$42, 89.7986, 89.7986) * CHOOSE(CONTROL!$C$21, $C$9, 100%, $E$9)</f>
        <v>89.798599999999993</v>
      </c>
      <c r="T89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95" s="57">
        <f>(1000*CHOOSE(CONTROL!$C$42, 695, 695)*CHOOSE(CONTROL!$C$42, 0.5599, 0.5599)*CHOOSE(CONTROL!$C$42, 31, 31))/1000000</f>
        <v>12.063045499999998</v>
      </c>
      <c r="V895" s="57">
        <f>(1000*CHOOSE(CONTROL!$C$42, 500, 500)*CHOOSE(CONTROL!$C$42, 0.275, 0.275)*CHOOSE(CONTROL!$C$42, 31, 31))/1000000</f>
        <v>4.2625000000000002</v>
      </c>
      <c r="W895" s="57">
        <f>(1000*CHOOSE(CONTROL!$C$42, 0.1146, 0.1146)*CHOOSE(CONTROL!$C$42, 121.5, 121.5)*CHOOSE(CONTROL!$C$42, 31, 31))/1000000</f>
        <v>0.43164089999999994</v>
      </c>
      <c r="X895" s="57">
        <f>(31*0.1790888*245000/1000000)+(31*0.2374*100000/1000000)</f>
        <v>2.0961194359999999</v>
      </c>
      <c r="Y895" s="57"/>
      <c r="Z895" s="14"/>
      <c r="AA895" s="56"/>
      <c r="AB895" s="50">
        <f>(B895*194.205+C895*267.466+D895*133.845+E895*53.484+F895*40+G895*185+H895*0+I895*100+J895*300)/(194.205+267.466+133.845+53.484+0+40+185+100+300)</f>
        <v>93.537511525431711</v>
      </c>
      <c r="AC895" s="45">
        <f>(M895*'RAP TEMPLATE-GAS AVAILABILITY'!O894+N895*'RAP TEMPLATE-GAS AVAILABILITY'!P894+O895*'RAP TEMPLATE-GAS AVAILABILITY'!Q894+P895*'RAP TEMPLATE-GAS AVAILABILITY'!R894)/('RAP TEMPLATE-GAS AVAILABILITY'!O894+'RAP TEMPLATE-GAS AVAILABILITY'!P894+'RAP TEMPLATE-GAS AVAILABILITY'!Q894+'RAP TEMPLATE-GAS AVAILABILITY'!R894)</f>
        <v>91.72002877697841</v>
      </c>
    </row>
    <row r="896" spans="1:29" ht="15.75" x14ac:dyDescent="0.25">
      <c r="A896" s="32">
        <v>68180</v>
      </c>
      <c r="B896" s="14">
        <f>CHOOSE(CONTROL!$C$42, 88.8476, 88.8476) * CHOOSE(CONTROL!$C$21, $C$9, 100%, $E$9)</f>
        <v>88.8476</v>
      </c>
      <c r="C896" s="14">
        <f>CHOOSE(CONTROL!$C$42, 88.8556, 88.8556) * CHOOSE(CONTROL!$C$21, $C$9, 100%, $E$9)</f>
        <v>88.855599999999995</v>
      </c>
      <c r="D896" s="14">
        <f>CHOOSE(CONTROL!$C$42, 89.0762, 89.0762) * CHOOSE(CONTROL!$C$21, $C$9, 100%, $E$9)</f>
        <v>89.0762</v>
      </c>
      <c r="E896" s="14">
        <f>CHOOSE(CONTROL!$C$42, 89.1077, 89.1077) * CHOOSE(CONTROL!$C$21, $C$9, 100%, $E$9)</f>
        <v>89.107699999999994</v>
      </c>
      <c r="F896" s="14">
        <f>CHOOSE(CONTROL!$C$42, 88.875, 88.875)*CHOOSE(CONTROL!$C$21, $C$9, 100%, $E$9)</f>
        <v>88.875</v>
      </c>
      <c r="G896" s="14">
        <f>CHOOSE(CONTROL!$C$42, 88.8924, 88.8924)*CHOOSE(CONTROL!$C$21, $C$9, 100%, $E$9)</f>
        <v>88.892399999999995</v>
      </c>
      <c r="H896" s="14">
        <f>CHOOSE(CONTROL!$C$42, 89.0963, 89.0963) * CHOOSE(CONTROL!$C$21, $C$9, 100%, $E$9)</f>
        <v>89.096299999999999</v>
      </c>
      <c r="I896" s="14">
        <f>CHOOSE(CONTROL!$C$42, 89.1538, 89.1538)* CHOOSE(CONTROL!$C$21, $C$9, 100%, $E$9)</f>
        <v>89.153800000000004</v>
      </c>
      <c r="J896" s="14">
        <f>CHOOSE(CONTROL!$C$42, 88.868, 88.868)* CHOOSE(CONTROL!$C$21, $C$9, 100%, $E$9)</f>
        <v>88.867999999999995</v>
      </c>
      <c r="K896" s="53">
        <f>CHOOSE(CONTROL!$C$42, 89.1499, 89.1499) * CHOOSE(CONTROL!$C$21, $C$9, 100%, $E$9)</f>
        <v>89.149900000000002</v>
      </c>
      <c r="L896" s="14">
        <f>CHOOSE(CONTROL!$C$42, 89.6833, 89.6833) * CHOOSE(CONTROL!$C$21, $C$9, 100%, $E$9)</f>
        <v>89.683300000000003</v>
      </c>
      <c r="M896" s="14">
        <f>CHOOSE(CONTROL!$C$42, 87.0548, 87.0548) * CHOOSE(CONTROL!$C$21, $C$9, 100%, $E$9)</f>
        <v>87.0548</v>
      </c>
      <c r="N896" s="14">
        <f>CHOOSE(CONTROL!$C$42, 87.0719, 87.0719) * CHOOSE(CONTROL!$C$21, $C$9, 100%, $E$9)</f>
        <v>87.071899999999999</v>
      </c>
      <c r="O896" s="14">
        <f>CHOOSE(CONTROL!$C$42, 87.2785, 87.2785) * CHOOSE(CONTROL!$C$21, $C$9, 100%, $E$9)</f>
        <v>87.278499999999994</v>
      </c>
      <c r="P896" s="14">
        <f>CHOOSE(CONTROL!$C$42, 87.3292, 87.3292) * CHOOSE(CONTROL!$C$21, $C$9, 100%, $E$9)</f>
        <v>87.3292</v>
      </c>
      <c r="Q896" s="14">
        <f>CHOOSE(CONTROL!$C$42, 87.8732, 87.8732) * CHOOSE(CONTROL!$C$21, $C$9, 100%, $E$9)</f>
        <v>87.873199999999997</v>
      </c>
      <c r="R896" s="14">
        <f>CHOOSE(CONTROL!$C$42, 88.6799, 88.6799) * CHOOSE(CONTROL!$C$21, $C$9, 100%, $E$9)</f>
        <v>88.679900000000004</v>
      </c>
      <c r="S896" s="14">
        <f>CHOOSE(CONTROL!$C$42, 85.363, 85.363) * CHOOSE(CONTROL!$C$21, $C$9, 100%, $E$9)</f>
        <v>85.363</v>
      </c>
      <c r="T89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96" s="57">
        <f>(1000*CHOOSE(CONTROL!$C$42, 695, 695)*CHOOSE(CONTROL!$C$42, 0.5599, 0.5599)*CHOOSE(CONTROL!$C$42, 31, 31))/1000000</f>
        <v>12.063045499999998</v>
      </c>
      <c r="V896" s="57">
        <f>(1000*CHOOSE(CONTROL!$C$42, 500, 500)*CHOOSE(CONTROL!$C$42, 0.275, 0.275)*CHOOSE(CONTROL!$C$42, 31, 31))/1000000</f>
        <v>4.2625000000000002</v>
      </c>
      <c r="W896" s="57">
        <f>(1000*CHOOSE(CONTROL!$C$42, 0.1146, 0.1146)*CHOOSE(CONTROL!$C$42, 121.5, 121.5)*CHOOSE(CONTROL!$C$42, 31, 31))/1000000</f>
        <v>0.43164089999999994</v>
      </c>
      <c r="X896" s="57">
        <f>(31*0.1790888*245000/1000000)+(31*0.2374*100000/1000000)</f>
        <v>2.0961194359999999</v>
      </c>
      <c r="Y896" s="57"/>
      <c r="Z896" s="14"/>
      <c r="AA896" s="56"/>
      <c r="AB896" s="50">
        <f>(B896*194.205+C896*267.466+D896*133.845+E896*53.484+F896*40+G896*185+H896*0+I896*100+J896*300)/(194.205+267.466+133.845+53.484+0+40+185+100+300)</f>
        <v>88.92041937472527</v>
      </c>
      <c r="AC896" s="45">
        <f>(M896*'RAP TEMPLATE-GAS AVAILABILITY'!O895+N896*'RAP TEMPLATE-GAS AVAILABILITY'!P895+O896*'RAP TEMPLATE-GAS AVAILABILITY'!Q895+P896*'RAP TEMPLATE-GAS AVAILABILITY'!R895)/('RAP TEMPLATE-GAS AVAILABILITY'!O895+'RAP TEMPLATE-GAS AVAILABILITY'!P895+'RAP TEMPLATE-GAS AVAILABILITY'!Q895+'RAP TEMPLATE-GAS AVAILABILITY'!R895)</f>
        <v>87.19665539568345</v>
      </c>
    </row>
    <row r="897" spans="1:29" ht="15.75" x14ac:dyDescent="0.25">
      <c r="A897" s="32">
        <v>68210</v>
      </c>
      <c r="B897" s="14">
        <f>CHOOSE(CONTROL!$C$42, 83.2074, 83.2074) * CHOOSE(CONTROL!$C$21, $C$9, 100%, $E$9)</f>
        <v>83.207400000000007</v>
      </c>
      <c r="C897" s="14">
        <f>CHOOSE(CONTROL!$C$42, 83.2154, 83.2154) * CHOOSE(CONTROL!$C$21, $C$9, 100%, $E$9)</f>
        <v>83.215400000000002</v>
      </c>
      <c r="D897" s="14">
        <f>CHOOSE(CONTROL!$C$42, 83.436, 83.436) * CHOOSE(CONTROL!$C$21, $C$9, 100%, $E$9)</f>
        <v>83.436000000000007</v>
      </c>
      <c r="E897" s="14">
        <f>CHOOSE(CONTROL!$C$42, 83.4675, 83.4675) * CHOOSE(CONTROL!$C$21, $C$9, 100%, $E$9)</f>
        <v>83.467500000000001</v>
      </c>
      <c r="F897" s="14">
        <f>CHOOSE(CONTROL!$C$42, 83.2347, 83.2347)*CHOOSE(CONTROL!$C$21, $C$9, 100%, $E$9)</f>
        <v>83.234700000000004</v>
      </c>
      <c r="G897" s="14">
        <f>CHOOSE(CONTROL!$C$42, 83.2521, 83.2521)*CHOOSE(CONTROL!$C$21, $C$9, 100%, $E$9)</f>
        <v>83.252099999999999</v>
      </c>
      <c r="H897" s="14">
        <f>CHOOSE(CONTROL!$C$42, 83.4561, 83.4561) * CHOOSE(CONTROL!$C$21, $C$9, 100%, $E$9)</f>
        <v>83.456100000000006</v>
      </c>
      <c r="I897" s="14">
        <f>CHOOSE(CONTROL!$C$42, 83.4959, 83.4959)* CHOOSE(CONTROL!$C$21, $C$9, 100%, $E$9)</f>
        <v>83.495900000000006</v>
      </c>
      <c r="J897" s="14">
        <f>CHOOSE(CONTROL!$C$42, 83.2277, 83.2277)* CHOOSE(CONTROL!$C$21, $C$9, 100%, $E$9)</f>
        <v>83.227699999999999</v>
      </c>
      <c r="K897" s="53">
        <f>CHOOSE(CONTROL!$C$42, 83.492, 83.492) * CHOOSE(CONTROL!$C$21, $C$9, 100%, $E$9)</f>
        <v>83.492000000000004</v>
      </c>
      <c r="L897" s="14">
        <f>CHOOSE(CONTROL!$C$42, 84.0431, 84.0431) * CHOOSE(CONTROL!$C$21, $C$9, 100%, $E$9)</f>
        <v>84.043099999999995</v>
      </c>
      <c r="M897" s="14">
        <f>CHOOSE(CONTROL!$C$42, 81.5302, 81.5302) * CHOOSE(CONTROL!$C$21, $C$9, 100%, $E$9)</f>
        <v>81.530199999999994</v>
      </c>
      <c r="N897" s="14">
        <f>CHOOSE(CONTROL!$C$42, 81.5472, 81.5472) * CHOOSE(CONTROL!$C$21, $C$9, 100%, $E$9)</f>
        <v>81.547200000000004</v>
      </c>
      <c r="O897" s="14">
        <f>CHOOSE(CONTROL!$C$42, 81.7538, 81.7538) * CHOOSE(CONTROL!$C$21, $C$9, 100%, $E$9)</f>
        <v>81.753799999999998</v>
      </c>
      <c r="P897" s="14">
        <f>CHOOSE(CONTROL!$C$42, 81.7876, 81.7876) * CHOOSE(CONTROL!$C$21, $C$9, 100%, $E$9)</f>
        <v>81.787599999999998</v>
      </c>
      <c r="Q897" s="14">
        <f>CHOOSE(CONTROL!$C$42, 82.3485, 82.3485) * CHOOSE(CONTROL!$C$21, $C$9, 100%, $E$9)</f>
        <v>82.348500000000001</v>
      </c>
      <c r="R897" s="14">
        <f>CHOOSE(CONTROL!$C$42, 83.1414, 83.1414) * CHOOSE(CONTROL!$C$21, $C$9, 100%, $E$9)</f>
        <v>83.141400000000004</v>
      </c>
      <c r="S897" s="14">
        <f>CHOOSE(CONTROL!$C$42, 79.9433, 79.9433) * CHOOSE(CONTROL!$C$21, $C$9, 100%, $E$9)</f>
        <v>79.943299999999994</v>
      </c>
      <c r="T89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97" s="57">
        <f>(1000*CHOOSE(CONTROL!$C$42, 695, 695)*CHOOSE(CONTROL!$C$42, 0.5599, 0.5599)*CHOOSE(CONTROL!$C$42, 30, 30))/1000000</f>
        <v>11.673914999999997</v>
      </c>
      <c r="V897" s="57">
        <f>(1000*CHOOSE(CONTROL!$C$42, 500, 500)*CHOOSE(CONTROL!$C$42, 0.275, 0.275)*CHOOSE(CONTROL!$C$42, 30, 30))/1000000</f>
        <v>4.125</v>
      </c>
      <c r="W897" s="57">
        <f>(1000*CHOOSE(CONTROL!$C$42, 0.1146, 0.1146)*CHOOSE(CONTROL!$C$42, 121.5, 121.5)*CHOOSE(CONTROL!$C$42, 30, 30))/1000000</f>
        <v>0.417717</v>
      </c>
      <c r="X897" s="57">
        <f>(30*0.1790888*245000/1000000)+(30*0.2374*100000/1000000)</f>
        <v>2.0285026799999999</v>
      </c>
      <c r="Y897" s="57"/>
      <c r="Z897" s="14"/>
      <c r="AA897" s="56"/>
      <c r="AB897" s="50">
        <f>(B897*194.205+C897*267.466+D897*133.845+E897*53.484+F897*40+G897*185+H897*0+I897*100+J897*300)/(194.205+267.466+133.845+53.484+0+40+185+100+300)</f>
        <v>83.27878884097332</v>
      </c>
      <c r="AC897" s="45">
        <f>(M897*'RAP TEMPLATE-GAS AVAILABILITY'!O896+N897*'RAP TEMPLATE-GAS AVAILABILITY'!P896+O897*'RAP TEMPLATE-GAS AVAILABILITY'!Q896+P897*'RAP TEMPLATE-GAS AVAILABILITY'!R896)/('RAP TEMPLATE-GAS AVAILABILITY'!O896+'RAP TEMPLATE-GAS AVAILABILITY'!P896+'RAP TEMPLATE-GAS AVAILABILITY'!Q896+'RAP TEMPLATE-GAS AVAILABILITY'!R896)</f>
        <v>81.669558273381298</v>
      </c>
    </row>
    <row r="898" spans="1:29" ht="15.75" x14ac:dyDescent="0.25">
      <c r="A898" s="32">
        <v>68241</v>
      </c>
      <c r="B898" s="14">
        <f>CHOOSE(CONTROL!$C$42, 81.5164, 81.5164) * CHOOSE(CONTROL!$C$21, $C$9, 100%, $E$9)</f>
        <v>81.516400000000004</v>
      </c>
      <c r="C898" s="14">
        <f>CHOOSE(CONTROL!$C$42, 81.5217, 81.5217) * CHOOSE(CONTROL!$C$21, $C$9, 100%, $E$9)</f>
        <v>81.521699999999996</v>
      </c>
      <c r="D898" s="14">
        <f>CHOOSE(CONTROL!$C$42, 81.7473, 81.7473) * CHOOSE(CONTROL!$C$21, $C$9, 100%, $E$9)</f>
        <v>81.747299999999996</v>
      </c>
      <c r="E898" s="14">
        <f>CHOOSE(CONTROL!$C$42, 81.7764, 81.7764) * CHOOSE(CONTROL!$C$21, $C$9, 100%, $E$9)</f>
        <v>81.776399999999995</v>
      </c>
      <c r="F898" s="14">
        <f>CHOOSE(CONTROL!$C$42, 81.5458, 81.5458)*CHOOSE(CONTROL!$C$21, $C$9, 100%, $E$9)</f>
        <v>81.5458</v>
      </c>
      <c r="G898" s="14">
        <f>CHOOSE(CONTROL!$C$42, 81.563, 81.563)*CHOOSE(CONTROL!$C$21, $C$9, 100%, $E$9)</f>
        <v>81.563000000000002</v>
      </c>
      <c r="H898" s="14">
        <f>CHOOSE(CONTROL!$C$42, 81.7669, 81.7669) * CHOOSE(CONTROL!$C$21, $C$9, 100%, $E$9)</f>
        <v>81.766900000000007</v>
      </c>
      <c r="I898" s="14">
        <f>CHOOSE(CONTROL!$C$42, 81.8014, 81.8014)* CHOOSE(CONTROL!$C$21, $C$9, 100%, $E$9)</f>
        <v>81.801400000000001</v>
      </c>
      <c r="J898" s="14">
        <f>CHOOSE(CONTROL!$C$42, 81.5388, 81.5388)* CHOOSE(CONTROL!$C$21, $C$9, 100%, $E$9)</f>
        <v>81.538799999999995</v>
      </c>
      <c r="K898" s="53">
        <f>CHOOSE(CONTROL!$C$42, 81.7975, 81.7975) * CHOOSE(CONTROL!$C$21, $C$9, 100%, $E$9)</f>
        <v>81.797499999999999</v>
      </c>
      <c r="L898" s="14">
        <f>CHOOSE(CONTROL!$C$42, 82.3539, 82.3539) * CHOOSE(CONTROL!$C$21, $C$9, 100%, $E$9)</f>
        <v>82.353899999999996</v>
      </c>
      <c r="M898" s="14">
        <f>CHOOSE(CONTROL!$C$42, 79.8758, 79.8758) * CHOOSE(CONTROL!$C$21, $C$9, 100%, $E$9)</f>
        <v>79.875799999999998</v>
      </c>
      <c r="N898" s="14">
        <f>CHOOSE(CONTROL!$C$42, 79.8927, 79.8927) * CHOOSE(CONTROL!$C$21, $C$9, 100%, $E$9)</f>
        <v>79.892700000000005</v>
      </c>
      <c r="O898" s="14">
        <f>CHOOSE(CONTROL!$C$42, 80.0992, 80.0992) * CHOOSE(CONTROL!$C$21, $C$9, 100%, $E$9)</f>
        <v>80.099199999999996</v>
      </c>
      <c r="P898" s="14">
        <f>CHOOSE(CONTROL!$C$42, 80.1279, 80.1279) * CHOOSE(CONTROL!$C$21, $C$9, 100%, $E$9)</f>
        <v>80.127899999999997</v>
      </c>
      <c r="Q898" s="14">
        <f>CHOOSE(CONTROL!$C$42, 80.6939, 80.6939) * CHOOSE(CONTROL!$C$21, $C$9, 100%, $E$9)</f>
        <v>80.693899999999999</v>
      </c>
      <c r="R898" s="14">
        <f>CHOOSE(CONTROL!$C$42, 81.4827, 81.4827) * CHOOSE(CONTROL!$C$21, $C$9, 100%, $E$9)</f>
        <v>81.482699999999994</v>
      </c>
      <c r="S898" s="14">
        <f>CHOOSE(CONTROL!$C$42, 78.3202, 78.3202) * CHOOSE(CONTROL!$C$21, $C$9, 100%, $E$9)</f>
        <v>78.3202</v>
      </c>
      <c r="T89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98" s="57">
        <f>(1000*CHOOSE(CONTROL!$C$42, 695, 695)*CHOOSE(CONTROL!$C$42, 0.5599, 0.5599)*CHOOSE(CONTROL!$C$42, 31, 31))/1000000</f>
        <v>12.063045499999998</v>
      </c>
      <c r="V898" s="57">
        <f>(1000*CHOOSE(CONTROL!$C$42, 500, 500)*CHOOSE(CONTROL!$C$42, 0.275, 0.275)*CHOOSE(CONTROL!$C$42, 31, 31))/1000000</f>
        <v>4.2625000000000002</v>
      </c>
      <c r="W898" s="57">
        <f>(1000*CHOOSE(CONTROL!$C$42, 0.1146, 0.1146)*CHOOSE(CONTROL!$C$42, 121.5, 121.5)*CHOOSE(CONTROL!$C$42, 31, 31))/1000000</f>
        <v>0.43164089999999994</v>
      </c>
      <c r="X898" s="57">
        <f>(31*0.1790888*245000/1000000)+(31*0.2374*100000/1000000)</f>
        <v>2.0961194359999999</v>
      </c>
      <c r="Y898" s="57"/>
      <c r="Z898" s="14"/>
      <c r="AA898" s="56"/>
      <c r="AB898" s="50">
        <f>(B898*131.881+C898*277.167+D898*79.08+E898*125.872+F898*40+G898*185+H898*0+I898*100+J898*300)/(131.881+277.167+79.08+125.872+0+40+185+100+300)</f>
        <v>81.595070118724777</v>
      </c>
      <c r="AC898" s="45">
        <f>(M898*'RAP TEMPLATE-GAS AVAILABILITY'!O897+N898*'RAP TEMPLATE-GAS AVAILABILITY'!P897+O898*'RAP TEMPLATE-GAS AVAILABILITY'!Q897+P898*'RAP TEMPLATE-GAS AVAILABILITY'!R897)/('RAP TEMPLATE-GAS AVAILABILITY'!O897+'RAP TEMPLATE-GAS AVAILABILITY'!P897+'RAP TEMPLATE-GAS AVAILABILITY'!Q897+'RAP TEMPLATE-GAS AVAILABILITY'!R897)</f>
        <v>80.014299280575543</v>
      </c>
    </row>
    <row r="899" spans="1:29" ht="15.75" x14ac:dyDescent="0.25">
      <c r="A899" s="32">
        <v>68271</v>
      </c>
      <c r="B899" s="14">
        <f>CHOOSE(CONTROL!$C$42, 83.6633, 83.6633) * CHOOSE(CONTROL!$C$21, $C$9, 100%, $E$9)</f>
        <v>83.663300000000007</v>
      </c>
      <c r="C899" s="14">
        <f>CHOOSE(CONTROL!$C$42, 83.6683, 83.6683) * CHOOSE(CONTROL!$C$21, $C$9, 100%, $E$9)</f>
        <v>83.668300000000002</v>
      </c>
      <c r="D899" s="14">
        <f>CHOOSE(CONTROL!$C$42, 83.7426, 83.7426) * CHOOSE(CONTROL!$C$21, $C$9, 100%, $E$9)</f>
        <v>83.742599999999996</v>
      </c>
      <c r="E899" s="14">
        <f>CHOOSE(CONTROL!$C$42, 83.7767, 83.7767) * CHOOSE(CONTROL!$C$21, $C$9, 100%, $E$9)</f>
        <v>83.776700000000005</v>
      </c>
      <c r="F899" s="14">
        <f>CHOOSE(CONTROL!$C$42, 83.6993, 83.6993)*CHOOSE(CONTROL!$C$21, $C$9, 100%, $E$9)</f>
        <v>83.699299999999994</v>
      </c>
      <c r="G899" s="14">
        <f>CHOOSE(CONTROL!$C$42, 83.7169, 83.7169)*CHOOSE(CONTROL!$C$21, $C$9, 100%, $E$9)</f>
        <v>83.716899999999995</v>
      </c>
      <c r="H899" s="14">
        <f>CHOOSE(CONTROL!$C$42, 83.7659, 83.7659) * CHOOSE(CONTROL!$C$21, $C$9, 100%, $E$9)</f>
        <v>83.765900000000002</v>
      </c>
      <c r="I899" s="14">
        <f>CHOOSE(CONTROL!$C$42, 83.9528, 83.9528)* CHOOSE(CONTROL!$C$21, $C$9, 100%, $E$9)</f>
        <v>83.952799999999996</v>
      </c>
      <c r="J899" s="14">
        <f>CHOOSE(CONTROL!$C$42, 83.6923, 83.6923)* CHOOSE(CONTROL!$C$21, $C$9, 100%, $E$9)</f>
        <v>83.692300000000003</v>
      </c>
      <c r="K899" s="53">
        <f>CHOOSE(CONTROL!$C$42, 83.9489, 83.9489) * CHOOSE(CONTROL!$C$21, $C$9, 100%, $E$9)</f>
        <v>83.948899999999995</v>
      </c>
      <c r="L899" s="14">
        <f>CHOOSE(CONTROL!$C$42, 84.3529, 84.3529) * CHOOSE(CONTROL!$C$21, $C$9, 100%, $E$9)</f>
        <v>84.352900000000005</v>
      </c>
      <c r="M899" s="14">
        <f>CHOOSE(CONTROL!$C$42, 81.9852, 81.9852) * CHOOSE(CONTROL!$C$21, $C$9, 100%, $E$9)</f>
        <v>81.985200000000006</v>
      </c>
      <c r="N899" s="14">
        <f>CHOOSE(CONTROL!$C$42, 82.0024, 82.0024) * CHOOSE(CONTROL!$C$21, $C$9, 100%, $E$9)</f>
        <v>82.002399999999994</v>
      </c>
      <c r="O899" s="14">
        <f>CHOOSE(CONTROL!$C$42, 82.0573, 82.0573) * CHOOSE(CONTROL!$C$21, $C$9, 100%, $E$9)</f>
        <v>82.057299999999998</v>
      </c>
      <c r="P899" s="14">
        <f>CHOOSE(CONTROL!$C$42, 82.2351, 82.2351) * CHOOSE(CONTROL!$C$21, $C$9, 100%, $E$9)</f>
        <v>82.235100000000003</v>
      </c>
      <c r="Q899" s="14">
        <f>CHOOSE(CONTROL!$C$42, 82.652, 82.652) * CHOOSE(CONTROL!$C$21, $C$9, 100%, $E$9)</f>
        <v>82.652000000000001</v>
      </c>
      <c r="R899" s="14">
        <f>CHOOSE(CONTROL!$C$42, 83.4456, 83.4456) * CHOOSE(CONTROL!$C$21, $C$9, 100%, $E$9)</f>
        <v>83.445599999999999</v>
      </c>
      <c r="S899" s="14">
        <f>CHOOSE(CONTROL!$C$42, 80.3835, 80.3835) * CHOOSE(CONTROL!$C$21, $C$9, 100%, $E$9)</f>
        <v>80.383499999999998</v>
      </c>
      <c r="T89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99" s="57">
        <f>(1000*CHOOSE(CONTROL!$C$42, 695, 695)*CHOOSE(CONTROL!$C$42, 0.5599, 0.5599)*CHOOSE(CONTROL!$C$42, 30, 30))/1000000</f>
        <v>11.673914999999997</v>
      </c>
      <c r="V899" s="57">
        <f>(1000*CHOOSE(CONTROL!$C$42, 500, 500)*CHOOSE(CONTROL!$C$42, 0.275, 0.275)*CHOOSE(CONTROL!$C$42, 30, 30))/1000000</f>
        <v>4.125</v>
      </c>
      <c r="W899" s="57">
        <f>(1000*CHOOSE(CONTROL!$C$42, 0.1146, 0.1146)*CHOOSE(CONTROL!$C$42, 121.5, 121.5)*CHOOSE(CONTROL!$C$42, 30, 30))/1000000</f>
        <v>0.417717</v>
      </c>
      <c r="X899" s="57">
        <f>(30*0.1790888*100000/1000000)+(30*0.2374*100000/1000000)</f>
        <v>1.2494664</v>
      </c>
      <c r="Y899" s="57"/>
      <c r="Z899" s="14"/>
      <c r="AA899" s="56"/>
      <c r="AB899" s="50">
        <f>(B899*122.58+C899*297.941+D899*89.177+E899*40.302+F899*40+G899*160+H899*0+I899*100+J899*300)/(122.58+297.941+89.177+40.302+0+40+160+100+300)</f>
        <v>83.716167554695659</v>
      </c>
      <c r="AC899" s="45">
        <f>(M899*'RAP TEMPLATE-GAS AVAILABILITY'!O898+N899*'RAP TEMPLATE-GAS AVAILABILITY'!P898+O899*'RAP TEMPLATE-GAS AVAILABILITY'!Q898+P899*'RAP TEMPLATE-GAS AVAILABILITY'!R898)/('RAP TEMPLATE-GAS AVAILABILITY'!O898+'RAP TEMPLATE-GAS AVAILABILITY'!P898+'RAP TEMPLATE-GAS AVAILABILITY'!Q898+'RAP TEMPLATE-GAS AVAILABILITY'!R898)</f>
        <v>82.054825179856124</v>
      </c>
    </row>
    <row r="900" spans="1:29" ht="15.75" x14ac:dyDescent="0.25">
      <c r="A900" s="32">
        <v>68302</v>
      </c>
      <c r="B900" s="14">
        <f>CHOOSE(CONTROL!$C$42, 89.3667, 89.3667) * CHOOSE(CONTROL!$C$21, $C$9, 100%, $E$9)</f>
        <v>89.366699999999994</v>
      </c>
      <c r="C900" s="14">
        <f>CHOOSE(CONTROL!$C$42, 89.3718, 89.3718) * CHOOSE(CONTROL!$C$21, $C$9, 100%, $E$9)</f>
        <v>89.371799999999993</v>
      </c>
      <c r="D900" s="14">
        <f>CHOOSE(CONTROL!$C$42, 89.446, 89.446) * CHOOSE(CONTROL!$C$21, $C$9, 100%, $E$9)</f>
        <v>89.445999999999998</v>
      </c>
      <c r="E900" s="14">
        <f>CHOOSE(CONTROL!$C$42, 89.4801, 89.4801) * CHOOSE(CONTROL!$C$21, $C$9, 100%, $E$9)</f>
        <v>89.480099999999993</v>
      </c>
      <c r="F900" s="14">
        <f>CHOOSE(CONTROL!$C$42, 89.4052, 89.4052)*CHOOSE(CONTROL!$C$21, $C$9, 100%, $E$9)</f>
        <v>89.405199999999994</v>
      </c>
      <c r="G900" s="14">
        <f>CHOOSE(CONTROL!$C$42, 89.4233, 89.4233)*CHOOSE(CONTROL!$C$21, $C$9, 100%, $E$9)</f>
        <v>89.423299999999998</v>
      </c>
      <c r="H900" s="14">
        <f>CHOOSE(CONTROL!$C$42, 89.4693, 89.4693) * CHOOSE(CONTROL!$C$21, $C$9, 100%, $E$9)</f>
        <v>89.469300000000004</v>
      </c>
      <c r="I900" s="14">
        <f>CHOOSE(CONTROL!$C$42, 89.6741, 89.6741)* CHOOSE(CONTROL!$C$21, $C$9, 100%, $E$9)</f>
        <v>89.674099999999996</v>
      </c>
      <c r="J900" s="14">
        <f>CHOOSE(CONTROL!$C$42, 89.3982, 89.3982)* CHOOSE(CONTROL!$C$21, $C$9, 100%, $E$9)</f>
        <v>89.398200000000003</v>
      </c>
      <c r="K900" s="53">
        <f>CHOOSE(CONTROL!$C$42, 89.6702, 89.6702) * CHOOSE(CONTROL!$C$21, $C$9, 100%, $E$9)</f>
        <v>89.670199999999994</v>
      </c>
      <c r="L900" s="14">
        <f>CHOOSE(CONTROL!$C$42, 90.0563, 90.0563) * CHOOSE(CONTROL!$C$21, $C$9, 100%, $E$9)</f>
        <v>90.056299999999993</v>
      </c>
      <c r="M900" s="14">
        <f>CHOOSE(CONTROL!$C$42, 87.5741, 87.5741) * CHOOSE(CONTROL!$C$21, $C$9, 100%, $E$9)</f>
        <v>87.574100000000001</v>
      </c>
      <c r="N900" s="14">
        <f>CHOOSE(CONTROL!$C$42, 87.5919, 87.5919) * CHOOSE(CONTROL!$C$21, $C$9, 100%, $E$9)</f>
        <v>87.591899999999995</v>
      </c>
      <c r="O900" s="14">
        <f>CHOOSE(CONTROL!$C$42, 87.6439, 87.6439) * CHOOSE(CONTROL!$C$21, $C$9, 100%, $E$9)</f>
        <v>87.643900000000002</v>
      </c>
      <c r="P900" s="14">
        <f>CHOOSE(CONTROL!$C$42, 87.8389, 87.8389) * CHOOSE(CONTROL!$C$21, $C$9, 100%, $E$9)</f>
        <v>87.838899999999995</v>
      </c>
      <c r="Q900" s="14">
        <f>CHOOSE(CONTROL!$C$42, 88.2386, 88.2386) * CHOOSE(CONTROL!$C$21, $C$9, 100%, $E$9)</f>
        <v>88.238600000000005</v>
      </c>
      <c r="R900" s="14">
        <f>CHOOSE(CONTROL!$C$42, 89.0462, 89.0462) * CHOOSE(CONTROL!$C$21, $C$9, 100%, $E$9)</f>
        <v>89.046199999999999</v>
      </c>
      <c r="S900" s="14">
        <f>CHOOSE(CONTROL!$C$42, 85.864, 85.864) * CHOOSE(CONTROL!$C$21, $C$9, 100%, $E$9)</f>
        <v>85.864000000000004</v>
      </c>
      <c r="T90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00" s="57">
        <f>(1000*CHOOSE(CONTROL!$C$42, 695, 695)*CHOOSE(CONTROL!$C$42, 0.5599, 0.5599)*CHOOSE(CONTROL!$C$42, 31, 31))/1000000</f>
        <v>12.063045499999998</v>
      </c>
      <c r="V900" s="57">
        <f>(1000*CHOOSE(CONTROL!$C$42, 500, 500)*CHOOSE(CONTROL!$C$42, 0.275, 0.275)*CHOOSE(CONTROL!$C$42, 31, 31))/1000000</f>
        <v>4.2625000000000002</v>
      </c>
      <c r="W900" s="57">
        <f>(1000*CHOOSE(CONTROL!$C$42, 0.1146, 0.1146)*CHOOSE(CONTROL!$C$42, 121.5, 121.5)*CHOOSE(CONTROL!$C$42, 31, 31))/1000000</f>
        <v>0.43164089999999994</v>
      </c>
      <c r="X900" s="57">
        <f>(31*0.1790888*100000/1000000)+(31*0.2374*100000/1000000)</f>
        <v>1.2911152800000001</v>
      </c>
      <c r="Y900" s="57"/>
      <c r="Z900" s="14"/>
      <c r="AA900" s="56"/>
      <c r="AB900" s="50">
        <f>(B900*122.58+C900*297.941+D900*89.177+E900*40.302+F900*40+G900*160+H900*0+I900*100+J900*300)/(122.58+297.941+89.177+40.302+0+40+160+100+300)</f>
        <v>89.422306506086954</v>
      </c>
      <c r="AC900" s="45">
        <f>(M900*'RAP TEMPLATE-GAS AVAILABILITY'!O899+N900*'RAP TEMPLATE-GAS AVAILABILITY'!P899+O900*'RAP TEMPLATE-GAS AVAILABILITY'!Q899+P900*'RAP TEMPLATE-GAS AVAILABILITY'!R899)/('RAP TEMPLATE-GAS AVAILABILITY'!O899+'RAP TEMPLATE-GAS AVAILABILITY'!P899+'RAP TEMPLATE-GAS AVAILABILITY'!Q899+'RAP TEMPLATE-GAS AVAILABILITY'!R899)</f>
        <v>87.644861151079127</v>
      </c>
    </row>
    <row r="901" spans="1:29" ht="15.75" x14ac:dyDescent="0.25">
      <c r="A901" s="32">
        <v>68333</v>
      </c>
      <c r="B901" s="14">
        <f>CHOOSE(CONTROL!$C$42, 96.7745, 96.7745) * CHOOSE(CONTROL!$C$21, $C$9, 100%, $E$9)</f>
        <v>96.774500000000003</v>
      </c>
      <c r="C901" s="14">
        <f>CHOOSE(CONTROL!$C$42, 96.7796, 96.7796) * CHOOSE(CONTROL!$C$21, $C$9, 100%, $E$9)</f>
        <v>96.779600000000002</v>
      </c>
      <c r="D901" s="14">
        <f>CHOOSE(CONTROL!$C$42, 96.8564, 96.8564) * CHOOSE(CONTROL!$C$21, $C$9, 100%, $E$9)</f>
        <v>96.856399999999994</v>
      </c>
      <c r="E901" s="14">
        <f>CHOOSE(CONTROL!$C$42, 96.8905, 96.8905) * CHOOSE(CONTROL!$C$21, $C$9, 100%, $E$9)</f>
        <v>96.890500000000003</v>
      </c>
      <c r="F901" s="14">
        <f>CHOOSE(CONTROL!$C$42, 96.7993, 96.7993)*CHOOSE(CONTROL!$C$21, $C$9, 100%, $E$9)</f>
        <v>96.799300000000002</v>
      </c>
      <c r="G901" s="14">
        <f>CHOOSE(CONTROL!$C$42, 96.8172, 96.8172)*CHOOSE(CONTROL!$C$21, $C$9, 100%, $E$9)</f>
        <v>96.8172</v>
      </c>
      <c r="H901" s="14">
        <f>CHOOSE(CONTROL!$C$42, 96.8797, 96.8797) * CHOOSE(CONTROL!$C$21, $C$9, 100%, $E$9)</f>
        <v>96.8797</v>
      </c>
      <c r="I901" s="14">
        <f>CHOOSE(CONTROL!$C$42, 97.1113, 97.1113)* CHOOSE(CONTROL!$C$21, $C$9, 100%, $E$9)</f>
        <v>97.1113</v>
      </c>
      <c r="J901" s="14">
        <f>CHOOSE(CONTROL!$C$42, 96.7923, 96.7923)* CHOOSE(CONTROL!$C$21, $C$9, 100%, $E$9)</f>
        <v>96.792299999999997</v>
      </c>
      <c r="K901" s="53">
        <f>CHOOSE(CONTROL!$C$42, 97.1074, 97.1074) * CHOOSE(CONTROL!$C$21, $C$9, 100%, $E$9)</f>
        <v>97.107399999999998</v>
      </c>
      <c r="L901" s="14">
        <f>CHOOSE(CONTROL!$C$42, 97.4667, 97.4667) * CHOOSE(CONTROL!$C$21, $C$9, 100%, $E$9)</f>
        <v>97.466700000000003</v>
      </c>
      <c r="M901" s="14">
        <f>CHOOSE(CONTROL!$C$42, 94.8168, 94.8168) * CHOOSE(CONTROL!$C$21, $C$9, 100%, $E$9)</f>
        <v>94.816800000000001</v>
      </c>
      <c r="N901" s="14">
        <f>CHOOSE(CONTROL!$C$42, 94.8344, 94.8344) * CHOOSE(CONTROL!$C$21, $C$9, 100%, $E$9)</f>
        <v>94.834400000000002</v>
      </c>
      <c r="O901" s="14">
        <f>CHOOSE(CONTROL!$C$42, 94.9024, 94.9024) * CHOOSE(CONTROL!$C$21, $C$9, 100%, $E$9)</f>
        <v>94.9024</v>
      </c>
      <c r="P901" s="14">
        <f>CHOOSE(CONTROL!$C$42, 95.1233, 95.1233) * CHOOSE(CONTROL!$C$21, $C$9, 100%, $E$9)</f>
        <v>95.1233</v>
      </c>
      <c r="Q901" s="14">
        <f>CHOOSE(CONTROL!$C$42, 95.4971, 95.4971) * CHOOSE(CONTROL!$C$21, $C$9, 100%, $E$9)</f>
        <v>95.497100000000003</v>
      </c>
      <c r="R901" s="14">
        <f>CHOOSE(CONTROL!$C$42, 96.3229, 96.3229) * CHOOSE(CONTROL!$C$21, $C$9, 100%, $E$9)</f>
        <v>96.322900000000004</v>
      </c>
      <c r="S901" s="14">
        <f>CHOOSE(CONTROL!$C$42, 92.9821, 92.9821) * CHOOSE(CONTROL!$C$21, $C$9, 100%, $E$9)</f>
        <v>92.982100000000003</v>
      </c>
      <c r="T90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01" s="57">
        <f>(1000*CHOOSE(CONTROL!$C$42, 695, 695)*CHOOSE(CONTROL!$C$42, 0.5599, 0.5599)*CHOOSE(CONTROL!$C$42, 31, 31))/1000000</f>
        <v>12.063045499999998</v>
      </c>
      <c r="V901" s="57">
        <f>(1000*CHOOSE(CONTROL!$C$42, 500, 500)*CHOOSE(CONTROL!$C$42, 0.275, 0.275)*CHOOSE(CONTROL!$C$42, 31, 31))/1000000</f>
        <v>4.2625000000000002</v>
      </c>
      <c r="W901" s="57">
        <f>(1000*CHOOSE(CONTROL!$C$42, 0.1146, 0.1146)*CHOOSE(CONTROL!$C$42, 121.5, 121.5)*CHOOSE(CONTROL!$C$42, 31, 31))/1000000</f>
        <v>0.43164089999999994</v>
      </c>
      <c r="X901" s="57">
        <f>(31*0.1790888*100000/1000000)+(31*0.2374*100000/1000000)</f>
        <v>1.2911152800000001</v>
      </c>
      <c r="Y901" s="57"/>
      <c r="Z901" s="14"/>
      <c r="AA901" s="56"/>
      <c r="AB901" s="50">
        <f>(B901*122.58+C901*297.941+D901*89.177+E901*40.302+F901*40+G901*160+H901*0+I901*100+J901*300)/(122.58+297.941+89.177+40.302+0+40+160+100+300)</f>
        <v>96.82697141513043</v>
      </c>
      <c r="AC901" s="45">
        <f>(M901*'RAP TEMPLATE-GAS AVAILABILITY'!O900+N901*'RAP TEMPLATE-GAS AVAILABILITY'!P900+O901*'RAP TEMPLATE-GAS AVAILABILITY'!Q900+P901*'RAP TEMPLATE-GAS AVAILABILITY'!R900)/('RAP TEMPLATE-GAS AVAILABILITY'!O900+'RAP TEMPLATE-GAS AVAILABILITY'!P900+'RAP TEMPLATE-GAS AVAILABILITY'!Q900+'RAP TEMPLATE-GAS AVAILABILITY'!R900)</f>
        <v>94.900710791366919</v>
      </c>
    </row>
    <row r="902" spans="1:29" ht="15.75" x14ac:dyDescent="0.25">
      <c r="A902" s="32">
        <v>68361</v>
      </c>
      <c r="B902" s="14">
        <f>CHOOSE(CONTROL!$C$42, 98.4971, 98.4971) * CHOOSE(CONTROL!$C$21, $C$9, 100%, $E$9)</f>
        <v>98.497100000000003</v>
      </c>
      <c r="C902" s="14">
        <f>CHOOSE(CONTROL!$C$42, 98.5022, 98.5022) * CHOOSE(CONTROL!$C$21, $C$9, 100%, $E$9)</f>
        <v>98.502200000000002</v>
      </c>
      <c r="D902" s="14">
        <f>CHOOSE(CONTROL!$C$42, 98.579, 98.579) * CHOOSE(CONTROL!$C$21, $C$9, 100%, $E$9)</f>
        <v>98.578999999999994</v>
      </c>
      <c r="E902" s="14">
        <f>CHOOSE(CONTROL!$C$42, 98.6131, 98.6131) * CHOOSE(CONTROL!$C$21, $C$9, 100%, $E$9)</f>
        <v>98.613100000000003</v>
      </c>
      <c r="F902" s="14">
        <f>CHOOSE(CONTROL!$C$42, 98.5214, 98.5214)*CHOOSE(CONTROL!$C$21, $C$9, 100%, $E$9)</f>
        <v>98.5214</v>
      </c>
      <c r="G902" s="14">
        <f>CHOOSE(CONTROL!$C$42, 98.5393, 98.5393)*CHOOSE(CONTROL!$C$21, $C$9, 100%, $E$9)</f>
        <v>98.539299999999997</v>
      </c>
      <c r="H902" s="14">
        <f>CHOOSE(CONTROL!$C$42, 98.6023, 98.6023) * CHOOSE(CONTROL!$C$21, $C$9, 100%, $E$9)</f>
        <v>98.6023</v>
      </c>
      <c r="I902" s="14">
        <f>CHOOSE(CONTROL!$C$42, 98.8393, 98.8393)* CHOOSE(CONTROL!$C$21, $C$9, 100%, $E$9)</f>
        <v>98.839299999999994</v>
      </c>
      <c r="J902" s="14">
        <f>CHOOSE(CONTROL!$C$42, 98.5144, 98.5144)* CHOOSE(CONTROL!$C$21, $C$9, 100%, $E$9)</f>
        <v>98.514399999999995</v>
      </c>
      <c r="K902" s="53">
        <f>CHOOSE(CONTROL!$C$42, 98.8354, 98.8354) * CHOOSE(CONTROL!$C$21, $C$9, 100%, $E$9)</f>
        <v>98.835400000000007</v>
      </c>
      <c r="L902" s="14">
        <f>CHOOSE(CONTROL!$C$42, 99.1893, 99.1893) * CHOOSE(CONTROL!$C$21, $C$9, 100%, $E$9)</f>
        <v>99.189300000000003</v>
      </c>
      <c r="M902" s="14">
        <f>CHOOSE(CONTROL!$C$42, 96.5036, 96.5036) * CHOOSE(CONTROL!$C$21, $C$9, 100%, $E$9)</f>
        <v>96.503600000000006</v>
      </c>
      <c r="N902" s="14">
        <f>CHOOSE(CONTROL!$C$42, 96.5211, 96.5211) * CHOOSE(CONTROL!$C$21, $C$9, 100%, $E$9)</f>
        <v>96.521100000000004</v>
      </c>
      <c r="O902" s="14">
        <f>CHOOSE(CONTROL!$C$42, 96.5897, 96.5897) * CHOOSE(CONTROL!$C$21, $C$9, 100%, $E$9)</f>
        <v>96.589699999999993</v>
      </c>
      <c r="P902" s="14">
        <f>CHOOSE(CONTROL!$C$42, 96.8157, 96.8157) * CHOOSE(CONTROL!$C$21, $C$9, 100%, $E$9)</f>
        <v>96.815700000000007</v>
      </c>
      <c r="Q902" s="14">
        <f>CHOOSE(CONTROL!$C$42, 97.1844, 97.1844) * CHOOSE(CONTROL!$C$21, $C$9, 100%, $E$9)</f>
        <v>97.184399999999997</v>
      </c>
      <c r="R902" s="14">
        <f>CHOOSE(CONTROL!$C$42, 98.0143, 98.0143) * CHOOSE(CONTROL!$C$21, $C$9, 100%, $E$9)</f>
        <v>98.014300000000006</v>
      </c>
      <c r="S902" s="14">
        <f>CHOOSE(CONTROL!$C$42, 94.6373, 94.6373) * CHOOSE(CONTROL!$C$21, $C$9, 100%, $E$9)</f>
        <v>94.637299999999996</v>
      </c>
      <c r="T90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02" s="57">
        <f>(1000*CHOOSE(CONTROL!$C$42, 695, 695)*CHOOSE(CONTROL!$C$42, 0.5599, 0.5599)*CHOOSE(CONTROL!$C$42, 28, 28))/1000000</f>
        <v>10.895653999999999</v>
      </c>
      <c r="V902" s="57">
        <f>(1000*CHOOSE(CONTROL!$C$42, 500, 500)*CHOOSE(CONTROL!$C$42, 0.275, 0.275)*CHOOSE(CONTROL!$C$42, 28, 28))/1000000</f>
        <v>3.85</v>
      </c>
      <c r="W902" s="57">
        <f>(1000*CHOOSE(CONTROL!$C$42, 0.1146, 0.1146)*CHOOSE(CONTROL!$C$42, 121.5, 121.5)*CHOOSE(CONTROL!$C$42, 28, 28))/1000000</f>
        <v>0.38986920000000003</v>
      </c>
      <c r="X902" s="57">
        <f>(28*0.1790888*100000/1000000)+(28*0.2374*100000/1000000)</f>
        <v>1.16616864</v>
      </c>
      <c r="Y902" s="57"/>
      <c r="Z902" s="14"/>
      <c r="AA902" s="56"/>
      <c r="AB902" s="50">
        <f>(B902*122.58+C902*297.941+D902*89.177+E902*40.302+F902*40+G902*160+H902*0+I902*100+J902*300)/(122.58+297.941+89.177+40.302+0+40+160+100+300)</f>
        <v>98.549823589043484</v>
      </c>
      <c r="AC902" s="45">
        <f>(M902*'RAP TEMPLATE-GAS AVAILABILITY'!O901+N902*'RAP TEMPLATE-GAS AVAILABILITY'!P901+O902*'RAP TEMPLATE-GAS AVAILABILITY'!Q901+P902*'RAP TEMPLATE-GAS AVAILABILITY'!R901)/('RAP TEMPLATE-GAS AVAILABILITY'!O901+'RAP TEMPLATE-GAS AVAILABILITY'!P901+'RAP TEMPLATE-GAS AVAILABILITY'!Q901+'RAP TEMPLATE-GAS AVAILABILITY'!R901)</f>
        <v>96.58853741007195</v>
      </c>
    </row>
    <row r="903" spans="1:29" ht="15.75" x14ac:dyDescent="0.25">
      <c r="A903" s="32">
        <v>68392</v>
      </c>
      <c r="B903" s="14">
        <f>CHOOSE(CONTROL!$C$42, 95.701, 95.701) * CHOOSE(CONTROL!$C$21, $C$9, 100%, $E$9)</f>
        <v>95.700999999999993</v>
      </c>
      <c r="C903" s="14">
        <f>CHOOSE(CONTROL!$C$42, 95.706, 95.706) * CHOOSE(CONTROL!$C$21, $C$9, 100%, $E$9)</f>
        <v>95.706000000000003</v>
      </c>
      <c r="D903" s="14">
        <f>CHOOSE(CONTROL!$C$42, 95.7828, 95.7828) * CHOOSE(CONTROL!$C$21, $C$9, 100%, $E$9)</f>
        <v>95.782799999999995</v>
      </c>
      <c r="E903" s="14">
        <f>CHOOSE(CONTROL!$C$42, 95.8169, 95.8169) * CHOOSE(CONTROL!$C$21, $C$9, 100%, $E$9)</f>
        <v>95.816900000000004</v>
      </c>
      <c r="F903" s="14">
        <f>CHOOSE(CONTROL!$C$42, 95.7244, 95.7244)*CHOOSE(CONTROL!$C$21, $C$9, 100%, $E$9)</f>
        <v>95.724400000000003</v>
      </c>
      <c r="G903" s="14">
        <f>CHOOSE(CONTROL!$C$42, 95.7421, 95.7421)*CHOOSE(CONTROL!$C$21, $C$9, 100%, $E$9)</f>
        <v>95.742099999999994</v>
      </c>
      <c r="H903" s="14">
        <f>CHOOSE(CONTROL!$C$42, 95.8061, 95.8061) * CHOOSE(CONTROL!$C$21, $C$9, 100%, $E$9)</f>
        <v>95.806100000000001</v>
      </c>
      <c r="I903" s="14">
        <f>CHOOSE(CONTROL!$C$42, 96.0344, 96.0344)* CHOOSE(CONTROL!$C$21, $C$9, 100%, $E$9)</f>
        <v>96.034400000000005</v>
      </c>
      <c r="J903" s="14">
        <f>CHOOSE(CONTROL!$C$42, 95.7174, 95.7174)* CHOOSE(CONTROL!$C$21, $C$9, 100%, $E$9)</f>
        <v>95.717399999999998</v>
      </c>
      <c r="K903" s="53">
        <f>CHOOSE(CONTROL!$C$42, 96.0305, 96.0305) * CHOOSE(CONTROL!$C$21, $C$9, 100%, $E$9)</f>
        <v>96.030500000000004</v>
      </c>
      <c r="L903" s="14">
        <f>CHOOSE(CONTROL!$C$42, 96.3931, 96.3931) * CHOOSE(CONTROL!$C$21, $C$9, 100%, $E$9)</f>
        <v>96.393100000000004</v>
      </c>
      <c r="M903" s="14">
        <f>CHOOSE(CONTROL!$C$42, 93.7639, 93.7639) * CHOOSE(CONTROL!$C$21, $C$9, 100%, $E$9)</f>
        <v>93.763900000000007</v>
      </c>
      <c r="N903" s="14">
        <f>CHOOSE(CONTROL!$C$42, 93.7812, 93.7812) * CHOOSE(CONTROL!$C$21, $C$9, 100%, $E$9)</f>
        <v>93.781199999999998</v>
      </c>
      <c r="O903" s="14">
        <f>CHOOSE(CONTROL!$C$42, 93.8508, 93.8508) * CHOOSE(CONTROL!$C$21, $C$9, 100%, $E$9)</f>
        <v>93.850800000000007</v>
      </c>
      <c r="P903" s="14">
        <f>CHOOSE(CONTROL!$C$42, 94.0685, 94.0685) * CHOOSE(CONTROL!$C$21, $C$9, 100%, $E$9)</f>
        <v>94.0685</v>
      </c>
      <c r="Q903" s="14">
        <f>CHOOSE(CONTROL!$C$42, 94.4455, 94.4455) * CHOOSE(CONTROL!$C$21, $C$9, 100%, $E$9)</f>
        <v>94.445499999999996</v>
      </c>
      <c r="R903" s="14">
        <f>CHOOSE(CONTROL!$C$42, 95.2686, 95.2686) * CHOOSE(CONTROL!$C$21, $C$9, 100%, $E$9)</f>
        <v>95.268600000000006</v>
      </c>
      <c r="S903" s="14">
        <f>CHOOSE(CONTROL!$C$42, 91.9505, 91.9505) * CHOOSE(CONTROL!$C$21, $C$9, 100%, $E$9)</f>
        <v>91.950500000000005</v>
      </c>
      <c r="T90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03" s="57">
        <f>(1000*CHOOSE(CONTROL!$C$42, 695, 695)*CHOOSE(CONTROL!$C$42, 0.5599, 0.5599)*CHOOSE(CONTROL!$C$42, 31, 31))/1000000</f>
        <v>12.063045499999998</v>
      </c>
      <c r="V903" s="57">
        <f>(1000*CHOOSE(CONTROL!$C$42, 500, 500)*CHOOSE(CONTROL!$C$42, 0.275, 0.275)*CHOOSE(CONTROL!$C$42, 31, 31))/1000000</f>
        <v>4.2625000000000002</v>
      </c>
      <c r="W903" s="57">
        <f>(1000*CHOOSE(CONTROL!$C$42, 0.1146, 0.1146)*CHOOSE(CONTROL!$C$42, 121.5, 121.5)*CHOOSE(CONTROL!$C$42, 31, 31))/1000000</f>
        <v>0.43164089999999994</v>
      </c>
      <c r="X903" s="57">
        <f>(31*0.1790888*100000/1000000)+(31*0.2374*100000/1000000)</f>
        <v>1.2911152800000001</v>
      </c>
      <c r="Y903" s="57"/>
      <c r="Z903" s="14"/>
      <c r="AA903" s="56"/>
      <c r="AB903" s="50">
        <f>(B903*122.58+C903*297.941+D903*89.177+E903*40.302+F903*40+G903*160+H903*0+I903*100+J903*300)/(122.58+297.941+89.177+40.302+0+40+160+100+300)</f>
        <v>95.752502074260875</v>
      </c>
      <c r="AC903" s="45">
        <f>(M903*'RAP TEMPLATE-GAS AVAILABILITY'!O902+N903*'RAP TEMPLATE-GAS AVAILABILITY'!P902+O903*'RAP TEMPLATE-GAS AVAILABILITY'!Q902+P903*'RAP TEMPLATE-GAS AVAILABILITY'!R902)/('RAP TEMPLATE-GAS AVAILABILITY'!O902+'RAP TEMPLATE-GAS AVAILABILITY'!P902+'RAP TEMPLATE-GAS AVAILABILITY'!Q902+'RAP TEMPLATE-GAS AVAILABILITY'!R902)</f>
        <v>93.848109352517994</v>
      </c>
    </row>
    <row r="904" spans="1:29" ht="15.75" x14ac:dyDescent="0.25">
      <c r="A904" s="32">
        <v>68422</v>
      </c>
      <c r="B904" s="14">
        <f>CHOOSE(CONTROL!$C$42, 95.4154, 95.4154) * CHOOSE(CONTROL!$C$21, $C$9, 100%, $E$9)</f>
        <v>95.415400000000005</v>
      </c>
      <c r="C904" s="14">
        <f>CHOOSE(CONTROL!$C$42, 95.4199, 95.4199) * CHOOSE(CONTROL!$C$21, $C$9, 100%, $E$9)</f>
        <v>95.419899999999998</v>
      </c>
      <c r="D904" s="14">
        <f>CHOOSE(CONTROL!$C$42, 95.6437, 95.6437) * CHOOSE(CONTROL!$C$21, $C$9, 100%, $E$9)</f>
        <v>95.643699999999995</v>
      </c>
      <c r="E904" s="14">
        <f>CHOOSE(CONTROL!$C$42, 95.6758, 95.6758) * CHOOSE(CONTROL!$C$21, $C$9, 100%, $E$9)</f>
        <v>95.675799999999995</v>
      </c>
      <c r="F904" s="14">
        <f>CHOOSE(CONTROL!$C$42, 95.4431, 95.4431)*CHOOSE(CONTROL!$C$21, $C$9, 100%, $E$9)</f>
        <v>95.443100000000001</v>
      </c>
      <c r="G904" s="14">
        <f>CHOOSE(CONTROL!$C$42, 95.46, 95.46)*CHOOSE(CONTROL!$C$21, $C$9, 100%, $E$9)</f>
        <v>95.46</v>
      </c>
      <c r="H904" s="14">
        <f>CHOOSE(CONTROL!$C$42, 95.6655, 95.6655) * CHOOSE(CONTROL!$C$21, $C$9, 100%, $E$9)</f>
        <v>95.665499999999994</v>
      </c>
      <c r="I904" s="14">
        <f>CHOOSE(CONTROL!$C$42, 95.7436, 95.7436)* CHOOSE(CONTROL!$C$21, $C$9, 100%, $E$9)</f>
        <v>95.743600000000001</v>
      </c>
      <c r="J904" s="14">
        <f>CHOOSE(CONTROL!$C$42, 95.4361, 95.4361)* CHOOSE(CONTROL!$C$21, $C$9, 100%, $E$9)</f>
        <v>95.436099999999996</v>
      </c>
      <c r="K904" s="53">
        <f>CHOOSE(CONTROL!$C$42, 95.7397, 95.7397) * CHOOSE(CONTROL!$C$21, $C$9, 100%, $E$9)</f>
        <v>95.739699999999999</v>
      </c>
      <c r="L904" s="14">
        <f>CHOOSE(CONTROL!$C$42, 96.2525, 96.2525) * CHOOSE(CONTROL!$C$21, $C$9, 100%, $E$9)</f>
        <v>96.252499999999998</v>
      </c>
      <c r="M904" s="14">
        <f>CHOOSE(CONTROL!$C$42, 93.4884, 93.4884) * CHOOSE(CONTROL!$C$21, $C$9, 100%, $E$9)</f>
        <v>93.488399999999999</v>
      </c>
      <c r="N904" s="14">
        <f>CHOOSE(CONTROL!$C$42, 93.505, 93.505) * CHOOSE(CONTROL!$C$21, $C$9, 100%, $E$9)</f>
        <v>93.504999999999995</v>
      </c>
      <c r="O904" s="14">
        <f>CHOOSE(CONTROL!$C$42, 93.7131, 93.7131) * CHOOSE(CONTROL!$C$21, $C$9, 100%, $E$9)</f>
        <v>93.713099999999997</v>
      </c>
      <c r="P904" s="14">
        <f>CHOOSE(CONTROL!$C$42, 93.7836, 93.7836) * CHOOSE(CONTROL!$C$21, $C$9, 100%, $E$9)</f>
        <v>93.783600000000007</v>
      </c>
      <c r="Q904" s="14">
        <f>CHOOSE(CONTROL!$C$42, 94.3078, 94.3078) * CHOOSE(CONTROL!$C$21, $C$9, 100%, $E$9)</f>
        <v>94.3078</v>
      </c>
      <c r="R904" s="14">
        <f>CHOOSE(CONTROL!$C$42, 95.1306, 95.1306) * CHOOSE(CONTROL!$C$21, $C$9, 100%, $E$9)</f>
        <v>95.130600000000001</v>
      </c>
      <c r="S904" s="14">
        <f>CHOOSE(CONTROL!$C$42, 91.6754, 91.6754) * CHOOSE(CONTROL!$C$21, $C$9, 100%, $E$9)</f>
        <v>91.675399999999996</v>
      </c>
      <c r="T90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04" s="57">
        <f>(1000*CHOOSE(CONTROL!$C$42, 695, 695)*CHOOSE(CONTROL!$C$42, 0.5599, 0.5599)*CHOOSE(CONTROL!$C$42, 30, 30))/1000000</f>
        <v>11.673914999999997</v>
      </c>
      <c r="V904" s="57">
        <f>(1000*CHOOSE(CONTROL!$C$42, 500, 500)*CHOOSE(CONTROL!$C$42, 0.275, 0.275)*CHOOSE(CONTROL!$C$42, 30, 30))/1000000</f>
        <v>4.125</v>
      </c>
      <c r="W904" s="57">
        <f>(1000*CHOOSE(CONTROL!$C$42, 0.1146, 0.1146)*CHOOSE(CONTROL!$C$42, 121.5, 121.5)*CHOOSE(CONTROL!$C$42, 30, 30))/1000000</f>
        <v>0.417717</v>
      </c>
      <c r="X904" s="57">
        <f>(30*0.1790888*245000/1000000)+(30*0.2374*100000/1000000)</f>
        <v>2.0285026799999999</v>
      </c>
      <c r="Y904" s="57"/>
      <c r="Z904" s="14"/>
      <c r="AA904" s="56"/>
      <c r="AB904" s="50">
        <f>(B904*141.293+C904*267.993+D904*115.016+E904*89.698+F904*40+G904*185+H904*0+I904*100+J904*300)/(141.293+267.993+115.016+89.698+0+40+185+100+300)</f>
        <v>95.495473027037932</v>
      </c>
      <c r="AC904" s="45">
        <f>(M904*'RAP TEMPLATE-GAS AVAILABILITY'!O903+N904*'RAP TEMPLATE-GAS AVAILABILITY'!P903+O904*'RAP TEMPLATE-GAS AVAILABILITY'!Q903+P904*'RAP TEMPLATE-GAS AVAILABILITY'!R903)/('RAP TEMPLATE-GAS AVAILABILITY'!O903+'RAP TEMPLATE-GAS AVAILABILITY'!P903+'RAP TEMPLATE-GAS AVAILABILITY'!Q903+'RAP TEMPLATE-GAS AVAILABILITY'!R903)</f>
        <v>93.633672661870492</v>
      </c>
    </row>
    <row r="905" spans="1:29" ht="15.75" x14ac:dyDescent="0.25">
      <c r="A905" s="32">
        <v>68453</v>
      </c>
      <c r="B905" s="14">
        <f>CHOOSE(CONTROL!$C$42, 96.2589, 96.2589) * CHOOSE(CONTROL!$C$21, $C$9, 100%, $E$9)</f>
        <v>96.258899999999997</v>
      </c>
      <c r="C905" s="14">
        <f>CHOOSE(CONTROL!$C$42, 96.2669, 96.2669) * CHOOSE(CONTROL!$C$21, $C$9, 100%, $E$9)</f>
        <v>96.266900000000007</v>
      </c>
      <c r="D905" s="14">
        <f>CHOOSE(CONTROL!$C$42, 96.4875, 96.4875) * CHOOSE(CONTROL!$C$21, $C$9, 100%, $E$9)</f>
        <v>96.487499999999997</v>
      </c>
      <c r="E905" s="14">
        <f>CHOOSE(CONTROL!$C$42, 96.519, 96.519) * CHOOSE(CONTROL!$C$21, $C$9, 100%, $E$9)</f>
        <v>96.519000000000005</v>
      </c>
      <c r="F905" s="14">
        <f>CHOOSE(CONTROL!$C$42, 96.2852, 96.2852)*CHOOSE(CONTROL!$C$21, $C$9, 100%, $E$9)</f>
        <v>96.285200000000003</v>
      </c>
      <c r="G905" s="14">
        <f>CHOOSE(CONTROL!$C$42, 96.3023, 96.3023)*CHOOSE(CONTROL!$C$21, $C$9, 100%, $E$9)</f>
        <v>96.302300000000002</v>
      </c>
      <c r="H905" s="14">
        <f>CHOOSE(CONTROL!$C$42, 96.5076, 96.5076) * CHOOSE(CONTROL!$C$21, $C$9, 100%, $E$9)</f>
        <v>96.507599999999996</v>
      </c>
      <c r="I905" s="14">
        <f>CHOOSE(CONTROL!$C$42, 96.5883, 96.5883)* CHOOSE(CONTROL!$C$21, $C$9, 100%, $E$9)</f>
        <v>96.588300000000004</v>
      </c>
      <c r="J905" s="14">
        <f>CHOOSE(CONTROL!$C$42, 96.2782, 96.2782)* CHOOSE(CONTROL!$C$21, $C$9, 100%, $E$9)</f>
        <v>96.278199999999998</v>
      </c>
      <c r="K905" s="53">
        <f>CHOOSE(CONTROL!$C$42, 96.5844, 96.5844) * CHOOSE(CONTROL!$C$21, $C$9, 100%, $E$9)</f>
        <v>96.584400000000002</v>
      </c>
      <c r="L905" s="14">
        <f>CHOOSE(CONTROL!$C$42, 97.0946, 97.0946) * CHOOSE(CONTROL!$C$21, $C$9, 100%, $E$9)</f>
        <v>97.0946</v>
      </c>
      <c r="M905" s="14">
        <f>CHOOSE(CONTROL!$C$42, 94.3132, 94.3132) * CHOOSE(CONTROL!$C$21, $C$9, 100%, $E$9)</f>
        <v>94.313199999999995</v>
      </c>
      <c r="N905" s="14">
        <f>CHOOSE(CONTROL!$C$42, 94.33, 94.33) * CHOOSE(CONTROL!$C$21, $C$9, 100%, $E$9)</f>
        <v>94.33</v>
      </c>
      <c r="O905" s="14">
        <f>CHOOSE(CONTROL!$C$42, 94.5379, 94.5379) * CHOOSE(CONTROL!$C$21, $C$9, 100%, $E$9)</f>
        <v>94.537899999999993</v>
      </c>
      <c r="P905" s="14">
        <f>CHOOSE(CONTROL!$C$42, 94.6109, 94.6109) * CHOOSE(CONTROL!$C$21, $C$9, 100%, $E$9)</f>
        <v>94.610900000000001</v>
      </c>
      <c r="Q905" s="14">
        <f>CHOOSE(CONTROL!$C$42, 95.1326, 95.1326) * CHOOSE(CONTROL!$C$21, $C$9, 100%, $E$9)</f>
        <v>95.132599999999996</v>
      </c>
      <c r="R905" s="14">
        <f>CHOOSE(CONTROL!$C$42, 95.9575, 95.9575) * CHOOSE(CONTROL!$C$21, $C$9, 100%, $E$9)</f>
        <v>95.957499999999996</v>
      </c>
      <c r="S905" s="14">
        <f>CHOOSE(CONTROL!$C$42, 92.4845, 92.4845) * CHOOSE(CONTROL!$C$21, $C$9, 100%, $E$9)</f>
        <v>92.484499999999997</v>
      </c>
      <c r="T90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05" s="57">
        <f>(1000*CHOOSE(CONTROL!$C$42, 695, 695)*CHOOSE(CONTROL!$C$42, 0.5599, 0.5599)*CHOOSE(CONTROL!$C$42, 31, 31))/1000000</f>
        <v>12.063045499999998</v>
      </c>
      <c r="V905" s="57">
        <f>(1000*CHOOSE(CONTROL!$C$42, 500, 500)*CHOOSE(CONTROL!$C$42, 0.275, 0.275)*CHOOSE(CONTROL!$C$42, 31, 31))/1000000</f>
        <v>4.2625000000000002</v>
      </c>
      <c r="W905" s="57">
        <f>(1000*CHOOSE(CONTROL!$C$42, 0.1146, 0.1146)*CHOOSE(CONTROL!$C$42, 121.5, 121.5)*CHOOSE(CONTROL!$C$42, 31, 31))/1000000</f>
        <v>0.43164089999999994</v>
      </c>
      <c r="X905" s="57">
        <f>(31*0.1790888*245000/1000000)+(31*0.2374*100000/1000000)</f>
        <v>2.0961194359999999</v>
      </c>
      <c r="Y905" s="57"/>
      <c r="Z905" s="14"/>
      <c r="AA905" s="56"/>
      <c r="AB905" s="50">
        <f>(B905*194.205+C905*267.466+D905*133.845+E905*53.484+F905*40+G905*185+H905*0+I905*100+J905*300)/(194.205+267.466+133.845+53.484+0+40+185+100+300)</f>
        <v>96.333043550549448</v>
      </c>
      <c r="AC905" s="45">
        <f>(M905*'RAP TEMPLATE-GAS AVAILABILITY'!O904+N905*'RAP TEMPLATE-GAS AVAILABILITY'!P904+O905*'RAP TEMPLATE-GAS AVAILABILITY'!Q904+P905*'RAP TEMPLATE-GAS AVAILABILITY'!R904)/('RAP TEMPLATE-GAS AVAILABILITY'!O904+'RAP TEMPLATE-GAS AVAILABILITY'!P904+'RAP TEMPLATE-GAS AVAILABILITY'!Q904+'RAP TEMPLATE-GAS AVAILABILITY'!R904)</f>
        <v>94.458843884892076</v>
      </c>
    </row>
    <row r="906" spans="1:29" ht="15.75" x14ac:dyDescent="0.25">
      <c r="A906" s="32">
        <v>68483</v>
      </c>
      <c r="B906" s="14">
        <f>CHOOSE(CONTROL!$C$42, 98.9891, 98.9891) * CHOOSE(CONTROL!$C$21, $C$9, 100%, $E$9)</f>
        <v>98.989099999999993</v>
      </c>
      <c r="C906" s="14">
        <f>CHOOSE(CONTROL!$C$42, 98.9971, 98.9971) * CHOOSE(CONTROL!$C$21, $C$9, 100%, $E$9)</f>
        <v>98.997100000000003</v>
      </c>
      <c r="D906" s="14">
        <f>CHOOSE(CONTROL!$C$42, 99.2177, 99.2177) * CHOOSE(CONTROL!$C$21, $C$9, 100%, $E$9)</f>
        <v>99.217699999999994</v>
      </c>
      <c r="E906" s="14">
        <f>CHOOSE(CONTROL!$C$42, 99.2492, 99.2492) * CHOOSE(CONTROL!$C$21, $C$9, 100%, $E$9)</f>
        <v>99.249200000000002</v>
      </c>
      <c r="F906" s="14">
        <f>CHOOSE(CONTROL!$C$42, 99.0157, 99.0157)*CHOOSE(CONTROL!$C$21, $C$9, 100%, $E$9)</f>
        <v>99.015699999999995</v>
      </c>
      <c r="G906" s="14">
        <f>CHOOSE(CONTROL!$C$42, 99.0329, 99.0329)*CHOOSE(CONTROL!$C$21, $C$9, 100%, $E$9)</f>
        <v>99.032899999999998</v>
      </c>
      <c r="H906" s="14">
        <f>CHOOSE(CONTROL!$C$42, 99.2378, 99.2378) * CHOOSE(CONTROL!$C$21, $C$9, 100%, $E$9)</f>
        <v>99.237799999999993</v>
      </c>
      <c r="I906" s="14">
        <f>CHOOSE(CONTROL!$C$42, 99.327, 99.327)* CHOOSE(CONTROL!$C$21, $C$9, 100%, $E$9)</f>
        <v>99.326999999999998</v>
      </c>
      <c r="J906" s="14">
        <f>CHOOSE(CONTROL!$C$42, 99.0087, 99.0087)* CHOOSE(CONTROL!$C$21, $C$9, 100%, $E$9)</f>
        <v>99.008700000000005</v>
      </c>
      <c r="K906" s="53">
        <f>CHOOSE(CONTROL!$C$42, 99.3231, 99.3231) * CHOOSE(CONTROL!$C$21, $C$9, 100%, $E$9)</f>
        <v>99.323099999999997</v>
      </c>
      <c r="L906" s="14">
        <f>CHOOSE(CONTROL!$C$42, 99.8248, 99.8248) * CHOOSE(CONTROL!$C$21, $C$9, 100%, $E$9)</f>
        <v>99.824799999999996</v>
      </c>
      <c r="M906" s="14">
        <f>CHOOSE(CONTROL!$C$42, 96.9878, 96.9878) * CHOOSE(CONTROL!$C$21, $C$9, 100%, $E$9)</f>
        <v>96.987799999999993</v>
      </c>
      <c r="N906" s="14">
        <f>CHOOSE(CONTROL!$C$42, 97.0046, 97.0046) * CHOOSE(CONTROL!$C$21, $C$9, 100%, $E$9)</f>
        <v>97.004599999999996</v>
      </c>
      <c r="O906" s="14">
        <f>CHOOSE(CONTROL!$C$42, 97.2122, 97.2122) * CHOOSE(CONTROL!$C$21, $C$9, 100%, $E$9)</f>
        <v>97.212199999999996</v>
      </c>
      <c r="P906" s="14">
        <f>CHOOSE(CONTROL!$C$42, 97.2934, 97.2934) * CHOOSE(CONTROL!$C$21, $C$9, 100%, $E$9)</f>
        <v>97.293400000000005</v>
      </c>
      <c r="Q906" s="14">
        <f>CHOOSE(CONTROL!$C$42, 97.8069, 97.8069) * CHOOSE(CONTROL!$C$21, $C$9, 100%, $E$9)</f>
        <v>97.806899999999999</v>
      </c>
      <c r="R906" s="14">
        <f>CHOOSE(CONTROL!$C$42, 98.6384, 98.6384) * CHOOSE(CONTROL!$C$21, $C$9, 100%, $E$9)</f>
        <v>98.638400000000004</v>
      </c>
      <c r="S906" s="14">
        <f>CHOOSE(CONTROL!$C$42, 95.108, 95.108) * CHOOSE(CONTROL!$C$21, $C$9, 100%, $E$9)</f>
        <v>95.108000000000004</v>
      </c>
      <c r="T90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6" s="57">
        <f>(1000*CHOOSE(CONTROL!$C$42, 695, 695)*CHOOSE(CONTROL!$C$42, 0.5599, 0.5599)*CHOOSE(CONTROL!$C$42, 30, 30))/1000000</f>
        <v>11.673914999999997</v>
      </c>
      <c r="V906" s="57">
        <f>(1000*CHOOSE(CONTROL!$C$42, 500, 500)*CHOOSE(CONTROL!$C$42, 0.275, 0.275)*CHOOSE(CONTROL!$C$42, 30, 30))/1000000</f>
        <v>4.125</v>
      </c>
      <c r="W906" s="57">
        <f>(1000*CHOOSE(CONTROL!$C$42, 0.1146, 0.1146)*CHOOSE(CONTROL!$C$42, 121.5, 121.5)*CHOOSE(CONTROL!$C$42, 30, 30))/1000000</f>
        <v>0.417717</v>
      </c>
      <c r="X906" s="57">
        <f>(30*0.1790888*245000/1000000)+(30*0.2374*100000/1000000)</f>
        <v>2.0285026799999999</v>
      </c>
      <c r="Y906" s="57"/>
      <c r="Z906" s="14"/>
      <c r="AA906" s="56"/>
      <c r="AB906" s="50">
        <f>(B906*194.205+C906*267.466+D906*133.845+E906*53.484+F906*40+G906*185+H906*0+I906*100+J906*300)/(194.205+267.466+133.845+53.484+0+40+185+100+300)</f>
        <v>99.064048888069081</v>
      </c>
      <c r="AC906" s="45">
        <f>(M906*'RAP TEMPLATE-GAS AVAILABILITY'!O905+N906*'RAP TEMPLATE-GAS AVAILABILITY'!P905+O906*'RAP TEMPLATE-GAS AVAILABILITY'!Q905+P906*'RAP TEMPLATE-GAS AVAILABILITY'!R905)/('RAP TEMPLATE-GAS AVAILABILITY'!O905+'RAP TEMPLATE-GAS AVAILABILITY'!P905+'RAP TEMPLATE-GAS AVAILABILITY'!Q905+'RAP TEMPLATE-GAS AVAILABILITY'!R905)</f>
        <v>97.134444604316542</v>
      </c>
    </row>
    <row r="907" spans="1:29" ht="15.75" x14ac:dyDescent="0.25">
      <c r="A907" s="32">
        <v>68514</v>
      </c>
      <c r="B907" s="14">
        <f>CHOOSE(CONTROL!$C$42, 97.0902, 97.0902) * CHOOSE(CONTROL!$C$21, $C$9, 100%, $E$9)</f>
        <v>97.090199999999996</v>
      </c>
      <c r="C907" s="14">
        <f>CHOOSE(CONTROL!$C$42, 97.0983, 97.0983) * CHOOSE(CONTROL!$C$21, $C$9, 100%, $E$9)</f>
        <v>97.098299999999995</v>
      </c>
      <c r="D907" s="14">
        <f>CHOOSE(CONTROL!$C$42, 97.3188, 97.3188) * CHOOSE(CONTROL!$C$21, $C$9, 100%, $E$9)</f>
        <v>97.318799999999996</v>
      </c>
      <c r="E907" s="14">
        <f>CHOOSE(CONTROL!$C$42, 97.3503, 97.3503) * CHOOSE(CONTROL!$C$21, $C$9, 100%, $E$9)</f>
        <v>97.350300000000004</v>
      </c>
      <c r="F907" s="14">
        <f>CHOOSE(CONTROL!$C$42, 97.1173, 97.1173)*CHOOSE(CONTROL!$C$21, $C$9, 100%, $E$9)</f>
        <v>97.1173</v>
      </c>
      <c r="G907" s="14">
        <f>CHOOSE(CONTROL!$C$42, 97.1346, 97.1346)*CHOOSE(CONTROL!$C$21, $C$9, 100%, $E$9)</f>
        <v>97.134600000000006</v>
      </c>
      <c r="H907" s="14">
        <f>CHOOSE(CONTROL!$C$42, 97.3389, 97.3389) * CHOOSE(CONTROL!$C$21, $C$9, 100%, $E$9)</f>
        <v>97.338899999999995</v>
      </c>
      <c r="I907" s="14">
        <f>CHOOSE(CONTROL!$C$42, 97.4222, 97.4222)* CHOOSE(CONTROL!$C$21, $C$9, 100%, $E$9)</f>
        <v>97.422200000000004</v>
      </c>
      <c r="J907" s="14">
        <f>CHOOSE(CONTROL!$C$42, 97.1103, 97.1103)* CHOOSE(CONTROL!$C$21, $C$9, 100%, $E$9)</f>
        <v>97.110299999999995</v>
      </c>
      <c r="K907" s="53">
        <f>CHOOSE(CONTROL!$C$42, 97.4183, 97.4183) * CHOOSE(CONTROL!$C$21, $C$9, 100%, $E$9)</f>
        <v>97.418300000000002</v>
      </c>
      <c r="L907" s="14">
        <f>CHOOSE(CONTROL!$C$42, 97.9259, 97.9259) * CHOOSE(CONTROL!$C$21, $C$9, 100%, $E$9)</f>
        <v>97.925899999999999</v>
      </c>
      <c r="M907" s="14">
        <f>CHOOSE(CONTROL!$C$42, 95.1283, 95.1283) * CHOOSE(CONTROL!$C$21, $C$9, 100%, $E$9)</f>
        <v>95.128299999999996</v>
      </c>
      <c r="N907" s="14">
        <f>CHOOSE(CONTROL!$C$42, 95.1452, 95.1452) * CHOOSE(CONTROL!$C$21, $C$9, 100%, $E$9)</f>
        <v>95.145200000000003</v>
      </c>
      <c r="O907" s="14">
        <f>CHOOSE(CONTROL!$C$42, 95.3522, 95.3522) * CHOOSE(CONTROL!$C$21, $C$9, 100%, $E$9)</f>
        <v>95.352199999999996</v>
      </c>
      <c r="P907" s="14">
        <f>CHOOSE(CONTROL!$C$42, 95.4277, 95.4277) * CHOOSE(CONTROL!$C$21, $C$9, 100%, $E$9)</f>
        <v>95.427700000000002</v>
      </c>
      <c r="Q907" s="14">
        <f>CHOOSE(CONTROL!$C$42, 95.9469, 95.9469) * CHOOSE(CONTROL!$C$21, $C$9, 100%, $E$9)</f>
        <v>95.946899999999999</v>
      </c>
      <c r="R907" s="14">
        <f>CHOOSE(CONTROL!$C$42, 96.7738, 96.7738) * CHOOSE(CONTROL!$C$21, $C$9, 100%, $E$9)</f>
        <v>96.773799999999994</v>
      </c>
      <c r="S907" s="14">
        <f>CHOOSE(CONTROL!$C$42, 93.2834, 93.2834) * CHOOSE(CONTROL!$C$21, $C$9, 100%, $E$9)</f>
        <v>93.2834</v>
      </c>
      <c r="T90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07" s="57">
        <f>(1000*CHOOSE(CONTROL!$C$42, 695, 695)*CHOOSE(CONTROL!$C$42, 0.5599, 0.5599)*CHOOSE(CONTROL!$C$42, 31, 31))/1000000</f>
        <v>12.063045499999998</v>
      </c>
      <c r="V907" s="57">
        <f>(1000*CHOOSE(CONTROL!$C$42, 500, 500)*CHOOSE(CONTROL!$C$42, 0.275, 0.275)*CHOOSE(CONTROL!$C$42, 31, 31))/1000000</f>
        <v>4.2625000000000002</v>
      </c>
      <c r="W907" s="57">
        <f>(1000*CHOOSE(CONTROL!$C$42, 0.1146, 0.1146)*CHOOSE(CONTROL!$C$42, 121.5, 121.5)*CHOOSE(CONTROL!$C$42, 31, 31))/1000000</f>
        <v>0.43164089999999994</v>
      </c>
      <c r="X907" s="57">
        <f>(31*0.1790888*245000/1000000)+(31*0.2374*100000/1000000)</f>
        <v>2.0961194359999999</v>
      </c>
      <c r="Y907" s="57"/>
      <c r="Z907" s="14"/>
      <c r="AA907" s="56"/>
      <c r="AB907" s="50">
        <f>(B907*194.205+C907*267.466+D907*133.845+E907*53.484+F907*40+G907*185+H907*0+I907*100+J907*300)/(194.205+267.466+133.845+53.484+0+40+185+100+300)</f>
        <v>97.164927339089488</v>
      </c>
      <c r="AC907" s="45">
        <f>(M907*'RAP TEMPLATE-GAS AVAILABILITY'!O906+N907*'RAP TEMPLATE-GAS AVAILABILITY'!P906+O907*'RAP TEMPLATE-GAS AVAILABILITY'!Q906+P907*'RAP TEMPLATE-GAS AVAILABILITY'!R906)/('RAP TEMPLATE-GAS AVAILABILITY'!O906+'RAP TEMPLATE-GAS AVAILABILITY'!P906+'RAP TEMPLATE-GAS AVAILABILITY'!Q906+'RAP TEMPLATE-GAS AVAILABILITY'!R906)</f>
        <v>95.273831654676258</v>
      </c>
    </row>
    <row r="908" spans="1:29" ht="15.75" x14ac:dyDescent="0.25">
      <c r="A908" s="32">
        <v>68545</v>
      </c>
      <c r="B908" s="14">
        <f>CHOOSE(CONTROL!$C$42, 92.295, 92.295) * CHOOSE(CONTROL!$C$21, $C$9, 100%, $E$9)</f>
        <v>92.295000000000002</v>
      </c>
      <c r="C908" s="14">
        <f>CHOOSE(CONTROL!$C$42, 92.303, 92.303) * CHOOSE(CONTROL!$C$21, $C$9, 100%, $E$9)</f>
        <v>92.302999999999997</v>
      </c>
      <c r="D908" s="14">
        <f>CHOOSE(CONTROL!$C$42, 92.5236, 92.5236) * CHOOSE(CONTROL!$C$21, $C$9, 100%, $E$9)</f>
        <v>92.523600000000002</v>
      </c>
      <c r="E908" s="14">
        <f>CHOOSE(CONTROL!$C$42, 92.5551, 92.5551) * CHOOSE(CONTROL!$C$21, $C$9, 100%, $E$9)</f>
        <v>92.555099999999996</v>
      </c>
      <c r="F908" s="14">
        <f>CHOOSE(CONTROL!$C$42, 92.3224, 92.3224)*CHOOSE(CONTROL!$C$21, $C$9, 100%, $E$9)</f>
        <v>92.322400000000002</v>
      </c>
      <c r="G908" s="14">
        <f>CHOOSE(CONTROL!$C$42, 92.3398, 92.3398)*CHOOSE(CONTROL!$C$21, $C$9, 100%, $E$9)</f>
        <v>92.339799999999997</v>
      </c>
      <c r="H908" s="14">
        <f>CHOOSE(CONTROL!$C$42, 92.5437, 92.5437) * CHOOSE(CONTROL!$C$21, $C$9, 100%, $E$9)</f>
        <v>92.543700000000001</v>
      </c>
      <c r="I908" s="14">
        <f>CHOOSE(CONTROL!$C$42, 92.6119, 92.6119)* CHOOSE(CONTROL!$C$21, $C$9, 100%, $E$9)</f>
        <v>92.611900000000006</v>
      </c>
      <c r="J908" s="14">
        <f>CHOOSE(CONTROL!$C$42, 92.3154, 92.3154)* CHOOSE(CONTROL!$C$21, $C$9, 100%, $E$9)</f>
        <v>92.315399999999997</v>
      </c>
      <c r="K908" s="53">
        <f>CHOOSE(CONTROL!$C$42, 92.6081, 92.6081) * CHOOSE(CONTROL!$C$21, $C$9, 100%, $E$9)</f>
        <v>92.608099999999993</v>
      </c>
      <c r="L908" s="14">
        <f>CHOOSE(CONTROL!$C$42, 93.1307, 93.1307) * CHOOSE(CONTROL!$C$21, $C$9, 100%, $E$9)</f>
        <v>93.130700000000004</v>
      </c>
      <c r="M908" s="14">
        <f>CHOOSE(CONTROL!$C$42, 90.4316, 90.4316) * CHOOSE(CONTROL!$C$21, $C$9, 100%, $E$9)</f>
        <v>90.431600000000003</v>
      </c>
      <c r="N908" s="14">
        <f>CHOOSE(CONTROL!$C$42, 90.4486, 90.4486) * CHOOSE(CONTROL!$C$21, $C$9, 100%, $E$9)</f>
        <v>90.448599999999999</v>
      </c>
      <c r="O908" s="14">
        <f>CHOOSE(CONTROL!$C$42, 90.6553, 90.6553) * CHOOSE(CONTROL!$C$21, $C$9, 100%, $E$9)</f>
        <v>90.655299999999997</v>
      </c>
      <c r="P908" s="14">
        <f>CHOOSE(CONTROL!$C$42, 90.7163, 90.7163) * CHOOSE(CONTROL!$C$21, $C$9, 100%, $E$9)</f>
        <v>90.716300000000004</v>
      </c>
      <c r="Q908" s="14">
        <f>CHOOSE(CONTROL!$C$42, 91.25, 91.25) * CHOOSE(CONTROL!$C$21, $C$9, 100%, $E$9)</f>
        <v>91.25</v>
      </c>
      <c r="R908" s="14">
        <f>CHOOSE(CONTROL!$C$42, 92.0651, 92.0651) * CHOOSE(CONTROL!$C$21, $C$9, 100%, $E$9)</f>
        <v>92.065100000000001</v>
      </c>
      <c r="S908" s="14">
        <f>CHOOSE(CONTROL!$C$42, 88.6756, 88.6756) * CHOOSE(CONTROL!$C$21, $C$9, 100%, $E$9)</f>
        <v>88.675600000000003</v>
      </c>
      <c r="T90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08" s="57">
        <f>(1000*CHOOSE(CONTROL!$C$42, 695, 695)*CHOOSE(CONTROL!$C$42, 0.5599, 0.5599)*CHOOSE(CONTROL!$C$42, 31, 31))/1000000</f>
        <v>12.063045499999998</v>
      </c>
      <c r="V908" s="57">
        <f>(1000*CHOOSE(CONTROL!$C$42, 500, 500)*CHOOSE(CONTROL!$C$42, 0.275, 0.275)*CHOOSE(CONTROL!$C$42, 31, 31))/1000000</f>
        <v>4.2625000000000002</v>
      </c>
      <c r="W908" s="57">
        <f>(1000*CHOOSE(CONTROL!$C$42, 0.1146, 0.1146)*CHOOSE(CONTROL!$C$42, 121.5, 121.5)*CHOOSE(CONTROL!$C$42, 31, 31))/1000000</f>
        <v>0.43164089999999994</v>
      </c>
      <c r="X908" s="57">
        <f>(31*0.1790888*245000/1000000)+(31*0.2374*100000/1000000)</f>
        <v>2.0961194359999999</v>
      </c>
      <c r="Y908" s="57"/>
      <c r="Z908" s="14"/>
      <c r="AA908" s="56"/>
      <c r="AB908" s="50">
        <f>(B908*194.205+C908*267.466+D908*133.845+E908*53.484+F908*40+G908*185+H908*0+I908*100+J908*300)/(194.205+267.466+133.845+53.484+0+40+185+100+300)</f>
        <v>92.368659249136584</v>
      </c>
      <c r="AC908" s="45">
        <f>(M908*'RAP TEMPLATE-GAS AVAILABILITY'!O907+N908*'RAP TEMPLATE-GAS AVAILABILITY'!P907+O908*'RAP TEMPLATE-GAS AVAILABILITY'!Q907+P908*'RAP TEMPLATE-GAS AVAILABILITY'!R907)/('RAP TEMPLATE-GAS AVAILABILITY'!O907+'RAP TEMPLATE-GAS AVAILABILITY'!P907+'RAP TEMPLATE-GAS AVAILABILITY'!Q907+'RAP TEMPLATE-GAS AVAILABILITY'!R907)</f>
        <v>90.574931654676263</v>
      </c>
    </row>
    <row r="909" spans="1:29" ht="15.75" x14ac:dyDescent="0.25">
      <c r="A909" s="32">
        <v>68575</v>
      </c>
      <c r="B909" s="14">
        <f>CHOOSE(CONTROL!$C$42, 86.4359, 86.4359) * CHOOSE(CONTROL!$C$21, $C$9, 100%, $E$9)</f>
        <v>86.435900000000004</v>
      </c>
      <c r="C909" s="14">
        <f>CHOOSE(CONTROL!$C$42, 86.4439, 86.4439) * CHOOSE(CONTROL!$C$21, $C$9, 100%, $E$9)</f>
        <v>86.443899999999999</v>
      </c>
      <c r="D909" s="14">
        <f>CHOOSE(CONTROL!$C$42, 86.6645, 86.6645) * CHOOSE(CONTROL!$C$21, $C$9, 100%, $E$9)</f>
        <v>86.664500000000004</v>
      </c>
      <c r="E909" s="14">
        <f>CHOOSE(CONTROL!$C$42, 86.696, 86.696) * CHOOSE(CONTROL!$C$21, $C$9, 100%, $E$9)</f>
        <v>86.695999999999998</v>
      </c>
      <c r="F909" s="14">
        <f>CHOOSE(CONTROL!$C$42, 86.4633, 86.4633)*CHOOSE(CONTROL!$C$21, $C$9, 100%, $E$9)</f>
        <v>86.463300000000004</v>
      </c>
      <c r="G909" s="14">
        <f>CHOOSE(CONTROL!$C$42, 86.4807, 86.4807)*CHOOSE(CONTROL!$C$21, $C$9, 100%, $E$9)</f>
        <v>86.480699999999999</v>
      </c>
      <c r="H909" s="14">
        <f>CHOOSE(CONTROL!$C$42, 86.6846, 86.6846) * CHOOSE(CONTROL!$C$21, $C$9, 100%, $E$9)</f>
        <v>86.684600000000003</v>
      </c>
      <c r="I909" s="14">
        <f>CHOOSE(CONTROL!$C$42, 86.7345, 86.7345)* CHOOSE(CONTROL!$C$21, $C$9, 100%, $E$9)</f>
        <v>86.734499999999997</v>
      </c>
      <c r="J909" s="14">
        <f>CHOOSE(CONTROL!$C$42, 86.4563, 86.4563)* CHOOSE(CONTROL!$C$21, $C$9, 100%, $E$9)</f>
        <v>86.456299999999999</v>
      </c>
      <c r="K909" s="53">
        <f>CHOOSE(CONTROL!$C$42, 86.7306, 86.7306) * CHOOSE(CONTROL!$C$21, $C$9, 100%, $E$9)</f>
        <v>86.730599999999995</v>
      </c>
      <c r="L909" s="14">
        <f>CHOOSE(CONTROL!$C$42, 87.2716, 87.2716) * CHOOSE(CONTROL!$C$21, $C$9, 100%, $E$9)</f>
        <v>87.271600000000007</v>
      </c>
      <c r="M909" s="14">
        <f>CHOOSE(CONTROL!$C$42, 84.6925, 84.6925) * CHOOSE(CONTROL!$C$21, $C$9, 100%, $E$9)</f>
        <v>84.692499999999995</v>
      </c>
      <c r="N909" s="14">
        <f>CHOOSE(CONTROL!$C$42, 84.7096, 84.7096) * CHOOSE(CONTROL!$C$21, $C$9, 100%, $E$9)</f>
        <v>84.709599999999995</v>
      </c>
      <c r="O909" s="14">
        <f>CHOOSE(CONTROL!$C$42, 84.9162, 84.9162) * CHOOSE(CONTROL!$C$21, $C$9, 100%, $E$9)</f>
        <v>84.916200000000003</v>
      </c>
      <c r="P909" s="14">
        <f>CHOOSE(CONTROL!$C$42, 84.9597, 84.9597) * CHOOSE(CONTROL!$C$21, $C$9, 100%, $E$9)</f>
        <v>84.959699999999998</v>
      </c>
      <c r="Q909" s="14">
        <f>CHOOSE(CONTROL!$C$42, 85.5109, 85.5109) * CHOOSE(CONTROL!$C$21, $C$9, 100%, $E$9)</f>
        <v>85.510900000000007</v>
      </c>
      <c r="R909" s="14">
        <f>CHOOSE(CONTROL!$C$42, 86.3117, 86.3117) * CHOOSE(CONTROL!$C$21, $C$9, 100%, $E$9)</f>
        <v>86.311700000000002</v>
      </c>
      <c r="S909" s="14">
        <f>CHOOSE(CONTROL!$C$42, 83.0456, 83.0456) * CHOOSE(CONTROL!$C$21, $C$9, 100%, $E$9)</f>
        <v>83.045599999999993</v>
      </c>
      <c r="T90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09" s="57">
        <f>(1000*CHOOSE(CONTROL!$C$42, 695, 695)*CHOOSE(CONTROL!$C$42, 0.5599, 0.5599)*CHOOSE(CONTROL!$C$42, 30, 30))/1000000</f>
        <v>11.673914999999997</v>
      </c>
      <c r="V909" s="57">
        <f>(1000*CHOOSE(CONTROL!$C$42, 500, 500)*CHOOSE(CONTROL!$C$42, 0.275, 0.275)*CHOOSE(CONTROL!$C$42, 30, 30))/1000000</f>
        <v>4.125</v>
      </c>
      <c r="W909" s="57">
        <f>(1000*CHOOSE(CONTROL!$C$42, 0.1146, 0.1146)*CHOOSE(CONTROL!$C$42, 121.5, 121.5)*CHOOSE(CONTROL!$C$42, 30, 30))/1000000</f>
        <v>0.417717</v>
      </c>
      <c r="X909" s="57">
        <f>(30*0.1790888*245000/1000000)+(30*0.2374*100000/1000000)</f>
        <v>2.0285026799999999</v>
      </c>
      <c r="Y909" s="57"/>
      <c r="Z909" s="14"/>
      <c r="AA909" s="56"/>
      <c r="AB909" s="50">
        <f>(B909*194.205+C909*267.466+D909*133.845+E909*53.484+F909*40+G909*185+H909*0+I909*100+J909*300)/(194.205+267.466+133.845+53.484+0+40+185+100+300)</f>
        <v>86.508122828414443</v>
      </c>
      <c r="AC909" s="45">
        <f>(M909*'RAP TEMPLATE-GAS AVAILABILITY'!O908+N909*'RAP TEMPLATE-GAS AVAILABILITY'!P908+O909*'RAP TEMPLATE-GAS AVAILABILITY'!Q908+P909*'RAP TEMPLATE-GAS AVAILABILITY'!R908)/('RAP TEMPLATE-GAS AVAILABILITY'!O908+'RAP TEMPLATE-GAS AVAILABILITY'!P908+'RAP TEMPLATE-GAS AVAILABILITY'!Q908+'RAP TEMPLATE-GAS AVAILABILITY'!R908)</f>
        <v>84.833319424460427</v>
      </c>
    </row>
    <row r="910" spans="1:29" ht="15.75" x14ac:dyDescent="0.25">
      <c r="A910" s="32">
        <v>68606</v>
      </c>
      <c r="B910" s="14">
        <f>CHOOSE(CONTROL!$C$42, 84.6794, 84.6794) * CHOOSE(CONTROL!$C$21, $C$9, 100%, $E$9)</f>
        <v>84.679400000000001</v>
      </c>
      <c r="C910" s="14">
        <f>CHOOSE(CONTROL!$C$42, 84.6847, 84.6847) * CHOOSE(CONTROL!$C$21, $C$9, 100%, $E$9)</f>
        <v>84.684700000000007</v>
      </c>
      <c r="D910" s="14">
        <f>CHOOSE(CONTROL!$C$42, 84.9103, 84.9103) * CHOOSE(CONTROL!$C$21, $C$9, 100%, $E$9)</f>
        <v>84.910300000000007</v>
      </c>
      <c r="E910" s="14">
        <f>CHOOSE(CONTROL!$C$42, 84.9394, 84.9394) * CHOOSE(CONTROL!$C$21, $C$9, 100%, $E$9)</f>
        <v>84.939400000000006</v>
      </c>
      <c r="F910" s="14">
        <f>CHOOSE(CONTROL!$C$42, 84.7088, 84.7088)*CHOOSE(CONTROL!$C$21, $C$9, 100%, $E$9)</f>
        <v>84.708799999999997</v>
      </c>
      <c r="G910" s="14">
        <f>CHOOSE(CONTROL!$C$42, 84.726, 84.726)*CHOOSE(CONTROL!$C$21, $C$9, 100%, $E$9)</f>
        <v>84.725999999999999</v>
      </c>
      <c r="H910" s="14">
        <f>CHOOSE(CONTROL!$C$42, 84.9299, 84.9299) * CHOOSE(CONTROL!$C$21, $C$9, 100%, $E$9)</f>
        <v>84.929900000000004</v>
      </c>
      <c r="I910" s="14">
        <f>CHOOSE(CONTROL!$C$42, 84.9743, 84.9743)* CHOOSE(CONTROL!$C$21, $C$9, 100%, $E$9)</f>
        <v>84.974299999999999</v>
      </c>
      <c r="J910" s="14">
        <f>CHOOSE(CONTROL!$C$42, 84.7018, 84.7018)* CHOOSE(CONTROL!$C$21, $C$9, 100%, $E$9)</f>
        <v>84.701800000000006</v>
      </c>
      <c r="K910" s="53">
        <f>CHOOSE(CONTROL!$C$42, 84.9704, 84.9704) * CHOOSE(CONTROL!$C$21, $C$9, 100%, $E$9)</f>
        <v>84.970399999999998</v>
      </c>
      <c r="L910" s="14">
        <f>CHOOSE(CONTROL!$C$42, 85.5169, 85.5169) * CHOOSE(CONTROL!$C$21, $C$9, 100%, $E$9)</f>
        <v>85.516900000000007</v>
      </c>
      <c r="M910" s="14">
        <f>CHOOSE(CONTROL!$C$42, 82.974, 82.974) * CHOOSE(CONTROL!$C$21, $C$9, 100%, $E$9)</f>
        <v>82.974000000000004</v>
      </c>
      <c r="N910" s="14">
        <f>CHOOSE(CONTROL!$C$42, 82.9909, 82.9909) * CHOOSE(CONTROL!$C$21, $C$9, 100%, $E$9)</f>
        <v>82.990899999999996</v>
      </c>
      <c r="O910" s="14">
        <f>CHOOSE(CONTROL!$C$42, 83.1974, 83.1974) * CHOOSE(CONTROL!$C$21, $C$9, 100%, $E$9)</f>
        <v>83.197400000000002</v>
      </c>
      <c r="P910" s="14">
        <f>CHOOSE(CONTROL!$C$42, 83.2356, 83.2356) * CHOOSE(CONTROL!$C$21, $C$9, 100%, $E$9)</f>
        <v>83.235600000000005</v>
      </c>
      <c r="Q910" s="14">
        <f>CHOOSE(CONTROL!$C$42, 83.7921, 83.7921) * CHOOSE(CONTROL!$C$21, $C$9, 100%, $E$9)</f>
        <v>83.792100000000005</v>
      </c>
      <c r="R910" s="14">
        <f>CHOOSE(CONTROL!$C$42, 84.5886, 84.5886) * CHOOSE(CONTROL!$C$21, $C$9, 100%, $E$9)</f>
        <v>84.5886</v>
      </c>
      <c r="S910" s="14">
        <f>CHOOSE(CONTROL!$C$42, 81.3595, 81.3595) * CHOOSE(CONTROL!$C$21, $C$9, 100%, $E$9)</f>
        <v>81.359499999999997</v>
      </c>
      <c r="T91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10" s="57">
        <f>(1000*CHOOSE(CONTROL!$C$42, 695, 695)*CHOOSE(CONTROL!$C$42, 0.5599, 0.5599)*CHOOSE(CONTROL!$C$42, 31, 31))/1000000</f>
        <v>12.063045499999998</v>
      </c>
      <c r="V910" s="57">
        <f>(1000*CHOOSE(CONTROL!$C$42, 500, 500)*CHOOSE(CONTROL!$C$42, 0.275, 0.275)*CHOOSE(CONTROL!$C$42, 31, 31))/1000000</f>
        <v>4.2625000000000002</v>
      </c>
      <c r="W910" s="57">
        <f>(1000*CHOOSE(CONTROL!$C$42, 0.1146, 0.1146)*CHOOSE(CONTROL!$C$42, 121.5, 121.5)*CHOOSE(CONTROL!$C$42, 31, 31))/1000000</f>
        <v>0.43164089999999994</v>
      </c>
      <c r="X910" s="57">
        <f>(31*0.1790888*245000/1000000)+(31*0.2374*100000/1000000)</f>
        <v>2.0961194359999999</v>
      </c>
      <c r="Y910" s="57"/>
      <c r="Z910" s="14"/>
      <c r="AA910" s="56"/>
      <c r="AB910" s="50">
        <f>(B910*131.881+C910*277.167+D910*79.08+E910*125.872+F910*40+G910*185+H910*0+I910*100+J910*300)/(131.881+277.167+79.08+125.872+0+40+185+100+300)</f>
        <v>84.758869150201775</v>
      </c>
      <c r="AC910" s="45">
        <f>(M910*'RAP TEMPLATE-GAS AVAILABILITY'!O909+N910*'RAP TEMPLATE-GAS AVAILABILITY'!P909+O910*'RAP TEMPLATE-GAS AVAILABILITY'!Q909+P910*'RAP TEMPLATE-GAS AVAILABILITY'!R909)/('RAP TEMPLATE-GAS AVAILABILITY'!O909+'RAP TEMPLATE-GAS AVAILABILITY'!P909+'RAP TEMPLATE-GAS AVAILABILITY'!Q909+'RAP TEMPLATE-GAS AVAILABILITY'!R909)</f>
        <v>83.113866187050363</v>
      </c>
    </row>
    <row r="911" spans="1:29" ht="15.75" x14ac:dyDescent="0.25">
      <c r="A911" s="32">
        <v>68636</v>
      </c>
      <c r="B911" s="14">
        <f>CHOOSE(CONTROL!$C$42, 86.9096, 86.9096) * CHOOSE(CONTROL!$C$21, $C$9, 100%, $E$9)</f>
        <v>86.909599999999998</v>
      </c>
      <c r="C911" s="14">
        <f>CHOOSE(CONTROL!$C$42, 86.9146, 86.9146) * CHOOSE(CONTROL!$C$21, $C$9, 100%, $E$9)</f>
        <v>86.914599999999993</v>
      </c>
      <c r="D911" s="14">
        <f>CHOOSE(CONTROL!$C$42, 86.9889, 86.9889) * CHOOSE(CONTROL!$C$21, $C$9, 100%, $E$9)</f>
        <v>86.988900000000001</v>
      </c>
      <c r="E911" s="14">
        <f>CHOOSE(CONTROL!$C$42, 87.023, 87.023) * CHOOSE(CONTROL!$C$21, $C$9, 100%, $E$9)</f>
        <v>87.022999999999996</v>
      </c>
      <c r="F911" s="14">
        <f>CHOOSE(CONTROL!$C$42, 86.9456, 86.9456)*CHOOSE(CONTROL!$C$21, $C$9, 100%, $E$9)</f>
        <v>86.945599999999999</v>
      </c>
      <c r="G911" s="14">
        <f>CHOOSE(CONTROL!$C$42, 86.9632, 86.9632)*CHOOSE(CONTROL!$C$21, $C$9, 100%, $E$9)</f>
        <v>86.963200000000001</v>
      </c>
      <c r="H911" s="14">
        <f>CHOOSE(CONTROL!$C$42, 87.0122, 87.0122) * CHOOSE(CONTROL!$C$21, $C$9, 100%, $E$9)</f>
        <v>87.012200000000007</v>
      </c>
      <c r="I911" s="14">
        <f>CHOOSE(CONTROL!$C$42, 87.2092, 87.2092)* CHOOSE(CONTROL!$C$21, $C$9, 100%, $E$9)</f>
        <v>87.209199999999996</v>
      </c>
      <c r="J911" s="14">
        <f>CHOOSE(CONTROL!$C$42, 86.9386, 86.9386)* CHOOSE(CONTROL!$C$21, $C$9, 100%, $E$9)</f>
        <v>86.938599999999994</v>
      </c>
      <c r="K911" s="53">
        <f>CHOOSE(CONTROL!$C$42, 87.2053, 87.2053) * CHOOSE(CONTROL!$C$21, $C$9, 100%, $E$9)</f>
        <v>87.205299999999994</v>
      </c>
      <c r="L911" s="14">
        <f>CHOOSE(CONTROL!$C$42, 87.5992, 87.5992) * CHOOSE(CONTROL!$C$21, $C$9, 100%, $E$9)</f>
        <v>87.599199999999996</v>
      </c>
      <c r="M911" s="14">
        <f>CHOOSE(CONTROL!$C$42, 85.165, 85.165) * CHOOSE(CONTROL!$C$21, $C$9, 100%, $E$9)</f>
        <v>85.165000000000006</v>
      </c>
      <c r="N911" s="14">
        <f>CHOOSE(CONTROL!$C$42, 85.1822, 85.1822) * CHOOSE(CONTROL!$C$21, $C$9, 100%, $E$9)</f>
        <v>85.182199999999995</v>
      </c>
      <c r="O911" s="14">
        <f>CHOOSE(CONTROL!$C$42, 85.237, 85.237) * CHOOSE(CONTROL!$C$21, $C$9, 100%, $E$9)</f>
        <v>85.236999999999995</v>
      </c>
      <c r="P911" s="14">
        <f>CHOOSE(CONTROL!$C$42, 85.4247, 85.4247) * CHOOSE(CONTROL!$C$21, $C$9, 100%, $E$9)</f>
        <v>85.424700000000001</v>
      </c>
      <c r="Q911" s="14">
        <f>CHOOSE(CONTROL!$C$42, 85.8317, 85.8317) * CHOOSE(CONTROL!$C$21, $C$9, 100%, $E$9)</f>
        <v>85.831699999999998</v>
      </c>
      <c r="R911" s="14">
        <f>CHOOSE(CONTROL!$C$42, 86.6333, 86.6333) * CHOOSE(CONTROL!$C$21, $C$9, 100%, $E$9)</f>
        <v>86.633300000000006</v>
      </c>
      <c r="S911" s="14">
        <f>CHOOSE(CONTROL!$C$42, 83.5029, 83.5029) * CHOOSE(CONTROL!$C$21, $C$9, 100%, $E$9)</f>
        <v>83.502899999999997</v>
      </c>
      <c r="T91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11" s="57">
        <f>(1000*CHOOSE(CONTROL!$C$42, 695, 695)*CHOOSE(CONTROL!$C$42, 0.5599, 0.5599)*CHOOSE(CONTROL!$C$42, 30, 30))/1000000</f>
        <v>11.673914999999997</v>
      </c>
      <c r="V911" s="57">
        <f>(1000*CHOOSE(CONTROL!$C$42, 500, 500)*CHOOSE(CONTROL!$C$42, 0.275, 0.275)*CHOOSE(CONTROL!$C$42, 30, 30))/1000000</f>
        <v>4.125</v>
      </c>
      <c r="W911" s="57">
        <f>(1000*CHOOSE(CONTROL!$C$42, 0.1146, 0.1146)*CHOOSE(CONTROL!$C$42, 121.5, 121.5)*CHOOSE(CONTROL!$C$42, 30, 30))/1000000</f>
        <v>0.417717</v>
      </c>
      <c r="X911" s="57">
        <f>(30*0.1790888*100000/1000000)+(30*0.2374*100000/1000000)</f>
        <v>1.2494664</v>
      </c>
      <c r="Y911" s="57"/>
      <c r="Z911" s="14"/>
      <c r="AA911" s="56"/>
      <c r="AB911" s="50">
        <f>(B911*122.58+C911*297.941+D911*89.177+E911*40.302+F911*40+G911*160+H911*0+I911*100+J911*300)/(122.58+297.941+89.177+40.302+0+40+160+100+300)</f>
        <v>86.963345815565205</v>
      </c>
      <c r="AC911" s="45">
        <f>(M911*'RAP TEMPLATE-GAS AVAILABILITY'!O910+N911*'RAP TEMPLATE-GAS AVAILABILITY'!P910+O911*'RAP TEMPLATE-GAS AVAILABILITY'!Q910+P911*'RAP TEMPLATE-GAS AVAILABILITY'!R910)/('RAP TEMPLATE-GAS AVAILABILITY'!O910+'RAP TEMPLATE-GAS AVAILABILITY'!P910+'RAP TEMPLATE-GAS AVAILABILITY'!Q910+'RAP TEMPLATE-GAS AVAILABILITY'!R910)</f>
        <v>85.235989928057563</v>
      </c>
    </row>
    <row r="912" spans="1:29" ht="15.75" x14ac:dyDescent="0.25">
      <c r="A912" s="32">
        <v>68667</v>
      </c>
      <c r="B912" s="14">
        <f>CHOOSE(CONTROL!$C$42, 92.8344, 92.8344) * CHOOSE(CONTROL!$C$21, $C$9, 100%, $E$9)</f>
        <v>92.834400000000002</v>
      </c>
      <c r="C912" s="14">
        <f>CHOOSE(CONTROL!$C$42, 92.8395, 92.8395) * CHOOSE(CONTROL!$C$21, $C$9, 100%, $E$9)</f>
        <v>92.839500000000001</v>
      </c>
      <c r="D912" s="14">
        <f>CHOOSE(CONTROL!$C$42, 92.9137, 92.9137) * CHOOSE(CONTROL!$C$21, $C$9, 100%, $E$9)</f>
        <v>92.913700000000006</v>
      </c>
      <c r="E912" s="14">
        <f>CHOOSE(CONTROL!$C$42, 92.9478, 92.9478) * CHOOSE(CONTROL!$C$21, $C$9, 100%, $E$9)</f>
        <v>92.947800000000001</v>
      </c>
      <c r="F912" s="14">
        <f>CHOOSE(CONTROL!$C$42, 92.8728, 92.8728)*CHOOSE(CONTROL!$C$21, $C$9, 100%, $E$9)</f>
        <v>92.872799999999998</v>
      </c>
      <c r="G912" s="14">
        <f>CHOOSE(CONTROL!$C$42, 92.8909, 92.8909)*CHOOSE(CONTROL!$C$21, $C$9, 100%, $E$9)</f>
        <v>92.890900000000002</v>
      </c>
      <c r="H912" s="14">
        <f>CHOOSE(CONTROL!$C$42, 92.937, 92.937) * CHOOSE(CONTROL!$C$21, $C$9, 100%, $E$9)</f>
        <v>92.936999999999998</v>
      </c>
      <c r="I912" s="14">
        <f>CHOOSE(CONTROL!$C$42, 93.1526, 93.1526)* CHOOSE(CONTROL!$C$21, $C$9, 100%, $E$9)</f>
        <v>93.152600000000007</v>
      </c>
      <c r="J912" s="14">
        <f>CHOOSE(CONTROL!$C$42, 92.8658, 92.8658)* CHOOSE(CONTROL!$C$21, $C$9, 100%, $E$9)</f>
        <v>92.865799999999993</v>
      </c>
      <c r="K912" s="53">
        <f>CHOOSE(CONTROL!$C$42, 93.1487, 93.1487) * CHOOSE(CONTROL!$C$21, $C$9, 100%, $E$9)</f>
        <v>93.148700000000005</v>
      </c>
      <c r="L912" s="14">
        <f>CHOOSE(CONTROL!$C$42, 93.524, 93.524) * CHOOSE(CONTROL!$C$21, $C$9, 100%, $E$9)</f>
        <v>93.524000000000001</v>
      </c>
      <c r="M912" s="14">
        <f>CHOOSE(CONTROL!$C$42, 90.9707, 90.9707) * CHOOSE(CONTROL!$C$21, $C$9, 100%, $E$9)</f>
        <v>90.970699999999994</v>
      </c>
      <c r="N912" s="14">
        <f>CHOOSE(CONTROL!$C$42, 90.9885, 90.9885) * CHOOSE(CONTROL!$C$21, $C$9, 100%, $E$9)</f>
        <v>90.988500000000002</v>
      </c>
      <c r="O912" s="14">
        <f>CHOOSE(CONTROL!$C$42, 91.0405, 91.0405) * CHOOSE(CONTROL!$C$21, $C$9, 100%, $E$9)</f>
        <v>91.040499999999994</v>
      </c>
      <c r="P912" s="14">
        <f>CHOOSE(CONTROL!$C$42, 91.2459, 91.2459) * CHOOSE(CONTROL!$C$21, $C$9, 100%, $E$9)</f>
        <v>91.245900000000006</v>
      </c>
      <c r="Q912" s="14">
        <f>CHOOSE(CONTROL!$C$42, 91.6352, 91.6352) * CHOOSE(CONTROL!$C$21, $C$9, 100%, $E$9)</f>
        <v>91.635199999999998</v>
      </c>
      <c r="R912" s="14">
        <f>CHOOSE(CONTROL!$C$42, 92.4512, 92.4512) * CHOOSE(CONTROL!$C$21, $C$9, 100%, $E$9)</f>
        <v>92.4512</v>
      </c>
      <c r="S912" s="14">
        <f>CHOOSE(CONTROL!$C$42, 89.196, 89.196) * CHOOSE(CONTROL!$C$21, $C$9, 100%, $E$9)</f>
        <v>89.195999999999998</v>
      </c>
      <c r="T91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12" s="57">
        <f>(1000*CHOOSE(CONTROL!$C$42, 695, 695)*CHOOSE(CONTROL!$C$42, 0.5599, 0.5599)*CHOOSE(CONTROL!$C$42, 31, 31))/1000000</f>
        <v>12.063045499999998</v>
      </c>
      <c r="V912" s="57">
        <f>(1000*CHOOSE(CONTROL!$C$42, 500, 500)*CHOOSE(CONTROL!$C$42, 0.275, 0.275)*CHOOSE(CONTROL!$C$42, 31, 31))/1000000</f>
        <v>4.2625000000000002</v>
      </c>
      <c r="W912" s="57">
        <f>(1000*CHOOSE(CONTROL!$C$42, 0.1146, 0.1146)*CHOOSE(CONTROL!$C$42, 121.5, 121.5)*CHOOSE(CONTROL!$C$42, 31, 31))/1000000</f>
        <v>0.43164089999999994</v>
      </c>
      <c r="X912" s="57">
        <f>(31*0.1790888*100000/1000000)+(31*0.2374*100000/1000000)</f>
        <v>1.2911152800000001</v>
      </c>
      <c r="Y912" s="57"/>
      <c r="Z912" s="14"/>
      <c r="AA912" s="56"/>
      <c r="AB912" s="50">
        <f>(B912*122.58+C912*297.941+D912*89.177+E912*40.302+F912*40+G912*160+H912*0+I912*100+J912*300)/(122.58+297.941+89.177+40.302+0+40+160+100+300)</f>
        <v>92.890902158260857</v>
      </c>
      <c r="AC912" s="45">
        <f>(M912*'RAP TEMPLATE-GAS AVAILABILITY'!O911+N912*'RAP TEMPLATE-GAS AVAILABILITY'!P911+O912*'RAP TEMPLATE-GAS AVAILABILITY'!Q911+P912*'RAP TEMPLATE-GAS AVAILABILITY'!R911)/('RAP TEMPLATE-GAS AVAILABILITY'!O911+'RAP TEMPLATE-GAS AVAILABILITY'!P911+'RAP TEMPLATE-GAS AVAILABILITY'!Q911+'RAP TEMPLATE-GAS AVAILABILITY'!R911)</f>
        <v>91.042957553956825</v>
      </c>
    </row>
    <row r="913" spans="1:29" ht="15.75" x14ac:dyDescent="0.25">
      <c r="A913" s="32">
        <v>68698</v>
      </c>
      <c r="B913" s="14">
        <f>CHOOSE(CONTROL!$C$42, 100.5296, 100.5296) * CHOOSE(CONTROL!$C$21, $C$9, 100%, $E$9)</f>
        <v>100.5296</v>
      </c>
      <c r="C913" s="14">
        <f>CHOOSE(CONTROL!$C$42, 100.5347, 100.5347) * CHOOSE(CONTROL!$C$21, $C$9, 100%, $E$9)</f>
        <v>100.5347</v>
      </c>
      <c r="D913" s="14">
        <f>CHOOSE(CONTROL!$C$42, 100.6115, 100.6115) * CHOOSE(CONTROL!$C$21, $C$9, 100%, $E$9)</f>
        <v>100.61150000000001</v>
      </c>
      <c r="E913" s="14">
        <f>CHOOSE(CONTROL!$C$42, 100.6456, 100.6456) * CHOOSE(CONTROL!$C$21, $C$9, 100%, $E$9)</f>
        <v>100.6456</v>
      </c>
      <c r="F913" s="14">
        <f>CHOOSE(CONTROL!$C$42, 100.5544, 100.5544)*CHOOSE(CONTROL!$C$21, $C$9, 100%, $E$9)</f>
        <v>100.5544</v>
      </c>
      <c r="G913" s="14">
        <f>CHOOSE(CONTROL!$C$42, 100.5723, 100.5723)*CHOOSE(CONTROL!$C$21, $C$9, 100%, $E$9)</f>
        <v>100.5723</v>
      </c>
      <c r="H913" s="14">
        <f>CHOOSE(CONTROL!$C$42, 100.6348, 100.6348) * CHOOSE(CONTROL!$C$21, $C$9, 100%, $E$9)</f>
        <v>100.6348</v>
      </c>
      <c r="I913" s="14">
        <f>CHOOSE(CONTROL!$C$42, 100.8782, 100.8782)* CHOOSE(CONTROL!$C$21, $C$9, 100%, $E$9)</f>
        <v>100.87820000000001</v>
      </c>
      <c r="J913" s="14">
        <f>CHOOSE(CONTROL!$C$42, 100.5474, 100.5474)* CHOOSE(CONTROL!$C$21, $C$9, 100%, $E$9)</f>
        <v>100.5474</v>
      </c>
      <c r="K913" s="53">
        <f>CHOOSE(CONTROL!$C$42, 100.8743, 100.8743) * CHOOSE(CONTROL!$C$21, $C$9, 100%, $E$9)</f>
        <v>100.87430000000001</v>
      </c>
      <c r="L913" s="14">
        <f>CHOOSE(CONTROL!$C$42, 101.2218, 101.2218) * CHOOSE(CONTROL!$C$21, $C$9, 100%, $E$9)</f>
        <v>101.2218</v>
      </c>
      <c r="M913" s="14">
        <f>CHOOSE(CONTROL!$C$42, 98.4949, 98.4949) * CHOOSE(CONTROL!$C$21, $C$9, 100%, $E$9)</f>
        <v>98.494900000000001</v>
      </c>
      <c r="N913" s="14">
        <f>CHOOSE(CONTROL!$C$42, 98.5125, 98.5125) * CHOOSE(CONTROL!$C$21, $C$9, 100%, $E$9)</f>
        <v>98.512500000000003</v>
      </c>
      <c r="O913" s="14">
        <f>CHOOSE(CONTROL!$C$42, 98.5806, 98.5806) * CHOOSE(CONTROL!$C$21, $C$9, 100%, $E$9)</f>
        <v>98.580600000000004</v>
      </c>
      <c r="P913" s="14">
        <f>CHOOSE(CONTROL!$C$42, 98.8127, 98.8127) * CHOOSE(CONTROL!$C$21, $C$9, 100%, $E$9)</f>
        <v>98.812700000000007</v>
      </c>
      <c r="Q913" s="14">
        <f>CHOOSE(CONTROL!$C$42, 99.1753, 99.1753) * CHOOSE(CONTROL!$C$21, $C$9, 100%, $E$9)</f>
        <v>99.175299999999993</v>
      </c>
      <c r="R913" s="14">
        <f>CHOOSE(CONTROL!$C$42, 100.0102, 100.0102) * CHOOSE(CONTROL!$C$21, $C$9, 100%, $E$9)</f>
        <v>100.0102</v>
      </c>
      <c r="S913" s="14">
        <f>CHOOSE(CONTROL!$C$42, 96.5904, 96.5904) * CHOOSE(CONTROL!$C$21, $C$9, 100%, $E$9)</f>
        <v>96.590400000000002</v>
      </c>
      <c r="T91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13" s="57">
        <f>(1000*CHOOSE(CONTROL!$C$42, 695, 695)*CHOOSE(CONTROL!$C$42, 0.5599, 0.5599)*CHOOSE(CONTROL!$C$42, 31, 31))/1000000</f>
        <v>12.063045499999998</v>
      </c>
      <c r="V913" s="57">
        <f>(1000*CHOOSE(CONTROL!$C$42, 500, 500)*CHOOSE(CONTROL!$C$42, 0.275, 0.275)*CHOOSE(CONTROL!$C$42, 31, 31))/1000000</f>
        <v>4.2625000000000002</v>
      </c>
      <c r="W913" s="57">
        <f>(1000*CHOOSE(CONTROL!$C$42, 0.1146, 0.1146)*CHOOSE(CONTROL!$C$42, 121.5, 121.5)*CHOOSE(CONTROL!$C$42, 31, 31))/1000000</f>
        <v>0.43164089999999994</v>
      </c>
      <c r="X913" s="57">
        <f>(31*0.1790888*100000/1000000)+(31*0.2374*100000/1000000)</f>
        <v>1.2911152800000001</v>
      </c>
      <c r="Y913" s="57"/>
      <c r="Z913" s="14"/>
      <c r="AA913" s="56"/>
      <c r="AB913" s="50">
        <f>(B913*122.58+C913*297.941+D913*89.177+E913*40.302+F913*40+G913*160+H913*0+I913*100+J913*300)/(122.58+297.941+89.177+40.302+0+40+160+100+300)</f>
        <v>100.58309750208697</v>
      </c>
      <c r="AC913" s="45">
        <f>(M913*'RAP TEMPLATE-GAS AVAILABILITY'!O912+N913*'RAP TEMPLATE-GAS AVAILABILITY'!P912+O913*'RAP TEMPLATE-GAS AVAILABILITY'!Q912+P913*'RAP TEMPLATE-GAS AVAILABILITY'!R912)/('RAP TEMPLATE-GAS AVAILABILITY'!O912+'RAP TEMPLATE-GAS AVAILABILITY'!P912+'RAP TEMPLATE-GAS AVAILABILITY'!Q912+'RAP TEMPLATE-GAS AVAILABILITY'!R912)</f>
        <v>98.580482014388508</v>
      </c>
    </row>
    <row r="914" spans="1:29" ht="15.75" x14ac:dyDescent="0.25">
      <c r="A914" s="32">
        <v>68727</v>
      </c>
      <c r="B914" s="14">
        <f>CHOOSE(CONTROL!$C$42, 102.319, 102.319) * CHOOSE(CONTROL!$C$21, $C$9, 100%, $E$9)</f>
        <v>102.319</v>
      </c>
      <c r="C914" s="14">
        <f>CHOOSE(CONTROL!$C$42, 102.3241, 102.3241) * CHOOSE(CONTROL!$C$21, $C$9, 100%, $E$9)</f>
        <v>102.3241</v>
      </c>
      <c r="D914" s="14">
        <f>CHOOSE(CONTROL!$C$42, 102.4009, 102.4009) * CHOOSE(CONTROL!$C$21, $C$9, 100%, $E$9)</f>
        <v>102.40089999999999</v>
      </c>
      <c r="E914" s="14">
        <f>CHOOSE(CONTROL!$C$42, 102.435, 102.435) * CHOOSE(CONTROL!$C$21, $C$9, 100%, $E$9)</f>
        <v>102.435</v>
      </c>
      <c r="F914" s="14">
        <f>CHOOSE(CONTROL!$C$42, 102.3434, 102.3434)*CHOOSE(CONTROL!$C$21, $C$9, 100%, $E$9)</f>
        <v>102.3434</v>
      </c>
      <c r="G914" s="14">
        <f>CHOOSE(CONTROL!$C$42, 102.3612, 102.3612)*CHOOSE(CONTROL!$C$21, $C$9, 100%, $E$9)</f>
        <v>102.3612</v>
      </c>
      <c r="H914" s="14">
        <f>CHOOSE(CONTROL!$C$42, 102.4242, 102.4242) * CHOOSE(CONTROL!$C$21, $C$9, 100%, $E$9)</f>
        <v>102.4242</v>
      </c>
      <c r="I914" s="14">
        <f>CHOOSE(CONTROL!$C$42, 102.6732, 102.6732)* CHOOSE(CONTROL!$C$21, $C$9, 100%, $E$9)</f>
        <v>102.67319999999999</v>
      </c>
      <c r="J914" s="14">
        <f>CHOOSE(CONTROL!$C$42, 102.3364, 102.3364)* CHOOSE(CONTROL!$C$21, $C$9, 100%, $E$9)</f>
        <v>102.3364</v>
      </c>
      <c r="K914" s="53">
        <f>CHOOSE(CONTROL!$C$42, 102.6693, 102.6693) * CHOOSE(CONTROL!$C$21, $C$9, 100%, $E$9)</f>
        <v>102.66930000000001</v>
      </c>
      <c r="L914" s="14">
        <f>CHOOSE(CONTROL!$C$42, 103.0112, 103.0112) * CHOOSE(CONTROL!$C$21, $C$9, 100%, $E$9)</f>
        <v>103.0112</v>
      </c>
      <c r="M914" s="14">
        <f>CHOOSE(CONTROL!$C$42, 100.2473, 100.2473) * CHOOSE(CONTROL!$C$21, $C$9, 100%, $E$9)</f>
        <v>100.2473</v>
      </c>
      <c r="N914" s="14">
        <f>CHOOSE(CONTROL!$C$42, 100.2648, 100.2648) * CHOOSE(CONTROL!$C$21, $C$9, 100%, $E$9)</f>
        <v>100.26479999999999</v>
      </c>
      <c r="O914" s="14">
        <f>CHOOSE(CONTROL!$C$42, 100.3333, 100.3333) * CHOOSE(CONTROL!$C$21, $C$9, 100%, $E$9)</f>
        <v>100.33329999999999</v>
      </c>
      <c r="P914" s="14">
        <f>CHOOSE(CONTROL!$C$42, 100.5708, 100.5708) * CHOOSE(CONTROL!$C$21, $C$9, 100%, $E$9)</f>
        <v>100.57080000000001</v>
      </c>
      <c r="Q914" s="14">
        <f>CHOOSE(CONTROL!$C$42, 100.928, 100.928) * CHOOSE(CONTROL!$C$21, $C$9, 100%, $E$9)</f>
        <v>100.928</v>
      </c>
      <c r="R914" s="14">
        <f>CHOOSE(CONTROL!$C$42, 101.7673, 101.7673) * CHOOSE(CONTROL!$C$21, $C$9, 100%, $E$9)</f>
        <v>101.76730000000001</v>
      </c>
      <c r="S914" s="14">
        <f>CHOOSE(CONTROL!$C$42, 98.3098, 98.3098) * CHOOSE(CONTROL!$C$21, $C$9, 100%, $E$9)</f>
        <v>98.309799999999996</v>
      </c>
      <c r="T91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14" s="57">
        <f>(1000*CHOOSE(CONTROL!$C$42, 695, 695)*CHOOSE(CONTROL!$C$42, 0.5599, 0.5599)*CHOOSE(CONTROL!$C$42, 29, 29))/1000000</f>
        <v>11.284784499999999</v>
      </c>
      <c r="V914" s="57">
        <f>(1000*CHOOSE(CONTROL!$C$42, 500, 500)*CHOOSE(CONTROL!$C$42, 0.275, 0.275)*CHOOSE(CONTROL!$C$42, 29, 29))/1000000</f>
        <v>3.9874999999999998</v>
      </c>
      <c r="W914" s="57">
        <f>(1000*CHOOSE(CONTROL!$C$42, 0.1146, 0.1146)*CHOOSE(CONTROL!$C$42, 121.5, 121.5)*CHOOSE(CONTROL!$C$42, 29, 29))/1000000</f>
        <v>0.40379309999999996</v>
      </c>
      <c r="X914" s="57">
        <f>(29*0.1790888*100000/1000000)+(29*0.2374*100000/1000000)</f>
        <v>1.2078175199999999</v>
      </c>
      <c r="Y914" s="57"/>
      <c r="Z914" s="14"/>
      <c r="AA914" s="56"/>
      <c r="AB914" s="50">
        <f>(B914*122.58+C914*297.941+D914*89.177+E914*40.302+F914*40+G914*160+H914*0+I914*100+J914*300)/(122.58+297.941+89.177+40.302+0+40+160+100+300)</f>
        <v>102.37279663252173</v>
      </c>
      <c r="AC914" s="45">
        <f>(M914*'RAP TEMPLATE-GAS AVAILABILITY'!O913+N914*'RAP TEMPLATE-GAS AVAILABILITY'!P913+O914*'RAP TEMPLATE-GAS AVAILABILITY'!Q913+P914*'RAP TEMPLATE-GAS AVAILABILITY'!R913)/('RAP TEMPLATE-GAS AVAILABILITY'!O913+'RAP TEMPLATE-GAS AVAILABILITY'!P913+'RAP TEMPLATE-GAS AVAILABILITY'!Q913+'RAP TEMPLATE-GAS AVAILABILITY'!R913)</f>
        <v>100.33383237410072</v>
      </c>
    </row>
    <row r="915" spans="1:29" ht="15.75" x14ac:dyDescent="0.25">
      <c r="A915" s="32">
        <v>68758</v>
      </c>
      <c r="B915" s="14">
        <f>CHOOSE(CONTROL!$C$42, 99.4144, 99.4144) * CHOOSE(CONTROL!$C$21, $C$9, 100%, $E$9)</f>
        <v>99.414400000000001</v>
      </c>
      <c r="C915" s="14">
        <f>CHOOSE(CONTROL!$C$42, 99.4195, 99.4195) * CHOOSE(CONTROL!$C$21, $C$9, 100%, $E$9)</f>
        <v>99.419499999999999</v>
      </c>
      <c r="D915" s="14">
        <f>CHOOSE(CONTROL!$C$42, 99.4963, 99.4963) * CHOOSE(CONTROL!$C$21, $C$9, 100%, $E$9)</f>
        <v>99.496300000000005</v>
      </c>
      <c r="E915" s="14">
        <f>CHOOSE(CONTROL!$C$42, 99.5304, 99.5304) * CHOOSE(CONTROL!$C$21, $C$9, 100%, $E$9)</f>
        <v>99.5304</v>
      </c>
      <c r="F915" s="14">
        <f>CHOOSE(CONTROL!$C$42, 99.4379, 99.4379)*CHOOSE(CONTROL!$C$21, $C$9, 100%, $E$9)</f>
        <v>99.437899999999999</v>
      </c>
      <c r="G915" s="14">
        <f>CHOOSE(CONTROL!$C$42, 99.4555, 99.4555)*CHOOSE(CONTROL!$C$21, $C$9, 100%, $E$9)</f>
        <v>99.455500000000001</v>
      </c>
      <c r="H915" s="14">
        <f>CHOOSE(CONTROL!$C$42, 99.5196, 99.5196) * CHOOSE(CONTROL!$C$21, $C$9, 100%, $E$9)</f>
        <v>99.519599999999997</v>
      </c>
      <c r="I915" s="14">
        <f>CHOOSE(CONTROL!$C$42, 99.7595, 99.7595)* CHOOSE(CONTROL!$C$21, $C$9, 100%, $E$9)</f>
        <v>99.759500000000003</v>
      </c>
      <c r="J915" s="14">
        <f>CHOOSE(CONTROL!$C$42, 99.4309, 99.4309)* CHOOSE(CONTROL!$C$21, $C$9, 100%, $E$9)</f>
        <v>99.430899999999994</v>
      </c>
      <c r="K915" s="53">
        <f>CHOOSE(CONTROL!$C$42, 99.7556, 99.7556) * CHOOSE(CONTROL!$C$21, $C$9, 100%, $E$9)</f>
        <v>99.755600000000001</v>
      </c>
      <c r="L915" s="14">
        <f>CHOOSE(CONTROL!$C$42, 100.1066, 100.1066) * CHOOSE(CONTROL!$C$21, $C$9, 100%, $E$9)</f>
        <v>100.1066</v>
      </c>
      <c r="M915" s="14">
        <f>CHOOSE(CONTROL!$C$42, 97.4013, 97.4013) * CHOOSE(CONTROL!$C$21, $C$9, 100%, $E$9)</f>
        <v>97.401300000000006</v>
      </c>
      <c r="N915" s="14">
        <f>CHOOSE(CONTROL!$C$42, 97.4186, 97.4186) * CHOOSE(CONTROL!$C$21, $C$9, 100%, $E$9)</f>
        <v>97.418599999999998</v>
      </c>
      <c r="O915" s="14">
        <f>CHOOSE(CONTROL!$C$42, 97.4882, 97.4882) * CHOOSE(CONTROL!$C$21, $C$9, 100%, $E$9)</f>
        <v>97.488200000000006</v>
      </c>
      <c r="P915" s="14">
        <f>CHOOSE(CONTROL!$C$42, 97.717, 97.717) * CHOOSE(CONTROL!$C$21, $C$9, 100%, $E$9)</f>
        <v>97.716999999999999</v>
      </c>
      <c r="Q915" s="14">
        <f>CHOOSE(CONTROL!$C$42, 98.0829, 98.0829) * CHOOSE(CONTROL!$C$21, $C$9, 100%, $E$9)</f>
        <v>98.082899999999995</v>
      </c>
      <c r="R915" s="14">
        <f>CHOOSE(CONTROL!$C$42, 98.9151, 98.9151) * CHOOSE(CONTROL!$C$21, $C$9, 100%, $E$9)</f>
        <v>98.915099999999995</v>
      </c>
      <c r="S915" s="14">
        <f>CHOOSE(CONTROL!$C$42, 95.5188, 95.5188) * CHOOSE(CONTROL!$C$21, $C$9, 100%, $E$9)</f>
        <v>95.518799999999999</v>
      </c>
      <c r="T91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15" s="57">
        <f>(1000*CHOOSE(CONTROL!$C$42, 695, 695)*CHOOSE(CONTROL!$C$42, 0.5599, 0.5599)*CHOOSE(CONTROL!$C$42, 31, 31))/1000000</f>
        <v>12.063045499999998</v>
      </c>
      <c r="V915" s="57">
        <f>(1000*CHOOSE(CONTROL!$C$42, 500, 500)*CHOOSE(CONTROL!$C$42, 0.275, 0.275)*CHOOSE(CONTROL!$C$42, 31, 31))/1000000</f>
        <v>4.2625000000000002</v>
      </c>
      <c r="W915" s="57">
        <f>(1000*CHOOSE(CONTROL!$C$42, 0.1146, 0.1146)*CHOOSE(CONTROL!$C$42, 121.5, 121.5)*CHOOSE(CONTROL!$C$42, 31, 31))/1000000</f>
        <v>0.43164089999999994</v>
      </c>
      <c r="X915" s="57">
        <f>(31*0.1790888*100000/1000000)+(31*0.2374*100000/1000000)</f>
        <v>1.2911152800000001</v>
      </c>
      <c r="Y915" s="57"/>
      <c r="Z915" s="14"/>
      <c r="AA915" s="56"/>
      <c r="AB915" s="50">
        <f>(B915*122.58+C915*297.941+D915*89.177+E915*40.302+F915*40+G915*160+H915*0+I915*100+J915*300)/(122.58+297.941+89.177+40.302+0+40+160+100+300)</f>
        <v>99.466986197739132</v>
      </c>
      <c r="AC915" s="45">
        <f>(M915*'RAP TEMPLATE-GAS AVAILABILITY'!O914+N915*'RAP TEMPLATE-GAS AVAILABILITY'!P914+O915*'RAP TEMPLATE-GAS AVAILABILITY'!Q914+P915*'RAP TEMPLATE-GAS AVAILABILITY'!R914)/('RAP TEMPLATE-GAS AVAILABILITY'!O914+'RAP TEMPLATE-GAS AVAILABILITY'!P914+'RAP TEMPLATE-GAS AVAILABILITY'!Q914+'RAP TEMPLATE-GAS AVAILABILITY'!R914)</f>
        <v>97.487106474820152</v>
      </c>
    </row>
    <row r="916" spans="1:29" ht="15.75" x14ac:dyDescent="0.25">
      <c r="A916" s="32">
        <v>68788</v>
      </c>
      <c r="B916" s="14">
        <f>CHOOSE(CONTROL!$C$42, 99.1178, 99.1178) * CHOOSE(CONTROL!$C$21, $C$9, 100%, $E$9)</f>
        <v>99.117800000000003</v>
      </c>
      <c r="C916" s="14">
        <f>CHOOSE(CONTROL!$C$42, 99.1223, 99.1223) * CHOOSE(CONTROL!$C$21, $C$9, 100%, $E$9)</f>
        <v>99.122299999999996</v>
      </c>
      <c r="D916" s="14">
        <f>CHOOSE(CONTROL!$C$42, 99.346, 99.346) * CHOOSE(CONTROL!$C$21, $C$9, 100%, $E$9)</f>
        <v>99.346000000000004</v>
      </c>
      <c r="E916" s="14">
        <f>CHOOSE(CONTROL!$C$42, 99.3781, 99.3781) * CHOOSE(CONTROL!$C$21, $C$9, 100%, $E$9)</f>
        <v>99.378100000000003</v>
      </c>
      <c r="F916" s="14">
        <f>CHOOSE(CONTROL!$C$42, 99.1455, 99.1455)*CHOOSE(CONTROL!$C$21, $C$9, 100%, $E$9)</f>
        <v>99.145499999999998</v>
      </c>
      <c r="G916" s="14">
        <f>CHOOSE(CONTROL!$C$42, 99.1624, 99.1624)*CHOOSE(CONTROL!$C$21, $C$9, 100%, $E$9)</f>
        <v>99.162400000000005</v>
      </c>
      <c r="H916" s="14">
        <f>CHOOSE(CONTROL!$C$42, 99.3679, 99.3679) * CHOOSE(CONTROL!$C$21, $C$9, 100%, $E$9)</f>
        <v>99.367900000000006</v>
      </c>
      <c r="I916" s="14">
        <f>CHOOSE(CONTROL!$C$42, 99.4575, 99.4575)* CHOOSE(CONTROL!$C$21, $C$9, 100%, $E$9)</f>
        <v>99.457499999999996</v>
      </c>
      <c r="J916" s="14">
        <f>CHOOSE(CONTROL!$C$42, 99.1385, 99.1385)* CHOOSE(CONTROL!$C$21, $C$9, 100%, $E$9)</f>
        <v>99.138499999999993</v>
      </c>
      <c r="K916" s="53">
        <f>CHOOSE(CONTROL!$C$42, 99.4536, 99.4536) * CHOOSE(CONTROL!$C$21, $C$9, 100%, $E$9)</f>
        <v>99.453599999999994</v>
      </c>
      <c r="L916" s="14">
        <f>CHOOSE(CONTROL!$C$42, 99.9549, 99.9549) * CHOOSE(CONTROL!$C$21, $C$9, 100%, $E$9)</f>
        <v>99.954899999999995</v>
      </c>
      <c r="M916" s="14">
        <f>CHOOSE(CONTROL!$C$42, 97.1149, 97.1149) * CHOOSE(CONTROL!$C$21, $C$9, 100%, $E$9)</f>
        <v>97.114900000000006</v>
      </c>
      <c r="N916" s="14">
        <f>CHOOSE(CONTROL!$C$42, 97.1314, 97.1314) * CHOOSE(CONTROL!$C$21, $C$9, 100%, $E$9)</f>
        <v>97.131399999999999</v>
      </c>
      <c r="O916" s="14">
        <f>CHOOSE(CONTROL!$C$42, 97.3396, 97.3396) * CHOOSE(CONTROL!$C$21, $C$9, 100%, $E$9)</f>
        <v>97.339600000000004</v>
      </c>
      <c r="P916" s="14">
        <f>CHOOSE(CONTROL!$C$42, 97.4212, 97.4212) * CHOOSE(CONTROL!$C$21, $C$9, 100%, $E$9)</f>
        <v>97.421199999999999</v>
      </c>
      <c r="Q916" s="14">
        <f>CHOOSE(CONTROL!$C$42, 97.9343, 97.9343) * CHOOSE(CONTROL!$C$21, $C$9, 100%, $E$9)</f>
        <v>97.934299999999993</v>
      </c>
      <c r="R916" s="14">
        <f>CHOOSE(CONTROL!$C$42, 98.7661, 98.7661) * CHOOSE(CONTROL!$C$21, $C$9, 100%, $E$9)</f>
        <v>98.766099999999994</v>
      </c>
      <c r="S916" s="14">
        <f>CHOOSE(CONTROL!$C$42, 95.233, 95.233) * CHOOSE(CONTROL!$C$21, $C$9, 100%, $E$9)</f>
        <v>95.233000000000004</v>
      </c>
      <c r="T91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16" s="57">
        <f>(1000*CHOOSE(CONTROL!$C$42, 695, 695)*CHOOSE(CONTROL!$C$42, 0.5599, 0.5599)*CHOOSE(CONTROL!$C$42, 30, 30))/1000000</f>
        <v>11.673914999999997</v>
      </c>
      <c r="V916" s="57">
        <f>(1000*CHOOSE(CONTROL!$C$42, 500, 500)*CHOOSE(CONTROL!$C$42, 0.275, 0.275)*CHOOSE(CONTROL!$C$42, 30, 30))/1000000</f>
        <v>4.125</v>
      </c>
      <c r="W916" s="57">
        <f>(1000*CHOOSE(CONTROL!$C$42, 0.1146, 0.1146)*CHOOSE(CONTROL!$C$42, 121.5, 121.5)*CHOOSE(CONTROL!$C$42, 30, 30))/1000000</f>
        <v>0.417717</v>
      </c>
      <c r="X916" s="57">
        <f>(30*0.1790888*245000/1000000)+(30*0.2374*100000/1000000)</f>
        <v>2.0285026799999999</v>
      </c>
      <c r="Y916" s="57"/>
      <c r="Z916" s="14"/>
      <c r="AA916" s="56"/>
      <c r="AB916" s="50">
        <f>(B916*141.293+C916*267.993+D916*115.016+E916*89.698+F916*40+G916*185+H916*0+I916*100+J916*300)/(141.293+267.993+115.016+89.698+0+40+185+100+300)</f>
        <v>99.198784672397096</v>
      </c>
      <c r="AC916" s="45">
        <f>(M916*'RAP TEMPLATE-GAS AVAILABILITY'!O915+N916*'RAP TEMPLATE-GAS AVAILABILITY'!P915+O916*'RAP TEMPLATE-GAS AVAILABILITY'!Q915+P916*'RAP TEMPLATE-GAS AVAILABILITY'!R915)/('RAP TEMPLATE-GAS AVAILABILITY'!O915+'RAP TEMPLATE-GAS AVAILABILITY'!P915+'RAP TEMPLATE-GAS AVAILABILITY'!Q915+'RAP TEMPLATE-GAS AVAILABILITY'!R915)</f>
        <v>97.261764028776994</v>
      </c>
    </row>
    <row r="917" spans="1:29" ht="15.75" x14ac:dyDescent="0.25">
      <c r="A917" s="32">
        <v>68819</v>
      </c>
      <c r="B917" s="14">
        <f>CHOOSE(CONTROL!$C$42, 99.9939, 99.9939) * CHOOSE(CONTROL!$C$21, $C$9, 100%, $E$9)</f>
        <v>99.993899999999996</v>
      </c>
      <c r="C917" s="14">
        <f>CHOOSE(CONTROL!$C$42, 100.0019, 100.0019) * CHOOSE(CONTROL!$C$21, $C$9, 100%, $E$9)</f>
        <v>100.00190000000001</v>
      </c>
      <c r="D917" s="14">
        <f>CHOOSE(CONTROL!$C$42, 100.2225, 100.2225) * CHOOSE(CONTROL!$C$21, $C$9, 100%, $E$9)</f>
        <v>100.2225</v>
      </c>
      <c r="E917" s="14">
        <f>CHOOSE(CONTROL!$C$42, 100.254, 100.254) * CHOOSE(CONTROL!$C$21, $C$9, 100%, $E$9)</f>
        <v>100.254</v>
      </c>
      <c r="F917" s="14">
        <f>CHOOSE(CONTROL!$C$42, 100.0202, 100.0202)*CHOOSE(CONTROL!$C$21, $C$9, 100%, $E$9)</f>
        <v>100.0202</v>
      </c>
      <c r="G917" s="14">
        <f>CHOOSE(CONTROL!$C$42, 100.0373, 100.0373)*CHOOSE(CONTROL!$C$21, $C$9, 100%, $E$9)</f>
        <v>100.0373</v>
      </c>
      <c r="H917" s="14">
        <f>CHOOSE(CONTROL!$C$42, 100.2426, 100.2426) * CHOOSE(CONTROL!$C$21, $C$9, 100%, $E$9)</f>
        <v>100.2426</v>
      </c>
      <c r="I917" s="14">
        <f>CHOOSE(CONTROL!$C$42, 100.335, 100.335)* CHOOSE(CONTROL!$C$21, $C$9, 100%, $E$9)</f>
        <v>100.33499999999999</v>
      </c>
      <c r="J917" s="14">
        <f>CHOOSE(CONTROL!$C$42, 100.0132, 100.0132)* CHOOSE(CONTROL!$C$21, $C$9, 100%, $E$9)</f>
        <v>100.0132</v>
      </c>
      <c r="K917" s="53">
        <f>CHOOSE(CONTROL!$C$42, 100.3311, 100.3311) * CHOOSE(CONTROL!$C$21, $C$9, 100%, $E$9)</f>
        <v>100.33110000000001</v>
      </c>
      <c r="L917" s="14">
        <f>CHOOSE(CONTROL!$C$42, 100.8296, 100.8296) * CHOOSE(CONTROL!$C$21, $C$9, 100%, $E$9)</f>
        <v>100.8296</v>
      </c>
      <c r="M917" s="14">
        <f>CHOOSE(CONTROL!$C$42, 97.9717, 97.9717) * CHOOSE(CONTROL!$C$21, $C$9, 100%, $E$9)</f>
        <v>97.971699999999998</v>
      </c>
      <c r="N917" s="14">
        <f>CHOOSE(CONTROL!$C$42, 97.9884, 97.9884) * CHOOSE(CONTROL!$C$21, $C$9, 100%, $E$9)</f>
        <v>97.988399999999999</v>
      </c>
      <c r="O917" s="14">
        <f>CHOOSE(CONTROL!$C$42, 98.1964, 98.1964) * CHOOSE(CONTROL!$C$21, $C$9, 100%, $E$9)</f>
        <v>98.196399999999997</v>
      </c>
      <c r="P917" s="14">
        <f>CHOOSE(CONTROL!$C$42, 98.2806, 98.2806) * CHOOSE(CONTROL!$C$21, $C$9, 100%, $E$9)</f>
        <v>98.280600000000007</v>
      </c>
      <c r="Q917" s="14">
        <f>CHOOSE(CONTROL!$C$42, 98.7911, 98.7911) * CHOOSE(CONTROL!$C$21, $C$9, 100%, $E$9)</f>
        <v>98.7911</v>
      </c>
      <c r="R917" s="14">
        <f>CHOOSE(CONTROL!$C$42, 99.6251, 99.6251) * CHOOSE(CONTROL!$C$21, $C$9, 100%, $E$9)</f>
        <v>99.625100000000003</v>
      </c>
      <c r="S917" s="14">
        <f>CHOOSE(CONTROL!$C$42, 96.0735, 96.0735) * CHOOSE(CONTROL!$C$21, $C$9, 100%, $E$9)</f>
        <v>96.073499999999996</v>
      </c>
      <c r="T91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17" s="57">
        <f>(1000*CHOOSE(CONTROL!$C$42, 695, 695)*CHOOSE(CONTROL!$C$42, 0.5599, 0.5599)*CHOOSE(CONTROL!$C$42, 31, 31))/1000000</f>
        <v>12.063045499999998</v>
      </c>
      <c r="V917" s="57">
        <f>(1000*CHOOSE(CONTROL!$C$42, 500, 500)*CHOOSE(CONTROL!$C$42, 0.275, 0.275)*CHOOSE(CONTROL!$C$42, 31, 31))/1000000</f>
        <v>4.2625000000000002</v>
      </c>
      <c r="W917" s="57">
        <f>(1000*CHOOSE(CONTROL!$C$42, 0.1146, 0.1146)*CHOOSE(CONTROL!$C$42, 121.5, 121.5)*CHOOSE(CONTROL!$C$42, 31, 31))/1000000</f>
        <v>0.43164089999999994</v>
      </c>
      <c r="X917" s="57">
        <f>(31*0.1790888*245000/1000000)+(31*0.2374*100000/1000000)</f>
        <v>2.0961194359999999</v>
      </c>
      <c r="Y917" s="57"/>
      <c r="Z917" s="14"/>
      <c r="AA917" s="56"/>
      <c r="AB917" s="50">
        <f>(B917*194.205+C917*267.466+D917*133.845+E917*53.484+F917*40+G917*185+H917*0+I917*100+J917*300)/(194.205+267.466+133.845+53.484+0+40+185+100+300)</f>
        <v>100.06896191789639</v>
      </c>
      <c r="AC917" s="45">
        <f>(M917*'RAP TEMPLATE-GAS AVAILABILITY'!O916+N917*'RAP TEMPLATE-GAS AVAILABILITY'!P916+O917*'RAP TEMPLATE-GAS AVAILABILITY'!Q916+P917*'RAP TEMPLATE-GAS AVAILABILITY'!R916)/('RAP TEMPLATE-GAS AVAILABILITY'!O916+'RAP TEMPLATE-GAS AVAILABILITY'!P916+'RAP TEMPLATE-GAS AVAILABILITY'!Q916+'RAP TEMPLATE-GAS AVAILABILITY'!R916)</f>
        <v>98.118949640287767</v>
      </c>
    </row>
    <row r="918" spans="1:29" ht="15.75" x14ac:dyDescent="0.25">
      <c r="A918" s="32">
        <v>68849</v>
      </c>
      <c r="B918" s="14">
        <f>CHOOSE(CONTROL!$C$42, 102.83, 102.83) * CHOOSE(CONTROL!$C$21, $C$9, 100%, $E$9)</f>
        <v>102.83</v>
      </c>
      <c r="C918" s="14">
        <f>CHOOSE(CONTROL!$C$42, 102.8381, 102.8381) * CHOOSE(CONTROL!$C$21, $C$9, 100%, $E$9)</f>
        <v>102.8381</v>
      </c>
      <c r="D918" s="14">
        <f>CHOOSE(CONTROL!$C$42, 103.0586, 103.0586) * CHOOSE(CONTROL!$C$21, $C$9, 100%, $E$9)</f>
        <v>103.0586</v>
      </c>
      <c r="E918" s="14">
        <f>CHOOSE(CONTROL!$C$42, 103.0901, 103.0901) * CHOOSE(CONTROL!$C$21, $C$9, 100%, $E$9)</f>
        <v>103.09010000000001</v>
      </c>
      <c r="F918" s="14">
        <f>CHOOSE(CONTROL!$C$42, 102.8567, 102.8567)*CHOOSE(CONTROL!$C$21, $C$9, 100%, $E$9)</f>
        <v>102.8567</v>
      </c>
      <c r="G918" s="14">
        <f>CHOOSE(CONTROL!$C$42, 102.8739, 102.8739)*CHOOSE(CONTROL!$C$21, $C$9, 100%, $E$9)</f>
        <v>102.87390000000001</v>
      </c>
      <c r="H918" s="14">
        <f>CHOOSE(CONTROL!$C$42, 103.0787, 103.0787) * CHOOSE(CONTROL!$C$21, $C$9, 100%, $E$9)</f>
        <v>103.0787</v>
      </c>
      <c r="I918" s="14">
        <f>CHOOSE(CONTROL!$C$42, 103.18, 103.18)* CHOOSE(CONTROL!$C$21, $C$9, 100%, $E$9)</f>
        <v>103.18</v>
      </c>
      <c r="J918" s="14">
        <f>CHOOSE(CONTROL!$C$42, 102.8497, 102.8497)* CHOOSE(CONTROL!$C$21, $C$9, 100%, $E$9)</f>
        <v>102.8497</v>
      </c>
      <c r="K918" s="53">
        <f>CHOOSE(CONTROL!$C$42, 103.1761, 103.1761) * CHOOSE(CONTROL!$C$21, $C$9, 100%, $E$9)</f>
        <v>103.17610000000001</v>
      </c>
      <c r="L918" s="14">
        <f>CHOOSE(CONTROL!$C$42, 103.6657, 103.6657) * CHOOSE(CONTROL!$C$21, $C$9, 100%, $E$9)</f>
        <v>103.6657</v>
      </c>
      <c r="M918" s="14">
        <f>CHOOSE(CONTROL!$C$42, 100.75, 100.75) * CHOOSE(CONTROL!$C$21, $C$9, 100%, $E$9)</f>
        <v>100.75</v>
      </c>
      <c r="N918" s="14">
        <f>CHOOSE(CONTROL!$C$42, 100.7669, 100.7669) * CHOOSE(CONTROL!$C$21, $C$9, 100%, $E$9)</f>
        <v>100.76690000000001</v>
      </c>
      <c r="O918" s="14">
        <f>CHOOSE(CONTROL!$C$42, 100.9744, 100.9744) * CHOOSE(CONTROL!$C$21, $C$9, 100%, $E$9)</f>
        <v>100.9744</v>
      </c>
      <c r="P918" s="14">
        <f>CHOOSE(CONTROL!$C$42, 101.0672, 101.0672) * CHOOSE(CONTROL!$C$21, $C$9, 100%, $E$9)</f>
        <v>101.0672</v>
      </c>
      <c r="Q918" s="14">
        <f>CHOOSE(CONTROL!$C$42, 101.5691, 101.5691) * CHOOSE(CONTROL!$C$21, $C$9, 100%, $E$9)</f>
        <v>101.56910000000001</v>
      </c>
      <c r="R918" s="14">
        <f>CHOOSE(CONTROL!$C$42, 102.41, 102.41) * CHOOSE(CONTROL!$C$21, $C$9, 100%, $E$9)</f>
        <v>102.41</v>
      </c>
      <c r="S918" s="14">
        <f>CHOOSE(CONTROL!$C$42, 98.7988, 98.7988) * CHOOSE(CONTROL!$C$21, $C$9, 100%, $E$9)</f>
        <v>98.7988</v>
      </c>
      <c r="T91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18" s="57">
        <f>(1000*CHOOSE(CONTROL!$C$42, 695, 695)*CHOOSE(CONTROL!$C$42, 0.5599, 0.5599)*CHOOSE(CONTROL!$C$42, 30, 30))/1000000</f>
        <v>11.673914999999997</v>
      </c>
      <c r="V918" s="57">
        <f>(1000*CHOOSE(CONTROL!$C$42, 500, 500)*CHOOSE(CONTROL!$C$42, 0.275, 0.275)*CHOOSE(CONTROL!$C$42, 30, 30))/1000000</f>
        <v>4.125</v>
      </c>
      <c r="W918" s="57">
        <f>(1000*CHOOSE(CONTROL!$C$42, 0.1146, 0.1146)*CHOOSE(CONTROL!$C$42, 121.5, 121.5)*CHOOSE(CONTROL!$C$42, 30, 30))/1000000</f>
        <v>0.417717</v>
      </c>
      <c r="X918" s="57">
        <f>(30*0.1790888*245000/1000000)+(30*0.2374*100000/1000000)</f>
        <v>2.0285026799999999</v>
      </c>
      <c r="Y918" s="57"/>
      <c r="Z918" s="14"/>
      <c r="AA918" s="56"/>
      <c r="AB918" s="50">
        <f>(B918*194.205+C918*267.466+D918*133.845+E918*53.484+F918*40+G918*185+H918*0+I918*100+J918*300)/(194.205+267.466+133.845+53.484+0+40+185+100+300)</f>
        <v>102.90596085557299</v>
      </c>
      <c r="AC918" s="45">
        <f>(M918*'RAP TEMPLATE-GAS AVAILABILITY'!O917+N918*'RAP TEMPLATE-GAS AVAILABILITY'!P917+O918*'RAP TEMPLATE-GAS AVAILABILITY'!Q917+P918*'RAP TEMPLATE-GAS AVAILABILITY'!R917)/('RAP TEMPLATE-GAS AVAILABILITY'!O917+'RAP TEMPLATE-GAS AVAILABILITY'!P917+'RAP TEMPLATE-GAS AVAILABILITY'!Q917+'RAP TEMPLATE-GAS AVAILABILITY'!R917)</f>
        <v>100.89831942446042</v>
      </c>
    </row>
    <row r="919" spans="1:29" ht="15.75" x14ac:dyDescent="0.25">
      <c r="A919" s="32">
        <v>68880</v>
      </c>
      <c r="B919" s="14">
        <f>CHOOSE(CONTROL!$C$42, 100.8575, 100.8575) * CHOOSE(CONTROL!$C$21, $C$9, 100%, $E$9)</f>
        <v>100.8575</v>
      </c>
      <c r="C919" s="14">
        <f>CHOOSE(CONTROL!$C$42, 100.8655, 100.8655) * CHOOSE(CONTROL!$C$21, $C$9, 100%, $E$9)</f>
        <v>100.8655</v>
      </c>
      <c r="D919" s="14">
        <f>CHOOSE(CONTROL!$C$42, 101.0861, 101.0861) * CHOOSE(CONTROL!$C$21, $C$9, 100%, $E$9)</f>
        <v>101.0861</v>
      </c>
      <c r="E919" s="14">
        <f>CHOOSE(CONTROL!$C$42, 101.1176, 101.1176) * CHOOSE(CONTROL!$C$21, $C$9, 100%, $E$9)</f>
        <v>101.1176</v>
      </c>
      <c r="F919" s="14">
        <f>CHOOSE(CONTROL!$C$42, 100.8846, 100.8846)*CHOOSE(CONTROL!$C$21, $C$9, 100%, $E$9)</f>
        <v>100.88460000000001</v>
      </c>
      <c r="G919" s="14">
        <f>CHOOSE(CONTROL!$C$42, 100.9019, 100.9019)*CHOOSE(CONTROL!$C$21, $C$9, 100%, $E$9)</f>
        <v>100.9019</v>
      </c>
      <c r="H919" s="14">
        <f>CHOOSE(CONTROL!$C$42, 101.1062, 101.1062) * CHOOSE(CONTROL!$C$21, $C$9, 100%, $E$9)</f>
        <v>101.1062</v>
      </c>
      <c r="I919" s="14">
        <f>CHOOSE(CONTROL!$C$42, 101.2012, 101.2012)* CHOOSE(CONTROL!$C$21, $C$9, 100%, $E$9)</f>
        <v>101.2012</v>
      </c>
      <c r="J919" s="14">
        <f>CHOOSE(CONTROL!$C$42, 100.8776, 100.8776)* CHOOSE(CONTROL!$C$21, $C$9, 100%, $E$9)</f>
        <v>100.8776</v>
      </c>
      <c r="K919" s="53">
        <f>CHOOSE(CONTROL!$C$42, 101.1974, 101.1974) * CHOOSE(CONTROL!$C$21, $C$9, 100%, $E$9)</f>
        <v>101.1974</v>
      </c>
      <c r="L919" s="14">
        <f>CHOOSE(CONTROL!$C$42, 101.6932, 101.6932) * CHOOSE(CONTROL!$C$21, $C$9, 100%, $E$9)</f>
        <v>101.6932</v>
      </c>
      <c r="M919" s="14">
        <f>CHOOSE(CONTROL!$C$42, 98.8183, 98.8183) * CHOOSE(CONTROL!$C$21, $C$9, 100%, $E$9)</f>
        <v>98.818299999999994</v>
      </c>
      <c r="N919" s="14">
        <f>CHOOSE(CONTROL!$C$42, 98.8353, 98.8353) * CHOOSE(CONTROL!$C$21, $C$9, 100%, $E$9)</f>
        <v>98.835300000000004</v>
      </c>
      <c r="O919" s="14">
        <f>CHOOSE(CONTROL!$C$42, 99.0423, 99.0423) * CHOOSE(CONTROL!$C$21, $C$9, 100%, $E$9)</f>
        <v>99.042299999999997</v>
      </c>
      <c r="P919" s="14">
        <f>CHOOSE(CONTROL!$C$42, 99.1291, 99.1291) * CHOOSE(CONTROL!$C$21, $C$9, 100%, $E$9)</f>
        <v>99.129099999999994</v>
      </c>
      <c r="Q919" s="14">
        <f>CHOOSE(CONTROL!$C$42, 99.637, 99.637) * CHOOSE(CONTROL!$C$21, $C$9, 100%, $E$9)</f>
        <v>99.637</v>
      </c>
      <c r="R919" s="14">
        <f>CHOOSE(CONTROL!$C$42, 100.4731, 100.4731) * CHOOSE(CONTROL!$C$21, $C$9, 100%, $E$9)</f>
        <v>100.4731</v>
      </c>
      <c r="S919" s="14">
        <f>CHOOSE(CONTROL!$C$42, 96.9033, 96.9033) * CHOOSE(CONTROL!$C$21, $C$9, 100%, $E$9)</f>
        <v>96.903300000000002</v>
      </c>
      <c r="T91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9" s="57">
        <f>(1000*CHOOSE(CONTROL!$C$42, 695, 695)*CHOOSE(CONTROL!$C$42, 0.5599, 0.5599)*CHOOSE(CONTROL!$C$42, 31, 31))/1000000</f>
        <v>12.063045499999998</v>
      </c>
      <c r="V919" s="57">
        <f>(1000*CHOOSE(CONTROL!$C$42, 500, 500)*CHOOSE(CONTROL!$C$42, 0.275, 0.275)*CHOOSE(CONTROL!$C$42, 31, 31))/1000000</f>
        <v>4.2625000000000002</v>
      </c>
      <c r="W919" s="57">
        <f>(1000*CHOOSE(CONTROL!$C$42, 0.1146, 0.1146)*CHOOSE(CONTROL!$C$42, 121.5, 121.5)*CHOOSE(CONTROL!$C$42, 31, 31))/1000000</f>
        <v>0.43164089999999994</v>
      </c>
      <c r="X919" s="57">
        <f>(31*0.1790888*245000/1000000)+(31*0.2374*100000/1000000)</f>
        <v>2.0961194359999999</v>
      </c>
      <c r="Y919" s="57"/>
      <c r="Z919" s="14"/>
      <c r="AA919" s="56"/>
      <c r="AB919" s="50">
        <f>(B919*194.205+C919*267.466+D919*133.845+E919*53.484+F919*40+G919*185+H919*0+I919*100+J919*300)/(194.205+267.466+133.845+53.484+0+40+185+100+300)</f>
        <v>100.93312471224489</v>
      </c>
      <c r="AC919" s="45">
        <f>(M919*'RAP TEMPLATE-GAS AVAILABILITY'!O918+N919*'RAP TEMPLATE-GAS AVAILABILITY'!P918+O919*'RAP TEMPLATE-GAS AVAILABILITY'!Q918+P919*'RAP TEMPLATE-GAS AVAILABILITY'!R918)/('RAP TEMPLATE-GAS AVAILABILITY'!O918+'RAP TEMPLATE-GAS AVAILABILITY'!P918+'RAP TEMPLATE-GAS AVAILABILITY'!Q918+'RAP TEMPLATE-GAS AVAILABILITY'!R918)</f>
        <v>98.965523021582726</v>
      </c>
    </row>
    <row r="920" spans="1:29" ht="15.75" x14ac:dyDescent="0.25">
      <c r="A920" s="32">
        <v>68911</v>
      </c>
      <c r="B920" s="14">
        <f>CHOOSE(CONTROL!$C$42, 95.8762, 95.8762) * CHOOSE(CONTROL!$C$21, $C$9, 100%, $E$9)</f>
        <v>95.876199999999997</v>
      </c>
      <c r="C920" s="14">
        <f>CHOOSE(CONTROL!$C$42, 95.8842, 95.8842) * CHOOSE(CONTROL!$C$21, $C$9, 100%, $E$9)</f>
        <v>95.884200000000007</v>
      </c>
      <c r="D920" s="14">
        <f>CHOOSE(CONTROL!$C$42, 96.1048, 96.1048) * CHOOSE(CONTROL!$C$21, $C$9, 100%, $E$9)</f>
        <v>96.104799999999997</v>
      </c>
      <c r="E920" s="14">
        <f>CHOOSE(CONTROL!$C$42, 96.1363, 96.1363) * CHOOSE(CONTROL!$C$21, $C$9, 100%, $E$9)</f>
        <v>96.136300000000006</v>
      </c>
      <c r="F920" s="14">
        <f>CHOOSE(CONTROL!$C$42, 95.9035, 95.9035)*CHOOSE(CONTROL!$C$21, $C$9, 100%, $E$9)</f>
        <v>95.903499999999994</v>
      </c>
      <c r="G920" s="14">
        <f>CHOOSE(CONTROL!$C$42, 95.921, 95.921)*CHOOSE(CONTROL!$C$21, $C$9, 100%, $E$9)</f>
        <v>95.921000000000006</v>
      </c>
      <c r="H920" s="14">
        <f>CHOOSE(CONTROL!$C$42, 96.1249, 96.1249) * CHOOSE(CONTROL!$C$21, $C$9, 100%, $E$9)</f>
        <v>96.124899999999997</v>
      </c>
      <c r="I920" s="14">
        <f>CHOOSE(CONTROL!$C$42, 96.2043, 96.2043)* CHOOSE(CONTROL!$C$21, $C$9, 100%, $E$9)</f>
        <v>96.204300000000003</v>
      </c>
      <c r="J920" s="14">
        <f>CHOOSE(CONTROL!$C$42, 95.8965, 95.8965)* CHOOSE(CONTROL!$C$21, $C$9, 100%, $E$9)</f>
        <v>95.896500000000003</v>
      </c>
      <c r="K920" s="53">
        <f>CHOOSE(CONTROL!$C$42, 96.2005, 96.2005) * CHOOSE(CONTROL!$C$21, $C$9, 100%, $E$9)</f>
        <v>96.200500000000005</v>
      </c>
      <c r="L920" s="14">
        <f>CHOOSE(CONTROL!$C$42, 96.7119, 96.7119) * CHOOSE(CONTROL!$C$21, $C$9, 100%, $E$9)</f>
        <v>96.7119</v>
      </c>
      <c r="M920" s="14">
        <f>CHOOSE(CONTROL!$C$42, 93.9394, 93.9394) * CHOOSE(CONTROL!$C$21, $C$9, 100%, $E$9)</f>
        <v>93.939400000000006</v>
      </c>
      <c r="N920" s="14">
        <f>CHOOSE(CONTROL!$C$42, 93.9564, 93.9564) * CHOOSE(CONTROL!$C$21, $C$9, 100%, $E$9)</f>
        <v>93.956400000000002</v>
      </c>
      <c r="O920" s="14">
        <f>CHOOSE(CONTROL!$C$42, 94.1631, 94.1631) * CHOOSE(CONTROL!$C$21, $C$9, 100%, $E$9)</f>
        <v>94.1631</v>
      </c>
      <c r="P920" s="14">
        <f>CHOOSE(CONTROL!$C$42, 94.2349, 94.2349) * CHOOSE(CONTROL!$C$21, $C$9, 100%, $E$9)</f>
        <v>94.234899999999996</v>
      </c>
      <c r="Q920" s="14">
        <f>CHOOSE(CONTROL!$C$42, 94.7578, 94.7578) * CHOOSE(CONTROL!$C$21, $C$9, 100%, $E$9)</f>
        <v>94.757800000000003</v>
      </c>
      <c r="R920" s="14">
        <f>CHOOSE(CONTROL!$C$42, 95.5817, 95.5817) * CHOOSE(CONTROL!$C$21, $C$9, 100%, $E$9)</f>
        <v>95.581699999999998</v>
      </c>
      <c r="S920" s="14">
        <f>CHOOSE(CONTROL!$C$42, 92.1168, 92.1168) * CHOOSE(CONTROL!$C$21, $C$9, 100%, $E$9)</f>
        <v>92.116799999999998</v>
      </c>
      <c r="T92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0" s="57">
        <f>(1000*CHOOSE(CONTROL!$C$42, 695, 695)*CHOOSE(CONTROL!$C$42, 0.5599, 0.5599)*CHOOSE(CONTROL!$C$42, 31, 31))/1000000</f>
        <v>12.063045499999998</v>
      </c>
      <c r="V920" s="57">
        <f>(1000*CHOOSE(CONTROL!$C$42, 500, 500)*CHOOSE(CONTROL!$C$42, 0.275, 0.275)*CHOOSE(CONTROL!$C$42, 31, 31))/1000000</f>
        <v>4.2625000000000002</v>
      </c>
      <c r="W920" s="57">
        <f>(1000*CHOOSE(CONTROL!$C$42, 0.1146, 0.1146)*CHOOSE(CONTROL!$C$42, 121.5, 121.5)*CHOOSE(CONTROL!$C$42, 31, 31))/1000000</f>
        <v>0.43164089999999994</v>
      </c>
      <c r="X920" s="57">
        <f>(31*0.1790888*245000/1000000)+(31*0.2374*100000/1000000)</f>
        <v>2.0961194359999999</v>
      </c>
      <c r="Y920" s="57"/>
      <c r="Z920" s="14"/>
      <c r="AA920" s="56"/>
      <c r="AB920" s="50">
        <f>(B920*194.205+C920*267.466+D920*133.845+E920*53.484+F920*40+G920*185+H920*0+I920*100+J920*300)/(194.205+267.466+133.845+53.484+0+40+185+100+300)</f>
        <v>95.950711682417577</v>
      </c>
      <c r="AC920" s="45">
        <f>(M920*'RAP TEMPLATE-GAS AVAILABILITY'!O919+N920*'RAP TEMPLATE-GAS AVAILABILITY'!P919+O920*'RAP TEMPLATE-GAS AVAILABILITY'!Q919+P920*'RAP TEMPLATE-GAS AVAILABILITY'!R919)/('RAP TEMPLATE-GAS AVAILABILITY'!O919+'RAP TEMPLATE-GAS AVAILABILITY'!P919+'RAP TEMPLATE-GAS AVAILABILITY'!Q919+'RAP TEMPLATE-GAS AVAILABILITY'!R919)</f>
        <v>94.084285611510779</v>
      </c>
    </row>
    <row r="921" spans="1:29" ht="15.75" x14ac:dyDescent="0.25">
      <c r="A921" s="32">
        <v>68941</v>
      </c>
      <c r="B921" s="14">
        <f>CHOOSE(CONTROL!$C$42, 89.7897, 89.7897) * CHOOSE(CONTROL!$C$21, $C$9, 100%, $E$9)</f>
        <v>89.789699999999996</v>
      </c>
      <c r="C921" s="14">
        <f>CHOOSE(CONTROL!$C$42, 89.7978, 89.7978) * CHOOSE(CONTROL!$C$21, $C$9, 100%, $E$9)</f>
        <v>89.797799999999995</v>
      </c>
      <c r="D921" s="14">
        <f>CHOOSE(CONTROL!$C$42, 90.0183, 90.0183) * CHOOSE(CONTROL!$C$21, $C$9, 100%, $E$9)</f>
        <v>90.018299999999996</v>
      </c>
      <c r="E921" s="14">
        <f>CHOOSE(CONTROL!$C$42, 90.0498, 90.0498) * CHOOSE(CONTROL!$C$21, $C$9, 100%, $E$9)</f>
        <v>90.049800000000005</v>
      </c>
      <c r="F921" s="14">
        <f>CHOOSE(CONTROL!$C$42, 89.8171, 89.8171)*CHOOSE(CONTROL!$C$21, $C$9, 100%, $E$9)</f>
        <v>89.817099999999996</v>
      </c>
      <c r="G921" s="14">
        <f>CHOOSE(CONTROL!$C$42, 89.8345, 89.8345)*CHOOSE(CONTROL!$C$21, $C$9, 100%, $E$9)</f>
        <v>89.834500000000006</v>
      </c>
      <c r="H921" s="14">
        <f>CHOOSE(CONTROL!$C$42, 90.0384, 90.0384) * CHOOSE(CONTROL!$C$21, $C$9, 100%, $E$9)</f>
        <v>90.038399999999996</v>
      </c>
      <c r="I921" s="14">
        <f>CHOOSE(CONTROL!$C$42, 90.0988, 90.0988)* CHOOSE(CONTROL!$C$21, $C$9, 100%, $E$9)</f>
        <v>90.098799999999997</v>
      </c>
      <c r="J921" s="14">
        <f>CHOOSE(CONTROL!$C$42, 89.8101, 89.8101)* CHOOSE(CONTROL!$C$21, $C$9, 100%, $E$9)</f>
        <v>89.810100000000006</v>
      </c>
      <c r="K921" s="53">
        <f>CHOOSE(CONTROL!$C$42, 90.0949, 90.0949) * CHOOSE(CONTROL!$C$21, $C$9, 100%, $E$9)</f>
        <v>90.094899999999996</v>
      </c>
      <c r="L921" s="14">
        <f>CHOOSE(CONTROL!$C$42, 90.6254, 90.6254) * CHOOSE(CONTROL!$C$21, $C$9, 100%, $E$9)</f>
        <v>90.625399999999999</v>
      </c>
      <c r="M921" s="14">
        <f>CHOOSE(CONTROL!$C$42, 87.9776, 87.9776) * CHOOSE(CONTROL!$C$21, $C$9, 100%, $E$9)</f>
        <v>87.977599999999995</v>
      </c>
      <c r="N921" s="14">
        <f>CHOOSE(CONTROL!$C$42, 87.9947, 87.9947) * CHOOSE(CONTROL!$C$21, $C$9, 100%, $E$9)</f>
        <v>87.994699999999995</v>
      </c>
      <c r="O921" s="14">
        <f>CHOOSE(CONTROL!$C$42, 88.2013, 88.2013) * CHOOSE(CONTROL!$C$21, $C$9, 100%, $E$9)</f>
        <v>88.201300000000003</v>
      </c>
      <c r="P921" s="14">
        <f>CHOOSE(CONTROL!$C$42, 88.2549, 88.2549) * CHOOSE(CONTROL!$C$21, $C$9, 100%, $E$9)</f>
        <v>88.254900000000006</v>
      </c>
      <c r="Q921" s="14">
        <f>CHOOSE(CONTROL!$C$42, 88.796, 88.796) * CHOOSE(CONTROL!$C$21, $C$9, 100%, $E$9)</f>
        <v>88.796000000000006</v>
      </c>
      <c r="R921" s="14">
        <f>CHOOSE(CONTROL!$C$42, 89.605, 89.605) * CHOOSE(CONTROL!$C$21, $C$9, 100%, $E$9)</f>
        <v>89.605000000000004</v>
      </c>
      <c r="S921" s="14">
        <f>CHOOSE(CONTROL!$C$42, 86.2683, 86.2683) * CHOOSE(CONTROL!$C$21, $C$9, 100%, $E$9)</f>
        <v>86.268299999999996</v>
      </c>
      <c r="T92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21" s="57">
        <f>(1000*CHOOSE(CONTROL!$C$42, 695, 695)*CHOOSE(CONTROL!$C$42, 0.5599, 0.5599)*CHOOSE(CONTROL!$C$42, 30, 30))/1000000</f>
        <v>11.673914999999997</v>
      </c>
      <c r="V921" s="57">
        <f>(1000*CHOOSE(CONTROL!$C$42, 500, 500)*CHOOSE(CONTROL!$C$42, 0.275, 0.275)*CHOOSE(CONTROL!$C$42, 30, 30))/1000000</f>
        <v>4.125</v>
      </c>
      <c r="W921" s="57">
        <f>(1000*CHOOSE(CONTROL!$C$42, 0.1146, 0.1146)*CHOOSE(CONTROL!$C$42, 121.5, 121.5)*CHOOSE(CONTROL!$C$42, 30, 30))/1000000</f>
        <v>0.417717</v>
      </c>
      <c r="X921" s="57">
        <f>(30*0.1790888*245000/1000000)+(30*0.2374*100000/1000000)</f>
        <v>2.0285026799999999</v>
      </c>
      <c r="Y921" s="57"/>
      <c r="Z921" s="14"/>
      <c r="AA921" s="56"/>
      <c r="AB921" s="50">
        <f>(B921*194.205+C921*267.466+D921*133.845+E921*53.484+F921*40+G921*185+H921*0+I921*100+J921*300)/(194.205+267.466+133.845+53.484+0+40+185+100+300)</f>
        <v>89.862767998430144</v>
      </c>
      <c r="AC921" s="45">
        <f>(M921*'RAP TEMPLATE-GAS AVAILABILITY'!O920+N921*'RAP TEMPLATE-GAS AVAILABILITY'!P920+O921*'RAP TEMPLATE-GAS AVAILABILITY'!Q920+P921*'RAP TEMPLATE-GAS AVAILABILITY'!R920)/('RAP TEMPLATE-GAS AVAILABILITY'!O920+'RAP TEMPLATE-GAS AVAILABILITY'!P920+'RAP TEMPLATE-GAS AVAILABILITY'!Q920+'RAP TEMPLATE-GAS AVAILABILITY'!R920)</f>
        <v>88.119872661870502</v>
      </c>
    </row>
    <row r="922" spans="1:29" ht="15.75" x14ac:dyDescent="0.25">
      <c r="A922" s="32">
        <v>68972</v>
      </c>
      <c r="B922" s="14">
        <f>CHOOSE(CONTROL!$C$42, 87.9651, 87.9651) * CHOOSE(CONTROL!$C$21, $C$9, 100%, $E$9)</f>
        <v>87.965100000000007</v>
      </c>
      <c r="C922" s="14">
        <f>CHOOSE(CONTROL!$C$42, 87.9704, 87.9704) * CHOOSE(CONTROL!$C$21, $C$9, 100%, $E$9)</f>
        <v>87.970399999999998</v>
      </c>
      <c r="D922" s="14">
        <f>CHOOSE(CONTROL!$C$42, 88.196, 88.196) * CHOOSE(CONTROL!$C$21, $C$9, 100%, $E$9)</f>
        <v>88.195999999999998</v>
      </c>
      <c r="E922" s="14">
        <f>CHOOSE(CONTROL!$C$42, 88.2251, 88.2251) * CHOOSE(CONTROL!$C$21, $C$9, 100%, $E$9)</f>
        <v>88.225099999999998</v>
      </c>
      <c r="F922" s="14">
        <f>CHOOSE(CONTROL!$C$42, 87.9945, 87.9945)*CHOOSE(CONTROL!$C$21, $C$9, 100%, $E$9)</f>
        <v>87.994500000000002</v>
      </c>
      <c r="G922" s="14">
        <f>CHOOSE(CONTROL!$C$42, 88.0117, 88.0117)*CHOOSE(CONTROL!$C$21, $C$9, 100%, $E$9)</f>
        <v>88.011700000000005</v>
      </c>
      <c r="H922" s="14">
        <f>CHOOSE(CONTROL!$C$42, 88.2156, 88.2156) * CHOOSE(CONTROL!$C$21, $C$9, 100%, $E$9)</f>
        <v>88.215599999999995</v>
      </c>
      <c r="I922" s="14">
        <f>CHOOSE(CONTROL!$C$42, 88.2703, 88.2703)* CHOOSE(CONTROL!$C$21, $C$9, 100%, $E$9)</f>
        <v>88.270300000000006</v>
      </c>
      <c r="J922" s="14">
        <f>CHOOSE(CONTROL!$C$42, 87.9875, 87.9875)* CHOOSE(CONTROL!$C$21, $C$9, 100%, $E$9)</f>
        <v>87.987499999999997</v>
      </c>
      <c r="K922" s="53">
        <f>CHOOSE(CONTROL!$C$42, 88.2664, 88.2664) * CHOOSE(CONTROL!$C$21, $C$9, 100%, $E$9)</f>
        <v>88.266400000000004</v>
      </c>
      <c r="L922" s="14">
        <f>CHOOSE(CONTROL!$C$42, 88.8026, 88.8026) * CHOOSE(CONTROL!$C$21, $C$9, 100%, $E$9)</f>
        <v>88.802599999999998</v>
      </c>
      <c r="M922" s="14">
        <f>CHOOSE(CONTROL!$C$42, 86.1924, 86.1924) * CHOOSE(CONTROL!$C$21, $C$9, 100%, $E$9)</f>
        <v>86.192400000000006</v>
      </c>
      <c r="N922" s="14">
        <f>CHOOSE(CONTROL!$C$42, 86.2093, 86.2093) * CHOOSE(CONTROL!$C$21, $C$9, 100%, $E$9)</f>
        <v>86.209299999999999</v>
      </c>
      <c r="O922" s="14">
        <f>CHOOSE(CONTROL!$C$42, 86.4158, 86.4158) * CHOOSE(CONTROL!$C$21, $C$9, 100%, $E$9)</f>
        <v>86.415800000000004</v>
      </c>
      <c r="P922" s="14">
        <f>CHOOSE(CONTROL!$C$42, 86.4639, 86.4639) * CHOOSE(CONTROL!$C$21, $C$9, 100%, $E$9)</f>
        <v>86.463899999999995</v>
      </c>
      <c r="Q922" s="14">
        <f>CHOOSE(CONTROL!$C$42, 87.0105, 87.0105) * CHOOSE(CONTROL!$C$21, $C$9, 100%, $E$9)</f>
        <v>87.010499999999993</v>
      </c>
      <c r="R922" s="14">
        <f>CHOOSE(CONTROL!$C$42, 87.815, 87.815) * CHOOSE(CONTROL!$C$21, $C$9, 100%, $E$9)</f>
        <v>87.814999999999998</v>
      </c>
      <c r="S922" s="14">
        <f>CHOOSE(CONTROL!$C$42, 84.5167, 84.5167) * CHOOSE(CONTROL!$C$21, $C$9, 100%, $E$9)</f>
        <v>84.5167</v>
      </c>
      <c r="T92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22" s="57">
        <f>(1000*CHOOSE(CONTROL!$C$42, 695, 695)*CHOOSE(CONTROL!$C$42, 0.5599, 0.5599)*CHOOSE(CONTROL!$C$42, 31, 31))/1000000</f>
        <v>12.063045499999998</v>
      </c>
      <c r="V922" s="57">
        <f>(1000*CHOOSE(CONTROL!$C$42, 500, 500)*CHOOSE(CONTROL!$C$42, 0.275, 0.275)*CHOOSE(CONTROL!$C$42, 31, 31))/1000000</f>
        <v>4.2625000000000002</v>
      </c>
      <c r="W922" s="57">
        <f>(1000*CHOOSE(CONTROL!$C$42, 0.1146, 0.1146)*CHOOSE(CONTROL!$C$42, 121.5, 121.5)*CHOOSE(CONTROL!$C$42, 31, 31))/1000000</f>
        <v>0.43164089999999994</v>
      </c>
      <c r="X922" s="57">
        <f>(31*0.1790888*245000/1000000)+(31*0.2374*100000/1000000)</f>
        <v>2.0961194359999999</v>
      </c>
      <c r="Y922" s="57"/>
      <c r="Z922" s="14"/>
      <c r="AA922" s="56"/>
      <c r="AB922" s="50">
        <f>(B922*131.881+C922*277.167+D922*79.08+E922*125.872+F922*40+G922*185+H922*0+I922*100+J922*300)/(131.881+277.167+79.08+125.872+0+40+185+100+300)</f>
        <v>88.045400465778854</v>
      </c>
      <c r="AC922" s="45">
        <f>(M922*'RAP TEMPLATE-GAS AVAILABILITY'!O921+N922*'RAP TEMPLATE-GAS AVAILABILITY'!P921+O922*'RAP TEMPLATE-GAS AVAILABILITY'!Q921+P922*'RAP TEMPLATE-GAS AVAILABILITY'!R921)/('RAP TEMPLATE-GAS AVAILABILITY'!O921+'RAP TEMPLATE-GAS AVAILABILITY'!P921+'RAP TEMPLATE-GAS AVAILABILITY'!Q921+'RAP TEMPLATE-GAS AVAILABILITY'!R921)</f>
        <v>86.33369064748203</v>
      </c>
    </row>
    <row r="923" spans="1:29" ht="15.75" x14ac:dyDescent="0.25">
      <c r="A923" s="32">
        <v>69002</v>
      </c>
      <c r="B923" s="14">
        <f>CHOOSE(CONTROL!$C$42, 90.2819, 90.2819) * CHOOSE(CONTROL!$C$21, $C$9, 100%, $E$9)</f>
        <v>90.281899999999993</v>
      </c>
      <c r="C923" s="14">
        <f>CHOOSE(CONTROL!$C$42, 90.2869, 90.2869) * CHOOSE(CONTROL!$C$21, $C$9, 100%, $E$9)</f>
        <v>90.286900000000003</v>
      </c>
      <c r="D923" s="14">
        <f>CHOOSE(CONTROL!$C$42, 90.3611, 90.3611) * CHOOSE(CONTROL!$C$21, $C$9, 100%, $E$9)</f>
        <v>90.361099999999993</v>
      </c>
      <c r="E923" s="14">
        <f>CHOOSE(CONTROL!$C$42, 90.3953, 90.3953) * CHOOSE(CONTROL!$C$21, $C$9, 100%, $E$9)</f>
        <v>90.395300000000006</v>
      </c>
      <c r="F923" s="14">
        <f>CHOOSE(CONTROL!$C$42, 90.3179, 90.3179)*CHOOSE(CONTROL!$C$21, $C$9, 100%, $E$9)</f>
        <v>90.317899999999995</v>
      </c>
      <c r="G923" s="14">
        <f>CHOOSE(CONTROL!$C$42, 90.3354, 90.3354)*CHOOSE(CONTROL!$C$21, $C$9, 100%, $E$9)</f>
        <v>90.335400000000007</v>
      </c>
      <c r="H923" s="14">
        <f>CHOOSE(CONTROL!$C$42, 90.3845, 90.3845) * CHOOSE(CONTROL!$C$21, $C$9, 100%, $E$9)</f>
        <v>90.384500000000003</v>
      </c>
      <c r="I923" s="14">
        <f>CHOOSE(CONTROL!$C$42, 90.5921, 90.5921)* CHOOSE(CONTROL!$C$21, $C$9, 100%, $E$9)</f>
        <v>90.592100000000002</v>
      </c>
      <c r="J923" s="14">
        <f>CHOOSE(CONTROL!$C$42, 90.3109, 90.3109)* CHOOSE(CONTROL!$C$21, $C$9, 100%, $E$9)</f>
        <v>90.310900000000004</v>
      </c>
      <c r="K923" s="53">
        <f>CHOOSE(CONTROL!$C$42, 90.5882, 90.5882) * CHOOSE(CONTROL!$C$21, $C$9, 100%, $E$9)</f>
        <v>90.588200000000001</v>
      </c>
      <c r="L923" s="14">
        <f>CHOOSE(CONTROL!$C$42, 90.9715, 90.9715) * CHOOSE(CONTROL!$C$21, $C$9, 100%, $E$9)</f>
        <v>90.971500000000006</v>
      </c>
      <c r="M923" s="14">
        <f>CHOOSE(CONTROL!$C$42, 88.4682, 88.4682) * CHOOSE(CONTROL!$C$21, $C$9, 100%, $E$9)</f>
        <v>88.468199999999996</v>
      </c>
      <c r="N923" s="14">
        <f>CHOOSE(CONTROL!$C$42, 88.4854, 88.4854) * CHOOSE(CONTROL!$C$21, $C$9, 100%, $E$9)</f>
        <v>88.485399999999998</v>
      </c>
      <c r="O923" s="14">
        <f>CHOOSE(CONTROL!$C$42, 88.5402, 88.5402) * CHOOSE(CONTROL!$C$21, $C$9, 100%, $E$9)</f>
        <v>88.540199999999999</v>
      </c>
      <c r="P923" s="14">
        <f>CHOOSE(CONTROL!$C$42, 88.738, 88.738) * CHOOSE(CONTROL!$C$21, $C$9, 100%, $E$9)</f>
        <v>88.738</v>
      </c>
      <c r="Q923" s="14">
        <f>CHOOSE(CONTROL!$C$42, 89.1349, 89.1349) * CHOOSE(CONTROL!$C$21, $C$9, 100%, $E$9)</f>
        <v>89.134900000000002</v>
      </c>
      <c r="R923" s="14">
        <f>CHOOSE(CONTROL!$C$42, 89.9448, 89.9448) * CHOOSE(CONTROL!$C$21, $C$9, 100%, $E$9)</f>
        <v>89.944800000000001</v>
      </c>
      <c r="S923" s="14">
        <f>CHOOSE(CONTROL!$C$42, 86.7433, 86.7433) * CHOOSE(CONTROL!$C$21, $C$9, 100%, $E$9)</f>
        <v>86.743300000000005</v>
      </c>
      <c r="T92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23" s="57">
        <f>(1000*CHOOSE(CONTROL!$C$42, 695, 695)*CHOOSE(CONTROL!$C$42, 0.5599, 0.5599)*CHOOSE(CONTROL!$C$42, 30, 30))/1000000</f>
        <v>11.673914999999997</v>
      </c>
      <c r="V923" s="57">
        <f>(1000*CHOOSE(CONTROL!$C$42, 500, 500)*CHOOSE(CONTROL!$C$42, 0.275, 0.275)*CHOOSE(CONTROL!$C$42, 30, 30))/1000000</f>
        <v>4.125</v>
      </c>
      <c r="W923" s="57">
        <f>(1000*CHOOSE(CONTROL!$C$42, 0.1146, 0.1146)*CHOOSE(CONTROL!$C$42, 121.5, 121.5)*CHOOSE(CONTROL!$C$42, 30, 30))/1000000</f>
        <v>0.417717</v>
      </c>
      <c r="X923" s="57">
        <f>(30*0.1790888*100000/1000000)+(30*0.2374*100000/1000000)</f>
        <v>1.2494664</v>
      </c>
      <c r="Y923" s="57"/>
      <c r="Z923" s="14"/>
      <c r="AA923" s="56"/>
      <c r="AB923" s="50">
        <f>(B923*122.58+C923*297.941+D923*89.177+E923*40.302+F923*40+G923*160+H923*0+I923*100+J923*300)/(122.58+297.941+89.177+40.302+0+40+160+100+300)</f>
        <v>90.336545887130441</v>
      </c>
      <c r="AC923" s="45">
        <f>(M923*'RAP TEMPLATE-GAS AVAILABILITY'!O922+N923*'RAP TEMPLATE-GAS AVAILABILITY'!P922+O923*'RAP TEMPLATE-GAS AVAILABILITY'!Q922+P923*'RAP TEMPLATE-GAS AVAILABILITY'!R922)/('RAP TEMPLATE-GAS AVAILABILITY'!O922+'RAP TEMPLATE-GAS AVAILABILITY'!P922+'RAP TEMPLATE-GAS AVAILABILITY'!Q922+'RAP TEMPLATE-GAS AVAILABILITY'!R922)</f>
        <v>88.540643165467628</v>
      </c>
    </row>
    <row r="924" spans="1:29" ht="15.75" x14ac:dyDescent="0.25">
      <c r="A924" s="32">
        <v>69033</v>
      </c>
      <c r="B924" s="14">
        <f>CHOOSE(CONTROL!$C$42, 96.4366, 96.4366) * CHOOSE(CONTROL!$C$21, $C$9, 100%, $E$9)</f>
        <v>96.436599999999999</v>
      </c>
      <c r="C924" s="14">
        <f>CHOOSE(CONTROL!$C$42, 96.4417, 96.4417) * CHOOSE(CONTROL!$C$21, $C$9, 100%, $E$9)</f>
        <v>96.441699999999997</v>
      </c>
      <c r="D924" s="14">
        <f>CHOOSE(CONTROL!$C$42, 96.5159, 96.5159) * CHOOSE(CONTROL!$C$21, $C$9, 100%, $E$9)</f>
        <v>96.515900000000002</v>
      </c>
      <c r="E924" s="14">
        <f>CHOOSE(CONTROL!$C$42, 96.55, 96.55) * CHOOSE(CONTROL!$C$21, $C$9, 100%, $E$9)</f>
        <v>96.55</v>
      </c>
      <c r="F924" s="14">
        <f>CHOOSE(CONTROL!$C$42, 96.475, 96.475)*CHOOSE(CONTROL!$C$21, $C$9, 100%, $E$9)</f>
        <v>96.474999999999994</v>
      </c>
      <c r="G924" s="14">
        <f>CHOOSE(CONTROL!$C$42, 96.4931, 96.4931)*CHOOSE(CONTROL!$C$21, $C$9, 100%, $E$9)</f>
        <v>96.493099999999998</v>
      </c>
      <c r="H924" s="14">
        <f>CHOOSE(CONTROL!$C$42, 96.5392, 96.5392) * CHOOSE(CONTROL!$C$21, $C$9, 100%, $E$9)</f>
        <v>96.539199999999994</v>
      </c>
      <c r="I924" s="14">
        <f>CHOOSE(CONTROL!$C$42, 96.7661, 96.7661)* CHOOSE(CONTROL!$C$21, $C$9, 100%, $E$9)</f>
        <v>96.766099999999994</v>
      </c>
      <c r="J924" s="14">
        <f>CHOOSE(CONTROL!$C$42, 96.468, 96.468)* CHOOSE(CONTROL!$C$21, $C$9, 100%, $E$9)</f>
        <v>96.468000000000004</v>
      </c>
      <c r="K924" s="53">
        <f>CHOOSE(CONTROL!$C$42, 96.7622, 96.7622) * CHOOSE(CONTROL!$C$21, $C$9, 100%, $E$9)</f>
        <v>96.762200000000007</v>
      </c>
      <c r="L924" s="14">
        <f>CHOOSE(CONTROL!$C$42, 97.1262, 97.1262) * CHOOSE(CONTROL!$C$21, $C$9, 100%, $E$9)</f>
        <v>97.126199999999997</v>
      </c>
      <c r="M924" s="14">
        <f>CHOOSE(CONTROL!$C$42, 94.4991, 94.4991) * CHOOSE(CONTROL!$C$21, $C$9, 100%, $E$9)</f>
        <v>94.499099999999999</v>
      </c>
      <c r="N924" s="14">
        <f>CHOOSE(CONTROL!$C$42, 94.5169, 94.5169) * CHOOSE(CONTROL!$C$21, $C$9, 100%, $E$9)</f>
        <v>94.516900000000007</v>
      </c>
      <c r="O924" s="14">
        <f>CHOOSE(CONTROL!$C$42, 94.5688, 94.5688) * CHOOSE(CONTROL!$C$21, $C$9, 100%, $E$9)</f>
        <v>94.568799999999996</v>
      </c>
      <c r="P924" s="14">
        <f>CHOOSE(CONTROL!$C$42, 94.7851, 94.7851) * CHOOSE(CONTROL!$C$21, $C$9, 100%, $E$9)</f>
        <v>94.7851</v>
      </c>
      <c r="Q924" s="14">
        <f>CHOOSE(CONTROL!$C$42, 95.1635, 95.1635) * CHOOSE(CONTROL!$C$21, $C$9, 100%, $E$9)</f>
        <v>95.163499999999999</v>
      </c>
      <c r="R924" s="14">
        <f>CHOOSE(CONTROL!$C$42, 95.9885, 95.9885) * CHOOSE(CONTROL!$C$21, $C$9, 100%, $E$9)</f>
        <v>95.988500000000002</v>
      </c>
      <c r="S924" s="14">
        <f>CHOOSE(CONTROL!$C$42, 92.6574, 92.6574) * CHOOSE(CONTROL!$C$21, $C$9, 100%, $E$9)</f>
        <v>92.657399999999996</v>
      </c>
      <c r="T92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24" s="57">
        <f>(1000*CHOOSE(CONTROL!$C$42, 695, 695)*CHOOSE(CONTROL!$C$42, 0.5599, 0.5599)*CHOOSE(CONTROL!$C$42, 31, 31))/1000000</f>
        <v>12.063045499999998</v>
      </c>
      <c r="V924" s="57">
        <f>(1000*CHOOSE(CONTROL!$C$42, 500, 500)*CHOOSE(CONTROL!$C$42, 0.275, 0.275)*CHOOSE(CONTROL!$C$42, 31, 31))/1000000</f>
        <v>4.2625000000000002</v>
      </c>
      <c r="W924" s="57">
        <f>(1000*CHOOSE(CONTROL!$C$42, 0.1146, 0.1146)*CHOOSE(CONTROL!$C$42, 121.5, 121.5)*CHOOSE(CONTROL!$C$42, 31, 31))/1000000</f>
        <v>0.43164089999999994</v>
      </c>
      <c r="X924" s="57">
        <f>(31*0.1790888*100000/1000000)+(31*0.2374*100000/1000000)</f>
        <v>1.2911152800000001</v>
      </c>
      <c r="Y924" s="57"/>
      <c r="Z924" s="14"/>
      <c r="AA924" s="56"/>
      <c r="AB924" s="50">
        <f>(B924*122.58+C924*297.941+D924*89.177+E924*40.302+F924*40+G924*160+H924*0+I924*100+J924*300)/(122.58+297.941+89.177+40.302+0+40+160+100+300)</f>
        <v>96.494084766956533</v>
      </c>
      <c r="AC924" s="45">
        <f>(M924*'RAP TEMPLATE-GAS AVAILABILITY'!O923+N924*'RAP TEMPLATE-GAS AVAILABILITY'!P923+O924*'RAP TEMPLATE-GAS AVAILABILITY'!Q923+P924*'RAP TEMPLATE-GAS AVAILABILITY'!R923)/('RAP TEMPLATE-GAS AVAILABILITY'!O923+'RAP TEMPLATE-GAS AVAILABILITY'!P923+'RAP TEMPLATE-GAS AVAILABILITY'!Q923+'RAP TEMPLATE-GAS AVAILABILITY'!R923)</f>
        <v>94.572866187050352</v>
      </c>
    </row>
    <row r="925" spans="1:29" ht="15.75" x14ac:dyDescent="0.25">
      <c r="A925" s="32">
        <v>69064</v>
      </c>
      <c r="B925" s="14">
        <f>CHOOSE(CONTROL!$C$42, 104.4305, 104.4305) * CHOOSE(CONTROL!$C$21, $C$9, 100%, $E$9)</f>
        <v>104.43049999999999</v>
      </c>
      <c r="C925" s="14">
        <f>CHOOSE(CONTROL!$C$42, 104.4355, 104.4355) * CHOOSE(CONTROL!$C$21, $C$9, 100%, $E$9)</f>
        <v>104.4355</v>
      </c>
      <c r="D925" s="14">
        <f>CHOOSE(CONTROL!$C$42, 104.5124, 104.5124) * CHOOSE(CONTROL!$C$21, $C$9, 100%, $E$9)</f>
        <v>104.5124</v>
      </c>
      <c r="E925" s="14">
        <f>CHOOSE(CONTROL!$C$42, 104.5465, 104.5465) * CHOOSE(CONTROL!$C$21, $C$9, 100%, $E$9)</f>
        <v>104.54649999999999</v>
      </c>
      <c r="F925" s="14">
        <f>CHOOSE(CONTROL!$C$42, 104.4552, 104.4552)*CHOOSE(CONTROL!$C$21, $C$9, 100%, $E$9)</f>
        <v>104.4552</v>
      </c>
      <c r="G925" s="14">
        <f>CHOOSE(CONTROL!$C$42, 104.4732, 104.4732)*CHOOSE(CONTROL!$C$21, $C$9, 100%, $E$9)</f>
        <v>104.47320000000001</v>
      </c>
      <c r="H925" s="14">
        <f>CHOOSE(CONTROL!$C$42, 104.5357, 104.5357) * CHOOSE(CONTROL!$C$21, $C$9, 100%, $E$9)</f>
        <v>104.53570000000001</v>
      </c>
      <c r="I925" s="14">
        <f>CHOOSE(CONTROL!$C$42, 104.7912, 104.7912)* CHOOSE(CONTROL!$C$21, $C$9, 100%, $E$9)</f>
        <v>104.7912</v>
      </c>
      <c r="J925" s="14">
        <f>CHOOSE(CONTROL!$C$42, 104.4482, 104.4482)* CHOOSE(CONTROL!$C$21, $C$9, 100%, $E$9)</f>
        <v>104.4482</v>
      </c>
      <c r="K925" s="53">
        <f>CHOOSE(CONTROL!$C$42, 104.7874, 104.7874) * CHOOSE(CONTROL!$C$21, $C$9, 100%, $E$9)</f>
        <v>104.78740000000001</v>
      </c>
      <c r="L925" s="14">
        <f>CHOOSE(CONTROL!$C$42, 105.1227, 105.1227) * CHOOSE(CONTROL!$C$21, $C$9, 100%, $E$9)</f>
        <v>105.12269999999999</v>
      </c>
      <c r="M925" s="14">
        <f>CHOOSE(CONTROL!$C$42, 102.3158, 102.3158) * CHOOSE(CONTROL!$C$21, $C$9, 100%, $E$9)</f>
        <v>102.3158</v>
      </c>
      <c r="N925" s="14">
        <f>CHOOSE(CONTROL!$C$42, 102.3334, 102.3334) * CHOOSE(CONTROL!$C$21, $C$9, 100%, $E$9)</f>
        <v>102.3334</v>
      </c>
      <c r="O925" s="14">
        <f>CHOOSE(CONTROL!$C$42, 102.4015, 102.4015) * CHOOSE(CONTROL!$C$21, $C$9, 100%, $E$9)</f>
        <v>102.4015</v>
      </c>
      <c r="P925" s="14">
        <f>CHOOSE(CONTROL!$C$42, 102.6453, 102.6453) * CHOOSE(CONTROL!$C$21, $C$9, 100%, $E$9)</f>
        <v>102.64530000000001</v>
      </c>
      <c r="Q925" s="14">
        <f>CHOOSE(CONTROL!$C$42, 102.9962, 102.9962) * CHOOSE(CONTROL!$C$21, $C$9, 100%, $E$9)</f>
        <v>102.9962</v>
      </c>
      <c r="R925" s="14">
        <f>CHOOSE(CONTROL!$C$42, 103.8407, 103.8407) * CHOOSE(CONTROL!$C$21, $C$9, 100%, $E$9)</f>
        <v>103.8407</v>
      </c>
      <c r="S925" s="14">
        <f>CHOOSE(CONTROL!$C$42, 100.3387, 100.3387) * CHOOSE(CONTROL!$C$21, $C$9, 100%, $E$9)</f>
        <v>100.3387</v>
      </c>
      <c r="T9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25" s="57">
        <f>(1000*CHOOSE(CONTROL!$C$42, 695, 695)*CHOOSE(CONTROL!$C$42, 0.5599, 0.5599)*CHOOSE(CONTROL!$C$42, 31, 31))/1000000</f>
        <v>12.063045499999998</v>
      </c>
      <c r="V925" s="57">
        <f>(1000*CHOOSE(CONTROL!$C$42, 500, 500)*CHOOSE(CONTROL!$C$42, 0.275, 0.275)*CHOOSE(CONTROL!$C$42, 31, 31))/1000000</f>
        <v>4.2625000000000002</v>
      </c>
      <c r="W925" s="57">
        <f>(1000*CHOOSE(CONTROL!$C$42, 0.1146, 0.1146)*CHOOSE(CONTROL!$C$42, 121.5, 121.5)*CHOOSE(CONTROL!$C$42, 31, 31))/1000000</f>
        <v>0.43164089999999994</v>
      </c>
      <c r="X925" s="57">
        <f>(31*0.1790888*100000/1000000)+(31*0.2374*100000/1000000)</f>
        <v>1.2911152800000001</v>
      </c>
      <c r="Y925" s="57"/>
      <c r="Z925" s="14"/>
      <c r="AA925" s="56"/>
      <c r="AB925" s="50">
        <f>(B925*122.58+C925*297.941+D925*89.177+E925*40.302+F925*40+G925*160+H925*0+I925*100+J925*300)/(122.58+297.941+89.177+40.302+0+40+160+100+300)</f>
        <v>104.48499420286956</v>
      </c>
      <c r="AC925" s="45">
        <f>(M925*'RAP TEMPLATE-GAS AVAILABILITY'!O924+N925*'RAP TEMPLATE-GAS AVAILABILITY'!P924+O925*'RAP TEMPLATE-GAS AVAILABILITY'!Q924+P925*'RAP TEMPLATE-GAS AVAILABILITY'!R924)/('RAP TEMPLATE-GAS AVAILABILITY'!O924+'RAP TEMPLATE-GAS AVAILABILITY'!P924+'RAP TEMPLATE-GAS AVAILABILITY'!Q924+'RAP TEMPLATE-GAS AVAILABILITY'!R924)</f>
        <v>102.40306546762589</v>
      </c>
    </row>
    <row r="926" spans="1:29" ht="15.75" x14ac:dyDescent="0.25">
      <c r="A926" s="32">
        <v>69092</v>
      </c>
      <c r="B926" s="14">
        <f>CHOOSE(CONTROL!$C$42, 106.2893, 106.2893) * CHOOSE(CONTROL!$C$21, $C$9, 100%, $E$9)</f>
        <v>106.2893</v>
      </c>
      <c r="C926" s="14">
        <f>CHOOSE(CONTROL!$C$42, 106.2944, 106.2944) * CHOOSE(CONTROL!$C$21, $C$9, 100%, $E$9)</f>
        <v>106.2944</v>
      </c>
      <c r="D926" s="14">
        <f>CHOOSE(CONTROL!$C$42, 106.3712, 106.3712) * CHOOSE(CONTROL!$C$21, $C$9, 100%, $E$9)</f>
        <v>106.3712</v>
      </c>
      <c r="E926" s="14">
        <f>CHOOSE(CONTROL!$C$42, 106.4053, 106.4053) * CHOOSE(CONTROL!$C$21, $C$9, 100%, $E$9)</f>
        <v>106.4053</v>
      </c>
      <c r="F926" s="14">
        <f>CHOOSE(CONTROL!$C$42, 106.3136, 106.3136)*CHOOSE(CONTROL!$C$21, $C$9, 100%, $E$9)</f>
        <v>106.31359999999999</v>
      </c>
      <c r="G926" s="14">
        <f>CHOOSE(CONTROL!$C$42, 106.3315, 106.3315)*CHOOSE(CONTROL!$C$21, $C$9, 100%, $E$9)</f>
        <v>106.33150000000001</v>
      </c>
      <c r="H926" s="14">
        <f>CHOOSE(CONTROL!$C$42, 106.3945, 106.3945) * CHOOSE(CONTROL!$C$21, $C$9, 100%, $E$9)</f>
        <v>106.39449999999999</v>
      </c>
      <c r="I926" s="14">
        <f>CHOOSE(CONTROL!$C$42, 106.6559, 106.6559)* CHOOSE(CONTROL!$C$21, $C$9, 100%, $E$9)</f>
        <v>106.6559</v>
      </c>
      <c r="J926" s="14">
        <f>CHOOSE(CONTROL!$C$42, 106.3066, 106.3066)* CHOOSE(CONTROL!$C$21, $C$9, 100%, $E$9)</f>
        <v>106.3066</v>
      </c>
      <c r="K926" s="53">
        <f>CHOOSE(CONTROL!$C$42, 106.652, 106.652) * CHOOSE(CONTROL!$C$21, $C$9, 100%, $E$9)</f>
        <v>106.652</v>
      </c>
      <c r="L926" s="14">
        <f>CHOOSE(CONTROL!$C$42, 106.9815, 106.9815) * CHOOSE(CONTROL!$C$21, $C$9, 100%, $E$9)</f>
        <v>106.9815</v>
      </c>
      <c r="M926" s="14">
        <f>CHOOSE(CONTROL!$C$42, 104.1362, 104.1362) * CHOOSE(CONTROL!$C$21, $C$9, 100%, $E$9)</f>
        <v>104.1362</v>
      </c>
      <c r="N926" s="14">
        <f>CHOOSE(CONTROL!$C$42, 104.1537, 104.1537) * CHOOSE(CONTROL!$C$21, $C$9, 100%, $E$9)</f>
        <v>104.1537</v>
      </c>
      <c r="O926" s="14">
        <f>CHOOSE(CONTROL!$C$42, 104.2222, 104.2222) * CHOOSE(CONTROL!$C$21, $C$9, 100%, $E$9)</f>
        <v>104.2222</v>
      </c>
      <c r="P926" s="14">
        <f>CHOOSE(CONTROL!$C$42, 104.4717, 104.4717) * CHOOSE(CONTROL!$C$21, $C$9, 100%, $E$9)</f>
        <v>104.4717</v>
      </c>
      <c r="Q926" s="14">
        <f>CHOOSE(CONTROL!$C$42, 104.8169, 104.8169) * CHOOSE(CONTROL!$C$21, $C$9, 100%, $E$9)</f>
        <v>104.8169</v>
      </c>
      <c r="R926" s="14">
        <f>CHOOSE(CONTROL!$C$42, 105.666, 105.666) * CHOOSE(CONTROL!$C$21, $C$9, 100%, $E$9)</f>
        <v>105.666</v>
      </c>
      <c r="S926" s="14">
        <f>CHOOSE(CONTROL!$C$42, 102.1249, 102.1249) * CHOOSE(CONTROL!$C$21, $C$9, 100%, $E$9)</f>
        <v>102.1249</v>
      </c>
      <c r="T92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26" s="57">
        <f>(1000*CHOOSE(CONTROL!$C$42, 695, 695)*CHOOSE(CONTROL!$C$42, 0.5599, 0.5599)*CHOOSE(CONTROL!$C$42, 28, 28))/1000000</f>
        <v>10.895653999999999</v>
      </c>
      <c r="V926" s="57">
        <f>(1000*CHOOSE(CONTROL!$C$42, 500, 500)*CHOOSE(CONTROL!$C$42, 0.275, 0.275)*CHOOSE(CONTROL!$C$42, 28, 28))/1000000</f>
        <v>3.85</v>
      </c>
      <c r="W926" s="57">
        <f>(1000*CHOOSE(CONTROL!$C$42, 0.1146, 0.1146)*CHOOSE(CONTROL!$C$42, 121.5, 121.5)*CHOOSE(CONTROL!$C$42, 28, 28))/1000000</f>
        <v>0.38986920000000003</v>
      </c>
      <c r="X926" s="57">
        <f>(28*0.1790888*100000/1000000)+(28*0.2374*100000/1000000)</f>
        <v>1.16616864</v>
      </c>
      <c r="Y926" s="57"/>
      <c r="Z926" s="14"/>
      <c r="AA926" s="56"/>
      <c r="AB926" s="50">
        <f>(B926*122.58+C926*297.941+D926*89.177+E926*40.302+F926*40+G926*160+H926*0+I926*100+J926*300)/(122.58+297.941+89.177+40.302+0+40+160+100+300)</f>
        <v>106.34414532817391</v>
      </c>
      <c r="AC926" s="45">
        <f>(M926*'RAP TEMPLATE-GAS AVAILABILITY'!O925+N926*'RAP TEMPLATE-GAS AVAILABILITY'!P925+O926*'RAP TEMPLATE-GAS AVAILABILITY'!Q925+P926*'RAP TEMPLATE-GAS AVAILABILITY'!R925)/('RAP TEMPLATE-GAS AVAILABILITY'!O925+'RAP TEMPLATE-GAS AVAILABILITY'!P925+'RAP TEMPLATE-GAS AVAILABILITY'!Q925+'RAP TEMPLATE-GAS AVAILABILITY'!R925)</f>
        <v>104.22445899280576</v>
      </c>
    </row>
    <row r="927" spans="1:29" ht="15.75" x14ac:dyDescent="0.25">
      <c r="A927" s="32">
        <v>69123</v>
      </c>
      <c r="B927" s="14">
        <f>CHOOSE(CONTROL!$C$42, 103.272, 103.272) * CHOOSE(CONTROL!$C$21, $C$9, 100%, $E$9)</f>
        <v>103.27200000000001</v>
      </c>
      <c r="C927" s="14">
        <f>CHOOSE(CONTROL!$C$42, 103.277, 103.277) * CHOOSE(CONTROL!$C$21, $C$9, 100%, $E$9)</f>
        <v>103.277</v>
      </c>
      <c r="D927" s="14">
        <f>CHOOSE(CONTROL!$C$42, 103.3538, 103.3538) * CHOOSE(CONTROL!$C$21, $C$9, 100%, $E$9)</f>
        <v>103.35380000000001</v>
      </c>
      <c r="E927" s="14">
        <f>CHOOSE(CONTROL!$C$42, 103.3879, 103.3879) * CHOOSE(CONTROL!$C$21, $C$9, 100%, $E$9)</f>
        <v>103.3879</v>
      </c>
      <c r="F927" s="14">
        <f>CHOOSE(CONTROL!$C$42, 103.2954, 103.2954)*CHOOSE(CONTROL!$C$21, $C$9, 100%, $E$9)</f>
        <v>103.2954</v>
      </c>
      <c r="G927" s="14">
        <f>CHOOSE(CONTROL!$C$42, 103.3131, 103.3131)*CHOOSE(CONTROL!$C$21, $C$9, 100%, $E$9)</f>
        <v>103.31310000000001</v>
      </c>
      <c r="H927" s="14">
        <f>CHOOSE(CONTROL!$C$42, 103.3771, 103.3771) * CHOOSE(CONTROL!$C$21, $C$9, 100%, $E$9)</f>
        <v>103.3771</v>
      </c>
      <c r="I927" s="14">
        <f>CHOOSE(CONTROL!$C$42, 103.6291, 103.6291)* CHOOSE(CONTROL!$C$21, $C$9, 100%, $E$9)</f>
        <v>103.62909999999999</v>
      </c>
      <c r="J927" s="14">
        <f>CHOOSE(CONTROL!$C$42, 103.2884, 103.2884)* CHOOSE(CONTROL!$C$21, $C$9, 100%, $E$9)</f>
        <v>103.2884</v>
      </c>
      <c r="K927" s="53">
        <f>CHOOSE(CONTROL!$C$42, 103.6252, 103.6252) * CHOOSE(CONTROL!$C$21, $C$9, 100%, $E$9)</f>
        <v>103.62520000000001</v>
      </c>
      <c r="L927" s="14">
        <f>CHOOSE(CONTROL!$C$42, 103.9641, 103.9641) * CHOOSE(CONTROL!$C$21, $C$9, 100%, $E$9)</f>
        <v>103.9641</v>
      </c>
      <c r="M927" s="14">
        <f>CHOOSE(CONTROL!$C$42, 101.1798, 101.1798) * CHOOSE(CONTROL!$C$21, $C$9, 100%, $E$9)</f>
        <v>101.1798</v>
      </c>
      <c r="N927" s="14">
        <f>CHOOSE(CONTROL!$C$42, 101.1971, 101.1971) * CHOOSE(CONTROL!$C$21, $C$9, 100%, $E$9)</f>
        <v>101.19710000000001</v>
      </c>
      <c r="O927" s="14">
        <f>CHOOSE(CONTROL!$C$42, 101.2667, 101.2667) * CHOOSE(CONTROL!$C$21, $C$9, 100%, $E$9)</f>
        <v>101.2667</v>
      </c>
      <c r="P927" s="14">
        <f>CHOOSE(CONTROL!$C$42, 101.5071, 101.5071) * CHOOSE(CONTROL!$C$21, $C$9, 100%, $E$9)</f>
        <v>101.50709999999999</v>
      </c>
      <c r="Q927" s="14">
        <f>CHOOSE(CONTROL!$C$42, 101.8614, 101.8614) * CHOOSE(CONTROL!$C$21, $C$9, 100%, $E$9)</f>
        <v>101.8614</v>
      </c>
      <c r="R927" s="14">
        <f>CHOOSE(CONTROL!$C$42, 102.7031, 102.7031) * CHOOSE(CONTROL!$C$21, $C$9, 100%, $E$9)</f>
        <v>102.70310000000001</v>
      </c>
      <c r="S927" s="14">
        <f>CHOOSE(CONTROL!$C$42, 99.2255, 99.2255) * CHOOSE(CONTROL!$C$21, $C$9, 100%, $E$9)</f>
        <v>99.225499999999997</v>
      </c>
      <c r="T9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27" s="57">
        <f>(1000*CHOOSE(CONTROL!$C$42, 695, 695)*CHOOSE(CONTROL!$C$42, 0.5599, 0.5599)*CHOOSE(CONTROL!$C$42, 31, 31))/1000000</f>
        <v>12.063045499999998</v>
      </c>
      <c r="V927" s="57">
        <f>(1000*CHOOSE(CONTROL!$C$42, 500, 500)*CHOOSE(CONTROL!$C$42, 0.275, 0.275)*CHOOSE(CONTROL!$C$42, 31, 31))/1000000</f>
        <v>4.2625000000000002</v>
      </c>
      <c r="W927" s="57">
        <f>(1000*CHOOSE(CONTROL!$C$42, 0.1146, 0.1146)*CHOOSE(CONTROL!$C$42, 121.5, 121.5)*CHOOSE(CONTROL!$C$42, 31, 31))/1000000</f>
        <v>0.43164089999999994</v>
      </c>
      <c r="X927" s="57">
        <f>(31*0.1790888*100000/1000000)+(31*0.2374*100000/1000000)</f>
        <v>1.2911152800000001</v>
      </c>
      <c r="Y927" s="57"/>
      <c r="Z927" s="14"/>
      <c r="AA927" s="56"/>
      <c r="AB927" s="50">
        <f>(B927*122.58+C927*297.941+D927*89.177+E927*40.302+F927*40+G927*160+H927*0+I927*100+J927*300)/(122.58+297.941+89.177+40.302+0+40+160+100+300)</f>
        <v>103.3255629438261</v>
      </c>
      <c r="AC927" s="45">
        <f>(M927*'RAP TEMPLATE-GAS AVAILABILITY'!O926+N927*'RAP TEMPLATE-GAS AVAILABILITY'!P926+O927*'RAP TEMPLATE-GAS AVAILABILITY'!Q926+P927*'RAP TEMPLATE-GAS AVAILABILITY'!R926)/('RAP TEMPLATE-GAS AVAILABILITY'!O926+'RAP TEMPLATE-GAS AVAILABILITY'!P926+'RAP TEMPLATE-GAS AVAILABILITY'!Q926+'RAP TEMPLATE-GAS AVAILABILITY'!R926)</f>
        <v>101.26727553956833</v>
      </c>
    </row>
    <row r="928" spans="1:29" ht="15.75" x14ac:dyDescent="0.25">
      <c r="A928" s="32">
        <v>69153</v>
      </c>
      <c r="B928" s="14">
        <f>CHOOSE(CONTROL!$C$42, 102.9638, 102.9638) * CHOOSE(CONTROL!$C$21, $C$9, 100%, $E$9)</f>
        <v>102.96380000000001</v>
      </c>
      <c r="C928" s="14">
        <f>CHOOSE(CONTROL!$C$42, 102.9683, 102.9683) * CHOOSE(CONTROL!$C$21, $C$9, 100%, $E$9)</f>
        <v>102.9683</v>
      </c>
      <c r="D928" s="14">
        <f>CHOOSE(CONTROL!$C$42, 103.192, 103.192) * CHOOSE(CONTROL!$C$21, $C$9, 100%, $E$9)</f>
        <v>103.19199999999999</v>
      </c>
      <c r="E928" s="14">
        <f>CHOOSE(CONTROL!$C$42, 103.2241, 103.2241) * CHOOSE(CONTROL!$C$21, $C$9, 100%, $E$9)</f>
        <v>103.22410000000001</v>
      </c>
      <c r="F928" s="14">
        <f>CHOOSE(CONTROL!$C$42, 102.9915, 102.9915)*CHOOSE(CONTROL!$C$21, $C$9, 100%, $E$9)</f>
        <v>102.9915</v>
      </c>
      <c r="G928" s="14">
        <f>CHOOSE(CONTROL!$C$42, 103.0084, 103.0084)*CHOOSE(CONTROL!$C$21, $C$9, 100%, $E$9)</f>
        <v>103.00839999999999</v>
      </c>
      <c r="H928" s="14">
        <f>CHOOSE(CONTROL!$C$42, 103.2139, 103.2139) * CHOOSE(CONTROL!$C$21, $C$9, 100%, $E$9)</f>
        <v>103.2139</v>
      </c>
      <c r="I928" s="14">
        <f>CHOOSE(CONTROL!$C$42, 103.3155, 103.3155)* CHOOSE(CONTROL!$C$21, $C$9, 100%, $E$9)</f>
        <v>103.3155</v>
      </c>
      <c r="J928" s="14">
        <f>CHOOSE(CONTROL!$C$42, 102.9845, 102.9845)* CHOOSE(CONTROL!$C$21, $C$9, 100%, $E$9)</f>
        <v>102.9845</v>
      </c>
      <c r="K928" s="53">
        <f>CHOOSE(CONTROL!$C$42, 103.3116, 103.3116) * CHOOSE(CONTROL!$C$21, $C$9, 100%, $E$9)</f>
        <v>103.3116</v>
      </c>
      <c r="L928" s="14">
        <f>CHOOSE(CONTROL!$C$42, 103.8009, 103.8009) * CHOOSE(CONTROL!$C$21, $C$9, 100%, $E$9)</f>
        <v>103.8009</v>
      </c>
      <c r="M928" s="14">
        <f>CHOOSE(CONTROL!$C$42, 100.8821, 100.8821) * CHOOSE(CONTROL!$C$21, $C$9, 100%, $E$9)</f>
        <v>100.88209999999999</v>
      </c>
      <c r="N928" s="14">
        <f>CHOOSE(CONTROL!$C$42, 100.8986, 100.8986) * CHOOSE(CONTROL!$C$21, $C$9, 100%, $E$9)</f>
        <v>100.8986</v>
      </c>
      <c r="O928" s="14">
        <f>CHOOSE(CONTROL!$C$42, 101.1068, 101.1068) * CHOOSE(CONTROL!$C$21, $C$9, 100%, $E$9)</f>
        <v>101.10680000000001</v>
      </c>
      <c r="P928" s="14">
        <f>CHOOSE(CONTROL!$C$42, 101.1999, 101.1999) * CHOOSE(CONTROL!$C$21, $C$9, 100%, $E$9)</f>
        <v>101.1999</v>
      </c>
      <c r="Q928" s="14">
        <f>CHOOSE(CONTROL!$C$42, 101.7015, 101.7015) * CHOOSE(CONTROL!$C$21, $C$9, 100%, $E$9)</f>
        <v>101.7015</v>
      </c>
      <c r="R928" s="14">
        <f>CHOOSE(CONTROL!$C$42, 102.5427, 102.5427) * CHOOSE(CONTROL!$C$21, $C$9, 100%, $E$9)</f>
        <v>102.5427</v>
      </c>
      <c r="S928" s="14">
        <f>CHOOSE(CONTROL!$C$42, 98.9286, 98.9286) * CHOOSE(CONTROL!$C$21, $C$9, 100%, $E$9)</f>
        <v>98.928600000000003</v>
      </c>
      <c r="T9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28" s="57">
        <f>(1000*CHOOSE(CONTROL!$C$42, 695, 695)*CHOOSE(CONTROL!$C$42, 0.5599, 0.5599)*CHOOSE(CONTROL!$C$42, 30, 30))/1000000</f>
        <v>11.673914999999997</v>
      </c>
      <c r="V928" s="57">
        <f>(1000*CHOOSE(CONTROL!$C$42, 500, 500)*CHOOSE(CONTROL!$C$42, 0.275, 0.275)*CHOOSE(CONTROL!$C$42, 30, 30))/1000000</f>
        <v>4.125</v>
      </c>
      <c r="W928" s="57">
        <f>(1000*CHOOSE(CONTROL!$C$42, 0.1146, 0.1146)*CHOOSE(CONTROL!$C$42, 121.5, 121.5)*CHOOSE(CONTROL!$C$42, 30, 30))/1000000</f>
        <v>0.417717</v>
      </c>
      <c r="X928" s="57">
        <f>(30*0.1790888*245000/1000000)+(30*0.2374*100000/1000000)</f>
        <v>2.0285026799999999</v>
      </c>
      <c r="Y928" s="57"/>
      <c r="Z928" s="14"/>
      <c r="AA928" s="56"/>
      <c r="AB928" s="50">
        <f>(B928*141.293+C928*267.993+D928*115.016+E928*89.698+F928*40+G928*185+H928*0+I928*100+J928*300)/(141.293+267.993+115.016+89.698+0+40+185+100+300)</f>
        <v>103.04575319539953</v>
      </c>
      <c r="AC928" s="45">
        <f>(M928*'RAP TEMPLATE-GAS AVAILABILITY'!O927+N928*'RAP TEMPLATE-GAS AVAILABILITY'!P927+O928*'RAP TEMPLATE-GAS AVAILABILITY'!Q927+P928*'RAP TEMPLATE-GAS AVAILABILITY'!R927)/('RAP TEMPLATE-GAS AVAILABILITY'!O927+'RAP TEMPLATE-GAS AVAILABILITY'!P927+'RAP TEMPLATE-GAS AVAILABILITY'!Q927+'RAP TEMPLATE-GAS AVAILABILITY'!R927)</f>
        <v>101.03061870503596</v>
      </c>
    </row>
    <row r="929" spans="1:29" ht="15.75" x14ac:dyDescent="0.25">
      <c r="A929" s="32">
        <v>69184</v>
      </c>
      <c r="B929" s="14">
        <f>CHOOSE(CONTROL!$C$42, 103.8739, 103.8739) * CHOOSE(CONTROL!$C$21, $C$9, 100%, $E$9)</f>
        <v>103.87390000000001</v>
      </c>
      <c r="C929" s="14">
        <f>CHOOSE(CONTROL!$C$42, 103.8819, 103.8819) * CHOOSE(CONTROL!$C$21, $C$9, 100%, $E$9)</f>
        <v>103.8819</v>
      </c>
      <c r="D929" s="14">
        <f>CHOOSE(CONTROL!$C$42, 104.1025, 104.1025) * CHOOSE(CONTROL!$C$21, $C$9, 100%, $E$9)</f>
        <v>104.10250000000001</v>
      </c>
      <c r="E929" s="14">
        <f>CHOOSE(CONTROL!$C$42, 104.1339, 104.1339) * CHOOSE(CONTROL!$C$21, $C$9, 100%, $E$9)</f>
        <v>104.1339</v>
      </c>
      <c r="F929" s="14">
        <f>CHOOSE(CONTROL!$C$42, 103.9001, 103.9001)*CHOOSE(CONTROL!$C$21, $C$9, 100%, $E$9)</f>
        <v>103.90009999999999</v>
      </c>
      <c r="G929" s="14">
        <f>CHOOSE(CONTROL!$C$42, 103.9172, 103.9172)*CHOOSE(CONTROL!$C$21, $C$9, 100%, $E$9)</f>
        <v>103.91719999999999</v>
      </c>
      <c r="H929" s="14">
        <f>CHOOSE(CONTROL!$C$42, 104.1226, 104.1226) * CHOOSE(CONTROL!$C$21, $C$9, 100%, $E$9)</f>
        <v>104.12260000000001</v>
      </c>
      <c r="I929" s="14">
        <f>CHOOSE(CONTROL!$C$42, 104.2271, 104.2271)* CHOOSE(CONTROL!$C$21, $C$9, 100%, $E$9)</f>
        <v>104.22709999999999</v>
      </c>
      <c r="J929" s="14">
        <f>CHOOSE(CONTROL!$C$42, 103.8931, 103.8931)* CHOOSE(CONTROL!$C$21, $C$9, 100%, $E$9)</f>
        <v>103.8931</v>
      </c>
      <c r="K929" s="53">
        <f>CHOOSE(CONTROL!$C$42, 104.2232, 104.2232) * CHOOSE(CONTROL!$C$21, $C$9, 100%, $E$9)</f>
        <v>104.22320000000001</v>
      </c>
      <c r="L929" s="14">
        <f>CHOOSE(CONTROL!$C$42, 104.7096, 104.7096) * CHOOSE(CONTROL!$C$21, $C$9, 100%, $E$9)</f>
        <v>104.70959999999999</v>
      </c>
      <c r="M929" s="14">
        <f>CHOOSE(CONTROL!$C$42, 101.7721, 101.7721) * CHOOSE(CONTROL!$C$21, $C$9, 100%, $E$9)</f>
        <v>101.77209999999999</v>
      </c>
      <c r="N929" s="14">
        <f>CHOOSE(CONTROL!$C$42, 101.7889, 101.7889) * CHOOSE(CONTROL!$C$21, $C$9, 100%, $E$9)</f>
        <v>101.7889</v>
      </c>
      <c r="O929" s="14">
        <f>CHOOSE(CONTROL!$C$42, 101.9969, 101.9969) * CHOOSE(CONTROL!$C$21, $C$9, 100%, $E$9)</f>
        <v>101.9969</v>
      </c>
      <c r="P929" s="14">
        <f>CHOOSE(CONTROL!$C$42, 102.0927, 102.0927) * CHOOSE(CONTROL!$C$21, $C$9, 100%, $E$9)</f>
        <v>102.09269999999999</v>
      </c>
      <c r="Q929" s="14">
        <f>CHOOSE(CONTROL!$C$42, 102.5916, 102.5916) * CHOOSE(CONTROL!$C$21, $C$9, 100%, $E$9)</f>
        <v>102.5916</v>
      </c>
      <c r="R929" s="14">
        <f>CHOOSE(CONTROL!$C$42, 103.435, 103.435) * CHOOSE(CONTROL!$C$21, $C$9, 100%, $E$9)</f>
        <v>103.435</v>
      </c>
      <c r="S929" s="14">
        <f>CHOOSE(CONTROL!$C$42, 99.8018, 99.8018) * CHOOSE(CONTROL!$C$21, $C$9, 100%, $E$9)</f>
        <v>99.8018</v>
      </c>
      <c r="T92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29" s="57">
        <f>(1000*CHOOSE(CONTROL!$C$42, 695, 695)*CHOOSE(CONTROL!$C$42, 0.5599, 0.5599)*CHOOSE(CONTROL!$C$42, 31, 31))/1000000</f>
        <v>12.063045499999998</v>
      </c>
      <c r="V929" s="57">
        <f>(1000*CHOOSE(CONTROL!$C$42, 500, 500)*CHOOSE(CONTROL!$C$42, 0.275, 0.275)*CHOOSE(CONTROL!$C$42, 31, 31))/1000000</f>
        <v>4.2625000000000002</v>
      </c>
      <c r="W929" s="57">
        <f>(1000*CHOOSE(CONTROL!$C$42, 0.1146, 0.1146)*CHOOSE(CONTROL!$C$42, 121.5, 121.5)*CHOOSE(CONTROL!$C$42, 31, 31))/1000000</f>
        <v>0.43164089999999994</v>
      </c>
      <c r="X929" s="57">
        <f>(31*0.1790888*245000/1000000)+(31*0.2374*100000/1000000)</f>
        <v>2.0961194359999999</v>
      </c>
      <c r="Y929" s="57"/>
      <c r="Z929" s="14"/>
      <c r="AA929" s="56"/>
      <c r="AB929" s="50">
        <f>(B929*194.205+C929*267.466+D929*133.845+E929*53.484+F929*40+G929*185+H929*0+I929*100+J929*300)/(194.205+267.466+133.845+53.484+0+40+185+100+300)</f>
        <v>103.9498662755102</v>
      </c>
      <c r="AC929" s="45">
        <f>(M929*'RAP TEMPLATE-GAS AVAILABILITY'!O928+N929*'RAP TEMPLATE-GAS AVAILABILITY'!P928+O929*'RAP TEMPLATE-GAS AVAILABILITY'!Q928+P929*'RAP TEMPLATE-GAS AVAILABILITY'!R928)/('RAP TEMPLATE-GAS AVAILABILITY'!O928+'RAP TEMPLATE-GAS AVAILABILITY'!P928+'RAP TEMPLATE-GAS AVAILABILITY'!Q928+'RAP TEMPLATE-GAS AVAILABILITY'!R928)</f>
        <v>101.92108417266186</v>
      </c>
    </row>
    <row r="930" spans="1:29" ht="15.75" x14ac:dyDescent="0.25">
      <c r="A930" s="32">
        <v>69214</v>
      </c>
      <c r="B930" s="14">
        <f>CHOOSE(CONTROL!$C$42, 106.82, 106.82) * CHOOSE(CONTROL!$C$21, $C$9, 100%, $E$9)</f>
        <v>106.82</v>
      </c>
      <c r="C930" s="14">
        <f>CHOOSE(CONTROL!$C$42, 106.8281, 106.8281) * CHOOSE(CONTROL!$C$21, $C$9, 100%, $E$9)</f>
        <v>106.82810000000001</v>
      </c>
      <c r="D930" s="14">
        <f>CHOOSE(CONTROL!$C$42, 107.0487, 107.0487) * CHOOSE(CONTROL!$C$21, $C$9, 100%, $E$9)</f>
        <v>107.0487</v>
      </c>
      <c r="E930" s="14">
        <f>CHOOSE(CONTROL!$C$42, 107.0801, 107.0801) * CHOOSE(CONTROL!$C$21, $C$9, 100%, $E$9)</f>
        <v>107.0801</v>
      </c>
      <c r="F930" s="14">
        <f>CHOOSE(CONTROL!$C$42, 106.8467, 106.8467)*CHOOSE(CONTROL!$C$21, $C$9, 100%, $E$9)</f>
        <v>106.8467</v>
      </c>
      <c r="G930" s="14">
        <f>CHOOSE(CONTROL!$C$42, 106.8639, 106.8639)*CHOOSE(CONTROL!$C$21, $C$9, 100%, $E$9)</f>
        <v>106.8639</v>
      </c>
      <c r="H930" s="14">
        <f>CHOOSE(CONTROL!$C$42, 107.0688, 107.0688) * CHOOSE(CONTROL!$C$21, $C$9, 100%, $E$9)</f>
        <v>107.0688</v>
      </c>
      <c r="I930" s="14">
        <f>CHOOSE(CONTROL!$C$42, 107.1825, 107.1825)* CHOOSE(CONTROL!$C$21, $C$9, 100%, $E$9)</f>
        <v>107.1825</v>
      </c>
      <c r="J930" s="14">
        <f>CHOOSE(CONTROL!$C$42, 106.8397, 106.8397)* CHOOSE(CONTROL!$C$21, $C$9, 100%, $E$9)</f>
        <v>106.83969999999999</v>
      </c>
      <c r="K930" s="53">
        <f>CHOOSE(CONTROL!$C$42, 107.1786, 107.1786) * CHOOSE(CONTROL!$C$21, $C$9, 100%, $E$9)</f>
        <v>107.1786</v>
      </c>
      <c r="L930" s="14">
        <f>CHOOSE(CONTROL!$C$42, 107.6558, 107.6558) * CHOOSE(CONTROL!$C$21, $C$9, 100%, $E$9)</f>
        <v>107.6558</v>
      </c>
      <c r="M930" s="14">
        <f>CHOOSE(CONTROL!$C$42, 104.6583, 104.6583) * CHOOSE(CONTROL!$C$21, $C$9, 100%, $E$9)</f>
        <v>104.6583</v>
      </c>
      <c r="N930" s="14">
        <f>CHOOSE(CONTROL!$C$42, 104.6751, 104.6751) * CHOOSE(CONTROL!$C$21, $C$9, 100%, $E$9)</f>
        <v>104.6751</v>
      </c>
      <c r="O930" s="14">
        <f>CHOOSE(CONTROL!$C$42, 104.8827, 104.8827) * CHOOSE(CONTROL!$C$21, $C$9, 100%, $E$9)</f>
        <v>104.8827</v>
      </c>
      <c r="P930" s="14">
        <f>CHOOSE(CONTROL!$C$42, 104.9874, 104.9874) * CHOOSE(CONTROL!$C$21, $C$9, 100%, $E$9)</f>
        <v>104.98739999999999</v>
      </c>
      <c r="Q930" s="14">
        <f>CHOOSE(CONTROL!$C$42, 105.4774, 105.4774) * CHOOSE(CONTROL!$C$21, $C$9, 100%, $E$9)</f>
        <v>105.4774</v>
      </c>
      <c r="R930" s="14">
        <f>CHOOSE(CONTROL!$C$42, 106.3281, 106.3281) * CHOOSE(CONTROL!$C$21, $C$9, 100%, $E$9)</f>
        <v>106.32810000000001</v>
      </c>
      <c r="S930" s="14">
        <f>CHOOSE(CONTROL!$C$42, 102.6327, 102.6327) * CHOOSE(CONTROL!$C$21, $C$9, 100%, $E$9)</f>
        <v>102.6327</v>
      </c>
      <c r="T93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30" s="57">
        <f>(1000*CHOOSE(CONTROL!$C$42, 695, 695)*CHOOSE(CONTROL!$C$42, 0.5599, 0.5599)*CHOOSE(CONTROL!$C$42, 30, 30))/1000000</f>
        <v>11.673914999999997</v>
      </c>
      <c r="V930" s="57">
        <f>(1000*CHOOSE(CONTROL!$C$42, 500, 500)*CHOOSE(CONTROL!$C$42, 0.275, 0.275)*CHOOSE(CONTROL!$C$42, 30, 30))/1000000</f>
        <v>4.125</v>
      </c>
      <c r="W930" s="57">
        <f>(1000*CHOOSE(CONTROL!$C$42, 0.1146, 0.1146)*CHOOSE(CONTROL!$C$42, 121.5, 121.5)*CHOOSE(CONTROL!$C$42, 30, 30))/1000000</f>
        <v>0.417717</v>
      </c>
      <c r="X930" s="57">
        <f>(30*0.1790888*245000/1000000)+(30*0.2374*100000/1000000)</f>
        <v>2.0285026799999999</v>
      </c>
      <c r="Y930" s="57"/>
      <c r="Z930" s="14"/>
      <c r="AA930" s="56"/>
      <c r="AB930" s="50">
        <f>(B930*194.205+C930*267.466+D930*133.845+E930*53.484+F930*40+G930*185+H930*0+I930*100+J930*300)/(194.205+267.466+133.845+53.484+0+40+185+100+300)</f>
        <v>106.89695252315541</v>
      </c>
      <c r="AC930" s="45">
        <f>(M930*'RAP TEMPLATE-GAS AVAILABILITY'!O929+N930*'RAP TEMPLATE-GAS AVAILABILITY'!P929+O930*'RAP TEMPLATE-GAS AVAILABILITY'!Q929+P930*'RAP TEMPLATE-GAS AVAILABILITY'!R929)/('RAP TEMPLATE-GAS AVAILABILITY'!O929+'RAP TEMPLATE-GAS AVAILABILITY'!P929+'RAP TEMPLATE-GAS AVAILABILITY'!Q929+'RAP TEMPLATE-GAS AVAILABILITY'!R929)</f>
        <v>104.80832589928058</v>
      </c>
    </row>
    <row r="931" spans="1:29" ht="15.75" x14ac:dyDescent="0.25">
      <c r="A931" s="32">
        <v>69245</v>
      </c>
      <c r="B931" s="14">
        <f>CHOOSE(CONTROL!$C$42, 104.771, 104.771) * CHOOSE(CONTROL!$C$21, $C$9, 100%, $E$9)</f>
        <v>104.771</v>
      </c>
      <c r="C931" s="14">
        <f>CHOOSE(CONTROL!$C$42, 104.779, 104.779) * CHOOSE(CONTROL!$C$21, $C$9, 100%, $E$9)</f>
        <v>104.779</v>
      </c>
      <c r="D931" s="14">
        <f>CHOOSE(CONTROL!$C$42, 104.9996, 104.9996) * CHOOSE(CONTROL!$C$21, $C$9, 100%, $E$9)</f>
        <v>104.9996</v>
      </c>
      <c r="E931" s="14">
        <f>CHOOSE(CONTROL!$C$42, 105.031, 105.031) * CHOOSE(CONTROL!$C$21, $C$9, 100%, $E$9)</f>
        <v>105.03100000000001</v>
      </c>
      <c r="F931" s="14">
        <f>CHOOSE(CONTROL!$C$42, 104.798, 104.798)*CHOOSE(CONTROL!$C$21, $C$9, 100%, $E$9)</f>
        <v>104.798</v>
      </c>
      <c r="G931" s="14">
        <f>CHOOSE(CONTROL!$C$42, 104.8153, 104.8153)*CHOOSE(CONTROL!$C$21, $C$9, 100%, $E$9)</f>
        <v>104.81529999999999</v>
      </c>
      <c r="H931" s="14">
        <f>CHOOSE(CONTROL!$C$42, 105.0197, 105.0197) * CHOOSE(CONTROL!$C$21, $C$9, 100%, $E$9)</f>
        <v>105.0197</v>
      </c>
      <c r="I931" s="14">
        <f>CHOOSE(CONTROL!$C$42, 105.127, 105.127)* CHOOSE(CONTROL!$C$21, $C$9, 100%, $E$9)</f>
        <v>105.127</v>
      </c>
      <c r="J931" s="14">
        <f>CHOOSE(CONTROL!$C$42, 104.791, 104.791)* CHOOSE(CONTROL!$C$21, $C$9, 100%, $E$9)</f>
        <v>104.791</v>
      </c>
      <c r="K931" s="53">
        <f>CHOOSE(CONTROL!$C$42, 105.1231, 105.1231) * CHOOSE(CONTROL!$C$21, $C$9, 100%, $E$9)</f>
        <v>105.12309999999999</v>
      </c>
      <c r="L931" s="14">
        <f>CHOOSE(CONTROL!$C$42, 105.6067, 105.6067) * CHOOSE(CONTROL!$C$21, $C$9, 100%, $E$9)</f>
        <v>105.6067</v>
      </c>
      <c r="M931" s="14">
        <f>CHOOSE(CONTROL!$C$42, 102.6516, 102.6516) * CHOOSE(CONTROL!$C$21, $C$9, 100%, $E$9)</f>
        <v>102.6516</v>
      </c>
      <c r="N931" s="14">
        <f>CHOOSE(CONTROL!$C$42, 102.6686, 102.6686) * CHOOSE(CONTROL!$C$21, $C$9, 100%, $E$9)</f>
        <v>102.6686</v>
      </c>
      <c r="O931" s="14">
        <f>CHOOSE(CONTROL!$C$42, 102.8756, 102.8756) * CHOOSE(CONTROL!$C$21, $C$9, 100%, $E$9)</f>
        <v>102.87560000000001</v>
      </c>
      <c r="P931" s="14">
        <f>CHOOSE(CONTROL!$C$42, 102.9741, 102.9741) * CHOOSE(CONTROL!$C$21, $C$9, 100%, $E$9)</f>
        <v>102.97410000000001</v>
      </c>
      <c r="Q931" s="14">
        <f>CHOOSE(CONTROL!$C$42, 103.4703, 103.4703) * CHOOSE(CONTROL!$C$21, $C$9, 100%, $E$9)</f>
        <v>103.47029999999999</v>
      </c>
      <c r="R931" s="14">
        <f>CHOOSE(CONTROL!$C$42, 104.3159, 104.3159) * CHOOSE(CONTROL!$C$21, $C$9, 100%, $E$9)</f>
        <v>104.3159</v>
      </c>
      <c r="S931" s="14">
        <f>CHOOSE(CONTROL!$C$42, 100.6638, 100.6638) * CHOOSE(CONTROL!$C$21, $C$9, 100%, $E$9)</f>
        <v>100.66379999999999</v>
      </c>
      <c r="T93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31" s="57">
        <f>(1000*CHOOSE(CONTROL!$C$42, 695, 695)*CHOOSE(CONTROL!$C$42, 0.5599, 0.5599)*CHOOSE(CONTROL!$C$42, 31, 31))/1000000</f>
        <v>12.063045499999998</v>
      </c>
      <c r="V931" s="57">
        <f>(1000*CHOOSE(CONTROL!$C$42, 500, 500)*CHOOSE(CONTROL!$C$42, 0.275, 0.275)*CHOOSE(CONTROL!$C$42, 31, 31))/1000000</f>
        <v>4.2625000000000002</v>
      </c>
      <c r="W931" s="57">
        <f>(1000*CHOOSE(CONTROL!$C$42, 0.1146, 0.1146)*CHOOSE(CONTROL!$C$42, 121.5, 121.5)*CHOOSE(CONTROL!$C$42, 31, 31))/1000000</f>
        <v>0.43164089999999994</v>
      </c>
      <c r="X931" s="57">
        <f>(31*0.1790888*245000/1000000)+(31*0.2374*100000/1000000)</f>
        <v>2.0961194359999999</v>
      </c>
      <c r="Y931" s="57"/>
      <c r="Z931" s="14"/>
      <c r="AA931" s="56"/>
      <c r="AB931" s="50">
        <f>(B931*194.205+C931*267.466+D931*133.845+E931*53.484+F931*40+G931*185+H931*0+I931*100+J931*300)/(194.205+267.466+133.845+53.484+0+40+185+100+300)</f>
        <v>104.84754476844584</v>
      </c>
      <c r="AC931" s="45">
        <f>(M931*'RAP TEMPLATE-GAS AVAILABILITY'!O930+N931*'RAP TEMPLATE-GAS AVAILABILITY'!P930+O931*'RAP TEMPLATE-GAS AVAILABILITY'!Q930+P931*'RAP TEMPLATE-GAS AVAILABILITY'!R930)/('RAP TEMPLATE-GAS AVAILABILITY'!O930+'RAP TEMPLATE-GAS AVAILABILITY'!P930+'RAP TEMPLATE-GAS AVAILABILITY'!Q930+'RAP TEMPLATE-GAS AVAILABILITY'!R930)</f>
        <v>102.80050647482014</v>
      </c>
    </row>
    <row r="932" spans="1:29" ht="15.75" x14ac:dyDescent="0.25">
      <c r="A932" s="32">
        <v>69276</v>
      </c>
      <c r="B932" s="14">
        <f>CHOOSE(CONTROL!$C$42, 99.5963, 99.5963) * CHOOSE(CONTROL!$C$21, $C$9, 100%, $E$9)</f>
        <v>99.596299999999999</v>
      </c>
      <c r="C932" s="14">
        <f>CHOOSE(CONTROL!$C$42, 99.6044, 99.6044) * CHOOSE(CONTROL!$C$21, $C$9, 100%, $E$9)</f>
        <v>99.604399999999998</v>
      </c>
      <c r="D932" s="14">
        <f>CHOOSE(CONTROL!$C$42, 99.825, 99.825) * CHOOSE(CONTROL!$C$21, $C$9, 100%, $E$9)</f>
        <v>99.825000000000003</v>
      </c>
      <c r="E932" s="14">
        <f>CHOOSE(CONTROL!$C$42, 99.8564, 99.8564) * CHOOSE(CONTROL!$C$21, $C$9, 100%, $E$9)</f>
        <v>99.856399999999994</v>
      </c>
      <c r="F932" s="14">
        <f>CHOOSE(CONTROL!$C$42, 99.6237, 99.6237)*CHOOSE(CONTROL!$C$21, $C$9, 100%, $E$9)</f>
        <v>99.623699999999999</v>
      </c>
      <c r="G932" s="14">
        <f>CHOOSE(CONTROL!$C$42, 99.6411, 99.6411)*CHOOSE(CONTROL!$C$21, $C$9, 100%, $E$9)</f>
        <v>99.641099999999994</v>
      </c>
      <c r="H932" s="14">
        <f>CHOOSE(CONTROL!$C$42, 99.845, 99.845) * CHOOSE(CONTROL!$C$21, $C$9, 100%, $E$9)</f>
        <v>99.844999999999999</v>
      </c>
      <c r="I932" s="14">
        <f>CHOOSE(CONTROL!$C$42, 99.9361, 99.9361)* CHOOSE(CONTROL!$C$21, $C$9, 100%, $E$9)</f>
        <v>99.936099999999996</v>
      </c>
      <c r="J932" s="14">
        <f>CHOOSE(CONTROL!$C$42, 99.6167, 99.6167)* CHOOSE(CONTROL!$C$21, $C$9, 100%, $E$9)</f>
        <v>99.616699999999994</v>
      </c>
      <c r="K932" s="53">
        <f>CHOOSE(CONTROL!$C$42, 99.9323, 99.9323) * CHOOSE(CONTROL!$C$21, $C$9, 100%, $E$9)</f>
        <v>99.932299999999998</v>
      </c>
      <c r="L932" s="14">
        <f>CHOOSE(CONTROL!$C$42, 100.432, 100.432) * CHOOSE(CONTROL!$C$21, $C$9, 100%, $E$9)</f>
        <v>100.432</v>
      </c>
      <c r="M932" s="14">
        <f>CHOOSE(CONTROL!$C$42, 97.5833, 97.5833) * CHOOSE(CONTROL!$C$21, $C$9, 100%, $E$9)</f>
        <v>97.583299999999994</v>
      </c>
      <c r="N932" s="14">
        <f>CHOOSE(CONTROL!$C$42, 97.6004, 97.6004) * CHOOSE(CONTROL!$C$21, $C$9, 100%, $E$9)</f>
        <v>97.600399999999993</v>
      </c>
      <c r="O932" s="14">
        <f>CHOOSE(CONTROL!$C$42, 97.807, 97.807) * CHOOSE(CONTROL!$C$21, $C$9, 100%, $E$9)</f>
        <v>97.807000000000002</v>
      </c>
      <c r="P932" s="14">
        <f>CHOOSE(CONTROL!$C$42, 97.89, 97.89) * CHOOSE(CONTROL!$C$21, $C$9, 100%, $E$9)</f>
        <v>97.89</v>
      </c>
      <c r="Q932" s="14">
        <f>CHOOSE(CONTROL!$C$42, 98.4017, 98.4017) * CHOOSE(CONTROL!$C$21, $C$9, 100%, $E$9)</f>
        <v>98.401700000000005</v>
      </c>
      <c r="R932" s="14">
        <f>CHOOSE(CONTROL!$C$42, 99.2347, 99.2347) * CHOOSE(CONTROL!$C$21, $C$9, 100%, $E$9)</f>
        <v>99.234700000000004</v>
      </c>
      <c r="S932" s="14">
        <f>CHOOSE(CONTROL!$C$42, 95.6915, 95.6915) * CHOOSE(CONTROL!$C$21, $C$9, 100%, $E$9)</f>
        <v>95.691500000000005</v>
      </c>
      <c r="T93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32" s="57">
        <f>(1000*CHOOSE(CONTROL!$C$42, 695, 695)*CHOOSE(CONTROL!$C$42, 0.5599, 0.5599)*CHOOSE(CONTROL!$C$42, 31, 31))/1000000</f>
        <v>12.063045499999998</v>
      </c>
      <c r="V932" s="57">
        <f>(1000*CHOOSE(CONTROL!$C$42, 500, 500)*CHOOSE(CONTROL!$C$42, 0.275, 0.275)*CHOOSE(CONTROL!$C$42, 31, 31))/1000000</f>
        <v>4.2625000000000002</v>
      </c>
      <c r="W932" s="57">
        <f>(1000*CHOOSE(CONTROL!$C$42, 0.1146, 0.1146)*CHOOSE(CONTROL!$C$42, 121.5, 121.5)*CHOOSE(CONTROL!$C$42, 31, 31))/1000000</f>
        <v>0.43164089999999994</v>
      </c>
      <c r="X932" s="57">
        <f>(31*0.1790888*245000/1000000)+(31*0.2374*100000/1000000)</f>
        <v>2.0961194359999999</v>
      </c>
      <c r="Y932" s="57"/>
      <c r="Z932" s="14"/>
      <c r="AA932" s="56"/>
      <c r="AB932" s="50">
        <f>(B932*194.205+C932*267.466+D932*133.845+E932*53.484+F932*40+G932*185+H932*0+I932*100+J932*300)/(194.205+267.466+133.845+53.484+0+40+185+100+300)</f>
        <v>99.67178823744112</v>
      </c>
      <c r="AC932" s="45">
        <f>(M932*'RAP TEMPLATE-GAS AVAILABILITY'!O931+N932*'RAP TEMPLATE-GAS AVAILABILITY'!P931+O932*'RAP TEMPLATE-GAS AVAILABILITY'!Q931+P932*'RAP TEMPLATE-GAS AVAILABILITY'!R931)/('RAP TEMPLATE-GAS AVAILABILITY'!O931+'RAP TEMPLATE-GAS AVAILABILITY'!P931+'RAP TEMPLATE-GAS AVAILABILITY'!Q931+'RAP TEMPLATE-GAS AVAILABILITY'!R931)</f>
        <v>97.72980287769785</v>
      </c>
    </row>
    <row r="933" spans="1:29" ht="15.75" x14ac:dyDescent="0.25">
      <c r="A933" s="32">
        <v>69306</v>
      </c>
      <c r="B933" s="14">
        <f>CHOOSE(CONTROL!$C$42, 93.2737, 93.2737) * CHOOSE(CONTROL!$C$21, $C$9, 100%, $E$9)</f>
        <v>93.273700000000005</v>
      </c>
      <c r="C933" s="14">
        <f>CHOOSE(CONTROL!$C$42, 93.2817, 93.2817) * CHOOSE(CONTROL!$C$21, $C$9, 100%, $E$9)</f>
        <v>93.281700000000001</v>
      </c>
      <c r="D933" s="14">
        <f>CHOOSE(CONTROL!$C$42, 93.5023, 93.5023) * CHOOSE(CONTROL!$C$21, $C$9, 100%, $E$9)</f>
        <v>93.502300000000005</v>
      </c>
      <c r="E933" s="14">
        <f>CHOOSE(CONTROL!$C$42, 93.5338, 93.5338) * CHOOSE(CONTROL!$C$21, $C$9, 100%, $E$9)</f>
        <v>93.533799999999999</v>
      </c>
      <c r="F933" s="14">
        <f>CHOOSE(CONTROL!$C$42, 93.3011, 93.3011)*CHOOSE(CONTROL!$C$21, $C$9, 100%, $E$9)</f>
        <v>93.301100000000005</v>
      </c>
      <c r="G933" s="14">
        <f>CHOOSE(CONTROL!$C$42, 93.3185, 93.3185)*CHOOSE(CONTROL!$C$21, $C$9, 100%, $E$9)</f>
        <v>93.3185</v>
      </c>
      <c r="H933" s="14">
        <f>CHOOSE(CONTROL!$C$42, 93.5224, 93.5224) * CHOOSE(CONTROL!$C$21, $C$9, 100%, $E$9)</f>
        <v>93.522400000000005</v>
      </c>
      <c r="I933" s="14">
        <f>CHOOSE(CONTROL!$C$42, 93.5937, 93.5937)* CHOOSE(CONTROL!$C$21, $C$9, 100%, $E$9)</f>
        <v>93.593699999999998</v>
      </c>
      <c r="J933" s="14">
        <f>CHOOSE(CONTROL!$C$42, 93.2941, 93.2941)* CHOOSE(CONTROL!$C$21, $C$9, 100%, $E$9)</f>
        <v>93.2941</v>
      </c>
      <c r="K933" s="53">
        <f>CHOOSE(CONTROL!$C$42, 93.5898, 93.5898) * CHOOSE(CONTROL!$C$21, $C$9, 100%, $E$9)</f>
        <v>93.589799999999997</v>
      </c>
      <c r="L933" s="14">
        <f>CHOOSE(CONTROL!$C$42, 94.1094, 94.1094) * CHOOSE(CONTROL!$C$21, $C$9, 100%, $E$9)</f>
        <v>94.109399999999994</v>
      </c>
      <c r="M933" s="14">
        <f>CHOOSE(CONTROL!$C$42, 91.3902, 91.3902) * CHOOSE(CONTROL!$C$21, $C$9, 100%, $E$9)</f>
        <v>91.390199999999993</v>
      </c>
      <c r="N933" s="14">
        <f>CHOOSE(CONTROL!$C$42, 91.4073, 91.4073) * CHOOSE(CONTROL!$C$21, $C$9, 100%, $E$9)</f>
        <v>91.407300000000006</v>
      </c>
      <c r="O933" s="14">
        <f>CHOOSE(CONTROL!$C$42, 91.6139, 91.6139) * CHOOSE(CONTROL!$C$21, $C$9, 100%, $E$9)</f>
        <v>91.613900000000001</v>
      </c>
      <c r="P933" s="14">
        <f>CHOOSE(CONTROL!$C$42, 91.6779, 91.6779) * CHOOSE(CONTROL!$C$21, $C$9, 100%, $E$9)</f>
        <v>91.677899999999994</v>
      </c>
      <c r="Q933" s="14">
        <f>CHOOSE(CONTROL!$C$42, 92.2086, 92.2086) * CHOOSE(CONTROL!$C$21, $C$9, 100%, $E$9)</f>
        <v>92.208600000000004</v>
      </c>
      <c r="R933" s="14">
        <f>CHOOSE(CONTROL!$C$42, 93.0261, 93.0261) * CHOOSE(CONTROL!$C$21, $C$9, 100%, $E$9)</f>
        <v>93.0261</v>
      </c>
      <c r="S933" s="14">
        <f>CHOOSE(CONTROL!$C$42, 89.6161, 89.6161) * CHOOSE(CONTROL!$C$21, $C$9, 100%, $E$9)</f>
        <v>89.616100000000003</v>
      </c>
      <c r="T93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3" s="57">
        <f>(1000*CHOOSE(CONTROL!$C$42, 695, 695)*CHOOSE(CONTROL!$C$42, 0.5599, 0.5599)*CHOOSE(CONTROL!$C$42, 30, 30))/1000000</f>
        <v>11.673914999999997</v>
      </c>
      <c r="V933" s="57">
        <f>(1000*CHOOSE(CONTROL!$C$42, 500, 500)*CHOOSE(CONTROL!$C$42, 0.275, 0.275)*CHOOSE(CONTROL!$C$42, 30, 30))/1000000</f>
        <v>4.125</v>
      </c>
      <c r="W933" s="57">
        <f>(1000*CHOOSE(CONTROL!$C$42, 0.1146, 0.1146)*CHOOSE(CONTROL!$C$42, 121.5, 121.5)*CHOOSE(CONTROL!$C$42, 30, 30))/1000000</f>
        <v>0.417717</v>
      </c>
      <c r="X933" s="57">
        <f>(30*0.1790888*245000/1000000)+(30*0.2374*100000/1000000)</f>
        <v>2.0285026799999999</v>
      </c>
      <c r="Y933" s="57"/>
      <c r="Z933" s="14"/>
      <c r="AA933" s="56"/>
      <c r="AB933" s="50">
        <f>(B933*194.205+C933*267.466+D933*133.845+E933*53.484+F933*40+G933*185+H933*0+I933*100+J933*300)/(194.205+267.466+133.845+53.484+0+40+185+100+300)</f>
        <v>93.347602577237041</v>
      </c>
      <c r="AC933" s="45">
        <f>(M933*'RAP TEMPLATE-GAS AVAILABILITY'!O932+N933*'RAP TEMPLATE-GAS AVAILABILITY'!P932+O933*'RAP TEMPLATE-GAS AVAILABILITY'!Q932+P933*'RAP TEMPLATE-GAS AVAILABILITY'!R932)/('RAP TEMPLATE-GAS AVAILABILITY'!O932+'RAP TEMPLATE-GAS AVAILABILITY'!P932+'RAP TEMPLATE-GAS AVAILABILITY'!Q932+'RAP TEMPLATE-GAS AVAILABILITY'!R932)</f>
        <v>91.533969064748192</v>
      </c>
    </row>
    <row r="934" spans="1:29" ht="15.75" x14ac:dyDescent="0.25">
      <c r="A934" s="32">
        <v>69337</v>
      </c>
      <c r="B934" s="14">
        <f>CHOOSE(CONTROL!$C$42, 91.3784, 91.3784) * CHOOSE(CONTROL!$C$21, $C$9, 100%, $E$9)</f>
        <v>91.378399999999999</v>
      </c>
      <c r="C934" s="14">
        <f>CHOOSE(CONTROL!$C$42, 91.3837, 91.3837) * CHOOSE(CONTROL!$C$21, $C$9, 100%, $E$9)</f>
        <v>91.383700000000005</v>
      </c>
      <c r="D934" s="14">
        <f>CHOOSE(CONTROL!$C$42, 91.6092, 91.6092) * CHOOSE(CONTROL!$C$21, $C$9, 100%, $E$9)</f>
        <v>91.609200000000001</v>
      </c>
      <c r="E934" s="14">
        <f>CHOOSE(CONTROL!$C$42, 91.6383, 91.6383) * CHOOSE(CONTROL!$C$21, $C$9, 100%, $E$9)</f>
        <v>91.638300000000001</v>
      </c>
      <c r="F934" s="14">
        <f>CHOOSE(CONTROL!$C$42, 91.4077, 91.4077)*CHOOSE(CONTROL!$C$21, $C$9, 100%, $E$9)</f>
        <v>91.407700000000006</v>
      </c>
      <c r="G934" s="14">
        <f>CHOOSE(CONTROL!$C$42, 91.425, 91.425)*CHOOSE(CONTROL!$C$21, $C$9, 100%, $E$9)</f>
        <v>91.424999999999997</v>
      </c>
      <c r="H934" s="14">
        <f>CHOOSE(CONTROL!$C$42, 91.6288, 91.6288) * CHOOSE(CONTROL!$C$21, $C$9, 100%, $E$9)</f>
        <v>91.628799999999998</v>
      </c>
      <c r="I934" s="14">
        <f>CHOOSE(CONTROL!$C$42, 91.6942, 91.6942)* CHOOSE(CONTROL!$C$21, $C$9, 100%, $E$9)</f>
        <v>91.694199999999995</v>
      </c>
      <c r="J934" s="14">
        <f>CHOOSE(CONTROL!$C$42, 91.4007, 91.4007)* CHOOSE(CONTROL!$C$21, $C$9, 100%, $E$9)</f>
        <v>91.400700000000001</v>
      </c>
      <c r="K934" s="53">
        <f>CHOOSE(CONTROL!$C$42, 91.6903, 91.6903) * CHOOSE(CONTROL!$C$21, $C$9, 100%, $E$9)</f>
        <v>91.690299999999993</v>
      </c>
      <c r="L934" s="14">
        <f>CHOOSE(CONTROL!$C$42, 92.2158, 92.2158) * CHOOSE(CONTROL!$C$21, $C$9, 100%, $E$9)</f>
        <v>92.215800000000002</v>
      </c>
      <c r="M934" s="14">
        <f>CHOOSE(CONTROL!$C$42, 89.5357, 89.5357) * CHOOSE(CONTROL!$C$21, $C$9, 100%, $E$9)</f>
        <v>89.535700000000006</v>
      </c>
      <c r="N934" s="14">
        <f>CHOOSE(CONTROL!$C$42, 89.5526, 89.5526) * CHOOSE(CONTROL!$C$21, $C$9, 100%, $E$9)</f>
        <v>89.552599999999998</v>
      </c>
      <c r="O934" s="14">
        <f>CHOOSE(CONTROL!$C$42, 89.7591, 89.7591) * CHOOSE(CONTROL!$C$21, $C$9, 100%, $E$9)</f>
        <v>89.759100000000004</v>
      </c>
      <c r="P934" s="14">
        <f>CHOOSE(CONTROL!$C$42, 89.8174, 89.8174) * CHOOSE(CONTROL!$C$21, $C$9, 100%, $E$9)</f>
        <v>89.817400000000006</v>
      </c>
      <c r="Q934" s="14">
        <f>CHOOSE(CONTROL!$C$42, 90.3538, 90.3538) * CHOOSE(CONTROL!$C$21, $C$9, 100%, $E$9)</f>
        <v>90.353800000000007</v>
      </c>
      <c r="R934" s="14">
        <f>CHOOSE(CONTROL!$C$42, 91.1667, 91.1667) * CHOOSE(CONTROL!$C$21, $C$9, 100%, $E$9)</f>
        <v>91.166700000000006</v>
      </c>
      <c r="S934" s="14">
        <f>CHOOSE(CONTROL!$C$42, 87.7965, 87.7965) * CHOOSE(CONTROL!$C$21, $C$9, 100%, $E$9)</f>
        <v>87.796499999999995</v>
      </c>
      <c r="T9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34" s="57">
        <f>(1000*CHOOSE(CONTROL!$C$42, 695, 695)*CHOOSE(CONTROL!$C$42, 0.5599, 0.5599)*CHOOSE(CONTROL!$C$42, 31, 31))/1000000</f>
        <v>12.063045499999998</v>
      </c>
      <c r="V934" s="57">
        <f>(1000*CHOOSE(CONTROL!$C$42, 500, 500)*CHOOSE(CONTROL!$C$42, 0.275, 0.275)*CHOOSE(CONTROL!$C$42, 31, 31))/1000000</f>
        <v>4.2625000000000002</v>
      </c>
      <c r="W934" s="57">
        <f>(1000*CHOOSE(CONTROL!$C$42, 0.1146, 0.1146)*CHOOSE(CONTROL!$C$42, 121.5, 121.5)*CHOOSE(CONTROL!$C$42, 31, 31))/1000000</f>
        <v>0.43164089999999994</v>
      </c>
      <c r="X934" s="57">
        <f>(31*0.1790888*245000/1000000)+(31*0.2374*100000/1000000)</f>
        <v>2.0961194359999999</v>
      </c>
      <c r="Y934" s="57"/>
      <c r="Z934" s="14"/>
      <c r="AA934" s="56"/>
      <c r="AB934" s="50">
        <f>(B934*131.881+C934*277.167+D934*79.08+E934*125.872+F934*40+G934*185+H934*0+I934*100+J934*300)/(131.881+277.167+79.08+125.872+0+40+185+100+300)</f>
        <v>91.45951201121872</v>
      </c>
      <c r="AC934" s="45">
        <f>(M934*'RAP TEMPLATE-GAS AVAILABILITY'!O933+N934*'RAP TEMPLATE-GAS AVAILABILITY'!P933+O934*'RAP TEMPLATE-GAS AVAILABILITY'!Q933+P934*'RAP TEMPLATE-GAS AVAILABILITY'!R933)/('RAP TEMPLATE-GAS AVAILABILITY'!O933+'RAP TEMPLATE-GAS AVAILABILITY'!P933+'RAP TEMPLATE-GAS AVAILABILITY'!Q933+'RAP TEMPLATE-GAS AVAILABILITY'!R933)</f>
        <v>89.678458273381295</v>
      </c>
    </row>
    <row r="935" spans="1:29" ht="15.75" x14ac:dyDescent="0.25">
      <c r="A935" s="32">
        <v>69367</v>
      </c>
      <c r="B935" s="14">
        <f>CHOOSE(CONTROL!$C$42, 93.785, 93.785) * CHOOSE(CONTROL!$C$21, $C$9, 100%, $E$9)</f>
        <v>93.784999999999997</v>
      </c>
      <c r="C935" s="14">
        <f>CHOOSE(CONTROL!$C$42, 93.7901, 93.7901) * CHOOSE(CONTROL!$C$21, $C$9, 100%, $E$9)</f>
        <v>93.790099999999995</v>
      </c>
      <c r="D935" s="14">
        <f>CHOOSE(CONTROL!$C$42, 93.8643, 93.8643) * CHOOSE(CONTROL!$C$21, $C$9, 100%, $E$9)</f>
        <v>93.8643</v>
      </c>
      <c r="E935" s="14">
        <f>CHOOSE(CONTROL!$C$42, 93.8984, 93.8984) * CHOOSE(CONTROL!$C$21, $C$9, 100%, $E$9)</f>
        <v>93.898399999999995</v>
      </c>
      <c r="F935" s="14">
        <f>CHOOSE(CONTROL!$C$42, 93.8211, 93.8211)*CHOOSE(CONTROL!$C$21, $C$9, 100%, $E$9)</f>
        <v>93.821100000000001</v>
      </c>
      <c r="G935" s="14">
        <f>CHOOSE(CONTROL!$C$42, 93.8386, 93.8386)*CHOOSE(CONTROL!$C$21, $C$9, 100%, $E$9)</f>
        <v>93.8386</v>
      </c>
      <c r="H935" s="14">
        <f>CHOOSE(CONTROL!$C$42, 93.8876, 93.8876) * CHOOSE(CONTROL!$C$21, $C$9, 100%, $E$9)</f>
        <v>93.887600000000006</v>
      </c>
      <c r="I935" s="14">
        <f>CHOOSE(CONTROL!$C$42, 94.1062, 94.1062)* CHOOSE(CONTROL!$C$21, $C$9, 100%, $E$9)</f>
        <v>94.106200000000001</v>
      </c>
      <c r="J935" s="14">
        <f>CHOOSE(CONTROL!$C$42, 93.8141, 93.8141)* CHOOSE(CONTROL!$C$21, $C$9, 100%, $E$9)</f>
        <v>93.814099999999996</v>
      </c>
      <c r="K935" s="53">
        <f>CHOOSE(CONTROL!$C$42, 94.1023, 94.1023) * CHOOSE(CONTROL!$C$21, $C$9, 100%, $E$9)</f>
        <v>94.1023</v>
      </c>
      <c r="L935" s="14">
        <f>CHOOSE(CONTROL!$C$42, 94.4746, 94.4746) * CHOOSE(CONTROL!$C$21, $C$9, 100%, $E$9)</f>
        <v>94.474599999999995</v>
      </c>
      <c r="M935" s="14">
        <f>CHOOSE(CONTROL!$C$42, 91.8996, 91.8996) * CHOOSE(CONTROL!$C$21, $C$9, 100%, $E$9)</f>
        <v>91.899600000000007</v>
      </c>
      <c r="N935" s="14">
        <f>CHOOSE(CONTROL!$C$42, 91.9167, 91.9167) * CHOOSE(CONTROL!$C$21, $C$9, 100%, $E$9)</f>
        <v>91.916700000000006</v>
      </c>
      <c r="O935" s="14">
        <f>CHOOSE(CONTROL!$C$42, 91.9716, 91.9716) * CHOOSE(CONTROL!$C$21, $C$9, 100%, $E$9)</f>
        <v>91.971599999999995</v>
      </c>
      <c r="P935" s="14">
        <f>CHOOSE(CONTROL!$C$42, 92.1799, 92.1799) * CHOOSE(CONTROL!$C$21, $C$9, 100%, $E$9)</f>
        <v>92.179900000000004</v>
      </c>
      <c r="Q935" s="14">
        <f>CHOOSE(CONTROL!$C$42, 92.5663, 92.5663) * CHOOSE(CONTROL!$C$21, $C$9, 100%, $E$9)</f>
        <v>92.566299999999998</v>
      </c>
      <c r="R935" s="14">
        <f>CHOOSE(CONTROL!$C$42, 93.3847, 93.3847) * CHOOSE(CONTROL!$C$21, $C$9, 100%, $E$9)</f>
        <v>93.384699999999995</v>
      </c>
      <c r="S935" s="14">
        <f>CHOOSE(CONTROL!$C$42, 90.1095, 90.1095) * CHOOSE(CONTROL!$C$21, $C$9, 100%, $E$9)</f>
        <v>90.109499999999997</v>
      </c>
      <c r="T9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35" s="57">
        <f>(1000*CHOOSE(CONTROL!$C$42, 695, 695)*CHOOSE(CONTROL!$C$42, 0.5599, 0.5599)*CHOOSE(CONTROL!$C$42, 30, 30))/1000000</f>
        <v>11.673914999999997</v>
      </c>
      <c r="V935" s="57">
        <f>(1000*CHOOSE(CONTROL!$C$42, 500, 500)*CHOOSE(CONTROL!$C$42, 0.275, 0.275)*CHOOSE(CONTROL!$C$42, 30, 30))/1000000</f>
        <v>4.125</v>
      </c>
      <c r="W935" s="57">
        <f>(1000*CHOOSE(CONTROL!$C$42, 0.1146, 0.1146)*CHOOSE(CONTROL!$C$42, 121.5, 121.5)*CHOOSE(CONTROL!$C$42, 30, 30))/1000000</f>
        <v>0.417717</v>
      </c>
      <c r="X935" s="57">
        <f>(30*0.1790888*100000/1000000)+(30*0.2374*100000/1000000)</f>
        <v>1.2494664</v>
      </c>
      <c r="Y935" s="57"/>
      <c r="Z935" s="14"/>
      <c r="AA935" s="56"/>
      <c r="AB935" s="50">
        <f>(B935*122.58+C935*297.941+D935*89.177+E935*40.302+F935*40+G935*160+H935*0+I935*100+J935*300)/(122.58+297.941+89.177+40.302+0+40+160+100+300)</f>
        <v>93.840679549565195</v>
      </c>
      <c r="AC935" s="45">
        <f>(M935*'RAP TEMPLATE-GAS AVAILABILITY'!O934+N935*'RAP TEMPLATE-GAS AVAILABILITY'!P934+O935*'RAP TEMPLATE-GAS AVAILABILITY'!Q934+P935*'RAP TEMPLATE-GAS AVAILABILITY'!R934)/('RAP TEMPLATE-GAS AVAILABILITY'!O934+'RAP TEMPLATE-GAS AVAILABILITY'!P934+'RAP TEMPLATE-GAS AVAILABILITY'!Q934+'RAP TEMPLATE-GAS AVAILABILITY'!R934)</f>
        <v>91.973548201438845</v>
      </c>
    </row>
    <row r="936" spans="1:29" ht="15.75" x14ac:dyDescent="0.25">
      <c r="A936" s="32">
        <v>69398</v>
      </c>
      <c r="B936" s="14">
        <f>CHOOSE(CONTROL!$C$42, 100.1786, 100.1786) * CHOOSE(CONTROL!$C$21, $C$9, 100%, $E$9)</f>
        <v>100.1786</v>
      </c>
      <c r="C936" s="14">
        <f>CHOOSE(CONTROL!$C$42, 100.1836, 100.1836) * CHOOSE(CONTROL!$C$21, $C$9, 100%, $E$9)</f>
        <v>100.1836</v>
      </c>
      <c r="D936" s="14">
        <f>CHOOSE(CONTROL!$C$42, 100.2579, 100.2579) * CHOOSE(CONTROL!$C$21, $C$9, 100%, $E$9)</f>
        <v>100.25790000000001</v>
      </c>
      <c r="E936" s="14">
        <f>CHOOSE(CONTROL!$C$42, 100.292, 100.292) * CHOOSE(CONTROL!$C$21, $C$9, 100%, $E$9)</f>
        <v>100.292</v>
      </c>
      <c r="F936" s="14">
        <f>CHOOSE(CONTROL!$C$42, 100.217, 100.217)*CHOOSE(CONTROL!$C$21, $C$9, 100%, $E$9)</f>
        <v>100.217</v>
      </c>
      <c r="G936" s="14">
        <f>CHOOSE(CONTROL!$C$42, 100.2351, 100.2351)*CHOOSE(CONTROL!$C$21, $C$9, 100%, $E$9)</f>
        <v>100.2351</v>
      </c>
      <c r="H936" s="14">
        <f>CHOOSE(CONTROL!$C$42, 100.2812, 100.2812) * CHOOSE(CONTROL!$C$21, $C$9, 100%, $E$9)</f>
        <v>100.2812</v>
      </c>
      <c r="I936" s="14">
        <f>CHOOSE(CONTROL!$C$42, 100.5198, 100.5198)* CHOOSE(CONTROL!$C$21, $C$9, 100%, $E$9)</f>
        <v>100.5198</v>
      </c>
      <c r="J936" s="14">
        <f>CHOOSE(CONTROL!$C$42, 100.21, 100.21)* CHOOSE(CONTROL!$C$21, $C$9, 100%, $E$9)</f>
        <v>100.21</v>
      </c>
      <c r="K936" s="53">
        <f>CHOOSE(CONTROL!$C$42, 100.5159, 100.5159) * CHOOSE(CONTROL!$C$21, $C$9, 100%, $E$9)</f>
        <v>100.5159</v>
      </c>
      <c r="L936" s="14">
        <f>CHOOSE(CONTROL!$C$42, 100.8682, 100.8682) * CHOOSE(CONTROL!$C$21, $C$9, 100%, $E$9)</f>
        <v>100.8682</v>
      </c>
      <c r="M936" s="14">
        <f>CHOOSE(CONTROL!$C$42, 98.1645, 98.1645) * CHOOSE(CONTROL!$C$21, $C$9, 100%, $E$9)</f>
        <v>98.164500000000004</v>
      </c>
      <c r="N936" s="14">
        <f>CHOOSE(CONTROL!$C$42, 98.1822, 98.1822) * CHOOSE(CONTROL!$C$21, $C$9, 100%, $E$9)</f>
        <v>98.182199999999995</v>
      </c>
      <c r="O936" s="14">
        <f>CHOOSE(CONTROL!$C$42, 98.2342, 98.2342) * CHOOSE(CONTROL!$C$21, $C$9, 100%, $E$9)</f>
        <v>98.234200000000001</v>
      </c>
      <c r="P936" s="14">
        <f>CHOOSE(CONTROL!$C$42, 98.4617, 98.4617) * CHOOSE(CONTROL!$C$21, $C$9, 100%, $E$9)</f>
        <v>98.461699999999993</v>
      </c>
      <c r="Q936" s="14">
        <f>CHOOSE(CONTROL!$C$42, 98.8289, 98.8289) * CHOOSE(CONTROL!$C$21, $C$9, 100%, $E$9)</f>
        <v>98.828900000000004</v>
      </c>
      <c r="R936" s="14">
        <f>CHOOSE(CONTROL!$C$42, 99.6629, 99.6629) * CHOOSE(CONTROL!$C$21, $C$9, 100%, $E$9)</f>
        <v>99.662899999999993</v>
      </c>
      <c r="S936" s="14">
        <f>CHOOSE(CONTROL!$C$42, 96.2531, 96.2531) * CHOOSE(CONTROL!$C$21, $C$9, 100%, $E$9)</f>
        <v>96.253100000000003</v>
      </c>
      <c r="T9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36" s="57">
        <f>(1000*CHOOSE(CONTROL!$C$42, 695, 695)*CHOOSE(CONTROL!$C$42, 0.5599, 0.5599)*CHOOSE(CONTROL!$C$42, 31, 31))/1000000</f>
        <v>12.063045499999998</v>
      </c>
      <c r="V936" s="57">
        <f>(1000*CHOOSE(CONTROL!$C$42, 500, 500)*CHOOSE(CONTROL!$C$42, 0.275, 0.275)*CHOOSE(CONTROL!$C$42, 31, 31))/1000000</f>
        <v>4.2625000000000002</v>
      </c>
      <c r="W936" s="57">
        <f>(1000*CHOOSE(CONTROL!$C$42, 0.1146, 0.1146)*CHOOSE(CONTROL!$C$42, 121.5, 121.5)*CHOOSE(CONTROL!$C$42, 31, 31))/1000000</f>
        <v>0.43164089999999994</v>
      </c>
      <c r="X936" s="57">
        <f>(31*0.1790888*100000/1000000)+(31*0.2374*100000/1000000)</f>
        <v>1.2911152800000001</v>
      </c>
      <c r="Y936" s="57"/>
      <c r="Z936" s="14"/>
      <c r="AA936" s="56"/>
      <c r="AB936" s="50">
        <f>(B936*122.58+C936*297.941+D936*89.177+E936*40.302+F936*40+G936*160+H936*0+I936*100+J936*300)/(122.58+297.941+89.177+40.302+0+40+160+100+300)</f>
        <v>100.23707625034781</v>
      </c>
      <c r="AC936" s="45">
        <f>(M936*'RAP TEMPLATE-GAS AVAILABILITY'!O935+N936*'RAP TEMPLATE-GAS AVAILABILITY'!P935+O936*'RAP TEMPLATE-GAS AVAILABILITY'!Q935+P936*'RAP TEMPLATE-GAS AVAILABILITY'!R935)/('RAP TEMPLATE-GAS AVAILABILITY'!O935+'RAP TEMPLATE-GAS AVAILABILITY'!P935+'RAP TEMPLATE-GAS AVAILABILITY'!Q935+'RAP TEMPLATE-GAS AVAILABILITY'!R935)</f>
        <v>98.239871942446044</v>
      </c>
    </row>
    <row r="937" spans="1:29" ht="15.75" x14ac:dyDescent="0.25">
      <c r="A937" s="32">
        <v>69429</v>
      </c>
      <c r="B937" s="14">
        <f>CHOOSE(CONTROL!$C$42, 108.4827, 108.4827) * CHOOSE(CONTROL!$C$21, $C$9, 100%, $E$9)</f>
        <v>108.48269999999999</v>
      </c>
      <c r="C937" s="14">
        <f>CHOOSE(CONTROL!$C$42, 108.4877, 108.4877) * CHOOSE(CONTROL!$C$21, $C$9, 100%, $E$9)</f>
        <v>108.4877</v>
      </c>
      <c r="D937" s="14">
        <f>CHOOSE(CONTROL!$C$42, 108.5646, 108.5646) * CHOOSE(CONTROL!$C$21, $C$9, 100%, $E$9)</f>
        <v>108.5646</v>
      </c>
      <c r="E937" s="14">
        <f>CHOOSE(CONTROL!$C$42, 108.5987, 108.5987) * CHOOSE(CONTROL!$C$21, $C$9, 100%, $E$9)</f>
        <v>108.59869999999999</v>
      </c>
      <c r="F937" s="14">
        <f>CHOOSE(CONTROL!$C$42, 108.5074, 108.5074)*CHOOSE(CONTROL!$C$21, $C$9, 100%, $E$9)</f>
        <v>108.5074</v>
      </c>
      <c r="G937" s="14">
        <f>CHOOSE(CONTROL!$C$42, 108.5254, 108.5254)*CHOOSE(CONTROL!$C$21, $C$9, 100%, $E$9)</f>
        <v>108.5254</v>
      </c>
      <c r="H937" s="14">
        <f>CHOOSE(CONTROL!$C$42, 108.5879, 108.5879) * CHOOSE(CONTROL!$C$21, $C$9, 100%, $E$9)</f>
        <v>108.5879</v>
      </c>
      <c r="I937" s="14">
        <f>CHOOSE(CONTROL!$C$42, 108.8561, 108.8561)* CHOOSE(CONTROL!$C$21, $C$9, 100%, $E$9)</f>
        <v>108.8561</v>
      </c>
      <c r="J937" s="14">
        <f>CHOOSE(CONTROL!$C$42, 108.5004, 108.5004)* CHOOSE(CONTROL!$C$21, $C$9, 100%, $E$9)</f>
        <v>108.5004</v>
      </c>
      <c r="K937" s="53">
        <f>CHOOSE(CONTROL!$C$42, 108.8523, 108.8523) * CHOOSE(CONTROL!$C$21, $C$9, 100%, $E$9)</f>
        <v>108.8523</v>
      </c>
      <c r="L937" s="14">
        <f>CHOOSE(CONTROL!$C$42, 109.1749, 109.1749) * CHOOSE(CONTROL!$C$21, $C$9, 100%, $E$9)</f>
        <v>109.17489999999999</v>
      </c>
      <c r="M937" s="14">
        <f>CHOOSE(CONTROL!$C$42, 106.285, 106.285) * CHOOSE(CONTROL!$C$21, $C$9, 100%, $E$9)</f>
        <v>106.285</v>
      </c>
      <c r="N937" s="14">
        <f>CHOOSE(CONTROL!$C$42, 106.3026, 106.3026) * CHOOSE(CONTROL!$C$21, $C$9, 100%, $E$9)</f>
        <v>106.3026</v>
      </c>
      <c r="O937" s="14">
        <f>CHOOSE(CONTROL!$C$42, 106.3707, 106.3707) * CHOOSE(CONTROL!$C$21, $C$9, 100%, $E$9)</f>
        <v>106.3707</v>
      </c>
      <c r="P937" s="14">
        <f>CHOOSE(CONTROL!$C$42, 106.6267, 106.6267) * CHOOSE(CONTROL!$C$21, $C$9, 100%, $E$9)</f>
        <v>106.6267</v>
      </c>
      <c r="Q937" s="14">
        <f>CHOOSE(CONTROL!$C$42, 106.9654, 106.9654) * CHOOSE(CONTROL!$C$21, $C$9, 100%, $E$9)</f>
        <v>106.9654</v>
      </c>
      <c r="R937" s="14">
        <f>CHOOSE(CONTROL!$C$42, 107.8198, 107.8198) * CHOOSE(CONTROL!$C$21, $C$9, 100%, $E$9)</f>
        <v>107.8198</v>
      </c>
      <c r="S937" s="14">
        <f>CHOOSE(CONTROL!$C$42, 104.2325, 104.2325) * CHOOSE(CONTROL!$C$21, $C$9, 100%, $E$9)</f>
        <v>104.2325</v>
      </c>
      <c r="T9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37" s="57">
        <f>(1000*CHOOSE(CONTROL!$C$42, 695, 695)*CHOOSE(CONTROL!$C$42, 0.5599, 0.5599)*CHOOSE(CONTROL!$C$42, 31, 31))/1000000</f>
        <v>12.063045499999998</v>
      </c>
      <c r="V937" s="57">
        <f>(1000*CHOOSE(CONTROL!$C$42, 500, 500)*CHOOSE(CONTROL!$C$42, 0.275, 0.275)*CHOOSE(CONTROL!$C$42, 31, 31))/1000000</f>
        <v>4.2625000000000002</v>
      </c>
      <c r="W937" s="57">
        <f>(1000*CHOOSE(CONTROL!$C$42, 0.1146, 0.1146)*CHOOSE(CONTROL!$C$42, 121.5, 121.5)*CHOOSE(CONTROL!$C$42, 31, 31))/1000000</f>
        <v>0.43164089999999994</v>
      </c>
      <c r="X937" s="57">
        <f>(31*0.1790888*100000/1000000)+(31*0.2374*100000/1000000)</f>
        <v>1.2911152800000001</v>
      </c>
      <c r="Y937" s="57"/>
      <c r="Z937" s="14"/>
      <c r="AA937" s="56"/>
      <c r="AB937" s="50">
        <f>(B937*122.58+C937*297.941+D937*89.177+E937*40.302+F937*40+G937*160+H937*0+I937*100+J937*300)/(122.58+297.941+89.177+40.302+0+40+160+100+300)</f>
        <v>108.53829855069564</v>
      </c>
      <c r="AC937" s="45">
        <f>(M937*'RAP TEMPLATE-GAS AVAILABILITY'!O936+N937*'RAP TEMPLATE-GAS AVAILABILITY'!P936+O937*'RAP TEMPLATE-GAS AVAILABILITY'!Q936+P937*'RAP TEMPLATE-GAS AVAILABILITY'!R936)/('RAP TEMPLATE-GAS AVAILABILITY'!O936+'RAP TEMPLATE-GAS AVAILABILITY'!P936+'RAP TEMPLATE-GAS AVAILABILITY'!Q936+'RAP TEMPLATE-GAS AVAILABILITY'!R936)</f>
        <v>106.37402086330935</v>
      </c>
    </row>
    <row r="938" spans="1:29" ht="15.75" x14ac:dyDescent="0.25">
      <c r="A938" s="32">
        <v>69457</v>
      </c>
      <c r="B938" s="14">
        <f>CHOOSE(CONTROL!$C$42, 110.4137, 110.4137) * CHOOSE(CONTROL!$C$21, $C$9, 100%, $E$9)</f>
        <v>110.41370000000001</v>
      </c>
      <c r="C938" s="14">
        <f>CHOOSE(CONTROL!$C$42, 110.4187, 110.4187) * CHOOSE(CONTROL!$C$21, $C$9, 100%, $E$9)</f>
        <v>110.4187</v>
      </c>
      <c r="D938" s="14">
        <f>CHOOSE(CONTROL!$C$42, 110.4955, 110.4955) * CHOOSE(CONTROL!$C$21, $C$9, 100%, $E$9)</f>
        <v>110.49550000000001</v>
      </c>
      <c r="E938" s="14">
        <f>CHOOSE(CONTROL!$C$42, 110.5296, 110.5296) * CHOOSE(CONTROL!$C$21, $C$9, 100%, $E$9)</f>
        <v>110.5296</v>
      </c>
      <c r="F938" s="14">
        <f>CHOOSE(CONTROL!$C$42, 110.438, 110.438)*CHOOSE(CONTROL!$C$21, $C$9, 100%, $E$9)</f>
        <v>110.438</v>
      </c>
      <c r="G938" s="14">
        <f>CHOOSE(CONTROL!$C$42, 110.4559, 110.4559)*CHOOSE(CONTROL!$C$21, $C$9, 100%, $E$9)</f>
        <v>110.4559</v>
      </c>
      <c r="H938" s="14">
        <f>CHOOSE(CONTROL!$C$42, 110.5188, 110.5188) * CHOOSE(CONTROL!$C$21, $C$9, 100%, $E$9)</f>
        <v>110.5188</v>
      </c>
      <c r="I938" s="14">
        <f>CHOOSE(CONTROL!$C$42, 110.7932, 110.7932)* CHOOSE(CONTROL!$C$21, $C$9, 100%, $E$9)</f>
        <v>110.7932</v>
      </c>
      <c r="J938" s="14">
        <f>CHOOSE(CONTROL!$C$42, 110.431, 110.431)* CHOOSE(CONTROL!$C$21, $C$9, 100%, $E$9)</f>
        <v>110.431</v>
      </c>
      <c r="K938" s="53">
        <f>CHOOSE(CONTROL!$C$42, 110.7893, 110.7893) * CHOOSE(CONTROL!$C$21, $C$9, 100%, $E$9)</f>
        <v>110.7893</v>
      </c>
      <c r="L938" s="14">
        <f>CHOOSE(CONTROL!$C$42, 111.1058, 111.1058) * CHOOSE(CONTROL!$C$21, $C$9, 100%, $E$9)</f>
        <v>111.1058</v>
      </c>
      <c r="M938" s="14">
        <f>CHOOSE(CONTROL!$C$42, 108.176, 108.176) * CHOOSE(CONTROL!$C$21, $C$9, 100%, $E$9)</f>
        <v>108.176</v>
      </c>
      <c r="N938" s="14">
        <f>CHOOSE(CONTROL!$C$42, 108.1935, 108.1935) * CHOOSE(CONTROL!$C$21, $C$9, 100%, $E$9)</f>
        <v>108.1935</v>
      </c>
      <c r="O938" s="14">
        <f>CHOOSE(CONTROL!$C$42, 108.2621, 108.2621) * CHOOSE(CONTROL!$C$21, $C$9, 100%, $E$9)</f>
        <v>108.2621</v>
      </c>
      <c r="P938" s="14">
        <f>CHOOSE(CONTROL!$C$42, 108.5239, 108.5239) * CHOOSE(CONTROL!$C$21, $C$9, 100%, $E$9)</f>
        <v>108.5239</v>
      </c>
      <c r="Q938" s="14">
        <f>CHOOSE(CONTROL!$C$42, 108.8568, 108.8568) * CHOOSE(CONTROL!$C$21, $C$9, 100%, $E$9)</f>
        <v>108.85680000000001</v>
      </c>
      <c r="R938" s="14">
        <f>CHOOSE(CONTROL!$C$42, 109.7159, 109.7159) * CHOOSE(CONTROL!$C$21, $C$9, 100%, $E$9)</f>
        <v>109.7159</v>
      </c>
      <c r="S938" s="14">
        <f>CHOOSE(CONTROL!$C$42, 106.0879, 106.0879) * CHOOSE(CONTROL!$C$21, $C$9, 100%, $E$9)</f>
        <v>106.0879</v>
      </c>
      <c r="T93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38" s="57">
        <f>(1000*CHOOSE(CONTROL!$C$42, 695, 695)*CHOOSE(CONTROL!$C$42, 0.5599, 0.5599)*CHOOSE(CONTROL!$C$42, 28, 28))/1000000</f>
        <v>10.895653999999999</v>
      </c>
      <c r="V938" s="57">
        <f>(1000*CHOOSE(CONTROL!$C$42, 500, 500)*CHOOSE(CONTROL!$C$42, 0.275, 0.275)*CHOOSE(CONTROL!$C$42, 28, 28))/1000000</f>
        <v>3.85</v>
      </c>
      <c r="W938" s="57">
        <f>(1000*CHOOSE(CONTROL!$C$42, 0.1146, 0.1146)*CHOOSE(CONTROL!$C$42, 121.5, 121.5)*CHOOSE(CONTROL!$C$42, 28, 28))/1000000</f>
        <v>0.38986920000000003</v>
      </c>
      <c r="X938" s="57">
        <f>(28*0.1790888*100000/1000000)+(28*0.2374*100000/1000000)</f>
        <v>1.16616864</v>
      </c>
      <c r="Y938" s="57"/>
      <c r="Z938" s="14"/>
      <c r="AA938" s="56"/>
      <c r="AB938" s="50">
        <f>(B938*122.58+C938*297.941+D938*89.177+E938*40.302+F938*40+G938*160+H938*0+I938*100+J938*300)/(122.58+297.941+89.177+40.302+0+40+160+100+300)</f>
        <v>110.46962990034781</v>
      </c>
      <c r="AC938" s="45">
        <f>(M938*'RAP TEMPLATE-GAS AVAILABILITY'!O937+N938*'RAP TEMPLATE-GAS AVAILABILITY'!P937+O938*'RAP TEMPLATE-GAS AVAILABILITY'!Q937+P938*'RAP TEMPLATE-GAS AVAILABILITY'!R937)/('RAP TEMPLATE-GAS AVAILABILITY'!O937+'RAP TEMPLATE-GAS AVAILABILITY'!P937+'RAP TEMPLATE-GAS AVAILABILITY'!Q937+'RAP TEMPLATE-GAS AVAILABILITY'!R937)</f>
        <v>108.26608848920864</v>
      </c>
    </row>
    <row r="939" spans="1:29" ht="15.75" x14ac:dyDescent="0.25">
      <c r="A939" s="32">
        <v>69488</v>
      </c>
      <c r="B939" s="14">
        <f>CHOOSE(CONTROL!$C$42, 107.2792, 107.2792) * CHOOSE(CONTROL!$C$21, $C$9, 100%, $E$9)</f>
        <v>107.2792</v>
      </c>
      <c r="C939" s="14">
        <f>CHOOSE(CONTROL!$C$42, 107.2843, 107.2843) * CHOOSE(CONTROL!$C$21, $C$9, 100%, $E$9)</f>
        <v>107.2843</v>
      </c>
      <c r="D939" s="14">
        <f>CHOOSE(CONTROL!$C$42, 107.3611, 107.3611) * CHOOSE(CONTROL!$C$21, $C$9, 100%, $E$9)</f>
        <v>107.36109999999999</v>
      </c>
      <c r="E939" s="14">
        <f>CHOOSE(CONTROL!$C$42, 107.3952, 107.3952) * CHOOSE(CONTROL!$C$21, $C$9, 100%, $E$9)</f>
        <v>107.3952</v>
      </c>
      <c r="F939" s="14">
        <f>CHOOSE(CONTROL!$C$42, 107.3027, 107.3027)*CHOOSE(CONTROL!$C$21, $C$9, 100%, $E$9)</f>
        <v>107.3027</v>
      </c>
      <c r="G939" s="14">
        <f>CHOOSE(CONTROL!$C$42, 107.3203, 107.3203)*CHOOSE(CONTROL!$C$21, $C$9, 100%, $E$9)</f>
        <v>107.3203</v>
      </c>
      <c r="H939" s="14">
        <f>CHOOSE(CONTROL!$C$42, 107.3844, 107.3844) * CHOOSE(CONTROL!$C$21, $C$9, 100%, $E$9)</f>
        <v>107.3844</v>
      </c>
      <c r="I939" s="14">
        <f>CHOOSE(CONTROL!$C$42, 107.6489, 107.6489)* CHOOSE(CONTROL!$C$21, $C$9, 100%, $E$9)</f>
        <v>107.6489</v>
      </c>
      <c r="J939" s="14">
        <f>CHOOSE(CONTROL!$C$42, 107.2957, 107.2957)* CHOOSE(CONTROL!$C$21, $C$9, 100%, $E$9)</f>
        <v>107.2957</v>
      </c>
      <c r="K939" s="53">
        <f>CHOOSE(CONTROL!$C$42, 107.645, 107.645) * CHOOSE(CONTROL!$C$21, $C$9, 100%, $E$9)</f>
        <v>107.645</v>
      </c>
      <c r="L939" s="14">
        <f>CHOOSE(CONTROL!$C$42, 107.9714, 107.9714) * CHOOSE(CONTROL!$C$21, $C$9, 100%, $E$9)</f>
        <v>107.9714</v>
      </c>
      <c r="M939" s="14">
        <f>CHOOSE(CONTROL!$C$42, 105.1049, 105.1049) * CHOOSE(CONTROL!$C$21, $C$9, 100%, $E$9)</f>
        <v>105.1049</v>
      </c>
      <c r="N939" s="14">
        <f>CHOOSE(CONTROL!$C$42, 105.1222, 105.1222) * CHOOSE(CONTROL!$C$21, $C$9, 100%, $E$9)</f>
        <v>105.12220000000001</v>
      </c>
      <c r="O939" s="14">
        <f>CHOOSE(CONTROL!$C$42, 105.1919, 105.1919) * CHOOSE(CONTROL!$C$21, $C$9, 100%, $E$9)</f>
        <v>105.1919</v>
      </c>
      <c r="P939" s="14">
        <f>CHOOSE(CONTROL!$C$42, 105.4443, 105.4443) * CHOOSE(CONTROL!$C$21, $C$9, 100%, $E$9)</f>
        <v>105.4443</v>
      </c>
      <c r="Q939" s="14">
        <f>CHOOSE(CONTROL!$C$42, 105.7866, 105.7866) * CHOOSE(CONTROL!$C$21, $C$9, 100%, $E$9)</f>
        <v>105.78660000000001</v>
      </c>
      <c r="R939" s="14">
        <f>CHOOSE(CONTROL!$C$42, 106.638, 106.638) * CHOOSE(CONTROL!$C$21, $C$9, 100%, $E$9)</f>
        <v>106.63800000000001</v>
      </c>
      <c r="S939" s="14">
        <f>CHOOSE(CONTROL!$C$42, 103.076, 103.076) * CHOOSE(CONTROL!$C$21, $C$9, 100%, $E$9)</f>
        <v>103.07599999999999</v>
      </c>
      <c r="T9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39" s="57">
        <f>(1000*CHOOSE(CONTROL!$C$42, 695, 695)*CHOOSE(CONTROL!$C$42, 0.5599, 0.5599)*CHOOSE(CONTROL!$C$42, 31, 31))/1000000</f>
        <v>12.063045499999998</v>
      </c>
      <c r="V939" s="57">
        <f>(1000*CHOOSE(CONTROL!$C$42, 500, 500)*CHOOSE(CONTROL!$C$42, 0.275, 0.275)*CHOOSE(CONTROL!$C$42, 31, 31))/1000000</f>
        <v>4.2625000000000002</v>
      </c>
      <c r="W939" s="57">
        <f>(1000*CHOOSE(CONTROL!$C$42, 0.1146, 0.1146)*CHOOSE(CONTROL!$C$42, 121.5, 121.5)*CHOOSE(CONTROL!$C$42, 31, 31))/1000000</f>
        <v>0.43164089999999994</v>
      </c>
      <c r="X939" s="57">
        <f>(31*0.1790888*100000/1000000)+(31*0.2374*100000/1000000)</f>
        <v>1.2911152800000001</v>
      </c>
      <c r="Y939" s="57"/>
      <c r="Z939" s="14"/>
      <c r="AA939" s="56"/>
      <c r="AB939" s="50">
        <f>(B939*122.58+C939*297.941+D939*89.177+E939*40.302+F939*40+G939*160+H939*0+I939*100+J939*300)/(122.58+297.941+89.177+40.302+0+40+160+100+300)</f>
        <v>107.33392532817392</v>
      </c>
      <c r="AC939" s="45">
        <f>(M939*'RAP TEMPLATE-GAS AVAILABILITY'!O938+N939*'RAP TEMPLATE-GAS AVAILABILITY'!P938+O939*'RAP TEMPLATE-GAS AVAILABILITY'!Q938+P939*'RAP TEMPLATE-GAS AVAILABILITY'!R938)/('RAP TEMPLATE-GAS AVAILABILITY'!O938+'RAP TEMPLATE-GAS AVAILABILITY'!P938+'RAP TEMPLATE-GAS AVAILABILITY'!Q938+'RAP TEMPLATE-GAS AVAILABILITY'!R938)</f>
        <v>105.19416187050361</v>
      </c>
    </row>
    <row r="940" spans="1:29" ht="15.75" x14ac:dyDescent="0.25">
      <c r="A940" s="32">
        <v>69518</v>
      </c>
      <c r="B940" s="14">
        <f>CHOOSE(CONTROL!$C$42, 106.959, 106.959) * CHOOSE(CONTROL!$C$21, $C$9, 100%, $E$9)</f>
        <v>106.959</v>
      </c>
      <c r="C940" s="14">
        <f>CHOOSE(CONTROL!$C$42, 106.9635, 106.9635) * CHOOSE(CONTROL!$C$21, $C$9, 100%, $E$9)</f>
        <v>106.9635</v>
      </c>
      <c r="D940" s="14">
        <f>CHOOSE(CONTROL!$C$42, 107.1872, 107.1872) * CHOOSE(CONTROL!$C$21, $C$9, 100%, $E$9)</f>
        <v>107.1872</v>
      </c>
      <c r="E940" s="14">
        <f>CHOOSE(CONTROL!$C$42, 107.2193, 107.2193) * CHOOSE(CONTROL!$C$21, $C$9, 100%, $E$9)</f>
        <v>107.2193</v>
      </c>
      <c r="F940" s="14">
        <f>CHOOSE(CONTROL!$C$42, 106.9867, 106.9867)*CHOOSE(CONTROL!$C$21, $C$9, 100%, $E$9)</f>
        <v>106.9867</v>
      </c>
      <c r="G940" s="14">
        <f>CHOOSE(CONTROL!$C$42, 107.0036, 107.0036)*CHOOSE(CONTROL!$C$21, $C$9, 100%, $E$9)</f>
        <v>107.00360000000001</v>
      </c>
      <c r="H940" s="14">
        <f>CHOOSE(CONTROL!$C$42, 107.2091, 107.2091) * CHOOSE(CONTROL!$C$21, $C$9, 100%, $E$9)</f>
        <v>107.20910000000001</v>
      </c>
      <c r="I940" s="14">
        <f>CHOOSE(CONTROL!$C$42, 107.3233, 107.3233)* CHOOSE(CONTROL!$C$21, $C$9, 100%, $E$9)</f>
        <v>107.3233</v>
      </c>
      <c r="J940" s="14">
        <f>CHOOSE(CONTROL!$C$42, 106.9797, 106.9797)* CHOOSE(CONTROL!$C$21, $C$9, 100%, $E$9)</f>
        <v>106.97969999999999</v>
      </c>
      <c r="K940" s="53">
        <f>CHOOSE(CONTROL!$C$42, 107.3194, 107.3194) * CHOOSE(CONTROL!$C$21, $C$9, 100%, $E$9)</f>
        <v>107.3194</v>
      </c>
      <c r="L940" s="14">
        <f>CHOOSE(CONTROL!$C$42, 107.7961, 107.7961) * CHOOSE(CONTROL!$C$21, $C$9, 100%, $E$9)</f>
        <v>107.7961</v>
      </c>
      <c r="M940" s="14">
        <f>CHOOSE(CONTROL!$C$42, 104.7955, 104.7955) * CHOOSE(CONTROL!$C$21, $C$9, 100%, $E$9)</f>
        <v>104.7955</v>
      </c>
      <c r="N940" s="14">
        <f>CHOOSE(CONTROL!$C$42, 104.812, 104.812) * CHOOSE(CONTROL!$C$21, $C$9, 100%, $E$9)</f>
        <v>104.812</v>
      </c>
      <c r="O940" s="14">
        <f>CHOOSE(CONTROL!$C$42, 105.0202, 105.0202) * CHOOSE(CONTROL!$C$21, $C$9, 100%, $E$9)</f>
        <v>105.0202</v>
      </c>
      <c r="P940" s="14">
        <f>CHOOSE(CONTROL!$C$42, 105.1253, 105.1253) * CHOOSE(CONTROL!$C$21, $C$9, 100%, $E$9)</f>
        <v>105.1253</v>
      </c>
      <c r="Q940" s="14">
        <f>CHOOSE(CONTROL!$C$42, 105.6149, 105.6149) * CHOOSE(CONTROL!$C$21, $C$9, 100%, $E$9)</f>
        <v>105.61490000000001</v>
      </c>
      <c r="R940" s="14">
        <f>CHOOSE(CONTROL!$C$42, 106.4659, 106.4659) * CHOOSE(CONTROL!$C$21, $C$9, 100%, $E$9)</f>
        <v>106.4659</v>
      </c>
      <c r="S940" s="14">
        <f>CHOOSE(CONTROL!$C$42, 102.7676, 102.7676) * CHOOSE(CONTROL!$C$21, $C$9, 100%, $E$9)</f>
        <v>102.7676</v>
      </c>
      <c r="T9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40" s="57">
        <f>(1000*CHOOSE(CONTROL!$C$42, 695, 695)*CHOOSE(CONTROL!$C$42, 0.5599, 0.5599)*CHOOSE(CONTROL!$C$42, 30, 30))/1000000</f>
        <v>11.673914999999997</v>
      </c>
      <c r="V940" s="57">
        <f>(1000*CHOOSE(CONTROL!$C$42, 500, 500)*CHOOSE(CONTROL!$C$42, 0.275, 0.275)*CHOOSE(CONTROL!$C$42, 30, 30))/1000000</f>
        <v>4.125</v>
      </c>
      <c r="W940" s="57">
        <f>(1000*CHOOSE(CONTROL!$C$42, 0.1146, 0.1146)*CHOOSE(CONTROL!$C$42, 121.5, 121.5)*CHOOSE(CONTROL!$C$42, 30, 30))/1000000</f>
        <v>0.417717</v>
      </c>
      <c r="X940" s="57">
        <f>(30*0.1790888*245000/1000000)+(30*0.2374*100000/1000000)</f>
        <v>2.0285026799999999</v>
      </c>
      <c r="Y940" s="57"/>
      <c r="Z940" s="14"/>
      <c r="AA940" s="56"/>
      <c r="AB940" s="50">
        <f>(B940*141.293+C940*267.993+D940*115.016+E940*89.698+F940*40+G940*185+H940*0+I940*100+J940*300)/(141.293+267.993+115.016+89.698+0+40+185+100+300)</f>
        <v>107.04197014455205</v>
      </c>
      <c r="AC940" s="45">
        <f>(M940*'RAP TEMPLATE-GAS AVAILABILITY'!O939+N940*'RAP TEMPLATE-GAS AVAILABILITY'!P939+O940*'RAP TEMPLATE-GAS AVAILABILITY'!Q939+P940*'RAP TEMPLATE-GAS AVAILABILITY'!R939)/('RAP TEMPLATE-GAS AVAILABILITY'!O939+'RAP TEMPLATE-GAS AVAILABILITY'!P939+'RAP TEMPLATE-GAS AVAILABILITY'!Q939+'RAP TEMPLATE-GAS AVAILABILITY'!R939)</f>
        <v>104.94574532374101</v>
      </c>
    </row>
    <row r="941" spans="1:29" ht="15.75" x14ac:dyDescent="0.25">
      <c r="A941" s="32">
        <v>69549</v>
      </c>
      <c r="B941" s="14">
        <f>CHOOSE(CONTROL!$C$42, 107.9044, 107.9044) * CHOOSE(CONTROL!$C$21, $C$9, 100%, $E$9)</f>
        <v>107.9044</v>
      </c>
      <c r="C941" s="14">
        <f>CHOOSE(CONTROL!$C$42, 107.9124, 107.9124) * CHOOSE(CONTROL!$C$21, $C$9, 100%, $E$9)</f>
        <v>107.91240000000001</v>
      </c>
      <c r="D941" s="14">
        <f>CHOOSE(CONTROL!$C$42, 108.133, 108.133) * CHOOSE(CONTROL!$C$21, $C$9, 100%, $E$9)</f>
        <v>108.133</v>
      </c>
      <c r="E941" s="14">
        <f>CHOOSE(CONTROL!$C$42, 108.1644, 108.1644) * CHOOSE(CONTROL!$C$21, $C$9, 100%, $E$9)</f>
        <v>108.1644</v>
      </c>
      <c r="F941" s="14">
        <f>CHOOSE(CONTROL!$C$42, 107.9306, 107.9306)*CHOOSE(CONTROL!$C$21, $C$9, 100%, $E$9)</f>
        <v>107.9306</v>
      </c>
      <c r="G941" s="14">
        <f>CHOOSE(CONTROL!$C$42, 107.9477, 107.9477)*CHOOSE(CONTROL!$C$21, $C$9, 100%, $E$9)</f>
        <v>107.9477</v>
      </c>
      <c r="H941" s="14">
        <f>CHOOSE(CONTROL!$C$42, 108.1531, 108.1531) * CHOOSE(CONTROL!$C$21, $C$9, 100%, $E$9)</f>
        <v>108.15309999999999</v>
      </c>
      <c r="I941" s="14">
        <f>CHOOSE(CONTROL!$C$42, 108.2702, 108.2702)* CHOOSE(CONTROL!$C$21, $C$9, 100%, $E$9)</f>
        <v>108.2702</v>
      </c>
      <c r="J941" s="14">
        <f>CHOOSE(CONTROL!$C$42, 107.9236, 107.9236)* CHOOSE(CONTROL!$C$21, $C$9, 100%, $E$9)</f>
        <v>107.92359999999999</v>
      </c>
      <c r="K941" s="53">
        <f>CHOOSE(CONTROL!$C$42, 108.2663, 108.2663) * CHOOSE(CONTROL!$C$21, $C$9, 100%, $E$9)</f>
        <v>108.2663</v>
      </c>
      <c r="L941" s="14">
        <f>CHOOSE(CONTROL!$C$42, 108.7401, 108.7401) * CHOOSE(CONTROL!$C$21, $C$9, 100%, $E$9)</f>
        <v>108.7401</v>
      </c>
      <c r="M941" s="14">
        <f>CHOOSE(CONTROL!$C$42, 105.72, 105.72) * CHOOSE(CONTROL!$C$21, $C$9, 100%, $E$9)</f>
        <v>105.72</v>
      </c>
      <c r="N941" s="14">
        <f>CHOOSE(CONTROL!$C$42, 105.7368, 105.7368) * CHOOSE(CONTROL!$C$21, $C$9, 100%, $E$9)</f>
        <v>105.7368</v>
      </c>
      <c r="O941" s="14">
        <f>CHOOSE(CONTROL!$C$42, 105.9448, 105.9448) * CHOOSE(CONTROL!$C$21, $C$9, 100%, $E$9)</f>
        <v>105.9448</v>
      </c>
      <c r="P941" s="14">
        <f>CHOOSE(CONTROL!$C$42, 106.0528, 106.0528) * CHOOSE(CONTROL!$C$21, $C$9, 100%, $E$9)</f>
        <v>106.0528</v>
      </c>
      <c r="Q941" s="14">
        <f>CHOOSE(CONTROL!$C$42, 106.5395, 106.5395) * CHOOSE(CONTROL!$C$21, $C$9, 100%, $E$9)</f>
        <v>106.5395</v>
      </c>
      <c r="R941" s="14">
        <f>CHOOSE(CONTROL!$C$42, 107.3928, 107.3928) * CHOOSE(CONTROL!$C$21, $C$9, 100%, $E$9)</f>
        <v>107.39279999999999</v>
      </c>
      <c r="S941" s="14">
        <f>CHOOSE(CONTROL!$C$42, 103.6747, 103.6747) * CHOOSE(CONTROL!$C$21, $C$9, 100%, $E$9)</f>
        <v>103.6747</v>
      </c>
      <c r="T94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41" s="57">
        <f>(1000*CHOOSE(CONTROL!$C$42, 695, 695)*CHOOSE(CONTROL!$C$42, 0.5599, 0.5599)*CHOOSE(CONTROL!$C$42, 31, 31))/1000000</f>
        <v>12.063045499999998</v>
      </c>
      <c r="V941" s="57">
        <f>(1000*CHOOSE(CONTROL!$C$42, 500, 500)*CHOOSE(CONTROL!$C$42, 0.275, 0.275)*CHOOSE(CONTROL!$C$42, 31, 31))/1000000</f>
        <v>4.2625000000000002</v>
      </c>
      <c r="W941" s="57">
        <f>(1000*CHOOSE(CONTROL!$C$42, 0.1146, 0.1146)*CHOOSE(CONTROL!$C$42, 121.5, 121.5)*CHOOSE(CONTROL!$C$42, 31, 31))/1000000</f>
        <v>0.43164089999999994</v>
      </c>
      <c r="X941" s="57">
        <f>(31*0.1790888*245000/1000000)+(31*0.2374*100000/1000000)</f>
        <v>2.0961194359999999</v>
      </c>
      <c r="Y941" s="57"/>
      <c r="Z941" s="14"/>
      <c r="AA941" s="56"/>
      <c r="AB941" s="50">
        <f>(B941*194.205+C941*267.466+D941*133.845+E941*53.484+F941*40+G941*185+H941*0+I941*100+J941*300)/(194.205+267.466+133.845+53.484+0+40+185+100+300)</f>
        <v>107.98135528649922</v>
      </c>
      <c r="AC941" s="45">
        <f>(M941*'RAP TEMPLATE-GAS AVAILABILITY'!O940+N941*'RAP TEMPLATE-GAS AVAILABILITY'!P940+O941*'RAP TEMPLATE-GAS AVAILABILITY'!Q940+P941*'RAP TEMPLATE-GAS AVAILABILITY'!R940)/('RAP TEMPLATE-GAS AVAILABILITY'!O940+'RAP TEMPLATE-GAS AVAILABILITY'!P940+'RAP TEMPLATE-GAS AVAILABILITY'!Q940+'RAP TEMPLATE-GAS AVAILABILITY'!R940)</f>
        <v>105.87073956834533</v>
      </c>
    </row>
    <row r="942" spans="1:29" ht="15.75" x14ac:dyDescent="0.25">
      <c r="A942" s="32">
        <v>69579</v>
      </c>
      <c r="B942" s="14">
        <f>CHOOSE(CONTROL!$C$42, 110.9649, 110.9649) * CHOOSE(CONTROL!$C$21, $C$9, 100%, $E$9)</f>
        <v>110.9649</v>
      </c>
      <c r="C942" s="14">
        <f>CHOOSE(CONTROL!$C$42, 110.9729, 110.9729) * CHOOSE(CONTROL!$C$21, $C$9, 100%, $E$9)</f>
        <v>110.9729</v>
      </c>
      <c r="D942" s="14">
        <f>CHOOSE(CONTROL!$C$42, 111.1935, 111.1935) * CHOOSE(CONTROL!$C$21, $C$9, 100%, $E$9)</f>
        <v>111.1935</v>
      </c>
      <c r="E942" s="14">
        <f>CHOOSE(CONTROL!$C$42, 111.225, 111.225) * CHOOSE(CONTROL!$C$21, $C$9, 100%, $E$9)</f>
        <v>111.22499999999999</v>
      </c>
      <c r="F942" s="14">
        <f>CHOOSE(CONTROL!$C$42, 110.9915, 110.9915)*CHOOSE(CONTROL!$C$21, $C$9, 100%, $E$9)</f>
        <v>110.9915</v>
      </c>
      <c r="G942" s="14">
        <f>CHOOSE(CONTROL!$C$42, 111.0087, 111.0087)*CHOOSE(CONTROL!$C$21, $C$9, 100%, $E$9)</f>
        <v>111.0087</v>
      </c>
      <c r="H942" s="14">
        <f>CHOOSE(CONTROL!$C$42, 111.2136, 111.2136) * CHOOSE(CONTROL!$C$21, $C$9, 100%, $E$9)</f>
        <v>111.2136</v>
      </c>
      <c r="I942" s="14">
        <f>CHOOSE(CONTROL!$C$42, 111.3403, 111.3403)* CHOOSE(CONTROL!$C$21, $C$9, 100%, $E$9)</f>
        <v>111.3403</v>
      </c>
      <c r="J942" s="14">
        <f>CHOOSE(CONTROL!$C$42, 110.9845, 110.9845)* CHOOSE(CONTROL!$C$21, $C$9, 100%, $E$9)</f>
        <v>110.9845</v>
      </c>
      <c r="K942" s="53">
        <f>CHOOSE(CONTROL!$C$42, 111.3364, 111.3364) * CHOOSE(CONTROL!$C$21, $C$9, 100%, $E$9)</f>
        <v>111.3364</v>
      </c>
      <c r="L942" s="14">
        <f>CHOOSE(CONTROL!$C$42, 111.8006, 111.8006) * CHOOSE(CONTROL!$C$21, $C$9, 100%, $E$9)</f>
        <v>111.8006</v>
      </c>
      <c r="M942" s="14">
        <f>CHOOSE(CONTROL!$C$42, 108.7182, 108.7182) * CHOOSE(CONTROL!$C$21, $C$9, 100%, $E$9)</f>
        <v>108.7182</v>
      </c>
      <c r="N942" s="14">
        <f>CHOOSE(CONTROL!$C$42, 108.7351, 108.7351) * CHOOSE(CONTROL!$C$21, $C$9, 100%, $E$9)</f>
        <v>108.7351</v>
      </c>
      <c r="O942" s="14">
        <f>CHOOSE(CONTROL!$C$42, 108.9426, 108.9426) * CHOOSE(CONTROL!$C$21, $C$9, 100%, $E$9)</f>
        <v>108.9426</v>
      </c>
      <c r="P942" s="14">
        <f>CHOOSE(CONTROL!$C$42, 109.0598, 109.0598) * CHOOSE(CONTROL!$C$21, $C$9, 100%, $E$9)</f>
        <v>109.0598</v>
      </c>
      <c r="Q942" s="14">
        <f>CHOOSE(CONTROL!$C$42, 109.5373, 109.5373) * CHOOSE(CONTROL!$C$21, $C$9, 100%, $E$9)</f>
        <v>109.5373</v>
      </c>
      <c r="R942" s="14">
        <f>CHOOSE(CONTROL!$C$42, 110.3981, 110.3981) * CHOOSE(CONTROL!$C$21, $C$9, 100%, $E$9)</f>
        <v>110.3981</v>
      </c>
      <c r="S942" s="14">
        <f>CHOOSE(CONTROL!$C$42, 106.6155, 106.6155) * CHOOSE(CONTROL!$C$21, $C$9, 100%, $E$9)</f>
        <v>106.6155</v>
      </c>
      <c r="T94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42" s="57">
        <f>(1000*CHOOSE(CONTROL!$C$42, 695, 695)*CHOOSE(CONTROL!$C$42, 0.5599, 0.5599)*CHOOSE(CONTROL!$C$42, 30, 30))/1000000</f>
        <v>11.673914999999997</v>
      </c>
      <c r="V942" s="57">
        <f>(1000*CHOOSE(CONTROL!$C$42, 500, 500)*CHOOSE(CONTROL!$C$42, 0.275, 0.275)*CHOOSE(CONTROL!$C$42, 30, 30))/1000000</f>
        <v>4.125</v>
      </c>
      <c r="W942" s="57">
        <f>(1000*CHOOSE(CONTROL!$C$42, 0.1146, 0.1146)*CHOOSE(CONTROL!$C$42, 121.5, 121.5)*CHOOSE(CONTROL!$C$42, 30, 30))/1000000</f>
        <v>0.417717</v>
      </c>
      <c r="X942" s="57">
        <f>(30*0.1790888*245000/1000000)+(30*0.2374*100000/1000000)</f>
        <v>2.0285026799999999</v>
      </c>
      <c r="Y942" s="57"/>
      <c r="Z942" s="14"/>
      <c r="AA942" s="56"/>
      <c r="AB942" s="50">
        <f>(B942*194.205+C942*267.466+D942*133.845+E942*53.484+F942*40+G942*185+H942*0+I942*100+J942*300)/(194.205+267.466+133.845+53.484+0+40+185+100+300)</f>
        <v>111.04279237315542</v>
      </c>
      <c r="AC942" s="45">
        <f>(M942*'RAP TEMPLATE-GAS AVAILABILITY'!O941+N942*'RAP TEMPLATE-GAS AVAILABILITY'!P941+O942*'RAP TEMPLATE-GAS AVAILABILITY'!Q941+P942*'RAP TEMPLATE-GAS AVAILABILITY'!R941)/('RAP TEMPLATE-GAS AVAILABILITY'!O941+'RAP TEMPLATE-GAS AVAILABILITY'!P941+'RAP TEMPLATE-GAS AVAILABILITY'!Q941+'RAP TEMPLATE-GAS AVAILABILITY'!R941)</f>
        <v>108.87003021582734</v>
      </c>
    </row>
    <row r="943" spans="1:29" ht="15.75" x14ac:dyDescent="0.25">
      <c r="A943" s="32">
        <v>69610</v>
      </c>
      <c r="B943" s="14">
        <f>CHOOSE(CONTROL!$C$42, 108.8363, 108.8363) * CHOOSE(CONTROL!$C$21, $C$9, 100%, $E$9)</f>
        <v>108.83629999999999</v>
      </c>
      <c r="C943" s="14">
        <f>CHOOSE(CONTROL!$C$42, 108.8443, 108.8443) * CHOOSE(CONTROL!$C$21, $C$9, 100%, $E$9)</f>
        <v>108.8443</v>
      </c>
      <c r="D943" s="14">
        <f>CHOOSE(CONTROL!$C$42, 109.0649, 109.0649) * CHOOSE(CONTROL!$C$21, $C$9, 100%, $E$9)</f>
        <v>109.06489999999999</v>
      </c>
      <c r="E943" s="14">
        <f>CHOOSE(CONTROL!$C$42, 109.0964, 109.0964) * CHOOSE(CONTROL!$C$21, $C$9, 100%, $E$9)</f>
        <v>109.0964</v>
      </c>
      <c r="F943" s="14">
        <f>CHOOSE(CONTROL!$C$42, 108.8633, 108.8633)*CHOOSE(CONTROL!$C$21, $C$9, 100%, $E$9)</f>
        <v>108.8633</v>
      </c>
      <c r="G943" s="14">
        <f>CHOOSE(CONTROL!$C$42, 108.8807, 108.8807)*CHOOSE(CONTROL!$C$21, $C$9, 100%, $E$9)</f>
        <v>108.8807</v>
      </c>
      <c r="H943" s="14">
        <f>CHOOSE(CONTROL!$C$42, 109.085, 109.085) * CHOOSE(CONTROL!$C$21, $C$9, 100%, $E$9)</f>
        <v>109.08499999999999</v>
      </c>
      <c r="I943" s="14">
        <f>CHOOSE(CONTROL!$C$42, 109.205, 109.205)* CHOOSE(CONTROL!$C$21, $C$9, 100%, $E$9)</f>
        <v>109.205</v>
      </c>
      <c r="J943" s="14">
        <f>CHOOSE(CONTROL!$C$42, 108.8563, 108.8563)* CHOOSE(CONTROL!$C$21, $C$9, 100%, $E$9)</f>
        <v>108.8563</v>
      </c>
      <c r="K943" s="53">
        <f>CHOOSE(CONTROL!$C$42, 109.2011, 109.2011) * CHOOSE(CONTROL!$C$21, $C$9, 100%, $E$9)</f>
        <v>109.2011</v>
      </c>
      <c r="L943" s="14">
        <f>CHOOSE(CONTROL!$C$42, 109.672, 109.672) * CHOOSE(CONTROL!$C$21, $C$9, 100%, $E$9)</f>
        <v>109.672</v>
      </c>
      <c r="M943" s="14">
        <f>CHOOSE(CONTROL!$C$42, 106.6336, 106.6336) * CHOOSE(CONTROL!$C$21, $C$9, 100%, $E$9)</f>
        <v>106.6336</v>
      </c>
      <c r="N943" s="14">
        <f>CHOOSE(CONTROL!$C$42, 106.6506, 106.6506) * CHOOSE(CONTROL!$C$21, $C$9, 100%, $E$9)</f>
        <v>106.6506</v>
      </c>
      <c r="O943" s="14">
        <f>CHOOSE(CONTROL!$C$42, 106.8576, 106.8576) * CHOOSE(CONTROL!$C$21, $C$9, 100%, $E$9)</f>
        <v>106.85760000000001</v>
      </c>
      <c r="P943" s="14">
        <f>CHOOSE(CONTROL!$C$42, 106.9684, 106.9684) * CHOOSE(CONTROL!$C$21, $C$9, 100%, $E$9)</f>
        <v>106.9684</v>
      </c>
      <c r="Q943" s="14">
        <f>CHOOSE(CONTROL!$C$42, 107.4523, 107.4523) * CHOOSE(CONTROL!$C$21, $C$9, 100%, $E$9)</f>
        <v>107.45229999999999</v>
      </c>
      <c r="R943" s="14">
        <f>CHOOSE(CONTROL!$C$42, 108.3079, 108.3079) * CHOOSE(CONTROL!$C$21, $C$9, 100%, $E$9)</f>
        <v>108.3079</v>
      </c>
      <c r="S943" s="14">
        <f>CHOOSE(CONTROL!$C$42, 104.5701, 104.5701) * CHOOSE(CONTROL!$C$21, $C$9, 100%, $E$9)</f>
        <v>104.5701</v>
      </c>
      <c r="T94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43" s="57">
        <f>(1000*CHOOSE(CONTROL!$C$42, 695, 695)*CHOOSE(CONTROL!$C$42, 0.5599, 0.5599)*CHOOSE(CONTROL!$C$42, 31, 31))/1000000</f>
        <v>12.063045499999998</v>
      </c>
      <c r="V943" s="57">
        <f>(1000*CHOOSE(CONTROL!$C$42, 500, 500)*CHOOSE(CONTROL!$C$42, 0.275, 0.275)*CHOOSE(CONTROL!$C$42, 31, 31))/1000000</f>
        <v>4.2625000000000002</v>
      </c>
      <c r="W943" s="57">
        <f>(1000*CHOOSE(CONTROL!$C$42, 0.1146, 0.1146)*CHOOSE(CONTROL!$C$42, 121.5, 121.5)*CHOOSE(CONTROL!$C$42, 31, 31))/1000000</f>
        <v>0.43164089999999994</v>
      </c>
      <c r="X943" s="57">
        <f>(31*0.1790888*245000/1000000)+(31*0.2374*100000/1000000)</f>
        <v>2.0961194359999999</v>
      </c>
      <c r="Y943" s="57"/>
      <c r="Z943" s="14"/>
      <c r="AA943" s="56"/>
      <c r="AB943" s="50">
        <f>(B943*194.205+C943*267.466+D943*133.845+E943*53.484+F943*40+G943*185+H943*0+I943*100+J943*300)/(194.205+267.466+133.845+53.484+0+40+185+100+300)</f>
        <v>108.9138603480377</v>
      </c>
      <c r="AC943" s="45">
        <f>(M943*'RAP TEMPLATE-GAS AVAILABILITY'!O942+N943*'RAP TEMPLATE-GAS AVAILABILITY'!P942+O943*'RAP TEMPLATE-GAS AVAILABILITY'!Q942+P943*'RAP TEMPLATE-GAS AVAILABILITY'!R942)/('RAP TEMPLATE-GAS AVAILABILITY'!O942+'RAP TEMPLATE-GAS AVAILABILITY'!P942+'RAP TEMPLATE-GAS AVAILABILITY'!Q942+'RAP TEMPLATE-GAS AVAILABILITY'!R942)</f>
        <v>106.7842762589928</v>
      </c>
    </row>
    <row r="944" spans="1:29" ht="15.75" x14ac:dyDescent="0.25">
      <c r="A944" s="32">
        <v>69641</v>
      </c>
      <c r="B944" s="14">
        <f>CHOOSE(CONTROL!$C$42, 103.4609, 103.4609) * CHOOSE(CONTROL!$C$21, $C$9, 100%, $E$9)</f>
        <v>103.4609</v>
      </c>
      <c r="C944" s="14">
        <f>CHOOSE(CONTROL!$C$42, 103.4689, 103.4689) * CHOOSE(CONTROL!$C$21, $C$9, 100%, $E$9)</f>
        <v>103.4689</v>
      </c>
      <c r="D944" s="14">
        <f>CHOOSE(CONTROL!$C$42, 103.6895, 103.6895) * CHOOSE(CONTROL!$C$21, $C$9, 100%, $E$9)</f>
        <v>103.6895</v>
      </c>
      <c r="E944" s="14">
        <f>CHOOSE(CONTROL!$C$42, 103.7209, 103.7209) * CHOOSE(CONTROL!$C$21, $C$9, 100%, $E$9)</f>
        <v>103.7209</v>
      </c>
      <c r="F944" s="14">
        <f>CHOOSE(CONTROL!$C$42, 103.4882, 103.4882)*CHOOSE(CONTROL!$C$21, $C$9, 100%, $E$9)</f>
        <v>103.48820000000001</v>
      </c>
      <c r="G944" s="14">
        <f>CHOOSE(CONTROL!$C$42, 103.5056, 103.5056)*CHOOSE(CONTROL!$C$21, $C$9, 100%, $E$9)</f>
        <v>103.5056</v>
      </c>
      <c r="H944" s="14">
        <f>CHOOSE(CONTROL!$C$42, 103.7096, 103.7096) * CHOOSE(CONTROL!$C$21, $C$9, 100%, $E$9)</f>
        <v>103.70959999999999</v>
      </c>
      <c r="I944" s="14">
        <f>CHOOSE(CONTROL!$C$42, 103.8128, 103.8128)* CHOOSE(CONTROL!$C$21, $C$9, 100%, $E$9)</f>
        <v>103.8128</v>
      </c>
      <c r="J944" s="14">
        <f>CHOOSE(CONTROL!$C$42, 103.4812, 103.4812)* CHOOSE(CONTROL!$C$21, $C$9, 100%, $E$9)</f>
        <v>103.4812</v>
      </c>
      <c r="K944" s="53">
        <f>CHOOSE(CONTROL!$C$42, 103.8089, 103.8089) * CHOOSE(CONTROL!$C$21, $C$9, 100%, $E$9)</f>
        <v>103.80889999999999</v>
      </c>
      <c r="L944" s="14">
        <f>CHOOSE(CONTROL!$C$42, 104.2966, 104.2966) * CHOOSE(CONTROL!$C$21, $C$9, 100%, $E$9)</f>
        <v>104.2966</v>
      </c>
      <c r="M944" s="14">
        <f>CHOOSE(CONTROL!$C$42, 101.3687, 101.3687) * CHOOSE(CONTROL!$C$21, $C$9, 100%, $E$9)</f>
        <v>101.3687</v>
      </c>
      <c r="N944" s="14">
        <f>CHOOSE(CONTROL!$C$42, 101.3857, 101.3857) * CHOOSE(CONTROL!$C$21, $C$9, 100%, $E$9)</f>
        <v>101.3857</v>
      </c>
      <c r="O944" s="14">
        <f>CHOOSE(CONTROL!$C$42, 101.5923, 101.5923) * CHOOSE(CONTROL!$C$21, $C$9, 100%, $E$9)</f>
        <v>101.59229999999999</v>
      </c>
      <c r="P944" s="14">
        <f>CHOOSE(CONTROL!$C$42, 101.687, 101.687) * CHOOSE(CONTROL!$C$21, $C$9, 100%, $E$9)</f>
        <v>101.687</v>
      </c>
      <c r="Q944" s="14">
        <f>CHOOSE(CONTROL!$C$42, 102.187, 102.187) * CHOOSE(CONTROL!$C$21, $C$9, 100%, $E$9)</f>
        <v>102.187</v>
      </c>
      <c r="R944" s="14">
        <f>CHOOSE(CONTROL!$C$42, 103.0295, 103.0295) * CHOOSE(CONTROL!$C$21, $C$9, 100%, $E$9)</f>
        <v>103.0295</v>
      </c>
      <c r="S944" s="14">
        <f>CHOOSE(CONTROL!$C$42, 99.4049, 99.4049) * CHOOSE(CONTROL!$C$21, $C$9, 100%, $E$9)</f>
        <v>99.404899999999998</v>
      </c>
      <c r="T94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44" s="57">
        <f>(1000*CHOOSE(CONTROL!$C$42, 695, 695)*CHOOSE(CONTROL!$C$42, 0.5599, 0.5599)*CHOOSE(CONTROL!$C$42, 31, 31))/1000000</f>
        <v>12.063045499999998</v>
      </c>
      <c r="V944" s="57">
        <f>(1000*CHOOSE(CONTROL!$C$42, 500, 500)*CHOOSE(CONTROL!$C$42, 0.275, 0.275)*CHOOSE(CONTROL!$C$42, 31, 31))/1000000</f>
        <v>4.2625000000000002</v>
      </c>
      <c r="W944" s="57">
        <f>(1000*CHOOSE(CONTROL!$C$42, 0.1146, 0.1146)*CHOOSE(CONTROL!$C$42, 121.5, 121.5)*CHOOSE(CONTROL!$C$42, 31, 31))/1000000</f>
        <v>0.43164089999999994</v>
      </c>
      <c r="X944" s="57">
        <f>(31*0.1790888*245000/1000000)+(31*0.2374*100000/1000000)</f>
        <v>2.0961194359999999</v>
      </c>
      <c r="Y944" s="57"/>
      <c r="Z944" s="14"/>
      <c r="AA944" s="56"/>
      <c r="AB944" s="50">
        <f>(B944*194.205+C944*267.466+D944*133.845+E944*53.484+F944*40+G944*185+H944*0+I944*100+J944*300)/(194.205+267.466+133.845+53.484+0+40+185+100+300)</f>
        <v>103.53726109497647</v>
      </c>
      <c r="AC944" s="45">
        <f>(M944*'RAP TEMPLATE-GAS AVAILABILITY'!O943+N944*'RAP TEMPLATE-GAS AVAILABILITY'!P943+O944*'RAP TEMPLATE-GAS AVAILABILITY'!Q943+P944*'RAP TEMPLATE-GAS AVAILABILITY'!R943)/('RAP TEMPLATE-GAS AVAILABILITY'!O943+'RAP TEMPLATE-GAS AVAILABILITY'!P943+'RAP TEMPLATE-GAS AVAILABILITY'!Q943+'RAP TEMPLATE-GAS AVAILABILITY'!R943)</f>
        <v>101.51682086330935</v>
      </c>
    </row>
    <row r="945" spans="1:29" ht="15.75" x14ac:dyDescent="0.25">
      <c r="A945" s="32">
        <v>69671</v>
      </c>
      <c r="B945" s="14">
        <f>CHOOSE(CONTROL!$C$42, 96.8929, 96.8929) * CHOOSE(CONTROL!$C$21, $C$9, 100%, $E$9)</f>
        <v>96.892899999999997</v>
      </c>
      <c r="C945" s="14">
        <f>CHOOSE(CONTROL!$C$42, 96.9009, 96.9009) * CHOOSE(CONTROL!$C$21, $C$9, 100%, $E$9)</f>
        <v>96.900899999999993</v>
      </c>
      <c r="D945" s="14">
        <f>CHOOSE(CONTROL!$C$42, 97.1215, 97.1215) * CHOOSE(CONTROL!$C$21, $C$9, 100%, $E$9)</f>
        <v>97.121499999999997</v>
      </c>
      <c r="E945" s="14">
        <f>CHOOSE(CONTROL!$C$42, 97.1529, 97.1529) * CHOOSE(CONTROL!$C$21, $C$9, 100%, $E$9)</f>
        <v>97.152900000000002</v>
      </c>
      <c r="F945" s="14">
        <f>CHOOSE(CONTROL!$C$42, 96.9202, 96.9202)*CHOOSE(CONTROL!$C$21, $C$9, 100%, $E$9)</f>
        <v>96.920199999999994</v>
      </c>
      <c r="G945" s="14">
        <f>CHOOSE(CONTROL!$C$42, 96.9376, 96.9376)*CHOOSE(CONTROL!$C$21, $C$9, 100%, $E$9)</f>
        <v>96.937600000000003</v>
      </c>
      <c r="H945" s="14">
        <f>CHOOSE(CONTROL!$C$42, 97.1416, 97.1416) * CHOOSE(CONTROL!$C$21, $C$9, 100%, $E$9)</f>
        <v>97.141599999999997</v>
      </c>
      <c r="I945" s="14">
        <f>CHOOSE(CONTROL!$C$42, 97.2242, 97.2242)* CHOOSE(CONTROL!$C$21, $C$9, 100%, $E$9)</f>
        <v>97.224199999999996</v>
      </c>
      <c r="J945" s="14">
        <f>CHOOSE(CONTROL!$C$42, 96.9132, 96.9132)* CHOOSE(CONTROL!$C$21, $C$9, 100%, $E$9)</f>
        <v>96.913200000000003</v>
      </c>
      <c r="K945" s="53">
        <f>CHOOSE(CONTROL!$C$42, 97.2203, 97.2203) * CHOOSE(CONTROL!$C$21, $C$9, 100%, $E$9)</f>
        <v>97.220299999999995</v>
      </c>
      <c r="L945" s="14">
        <f>CHOOSE(CONTROL!$C$42, 97.7286, 97.7286) * CHOOSE(CONTROL!$C$21, $C$9, 100%, $E$9)</f>
        <v>97.7286</v>
      </c>
      <c r="M945" s="14">
        <f>CHOOSE(CONTROL!$C$42, 94.9352, 94.9352) * CHOOSE(CONTROL!$C$21, $C$9, 100%, $E$9)</f>
        <v>94.935199999999995</v>
      </c>
      <c r="N945" s="14">
        <f>CHOOSE(CONTROL!$C$42, 94.9523, 94.9523) * CHOOSE(CONTROL!$C$21, $C$9, 100%, $E$9)</f>
        <v>94.952299999999994</v>
      </c>
      <c r="O945" s="14">
        <f>CHOOSE(CONTROL!$C$42, 95.1589, 95.1589) * CHOOSE(CONTROL!$C$21, $C$9, 100%, $E$9)</f>
        <v>95.158900000000003</v>
      </c>
      <c r="P945" s="14">
        <f>CHOOSE(CONTROL!$C$42, 95.2338, 95.2338) * CHOOSE(CONTROL!$C$21, $C$9, 100%, $E$9)</f>
        <v>95.233800000000002</v>
      </c>
      <c r="Q945" s="14">
        <f>CHOOSE(CONTROL!$C$42, 95.7536, 95.7536) * CHOOSE(CONTROL!$C$21, $C$9, 100%, $E$9)</f>
        <v>95.753600000000006</v>
      </c>
      <c r="R945" s="14">
        <f>CHOOSE(CONTROL!$C$42, 96.58, 96.58) * CHOOSE(CONTROL!$C$21, $C$9, 100%, $E$9)</f>
        <v>96.58</v>
      </c>
      <c r="S945" s="14">
        <f>CHOOSE(CONTROL!$C$42, 93.0937, 93.0937) * CHOOSE(CONTROL!$C$21, $C$9, 100%, $E$9)</f>
        <v>93.093699999999998</v>
      </c>
      <c r="T94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45" s="57">
        <f>(1000*CHOOSE(CONTROL!$C$42, 695, 695)*CHOOSE(CONTROL!$C$42, 0.5599, 0.5599)*CHOOSE(CONTROL!$C$42, 30, 30))/1000000</f>
        <v>11.673914999999997</v>
      </c>
      <c r="V945" s="57">
        <f>(1000*CHOOSE(CONTROL!$C$42, 500, 500)*CHOOSE(CONTROL!$C$42, 0.275, 0.275)*CHOOSE(CONTROL!$C$42, 30, 30))/1000000</f>
        <v>4.125</v>
      </c>
      <c r="W945" s="57">
        <f>(1000*CHOOSE(CONTROL!$C$42, 0.1146, 0.1146)*CHOOSE(CONTROL!$C$42, 121.5, 121.5)*CHOOSE(CONTROL!$C$42, 30, 30))/1000000</f>
        <v>0.417717</v>
      </c>
      <c r="X945" s="57">
        <f>(30*0.1790888*245000/1000000)+(30*0.2374*100000/1000000)</f>
        <v>2.0285026799999999</v>
      </c>
      <c r="Y945" s="57"/>
      <c r="Z945" s="14"/>
      <c r="AA945" s="56"/>
      <c r="AB945" s="50">
        <f>(B945*194.205+C945*267.466+D945*133.845+E945*53.484+F945*40+G945*185+H945*0+I945*100+J945*300)/(194.205+267.466+133.845+53.484+0+40+185+100+300)</f>
        <v>96.967644140502358</v>
      </c>
      <c r="AC945" s="45">
        <f>(M945*'RAP TEMPLATE-GAS AVAILABILITY'!O944+N945*'RAP TEMPLATE-GAS AVAILABILITY'!P944+O945*'RAP TEMPLATE-GAS AVAILABILITY'!Q944+P945*'RAP TEMPLATE-GAS AVAILABILITY'!R944)/('RAP TEMPLATE-GAS AVAILABILITY'!O944+'RAP TEMPLATE-GAS AVAILABILITY'!P944+'RAP TEMPLATE-GAS AVAILABILITY'!Q944+'RAP TEMPLATE-GAS AVAILABILITY'!R944)</f>
        <v>95.080537410071955</v>
      </c>
    </row>
    <row r="946" spans="1:29" ht="15.75" x14ac:dyDescent="0.25">
      <c r="A946" s="32">
        <v>69702</v>
      </c>
      <c r="B946" s="14">
        <f>CHOOSE(CONTROL!$C$42, 94.924, 94.924) * CHOOSE(CONTROL!$C$21, $C$9, 100%, $E$9)</f>
        <v>94.924000000000007</v>
      </c>
      <c r="C946" s="14">
        <f>CHOOSE(CONTROL!$C$42, 94.9294, 94.9294) * CHOOSE(CONTROL!$C$21, $C$9, 100%, $E$9)</f>
        <v>94.929400000000001</v>
      </c>
      <c r="D946" s="14">
        <f>CHOOSE(CONTROL!$C$42, 95.1549, 95.1549) * CHOOSE(CONTROL!$C$21, $C$9, 100%, $E$9)</f>
        <v>95.154899999999998</v>
      </c>
      <c r="E946" s="14">
        <f>CHOOSE(CONTROL!$C$42, 95.184, 95.184) * CHOOSE(CONTROL!$C$21, $C$9, 100%, $E$9)</f>
        <v>95.183999999999997</v>
      </c>
      <c r="F946" s="14">
        <f>CHOOSE(CONTROL!$C$42, 94.9534, 94.9534)*CHOOSE(CONTROL!$C$21, $C$9, 100%, $E$9)</f>
        <v>94.953400000000002</v>
      </c>
      <c r="G946" s="14">
        <f>CHOOSE(CONTROL!$C$42, 94.9706, 94.9706)*CHOOSE(CONTROL!$C$21, $C$9, 100%, $E$9)</f>
        <v>94.970600000000005</v>
      </c>
      <c r="H946" s="14">
        <f>CHOOSE(CONTROL!$C$42, 95.1745, 95.1745) * CHOOSE(CONTROL!$C$21, $C$9, 100%, $E$9)</f>
        <v>95.174499999999995</v>
      </c>
      <c r="I946" s="14">
        <f>CHOOSE(CONTROL!$C$42, 95.251, 95.251)* CHOOSE(CONTROL!$C$21, $C$9, 100%, $E$9)</f>
        <v>95.251000000000005</v>
      </c>
      <c r="J946" s="14">
        <f>CHOOSE(CONTROL!$C$42, 94.9464, 94.9464)* CHOOSE(CONTROL!$C$21, $C$9, 100%, $E$9)</f>
        <v>94.946399999999997</v>
      </c>
      <c r="K946" s="53">
        <f>CHOOSE(CONTROL!$C$42, 95.2471, 95.2471) * CHOOSE(CONTROL!$C$21, $C$9, 100%, $E$9)</f>
        <v>95.247100000000003</v>
      </c>
      <c r="L946" s="14">
        <f>CHOOSE(CONTROL!$C$42, 95.7615, 95.7615) * CHOOSE(CONTROL!$C$21, $C$9, 100%, $E$9)</f>
        <v>95.761499999999998</v>
      </c>
      <c r="M946" s="14">
        <f>CHOOSE(CONTROL!$C$42, 93.0087, 93.0087) * CHOOSE(CONTROL!$C$21, $C$9, 100%, $E$9)</f>
        <v>93.008700000000005</v>
      </c>
      <c r="N946" s="14">
        <f>CHOOSE(CONTROL!$C$42, 93.0256, 93.0256) * CHOOSE(CONTROL!$C$21, $C$9, 100%, $E$9)</f>
        <v>93.025599999999997</v>
      </c>
      <c r="O946" s="14">
        <f>CHOOSE(CONTROL!$C$42, 93.2321, 93.2321) * CHOOSE(CONTROL!$C$21, $C$9, 100%, $E$9)</f>
        <v>93.232100000000003</v>
      </c>
      <c r="P946" s="14">
        <f>CHOOSE(CONTROL!$C$42, 93.3011, 93.3011) * CHOOSE(CONTROL!$C$21, $C$9, 100%, $E$9)</f>
        <v>93.301100000000005</v>
      </c>
      <c r="Q946" s="14">
        <f>CHOOSE(CONTROL!$C$42, 93.8268, 93.8268) * CHOOSE(CONTROL!$C$21, $C$9, 100%, $E$9)</f>
        <v>93.826800000000006</v>
      </c>
      <c r="R946" s="14">
        <f>CHOOSE(CONTROL!$C$42, 94.6484, 94.6484) * CHOOSE(CONTROL!$C$21, $C$9, 100%, $E$9)</f>
        <v>94.648399999999995</v>
      </c>
      <c r="S946" s="14">
        <f>CHOOSE(CONTROL!$C$42, 91.2036, 91.2036) * CHOOSE(CONTROL!$C$21, $C$9, 100%, $E$9)</f>
        <v>91.203599999999994</v>
      </c>
      <c r="T9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6" s="57">
        <f>(1000*CHOOSE(CONTROL!$C$42, 695, 695)*CHOOSE(CONTROL!$C$42, 0.5599, 0.5599)*CHOOSE(CONTROL!$C$42, 31, 31))/1000000</f>
        <v>12.063045499999998</v>
      </c>
      <c r="V946" s="57">
        <f>(1000*CHOOSE(CONTROL!$C$42, 500, 500)*CHOOSE(CONTROL!$C$42, 0.275, 0.275)*CHOOSE(CONTROL!$C$42, 31, 31))/1000000</f>
        <v>4.2625000000000002</v>
      </c>
      <c r="W946" s="57">
        <f>(1000*CHOOSE(CONTROL!$C$42, 0.1146, 0.1146)*CHOOSE(CONTROL!$C$42, 121.5, 121.5)*CHOOSE(CONTROL!$C$42, 31, 31))/1000000</f>
        <v>0.43164089999999994</v>
      </c>
      <c r="X946" s="57">
        <f>(31*0.1790888*245000/1000000)+(31*0.2374*100000/1000000)</f>
        <v>2.0961194359999999</v>
      </c>
      <c r="Y946" s="57"/>
      <c r="Z946" s="14"/>
      <c r="AA946" s="56"/>
      <c r="AB946" s="50">
        <f>(B946*131.881+C946*277.167+D946*79.08+E946*125.872+F946*40+G946*185+H946*0+I946*100+J946*300)/(131.881+277.167+79.08+125.872+0+40+185+100+300)</f>
        <v>95.006082319451167</v>
      </c>
      <c r="AC946" s="45">
        <f>(M946*'RAP TEMPLATE-GAS AVAILABILITY'!O945+N946*'RAP TEMPLATE-GAS AVAILABILITY'!P945+O946*'RAP TEMPLATE-GAS AVAILABILITY'!Q945+P946*'RAP TEMPLATE-GAS AVAILABILITY'!R945)/('RAP TEMPLATE-GAS AVAILABILITY'!O945+'RAP TEMPLATE-GAS AVAILABILITY'!P945+'RAP TEMPLATE-GAS AVAILABILITY'!Q945+'RAP TEMPLATE-GAS AVAILABILITY'!R945)</f>
        <v>93.152997841726616</v>
      </c>
    </row>
    <row r="947" spans="1:29" ht="15.75" x14ac:dyDescent="0.25">
      <c r="A947" s="32">
        <v>69732</v>
      </c>
      <c r="B947" s="14">
        <f>CHOOSE(CONTROL!$C$42, 97.4241, 97.4241) * CHOOSE(CONTROL!$C$21, $C$9, 100%, $E$9)</f>
        <v>97.424099999999996</v>
      </c>
      <c r="C947" s="14">
        <f>CHOOSE(CONTROL!$C$42, 97.4292, 97.4292) * CHOOSE(CONTROL!$C$21, $C$9, 100%, $E$9)</f>
        <v>97.429199999999994</v>
      </c>
      <c r="D947" s="14">
        <f>CHOOSE(CONTROL!$C$42, 97.5034, 97.5034) * CHOOSE(CONTROL!$C$21, $C$9, 100%, $E$9)</f>
        <v>97.503399999999999</v>
      </c>
      <c r="E947" s="14">
        <f>CHOOSE(CONTROL!$C$42, 97.5375, 97.5375) * CHOOSE(CONTROL!$C$21, $C$9, 100%, $E$9)</f>
        <v>97.537499999999994</v>
      </c>
      <c r="F947" s="14">
        <f>CHOOSE(CONTROL!$C$42, 97.4602, 97.4602)*CHOOSE(CONTROL!$C$21, $C$9, 100%, $E$9)</f>
        <v>97.4602</v>
      </c>
      <c r="G947" s="14">
        <f>CHOOSE(CONTROL!$C$42, 97.4777, 97.4777)*CHOOSE(CONTROL!$C$21, $C$9, 100%, $E$9)</f>
        <v>97.477699999999999</v>
      </c>
      <c r="H947" s="14">
        <f>CHOOSE(CONTROL!$C$42, 97.5267, 97.5267) * CHOOSE(CONTROL!$C$21, $C$9, 100%, $E$9)</f>
        <v>97.526700000000005</v>
      </c>
      <c r="I947" s="14">
        <f>CHOOSE(CONTROL!$C$42, 97.7567, 97.7567)* CHOOSE(CONTROL!$C$21, $C$9, 100%, $E$9)</f>
        <v>97.756699999999995</v>
      </c>
      <c r="J947" s="14">
        <f>CHOOSE(CONTROL!$C$42, 97.4532, 97.4532)* CHOOSE(CONTROL!$C$21, $C$9, 100%, $E$9)</f>
        <v>97.453199999999995</v>
      </c>
      <c r="K947" s="53">
        <f>CHOOSE(CONTROL!$C$42, 97.7528, 97.7528) * CHOOSE(CONTROL!$C$21, $C$9, 100%, $E$9)</f>
        <v>97.752799999999993</v>
      </c>
      <c r="L947" s="14">
        <f>CHOOSE(CONTROL!$C$42, 98.1137, 98.1137) * CHOOSE(CONTROL!$C$21, $C$9, 100%, $E$9)</f>
        <v>98.113699999999994</v>
      </c>
      <c r="M947" s="14">
        <f>CHOOSE(CONTROL!$C$42, 95.4641, 95.4641) * CHOOSE(CONTROL!$C$21, $C$9, 100%, $E$9)</f>
        <v>95.464100000000002</v>
      </c>
      <c r="N947" s="14">
        <f>CHOOSE(CONTROL!$C$42, 95.4813, 95.4813) * CHOOSE(CONTROL!$C$21, $C$9, 100%, $E$9)</f>
        <v>95.481300000000005</v>
      </c>
      <c r="O947" s="14">
        <f>CHOOSE(CONTROL!$C$42, 95.5361, 95.5361) * CHOOSE(CONTROL!$C$21, $C$9, 100%, $E$9)</f>
        <v>95.536100000000005</v>
      </c>
      <c r="P947" s="14">
        <f>CHOOSE(CONTROL!$C$42, 95.7553, 95.7553) * CHOOSE(CONTROL!$C$21, $C$9, 100%, $E$9)</f>
        <v>95.755300000000005</v>
      </c>
      <c r="Q947" s="14">
        <f>CHOOSE(CONTROL!$C$42, 96.1308, 96.1308) * CHOOSE(CONTROL!$C$21, $C$9, 100%, $E$9)</f>
        <v>96.130799999999994</v>
      </c>
      <c r="R947" s="14">
        <f>CHOOSE(CONTROL!$C$42, 96.9582, 96.9582) * CHOOSE(CONTROL!$C$21, $C$9, 100%, $E$9)</f>
        <v>96.958200000000005</v>
      </c>
      <c r="S947" s="14">
        <f>CHOOSE(CONTROL!$C$42, 93.6063, 93.6063) * CHOOSE(CONTROL!$C$21, $C$9, 100%, $E$9)</f>
        <v>93.606300000000005</v>
      </c>
      <c r="T9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47" s="57">
        <f>(1000*CHOOSE(CONTROL!$C$42, 695, 695)*CHOOSE(CONTROL!$C$42, 0.5599, 0.5599)*CHOOSE(CONTROL!$C$42, 30, 30))/1000000</f>
        <v>11.673914999999997</v>
      </c>
      <c r="V947" s="57">
        <f>(1000*CHOOSE(CONTROL!$C$42, 500, 500)*CHOOSE(CONTROL!$C$42, 0.275, 0.275)*CHOOSE(CONTROL!$C$42, 30, 30))/1000000</f>
        <v>4.125</v>
      </c>
      <c r="W947" s="57">
        <f>(1000*CHOOSE(CONTROL!$C$42, 0.1146, 0.1146)*CHOOSE(CONTROL!$C$42, 121.5, 121.5)*CHOOSE(CONTROL!$C$42, 30, 30))/1000000</f>
        <v>0.417717</v>
      </c>
      <c r="X947" s="57">
        <f>(30*0.1790888*100000/1000000)+(30*0.2374*100000/1000000)</f>
        <v>1.2494664</v>
      </c>
      <c r="Y947" s="57"/>
      <c r="Z947" s="14"/>
      <c r="AA947" s="56"/>
      <c r="AB947" s="50">
        <f>(B947*122.58+C947*297.941+D947*89.177+E947*40.302+F947*40+G947*160+H947*0+I947*100+J947*300)/(122.58+297.941+89.177+40.302+0+40+160+100+300)</f>
        <v>97.480770853913043</v>
      </c>
      <c r="AC947" s="45">
        <f>(M947*'RAP TEMPLATE-GAS AVAILABILITY'!O946+N947*'RAP TEMPLATE-GAS AVAILABILITY'!P946+O947*'RAP TEMPLATE-GAS AVAILABILITY'!Q946+P947*'RAP TEMPLATE-GAS AVAILABILITY'!R946)/('RAP TEMPLATE-GAS AVAILABILITY'!O946+'RAP TEMPLATE-GAS AVAILABILITY'!P946+'RAP TEMPLATE-GAS AVAILABILITY'!Q946+'RAP TEMPLATE-GAS AVAILABILITY'!R946)</f>
        <v>95.539622302158278</v>
      </c>
    </row>
    <row r="948" spans="1:29" ht="15.75" x14ac:dyDescent="0.25">
      <c r="A948" s="32">
        <v>69763</v>
      </c>
      <c r="B948" s="14">
        <f>CHOOSE(CONTROL!$C$42, 104.0658, 104.0658) * CHOOSE(CONTROL!$C$21, $C$9, 100%, $E$9)</f>
        <v>104.0658</v>
      </c>
      <c r="C948" s="14">
        <f>CHOOSE(CONTROL!$C$42, 104.0709, 104.0709) * CHOOSE(CONTROL!$C$21, $C$9, 100%, $E$9)</f>
        <v>104.07089999999999</v>
      </c>
      <c r="D948" s="14">
        <f>CHOOSE(CONTROL!$C$42, 104.1451, 104.1451) * CHOOSE(CONTROL!$C$21, $C$9, 100%, $E$9)</f>
        <v>104.1451</v>
      </c>
      <c r="E948" s="14">
        <f>CHOOSE(CONTROL!$C$42, 104.1792, 104.1792) * CHOOSE(CONTROL!$C$21, $C$9, 100%, $E$9)</f>
        <v>104.17919999999999</v>
      </c>
      <c r="F948" s="14">
        <f>CHOOSE(CONTROL!$C$42, 104.1042, 104.1042)*CHOOSE(CONTROL!$C$21, $C$9, 100%, $E$9)</f>
        <v>104.10420000000001</v>
      </c>
      <c r="G948" s="14">
        <f>CHOOSE(CONTROL!$C$42, 104.1223, 104.1223)*CHOOSE(CONTROL!$C$21, $C$9, 100%, $E$9)</f>
        <v>104.1223</v>
      </c>
      <c r="H948" s="14">
        <f>CHOOSE(CONTROL!$C$42, 104.1684, 104.1684) * CHOOSE(CONTROL!$C$21, $C$9, 100%, $E$9)</f>
        <v>104.16840000000001</v>
      </c>
      <c r="I948" s="14">
        <f>CHOOSE(CONTROL!$C$42, 104.4192, 104.4192)* CHOOSE(CONTROL!$C$21, $C$9, 100%, $E$9)</f>
        <v>104.4192</v>
      </c>
      <c r="J948" s="14">
        <f>CHOOSE(CONTROL!$C$42, 104.0972, 104.0972)* CHOOSE(CONTROL!$C$21, $C$9, 100%, $E$9)</f>
        <v>104.0972</v>
      </c>
      <c r="K948" s="53">
        <f>CHOOSE(CONTROL!$C$42, 104.4153, 104.4153) * CHOOSE(CONTROL!$C$21, $C$9, 100%, $E$9)</f>
        <v>104.4153</v>
      </c>
      <c r="L948" s="14">
        <f>CHOOSE(CONTROL!$C$42, 104.7554, 104.7554) * CHOOSE(CONTROL!$C$21, $C$9, 100%, $E$9)</f>
        <v>104.75539999999999</v>
      </c>
      <c r="M948" s="14">
        <f>CHOOSE(CONTROL!$C$42, 101.972, 101.972) * CHOOSE(CONTROL!$C$21, $C$9, 100%, $E$9)</f>
        <v>101.97199999999999</v>
      </c>
      <c r="N948" s="14">
        <f>CHOOSE(CONTROL!$C$42, 101.9898, 101.9898) * CHOOSE(CONTROL!$C$21, $C$9, 100%, $E$9)</f>
        <v>101.9898</v>
      </c>
      <c r="O948" s="14">
        <f>CHOOSE(CONTROL!$C$42, 102.0417, 102.0417) * CHOOSE(CONTROL!$C$21, $C$9, 100%, $E$9)</f>
        <v>102.04170000000001</v>
      </c>
      <c r="P948" s="14">
        <f>CHOOSE(CONTROL!$C$42, 102.2809, 102.2809) * CHOOSE(CONTROL!$C$21, $C$9, 100%, $E$9)</f>
        <v>102.2809</v>
      </c>
      <c r="Q948" s="14">
        <f>CHOOSE(CONTROL!$C$42, 102.6364, 102.6364) * CHOOSE(CONTROL!$C$21, $C$9, 100%, $E$9)</f>
        <v>102.63639999999999</v>
      </c>
      <c r="R948" s="14">
        <f>CHOOSE(CONTROL!$C$42, 103.48, 103.48) * CHOOSE(CONTROL!$C$21, $C$9, 100%, $E$9)</f>
        <v>103.48</v>
      </c>
      <c r="S948" s="14">
        <f>CHOOSE(CONTROL!$C$42, 99.9883, 99.9883) * CHOOSE(CONTROL!$C$21, $C$9, 100%, $E$9)</f>
        <v>99.988299999999995</v>
      </c>
      <c r="T9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48" s="57">
        <f>(1000*CHOOSE(CONTROL!$C$42, 695, 695)*CHOOSE(CONTROL!$C$42, 0.5599, 0.5599)*CHOOSE(CONTROL!$C$42, 31, 31))/1000000</f>
        <v>12.063045499999998</v>
      </c>
      <c r="V948" s="57">
        <f>(1000*CHOOSE(CONTROL!$C$42, 500, 500)*CHOOSE(CONTROL!$C$42, 0.275, 0.275)*CHOOSE(CONTROL!$C$42, 31, 31))/1000000</f>
        <v>4.2625000000000002</v>
      </c>
      <c r="W948" s="57">
        <f>(1000*CHOOSE(CONTROL!$C$42, 0.1146, 0.1146)*CHOOSE(CONTROL!$C$42, 121.5, 121.5)*CHOOSE(CONTROL!$C$42, 31, 31))/1000000</f>
        <v>0.43164089999999994</v>
      </c>
      <c r="X948" s="57">
        <f>(31*0.1790888*100000/1000000)+(31*0.2374*100000/1000000)</f>
        <v>1.2911152800000001</v>
      </c>
      <c r="Y948" s="57"/>
      <c r="Z948" s="14"/>
      <c r="AA948" s="56"/>
      <c r="AB948" s="50">
        <f>(B948*122.58+C948*297.941+D948*89.177+E948*40.302+F948*40+G948*160+H948*0+I948*100+J948*300)/(122.58+297.941+89.177+40.302+0+40+160+100+300)</f>
        <v>104.12536302782608</v>
      </c>
      <c r="AC948" s="45">
        <f>(M948*'RAP TEMPLATE-GAS AVAILABILITY'!O947+N948*'RAP TEMPLATE-GAS AVAILABILITY'!P947+O948*'RAP TEMPLATE-GAS AVAILABILITY'!Q947+P948*'RAP TEMPLATE-GAS AVAILABILITY'!R947)/('RAP TEMPLATE-GAS AVAILABILITY'!O947+'RAP TEMPLATE-GAS AVAILABILITY'!P947+'RAP TEMPLATE-GAS AVAILABILITY'!Q947+'RAP TEMPLATE-GAS AVAILABILITY'!R947)</f>
        <v>102.04906115107914</v>
      </c>
    </row>
    <row r="949" spans="1:29" ht="15.75" x14ac:dyDescent="0.25">
      <c r="A949" s="32">
        <v>69794</v>
      </c>
      <c r="B949" s="14">
        <f>CHOOSE(CONTROL!$C$42, 112.6921, 112.6921) * CHOOSE(CONTROL!$C$21, $C$9, 100%, $E$9)</f>
        <v>112.6921</v>
      </c>
      <c r="C949" s="14">
        <f>CHOOSE(CONTROL!$C$42, 112.6972, 112.6972) * CHOOSE(CONTROL!$C$21, $C$9, 100%, $E$9)</f>
        <v>112.6972</v>
      </c>
      <c r="D949" s="14">
        <f>CHOOSE(CONTROL!$C$42, 112.774, 112.774) * CHOOSE(CONTROL!$C$21, $C$9, 100%, $E$9)</f>
        <v>112.774</v>
      </c>
      <c r="E949" s="14">
        <f>CHOOSE(CONTROL!$C$42, 112.8081, 112.8081) * CHOOSE(CONTROL!$C$21, $C$9, 100%, $E$9)</f>
        <v>112.8081</v>
      </c>
      <c r="F949" s="14">
        <f>CHOOSE(CONTROL!$C$42, 112.7169, 112.7169)*CHOOSE(CONTROL!$C$21, $C$9, 100%, $E$9)</f>
        <v>112.7169</v>
      </c>
      <c r="G949" s="14">
        <f>CHOOSE(CONTROL!$C$42, 112.7348, 112.7348)*CHOOSE(CONTROL!$C$21, $C$9, 100%, $E$9)</f>
        <v>112.73480000000001</v>
      </c>
      <c r="H949" s="14">
        <f>CHOOSE(CONTROL!$C$42, 112.7973, 112.7973) * CHOOSE(CONTROL!$C$21, $C$9, 100%, $E$9)</f>
        <v>112.79730000000001</v>
      </c>
      <c r="I949" s="14">
        <f>CHOOSE(CONTROL!$C$42, 113.0788, 113.0788)* CHOOSE(CONTROL!$C$21, $C$9, 100%, $E$9)</f>
        <v>113.0788</v>
      </c>
      <c r="J949" s="14">
        <f>CHOOSE(CONTROL!$C$42, 112.7099, 112.7099)* CHOOSE(CONTROL!$C$21, $C$9, 100%, $E$9)</f>
        <v>112.7099</v>
      </c>
      <c r="K949" s="53">
        <f>CHOOSE(CONTROL!$C$42, 113.0749, 113.0749) * CHOOSE(CONTROL!$C$21, $C$9, 100%, $E$9)</f>
        <v>113.0749</v>
      </c>
      <c r="L949" s="14">
        <f>CHOOSE(CONTROL!$C$42, 113.3843, 113.3843) * CHOOSE(CONTROL!$C$21, $C$9, 100%, $E$9)</f>
        <v>113.3843</v>
      </c>
      <c r="M949" s="14">
        <f>CHOOSE(CONTROL!$C$42, 110.4082, 110.4082) * CHOOSE(CONTROL!$C$21, $C$9, 100%, $E$9)</f>
        <v>110.40819999999999</v>
      </c>
      <c r="N949" s="14">
        <f>CHOOSE(CONTROL!$C$42, 110.4258, 110.4258) * CHOOSE(CONTROL!$C$21, $C$9, 100%, $E$9)</f>
        <v>110.4258</v>
      </c>
      <c r="O949" s="14">
        <f>CHOOSE(CONTROL!$C$42, 110.4939, 110.4939) * CHOOSE(CONTROL!$C$21, $C$9, 100%, $E$9)</f>
        <v>110.4939</v>
      </c>
      <c r="P949" s="14">
        <f>CHOOSE(CONTROL!$C$42, 110.7625, 110.7625) * CHOOSE(CONTROL!$C$21, $C$9, 100%, $E$9)</f>
        <v>110.7625</v>
      </c>
      <c r="Q949" s="14">
        <f>CHOOSE(CONTROL!$C$42, 111.0886, 111.0886) * CHOOSE(CONTROL!$C$21, $C$9, 100%, $E$9)</f>
        <v>111.0886</v>
      </c>
      <c r="R949" s="14">
        <f>CHOOSE(CONTROL!$C$42, 111.9533, 111.9533) * CHOOSE(CONTROL!$C$21, $C$9, 100%, $E$9)</f>
        <v>111.9533</v>
      </c>
      <c r="S949" s="14">
        <f>CHOOSE(CONTROL!$C$42, 108.2773, 108.2773) * CHOOSE(CONTROL!$C$21, $C$9, 100%, $E$9)</f>
        <v>108.2773</v>
      </c>
      <c r="T9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49" s="57">
        <f>(1000*CHOOSE(CONTROL!$C$42, 695, 695)*CHOOSE(CONTROL!$C$42, 0.5599, 0.5599)*CHOOSE(CONTROL!$C$42, 31, 31))/1000000</f>
        <v>12.063045499999998</v>
      </c>
      <c r="V949" s="57">
        <f>(1000*CHOOSE(CONTROL!$C$42, 500, 500)*CHOOSE(CONTROL!$C$42, 0.275, 0.275)*CHOOSE(CONTROL!$C$42, 31, 31))/1000000</f>
        <v>4.2625000000000002</v>
      </c>
      <c r="W949" s="57">
        <f>(1000*CHOOSE(CONTROL!$C$42, 0.1146, 0.1146)*CHOOSE(CONTROL!$C$42, 121.5, 121.5)*CHOOSE(CONTROL!$C$42, 31, 31))/1000000</f>
        <v>0.43164089999999994</v>
      </c>
      <c r="X949" s="57">
        <f>(31*0.1790888*100000/1000000)+(31*0.2374*100000/1000000)</f>
        <v>1.2911152800000001</v>
      </c>
      <c r="Y949" s="57"/>
      <c r="Z949" s="14"/>
      <c r="AA949" s="56"/>
      <c r="AB949" s="50">
        <f>(B949*122.58+C949*297.941+D949*89.177+E949*40.302+F949*40+G949*160+H949*0+I949*100+J949*300)/(122.58+297.941+89.177+40.302+0+40+160+100+300)</f>
        <v>112.74891054556521</v>
      </c>
      <c r="AC949" s="45">
        <f>(M949*'RAP TEMPLATE-GAS AVAILABILITY'!O948+N949*'RAP TEMPLATE-GAS AVAILABILITY'!P948+O949*'RAP TEMPLATE-GAS AVAILABILITY'!Q948+P949*'RAP TEMPLATE-GAS AVAILABILITY'!R948)/('RAP TEMPLATE-GAS AVAILABILITY'!O948+'RAP TEMPLATE-GAS AVAILABILITY'!P948+'RAP TEMPLATE-GAS AVAILABILITY'!Q948+'RAP TEMPLATE-GAS AVAILABILITY'!R948)</f>
        <v>110.49903381294962</v>
      </c>
    </row>
    <row r="950" spans="1:29" ht="15.75" x14ac:dyDescent="0.25">
      <c r="A950" s="32">
        <v>69822</v>
      </c>
      <c r="B950" s="14">
        <f>CHOOSE(CONTROL!$C$42, 114.698, 114.698) * CHOOSE(CONTROL!$C$21, $C$9, 100%, $E$9)</f>
        <v>114.69799999999999</v>
      </c>
      <c r="C950" s="14">
        <f>CHOOSE(CONTROL!$C$42, 114.7031, 114.7031) * CHOOSE(CONTROL!$C$21, $C$9, 100%, $E$9)</f>
        <v>114.70310000000001</v>
      </c>
      <c r="D950" s="14">
        <f>CHOOSE(CONTROL!$C$42, 114.7799, 114.7799) * CHOOSE(CONTROL!$C$21, $C$9, 100%, $E$9)</f>
        <v>114.7799</v>
      </c>
      <c r="E950" s="14">
        <f>CHOOSE(CONTROL!$C$42, 114.814, 114.814) * CHOOSE(CONTROL!$C$21, $C$9, 100%, $E$9)</f>
        <v>114.81399999999999</v>
      </c>
      <c r="F950" s="14">
        <f>CHOOSE(CONTROL!$C$42, 114.7224, 114.7224)*CHOOSE(CONTROL!$C$21, $C$9, 100%, $E$9)</f>
        <v>114.72239999999999</v>
      </c>
      <c r="G950" s="14">
        <f>CHOOSE(CONTROL!$C$42, 114.7403, 114.7403)*CHOOSE(CONTROL!$C$21, $C$9, 100%, $E$9)</f>
        <v>114.7403</v>
      </c>
      <c r="H950" s="14">
        <f>CHOOSE(CONTROL!$C$42, 114.8032, 114.8032) * CHOOSE(CONTROL!$C$21, $C$9, 100%, $E$9)</f>
        <v>114.8032</v>
      </c>
      <c r="I950" s="14">
        <f>CHOOSE(CONTROL!$C$42, 115.091, 115.091)* CHOOSE(CONTROL!$C$21, $C$9, 100%, $E$9)</f>
        <v>115.09099999999999</v>
      </c>
      <c r="J950" s="14">
        <f>CHOOSE(CONTROL!$C$42, 114.7154, 114.7154)* CHOOSE(CONTROL!$C$21, $C$9, 100%, $E$9)</f>
        <v>114.7154</v>
      </c>
      <c r="K950" s="53">
        <f>CHOOSE(CONTROL!$C$42, 115.0871, 115.0871) * CHOOSE(CONTROL!$C$21, $C$9, 100%, $E$9)</f>
        <v>115.08710000000001</v>
      </c>
      <c r="L950" s="14">
        <f>CHOOSE(CONTROL!$C$42, 115.3902, 115.3902) * CHOOSE(CONTROL!$C$21, $C$9, 100%, $E$9)</f>
        <v>115.39019999999999</v>
      </c>
      <c r="M950" s="14">
        <f>CHOOSE(CONTROL!$C$42, 112.3726, 112.3726) * CHOOSE(CONTROL!$C$21, $C$9, 100%, $E$9)</f>
        <v>112.37260000000001</v>
      </c>
      <c r="N950" s="14">
        <f>CHOOSE(CONTROL!$C$42, 112.3901, 112.3901) * CHOOSE(CONTROL!$C$21, $C$9, 100%, $E$9)</f>
        <v>112.3901</v>
      </c>
      <c r="O950" s="14">
        <f>CHOOSE(CONTROL!$C$42, 112.4587, 112.4587) * CHOOSE(CONTROL!$C$21, $C$9, 100%, $E$9)</f>
        <v>112.45869999999999</v>
      </c>
      <c r="P950" s="14">
        <f>CHOOSE(CONTROL!$C$42, 112.7334, 112.7334) * CHOOSE(CONTROL!$C$21, $C$9, 100%, $E$9)</f>
        <v>112.7334</v>
      </c>
      <c r="Q950" s="14">
        <f>CHOOSE(CONTROL!$C$42, 113.0534, 113.0534) * CHOOSE(CONTROL!$C$21, $C$9, 100%, $E$9)</f>
        <v>113.0534</v>
      </c>
      <c r="R950" s="14">
        <f>CHOOSE(CONTROL!$C$42, 113.923, 113.923) * CHOOSE(CONTROL!$C$21, $C$9, 100%, $E$9)</f>
        <v>113.923</v>
      </c>
      <c r="S950" s="14">
        <f>CHOOSE(CONTROL!$C$42, 110.2048, 110.2048) * CHOOSE(CONTROL!$C$21, $C$9, 100%, $E$9)</f>
        <v>110.20480000000001</v>
      </c>
      <c r="T95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50" s="57">
        <f>(1000*CHOOSE(CONTROL!$C$42, 695, 695)*CHOOSE(CONTROL!$C$42, 0.5599, 0.5599)*CHOOSE(CONTROL!$C$42, 28, 28))/1000000</f>
        <v>10.895653999999999</v>
      </c>
      <c r="V950" s="57">
        <f>(1000*CHOOSE(CONTROL!$C$42, 500, 500)*CHOOSE(CONTROL!$C$42, 0.275, 0.275)*CHOOSE(CONTROL!$C$42, 28, 28))/1000000</f>
        <v>3.85</v>
      </c>
      <c r="W950" s="57">
        <f>(1000*CHOOSE(CONTROL!$C$42, 0.1146, 0.1146)*CHOOSE(CONTROL!$C$42, 121.5, 121.5)*CHOOSE(CONTROL!$C$42, 28, 28))/1000000</f>
        <v>0.38986920000000003</v>
      </c>
      <c r="X950" s="57">
        <f>(28*0.1790888*100000/1000000)+(28*0.2374*100000/1000000)</f>
        <v>1.16616864</v>
      </c>
      <c r="Y950" s="57"/>
      <c r="Z950" s="14"/>
      <c r="AA950" s="56"/>
      <c r="AB950" s="50">
        <f>(B950*122.58+C950*297.941+D950*89.177+E950*40.302+F950*40+G950*160+H950*0+I950*100+J950*300)/(122.58+297.941+89.177+40.302+0+40+160+100+300)</f>
        <v>114.75518445860868</v>
      </c>
      <c r="AC950" s="45">
        <f>(M950*'RAP TEMPLATE-GAS AVAILABILITY'!O949+N950*'RAP TEMPLATE-GAS AVAILABILITY'!P949+O950*'RAP TEMPLATE-GAS AVAILABILITY'!Q949+P950*'RAP TEMPLATE-GAS AVAILABILITY'!R949)/('RAP TEMPLATE-GAS AVAILABILITY'!O949+'RAP TEMPLATE-GAS AVAILABILITY'!P949+'RAP TEMPLATE-GAS AVAILABILITY'!Q949+'RAP TEMPLATE-GAS AVAILABILITY'!R949)</f>
        <v>112.46454460431654</v>
      </c>
    </row>
    <row r="951" spans="1:29" ht="15.75" x14ac:dyDescent="0.25">
      <c r="A951" s="32">
        <v>69853</v>
      </c>
      <c r="B951" s="14">
        <f>CHOOSE(CONTROL!$C$42, 111.442, 111.442) * CHOOSE(CONTROL!$C$21, $C$9, 100%, $E$9)</f>
        <v>111.44199999999999</v>
      </c>
      <c r="C951" s="14">
        <f>CHOOSE(CONTROL!$C$42, 111.447, 111.447) * CHOOSE(CONTROL!$C$21, $C$9, 100%, $E$9)</f>
        <v>111.447</v>
      </c>
      <c r="D951" s="14">
        <f>CHOOSE(CONTROL!$C$42, 111.5238, 111.5238) * CHOOSE(CONTROL!$C$21, $C$9, 100%, $E$9)</f>
        <v>111.52379999999999</v>
      </c>
      <c r="E951" s="14">
        <f>CHOOSE(CONTROL!$C$42, 111.558, 111.558) * CHOOSE(CONTROL!$C$21, $C$9, 100%, $E$9)</f>
        <v>111.55800000000001</v>
      </c>
      <c r="F951" s="14">
        <f>CHOOSE(CONTROL!$C$42, 111.4654, 111.4654)*CHOOSE(CONTROL!$C$21, $C$9, 100%, $E$9)</f>
        <v>111.4654</v>
      </c>
      <c r="G951" s="14">
        <f>CHOOSE(CONTROL!$C$42, 111.4831, 111.4831)*CHOOSE(CONTROL!$C$21, $C$9, 100%, $E$9)</f>
        <v>111.48309999999999</v>
      </c>
      <c r="H951" s="14">
        <f>CHOOSE(CONTROL!$C$42, 111.5471, 111.5471) * CHOOSE(CONTROL!$C$21, $C$9, 100%, $E$9)</f>
        <v>111.5471</v>
      </c>
      <c r="I951" s="14">
        <f>CHOOSE(CONTROL!$C$42, 111.8247, 111.8247)* CHOOSE(CONTROL!$C$21, $C$9, 100%, $E$9)</f>
        <v>111.82470000000001</v>
      </c>
      <c r="J951" s="14">
        <f>CHOOSE(CONTROL!$C$42, 111.4584, 111.4584)* CHOOSE(CONTROL!$C$21, $C$9, 100%, $E$9)</f>
        <v>111.4584</v>
      </c>
      <c r="K951" s="53">
        <f>CHOOSE(CONTROL!$C$42, 111.8208, 111.8208) * CHOOSE(CONTROL!$C$21, $C$9, 100%, $E$9)</f>
        <v>111.82080000000001</v>
      </c>
      <c r="L951" s="14">
        <f>CHOOSE(CONTROL!$C$42, 112.1341, 112.1341) * CHOOSE(CONTROL!$C$21, $C$9, 100%, $E$9)</f>
        <v>112.1341</v>
      </c>
      <c r="M951" s="14">
        <f>CHOOSE(CONTROL!$C$42, 109.1824, 109.1824) * CHOOSE(CONTROL!$C$21, $C$9, 100%, $E$9)</f>
        <v>109.1824</v>
      </c>
      <c r="N951" s="14">
        <f>CHOOSE(CONTROL!$C$42, 109.1997, 109.1997) * CHOOSE(CONTROL!$C$21, $C$9, 100%, $E$9)</f>
        <v>109.19970000000001</v>
      </c>
      <c r="O951" s="14">
        <f>CHOOSE(CONTROL!$C$42, 109.2693, 109.2693) * CHOOSE(CONTROL!$C$21, $C$9, 100%, $E$9)</f>
        <v>109.2693</v>
      </c>
      <c r="P951" s="14">
        <f>CHOOSE(CONTROL!$C$42, 109.5342, 109.5342) * CHOOSE(CONTROL!$C$21, $C$9, 100%, $E$9)</f>
        <v>109.5342</v>
      </c>
      <c r="Q951" s="14">
        <f>CHOOSE(CONTROL!$C$42, 109.864, 109.864) * CHOOSE(CONTROL!$C$21, $C$9, 100%, $E$9)</f>
        <v>109.864</v>
      </c>
      <c r="R951" s="14">
        <f>CHOOSE(CONTROL!$C$42, 110.7257, 110.7257) * CHOOSE(CONTROL!$C$21, $C$9, 100%, $E$9)</f>
        <v>110.7257</v>
      </c>
      <c r="S951" s="14">
        <f>CHOOSE(CONTROL!$C$42, 107.076, 107.076) * CHOOSE(CONTROL!$C$21, $C$9, 100%, $E$9)</f>
        <v>107.07599999999999</v>
      </c>
      <c r="T9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51" s="57">
        <f>(1000*CHOOSE(CONTROL!$C$42, 695, 695)*CHOOSE(CONTROL!$C$42, 0.5599, 0.5599)*CHOOSE(CONTROL!$C$42, 31, 31))/1000000</f>
        <v>12.063045499999998</v>
      </c>
      <c r="V951" s="57">
        <f>(1000*CHOOSE(CONTROL!$C$42, 500, 500)*CHOOSE(CONTROL!$C$42, 0.275, 0.275)*CHOOSE(CONTROL!$C$42, 31, 31))/1000000</f>
        <v>4.2625000000000002</v>
      </c>
      <c r="W951" s="57">
        <f>(1000*CHOOSE(CONTROL!$C$42, 0.1146, 0.1146)*CHOOSE(CONTROL!$C$42, 121.5, 121.5)*CHOOSE(CONTROL!$C$42, 31, 31))/1000000</f>
        <v>0.43164089999999994</v>
      </c>
      <c r="X951" s="57">
        <f>(31*0.1790888*100000/1000000)+(31*0.2374*100000/1000000)</f>
        <v>1.2911152800000001</v>
      </c>
      <c r="Y951" s="57"/>
      <c r="Z951" s="14"/>
      <c r="AA951" s="56"/>
      <c r="AB951" s="50">
        <f>(B951*122.58+C951*297.941+D951*89.177+E951*40.302+F951*40+G951*160+H951*0+I951*100+J951*300)/(122.58+297.941+89.177+40.302+0+40+160+100+300)</f>
        <v>111.49779253530436</v>
      </c>
      <c r="AC951" s="45">
        <f>(M951*'RAP TEMPLATE-GAS AVAILABILITY'!O950+N951*'RAP TEMPLATE-GAS AVAILABILITY'!P950+O951*'RAP TEMPLATE-GAS AVAILABILITY'!Q950+P951*'RAP TEMPLATE-GAS AVAILABILITY'!R950)/('RAP TEMPLATE-GAS AVAILABILITY'!O950+'RAP TEMPLATE-GAS AVAILABILITY'!P950+'RAP TEMPLATE-GAS AVAILABILITY'!Q950+'RAP TEMPLATE-GAS AVAILABILITY'!R950)</f>
        <v>109.27340071942446</v>
      </c>
    </row>
    <row r="952" spans="1:29" ht="15.75" x14ac:dyDescent="0.25">
      <c r="A952" s="32">
        <v>69883</v>
      </c>
      <c r="B952" s="14">
        <f>CHOOSE(CONTROL!$C$42, 111.1093, 111.1093) * CHOOSE(CONTROL!$C$21, $C$9, 100%, $E$9)</f>
        <v>111.1093</v>
      </c>
      <c r="C952" s="14">
        <f>CHOOSE(CONTROL!$C$42, 111.1138, 111.1138) * CHOOSE(CONTROL!$C$21, $C$9, 100%, $E$9)</f>
        <v>111.1138</v>
      </c>
      <c r="D952" s="14">
        <f>CHOOSE(CONTROL!$C$42, 111.3375, 111.3375) * CHOOSE(CONTROL!$C$21, $C$9, 100%, $E$9)</f>
        <v>111.33750000000001</v>
      </c>
      <c r="E952" s="14">
        <f>CHOOSE(CONTROL!$C$42, 111.3696, 111.3696) * CHOOSE(CONTROL!$C$21, $C$9, 100%, $E$9)</f>
        <v>111.36960000000001</v>
      </c>
      <c r="F952" s="14">
        <f>CHOOSE(CONTROL!$C$42, 111.137, 111.137)*CHOOSE(CONTROL!$C$21, $C$9, 100%, $E$9)</f>
        <v>111.137</v>
      </c>
      <c r="G952" s="14">
        <f>CHOOSE(CONTROL!$C$42, 111.1539, 111.1539)*CHOOSE(CONTROL!$C$21, $C$9, 100%, $E$9)</f>
        <v>111.15389999999999</v>
      </c>
      <c r="H952" s="14">
        <f>CHOOSE(CONTROL!$C$42, 111.3594, 111.3594) * CHOOSE(CONTROL!$C$21, $C$9, 100%, $E$9)</f>
        <v>111.35939999999999</v>
      </c>
      <c r="I952" s="14">
        <f>CHOOSE(CONTROL!$C$42, 111.4866, 111.4866)* CHOOSE(CONTROL!$C$21, $C$9, 100%, $E$9)</f>
        <v>111.4866</v>
      </c>
      <c r="J952" s="14">
        <f>CHOOSE(CONTROL!$C$42, 111.13, 111.13)* CHOOSE(CONTROL!$C$21, $C$9, 100%, $E$9)</f>
        <v>111.13</v>
      </c>
      <c r="K952" s="53">
        <f>CHOOSE(CONTROL!$C$42, 111.4827, 111.4827) * CHOOSE(CONTROL!$C$21, $C$9, 100%, $E$9)</f>
        <v>111.48269999999999</v>
      </c>
      <c r="L952" s="14">
        <f>CHOOSE(CONTROL!$C$42, 111.9464, 111.9464) * CHOOSE(CONTROL!$C$21, $C$9, 100%, $E$9)</f>
        <v>111.9464</v>
      </c>
      <c r="M952" s="14">
        <f>CHOOSE(CONTROL!$C$42, 108.8607, 108.8607) * CHOOSE(CONTROL!$C$21, $C$9, 100%, $E$9)</f>
        <v>108.86069999999999</v>
      </c>
      <c r="N952" s="14">
        <f>CHOOSE(CONTROL!$C$42, 108.8773, 108.8773) * CHOOSE(CONTROL!$C$21, $C$9, 100%, $E$9)</f>
        <v>108.87730000000001</v>
      </c>
      <c r="O952" s="14">
        <f>CHOOSE(CONTROL!$C$42, 109.0854, 109.0854) * CHOOSE(CONTROL!$C$21, $C$9, 100%, $E$9)</f>
        <v>109.08540000000001</v>
      </c>
      <c r="P952" s="14">
        <f>CHOOSE(CONTROL!$C$42, 109.2031, 109.2031) * CHOOSE(CONTROL!$C$21, $C$9, 100%, $E$9)</f>
        <v>109.20310000000001</v>
      </c>
      <c r="Q952" s="14">
        <f>CHOOSE(CONTROL!$C$42, 109.6801, 109.6801) * CHOOSE(CONTROL!$C$21, $C$9, 100%, $E$9)</f>
        <v>109.6801</v>
      </c>
      <c r="R952" s="14">
        <f>CHOOSE(CONTROL!$C$42, 110.5413, 110.5413) * CHOOSE(CONTROL!$C$21, $C$9, 100%, $E$9)</f>
        <v>110.54130000000001</v>
      </c>
      <c r="S952" s="14">
        <f>CHOOSE(CONTROL!$C$42, 106.7557, 106.7557) * CHOOSE(CONTROL!$C$21, $C$9, 100%, $E$9)</f>
        <v>106.7557</v>
      </c>
      <c r="T9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52" s="57">
        <f>(1000*CHOOSE(CONTROL!$C$42, 695, 695)*CHOOSE(CONTROL!$C$42, 0.5599, 0.5599)*CHOOSE(CONTROL!$C$42, 30, 30))/1000000</f>
        <v>11.673914999999997</v>
      </c>
      <c r="V952" s="57">
        <f>(1000*CHOOSE(CONTROL!$C$42, 500, 500)*CHOOSE(CONTROL!$C$42, 0.275, 0.275)*CHOOSE(CONTROL!$C$42, 30, 30))/1000000</f>
        <v>4.125</v>
      </c>
      <c r="W952" s="57">
        <f>(1000*CHOOSE(CONTROL!$C$42, 0.1146, 0.1146)*CHOOSE(CONTROL!$C$42, 121.5, 121.5)*CHOOSE(CONTROL!$C$42, 30, 30))/1000000</f>
        <v>0.417717</v>
      </c>
      <c r="X952" s="57">
        <f>(30*0.1790888*245000/1000000)+(30*0.2374*100000/1000000)</f>
        <v>2.0285026799999999</v>
      </c>
      <c r="Y952" s="57"/>
      <c r="Z952" s="14"/>
      <c r="AA952" s="56"/>
      <c r="AB952" s="50">
        <f>(B952*141.293+C952*267.993+D952*115.016+E952*89.698+F952*40+G952*185+H952*0+I952*100+J952*300)/(141.293+267.993+115.016+89.698+0+40+185+100+300)</f>
        <v>111.19331937780467</v>
      </c>
      <c r="AC952" s="45">
        <f>(M952*'RAP TEMPLATE-GAS AVAILABILITY'!O951+N952*'RAP TEMPLATE-GAS AVAILABILITY'!P951+O952*'RAP TEMPLATE-GAS AVAILABILITY'!Q951+P952*'RAP TEMPLATE-GAS AVAILABILITY'!R951)/('RAP TEMPLATE-GAS AVAILABILITY'!O951+'RAP TEMPLATE-GAS AVAILABILITY'!P951+'RAP TEMPLATE-GAS AVAILABILITY'!Q951+'RAP TEMPLATE-GAS AVAILABILITY'!R951)</f>
        <v>109.01276402877697</v>
      </c>
    </row>
    <row r="953" spans="1:29" ht="15.75" x14ac:dyDescent="0.25">
      <c r="A953" s="32">
        <v>69914</v>
      </c>
      <c r="B953" s="14">
        <f>CHOOSE(CONTROL!$C$42, 112.0913, 112.0913) * CHOOSE(CONTROL!$C$21, $C$9, 100%, $E$9)</f>
        <v>112.0913</v>
      </c>
      <c r="C953" s="14">
        <f>CHOOSE(CONTROL!$C$42, 112.0993, 112.0993) * CHOOSE(CONTROL!$C$21, $C$9, 100%, $E$9)</f>
        <v>112.0993</v>
      </c>
      <c r="D953" s="14">
        <f>CHOOSE(CONTROL!$C$42, 112.3199, 112.3199) * CHOOSE(CONTROL!$C$21, $C$9, 100%, $E$9)</f>
        <v>112.3199</v>
      </c>
      <c r="E953" s="14">
        <f>CHOOSE(CONTROL!$C$42, 112.3514, 112.3514) * CHOOSE(CONTROL!$C$21, $C$9, 100%, $E$9)</f>
        <v>112.3514</v>
      </c>
      <c r="F953" s="14">
        <f>CHOOSE(CONTROL!$C$42, 112.1176, 112.1176)*CHOOSE(CONTROL!$C$21, $C$9, 100%, $E$9)</f>
        <v>112.1176</v>
      </c>
      <c r="G953" s="14">
        <f>CHOOSE(CONTROL!$C$42, 112.1347, 112.1347)*CHOOSE(CONTROL!$C$21, $C$9, 100%, $E$9)</f>
        <v>112.1347</v>
      </c>
      <c r="H953" s="14">
        <f>CHOOSE(CONTROL!$C$42, 112.34, 112.34) * CHOOSE(CONTROL!$C$21, $C$9, 100%, $E$9)</f>
        <v>112.34</v>
      </c>
      <c r="I953" s="14">
        <f>CHOOSE(CONTROL!$C$42, 112.4702, 112.4702)* CHOOSE(CONTROL!$C$21, $C$9, 100%, $E$9)</f>
        <v>112.47020000000001</v>
      </c>
      <c r="J953" s="14">
        <f>CHOOSE(CONTROL!$C$42, 112.1106, 112.1106)* CHOOSE(CONTROL!$C$21, $C$9, 100%, $E$9)</f>
        <v>112.11060000000001</v>
      </c>
      <c r="K953" s="53">
        <f>CHOOSE(CONTROL!$C$42, 112.4663, 112.4663) * CHOOSE(CONTROL!$C$21, $C$9, 100%, $E$9)</f>
        <v>112.4663</v>
      </c>
      <c r="L953" s="14">
        <f>CHOOSE(CONTROL!$C$42, 112.927, 112.927) * CHOOSE(CONTROL!$C$21, $C$9, 100%, $E$9)</f>
        <v>112.92700000000001</v>
      </c>
      <c r="M953" s="14">
        <f>CHOOSE(CONTROL!$C$42, 109.8212, 109.8212) * CHOOSE(CONTROL!$C$21, $C$9, 100%, $E$9)</f>
        <v>109.8212</v>
      </c>
      <c r="N953" s="14">
        <f>CHOOSE(CONTROL!$C$42, 109.8379, 109.8379) * CHOOSE(CONTROL!$C$21, $C$9, 100%, $E$9)</f>
        <v>109.8379</v>
      </c>
      <c r="O953" s="14">
        <f>CHOOSE(CONTROL!$C$42, 110.0459, 110.0459) * CHOOSE(CONTROL!$C$21, $C$9, 100%, $E$9)</f>
        <v>110.0459</v>
      </c>
      <c r="P953" s="14">
        <f>CHOOSE(CONTROL!$C$42, 110.1665, 110.1665) * CHOOSE(CONTROL!$C$21, $C$9, 100%, $E$9)</f>
        <v>110.1665</v>
      </c>
      <c r="Q953" s="14">
        <f>CHOOSE(CONTROL!$C$42, 110.6406, 110.6406) * CHOOSE(CONTROL!$C$21, $C$9, 100%, $E$9)</f>
        <v>110.64060000000001</v>
      </c>
      <c r="R953" s="14">
        <f>CHOOSE(CONTROL!$C$42, 111.5042, 111.5042) * CHOOSE(CONTROL!$C$21, $C$9, 100%, $E$9)</f>
        <v>111.5042</v>
      </c>
      <c r="S953" s="14">
        <f>CHOOSE(CONTROL!$C$42, 107.6979, 107.6979) * CHOOSE(CONTROL!$C$21, $C$9, 100%, $E$9)</f>
        <v>107.6979</v>
      </c>
      <c r="T9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53" s="57">
        <f>(1000*CHOOSE(CONTROL!$C$42, 695, 695)*CHOOSE(CONTROL!$C$42, 0.5599, 0.5599)*CHOOSE(CONTROL!$C$42, 31, 31))/1000000</f>
        <v>12.063045499999998</v>
      </c>
      <c r="V953" s="57">
        <f>(1000*CHOOSE(CONTROL!$C$42, 500, 500)*CHOOSE(CONTROL!$C$42, 0.275, 0.275)*CHOOSE(CONTROL!$C$42, 31, 31))/1000000</f>
        <v>4.2625000000000002</v>
      </c>
      <c r="W953" s="57">
        <f>(1000*CHOOSE(CONTROL!$C$42, 0.1146, 0.1146)*CHOOSE(CONTROL!$C$42, 121.5, 121.5)*CHOOSE(CONTROL!$C$42, 31, 31))/1000000</f>
        <v>0.43164089999999994</v>
      </c>
      <c r="X953" s="57">
        <f>(31*0.1790888*245000/1000000)+(31*0.2374*100000/1000000)</f>
        <v>2.0961194359999999</v>
      </c>
      <c r="Y953" s="57"/>
      <c r="Z953" s="14"/>
      <c r="AA953" s="56"/>
      <c r="AB953" s="50">
        <f>(B953*194.205+C953*267.466+D953*133.845+E953*53.484+F953*40+G953*185+H953*0+I953*100+J953*300)/(194.205+267.466+133.845+53.484+0+40+185+100+300)</f>
        <v>112.16932895086342</v>
      </c>
      <c r="AC953" s="45">
        <f>(M953*'RAP TEMPLATE-GAS AVAILABILITY'!O952+N953*'RAP TEMPLATE-GAS AVAILABILITY'!P952+O953*'RAP TEMPLATE-GAS AVAILABILITY'!Q952+P953*'RAP TEMPLATE-GAS AVAILABILITY'!R952)/('RAP TEMPLATE-GAS AVAILABILITY'!O952+'RAP TEMPLATE-GAS AVAILABILITY'!P952+'RAP TEMPLATE-GAS AVAILABILITY'!Q952+'RAP TEMPLATE-GAS AVAILABILITY'!R952)</f>
        <v>109.9736870503597</v>
      </c>
    </row>
    <row r="954" spans="1:29" ht="15.75" x14ac:dyDescent="0.25">
      <c r="A954" s="32">
        <v>69944</v>
      </c>
      <c r="B954" s="14">
        <f>CHOOSE(CONTROL!$C$42, 115.2706, 115.2706) * CHOOSE(CONTROL!$C$21, $C$9, 100%, $E$9)</f>
        <v>115.2706</v>
      </c>
      <c r="C954" s="14">
        <f>CHOOSE(CONTROL!$C$42, 115.2786, 115.2786) * CHOOSE(CONTROL!$C$21, $C$9, 100%, $E$9)</f>
        <v>115.2786</v>
      </c>
      <c r="D954" s="14">
        <f>CHOOSE(CONTROL!$C$42, 115.4992, 115.4992) * CHOOSE(CONTROL!$C$21, $C$9, 100%, $E$9)</f>
        <v>115.4992</v>
      </c>
      <c r="E954" s="14">
        <f>CHOOSE(CONTROL!$C$42, 115.5307, 115.5307) * CHOOSE(CONTROL!$C$21, $C$9, 100%, $E$9)</f>
        <v>115.5307</v>
      </c>
      <c r="F954" s="14">
        <f>CHOOSE(CONTROL!$C$42, 115.2972, 115.2972)*CHOOSE(CONTROL!$C$21, $C$9, 100%, $E$9)</f>
        <v>115.2972</v>
      </c>
      <c r="G954" s="14">
        <f>CHOOSE(CONTROL!$C$42, 115.3144, 115.3144)*CHOOSE(CONTROL!$C$21, $C$9, 100%, $E$9)</f>
        <v>115.31440000000001</v>
      </c>
      <c r="H954" s="14">
        <f>CHOOSE(CONTROL!$C$42, 115.5193, 115.5193) * CHOOSE(CONTROL!$C$21, $C$9, 100%, $E$9)</f>
        <v>115.5193</v>
      </c>
      <c r="I954" s="14">
        <f>CHOOSE(CONTROL!$C$42, 115.6595, 115.6595)* CHOOSE(CONTROL!$C$21, $C$9, 100%, $E$9)</f>
        <v>115.65949999999999</v>
      </c>
      <c r="J954" s="14">
        <f>CHOOSE(CONTROL!$C$42, 115.2902, 115.2902)* CHOOSE(CONTROL!$C$21, $C$9, 100%, $E$9)</f>
        <v>115.2902</v>
      </c>
      <c r="K954" s="53">
        <f>CHOOSE(CONTROL!$C$42, 115.6556, 115.6556) * CHOOSE(CONTROL!$C$21, $C$9, 100%, $E$9)</f>
        <v>115.65560000000001</v>
      </c>
      <c r="L954" s="14">
        <f>CHOOSE(CONTROL!$C$42, 116.1063, 116.1063) * CHOOSE(CONTROL!$C$21, $C$9, 100%, $E$9)</f>
        <v>116.1063</v>
      </c>
      <c r="M954" s="14">
        <f>CHOOSE(CONTROL!$C$42, 112.9357, 112.9357) * CHOOSE(CONTROL!$C$21, $C$9, 100%, $E$9)</f>
        <v>112.9357</v>
      </c>
      <c r="N954" s="14">
        <f>CHOOSE(CONTROL!$C$42, 112.9525, 112.9525) * CHOOSE(CONTROL!$C$21, $C$9, 100%, $E$9)</f>
        <v>112.9525</v>
      </c>
      <c r="O954" s="14">
        <f>CHOOSE(CONTROL!$C$42, 113.1601, 113.1601) * CHOOSE(CONTROL!$C$21, $C$9, 100%, $E$9)</f>
        <v>113.1601</v>
      </c>
      <c r="P954" s="14">
        <f>CHOOSE(CONTROL!$C$42, 113.2902, 113.2902) * CHOOSE(CONTROL!$C$21, $C$9, 100%, $E$9)</f>
        <v>113.2902</v>
      </c>
      <c r="Q954" s="14">
        <f>CHOOSE(CONTROL!$C$42, 113.7548, 113.7548) * CHOOSE(CONTROL!$C$21, $C$9, 100%, $E$9)</f>
        <v>113.7548</v>
      </c>
      <c r="R954" s="14">
        <f>CHOOSE(CONTROL!$C$42, 114.6262, 114.6262) * CHOOSE(CONTROL!$C$21, $C$9, 100%, $E$9)</f>
        <v>114.6262</v>
      </c>
      <c r="S954" s="14">
        <f>CHOOSE(CONTROL!$C$42, 110.7529, 110.7529) * CHOOSE(CONTROL!$C$21, $C$9, 100%, $E$9)</f>
        <v>110.7529</v>
      </c>
      <c r="T9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54" s="57">
        <f>(1000*CHOOSE(CONTROL!$C$42, 695, 695)*CHOOSE(CONTROL!$C$42, 0.5599, 0.5599)*CHOOSE(CONTROL!$C$42, 30, 30))/1000000</f>
        <v>11.673914999999997</v>
      </c>
      <c r="V954" s="57">
        <f>(1000*CHOOSE(CONTROL!$C$42, 500, 500)*CHOOSE(CONTROL!$C$42, 0.275, 0.275)*CHOOSE(CONTROL!$C$42, 30, 30))/1000000</f>
        <v>4.125</v>
      </c>
      <c r="W954" s="57">
        <f>(1000*CHOOSE(CONTROL!$C$42, 0.1146, 0.1146)*CHOOSE(CONTROL!$C$42, 121.5, 121.5)*CHOOSE(CONTROL!$C$42, 30, 30))/1000000</f>
        <v>0.417717</v>
      </c>
      <c r="X954" s="57">
        <f>(30*0.1790888*245000/1000000)+(30*0.2374*100000/1000000)</f>
        <v>2.0285026799999999</v>
      </c>
      <c r="Y954" s="57"/>
      <c r="Z954" s="14"/>
      <c r="AA954" s="56"/>
      <c r="AB954" s="50">
        <f>(B954*194.205+C954*267.466+D954*133.845+E954*53.484+F954*40+G954*185+H954*0+I954*100+J954*300)/(194.205+267.466+133.845+53.484+0+40+185+100+300)</f>
        <v>115.3495520277865</v>
      </c>
      <c r="AC954" s="45">
        <f>(M954*'RAP TEMPLATE-GAS AVAILABILITY'!O953+N954*'RAP TEMPLATE-GAS AVAILABILITY'!P953+O954*'RAP TEMPLATE-GAS AVAILABILITY'!Q953+P954*'RAP TEMPLATE-GAS AVAILABILITY'!R953)/('RAP TEMPLATE-GAS AVAILABILITY'!O953+'RAP TEMPLATE-GAS AVAILABILITY'!P953+'RAP TEMPLATE-GAS AVAILABILITY'!Q953+'RAP TEMPLATE-GAS AVAILABILITY'!R953)</f>
        <v>113.08938057553956</v>
      </c>
    </row>
    <row r="955" spans="1:29" ht="15.75" x14ac:dyDescent="0.25">
      <c r="A955" s="32">
        <v>69975</v>
      </c>
      <c r="B955" s="14">
        <f>CHOOSE(CONTROL!$C$42, 113.0594, 113.0594) * CHOOSE(CONTROL!$C$21, $C$9, 100%, $E$9)</f>
        <v>113.0594</v>
      </c>
      <c r="C955" s="14">
        <f>CHOOSE(CONTROL!$C$42, 113.0674, 113.0674) * CHOOSE(CONTROL!$C$21, $C$9, 100%, $E$9)</f>
        <v>113.06740000000001</v>
      </c>
      <c r="D955" s="14">
        <f>CHOOSE(CONTROL!$C$42, 113.288, 113.288) * CHOOSE(CONTROL!$C$21, $C$9, 100%, $E$9)</f>
        <v>113.288</v>
      </c>
      <c r="E955" s="14">
        <f>CHOOSE(CONTROL!$C$42, 113.3194, 113.3194) * CHOOSE(CONTROL!$C$21, $C$9, 100%, $E$9)</f>
        <v>113.3194</v>
      </c>
      <c r="F955" s="14">
        <f>CHOOSE(CONTROL!$C$42, 113.0864, 113.0864)*CHOOSE(CONTROL!$C$21, $C$9, 100%, $E$9)</f>
        <v>113.0864</v>
      </c>
      <c r="G955" s="14">
        <f>CHOOSE(CONTROL!$C$42, 113.1038, 113.1038)*CHOOSE(CONTROL!$C$21, $C$9, 100%, $E$9)</f>
        <v>113.10380000000001</v>
      </c>
      <c r="H955" s="14">
        <f>CHOOSE(CONTROL!$C$42, 113.3081, 113.3081) * CHOOSE(CONTROL!$C$21, $C$9, 100%, $E$9)</f>
        <v>113.3081</v>
      </c>
      <c r="I955" s="14">
        <f>CHOOSE(CONTROL!$C$42, 113.4413, 113.4413)* CHOOSE(CONTROL!$C$21, $C$9, 100%, $E$9)</f>
        <v>113.4413</v>
      </c>
      <c r="J955" s="14">
        <f>CHOOSE(CONTROL!$C$42, 113.0794, 113.0794)* CHOOSE(CONTROL!$C$21, $C$9, 100%, $E$9)</f>
        <v>113.07940000000001</v>
      </c>
      <c r="K955" s="53">
        <f>CHOOSE(CONTROL!$C$42, 113.4374, 113.4374) * CHOOSE(CONTROL!$C$21, $C$9, 100%, $E$9)</f>
        <v>113.4374</v>
      </c>
      <c r="L955" s="14">
        <f>CHOOSE(CONTROL!$C$42, 113.8951, 113.8951) * CHOOSE(CONTROL!$C$21, $C$9, 100%, $E$9)</f>
        <v>113.8951</v>
      </c>
      <c r="M955" s="14">
        <f>CHOOSE(CONTROL!$C$42, 110.7702, 110.7702) * CHOOSE(CONTROL!$C$21, $C$9, 100%, $E$9)</f>
        <v>110.7702</v>
      </c>
      <c r="N955" s="14">
        <f>CHOOSE(CONTROL!$C$42, 110.7872, 110.7872) * CHOOSE(CONTROL!$C$21, $C$9, 100%, $E$9)</f>
        <v>110.7872</v>
      </c>
      <c r="O955" s="14">
        <f>CHOOSE(CONTROL!$C$42, 110.9942, 110.9942) * CHOOSE(CONTROL!$C$21, $C$9, 100%, $E$9)</f>
        <v>110.99420000000001</v>
      </c>
      <c r="P955" s="14">
        <f>CHOOSE(CONTROL!$C$42, 111.1176, 111.1176) * CHOOSE(CONTROL!$C$21, $C$9, 100%, $E$9)</f>
        <v>111.1176</v>
      </c>
      <c r="Q955" s="14">
        <f>CHOOSE(CONTROL!$C$42, 111.5889, 111.5889) * CHOOSE(CONTROL!$C$21, $C$9, 100%, $E$9)</f>
        <v>111.5889</v>
      </c>
      <c r="R955" s="14">
        <f>CHOOSE(CONTROL!$C$42, 112.4548, 112.4548) * CHOOSE(CONTROL!$C$21, $C$9, 100%, $E$9)</f>
        <v>112.45480000000001</v>
      </c>
      <c r="S955" s="14">
        <f>CHOOSE(CONTROL!$C$42, 108.6281, 108.6281) * CHOOSE(CONTROL!$C$21, $C$9, 100%, $E$9)</f>
        <v>108.6281</v>
      </c>
      <c r="T9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55" s="57">
        <f>(1000*CHOOSE(CONTROL!$C$42, 695, 695)*CHOOSE(CONTROL!$C$42, 0.5599, 0.5599)*CHOOSE(CONTROL!$C$42, 31, 31))/1000000</f>
        <v>12.063045499999998</v>
      </c>
      <c r="V955" s="57">
        <f>(1000*CHOOSE(CONTROL!$C$42, 500, 500)*CHOOSE(CONTROL!$C$42, 0.275, 0.275)*CHOOSE(CONTROL!$C$42, 31, 31))/1000000</f>
        <v>4.2625000000000002</v>
      </c>
      <c r="W955" s="57">
        <f>(1000*CHOOSE(CONTROL!$C$42, 0.1146, 0.1146)*CHOOSE(CONTROL!$C$42, 121.5, 121.5)*CHOOSE(CONTROL!$C$42, 31, 31))/1000000</f>
        <v>0.43164089999999994</v>
      </c>
      <c r="X955" s="57">
        <f>(31*0.1790888*245000/1000000)+(31*0.2374*100000/1000000)</f>
        <v>2.0961194359999999</v>
      </c>
      <c r="Y955" s="57"/>
      <c r="Z955" s="14"/>
      <c r="AA955" s="56"/>
      <c r="AB955" s="50">
        <f>(B955*194.205+C955*267.466+D955*133.845+E955*53.484+F955*40+G955*185+H955*0+I955*100+J955*300)/(194.205+267.466+133.845+53.484+0+40+185+100+300)</f>
        <v>113.13799225667192</v>
      </c>
      <c r="AC955" s="45">
        <f>(M955*'RAP TEMPLATE-GAS AVAILABILITY'!O954+N955*'RAP TEMPLATE-GAS AVAILABILITY'!P954+O955*'RAP TEMPLATE-GAS AVAILABILITY'!Q954+P955*'RAP TEMPLATE-GAS AVAILABILITY'!R954)/('RAP TEMPLATE-GAS AVAILABILITY'!O954+'RAP TEMPLATE-GAS AVAILABILITY'!P954+'RAP TEMPLATE-GAS AVAILABILITY'!Q954+'RAP TEMPLATE-GAS AVAILABILITY'!R954)</f>
        <v>110.92268920863309</v>
      </c>
    </row>
    <row r="956" spans="1:29" ht="15.75" x14ac:dyDescent="0.25">
      <c r="A956" s="32">
        <v>70006</v>
      </c>
      <c r="B956" s="14">
        <f>CHOOSE(CONTROL!$C$42, 107.4753, 107.4753) * CHOOSE(CONTROL!$C$21, $C$9, 100%, $E$9)</f>
        <v>107.4753</v>
      </c>
      <c r="C956" s="14">
        <f>CHOOSE(CONTROL!$C$42, 107.4834, 107.4834) * CHOOSE(CONTROL!$C$21, $C$9, 100%, $E$9)</f>
        <v>107.4834</v>
      </c>
      <c r="D956" s="14">
        <f>CHOOSE(CONTROL!$C$42, 107.704, 107.704) * CHOOSE(CONTROL!$C$21, $C$9, 100%, $E$9)</f>
        <v>107.70399999999999</v>
      </c>
      <c r="E956" s="14">
        <f>CHOOSE(CONTROL!$C$42, 107.7354, 107.7354) * CHOOSE(CONTROL!$C$21, $C$9, 100%, $E$9)</f>
        <v>107.7354</v>
      </c>
      <c r="F956" s="14">
        <f>CHOOSE(CONTROL!$C$42, 107.5027, 107.5027)*CHOOSE(CONTROL!$C$21, $C$9, 100%, $E$9)</f>
        <v>107.5027</v>
      </c>
      <c r="G956" s="14">
        <f>CHOOSE(CONTROL!$C$42, 107.5201, 107.5201)*CHOOSE(CONTROL!$C$21, $C$9, 100%, $E$9)</f>
        <v>107.5201</v>
      </c>
      <c r="H956" s="14">
        <f>CHOOSE(CONTROL!$C$42, 107.7241, 107.7241) * CHOOSE(CONTROL!$C$21, $C$9, 100%, $E$9)</f>
        <v>107.72410000000001</v>
      </c>
      <c r="I956" s="14">
        <f>CHOOSE(CONTROL!$C$42, 107.8398, 107.8398)* CHOOSE(CONTROL!$C$21, $C$9, 100%, $E$9)</f>
        <v>107.8398</v>
      </c>
      <c r="J956" s="14">
        <f>CHOOSE(CONTROL!$C$42, 107.4957, 107.4957)* CHOOSE(CONTROL!$C$21, $C$9, 100%, $E$9)</f>
        <v>107.4957</v>
      </c>
      <c r="K956" s="53">
        <f>CHOOSE(CONTROL!$C$42, 107.8359, 107.8359) * CHOOSE(CONTROL!$C$21, $C$9, 100%, $E$9)</f>
        <v>107.8359</v>
      </c>
      <c r="L956" s="14">
        <f>CHOOSE(CONTROL!$C$42, 108.3111, 108.3111) * CHOOSE(CONTROL!$C$21, $C$9, 100%, $E$9)</f>
        <v>108.3111</v>
      </c>
      <c r="M956" s="14">
        <f>CHOOSE(CONTROL!$C$42, 105.3009, 105.3009) * CHOOSE(CONTROL!$C$21, $C$9, 100%, $E$9)</f>
        <v>105.3009</v>
      </c>
      <c r="N956" s="14">
        <f>CHOOSE(CONTROL!$C$42, 105.3179, 105.3179) * CHOOSE(CONTROL!$C$21, $C$9, 100%, $E$9)</f>
        <v>105.31789999999999</v>
      </c>
      <c r="O956" s="14">
        <f>CHOOSE(CONTROL!$C$42, 105.5246, 105.5246) * CHOOSE(CONTROL!$C$21, $C$9, 100%, $E$9)</f>
        <v>105.52460000000001</v>
      </c>
      <c r="P956" s="14">
        <f>CHOOSE(CONTROL!$C$42, 105.6313, 105.6313) * CHOOSE(CONTROL!$C$21, $C$9, 100%, $E$9)</f>
        <v>105.6313</v>
      </c>
      <c r="Q956" s="14">
        <f>CHOOSE(CONTROL!$C$42, 106.1193, 106.1193) * CHOOSE(CONTROL!$C$21, $C$9, 100%, $E$9)</f>
        <v>106.1193</v>
      </c>
      <c r="R956" s="14">
        <f>CHOOSE(CONTROL!$C$42, 106.9716, 106.9716) * CHOOSE(CONTROL!$C$21, $C$9, 100%, $E$9)</f>
        <v>106.9716</v>
      </c>
      <c r="S956" s="14">
        <f>CHOOSE(CONTROL!$C$42, 103.2624, 103.2624) * CHOOSE(CONTROL!$C$21, $C$9, 100%, $E$9)</f>
        <v>103.2624</v>
      </c>
      <c r="T9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56" s="57">
        <f>(1000*CHOOSE(CONTROL!$C$42, 695, 695)*CHOOSE(CONTROL!$C$42, 0.5599, 0.5599)*CHOOSE(CONTROL!$C$42, 31, 31))/1000000</f>
        <v>12.063045499999998</v>
      </c>
      <c r="V956" s="57">
        <f>(1000*CHOOSE(CONTROL!$C$42, 500, 500)*CHOOSE(CONTROL!$C$42, 0.275, 0.275)*CHOOSE(CONTROL!$C$42, 31, 31))/1000000</f>
        <v>4.2625000000000002</v>
      </c>
      <c r="W956" s="57">
        <f>(1000*CHOOSE(CONTROL!$C$42, 0.1146, 0.1146)*CHOOSE(CONTROL!$C$42, 121.5, 121.5)*CHOOSE(CONTROL!$C$42, 31, 31))/1000000</f>
        <v>0.43164089999999994</v>
      </c>
      <c r="X956" s="57">
        <f>(31*0.1790888*245000/1000000)+(31*0.2374*100000/1000000)</f>
        <v>2.0961194359999999</v>
      </c>
      <c r="Y956" s="57"/>
      <c r="Z956" s="14"/>
      <c r="AA956" s="56"/>
      <c r="AB956" s="50">
        <f>(B956*194.205+C956*267.466+D956*133.845+E956*53.484+F956*40+G956*185+H956*0+I956*100+J956*300)/(194.205+267.466+133.845+53.484+0+40+185+100+300)</f>
        <v>107.55272701295131</v>
      </c>
      <c r="AC956" s="45">
        <f>(M956*'RAP TEMPLATE-GAS AVAILABILITY'!O955+N956*'RAP TEMPLATE-GAS AVAILABILITY'!P955+O956*'RAP TEMPLATE-GAS AVAILABILITY'!Q955+P956*'RAP TEMPLATE-GAS AVAILABILITY'!R955)/('RAP TEMPLATE-GAS AVAILABILITY'!O955+'RAP TEMPLATE-GAS AVAILABILITY'!P955+'RAP TEMPLATE-GAS AVAILABILITY'!Q955+'RAP TEMPLATE-GAS AVAILABILITY'!R955)</f>
        <v>105.4508071942446</v>
      </c>
    </row>
    <row r="957" spans="1:29" ht="15.75" x14ac:dyDescent="0.25">
      <c r="A957" s="32">
        <v>70036</v>
      </c>
      <c r="B957" s="14">
        <f>CHOOSE(CONTROL!$C$42, 100.6525, 100.6525) * CHOOSE(CONTROL!$C$21, $C$9, 100%, $E$9)</f>
        <v>100.6525</v>
      </c>
      <c r="C957" s="14">
        <f>CHOOSE(CONTROL!$C$42, 100.6605, 100.6605) * CHOOSE(CONTROL!$C$21, $C$9, 100%, $E$9)</f>
        <v>100.6605</v>
      </c>
      <c r="D957" s="14">
        <f>CHOOSE(CONTROL!$C$42, 100.8811, 100.8811) * CHOOSE(CONTROL!$C$21, $C$9, 100%, $E$9)</f>
        <v>100.8811</v>
      </c>
      <c r="E957" s="14">
        <f>CHOOSE(CONTROL!$C$42, 100.9126, 100.9126) * CHOOSE(CONTROL!$C$21, $C$9, 100%, $E$9)</f>
        <v>100.9126</v>
      </c>
      <c r="F957" s="14">
        <f>CHOOSE(CONTROL!$C$42, 100.6798, 100.6798)*CHOOSE(CONTROL!$C$21, $C$9, 100%, $E$9)</f>
        <v>100.6798</v>
      </c>
      <c r="G957" s="14">
        <f>CHOOSE(CONTROL!$C$42, 100.6972, 100.6972)*CHOOSE(CONTROL!$C$21, $C$9, 100%, $E$9)</f>
        <v>100.6972</v>
      </c>
      <c r="H957" s="14">
        <f>CHOOSE(CONTROL!$C$42, 100.9012, 100.9012) * CHOOSE(CONTROL!$C$21, $C$9, 100%, $E$9)</f>
        <v>100.9012</v>
      </c>
      <c r="I957" s="14">
        <f>CHOOSE(CONTROL!$C$42, 100.9956, 100.9956)* CHOOSE(CONTROL!$C$21, $C$9, 100%, $E$9)</f>
        <v>100.9956</v>
      </c>
      <c r="J957" s="14">
        <f>CHOOSE(CONTROL!$C$42, 100.6728, 100.6728)* CHOOSE(CONTROL!$C$21, $C$9, 100%, $E$9)</f>
        <v>100.6728</v>
      </c>
      <c r="K957" s="53">
        <f>CHOOSE(CONTROL!$C$42, 100.9917, 100.9917) * CHOOSE(CONTROL!$C$21, $C$9, 100%, $E$9)</f>
        <v>100.99169999999999</v>
      </c>
      <c r="L957" s="14">
        <f>CHOOSE(CONTROL!$C$42, 101.4882, 101.4882) * CHOOSE(CONTROL!$C$21, $C$9, 100%, $E$9)</f>
        <v>101.48820000000001</v>
      </c>
      <c r="M957" s="14">
        <f>CHOOSE(CONTROL!$C$42, 98.6178, 98.6178) * CHOOSE(CONTROL!$C$21, $C$9, 100%, $E$9)</f>
        <v>98.617800000000003</v>
      </c>
      <c r="N957" s="14">
        <f>CHOOSE(CONTROL!$C$42, 98.6349, 98.6349) * CHOOSE(CONTROL!$C$21, $C$9, 100%, $E$9)</f>
        <v>98.634900000000002</v>
      </c>
      <c r="O957" s="14">
        <f>CHOOSE(CONTROL!$C$42, 98.8415, 98.8415) * CHOOSE(CONTROL!$C$21, $C$9, 100%, $E$9)</f>
        <v>98.841499999999996</v>
      </c>
      <c r="P957" s="14">
        <f>CHOOSE(CONTROL!$C$42, 98.9277, 98.9277) * CHOOSE(CONTROL!$C$21, $C$9, 100%, $E$9)</f>
        <v>98.927700000000002</v>
      </c>
      <c r="Q957" s="14">
        <f>CHOOSE(CONTROL!$C$42, 99.4362, 99.4362) * CHOOSE(CONTROL!$C$21, $C$9, 100%, $E$9)</f>
        <v>99.436199999999999</v>
      </c>
      <c r="R957" s="14">
        <f>CHOOSE(CONTROL!$C$42, 100.2718, 100.2718) * CHOOSE(CONTROL!$C$21, $C$9, 100%, $E$9)</f>
        <v>100.2718</v>
      </c>
      <c r="S957" s="14">
        <f>CHOOSE(CONTROL!$C$42, 96.7063, 96.7063) * CHOOSE(CONTROL!$C$21, $C$9, 100%, $E$9)</f>
        <v>96.706299999999999</v>
      </c>
      <c r="T9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57" s="57">
        <f>(1000*CHOOSE(CONTROL!$C$42, 695, 695)*CHOOSE(CONTROL!$C$42, 0.5599, 0.5599)*CHOOSE(CONTROL!$C$42, 30, 30))/1000000</f>
        <v>11.673914999999997</v>
      </c>
      <c r="V957" s="57">
        <f>(1000*CHOOSE(CONTROL!$C$42, 500, 500)*CHOOSE(CONTROL!$C$42, 0.275, 0.275)*CHOOSE(CONTROL!$C$42, 30, 30))/1000000</f>
        <v>4.125</v>
      </c>
      <c r="W957" s="57">
        <f>(1000*CHOOSE(CONTROL!$C$42, 0.1146, 0.1146)*CHOOSE(CONTROL!$C$42, 121.5, 121.5)*CHOOSE(CONTROL!$C$42, 30, 30))/1000000</f>
        <v>0.417717</v>
      </c>
      <c r="X957" s="57">
        <f>(30*0.1790888*245000/1000000)+(30*0.2374*100000/1000000)</f>
        <v>2.0285026799999999</v>
      </c>
      <c r="Y957" s="57"/>
      <c r="Z957" s="14"/>
      <c r="AA957" s="56"/>
      <c r="AB957" s="50">
        <f>(B957*194.205+C957*267.466+D957*133.845+E957*53.484+F957*40+G957*185+H957*0+I957*100+J957*300)/(194.205+267.466+133.845+53.484+0+40+185+100+300)</f>
        <v>100.72817455525903</v>
      </c>
      <c r="AC957" s="45">
        <f>(M957*'RAP TEMPLATE-GAS AVAILABILITY'!O956+N957*'RAP TEMPLATE-GAS AVAILABILITY'!P956+O957*'RAP TEMPLATE-GAS AVAILABILITY'!Q956+P957*'RAP TEMPLATE-GAS AVAILABILITY'!R956)/('RAP TEMPLATE-GAS AVAILABILITY'!O956+'RAP TEMPLATE-GAS AVAILABILITY'!P956+'RAP TEMPLATE-GAS AVAILABILITY'!Q956+'RAP TEMPLATE-GAS AVAILABILITY'!R956)</f>
        <v>98.764763309352517</v>
      </c>
    </row>
    <row r="958" spans="1:29" ht="15.75" x14ac:dyDescent="0.25">
      <c r="A958" s="32">
        <v>70067</v>
      </c>
      <c r="B958" s="14">
        <f>CHOOSE(CONTROL!$C$42, 98.6073, 98.6073) * CHOOSE(CONTROL!$C$21, $C$9, 100%, $E$9)</f>
        <v>98.607299999999995</v>
      </c>
      <c r="C958" s="14">
        <f>CHOOSE(CONTROL!$C$42, 98.6126, 98.6126) * CHOOSE(CONTROL!$C$21, $C$9, 100%, $E$9)</f>
        <v>98.6126</v>
      </c>
      <c r="D958" s="14">
        <f>CHOOSE(CONTROL!$C$42, 98.8382, 98.8382) * CHOOSE(CONTROL!$C$21, $C$9, 100%, $E$9)</f>
        <v>98.838200000000001</v>
      </c>
      <c r="E958" s="14">
        <f>CHOOSE(CONTROL!$C$42, 98.8673, 98.8673) * CHOOSE(CONTROL!$C$21, $C$9, 100%, $E$9)</f>
        <v>98.8673</v>
      </c>
      <c r="F958" s="14">
        <f>CHOOSE(CONTROL!$C$42, 98.6367, 98.6367)*CHOOSE(CONTROL!$C$21, $C$9, 100%, $E$9)</f>
        <v>98.636700000000005</v>
      </c>
      <c r="G958" s="14">
        <f>CHOOSE(CONTROL!$C$42, 98.6539, 98.6539)*CHOOSE(CONTROL!$C$21, $C$9, 100%, $E$9)</f>
        <v>98.653899999999993</v>
      </c>
      <c r="H958" s="14">
        <f>CHOOSE(CONTROL!$C$42, 98.8578, 98.8578) * CHOOSE(CONTROL!$C$21, $C$9, 100%, $E$9)</f>
        <v>98.857799999999997</v>
      </c>
      <c r="I958" s="14">
        <f>CHOOSE(CONTROL!$C$42, 98.9458, 98.9458)* CHOOSE(CONTROL!$C$21, $C$9, 100%, $E$9)</f>
        <v>98.945800000000006</v>
      </c>
      <c r="J958" s="14">
        <f>CHOOSE(CONTROL!$C$42, 98.6297, 98.6297)* CHOOSE(CONTROL!$C$21, $C$9, 100%, $E$9)</f>
        <v>98.6297</v>
      </c>
      <c r="K958" s="53">
        <f>CHOOSE(CONTROL!$C$42, 98.9419, 98.9419) * CHOOSE(CONTROL!$C$21, $C$9, 100%, $E$9)</f>
        <v>98.941900000000004</v>
      </c>
      <c r="L958" s="14">
        <f>CHOOSE(CONTROL!$C$42, 99.4448, 99.4448) * CHOOSE(CONTROL!$C$21, $C$9, 100%, $E$9)</f>
        <v>99.444800000000001</v>
      </c>
      <c r="M958" s="14">
        <f>CHOOSE(CONTROL!$C$42, 96.6165, 96.6165) * CHOOSE(CONTROL!$C$21, $C$9, 100%, $E$9)</f>
        <v>96.616500000000002</v>
      </c>
      <c r="N958" s="14">
        <f>CHOOSE(CONTROL!$C$42, 96.6334, 96.6334) * CHOOSE(CONTROL!$C$21, $C$9, 100%, $E$9)</f>
        <v>96.633399999999995</v>
      </c>
      <c r="O958" s="14">
        <f>CHOOSE(CONTROL!$C$42, 96.8399, 96.8399) * CHOOSE(CONTROL!$C$21, $C$9, 100%, $E$9)</f>
        <v>96.8399</v>
      </c>
      <c r="P958" s="14">
        <f>CHOOSE(CONTROL!$C$42, 96.92, 96.92) * CHOOSE(CONTROL!$C$21, $C$9, 100%, $E$9)</f>
        <v>96.92</v>
      </c>
      <c r="Q958" s="14">
        <f>CHOOSE(CONTROL!$C$42, 97.4346, 97.4346) * CHOOSE(CONTROL!$C$21, $C$9, 100%, $E$9)</f>
        <v>97.434600000000003</v>
      </c>
      <c r="R958" s="14">
        <f>CHOOSE(CONTROL!$C$42, 98.2652, 98.2652) * CHOOSE(CONTROL!$C$21, $C$9, 100%, $E$9)</f>
        <v>98.265199999999993</v>
      </c>
      <c r="S958" s="14">
        <f>CHOOSE(CONTROL!$C$42, 94.7428, 94.7428) * CHOOSE(CONTROL!$C$21, $C$9, 100%, $E$9)</f>
        <v>94.742800000000003</v>
      </c>
      <c r="T9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58" s="57">
        <f>(1000*CHOOSE(CONTROL!$C$42, 695, 695)*CHOOSE(CONTROL!$C$42, 0.5599, 0.5599)*CHOOSE(CONTROL!$C$42, 31, 31))/1000000</f>
        <v>12.063045499999998</v>
      </c>
      <c r="V958" s="57">
        <f>(1000*CHOOSE(CONTROL!$C$42, 500, 500)*CHOOSE(CONTROL!$C$42, 0.275, 0.275)*CHOOSE(CONTROL!$C$42, 31, 31))/1000000</f>
        <v>4.2625000000000002</v>
      </c>
      <c r="W958" s="57">
        <f>(1000*CHOOSE(CONTROL!$C$42, 0.1146, 0.1146)*CHOOSE(CONTROL!$C$42, 121.5, 121.5)*CHOOSE(CONTROL!$C$42, 31, 31))/1000000</f>
        <v>0.43164089999999994</v>
      </c>
      <c r="X958" s="57">
        <f>(31*0.1790888*245000/1000000)+(31*0.2374*100000/1000000)</f>
        <v>2.0961194359999999</v>
      </c>
      <c r="Y958" s="57"/>
      <c r="Z958" s="14"/>
      <c r="AA958" s="56"/>
      <c r="AB958" s="50">
        <f>(B958*131.881+C958*277.167+D958*79.08+E958*125.872+F958*40+G958*185+H958*0+I958*100+J958*300)/(131.881+277.167+79.08+125.872+0+40+185+100+300)</f>
        <v>98.690288117110583</v>
      </c>
      <c r="AC958" s="45">
        <f>(M958*'RAP TEMPLATE-GAS AVAILABILITY'!O957+N958*'RAP TEMPLATE-GAS AVAILABILITY'!P957+O958*'RAP TEMPLATE-GAS AVAILABILITY'!Q957+P958*'RAP TEMPLATE-GAS AVAILABILITY'!R957)/('RAP TEMPLATE-GAS AVAILABILITY'!O957+'RAP TEMPLATE-GAS AVAILABILITY'!P957+'RAP TEMPLATE-GAS AVAILABILITY'!Q957+'RAP TEMPLATE-GAS AVAILABILITY'!R957)</f>
        <v>96.762394964028772</v>
      </c>
    </row>
    <row r="959" spans="1:29" ht="15.75" x14ac:dyDescent="0.25">
      <c r="A959" s="32">
        <v>70097</v>
      </c>
      <c r="B959" s="14">
        <f>CHOOSE(CONTROL!$C$42, 101.2044, 101.2044) * CHOOSE(CONTROL!$C$21, $C$9, 100%, $E$9)</f>
        <v>101.20440000000001</v>
      </c>
      <c r="C959" s="14">
        <f>CHOOSE(CONTROL!$C$42, 101.2095, 101.2095) * CHOOSE(CONTROL!$C$21, $C$9, 100%, $E$9)</f>
        <v>101.20950000000001</v>
      </c>
      <c r="D959" s="14">
        <f>CHOOSE(CONTROL!$C$42, 101.2837, 101.2837) * CHOOSE(CONTROL!$C$21, $C$9, 100%, $E$9)</f>
        <v>101.2837</v>
      </c>
      <c r="E959" s="14">
        <f>CHOOSE(CONTROL!$C$42, 101.3178, 101.3178) * CHOOSE(CONTROL!$C$21, $C$9, 100%, $E$9)</f>
        <v>101.31780000000001</v>
      </c>
      <c r="F959" s="14">
        <f>CHOOSE(CONTROL!$C$42, 101.2405, 101.2405)*CHOOSE(CONTROL!$C$21, $C$9, 100%, $E$9)</f>
        <v>101.2405</v>
      </c>
      <c r="G959" s="14">
        <f>CHOOSE(CONTROL!$C$42, 101.258, 101.258)*CHOOSE(CONTROL!$C$21, $C$9, 100%, $E$9)</f>
        <v>101.258</v>
      </c>
      <c r="H959" s="14">
        <f>CHOOSE(CONTROL!$C$42, 101.307, 101.307) * CHOOSE(CONTROL!$C$21, $C$9, 100%, $E$9)</f>
        <v>101.307</v>
      </c>
      <c r="I959" s="14">
        <f>CHOOSE(CONTROL!$C$42, 101.5488, 101.5488)* CHOOSE(CONTROL!$C$21, $C$9, 100%, $E$9)</f>
        <v>101.5488</v>
      </c>
      <c r="J959" s="14">
        <f>CHOOSE(CONTROL!$C$42, 101.2335, 101.2335)* CHOOSE(CONTROL!$C$21, $C$9, 100%, $E$9)</f>
        <v>101.23350000000001</v>
      </c>
      <c r="K959" s="53">
        <f>CHOOSE(CONTROL!$C$42, 101.5449, 101.5449) * CHOOSE(CONTROL!$C$21, $C$9, 100%, $E$9)</f>
        <v>101.5449</v>
      </c>
      <c r="L959" s="14">
        <f>CHOOSE(CONTROL!$C$42, 101.894, 101.894) * CHOOSE(CONTROL!$C$21, $C$9, 100%, $E$9)</f>
        <v>101.89400000000001</v>
      </c>
      <c r="M959" s="14">
        <f>CHOOSE(CONTROL!$C$42, 99.167, 99.167) * CHOOSE(CONTROL!$C$21, $C$9, 100%, $E$9)</f>
        <v>99.167000000000002</v>
      </c>
      <c r="N959" s="14">
        <f>CHOOSE(CONTROL!$C$42, 99.1841, 99.1841) * CHOOSE(CONTROL!$C$21, $C$9, 100%, $E$9)</f>
        <v>99.184100000000001</v>
      </c>
      <c r="O959" s="14">
        <f>CHOOSE(CONTROL!$C$42, 99.239, 99.239) * CHOOSE(CONTROL!$C$21, $C$9, 100%, $E$9)</f>
        <v>99.239000000000004</v>
      </c>
      <c r="P959" s="14">
        <f>CHOOSE(CONTROL!$C$42, 99.4696, 99.4696) * CHOOSE(CONTROL!$C$21, $C$9, 100%, $E$9)</f>
        <v>99.4696</v>
      </c>
      <c r="Q959" s="14">
        <f>CHOOSE(CONTROL!$C$42, 99.8337, 99.8337) * CHOOSE(CONTROL!$C$21, $C$9, 100%, $E$9)</f>
        <v>99.833699999999993</v>
      </c>
      <c r="R959" s="14">
        <f>CHOOSE(CONTROL!$C$42, 100.6703, 100.6703) * CHOOSE(CONTROL!$C$21, $C$9, 100%, $E$9)</f>
        <v>100.6703</v>
      </c>
      <c r="S959" s="14">
        <f>CHOOSE(CONTROL!$C$42, 97.2388, 97.2388) * CHOOSE(CONTROL!$C$21, $C$9, 100%, $E$9)</f>
        <v>97.238799999999998</v>
      </c>
      <c r="T9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9" s="57">
        <f>(1000*CHOOSE(CONTROL!$C$42, 695, 695)*CHOOSE(CONTROL!$C$42, 0.5599, 0.5599)*CHOOSE(CONTROL!$C$42, 30, 30))/1000000</f>
        <v>11.673914999999997</v>
      </c>
      <c r="V959" s="57">
        <f>(1000*CHOOSE(CONTROL!$C$42, 500, 500)*CHOOSE(CONTROL!$C$42, 0.275, 0.275)*CHOOSE(CONTROL!$C$42, 30, 30))/1000000</f>
        <v>4.125</v>
      </c>
      <c r="W959" s="57">
        <f>(1000*CHOOSE(CONTROL!$C$42, 0.1146, 0.1146)*CHOOSE(CONTROL!$C$42, 121.5, 121.5)*CHOOSE(CONTROL!$C$42, 30, 30))/1000000</f>
        <v>0.417717</v>
      </c>
      <c r="X959" s="57">
        <f>(30*0.1790888*100000/1000000)+(30*0.2374*100000/1000000)</f>
        <v>1.2494664</v>
      </c>
      <c r="Y959" s="57"/>
      <c r="Z959" s="14"/>
      <c r="AA959" s="56"/>
      <c r="AB959" s="50">
        <f>(B959*122.58+C959*297.941+D959*89.177+E959*40.302+F959*40+G959*160+H959*0+I959*100+J959*300)/(122.58+297.941+89.177+40.302+0+40+160+100+300)</f>
        <v>101.26209694086957</v>
      </c>
      <c r="AC959" s="45">
        <f>(M959*'RAP TEMPLATE-GAS AVAILABILITY'!O958+N959*'RAP TEMPLATE-GAS AVAILABILITY'!P958+O959*'RAP TEMPLATE-GAS AVAILABILITY'!Q958+P959*'RAP TEMPLATE-GAS AVAILABILITY'!R958)/('RAP TEMPLATE-GAS AVAILABILITY'!O958+'RAP TEMPLATE-GAS AVAILABILITY'!P958+'RAP TEMPLATE-GAS AVAILABILITY'!Q958+'RAP TEMPLATE-GAS AVAILABILITY'!R958)</f>
        <v>99.24415683453239</v>
      </c>
    </row>
    <row r="960" spans="1:29" ht="15.75" x14ac:dyDescent="0.25">
      <c r="A960" s="32">
        <v>70128</v>
      </c>
      <c r="B960" s="14">
        <f>CHOOSE(CONTROL!$C$42, 108.1038, 108.1038) * CHOOSE(CONTROL!$C$21, $C$9, 100%, $E$9)</f>
        <v>108.10380000000001</v>
      </c>
      <c r="C960" s="14">
        <f>CHOOSE(CONTROL!$C$42, 108.1089, 108.1089) * CHOOSE(CONTROL!$C$21, $C$9, 100%, $E$9)</f>
        <v>108.10890000000001</v>
      </c>
      <c r="D960" s="14">
        <f>CHOOSE(CONTROL!$C$42, 108.1831, 108.1831) * CHOOSE(CONTROL!$C$21, $C$9, 100%, $E$9)</f>
        <v>108.1831</v>
      </c>
      <c r="E960" s="14">
        <f>CHOOSE(CONTROL!$C$42, 108.2172, 108.2172) * CHOOSE(CONTROL!$C$21, $C$9, 100%, $E$9)</f>
        <v>108.21720000000001</v>
      </c>
      <c r="F960" s="14">
        <f>CHOOSE(CONTROL!$C$42, 108.1423, 108.1423)*CHOOSE(CONTROL!$C$21, $C$9, 100%, $E$9)</f>
        <v>108.14230000000001</v>
      </c>
      <c r="G960" s="14">
        <f>CHOOSE(CONTROL!$C$42, 108.1604, 108.1604)*CHOOSE(CONTROL!$C$21, $C$9, 100%, $E$9)</f>
        <v>108.1604</v>
      </c>
      <c r="H960" s="14">
        <f>CHOOSE(CONTROL!$C$42, 108.2064, 108.2064) * CHOOSE(CONTROL!$C$21, $C$9, 100%, $E$9)</f>
        <v>108.2064</v>
      </c>
      <c r="I960" s="14">
        <f>CHOOSE(CONTROL!$C$42, 108.4699, 108.4699)* CHOOSE(CONTROL!$C$21, $C$9, 100%, $E$9)</f>
        <v>108.4699</v>
      </c>
      <c r="J960" s="14">
        <f>CHOOSE(CONTROL!$C$42, 108.1353, 108.1353)* CHOOSE(CONTROL!$C$21, $C$9, 100%, $E$9)</f>
        <v>108.1353</v>
      </c>
      <c r="K960" s="53">
        <f>CHOOSE(CONTROL!$C$42, 108.466, 108.466) * CHOOSE(CONTROL!$C$21, $C$9, 100%, $E$9)</f>
        <v>108.46599999999999</v>
      </c>
      <c r="L960" s="14">
        <f>CHOOSE(CONTROL!$C$42, 108.7934, 108.7934) * CHOOSE(CONTROL!$C$21, $C$9, 100%, $E$9)</f>
        <v>108.79340000000001</v>
      </c>
      <c r="M960" s="14">
        <f>CHOOSE(CONTROL!$C$42, 105.9273, 105.9273) * CHOOSE(CONTROL!$C$21, $C$9, 100%, $E$9)</f>
        <v>105.9273</v>
      </c>
      <c r="N960" s="14">
        <f>CHOOSE(CONTROL!$C$42, 105.9451, 105.9451) * CHOOSE(CONTROL!$C$21, $C$9, 100%, $E$9)</f>
        <v>105.9451</v>
      </c>
      <c r="O960" s="14">
        <f>CHOOSE(CONTROL!$C$42, 105.9971, 105.9971) * CHOOSE(CONTROL!$C$21, $C$9, 100%, $E$9)</f>
        <v>105.9971</v>
      </c>
      <c r="P960" s="14">
        <f>CHOOSE(CONTROL!$C$42, 106.2484, 106.2484) * CHOOSE(CONTROL!$C$21, $C$9, 100%, $E$9)</f>
        <v>106.2484</v>
      </c>
      <c r="Q960" s="14">
        <f>CHOOSE(CONTROL!$C$42, 106.5918, 106.5918) * CHOOSE(CONTROL!$C$21, $C$9, 100%, $E$9)</f>
        <v>106.59180000000001</v>
      </c>
      <c r="R960" s="14">
        <f>CHOOSE(CONTROL!$C$42, 107.4452, 107.4452) * CHOOSE(CONTROL!$C$21, $C$9, 100%, $E$9)</f>
        <v>107.4452</v>
      </c>
      <c r="S960" s="14">
        <f>CHOOSE(CONTROL!$C$42, 103.8684, 103.8684) * CHOOSE(CONTROL!$C$21, $C$9, 100%, $E$9)</f>
        <v>103.86839999999999</v>
      </c>
      <c r="T9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0" s="57">
        <f>(1000*CHOOSE(CONTROL!$C$42, 695, 695)*CHOOSE(CONTROL!$C$42, 0.5599, 0.5599)*CHOOSE(CONTROL!$C$42, 31, 31))/1000000</f>
        <v>12.063045499999998</v>
      </c>
      <c r="V960" s="57">
        <f>(1000*CHOOSE(CONTROL!$C$42, 500, 500)*CHOOSE(CONTROL!$C$42, 0.275, 0.275)*CHOOSE(CONTROL!$C$42, 31, 31))/1000000</f>
        <v>4.2625000000000002</v>
      </c>
      <c r="W960" s="57">
        <f>(1000*CHOOSE(CONTROL!$C$42, 0.1146, 0.1146)*CHOOSE(CONTROL!$C$42, 121.5, 121.5)*CHOOSE(CONTROL!$C$42, 31, 31))/1000000</f>
        <v>0.43164089999999994</v>
      </c>
      <c r="X960" s="57">
        <f>(31*0.1790888*100000/1000000)+(31*0.2374*100000/1000000)</f>
        <v>1.2911152800000001</v>
      </c>
      <c r="Y960" s="57"/>
      <c r="Z960" s="14"/>
      <c r="AA960" s="56"/>
      <c r="AB960" s="50">
        <f>(B960*122.58+C960*297.941+D960*89.177+E960*40.302+F960*40+G960*160+H960*0+I960*100+J960*300)/(122.58+297.941+89.177+40.302+0+40+160+100+300)</f>
        <v>108.16451085391306</v>
      </c>
      <c r="AC960" s="45">
        <f>(M960*'RAP TEMPLATE-GAS AVAILABILITY'!O959+N960*'RAP TEMPLATE-GAS AVAILABILITY'!P959+O960*'RAP TEMPLATE-GAS AVAILABILITY'!Q959+P960*'RAP TEMPLATE-GAS AVAILABILITY'!R959)/('RAP TEMPLATE-GAS AVAILABILITY'!O959+'RAP TEMPLATE-GAS AVAILABILITY'!P959+'RAP TEMPLATE-GAS AVAILABILITY'!Q959+'RAP TEMPLATE-GAS AVAILABILITY'!R959)</f>
        <v>106.0061618705036</v>
      </c>
    </row>
    <row r="961" spans="1:29" ht="15.75" x14ac:dyDescent="0.25">
      <c r="A961" s="32">
        <v>70159</v>
      </c>
      <c r="B961" s="14">
        <f>CHOOSE(CONTROL!$C$42, 117.0649, 117.0649) * CHOOSE(CONTROL!$C$21, $C$9, 100%, $E$9)</f>
        <v>117.06489999999999</v>
      </c>
      <c r="C961" s="14">
        <f>CHOOSE(CONTROL!$C$42, 117.07, 117.07) * CHOOSE(CONTROL!$C$21, $C$9, 100%, $E$9)</f>
        <v>117.07</v>
      </c>
      <c r="D961" s="14">
        <f>CHOOSE(CONTROL!$C$42, 117.1468, 117.1468) * CHOOSE(CONTROL!$C$21, $C$9, 100%, $E$9)</f>
        <v>117.1468</v>
      </c>
      <c r="E961" s="14">
        <f>CHOOSE(CONTROL!$C$42, 117.1809, 117.1809) * CHOOSE(CONTROL!$C$21, $C$9, 100%, $E$9)</f>
        <v>117.18089999999999</v>
      </c>
      <c r="F961" s="14">
        <f>CHOOSE(CONTROL!$C$42, 117.0897, 117.0897)*CHOOSE(CONTROL!$C$21, $C$9, 100%, $E$9)</f>
        <v>117.08969999999999</v>
      </c>
      <c r="G961" s="14">
        <f>CHOOSE(CONTROL!$C$42, 117.1077, 117.1077)*CHOOSE(CONTROL!$C$21, $C$9, 100%, $E$9)</f>
        <v>117.10769999999999</v>
      </c>
      <c r="H961" s="14">
        <f>CHOOSE(CONTROL!$C$42, 117.1701, 117.1701) * CHOOSE(CONTROL!$C$21, $C$9, 100%, $E$9)</f>
        <v>117.17010000000001</v>
      </c>
      <c r="I961" s="14">
        <f>CHOOSE(CONTROL!$C$42, 117.4653, 117.4653)* CHOOSE(CONTROL!$C$21, $C$9, 100%, $E$9)</f>
        <v>117.4653</v>
      </c>
      <c r="J961" s="14">
        <f>CHOOSE(CONTROL!$C$42, 117.0827, 117.0827)* CHOOSE(CONTROL!$C$21, $C$9, 100%, $E$9)</f>
        <v>117.0827</v>
      </c>
      <c r="K961" s="53">
        <f>CHOOSE(CONTROL!$C$42, 117.4614, 117.4614) * CHOOSE(CONTROL!$C$21, $C$9, 100%, $E$9)</f>
        <v>117.4614</v>
      </c>
      <c r="L961" s="14">
        <f>CHOOSE(CONTROL!$C$42, 117.7571, 117.7571) * CHOOSE(CONTROL!$C$21, $C$9, 100%, $E$9)</f>
        <v>117.75709999999999</v>
      </c>
      <c r="M961" s="14">
        <f>CHOOSE(CONTROL!$C$42, 114.6914, 114.6914) * CHOOSE(CONTROL!$C$21, $C$9, 100%, $E$9)</f>
        <v>114.6914</v>
      </c>
      <c r="N961" s="14">
        <f>CHOOSE(CONTROL!$C$42, 114.709, 114.709) * CHOOSE(CONTROL!$C$21, $C$9, 100%, $E$9)</f>
        <v>114.709</v>
      </c>
      <c r="O961" s="14">
        <f>CHOOSE(CONTROL!$C$42, 114.7771, 114.7771) * CHOOSE(CONTROL!$C$21, $C$9, 100%, $E$9)</f>
        <v>114.7771</v>
      </c>
      <c r="P961" s="14">
        <f>CHOOSE(CONTROL!$C$42, 115.0589, 115.0589) * CHOOSE(CONTROL!$C$21, $C$9, 100%, $E$9)</f>
        <v>115.05889999999999</v>
      </c>
      <c r="Q961" s="14">
        <f>CHOOSE(CONTROL!$C$42, 115.3718, 115.3718) * CHOOSE(CONTROL!$C$21, $C$9, 100%, $E$9)</f>
        <v>115.37179999999999</v>
      </c>
      <c r="R961" s="14">
        <f>CHOOSE(CONTROL!$C$42, 116.2472, 116.2472) * CHOOSE(CONTROL!$C$21, $C$9, 100%, $E$9)</f>
        <v>116.24720000000001</v>
      </c>
      <c r="S961" s="14">
        <f>CHOOSE(CONTROL!$C$42, 112.4792, 112.4792) * CHOOSE(CONTROL!$C$21, $C$9, 100%, $E$9)</f>
        <v>112.47920000000001</v>
      </c>
      <c r="T9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61" s="57">
        <f>(1000*CHOOSE(CONTROL!$C$42, 695, 695)*CHOOSE(CONTROL!$C$42, 0.5599, 0.5599)*CHOOSE(CONTROL!$C$42, 31, 31))/1000000</f>
        <v>12.063045499999998</v>
      </c>
      <c r="V961" s="57">
        <f>(1000*CHOOSE(CONTROL!$C$42, 500, 500)*CHOOSE(CONTROL!$C$42, 0.275, 0.275)*CHOOSE(CONTROL!$C$42, 31, 31))/1000000</f>
        <v>4.2625000000000002</v>
      </c>
      <c r="W961" s="57">
        <f>(1000*CHOOSE(CONTROL!$C$42, 0.1146, 0.1146)*CHOOSE(CONTROL!$C$42, 121.5, 121.5)*CHOOSE(CONTROL!$C$42, 31, 31))/1000000</f>
        <v>0.43164089999999994</v>
      </c>
      <c r="X961" s="57">
        <f>(31*0.1790888*100000/1000000)+(31*0.2374*100000/1000000)</f>
        <v>1.2911152800000001</v>
      </c>
      <c r="Y961" s="57"/>
      <c r="Z961" s="14"/>
      <c r="AA961" s="56"/>
      <c r="AB961" s="50">
        <f>(B961*122.58+C961*297.941+D961*89.177+E961*40.302+F961*40+G961*160+H961*0+I961*100+J961*300)/(122.58+297.941+89.177+40.302+0+40+160+100+300)</f>
        <v>117.12291576295651</v>
      </c>
      <c r="AC961" s="45">
        <f>(M961*'RAP TEMPLATE-GAS AVAILABILITY'!O960+N961*'RAP TEMPLATE-GAS AVAILABILITY'!P960+O961*'RAP TEMPLATE-GAS AVAILABILITY'!Q960+P961*'RAP TEMPLATE-GAS AVAILABILITY'!R960)/('RAP TEMPLATE-GAS AVAILABILITY'!O960+'RAP TEMPLATE-GAS AVAILABILITY'!P960+'RAP TEMPLATE-GAS AVAILABILITY'!Q960+'RAP TEMPLATE-GAS AVAILABILITY'!R960)</f>
        <v>114.78413309352518</v>
      </c>
    </row>
    <row r="962" spans="1:29" ht="15.75" x14ac:dyDescent="0.25">
      <c r="A962" s="32">
        <v>70188</v>
      </c>
      <c r="B962" s="14">
        <f>CHOOSE(CONTROL!$C$42, 119.1487, 119.1487) * CHOOSE(CONTROL!$C$21, $C$9, 100%, $E$9)</f>
        <v>119.14870000000001</v>
      </c>
      <c r="C962" s="14">
        <f>CHOOSE(CONTROL!$C$42, 119.1538, 119.1538) * CHOOSE(CONTROL!$C$21, $C$9, 100%, $E$9)</f>
        <v>119.1538</v>
      </c>
      <c r="D962" s="14">
        <f>CHOOSE(CONTROL!$C$42, 119.2306, 119.2306) * CHOOSE(CONTROL!$C$21, $C$9, 100%, $E$9)</f>
        <v>119.2306</v>
      </c>
      <c r="E962" s="14">
        <f>CHOOSE(CONTROL!$C$42, 119.2647, 119.2647) * CHOOSE(CONTROL!$C$21, $C$9, 100%, $E$9)</f>
        <v>119.2647</v>
      </c>
      <c r="F962" s="14">
        <f>CHOOSE(CONTROL!$C$42, 119.173, 119.173)*CHOOSE(CONTROL!$C$21, $C$9, 100%, $E$9)</f>
        <v>119.173</v>
      </c>
      <c r="G962" s="14">
        <f>CHOOSE(CONTROL!$C$42, 119.1909, 119.1909)*CHOOSE(CONTROL!$C$21, $C$9, 100%, $E$9)</f>
        <v>119.1909</v>
      </c>
      <c r="H962" s="14">
        <f>CHOOSE(CONTROL!$C$42, 119.2539, 119.2539) * CHOOSE(CONTROL!$C$21, $C$9, 100%, $E$9)</f>
        <v>119.2539</v>
      </c>
      <c r="I962" s="14">
        <f>CHOOSE(CONTROL!$C$42, 119.5556, 119.5556)* CHOOSE(CONTROL!$C$21, $C$9, 100%, $E$9)</f>
        <v>119.5556</v>
      </c>
      <c r="J962" s="14">
        <f>CHOOSE(CONTROL!$C$42, 119.166, 119.166)* CHOOSE(CONTROL!$C$21, $C$9, 100%, $E$9)</f>
        <v>119.166</v>
      </c>
      <c r="K962" s="53">
        <f>CHOOSE(CONTROL!$C$42, 119.5517, 119.5517) * CHOOSE(CONTROL!$C$21, $C$9, 100%, $E$9)</f>
        <v>119.5517</v>
      </c>
      <c r="L962" s="14">
        <f>CHOOSE(CONTROL!$C$42, 119.8409, 119.8409) * CHOOSE(CONTROL!$C$21, $C$9, 100%, $E$9)</f>
        <v>119.8409</v>
      </c>
      <c r="M962" s="14">
        <f>CHOOSE(CONTROL!$C$42, 116.7321, 116.7321) * CHOOSE(CONTROL!$C$21, $C$9, 100%, $E$9)</f>
        <v>116.7321</v>
      </c>
      <c r="N962" s="14">
        <f>CHOOSE(CONTROL!$C$42, 116.7496, 116.7496) * CHOOSE(CONTROL!$C$21, $C$9, 100%, $E$9)</f>
        <v>116.7496</v>
      </c>
      <c r="O962" s="14">
        <f>CHOOSE(CONTROL!$C$42, 116.8182, 116.8182) * CHOOSE(CONTROL!$C$21, $C$9, 100%, $E$9)</f>
        <v>116.8182</v>
      </c>
      <c r="P962" s="14">
        <f>CHOOSE(CONTROL!$C$42, 117.1062, 117.1062) * CHOOSE(CONTROL!$C$21, $C$9, 100%, $E$9)</f>
        <v>117.1062</v>
      </c>
      <c r="Q962" s="14">
        <f>CHOOSE(CONTROL!$C$42, 117.4129, 117.4129) * CHOOSE(CONTROL!$C$21, $C$9, 100%, $E$9)</f>
        <v>117.41289999999999</v>
      </c>
      <c r="R962" s="14">
        <f>CHOOSE(CONTROL!$C$42, 118.2934, 118.2934) * CHOOSE(CONTROL!$C$21, $C$9, 100%, $E$9)</f>
        <v>118.29340000000001</v>
      </c>
      <c r="S962" s="14">
        <f>CHOOSE(CONTROL!$C$42, 114.4814, 114.4814) * CHOOSE(CONTROL!$C$21, $C$9, 100%, $E$9)</f>
        <v>114.48139999999999</v>
      </c>
      <c r="T96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62" s="57">
        <f>(1000*CHOOSE(CONTROL!$C$42, 695, 695)*CHOOSE(CONTROL!$C$42, 0.5599, 0.5599)*CHOOSE(CONTROL!$C$42, 29, 29))/1000000</f>
        <v>11.284784499999999</v>
      </c>
      <c r="V962" s="57">
        <f>(1000*CHOOSE(CONTROL!$C$42, 500, 500)*CHOOSE(CONTROL!$C$42, 0.275, 0.275)*CHOOSE(CONTROL!$C$42, 29, 29))/1000000</f>
        <v>3.9874999999999998</v>
      </c>
      <c r="W962" s="57">
        <f>(1000*CHOOSE(CONTROL!$C$42, 0.1146, 0.1146)*CHOOSE(CONTROL!$C$42, 121.5, 121.5)*CHOOSE(CONTROL!$C$42, 29, 29))/1000000</f>
        <v>0.40379309999999996</v>
      </c>
      <c r="X962" s="57">
        <f>(29*0.1790888*100000/1000000)+(29*0.2374*100000/1000000)</f>
        <v>1.2078175199999999</v>
      </c>
      <c r="Y962" s="57"/>
      <c r="Z962" s="14"/>
      <c r="AA962" s="56"/>
      <c r="AB962" s="50">
        <f>(B962*122.58+C962*297.941+D962*89.177+E962*40.302+F962*40+G962*160+H962*0+I962*100+J962*300)/(122.58+297.941+89.177+40.302+0+40+160+100+300)</f>
        <v>119.20704967599997</v>
      </c>
      <c r="AC962" s="45">
        <f>(M962*'RAP TEMPLATE-GAS AVAILABILITY'!O961+N962*'RAP TEMPLATE-GAS AVAILABILITY'!P961+O962*'RAP TEMPLATE-GAS AVAILABILITY'!Q961+P962*'RAP TEMPLATE-GAS AVAILABILITY'!R961)/('RAP TEMPLATE-GAS AVAILABILITY'!O961+'RAP TEMPLATE-GAS AVAILABILITY'!P961+'RAP TEMPLATE-GAS AVAILABILITY'!Q961+'RAP TEMPLATE-GAS AVAILABILITY'!R961)</f>
        <v>116.82595827338129</v>
      </c>
    </row>
    <row r="963" spans="1:29" ht="15.75" x14ac:dyDescent="0.25">
      <c r="A963" s="32">
        <v>70219</v>
      </c>
      <c r="B963" s="14">
        <f>CHOOSE(CONTROL!$C$42, 115.7663, 115.7663) * CHOOSE(CONTROL!$C$21, $C$9, 100%, $E$9)</f>
        <v>115.7663</v>
      </c>
      <c r="C963" s="14">
        <f>CHOOSE(CONTROL!$C$42, 115.7713, 115.7713) * CHOOSE(CONTROL!$C$21, $C$9, 100%, $E$9)</f>
        <v>115.7713</v>
      </c>
      <c r="D963" s="14">
        <f>CHOOSE(CONTROL!$C$42, 115.8481, 115.8481) * CHOOSE(CONTROL!$C$21, $C$9, 100%, $E$9)</f>
        <v>115.8481</v>
      </c>
      <c r="E963" s="14">
        <f>CHOOSE(CONTROL!$C$42, 115.8823, 115.8823) * CHOOSE(CONTROL!$C$21, $C$9, 100%, $E$9)</f>
        <v>115.8823</v>
      </c>
      <c r="F963" s="14">
        <f>CHOOSE(CONTROL!$C$42, 115.7897, 115.7897)*CHOOSE(CONTROL!$C$21, $C$9, 100%, $E$9)</f>
        <v>115.7897</v>
      </c>
      <c r="G963" s="14">
        <f>CHOOSE(CONTROL!$C$42, 115.8074, 115.8074)*CHOOSE(CONTROL!$C$21, $C$9, 100%, $E$9)</f>
        <v>115.8074</v>
      </c>
      <c r="H963" s="14">
        <f>CHOOSE(CONTROL!$C$42, 115.8714, 115.8714) * CHOOSE(CONTROL!$C$21, $C$9, 100%, $E$9)</f>
        <v>115.87139999999999</v>
      </c>
      <c r="I963" s="14">
        <f>CHOOSE(CONTROL!$C$42, 116.1625, 116.1625)* CHOOSE(CONTROL!$C$21, $C$9, 100%, $E$9)</f>
        <v>116.16249999999999</v>
      </c>
      <c r="J963" s="14">
        <f>CHOOSE(CONTROL!$C$42, 115.7827, 115.7827)* CHOOSE(CONTROL!$C$21, $C$9, 100%, $E$9)</f>
        <v>115.78270000000001</v>
      </c>
      <c r="K963" s="53">
        <f>CHOOSE(CONTROL!$C$42, 116.1587, 116.1587) * CHOOSE(CONTROL!$C$21, $C$9, 100%, $E$9)</f>
        <v>116.1587</v>
      </c>
      <c r="L963" s="14">
        <f>CHOOSE(CONTROL!$C$42, 116.4584, 116.4584) * CHOOSE(CONTROL!$C$21, $C$9, 100%, $E$9)</f>
        <v>116.4584</v>
      </c>
      <c r="M963" s="14">
        <f>CHOOSE(CONTROL!$C$42, 113.4181, 113.4181) * CHOOSE(CONTROL!$C$21, $C$9, 100%, $E$9)</f>
        <v>113.4181</v>
      </c>
      <c r="N963" s="14">
        <f>CHOOSE(CONTROL!$C$42, 113.4354, 113.4354) * CHOOSE(CONTROL!$C$21, $C$9, 100%, $E$9)</f>
        <v>113.4354</v>
      </c>
      <c r="O963" s="14">
        <f>CHOOSE(CONTROL!$C$42, 113.505, 113.505) * CHOOSE(CONTROL!$C$21, $C$9, 100%, $E$9)</f>
        <v>113.505</v>
      </c>
      <c r="P963" s="14">
        <f>CHOOSE(CONTROL!$C$42, 113.7829, 113.7829) * CHOOSE(CONTROL!$C$21, $C$9, 100%, $E$9)</f>
        <v>113.7829</v>
      </c>
      <c r="Q963" s="14">
        <f>CHOOSE(CONTROL!$C$42, 114.0997, 114.0997) * CHOOSE(CONTROL!$C$21, $C$9, 100%, $E$9)</f>
        <v>114.0997</v>
      </c>
      <c r="R963" s="14">
        <f>CHOOSE(CONTROL!$C$42, 114.972, 114.972) * CHOOSE(CONTROL!$C$21, $C$9, 100%, $E$9)</f>
        <v>114.97199999999999</v>
      </c>
      <c r="S963" s="14">
        <f>CHOOSE(CONTROL!$C$42, 111.2313, 111.2313) * CHOOSE(CONTROL!$C$21, $C$9, 100%, $E$9)</f>
        <v>111.2313</v>
      </c>
      <c r="T9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63" s="57">
        <f>(1000*CHOOSE(CONTROL!$C$42, 695, 695)*CHOOSE(CONTROL!$C$42, 0.5599, 0.5599)*CHOOSE(CONTROL!$C$42, 31, 31))/1000000</f>
        <v>12.063045499999998</v>
      </c>
      <c r="V963" s="57">
        <f>(1000*CHOOSE(CONTROL!$C$42, 500, 500)*CHOOSE(CONTROL!$C$42, 0.275, 0.275)*CHOOSE(CONTROL!$C$42, 31, 31))/1000000</f>
        <v>4.2625000000000002</v>
      </c>
      <c r="W963" s="57">
        <f>(1000*CHOOSE(CONTROL!$C$42, 0.1146, 0.1146)*CHOOSE(CONTROL!$C$42, 121.5, 121.5)*CHOOSE(CONTROL!$C$42, 31, 31))/1000000</f>
        <v>0.43164089999999994</v>
      </c>
      <c r="X963" s="57">
        <f>(31*0.1790888*100000/1000000)+(31*0.2374*100000/1000000)</f>
        <v>1.2911152800000001</v>
      </c>
      <c r="Y963" s="57"/>
      <c r="Z963" s="14"/>
      <c r="AA963" s="56"/>
      <c r="AB963" s="50">
        <f>(B963*122.58+C963*297.941+D963*89.177+E963*40.302+F963*40+G963*160+H963*0+I963*100+J963*300)/(122.58+297.941+89.177+40.302+0+40+160+100+300)</f>
        <v>115.82326644834781</v>
      </c>
      <c r="AC963" s="45">
        <f>(M963*'RAP TEMPLATE-GAS AVAILABILITY'!O962+N963*'RAP TEMPLATE-GAS AVAILABILITY'!P962+O963*'RAP TEMPLATE-GAS AVAILABILITY'!Q962+P963*'RAP TEMPLATE-GAS AVAILABILITY'!R962)/('RAP TEMPLATE-GAS AVAILABILITY'!O962+'RAP TEMPLATE-GAS AVAILABILITY'!P962+'RAP TEMPLATE-GAS AVAILABILITY'!Q962+'RAP TEMPLATE-GAS AVAILABILITY'!R962)</f>
        <v>113.51097122302156</v>
      </c>
    </row>
    <row r="964" spans="1:29" ht="15.75" x14ac:dyDescent="0.25">
      <c r="A964" s="32">
        <v>70249</v>
      </c>
      <c r="B964" s="14">
        <f>CHOOSE(CONTROL!$C$42, 115.4207, 115.4207) * CHOOSE(CONTROL!$C$21, $C$9, 100%, $E$9)</f>
        <v>115.4207</v>
      </c>
      <c r="C964" s="14">
        <f>CHOOSE(CONTROL!$C$42, 115.4252, 115.4252) * CHOOSE(CONTROL!$C$21, $C$9, 100%, $E$9)</f>
        <v>115.4252</v>
      </c>
      <c r="D964" s="14">
        <f>CHOOSE(CONTROL!$C$42, 115.6489, 115.6489) * CHOOSE(CONTROL!$C$21, $C$9, 100%, $E$9)</f>
        <v>115.6489</v>
      </c>
      <c r="E964" s="14">
        <f>CHOOSE(CONTROL!$C$42, 115.681, 115.681) * CHOOSE(CONTROL!$C$21, $C$9, 100%, $E$9)</f>
        <v>115.681</v>
      </c>
      <c r="F964" s="14">
        <f>CHOOSE(CONTROL!$C$42, 115.4484, 115.4484)*CHOOSE(CONTROL!$C$21, $C$9, 100%, $E$9)</f>
        <v>115.44840000000001</v>
      </c>
      <c r="G964" s="14">
        <f>CHOOSE(CONTROL!$C$42, 115.4653, 115.4653)*CHOOSE(CONTROL!$C$21, $C$9, 100%, $E$9)</f>
        <v>115.4653</v>
      </c>
      <c r="H964" s="14">
        <f>CHOOSE(CONTROL!$C$42, 115.6708, 115.6708) * CHOOSE(CONTROL!$C$21, $C$9, 100%, $E$9)</f>
        <v>115.6708</v>
      </c>
      <c r="I964" s="14">
        <f>CHOOSE(CONTROL!$C$42, 115.8114, 115.8114)* CHOOSE(CONTROL!$C$21, $C$9, 100%, $E$9)</f>
        <v>115.81140000000001</v>
      </c>
      <c r="J964" s="14">
        <f>CHOOSE(CONTROL!$C$42, 115.4414, 115.4414)* CHOOSE(CONTROL!$C$21, $C$9, 100%, $E$9)</f>
        <v>115.4414</v>
      </c>
      <c r="K964" s="53">
        <f>CHOOSE(CONTROL!$C$42, 115.8075, 115.8075) * CHOOSE(CONTROL!$C$21, $C$9, 100%, $E$9)</f>
        <v>115.8075</v>
      </c>
      <c r="L964" s="14">
        <f>CHOOSE(CONTROL!$C$42, 116.2578, 116.2578) * CHOOSE(CONTROL!$C$21, $C$9, 100%, $E$9)</f>
        <v>116.2578</v>
      </c>
      <c r="M964" s="14">
        <f>CHOOSE(CONTROL!$C$42, 113.0837, 113.0837) * CHOOSE(CONTROL!$C$21, $C$9, 100%, $E$9)</f>
        <v>113.08369999999999</v>
      </c>
      <c r="N964" s="14">
        <f>CHOOSE(CONTROL!$C$42, 113.1003, 113.1003) * CHOOSE(CONTROL!$C$21, $C$9, 100%, $E$9)</f>
        <v>113.1003</v>
      </c>
      <c r="O964" s="14">
        <f>CHOOSE(CONTROL!$C$42, 113.3085, 113.3085) * CHOOSE(CONTROL!$C$21, $C$9, 100%, $E$9)</f>
        <v>113.3085</v>
      </c>
      <c r="P964" s="14">
        <f>CHOOSE(CONTROL!$C$42, 113.439, 113.439) * CHOOSE(CONTROL!$C$21, $C$9, 100%, $E$9)</f>
        <v>113.43899999999999</v>
      </c>
      <c r="Q964" s="14">
        <f>CHOOSE(CONTROL!$C$42, 113.9032, 113.9032) * CHOOSE(CONTROL!$C$21, $C$9, 100%, $E$9)</f>
        <v>113.9032</v>
      </c>
      <c r="R964" s="14">
        <f>CHOOSE(CONTROL!$C$42, 114.7749, 114.7749) * CHOOSE(CONTROL!$C$21, $C$9, 100%, $E$9)</f>
        <v>114.7749</v>
      </c>
      <c r="S964" s="14">
        <f>CHOOSE(CONTROL!$C$42, 110.8984, 110.8984) * CHOOSE(CONTROL!$C$21, $C$9, 100%, $E$9)</f>
        <v>110.8984</v>
      </c>
      <c r="T9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64" s="57">
        <f>(1000*CHOOSE(CONTROL!$C$42, 695, 695)*CHOOSE(CONTROL!$C$42, 0.5599, 0.5599)*CHOOSE(CONTROL!$C$42, 30, 30))/1000000</f>
        <v>11.673914999999997</v>
      </c>
      <c r="V964" s="57">
        <f>(1000*CHOOSE(CONTROL!$C$42, 500, 500)*CHOOSE(CONTROL!$C$42, 0.275, 0.275)*CHOOSE(CONTROL!$C$42, 30, 30))/1000000</f>
        <v>4.125</v>
      </c>
      <c r="W964" s="57">
        <f>(1000*CHOOSE(CONTROL!$C$42, 0.1146, 0.1146)*CHOOSE(CONTROL!$C$42, 121.5, 121.5)*CHOOSE(CONTROL!$C$42, 30, 30))/1000000</f>
        <v>0.417717</v>
      </c>
      <c r="X964" s="57">
        <f>(30*0.1790888*245000/1000000)+(30*0.2374*100000/1000000)</f>
        <v>2.0285026799999999</v>
      </c>
      <c r="Y964" s="57"/>
      <c r="Z964" s="14"/>
      <c r="AA964" s="56"/>
      <c r="AB964" s="50">
        <f>(B964*141.293+C964*267.993+D964*115.016+E964*89.698+F964*40+G964*185+H964*0+I964*100+J964*300)/(141.293+267.993+115.016+89.698+0+40+185+100+300)</f>
        <v>115.50580089515739</v>
      </c>
      <c r="AC964" s="45">
        <f>(M964*'RAP TEMPLATE-GAS AVAILABILITY'!O963+N964*'RAP TEMPLATE-GAS AVAILABILITY'!P963+O964*'RAP TEMPLATE-GAS AVAILABILITY'!Q963+P964*'RAP TEMPLATE-GAS AVAILABILITY'!R963)/('RAP TEMPLATE-GAS AVAILABILITY'!O963+'RAP TEMPLATE-GAS AVAILABILITY'!P963+'RAP TEMPLATE-GAS AVAILABILITY'!Q963+'RAP TEMPLATE-GAS AVAILABILITY'!R963)</f>
        <v>113.23766546762589</v>
      </c>
    </row>
    <row r="965" spans="1:29" ht="15.75" x14ac:dyDescent="0.25">
      <c r="A965" s="32">
        <v>70280</v>
      </c>
      <c r="B965" s="14">
        <f>CHOOSE(CONTROL!$C$42, 116.4407, 116.4407) * CHOOSE(CONTROL!$C$21, $C$9, 100%, $E$9)</f>
        <v>116.44070000000001</v>
      </c>
      <c r="C965" s="14">
        <f>CHOOSE(CONTROL!$C$42, 116.4487, 116.4487) * CHOOSE(CONTROL!$C$21, $C$9, 100%, $E$9)</f>
        <v>116.4487</v>
      </c>
      <c r="D965" s="14">
        <f>CHOOSE(CONTROL!$C$42, 116.6693, 116.6693) * CHOOSE(CONTROL!$C$21, $C$9, 100%, $E$9)</f>
        <v>116.66930000000001</v>
      </c>
      <c r="E965" s="14">
        <f>CHOOSE(CONTROL!$C$42, 116.7008, 116.7008) * CHOOSE(CONTROL!$C$21, $C$9, 100%, $E$9)</f>
        <v>116.7008</v>
      </c>
      <c r="F965" s="14">
        <f>CHOOSE(CONTROL!$C$42, 116.467, 116.467)*CHOOSE(CONTROL!$C$21, $C$9, 100%, $E$9)</f>
        <v>116.467</v>
      </c>
      <c r="G965" s="14">
        <f>CHOOSE(CONTROL!$C$42, 116.4841, 116.4841)*CHOOSE(CONTROL!$C$21, $C$9, 100%, $E$9)</f>
        <v>116.4841</v>
      </c>
      <c r="H965" s="14">
        <f>CHOOSE(CONTROL!$C$42, 116.6894, 116.6894) * CHOOSE(CONTROL!$C$21, $C$9, 100%, $E$9)</f>
        <v>116.68940000000001</v>
      </c>
      <c r="I965" s="14">
        <f>CHOOSE(CONTROL!$C$42, 116.8333, 116.8333)* CHOOSE(CONTROL!$C$21, $C$9, 100%, $E$9)</f>
        <v>116.83329999999999</v>
      </c>
      <c r="J965" s="14">
        <f>CHOOSE(CONTROL!$C$42, 116.46, 116.46)* CHOOSE(CONTROL!$C$21, $C$9, 100%, $E$9)</f>
        <v>116.46</v>
      </c>
      <c r="K965" s="53">
        <f>CHOOSE(CONTROL!$C$42, 116.8294, 116.8294) * CHOOSE(CONTROL!$C$21, $C$9, 100%, $E$9)</f>
        <v>116.82940000000001</v>
      </c>
      <c r="L965" s="14">
        <f>CHOOSE(CONTROL!$C$42, 117.2764, 117.2764) * CHOOSE(CONTROL!$C$21, $C$9, 100%, $E$9)</f>
        <v>117.2764</v>
      </c>
      <c r="M965" s="14">
        <f>CHOOSE(CONTROL!$C$42, 114.0815, 114.0815) * CHOOSE(CONTROL!$C$21, $C$9, 100%, $E$9)</f>
        <v>114.08150000000001</v>
      </c>
      <c r="N965" s="14">
        <f>CHOOSE(CONTROL!$C$42, 114.0982, 114.0982) * CHOOSE(CONTROL!$C$21, $C$9, 100%, $E$9)</f>
        <v>114.09820000000001</v>
      </c>
      <c r="O965" s="14">
        <f>CHOOSE(CONTROL!$C$42, 114.3062, 114.3062) * CHOOSE(CONTROL!$C$21, $C$9, 100%, $E$9)</f>
        <v>114.3062</v>
      </c>
      <c r="P965" s="14">
        <f>CHOOSE(CONTROL!$C$42, 114.4398, 114.4398) * CHOOSE(CONTROL!$C$21, $C$9, 100%, $E$9)</f>
        <v>114.43980000000001</v>
      </c>
      <c r="Q965" s="14">
        <f>CHOOSE(CONTROL!$C$42, 114.9009, 114.9009) * CHOOSE(CONTROL!$C$21, $C$9, 100%, $E$9)</f>
        <v>114.90089999999999</v>
      </c>
      <c r="R965" s="14">
        <f>CHOOSE(CONTROL!$C$42, 115.7752, 115.7752) * CHOOSE(CONTROL!$C$21, $C$9, 100%, $E$9)</f>
        <v>115.7752</v>
      </c>
      <c r="S965" s="14">
        <f>CHOOSE(CONTROL!$C$42, 111.8772, 111.8772) * CHOOSE(CONTROL!$C$21, $C$9, 100%, $E$9)</f>
        <v>111.8772</v>
      </c>
      <c r="T9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65" s="57">
        <f>(1000*CHOOSE(CONTROL!$C$42, 695, 695)*CHOOSE(CONTROL!$C$42, 0.5599, 0.5599)*CHOOSE(CONTROL!$C$42, 31, 31))/1000000</f>
        <v>12.063045499999998</v>
      </c>
      <c r="V965" s="57">
        <f>(1000*CHOOSE(CONTROL!$C$42, 500, 500)*CHOOSE(CONTROL!$C$42, 0.275, 0.275)*CHOOSE(CONTROL!$C$42, 31, 31))/1000000</f>
        <v>4.2625000000000002</v>
      </c>
      <c r="W965" s="57">
        <f>(1000*CHOOSE(CONTROL!$C$42, 0.1146, 0.1146)*CHOOSE(CONTROL!$C$42, 121.5, 121.5)*CHOOSE(CONTROL!$C$42, 31, 31))/1000000</f>
        <v>0.43164089999999994</v>
      </c>
      <c r="X965" s="57">
        <f>(31*0.1790888*245000/1000000)+(31*0.2374*100000/1000000)</f>
        <v>2.0961194359999999</v>
      </c>
      <c r="Y965" s="57"/>
      <c r="Z965" s="14"/>
      <c r="AA965" s="56"/>
      <c r="AB965" s="50">
        <f>(B965*194.205+C965*267.466+D965*133.845+E965*53.484+F965*40+G965*185+H965*0+I965*100+J965*300)/(194.205+267.466+133.845+53.484+0+40+185+100+300)</f>
        <v>116.51980430408163</v>
      </c>
      <c r="AC965" s="45">
        <f>(M965*'RAP TEMPLATE-GAS AVAILABILITY'!O964+N965*'RAP TEMPLATE-GAS AVAILABILITY'!P964+O965*'RAP TEMPLATE-GAS AVAILABILITY'!Q964+P965*'RAP TEMPLATE-GAS AVAILABILITY'!R964)/('RAP TEMPLATE-GAS AVAILABILITY'!O964+'RAP TEMPLATE-GAS AVAILABILITY'!P964+'RAP TEMPLATE-GAS AVAILABILITY'!Q964+'RAP TEMPLATE-GAS AVAILABILITY'!R964)</f>
        <v>114.23585755395683</v>
      </c>
    </row>
    <row r="966" spans="1:29" ht="15.75" x14ac:dyDescent="0.25">
      <c r="A966" s="32">
        <v>70310</v>
      </c>
      <c r="B966" s="14">
        <f>CHOOSE(CONTROL!$C$42, 119.7434, 119.7434) * CHOOSE(CONTROL!$C$21, $C$9, 100%, $E$9)</f>
        <v>119.74339999999999</v>
      </c>
      <c r="C966" s="14">
        <f>CHOOSE(CONTROL!$C$42, 119.7514, 119.7514) * CHOOSE(CONTROL!$C$21, $C$9, 100%, $E$9)</f>
        <v>119.7514</v>
      </c>
      <c r="D966" s="14">
        <f>CHOOSE(CONTROL!$C$42, 119.972, 119.972) * CHOOSE(CONTROL!$C$21, $C$9, 100%, $E$9)</f>
        <v>119.97199999999999</v>
      </c>
      <c r="E966" s="14">
        <f>CHOOSE(CONTROL!$C$42, 120.0034, 120.0034) * CHOOSE(CONTROL!$C$21, $C$9, 100%, $E$9)</f>
        <v>120.0034</v>
      </c>
      <c r="F966" s="14">
        <f>CHOOSE(CONTROL!$C$42, 119.77, 119.77)*CHOOSE(CONTROL!$C$21, $C$9, 100%, $E$9)</f>
        <v>119.77</v>
      </c>
      <c r="G966" s="14">
        <f>CHOOSE(CONTROL!$C$42, 119.7872, 119.7872)*CHOOSE(CONTROL!$C$21, $C$9, 100%, $E$9)</f>
        <v>119.7872</v>
      </c>
      <c r="H966" s="14">
        <f>CHOOSE(CONTROL!$C$42, 119.9921, 119.9921) * CHOOSE(CONTROL!$C$21, $C$9, 100%, $E$9)</f>
        <v>119.99209999999999</v>
      </c>
      <c r="I966" s="14">
        <f>CHOOSE(CONTROL!$C$42, 120.1463, 120.1463)* CHOOSE(CONTROL!$C$21, $C$9, 100%, $E$9)</f>
        <v>120.1463</v>
      </c>
      <c r="J966" s="14">
        <f>CHOOSE(CONTROL!$C$42, 119.763, 119.763)* CHOOSE(CONTROL!$C$21, $C$9, 100%, $E$9)</f>
        <v>119.76300000000001</v>
      </c>
      <c r="K966" s="53">
        <f>CHOOSE(CONTROL!$C$42, 120.1424, 120.1424) * CHOOSE(CONTROL!$C$21, $C$9, 100%, $E$9)</f>
        <v>120.14239999999999</v>
      </c>
      <c r="L966" s="14">
        <f>CHOOSE(CONTROL!$C$42, 120.5791, 120.5791) * CHOOSE(CONTROL!$C$21, $C$9, 100%, $E$9)</f>
        <v>120.5791</v>
      </c>
      <c r="M966" s="14">
        <f>CHOOSE(CONTROL!$C$42, 117.3168, 117.3168) * CHOOSE(CONTROL!$C$21, $C$9, 100%, $E$9)</f>
        <v>117.3168</v>
      </c>
      <c r="N966" s="14">
        <f>CHOOSE(CONTROL!$C$42, 117.3337, 117.3337) * CHOOSE(CONTROL!$C$21, $C$9, 100%, $E$9)</f>
        <v>117.33369999999999</v>
      </c>
      <c r="O966" s="14">
        <f>CHOOSE(CONTROL!$C$42, 117.5412, 117.5412) * CHOOSE(CONTROL!$C$21, $C$9, 100%, $E$9)</f>
        <v>117.5412</v>
      </c>
      <c r="P966" s="14">
        <f>CHOOSE(CONTROL!$C$42, 117.6848, 117.6848) * CHOOSE(CONTROL!$C$21, $C$9, 100%, $E$9)</f>
        <v>117.6848</v>
      </c>
      <c r="Q966" s="14">
        <f>CHOOSE(CONTROL!$C$42, 118.1359, 118.1359) * CHOOSE(CONTROL!$C$21, $C$9, 100%, $E$9)</f>
        <v>118.13590000000001</v>
      </c>
      <c r="R966" s="14">
        <f>CHOOSE(CONTROL!$C$42, 119.0183, 119.0183) * CHOOSE(CONTROL!$C$21, $C$9, 100%, $E$9)</f>
        <v>119.0183</v>
      </c>
      <c r="S966" s="14">
        <f>CHOOSE(CONTROL!$C$42, 115.0508, 115.0508) * CHOOSE(CONTROL!$C$21, $C$9, 100%, $E$9)</f>
        <v>115.0508</v>
      </c>
      <c r="T9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66" s="57">
        <f>(1000*CHOOSE(CONTROL!$C$42, 695, 695)*CHOOSE(CONTROL!$C$42, 0.5599, 0.5599)*CHOOSE(CONTROL!$C$42, 30, 30))/1000000</f>
        <v>11.673914999999997</v>
      </c>
      <c r="V966" s="57">
        <f>(1000*CHOOSE(CONTROL!$C$42, 500, 500)*CHOOSE(CONTROL!$C$42, 0.275, 0.275)*CHOOSE(CONTROL!$C$42, 30, 30))/1000000</f>
        <v>4.125</v>
      </c>
      <c r="W966" s="57">
        <f>(1000*CHOOSE(CONTROL!$C$42, 0.1146, 0.1146)*CHOOSE(CONTROL!$C$42, 121.5, 121.5)*CHOOSE(CONTROL!$C$42, 30, 30))/1000000</f>
        <v>0.417717</v>
      </c>
      <c r="X966" s="57">
        <f>(30*0.1790888*245000/1000000)+(30*0.2374*100000/1000000)</f>
        <v>2.0285026799999999</v>
      </c>
      <c r="Y966" s="57"/>
      <c r="Z966" s="14"/>
      <c r="AA966" s="56"/>
      <c r="AB966" s="50">
        <f>(B966*194.205+C966*267.466+D966*133.845+E966*53.484+F966*40+G966*185+H966*0+I966*100+J966*300)/(194.205+267.466+133.845+53.484+0+40+185+100+300)</f>
        <v>119.82344673076923</v>
      </c>
      <c r="AC966" s="45">
        <f>(M966*'RAP TEMPLATE-GAS AVAILABILITY'!O965+N966*'RAP TEMPLATE-GAS AVAILABILITY'!P965+O966*'RAP TEMPLATE-GAS AVAILABILITY'!Q965+P966*'RAP TEMPLATE-GAS AVAILABILITY'!R965)/('RAP TEMPLATE-GAS AVAILABILITY'!O965+'RAP TEMPLATE-GAS AVAILABILITY'!P965+'RAP TEMPLATE-GAS AVAILABILITY'!Q965+'RAP TEMPLATE-GAS AVAILABILITY'!R965)</f>
        <v>117.47242877697842</v>
      </c>
    </row>
    <row r="967" spans="1:29" ht="15.75" x14ac:dyDescent="0.25">
      <c r="A967" s="32">
        <v>70341</v>
      </c>
      <c r="B967" s="14">
        <f>CHOOSE(CONTROL!$C$42, 117.4463, 117.4463) * CHOOSE(CONTROL!$C$21, $C$9, 100%, $E$9)</f>
        <v>117.44629999999999</v>
      </c>
      <c r="C967" s="14">
        <f>CHOOSE(CONTROL!$C$42, 117.4544, 117.4544) * CHOOSE(CONTROL!$C$21, $C$9, 100%, $E$9)</f>
        <v>117.45440000000001</v>
      </c>
      <c r="D967" s="14">
        <f>CHOOSE(CONTROL!$C$42, 117.6749, 117.6749) * CHOOSE(CONTROL!$C$21, $C$9, 100%, $E$9)</f>
        <v>117.67489999999999</v>
      </c>
      <c r="E967" s="14">
        <f>CHOOSE(CONTROL!$C$42, 117.7064, 117.7064) * CHOOSE(CONTROL!$C$21, $C$9, 100%, $E$9)</f>
        <v>117.7064</v>
      </c>
      <c r="F967" s="14">
        <f>CHOOSE(CONTROL!$C$42, 117.4734, 117.4734)*CHOOSE(CONTROL!$C$21, $C$9, 100%, $E$9)</f>
        <v>117.4734</v>
      </c>
      <c r="G967" s="14">
        <f>CHOOSE(CONTROL!$C$42, 117.4907, 117.4907)*CHOOSE(CONTROL!$C$21, $C$9, 100%, $E$9)</f>
        <v>117.4907</v>
      </c>
      <c r="H967" s="14">
        <f>CHOOSE(CONTROL!$C$42, 117.695, 117.695) * CHOOSE(CONTROL!$C$21, $C$9, 100%, $E$9)</f>
        <v>117.69499999999999</v>
      </c>
      <c r="I967" s="14">
        <f>CHOOSE(CONTROL!$C$42, 117.842, 117.842)* CHOOSE(CONTROL!$C$21, $C$9, 100%, $E$9)</f>
        <v>117.842</v>
      </c>
      <c r="J967" s="14">
        <f>CHOOSE(CONTROL!$C$42, 117.4664, 117.4664)* CHOOSE(CONTROL!$C$21, $C$9, 100%, $E$9)</f>
        <v>117.46639999999999</v>
      </c>
      <c r="K967" s="53">
        <f>CHOOSE(CONTROL!$C$42, 117.8382, 117.8382) * CHOOSE(CONTROL!$C$21, $C$9, 100%, $E$9)</f>
        <v>117.8382</v>
      </c>
      <c r="L967" s="14">
        <f>CHOOSE(CONTROL!$C$42, 118.282, 118.282) * CHOOSE(CONTROL!$C$21, $C$9, 100%, $E$9)</f>
        <v>118.282</v>
      </c>
      <c r="M967" s="14">
        <f>CHOOSE(CONTROL!$C$42, 115.0673, 115.0673) * CHOOSE(CONTROL!$C$21, $C$9, 100%, $E$9)</f>
        <v>115.0673</v>
      </c>
      <c r="N967" s="14">
        <f>CHOOSE(CONTROL!$C$42, 115.0843, 115.0843) * CHOOSE(CONTROL!$C$21, $C$9, 100%, $E$9)</f>
        <v>115.0843</v>
      </c>
      <c r="O967" s="14">
        <f>CHOOSE(CONTROL!$C$42, 115.2912, 115.2912) * CHOOSE(CONTROL!$C$21, $C$9, 100%, $E$9)</f>
        <v>115.2912</v>
      </c>
      <c r="P967" s="14">
        <f>CHOOSE(CONTROL!$C$42, 115.4279, 115.4279) * CHOOSE(CONTROL!$C$21, $C$9, 100%, $E$9)</f>
        <v>115.42789999999999</v>
      </c>
      <c r="Q967" s="14">
        <f>CHOOSE(CONTROL!$C$42, 115.8859, 115.8859) * CHOOSE(CONTROL!$C$21, $C$9, 100%, $E$9)</f>
        <v>115.88590000000001</v>
      </c>
      <c r="R967" s="14">
        <f>CHOOSE(CONTROL!$C$42, 116.7627, 116.7627) * CHOOSE(CONTROL!$C$21, $C$9, 100%, $E$9)</f>
        <v>116.7627</v>
      </c>
      <c r="S967" s="14">
        <f>CHOOSE(CONTROL!$C$42, 112.8436, 112.8436) * CHOOSE(CONTROL!$C$21, $C$9, 100%, $E$9)</f>
        <v>112.8436</v>
      </c>
      <c r="T9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67" s="57">
        <f>(1000*CHOOSE(CONTROL!$C$42, 695, 695)*CHOOSE(CONTROL!$C$42, 0.5599, 0.5599)*CHOOSE(CONTROL!$C$42, 31, 31))/1000000</f>
        <v>12.063045499999998</v>
      </c>
      <c r="V967" s="57">
        <f>(1000*CHOOSE(CONTROL!$C$42, 500, 500)*CHOOSE(CONTROL!$C$42, 0.275, 0.275)*CHOOSE(CONTROL!$C$42, 31, 31))/1000000</f>
        <v>4.2625000000000002</v>
      </c>
      <c r="W967" s="57">
        <f>(1000*CHOOSE(CONTROL!$C$42, 0.1146, 0.1146)*CHOOSE(CONTROL!$C$42, 121.5, 121.5)*CHOOSE(CONTROL!$C$42, 31, 31))/1000000</f>
        <v>0.43164089999999994</v>
      </c>
      <c r="X967" s="57">
        <f>(31*0.1790888*245000/1000000)+(31*0.2374*100000/1000000)</f>
        <v>2.0961194359999999</v>
      </c>
      <c r="Y967" s="57"/>
      <c r="Z967" s="14"/>
      <c r="AA967" s="56"/>
      <c r="AB967" s="50">
        <f>(B967*194.205+C967*267.466+D967*133.845+E967*53.484+F967*40+G967*185+H967*0+I967*100+J967*300)/(194.205+267.466+133.845+53.484+0+40+185+100+300)</f>
        <v>117.52602733908948</v>
      </c>
      <c r="AC967" s="45">
        <f>(M967*'RAP TEMPLATE-GAS AVAILABILITY'!O966+N967*'RAP TEMPLATE-GAS AVAILABILITY'!P966+O967*'RAP TEMPLATE-GAS AVAILABILITY'!Q966+P967*'RAP TEMPLATE-GAS AVAILABILITY'!R966)/('RAP TEMPLATE-GAS AVAILABILITY'!O966+'RAP TEMPLATE-GAS AVAILABILITY'!P966+'RAP TEMPLATE-GAS AVAILABILITY'!Q966+'RAP TEMPLATE-GAS AVAILABILITY'!R966)</f>
        <v>115.22164316546763</v>
      </c>
    </row>
    <row r="968" spans="1:29" ht="15.75" x14ac:dyDescent="0.25">
      <c r="A968" s="32">
        <v>70372</v>
      </c>
      <c r="B968" s="14">
        <f>CHOOSE(CONTROL!$C$42, 111.6456, 111.6456) * CHOOSE(CONTROL!$C$21, $C$9, 100%, $E$9)</f>
        <v>111.6456</v>
      </c>
      <c r="C968" s="14">
        <f>CHOOSE(CONTROL!$C$42, 111.6536, 111.6536) * CHOOSE(CONTROL!$C$21, $C$9, 100%, $E$9)</f>
        <v>111.6536</v>
      </c>
      <c r="D968" s="14">
        <f>CHOOSE(CONTROL!$C$42, 111.8742, 111.8742) * CHOOSE(CONTROL!$C$21, $C$9, 100%, $E$9)</f>
        <v>111.8742</v>
      </c>
      <c r="E968" s="14">
        <f>CHOOSE(CONTROL!$C$42, 111.9057, 111.9057) * CHOOSE(CONTROL!$C$21, $C$9, 100%, $E$9)</f>
        <v>111.9057</v>
      </c>
      <c r="F968" s="14">
        <f>CHOOSE(CONTROL!$C$42, 111.673, 111.673)*CHOOSE(CONTROL!$C$21, $C$9, 100%, $E$9)</f>
        <v>111.673</v>
      </c>
      <c r="G968" s="14">
        <f>CHOOSE(CONTROL!$C$42, 111.6904, 111.6904)*CHOOSE(CONTROL!$C$21, $C$9, 100%, $E$9)</f>
        <v>111.6904</v>
      </c>
      <c r="H968" s="14">
        <f>CHOOSE(CONTROL!$C$42, 111.8943, 111.8943) * CHOOSE(CONTROL!$C$21, $C$9, 100%, $E$9)</f>
        <v>111.8943</v>
      </c>
      <c r="I968" s="14">
        <f>CHOOSE(CONTROL!$C$42, 112.0232, 112.0232)* CHOOSE(CONTROL!$C$21, $C$9, 100%, $E$9)</f>
        <v>112.0232</v>
      </c>
      <c r="J968" s="14">
        <f>CHOOSE(CONTROL!$C$42, 111.666, 111.666)* CHOOSE(CONTROL!$C$21, $C$9, 100%, $E$9)</f>
        <v>111.666</v>
      </c>
      <c r="K968" s="53">
        <f>CHOOSE(CONTROL!$C$42, 112.0193, 112.0193) * CHOOSE(CONTROL!$C$21, $C$9, 100%, $E$9)</f>
        <v>112.0193</v>
      </c>
      <c r="L968" s="14">
        <f>CHOOSE(CONTROL!$C$42, 112.4813, 112.4813) * CHOOSE(CONTROL!$C$21, $C$9, 100%, $E$9)</f>
        <v>112.4813</v>
      </c>
      <c r="M968" s="14">
        <f>CHOOSE(CONTROL!$C$42, 109.3857, 109.3857) * CHOOSE(CONTROL!$C$21, $C$9, 100%, $E$9)</f>
        <v>109.3857</v>
      </c>
      <c r="N968" s="14">
        <f>CHOOSE(CONTROL!$C$42, 109.4028, 109.4028) * CHOOSE(CONTROL!$C$21, $C$9, 100%, $E$9)</f>
        <v>109.4028</v>
      </c>
      <c r="O968" s="14">
        <f>CHOOSE(CONTROL!$C$42, 109.6094, 109.6094) * CHOOSE(CONTROL!$C$21, $C$9, 100%, $E$9)</f>
        <v>109.60939999999999</v>
      </c>
      <c r="P968" s="14">
        <f>CHOOSE(CONTROL!$C$42, 109.7286, 109.7286) * CHOOSE(CONTROL!$C$21, $C$9, 100%, $E$9)</f>
        <v>109.7286</v>
      </c>
      <c r="Q968" s="14">
        <f>CHOOSE(CONTROL!$C$42, 110.2041, 110.2041) * CHOOSE(CONTROL!$C$21, $C$9, 100%, $E$9)</f>
        <v>110.2041</v>
      </c>
      <c r="R968" s="14">
        <f>CHOOSE(CONTROL!$C$42, 111.0666, 111.0666) * CHOOSE(CONTROL!$C$21, $C$9, 100%, $E$9)</f>
        <v>111.06659999999999</v>
      </c>
      <c r="S968" s="14">
        <f>CHOOSE(CONTROL!$C$42, 107.2696, 107.2696) * CHOOSE(CONTROL!$C$21, $C$9, 100%, $E$9)</f>
        <v>107.2696</v>
      </c>
      <c r="T9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68" s="57">
        <f>(1000*CHOOSE(CONTROL!$C$42, 695, 695)*CHOOSE(CONTROL!$C$42, 0.5599, 0.5599)*CHOOSE(CONTROL!$C$42, 31, 31))/1000000</f>
        <v>12.063045499999998</v>
      </c>
      <c r="V968" s="57">
        <f>(1000*CHOOSE(CONTROL!$C$42, 500, 500)*CHOOSE(CONTROL!$C$42, 0.275, 0.275)*CHOOSE(CONTROL!$C$42, 31, 31))/1000000</f>
        <v>4.2625000000000002</v>
      </c>
      <c r="W968" s="57">
        <f>(1000*CHOOSE(CONTROL!$C$42, 0.1146, 0.1146)*CHOOSE(CONTROL!$C$42, 121.5, 121.5)*CHOOSE(CONTROL!$C$42, 31, 31))/1000000</f>
        <v>0.43164089999999994</v>
      </c>
      <c r="X968" s="57">
        <f>(31*0.1790888*245000/1000000)+(31*0.2374*100000/1000000)</f>
        <v>2.0961194359999999</v>
      </c>
      <c r="Y968" s="57"/>
      <c r="Z968" s="14"/>
      <c r="AA968" s="56"/>
      <c r="AB968" s="50">
        <f>(B968*194.205+C968*267.466+D968*133.845+E968*53.484+F968*40+G968*185+H968*0+I968*100+J968*300)/(194.205+267.466+133.845+53.484+0+40+185+100+300)</f>
        <v>111.72402377032967</v>
      </c>
      <c r="AC968" s="45">
        <f>(M968*'RAP TEMPLATE-GAS AVAILABILITY'!O967+N968*'RAP TEMPLATE-GAS AVAILABILITY'!P967+O968*'RAP TEMPLATE-GAS AVAILABILITY'!Q967+P968*'RAP TEMPLATE-GAS AVAILABILITY'!R967)/('RAP TEMPLATE-GAS AVAILABILITY'!O967+'RAP TEMPLATE-GAS AVAILABILITY'!P967+'RAP TEMPLATE-GAS AVAILABILITY'!Q967+'RAP TEMPLATE-GAS AVAILABILITY'!R967)</f>
        <v>109.53741151079136</v>
      </c>
    </row>
    <row r="969" spans="1:29" ht="15.75" x14ac:dyDescent="0.25">
      <c r="A969" s="32">
        <v>70402</v>
      </c>
      <c r="B969" s="14">
        <f>CHOOSE(CONTROL!$C$42, 104.558, 104.558) * CHOOSE(CONTROL!$C$21, $C$9, 100%, $E$9)</f>
        <v>104.55800000000001</v>
      </c>
      <c r="C969" s="14">
        <f>CHOOSE(CONTROL!$C$42, 104.566, 104.566) * CHOOSE(CONTROL!$C$21, $C$9, 100%, $E$9)</f>
        <v>104.566</v>
      </c>
      <c r="D969" s="14">
        <f>CHOOSE(CONTROL!$C$42, 104.7866, 104.7866) * CHOOSE(CONTROL!$C$21, $C$9, 100%, $E$9)</f>
        <v>104.78660000000001</v>
      </c>
      <c r="E969" s="14">
        <f>CHOOSE(CONTROL!$C$42, 104.8181, 104.8181) * CHOOSE(CONTROL!$C$21, $C$9, 100%, $E$9)</f>
        <v>104.8181</v>
      </c>
      <c r="F969" s="14">
        <f>CHOOSE(CONTROL!$C$42, 104.5853, 104.5853)*CHOOSE(CONTROL!$C$21, $C$9, 100%, $E$9)</f>
        <v>104.5853</v>
      </c>
      <c r="G969" s="14">
        <f>CHOOSE(CONTROL!$C$42, 104.6028, 104.6028)*CHOOSE(CONTROL!$C$21, $C$9, 100%, $E$9)</f>
        <v>104.6028</v>
      </c>
      <c r="H969" s="14">
        <f>CHOOSE(CONTROL!$C$42, 104.8067, 104.8067) * CHOOSE(CONTROL!$C$21, $C$9, 100%, $E$9)</f>
        <v>104.80670000000001</v>
      </c>
      <c r="I969" s="14">
        <f>CHOOSE(CONTROL!$C$42, 104.9133, 104.9133)* CHOOSE(CONTROL!$C$21, $C$9, 100%, $E$9)</f>
        <v>104.91330000000001</v>
      </c>
      <c r="J969" s="14">
        <f>CHOOSE(CONTROL!$C$42, 104.5783, 104.5783)* CHOOSE(CONTROL!$C$21, $C$9, 100%, $E$9)</f>
        <v>104.5783</v>
      </c>
      <c r="K969" s="53">
        <f>CHOOSE(CONTROL!$C$42, 104.9095, 104.9095) * CHOOSE(CONTROL!$C$21, $C$9, 100%, $E$9)</f>
        <v>104.90949999999999</v>
      </c>
      <c r="L969" s="14">
        <f>CHOOSE(CONTROL!$C$42, 105.3937, 105.3937) * CHOOSE(CONTROL!$C$21, $C$9, 100%, $E$9)</f>
        <v>105.3937</v>
      </c>
      <c r="M969" s="14">
        <f>CHOOSE(CONTROL!$C$42, 102.4433, 102.4433) * CHOOSE(CONTROL!$C$21, $C$9, 100%, $E$9)</f>
        <v>102.44329999999999</v>
      </c>
      <c r="N969" s="14">
        <f>CHOOSE(CONTROL!$C$42, 102.4604, 102.4604) * CHOOSE(CONTROL!$C$21, $C$9, 100%, $E$9)</f>
        <v>102.46040000000001</v>
      </c>
      <c r="O969" s="14">
        <f>CHOOSE(CONTROL!$C$42, 102.667, 102.667) * CHOOSE(CONTROL!$C$21, $C$9, 100%, $E$9)</f>
        <v>102.667</v>
      </c>
      <c r="P969" s="14">
        <f>CHOOSE(CONTROL!$C$42, 102.7649, 102.7649) * CHOOSE(CONTROL!$C$21, $C$9, 100%, $E$9)</f>
        <v>102.7649</v>
      </c>
      <c r="Q969" s="14">
        <f>CHOOSE(CONTROL!$C$42, 103.2617, 103.2617) * CHOOSE(CONTROL!$C$21, $C$9, 100%, $E$9)</f>
        <v>103.2617</v>
      </c>
      <c r="R969" s="14">
        <f>CHOOSE(CONTROL!$C$42, 104.1068, 104.1068) * CHOOSE(CONTROL!$C$21, $C$9, 100%, $E$9)</f>
        <v>104.10680000000001</v>
      </c>
      <c r="S969" s="14">
        <f>CHOOSE(CONTROL!$C$42, 100.4592, 100.4592) * CHOOSE(CONTROL!$C$21, $C$9, 100%, $E$9)</f>
        <v>100.4592</v>
      </c>
      <c r="T9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69" s="57">
        <f>(1000*CHOOSE(CONTROL!$C$42, 695, 695)*CHOOSE(CONTROL!$C$42, 0.5599, 0.5599)*CHOOSE(CONTROL!$C$42, 30, 30))/1000000</f>
        <v>11.673914999999997</v>
      </c>
      <c r="V969" s="57">
        <f>(1000*CHOOSE(CONTROL!$C$42, 500, 500)*CHOOSE(CONTROL!$C$42, 0.275, 0.275)*CHOOSE(CONTROL!$C$42, 30, 30))/1000000</f>
        <v>4.125</v>
      </c>
      <c r="W969" s="57">
        <f>(1000*CHOOSE(CONTROL!$C$42, 0.1146, 0.1146)*CHOOSE(CONTROL!$C$42, 121.5, 121.5)*CHOOSE(CONTROL!$C$42, 30, 30))/1000000</f>
        <v>0.417717</v>
      </c>
      <c r="X969" s="57">
        <f>(30*0.1790888*245000/1000000)+(30*0.2374*100000/1000000)</f>
        <v>2.0285026799999999</v>
      </c>
      <c r="Y969" s="57"/>
      <c r="Z969" s="14"/>
      <c r="AA969" s="56"/>
      <c r="AB969" s="50">
        <f>(B969*194.205+C969*267.466+D969*133.845+E969*53.484+F969*40+G969*185+H969*0+I969*100+J969*300)/(194.205+267.466+133.845+53.484+0+40+185+100+300)</f>
        <v>104.63464669026688</v>
      </c>
      <c r="AC969" s="45">
        <f>(M969*'RAP TEMPLATE-GAS AVAILABILITY'!O968+N969*'RAP TEMPLATE-GAS AVAILABILITY'!P968+O969*'RAP TEMPLATE-GAS AVAILABILITY'!Q968+P969*'RAP TEMPLATE-GAS AVAILABILITY'!R968)/('RAP TEMPLATE-GAS AVAILABILITY'!O968+'RAP TEMPLATE-GAS AVAILABILITY'!P968+'RAP TEMPLATE-GAS AVAILABILITY'!Q968+'RAP TEMPLATE-GAS AVAILABILITY'!R968)</f>
        <v>102.59194676258994</v>
      </c>
    </row>
    <row r="970" spans="1:29" ht="15.75" x14ac:dyDescent="0.25">
      <c r="A970" s="32">
        <v>70433</v>
      </c>
      <c r="B970" s="14">
        <f>CHOOSE(CONTROL!$C$42, 102.4335, 102.4335) * CHOOSE(CONTROL!$C$21, $C$9, 100%, $E$9)</f>
        <v>102.4335</v>
      </c>
      <c r="C970" s="14">
        <f>CHOOSE(CONTROL!$C$42, 102.4389, 102.4389) * CHOOSE(CONTROL!$C$21, $C$9, 100%, $E$9)</f>
        <v>102.4389</v>
      </c>
      <c r="D970" s="14">
        <f>CHOOSE(CONTROL!$C$42, 102.6644, 102.6644) * CHOOSE(CONTROL!$C$21, $C$9, 100%, $E$9)</f>
        <v>102.6644</v>
      </c>
      <c r="E970" s="14">
        <f>CHOOSE(CONTROL!$C$42, 102.6935, 102.6935) * CHOOSE(CONTROL!$C$21, $C$9, 100%, $E$9)</f>
        <v>102.6935</v>
      </c>
      <c r="F970" s="14">
        <f>CHOOSE(CONTROL!$C$42, 102.4629, 102.4629)*CHOOSE(CONTROL!$C$21, $C$9, 100%, $E$9)</f>
        <v>102.4629</v>
      </c>
      <c r="G970" s="14">
        <f>CHOOSE(CONTROL!$C$42, 102.4801, 102.4801)*CHOOSE(CONTROL!$C$21, $C$9, 100%, $E$9)</f>
        <v>102.48009999999999</v>
      </c>
      <c r="H970" s="14">
        <f>CHOOSE(CONTROL!$C$42, 102.684, 102.684) * CHOOSE(CONTROL!$C$21, $C$9, 100%, $E$9)</f>
        <v>102.684</v>
      </c>
      <c r="I970" s="14">
        <f>CHOOSE(CONTROL!$C$42, 102.784, 102.784)* CHOOSE(CONTROL!$C$21, $C$9, 100%, $E$9)</f>
        <v>102.78400000000001</v>
      </c>
      <c r="J970" s="14">
        <f>CHOOSE(CONTROL!$C$42, 102.4559, 102.4559)* CHOOSE(CONTROL!$C$21, $C$9, 100%, $E$9)</f>
        <v>102.4559</v>
      </c>
      <c r="K970" s="53">
        <f>CHOOSE(CONTROL!$C$42, 102.7801, 102.7801) * CHOOSE(CONTROL!$C$21, $C$9, 100%, $E$9)</f>
        <v>102.7801</v>
      </c>
      <c r="L970" s="14">
        <f>CHOOSE(CONTROL!$C$42, 103.271, 103.271) * CHOOSE(CONTROL!$C$21, $C$9, 100%, $E$9)</f>
        <v>103.271</v>
      </c>
      <c r="M970" s="14">
        <f>CHOOSE(CONTROL!$C$42, 100.3643, 100.3643) * CHOOSE(CONTROL!$C$21, $C$9, 100%, $E$9)</f>
        <v>100.3643</v>
      </c>
      <c r="N970" s="14">
        <f>CHOOSE(CONTROL!$C$42, 100.3812, 100.3812) * CHOOSE(CONTROL!$C$21, $C$9, 100%, $E$9)</f>
        <v>100.38120000000001</v>
      </c>
      <c r="O970" s="14">
        <f>CHOOSE(CONTROL!$C$42, 100.5878, 100.5878) * CHOOSE(CONTROL!$C$21, $C$9, 100%, $E$9)</f>
        <v>100.5878</v>
      </c>
      <c r="P970" s="14">
        <f>CHOOSE(CONTROL!$C$42, 100.6793, 100.6793) * CHOOSE(CONTROL!$C$21, $C$9, 100%, $E$9)</f>
        <v>100.6793</v>
      </c>
      <c r="Q970" s="14">
        <f>CHOOSE(CONTROL!$C$42, 101.1825, 101.1825) * CHOOSE(CONTROL!$C$21, $C$9, 100%, $E$9)</f>
        <v>101.1825</v>
      </c>
      <c r="R970" s="14">
        <f>CHOOSE(CONTROL!$C$42, 102.0224, 102.0224) * CHOOSE(CONTROL!$C$21, $C$9, 100%, $E$9)</f>
        <v>102.0224</v>
      </c>
      <c r="S970" s="14">
        <f>CHOOSE(CONTROL!$C$42, 98.4194, 98.4194) * CHOOSE(CONTROL!$C$21, $C$9, 100%, $E$9)</f>
        <v>98.419399999999996</v>
      </c>
      <c r="T9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70" s="57">
        <f>(1000*CHOOSE(CONTROL!$C$42, 695, 695)*CHOOSE(CONTROL!$C$42, 0.5599, 0.5599)*CHOOSE(CONTROL!$C$42, 31, 31))/1000000</f>
        <v>12.063045499999998</v>
      </c>
      <c r="V970" s="57">
        <f>(1000*CHOOSE(CONTROL!$C$42, 500, 500)*CHOOSE(CONTROL!$C$42, 0.275, 0.275)*CHOOSE(CONTROL!$C$42, 31, 31))/1000000</f>
        <v>4.2625000000000002</v>
      </c>
      <c r="W970" s="57">
        <f>(1000*CHOOSE(CONTROL!$C$42, 0.1146, 0.1146)*CHOOSE(CONTROL!$C$42, 121.5, 121.5)*CHOOSE(CONTROL!$C$42, 31, 31))/1000000</f>
        <v>0.43164089999999994</v>
      </c>
      <c r="X970" s="57">
        <f>(31*0.1790888*245000/1000000)+(31*0.2374*100000/1000000)</f>
        <v>2.0961194359999999</v>
      </c>
      <c r="Y970" s="57"/>
      <c r="Z970" s="14"/>
      <c r="AA970" s="56"/>
      <c r="AB970" s="50">
        <f>(B970*131.881+C970*277.167+D970*79.08+E970*125.872+F970*40+G970*185+H970*0+I970*100+J970*300)/(131.881+277.167+79.08+125.872+0+40+185+100+300)</f>
        <v>102.51747901033092</v>
      </c>
      <c r="AC970" s="45">
        <f>(M970*'RAP TEMPLATE-GAS AVAILABILITY'!O969+N970*'RAP TEMPLATE-GAS AVAILABILITY'!P969+O970*'RAP TEMPLATE-GAS AVAILABILITY'!Q969+P970*'RAP TEMPLATE-GAS AVAILABILITY'!R969)/('RAP TEMPLATE-GAS AVAILABILITY'!O969+'RAP TEMPLATE-GAS AVAILABILITY'!P969+'RAP TEMPLATE-GAS AVAILABILITY'!Q969+'RAP TEMPLATE-GAS AVAILABILITY'!R969)</f>
        <v>100.51189496402877</v>
      </c>
    </row>
    <row r="971" spans="1:29" ht="15.75" x14ac:dyDescent="0.25">
      <c r="A971" s="32">
        <v>70463</v>
      </c>
      <c r="B971" s="14">
        <f>CHOOSE(CONTROL!$C$42, 105.1314, 105.1314) * CHOOSE(CONTROL!$C$21, $C$9, 100%, $E$9)</f>
        <v>105.1314</v>
      </c>
      <c r="C971" s="14">
        <f>CHOOSE(CONTROL!$C$42, 105.1365, 105.1365) * CHOOSE(CONTROL!$C$21, $C$9, 100%, $E$9)</f>
        <v>105.1365</v>
      </c>
      <c r="D971" s="14">
        <f>CHOOSE(CONTROL!$C$42, 105.2107, 105.2107) * CHOOSE(CONTROL!$C$21, $C$9, 100%, $E$9)</f>
        <v>105.2107</v>
      </c>
      <c r="E971" s="14">
        <f>CHOOSE(CONTROL!$C$42, 105.2448, 105.2448) * CHOOSE(CONTROL!$C$21, $C$9, 100%, $E$9)</f>
        <v>105.2448</v>
      </c>
      <c r="F971" s="14">
        <f>CHOOSE(CONTROL!$C$42, 105.1675, 105.1675)*CHOOSE(CONTROL!$C$21, $C$9, 100%, $E$9)</f>
        <v>105.1675</v>
      </c>
      <c r="G971" s="14">
        <f>CHOOSE(CONTROL!$C$42, 105.185, 105.185)*CHOOSE(CONTROL!$C$21, $C$9, 100%, $E$9)</f>
        <v>105.185</v>
      </c>
      <c r="H971" s="14">
        <f>CHOOSE(CONTROL!$C$42, 105.234, 105.234) * CHOOSE(CONTROL!$C$21, $C$9, 100%, $E$9)</f>
        <v>105.23399999999999</v>
      </c>
      <c r="I971" s="14">
        <f>CHOOSE(CONTROL!$C$42, 105.4882, 105.4882)* CHOOSE(CONTROL!$C$21, $C$9, 100%, $E$9)</f>
        <v>105.48820000000001</v>
      </c>
      <c r="J971" s="14">
        <f>CHOOSE(CONTROL!$C$42, 105.1605, 105.1605)* CHOOSE(CONTROL!$C$21, $C$9, 100%, $E$9)</f>
        <v>105.1605</v>
      </c>
      <c r="K971" s="53">
        <f>CHOOSE(CONTROL!$C$42, 105.4843, 105.4843) * CHOOSE(CONTROL!$C$21, $C$9, 100%, $E$9)</f>
        <v>105.4843</v>
      </c>
      <c r="L971" s="14">
        <f>CHOOSE(CONTROL!$C$42, 105.821, 105.821) * CHOOSE(CONTROL!$C$21, $C$9, 100%, $E$9)</f>
        <v>105.821</v>
      </c>
      <c r="M971" s="14">
        <f>CHOOSE(CONTROL!$C$42, 103.0135, 103.0135) * CHOOSE(CONTROL!$C$21, $C$9, 100%, $E$9)</f>
        <v>103.01349999999999</v>
      </c>
      <c r="N971" s="14">
        <f>CHOOSE(CONTROL!$C$42, 103.0307, 103.0307) * CHOOSE(CONTROL!$C$21, $C$9, 100%, $E$9)</f>
        <v>103.0307</v>
      </c>
      <c r="O971" s="14">
        <f>CHOOSE(CONTROL!$C$42, 103.0855, 103.0855) * CHOOSE(CONTROL!$C$21, $C$9, 100%, $E$9)</f>
        <v>103.0855</v>
      </c>
      <c r="P971" s="14">
        <f>CHOOSE(CONTROL!$C$42, 103.3279, 103.3279) * CHOOSE(CONTROL!$C$21, $C$9, 100%, $E$9)</f>
        <v>103.3279</v>
      </c>
      <c r="Q971" s="14">
        <f>CHOOSE(CONTROL!$C$42, 103.6802, 103.6802) * CHOOSE(CONTROL!$C$21, $C$9, 100%, $E$9)</f>
        <v>103.6802</v>
      </c>
      <c r="R971" s="14">
        <f>CHOOSE(CONTROL!$C$42, 104.5264, 104.5264) * CHOOSE(CONTROL!$C$21, $C$9, 100%, $E$9)</f>
        <v>104.5264</v>
      </c>
      <c r="S971" s="14">
        <f>CHOOSE(CONTROL!$C$42, 101.0123, 101.0123) * CHOOSE(CONTROL!$C$21, $C$9, 100%, $E$9)</f>
        <v>101.0123</v>
      </c>
      <c r="T9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71" s="57">
        <f>(1000*CHOOSE(CONTROL!$C$42, 695, 695)*CHOOSE(CONTROL!$C$42, 0.5599, 0.5599)*CHOOSE(CONTROL!$C$42, 30, 30))/1000000</f>
        <v>11.673914999999997</v>
      </c>
      <c r="V971" s="57">
        <f>(1000*CHOOSE(CONTROL!$C$42, 500, 500)*CHOOSE(CONTROL!$C$42, 0.275, 0.275)*CHOOSE(CONTROL!$C$42, 30, 30))/1000000</f>
        <v>4.125</v>
      </c>
      <c r="W971" s="57">
        <f>(1000*CHOOSE(CONTROL!$C$42, 0.1146, 0.1146)*CHOOSE(CONTROL!$C$42, 121.5, 121.5)*CHOOSE(CONTROL!$C$42, 30, 30))/1000000</f>
        <v>0.417717</v>
      </c>
      <c r="X971" s="57">
        <f>(30*0.1790888*100000/1000000)+(30*0.2374*100000/1000000)</f>
        <v>1.2494664</v>
      </c>
      <c r="Y971" s="57"/>
      <c r="Z971" s="14"/>
      <c r="AA971" s="56"/>
      <c r="AB971" s="50">
        <f>(B971*122.58+C971*297.941+D971*89.177+E971*40.302+F971*40+G971*160+H971*0+I971*100+J971*300)/(122.58+297.941+89.177+40.302+0+40+160+100+300)</f>
        <v>105.19017520173914</v>
      </c>
      <c r="AC971" s="45">
        <f>(M971*'RAP TEMPLATE-GAS AVAILABILITY'!O970+N971*'RAP TEMPLATE-GAS AVAILABILITY'!P970+O971*'RAP TEMPLATE-GAS AVAILABILITY'!Q970+P971*'RAP TEMPLATE-GAS AVAILABILITY'!R970)/('RAP TEMPLATE-GAS AVAILABILITY'!O970+'RAP TEMPLATE-GAS AVAILABILITY'!P970+'RAP TEMPLATE-GAS AVAILABILITY'!Q970+'RAP TEMPLATE-GAS AVAILABILITY'!R970)</f>
        <v>103.09236043165467</v>
      </c>
    </row>
    <row r="972" spans="1:29" ht="15.75" x14ac:dyDescent="0.25">
      <c r="A972" s="32">
        <v>70494</v>
      </c>
      <c r="B972" s="14">
        <f>CHOOSE(CONTROL!$C$42, 112.2986, 112.2986) * CHOOSE(CONTROL!$C$21, $C$9, 100%, $E$9)</f>
        <v>112.29859999999999</v>
      </c>
      <c r="C972" s="14">
        <f>CHOOSE(CONTROL!$C$42, 112.3037, 112.3037) * CHOOSE(CONTROL!$C$21, $C$9, 100%, $E$9)</f>
        <v>112.30370000000001</v>
      </c>
      <c r="D972" s="14">
        <f>CHOOSE(CONTROL!$C$42, 112.3779, 112.3779) * CHOOSE(CONTROL!$C$21, $C$9, 100%, $E$9)</f>
        <v>112.3779</v>
      </c>
      <c r="E972" s="14">
        <f>CHOOSE(CONTROL!$C$42, 112.412, 112.412) * CHOOSE(CONTROL!$C$21, $C$9, 100%, $E$9)</f>
        <v>112.41200000000001</v>
      </c>
      <c r="F972" s="14">
        <f>CHOOSE(CONTROL!$C$42, 112.337, 112.337)*CHOOSE(CONTROL!$C$21, $C$9, 100%, $E$9)</f>
        <v>112.337</v>
      </c>
      <c r="G972" s="14">
        <f>CHOOSE(CONTROL!$C$42, 112.3552, 112.3552)*CHOOSE(CONTROL!$C$21, $C$9, 100%, $E$9)</f>
        <v>112.3552</v>
      </c>
      <c r="H972" s="14">
        <f>CHOOSE(CONTROL!$C$42, 112.4012, 112.4012) * CHOOSE(CONTROL!$C$21, $C$9, 100%, $E$9)</f>
        <v>112.4012</v>
      </c>
      <c r="I972" s="14">
        <f>CHOOSE(CONTROL!$C$42, 112.6778, 112.6778)* CHOOSE(CONTROL!$C$21, $C$9, 100%, $E$9)</f>
        <v>112.6778</v>
      </c>
      <c r="J972" s="14">
        <f>CHOOSE(CONTROL!$C$42, 112.33, 112.33)* CHOOSE(CONTROL!$C$21, $C$9, 100%, $E$9)</f>
        <v>112.33</v>
      </c>
      <c r="K972" s="53">
        <f>CHOOSE(CONTROL!$C$42, 112.6739, 112.6739) * CHOOSE(CONTROL!$C$21, $C$9, 100%, $E$9)</f>
        <v>112.6739</v>
      </c>
      <c r="L972" s="14">
        <f>CHOOSE(CONTROL!$C$42, 112.9882, 112.9882) * CHOOSE(CONTROL!$C$21, $C$9, 100%, $E$9)</f>
        <v>112.98820000000001</v>
      </c>
      <c r="M972" s="14">
        <f>CHOOSE(CONTROL!$C$42, 110.0361, 110.0361) * CHOOSE(CONTROL!$C$21, $C$9, 100%, $E$9)</f>
        <v>110.0361</v>
      </c>
      <c r="N972" s="14">
        <f>CHOOSE(CONTROL!$C$42, 110.0539, 110.0539) * CHOOSE(CONTROL!$C$21, $C$9, 100%, $E$9)</f>
        <v>110.0539</v>
      </c>
      <c r="O972" s="14">
        <f>CHOOSE(CONTROL!$C$42, 110.1059, 110.1059) * CHOOSE(CONTROL!$C$21, $C$9, 100%, $E$9)</f>
        <v>110.10590000000001</v>
      </c>
      <c r="P972" s="14">
        <f>CHOOSE(CONTROL!$C$42, 110.3698, 110.3698) * CHOOSE(CONTROL!$C$21, $C$9, 100%, $E$9)</f>
        <v>110.3698</v>
      </c>
      <c r="Q972" s="14">
        <f>CHOOSE(CONTROL!$C$42, 110.7006, 110.7006) * CHOOSE(CONTROL!$C$21, $C$9, 100%, $E$9)</f>
        <v>110.70059999999999</v>
      </c>
      <c r="R972" s="14">
        <f>CHOOSE(CONTROL!$C$42, 111.5643, 111.5643) * CHOOSE(CONTROL!$C$21, $C$9, 100%, $E$9)</f>
        <v>111.5643</v>
      </c>
      <c r="S972" s="14">
        <f>CHOOSE(CONTROL!$C$42, 107.8992, 107.8992) * CHOOSE(CONTROL!$C$21, $C$9, 100%, $E$9)</f>
        <v>107.89919999999999</v>
      </c>
      <c r="T9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72" s="57">
        <f>(1000*CHOOSE(CONTROL!$C$42, 695, 695)*CHOOSE(CONTROL!$C$42, 0.5599, 0.5599)*CHOOSE(CONTROL!$C$42, 31, 31))/1000000</f>
        <v>12.063045499999998</v>
      </c>
      <c r="V972" s="57">
        <f>(1000*CHOOSE(CONTROL!$C$42, 500, 500)*CHOOSE(CONTROL!$C$42, 0.275, 0.275)*CHOOSE(CONTROL!$C$42, 31, 31))/1000000</f>
        <v>4.2625000000000002</v>
      </c>
      <c r="W972" s="57">
        <f>(1000*CHOOSE(CONTROL!$C$42, 0.1146, 0.1146)*CHOOSE(CONTROL!$C$42, 121.5, 121.5)*CHOOSE(CONTROL!$C$42, 31, 31))/1000000</f>
        <v>0.43164089999999994</v>
      </c>
      <c r="X972" s="57">
        <f>(31*0.1790888*100000/1000000)+(31*0.2374*100000/1000000)</f>
        <v>1.2911152800000001</v>
      </c>
      <c r="Y972" s="57"/>
      <c r="Z972" s="14"/>
      <c r="AA972" s="56"/>
      <c r="AB972" s="50">
        <f>(B972*122.58+C972*297.941+D972*89.177+E972*40.302+F972*40+G972*160+H972*0+I972*100+J972*300)/(122.58+297.941+89.177+40.302+0+40+160+100+300)</f>
        <v>112.36042041913043</v>
      </c>
      <c r="AC972" s="45">
        <f>(M972*'RAP TEMPLATE-GAS AVAILABILITY'!O971+N972*'RAP TEMPLATE-GAS AVAILABILITY'!P971+O972*'RAP TEMPLATE-GAS AVAILABILITY'!Q971+P972*'RAP TEMPLATE-GAS AVAILABILITY'!R971)/('RAP TEMPLATE-GAS AVAILABILITY'!O971+'RAP TEMPLATE-GAS AVAILABILITY'!P971+'RAP TEMPLATE-GAS AVAILABILITY'!Q971+'RAP TEMPLATE-GAS AVAILABILITY'!R971)</f>
        <v>110.11677482014389</v>
      </c>
    </row>
    <row r="973" spans="1:29" ht="15.75" x14ac:dyDescent="0.25">
      <c r="A973" s="32">
        <v>70525</v>
      </c>
      <c r="B973" s="14">
        <f>CHOOSE(CONTROL!$C$42, 121.6075, 121.6075) * CHOOSE(CONTROL!$C$21, $C$9, 100%, $E$9)</f>
        <v>121.6075</v>
      </c>
      <c r="C973" s="14">
        <f>CHOOSE(CONTROL!$C$42, 121.6125, 121.6125) * CHOOSE(CONTROL!$C$21, $C$9, 100%, $E$9)</f>
        <v>121.6125</v>
      </c>
      <c r="D973" s="14">
        <f>CHOOSE(CONTROL!$C$42, 121.6893, 121.6893) * CHOOSE(CONTROL!$C$21, $C$9, 100%, $E$9)</f>
        <v>121.6893</v>
      </c>
      <c r="E973" s="14">
        <f>CHOOSE(CONTROL!$C$42, 121.7234, 121.7234) * CHOOSE(CONTROL!$C$21, $C$9, 100%, $E$9)</f>
        <v>121.7234</v>
      </c>
      <c r="F973" s="14">
        <f>CHOOSE(CONTROL!$C$42, 121.6322, 121.6322)*CHOOSE(CONTROL!$C$21, $C$9, 100%, $E$9)</f>
        <v>121.6322</v>
      </c>
      <c r="G973" s="14">
        <f>CHOOSE(CONTROL!$C$42, 121.6502, 121.6502)*CHOOSE(CONTROL!$C$21, $C$9, 100%, $E$9)</f>
        <v>121.6502</v>
      </c>
      <c r="H973" s="14">
        <f>CHOOSE(CONTROL!$C$42, 121.7126, 121.7126) * CHOOSE(CONTROL!$C$21, $C$9, 100%, $E$9)</f>
        <v>121.71259999999999</v>
      </c>
      <c r="I973" s="14">
        <f>CHOOSE(CONTROL!$C$42, 122.022, 122.022)* CHOOSE(CONTROL!$C$21, $C$9, 100%, $E$9)</f>
        <v>122.02200000000001</v>
      </c>
      <c r="J973" s="14">
        <f>CHOOSE(CONTROL!$C$42, 121.6252, 121.6252)* CHOOSE(CONTROL!$C$21, $C$9, 100%, $E$9)</f>
        <v>121.62520000000001</v>
      </c>
      <c r="K973" s="53">
        <f>CHOOSE(CONTROL!$C$42, 122.0181, 122.0181) * CHOOSE(CONTROL!$C$21, $C$9, 100%, $E$9)</f>
        <v>122.0181</v>
      </c>
      <c r="L973" s="14">
        <f>CHOOSE(CONTROL!$C$42, 122.2996, 122.2996) * CHOOSE(CONTROL!$C$21, $C$9, 100%, $E$9)</f>
        <v>122.2996</v>
      </c>
      <c r="M973" s="14">
        <f>CHOOSE(CONTROL!$C$42, 119.1409, 119.1409) * CHOOSE(CONTROL!$C$21, $C$9, 100%, $E$9)</f>
        <v>119.1409</v>
      </c>
      <c r="N973" s="14">
        <f>CHOOSE(CONTROL!$C$42, 119.1585, 119.1585) * CHOOSE(CONTROL!$C$21, $C$9, 100%, $E$9)</f>
        <v>119.1585</v>
      </c>
      <c r="O973" s="14">
        <f>CHOOSE(CONTROL!$C$42, 119.2265, 119.2265) * CHOOSE(CONTROL!$C$21, $C$9, 100%, $E$9)</f>
        <v>119.2265</v>
      </c>
      <c r="P973" s="14">
        <f>CHOOSE(CONTROL!$C$42, 119.522, 119.522) * CHOOSE(CONTROL!$C$21, $C$9, 100%, $E$9)</f>
        <v>119.52200000000001</v>
      </c>
      <c r="Q973" s="14">
        <f>CHOOSE(CONTROL!$C$42, 119.8212, 119.8212) * CHOOSE(CONTROL!$C$21, $C$9, 100%, $E$9)</f>
        <v>119.8212</v>
      </c>
      <c r="R973" s="14">
        <f>CHOOSE(CONTROL!$C$42, 120.7078, 120.7078) * CHOOSE(CONTROL!$C$21, $C$9, 100%, $E$9)</f>
        <v>120.70780000000001</v>
      </c>
      <c r="S973" s="14">
        <f>CHOOSE(CONTROL!$C$42, 116.8441, 116.8441) * CHOOSE(CONTROL!$C$21, $C$9, 100%, $E$9)</f>
        <v>116.8441</v>
      </c>
      <c r="T9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3" s="57">
        <f>(1000*CHOOSE(CONTROL!$C$42, 695, 695)*CHOOSE(CONTROL!$C$42, 0.5599, 0.5599)*CHOOSE(CONTROL!$C$42, 31, 31))/1000000</f>
        <v>12.063045499999998</v>
      </c>
      <c r="V973" s="57">
        <f>(1000*CHOOSE(CONTROL!$C$42, 500, 500)*CHOOSE(CONTROL!$C$42, 0.275, 0.275)*CHOOSE(CONTROL!$C$42, 31, 31))/1000000</f>
        <v>4.2625000000000002</v>
      </c>
      <c r="W973" s="57">
        <f>(1000*CHOOSE(CONTROL!$C$42, 0.1146, 0.1146)*CHOOSE(CONTROL!$C$42, 121.5, 121.5)*CHOOSE(CONTROL!$C$42, 31, 31))/1000000</f>
        <v>0.43164089999999994</v>
      </c>
      <c r="X973" s="57">
        <f>(31*0.1790888*100000/1000000)+(31*0.2374*100000/1000000)</f>
        <v>1.2911152800000001</v>
      </c>
      <c r="Y973" s="57"/>
      <c r="Z973" s="14"/>
      <c r="AA973" s="56"/>
      <c r="AB973" s="50">
        <f>(B973*122.58+C973*297.941+D973*89.177+E973*40.302+F973*40+G973*160+H973*0+I973*100+J973*300)/(122.58+297.941+89.177+40.302+0+40+160+100+300)</f>
        <v>121.66666120469566</v>
      </c>
      <c r="AC973" s="45">
        <f>(M973*'RAP TEMPLATE-GAS AVAILABILITY'!O972+N973*'RAP TEMPLATE-GAS AVAILABILITY'!P972+O973*'RAP TEMPLATE-GAS AVAILABILITY'!Q972+P973*'RAP TEMPLATE-GAS AVAILABILITY'!R972)/('RAP TEMPLATE-GAS AVAILABILITY'!O972+'RAP TEMPLATE-GAS AVAILABILITY'!P972+'RAP TEMPLATE-GAS AVAILABILITY'!Q972+'RAP TEMPLATE-GAS AVAILABILITY'!R972)</f>
        <v>119.23554460431656</v>
      </c>
    </row>
    <row r="974" spans="1:29" ht="15.75" x14ac:dyDescent="0.25">
      <c r="A974" s="32">
        <v>70553</v>
      </c>
      <c r="B974" s="14">
        <f>CHOOSE(CONTROL!$C$42, 123.7721, 123.7721) * CHOOSE(CONTROL!$C$21, $C$9, 100%, $E$9)</f>
        <v>123.77209999999999</v>
      </c>
      <c r="C974" s="14">
        <f>CHOOSE(CONTROL!$C$42, 123.7771, 123.7771) * CHOOSE(CONTROL!$C$21, $C$9, 100%, $E$9)</f>
        <v>123.7771</v>
      </c>
      <c r="D974" s="14">
        <f>CHOOSE(CONTROL!$C$42, 123.854, 123.854) * CHOOSE(CONTROL!$C$21, $C$9, 100%, $E$9)</f>
        <v>123.854</v>
      </c>
      <c r="E974" s="14">
        <f>CHOOSE(CONTROL!$C$42, 123.8881, 123.8881) * CHOOSE(CONTROL!$C$21, $C$9, 100%, $E$9)</f>
        <v>123.88809999999999</v>
      </c>
      <c r="F974" s="14">
        <f>CHOOSE(CONTROL!$C$42, 123.7964, 123.7964)*CHOOSE(CONTROL!$C$21, $C$9, 100%, $E$9)</f>
        <v>123.79640000000001</v>
      </c>
      <c r="G974" s="14">
        <f>CHOOSE(CONTROL!$C$42, 123.8143, 123.8143)*CHOOSE(CONTROL!$C$21, $C$9, 100%, $E$9)</f>
        <v>123.8143</v>
      </c>
      <c r="H974" s="14">
        <f>CHOOSE(CONTROL!$C$42, 123.8773, 123.8773) * CHOOSE(CONTROL!$C$21, $C$9, 100%, $E$9)</f>
        <v>123.87730000000001</v>
      </c>
      <c r="I974" s="14">
        <f>CHOOSE(CONTROL!$C$42, 124.1934, 124.1934)* CHOOSE(CONTROL!$C$21, $C$9, 100%, $E$9)</f>
        <v>124.1934</v>
      </c>
      <c r="J974" s="14">
        <f>CHOOSE(CONTROL!$C$42, 123.7894, 123.7894)* CHOOSE(CONTROL!$C$21, $C$9, 100%, $E$9)</f>
        <v>123.7894</v>
      </c>
      <c r="K974" s="53">
        <f>CHOOSE(CONTROL!$C$42, 124.1895, 124.1895) * CHOOSE(CONTROL!$C$21, $C$9, 100%, $E$9)</f>
        <v>124.1895</v>
      </c>
      <c r="L974" s="14">
        <f>CHOOSE(CONTROL!$C$42, 124.4643, 124.4643) * CHOOSE(CONTROL!$C$21, $C$9, 100%, $E$9)</f>
        <v>124.46429999999999</v>
      </c>
      <c r="M974" s="14">
        <f>CHOOSE(CONTROL!$C$42, 121.2607, 121.2607) * CHOOSE(CONTROL!$C$21, $C$9, 100%, $E$9)</f>
        <v>121.2607</v>
      </c>
      <c r="N974" s="14">
        <f>CHOOSE(CONTROL!$C$42, 121.2782, 121.2782) * CHOOSE(CONTROL!$C$21, $C$9, 100%, $E$9)</f>
        <v>121.2782</v>
      </c>
      <c r="O974" s="14">
        <f>CHOOSE(CONTROL!$C$42, 121.3468, 121.3468) * CHOOSE(CONTROL!$C$21, $C$9, 100%, $E$9)</f>
        <v>121.3468</v>
      </c>
      <c r="P974" s="14">
        <f>CHOOSE(CONTROL!$C$42, 121.6488, 121.6488) * CHOOSE(CONTROL!$C$21, $C$9, 100%, $E$9)</f>
        <v>121.64879999999999</v>
      </c>
      <c r="Q974" s="14">
        <f>CHOOSE(CONTROL!$C$42, 121.9415, 121.9415) * CHOOSE(CONTROL!$C$21, $C$9, 100%, $E$9)</f>
        <v>121.9415</v>
      </c>
      <c r="R974" s="14">
        <f>CHOOSE(CONTROL!$C$42, 122.8334, 122.8334) * CHOOSE(CONTROL!$C$21, $C$9, 100%, $E$9)</f>
        <v>122.8334</v>
      </c>
      <c r="S974" s="14">
        <f>CHOOSE(CONTROL!$C$42, 118.924, 118.924) * CHOOSE(CONTROL!$C$21, $C$9, 100%, $E$9)</f>
        <v>118.92400000000001</v>
      </c>
      <c r="T97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74" s="57">
        <f>(1000*CHOOSE(CONTROL!$C$42, 695, 695)*CHOOSE(CONTROL!$C$42, 0.5599, 0.5599)*CHOOSE(CONTROL!$C$42, 28, 28))/1000000</f>
        <v>10.895653999999999</v>
      </c>
      <c r="V974" s="57">
        <f>(1000*CHOOSE(CONTROL!$C$42, 500, 500)*CHOOSE(CONTROL!$C$42, 0.275, 0.275)*CHOOSE(CONTROL!$C$42, 28, 28))/1000000</f>
        <v>3.85</v>
      </c>
      <c r="W974" s="57">
        <f>(1000*CHOOSE(CONTROL!$C$42, 0.1146, 0.1146)*CHOOSE(CONTROL!$C$42, 121.5, 121.5)*CHOOSE(CONTROL!$C$42, 28, 28))/1000000</f>
        <v>0.38986920000000003</v>
      </c>
      <c r="X974" s="57">
        <f>(28*0.1790888*100000/1000000)+(28*0.2374*100000/1000000)</f>
        <v>1.16616864</v>
      </c>
      <c r="Y974" s="57"/>
      <c r="Z974" s="14"/>
      <c r="AA974" s="56"/>
      <c r="AB974" s="50">
        <f>(B974*122.58+C974*297.941+D974*89.177+E974*40.302+F974*40+G974*160+H974*0+I974*100+J974*300)/(122.58+297.941+89.177+40.302+0+40+160+100+300)</f>
        <v>123.831675942</v>
      </c>
      <c r="AC974" s="45">
        <f>(M974*'RAP TEMPLATE-GAS AVAILABILITY'!O973+N974*'RAP TEMPLATE-GAS AVAILABILITY'!P973+O974*'RAP TEMPLATE-GAS AVAILABILITY'!Q973+P974*'RAP TEMPLATE-GAS AVAILABILITY'!R973)/('RAP TEMPLATE-GAS AVAILABILITY'!O973+'RAP TEMPLATE-GAS AVAILABILITY'!P973+'RAP TEMPLATE-GAS AVAILABILITY'!Q973+'RAP TEMPLATE-GAS AVAILABILITY'!R973)</f>
        <v>121.3565726618705</v>
      </c>
    </row>
    <row r="975" spans="1:29" ht="15.75" x14ac:dyDescent="0.25">
      <c r="A975" s="32">
        <v>70584</v>
      </c>
      <c r="B975" s="14">
        <f>CHOOSE(CONTROL!$C$42, 120.2584, 120.2584) * CHOOSE(CONTROL!$C$21, $C$9, 100%, $E$9)</f>
        <v>120.25839999999999</v>
      </c>
      <c r="C975" s="14">
        <f>CHOOSE(CONTROL!$C$42, 120.2634, 120.2634) * CHOOSE(CONTROL!$C$21, $C$9, 100%, $E$9)</f>
        <v>120.2634</v>
      </c>
      <c r="D975" s="14">
        <f>CHOOSE(CONTROL!$C$42, 120.3403, 120.3403) * CHOOSE(CONTROL!$C$21, $C$9, 100%, $E$9)</f>
        <v>120.3403</v>
      </c>
      <c r="E975" s="14">
        <f>CHOOSE(CONTROL!$C$42, 120.3744, 120.3744) * CHOOSE(CONTROL!$C$21, $C$9, 100%, $E$9)</f>
        <v>120.37439999999999</v>
      </c>
      <c r="F975" s="14">
        <f>CHOOSE(CONTROL!$C$42, 120.2818, 120.2818)*CHOOSE(CONTROL!$C$21, $C$9, 100%, $E$9)</f>
        <v>120.2818</v>
      </c>
      <c r="G975" s="14">
        <f>CHOOSE(CONTROL!$C$42, 120.2995, 120.2995)*CHOOSE(CONTROL!$C$21, $C$9, 100%, $E$9)</f>
        <v>120.29949999999999</v>
      </c>
      <c r="H975" s="14">
        <f>CHOOSE(CONTROL!$C$42, 120.3636, 120.3636) * CHOOSE(CONTROL!$C$21, $C$9, 100%, $E$9)</f>
        <v>120.36360000000001</v>
      </c>
      <c r="I975" s="14">
        <f>CHOOSE(CONTROL!$C$42, 120.6687, 120.6687)* CHOOSE(CONTROL!$C$21, $C$9, 100%, $E$9)</f>
        <v>120.6687</v>
      </c>
      <c r="J975" s="14">
        <f>CHOOSE(CONTROL!$C$42, 120.2748, 120.2748)* CHOOSE(CONTROL!$C$21, $C$9, 100%, $E$9)</f>
        <v>120.2748</v>
      </c>
      <c r="K975" s="53">
        <f>CHOOSE(CONTROL!$C$42, 120.6648, 120.6648) * CHOOSE(CONTROL!$C$21, $C$9, 100%, $E$9)</f>
        <v>120.6648</v>
      </c>
      <c r="L975" s="14">
        <f>CHOOSE(CONTROL!$C$42, 120.9506, 120.9506) * CHOOSE(CONTROL!$C$21, $C$9, 100%, $E$9)</f>
        <v>120.95059999999999</v>
      </c>
      <c r="M975" s="14">
        <f>CHOOSE(CONTROL!$C$42, 117.8182, 117.8182) * CHOOSE(CONTROL!$C$21, $C$9, 100%, $E$9)</f>
        <v>117.8182</v>
      </c>
      <c r="N975" s="14">
        <f>CHOOSE(CONTROL!$C$42, 117.8355, 117.8355) * CHOOSE(CONTROL!$C$21, $C$9, 100%, $E$9)</f>
        <v>117.8355</v>
      </c>
      <c r="O975" s="14">
        <f>CHOOSE(CONTROL!$C$42, 117.9051, 117.9051) * CHOOSE(CONTROL!$C$21, $C$9, 100%, $E$9)</f>
        <v>117.9051</v>
      </c>
      <c r="P975" s="14">
        <f>CHOOSE(CONTROL!$C$42, 118.1965, 118.1965) * CHOOSE(CONTROL!$C$21, $C$9, 100%, $E$9)</f>
        <v>118.1965</v>
      </c>
      <c r="Q975" s="14">
        <f>CHOOSE(CONTROL!$C$42, 118.4998, 118.4998) * CHOOSE(CONTROL!$C$21, $C$9, 100%, $E$9)</f>
        <v>118.49979999999999</v>
      </c>
      <c r="R975" s="14">
        <f>CHOOSE(CONTROL!$C$42, 119.383, 119.383) * CHOOSE(CONTROL!$C$21, $C$9, 100%, $E$9)</f>
        <v>119.383</v>
      </c>
      <c r="S975" s="14">
        <f>CHOOSE(CONTROL!$C$42, 115.5477, 115.5477) * CHOOSE(CONTROL!$C$21, $C$9, 100%, $E$9)</f>
        <v>115.54770000000001</v>
      </c>
      <c r="T9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75" s="57">
        <f>(1000*CHOOSE(CONTROL!$C$42, 695, 695)*CHOOSE(CONTROL!$C$42, 0.5599, 0.5599)*CHOOSE(CONTROL!$C$42, 31, 31))/1000000</f>
        <v>12.063045499999998</v>
      </c>
      <c r="V975" s="57">
        <f>(1000*CHOOSE(CONTROL!$C$42, 500, 500)*CHOOSE(CONTROL!$C$42, 0.275, 0.275)*CHOOSE(CONTROL!$C$42, 31, 31))/1000000</f>
        <v>4.2625000000000002</v>
      </c>
      <c r="W975" s="57">
        <f>(1000*CHOOSE(CONTROL!$C$42, 0.1146, 0.1146)*CHOOSE(CONTROL!$C$42, 121.5, 121.5)*CHOOSE(CONTROL!$C$42, 31, 31))/1000000</f>
        <v>0.43164089999999994</v>
      </c>
      <c r="X975" s="57">
        <f>(31*0.1790888*100000/1000000)+(31*0.2374*100000/1000000)</f>
        <v>1.2911152800000001</v>
      </c>
      <c r="Y975" s="57"/>
      <c r="Z975" s="14"/>
      <c r="AA975" s="56"/>
      <c r="AB975" s="50">
        <f>(B975*122.58+C975*297.941+D975*89.177+E975*40.302+F975*40+G975*160+H975*0+I975*100+J975*300)/(122.58+297.941+89.177+40.302+0+40+160+100+300)</f>
        <v>120.31660028982608</v>
      </c>
      <c r="AC975" s="45">
        <f>(M975*'RAP TEMPLATE-GAS AVAILABILITY'!O974+N975*'RAP TEMPLATE-GAS AVAILABILITY'!P974+O975*'RAP TEMPLATE-GAS AVAILABILITY'!Q974+P975*'RAP TEMPLATE-GAS AVAILABILITY'!R974)/('RAP TEMPLATE-GAS AVAILABILITY'!O974+'RAP TEMPLATE-GAS AVAILABILITY'!P974+'RAP TEMPLATE-GAS AVAILABILITY'!Q974+'RAP TEMPLATE-GAS AVAILABILITY'!R974)</f>
        <v>117.91301366906474</v>
      </c>
    </row>
    <row r="976" spans="1:29" ht="15.75" x14ac:dyDescent="0.25">
      <c r="A976" s="32">
        <v>70614</v>
      </c>
      <c r="B976" s="14">
        <f>CHOOSE(CONTROL!$C$42, 119.8993, 119.8993) * CHOOSE(CONTROL!$C$21, $C$9, 100%, $E$9)</f>
        <v>119.8993</v>
      </c>
      <c r="C976" s="14">
        <f>CHOOSE(CONTROL!$C$42, 119.9038, 119.9038) * CHOOSE(CONTROL!$C$21, $C$9, 100%, $E$9)</f>
        <v>119.9038</v>
      </c>
      <c r="D976" s="14">
        <f>CHOOSE(CONTROL!$C$42, 120.1275, 120.1275) * CHOOSE(CONTROL!$C$21, $C$9, 100%, $E$9)</f>
        <v>120.1275</v>
      </c>
      <c r="E976" s="14">
        <f>CHOOSE(CONTROL!$C$42, 120.1596, 120.1596) * CHOOSE(CONTROL!$C$21, $C$9, 100%, $E$9)</f>
        <v>120.1596</v>
      </c>
      <c r="F976" s="14">
        <f>CHOOSE(CONTROL!$C$42, 119.927, 119.927)*CHOOSE(CONTROL!$C$21, $C$9, 100%, $E$9)</f>
        <v>119.92700000000001</v>
      </c>
      <c r="G976" s="14">
        <f>CHOOSE(CONTROL!$C$42, 119.9439, 119.9439)*CHOOSE(CONTROL!$C$21, $C$9, 100%, $E$9)</f>
        <v>119.9439</v>
      </c>
      <c r="H976" s="14">
        <f>CHOOSE(CONTROL!$C$42, 120.1494, 120.1494) * CHOOSE(CONTROL!$C$21, $C$9, 100%, $E$9)</f>
        <v>120.1494</v>
      </c>
      <c r="I976" s="14">
        <f>CHOOSE(CONTROL!$C$42, 120.3041, 120.3041)* CHOOSE(CONTROL!$C$21, $C$9, 100%, $E$9)</f>
        <v>120.30410000000001</v>
      </c>
      <c r="J976" s="14">
        <f>CHOOSE(CONTROL!$C$42, 119.92, 119.92)* CHOOSE(CONTROL!$C$21, $C$9, 100%, $E$9)</f>
        <v>119.92</v>
      </c>
      <c r="K976" s="53">
        <f>CHOOSE(CONTROL!$C$42, 120.3002, 120.3002) * CHOOSE(CONTROL!$C$21, $C$9, 100%, $E$9)</f>
        <v>120.3002</v>
      </c>
      <c r="L976" s="14">
        <f>CHOOSE(CONTROL!$C$42, 120.7364, 120.7364) * CHOOSE(CONTROL!$C$21, $C$9, 100%, $E$9)</f>
        <v>120.7364</v>
      </c>
      <c r="M976" s="14">
        <f>CHOOSE(CONTROL!$C$42, 117.4706, 117.4706) * CHOOSE(CONTROL!$C$21, $C$9, 100%, $E$9)</f>
        <v>117.4706</v>
      </c>
      <c r="N976" s="14">
        <f>CHOOSE(CONTROL!$C$42, 117.4872, 117.4872) * CHOOSE(CONTROL!$C$21, $C$9, 100%, $E$9)</f>
        <v>117.4872</v>
      </c>
      <c r="O976" s="14">
        <f>CHOOSE(CONTROL!$C$42, 117.6953, 117.6953) * CHOOSE(CONTROL!$C$21, $C$9, 100%, $E$9)</f>
        <v>117.6953</v>
      </c>
      <c r="P976" s="14">
        <f>CHOOSE(CONTROL!$C$42, 117.8394, 117.8394) * CHOOSE(CONTROL!$C$21, $C$9, 100%, $E$9)</f>
        <v>117.8394</v>
      </c>
      <c r="Q976" s="14">
        <f>CHOOSE(CONTROL!$C$42, 118.29, 118.29) * CHOOSE(CONTROL!$C$21, $C$9, 100%, $E$9)</f>
        <v>118.29</v>
      </c>
      <c r="R976" s="14">
        <f>CHOOSE(CONTROL!$C$42, 119.1728, 119.1728) * CHOOSE(CONTROL!$C$21, $C$9, 100%, $E$9)</f>
        <v>119.1728</v>
      </c>
      <c r="S976" s="14">
        <f>CHOOSE(CONTROL!$C$42, 115.202, 115.202) * CHOOSE(CONTROL!$C$21, $C$9, 100%, $E$9)</f>
        <v>115.202</v>
      </c>
      <c r="T9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76" s="57">
        <f>(1000*CHOOSE(CONTROL!$C$42, 695, 695)*CHOOSE(CONTROL!$C$42, 0.5599, 0.5599)*CHOOSE(CONTROL!$C$42, 30, 30))/1000000</f>
        <v>11.673914999999997</v>
      </c>
      <c r="V976" s="57">
        <f>(1000*CHOOSE(CONTROL!$C$42, 500, 500)*CHOOSE(CONTROL!$C$42, 0.275, 0.275)*CHOOSE(CONTROL!$C$42, 30, 30))/1000000</f>
        <v>4.125</v>
      </c>
      <c r="W976" s="57">
        <f>(1000*CHOOSE(CONTROL!$C$42, 0.1146, 0.1146)*CHOOSE(CONTROL!$C$42, 121.5, 121.5)*CHOOSE(CONTROL!$C$42, 30, 30))/1000000</f>
        <v>0.417717</v>
      </c>
      <c r="X976" s="57">
        <f>(30*0.1790888*245000/1000000)+(30*0.2374*100000/1000000)</f>
        <v>2.0285026799999999</v>
      </c>
      <c r="Y976" s="57"/>
      <c r="Z976" s="14"/>
      <c r="AA976" s="56"/>
      <c r="AB976" s="50">
        <f>(B976*141.293+C976*267.993+D976*115.016+E976*89.698+F976*40+G976*185+H976*0+I976*100+J976*300)/(141.293+267.993+115.016+89.698+0+40+185+100+300)</f>
        <v>119.98553890968523</v>
      </c>
      <c r="AC976" s="45">
        <f>(M976*'RAP TEMPLATE-GAS AVAILABILITY'!O975+N976*'RAP TEMPLATE-GAS AVAILABILITY'!P975+O976*'RAP TEMPLATE-GAS AVAILABILITY'!Q975+P976*'RAP TEMPLATE-GAS AVAILABILITY'!R975)/('RAP TEMPLATE-GAS AVAILABILITY'!O975+'RAP TEMPLATE-GAS AVAILABILITY'!P975+'RAP TEMPLATE-GAS AVAILABILITY'!Q975+'RAP TEMPLATE-GAS AVAILABILITY'!R975)</f>
        <v>117.62646258992805</v>
      </c>
    </row>
    <row r="977" spans="1:29" ht="15.75" x14ac:dyDescent="0.25">
      <c r="A977" s="32">
        <v>70645</v>
      </c>
      <c r="B977" s="14">
        <f>CHOOSE(CONTROL!$C$42, 120.9589, 120.9589) * CHOOSE(CONTROL!$C$21, $C$9, 100%, $E$9)</f>
        <v>120.9589</v>
      </c>
      <c r="C977" s="14">
        <f>CHOOSE(CONTROL!$C$42, 120.9669, 120.9669) * CHOOSE(CONTROL!$C$21, $C$9, 100%, $E$9)</f>
        <v>120.9669</v>
      </c>
      <c r="D977" s="14">
        <f>CHOOSE(CONTROL!$C$42, 121.1875, 121.1875) * CHOOSE(CONTROL!$C$21, $C$9, 100%, $E$9)</f>
        <v>121.1875</v>
      </c>
      <c r="E977" s="14">
        <f>CHOOSE(CONTROL!$C$42, 121.219, 121.219) * CHOOSE(CONTROL!$C$21, $C$9, 100%, $E$9)</f>
        <v>121.21899999999999</v>
      </c>
      <c r="F977" s="14">
        <f>CHOOSE(CONTROL!$C$42, 120.9851, 120.9851)*CHOOSE(CONTROL!$C$21, $C$9, 100%, $E$9)</f>
        <v>120.9851</v>
      </c>
      <c r="G977" s="14">
        <f>CHOOSE(CONTROL!$C$42, 121.0023, 121.0023)*CHOOSE(CONTROL!$C$21, $C$9, 100%, $E$9)</f>
        <v>121.00230000000001</v>
      </c>
      <c r="H977" s="14">
        <f>CHOOSE(CONTROL!$C$42, 121.2076, 121.2076) * CHOOSE(CONTROL!$C$21, $C$9, 100%, $E$9)</f>
        <v>121.2076</v>
      </c>
      <c r="I977" s="14">
        <f>CHOOSE(CONTROL!$C$42, 121.3656, 121.3656)* CHOOSE(CONTROL!$C$21, $C$9, 100%, $E$9)</f>
        <v>121.3656</v>
      </c>
      <c r="J977" s="14">
        <f>CHOOSE(CONTROL!$C$42, 120.9781, 120.9781)* CHOOSE(CONTROL!$C$21, $C$9, 100%, $E$9)</f>
        <v>120.9781</v>
      </c>
      <c r="K977" s="53">
        <f>CHOOSE(CONTROL!$C$42, 121.3617, 121.3617) * CHOOSE(CONTROL!$C$21, $C$9, 100%, $E$9)</f>
        <v>121.3617</v>
      </c>
      <c r="L977" s="14">
        <f>CHOOSE(CONTROL!$C$42, 121.7946, 121.7946) * CHOOSE(CONTROL!$C$21, $C$9, 100%, $E$9)</f>
        <v>121.7946</v>
      </c>
      <c r="M977" s="14">
        <f>CHOOSE(CONTROL!$C$42, 118.5071, 118.5071) * CHOOSE(CONTROL!$C$21, $C$9, 100%, $E$9)</f>
        <v>118.50709999999999</v>
      </c>
      <c r="N977" s="14">
        <f>CHOOSE(CONTROL!$C$42, 118.5238, 118.5238) * CHOOSE(CONTROL!$C$21, $C$9, 100%, $E$9)</f>
        <v>118.52379999999999</v>
      </c>
      <c r="O977" s="14">
        <f>CHOOSE(CONTROL!$C$42, 118.7318, 118.7318) * CHOOSE(CONTROL!$C$21, $C$9, 100%, $E$9)</f>
        <v>118.73180000000001</v>
      </c>
      <c r="P977" s="14">
        <f>CHOOSE(CONTROL!$C$42, 118.879, 118.879) * CHOOSE(CONTROL!$C$21, $C$9, 100%, $E$9)</f>
        <v>118.879</v>
      </c>
      <c r="Q977" s="14">
        <f>CHOOSE(CONTROL!$C$42, 119.3265, 119.3265) * CHOOSE(CONTROL!$C$21, $C$9, 100%, $E$9)</f>
        <v>119.3265</v>
      </c>
      <c r="R977" s="14">
        <f>CHOOSE(CONTROL!$C$42, 120.2118, 120.2118) * CHOOSE(CONTROL!$C$21, $C$9, 100%, $E$9)</f>
        <v>120.2118</v>
      </c>
      <c r="S977" s="14">
        <f>CHOOSE(CONTROL!$C$42, 116.2188, 116.2188) * CHOOSE(CONTROL!$C$21, $C$9, 100%, $E$9)</f>
        <v>116.2188</v>
      </c>
      <c r="T9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77" s="57">
        <f>(1000*CHOOSE(CONTROL!$C$42, 695, 695)*CHOOSE(CONTROL!$C$42, 0.5599, 0.5599)*CHOOSE(CONTROL!$C$42, 31, 31))/1000000</f>
        <v>12.063045499999998</v>
      </c>
      <c r="V977" s="57">
        <f>(1000*CHOOSE(CONTROL!$C$42, 500, 500)*CHOOSE(CONTROL!$C$42, 0.275, 0.275)*CHOOSE(CONTROL!$C$42, 31, 31))/1000000</f>
        <v>4.2625000000000002</v>
      </c>
      <c r="W977" s="57">
        <f>(1000*CHOOSE(CONTROL!$C$42, 0.1146, 0.1146)*CHOOSE(CONTROL!$C$42, 121.5, 121.5)*CHOOSE(CONTROL!$C$42, 31, 31))/1000000</f>
        <v>0.43164089999999994</v>
      </c>
      <c r="X977" s="57">
        <f>(31*0.1790888*245000/1000000)+(31*0.2374*100000/1000000)</f>
        <v>2.0961194359999999</v>
      </c>
      <c r="Y977" s="57"/>
      <c r="Z977" s="14"/>
      <c r="AA977" s="56"/>
      <c r="AB977" s="50">
        <f>(B977*194.205+C977*267.466+D977*133.845+E977*53.484+F977*40+G977*185+H977*0+I977*100+J977*300)/(194.205+267.466+133.845+53.484+0+40+185+100+300)</f>
        <v>121.03908436687597</v>
      </c>
      <c r="AC977" s="45">
        <f>(M977*'RAP TEMPLATE-GAS AVAILABILITY'!O976+N977*'RAP TEMPLATE-GAS AVAILABILITY'!P976+O977*'RAP TEMPLATE-GAS AVAILABILITY'!Q976+P977*'RAP TEMPLATE-GAS AVAILABILITY'!R976)/('RAP TEMPLATE-GAS AVAILABILITY'!O976+'RAP TEMPLATE-GAS AVAILABILITY'!P976+'RAP TEMPLATE-GAS AVAILABILITY'!Q976+'RAP TEMPLATE-GAS AVAILABILITY'!R976)</f>
        <v>118.66341438848919</v>
      </c>
    </row>
    <row r="978" spans="1:29" ht="15.75" x14ac:dyDescent="0.25">
      <c r="A978" s="32">
        <v>70675</v>
      </c>
      <c r="B978" s="14">
        <f>CHOOSE(CONTROL!$C$42, 124.3897, 124.3897) * CHOOSE(CONTROL!$C$21, $C$9, 100%, $E$9)</f>
        <v>124.3897</v>
      </c>
      <c r="C978" s="14">
        <f>CHOOSE(CONTROL!$C$42, 124.3977, 124.3977) * CHOOSE(CONTROL!$C$21, $C$9, 100%, $E$9)</f>
        <v>124.3977</v>
      </c>
      <c r="D978" s="14">
        <f>CHOOSE(CONTROL!$C$42, 124.6183, 124.6183) * CHOOSE(CONTROL!$C$21, $C$9, 100%, $E$9)</f>
        <v>124.6183</v>
      </c>
      <c r="E978" s="14">
        <f>CHOOSE(CONTROL!$C$42, 124.6498, 124.6498) * CHOOSE(CONTROL!$C$21, $C$9, 100%, $E$9)</f>
        <v>124.6498</v>
      </c>
      <c r="F978" s="14">
        <f>CHOOSE(CONTROL!$C$42, 124.4163, 124.4163)*CHOOSE(CONTROL!$C$21, $C$9, 100%, $E$9)</f>
        <v>124.41630000000001</v>
      </c>
      <c r="G978" s="14">
        <f>CHOOSE(CONTROL!$C$42, 124.4335, 124.4335)*CHOOSE(CONTROL!$C$21, $C$9, 100%, $E$9)</f>
        <v>124.4335</v>
      </c>
      <c r="H978" s="14">
        <f>CHOOSE(CONTROL!$C$42, 124.6384, 124.6384) * CHOOSE(CONTROL!$C$21, $C$9, 100%, $E$9)</f>
        <v>124.6384</v>
      </c>
      <c r="I978" s="14">
        <f>CHOOSE(CONTROL!$C$42, 124.8072, 124.8072)* CHOOSE(CONTROL!$C$21, $C$9, 100%, $E$9)</f>
        <v>124.80719999999999</v>
      </c>
      <c r="J978" s="14">
        <f>CHOOSE(CONTROL!$C$42, 124.4093, 124.4093)* CHOOSE(CONTROL!$C$21, $C$9, 100%, $E$9)</f>
        <v>124.4093</v>
      </c>
      <c r="K978" s="53">
        <f>CHOOSE(CONTROL!$C$42, 124.8033, 124.8033) * CHOOSE(CONTROL!$C$21, $C$9, 100%, $E$9)</f>
        <v>124.80329999999999</v>
      </c>
      <c r="L978" s="14">
        <f>CHOOSE(CONTROL!$C$42, 125.2254, 125.2254) * CHOOSE(CONTROL!$C$21, $C$9, 100%, $E$9)</f>
        <v>125.22539999999999</v>
      </c>
      <c r="M978" s="14">
        <f>CHOOSE(CONTROL!$C$42, 121.868, 121.868) * CHOOSE(CONTROL!$C$21, $C$9, 100%, $E$9)</f>
        <v>121.86799999999999</v>
      </c>
      <c r="N978" s="14">
        <f>CHOOSE(CONTROL!$C$42, 121.8848, 121.8848) * CHOOSE(CONTROL!$C$21, $C$9, 100%, $E$9)</f>
        <v>121.8848</v>
      </c>
      <c r="O978" s="14">
        <f>CHOOSE(CONTROL!$C$42, 122.0924, 122.0924) * CHOOSE(CONTROL!$C$21, $C$9, 100%, $E$9)</f>
        <v>122.0924</v>
      </c>
      <c r="P978" s="14">
        <f>CHOOSE(CONTROL!$C$42, 122.2499, 122.2499) * CHOOSE(CONTROL!$C$21, $C$9, 100%, $E$9)</f>
        <v>122.2499</v>
      </c>
      <c r="Q978" s="14">
        <f>CHOOSE(CONTROL!$C$42, 122.6871, 122.6871) * CHOOSE(CONTROL!$C$21, $C$9, 100%, $E$9)</f>
        <v>122.6871</v>
      </c>
      <c r="R978" s="14">
        <f>CHOOSE(CONTROL!$C$42, 123.5808, 123.5808) * CHOOSE(CONTROL!$C$21, $C$9, 100%, $E$9)</f>
        <v>123.5808</v>
      </c>
      <c r="S978" s="14">
        <f>CHOOSE(CONTROL!$C$42, 119.5154, 119.5154) * CHOOSE(CONTROL!$C$21, $C$9, 100%, $E$9)</f>
        <v>119.5154</v>
      </c>
      <c r="T9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78" s="57">
        <f>(1000*CHOOSE(CONTROL!$C$42, 695, 695)*CHOOSE(CONTROL!$C$42, 0.5599, 0.5599)*CHOOSE(CONTROL!$C$42, 30, 30))/1000000</f>
        <v>11.673914999999997</v>
      </c>
      <c r="V978" s="57">
        <f>(1000*CHOOSE(CONTROL!$C$42, 500, 500)*CHOOSE(CONTROL!$C$42, 0.275, 0.275)*CHOOSE(CONTROL!$C$42, 30, 30))/1000000</f>
        <v>4.125</v>
      </c>
      <c r="W978" s="57">
        <f>(1000*CHOOSE(CONTROL!$C$42, 0.1146, 0.1146)*CHOOSE(CONTROL!$C$42, 121.5, 121.5)*CHOOSE(CONTROL!$C$42, 30, 30))/1000000</f>
        <v>0.417717</v>
      </c>
      <c r="X978" s="57">
        <f>(30*0.1790888*245000/1000000)+(30*0.2374*100000/1000000)</f>
        <v>2.0285026799999999</v>
      </c>
      <c r="Y978" s="57"/>
      <c r="Z978" s="14"/>
      <c r="AA978" s="56"/>
      <c r="AB978" s="50">
        <f>(B978*194.205+C978*267.466+D978*133.845+E978*53.484+F978*40+G978*185+H978*0+I978*100+J978*300)/(194.205+267.466+133.845+53.484+0+40+185+100+300)</f>
        <v>124.47089692574568</v>
      </c>
      <c r="AC978" s="45">
        <f>(M978*'RAP TEMPLATE-GAS AVAILABILITY'!O977+N978*'RAP TEMPLATE-GAS AVAILABILITY'!P977+O978*'RAP TEMPLATE-GAS AVAILABILITY'!Q977+P978*'RAP TEMPLATE-GAS AVAILABILITY'!R977)/('RAP TEMPLATE-GAS AVAILABILITY'!O977+'RAP TEMPLATE-GAS AVAILABILITY'!P977+'RAP TEMPLATE-GAS AVAILABILITY'!Q977+'RAP TEMPLATE-GAS AVAILABILITY'!R977)</f>
        <v>122.02562302158275</v>
      </c>
    </row>
    <row r="979" spans="1:29" ht="15.75" x14ac:dyDescent="0.25">
      <c r="A979" s="32">
        <v>70706</v>
      </c>
      <c r="B979" s="14">
        <f>CHOOSE(CONTROL!$C$42, 122.0036, 122.0036) * CHOOSE(CONTROL!$C$21, $C$9, 100%, $E$9)</f>
        <v>122.00360000000001</v>
      </c>
      <c r="C979" s="14">
        <f>CHOOSE(CONTROL!$C$42, 122.0116, 122.0116) * CHOOSE(CONTROL!$C$21, $C$9, 100%, $E$9)</f>
        <v>122.0116</v>
      </c>
      <c r="D979" s="14">
        <f>CHOOSE(CONTROL!$C$42, 122.2322, 122.2322) * CHOOSE(CONTROL!$C$21, $C$9, 100%, $E$9)</f>
        <v>122.23220000000001</v>
      </c>
      <c r="E979" s="14">
        <f>CHOOSE(CONTROL!$C$42, 122.2636, 122.2636) * CHOOSE(CONTROL!$C$21, $C$9, 100%, $E$9)</f>
        <v>122.2636</v>
      </c>
      <c r="F979" s="14">
        <f>CHOOSE(CONTROL!$C$42, 122.0306, 122.0306)*CHOOSE(CONTROL!$C$21, $C$9, 100%, $E$9)</f>
        <v>122.03060000000001</v>
      </c>
      <c r="G979" s="14">
        <f>CHOOSE(CONTROL!$C$42, 122.048, 122.048)*CHOOSE(CONTROL!$C$21, $C$9, 100%, $E$9)</f>
        <v>122.048</v>
      </c>
      <c r="H979" s="14">
        <f>CHOOSE(CONTROL!$C$42, 122.2523, 122.2523) * CHOOSE(CONTROL!$C$21, $C$9, 100%, $E$9)</f>
        <v>122.25230000000001</v>
      </c>
      <c r="I979" s="14">
        <f>CHOOSE(CONTROL!$C$42, 122.4135, 122.4135)* CHOOSE(CONTROL!$C$21, $C$9, 100%, $E$9)</f>
        <v>122.4135</v>
      </c>
      <c r="J979" s="14">
        <f>CHOOSE(CONTROL!$C$42, 122.0236, 122.0236)* CHOOSE(CONTROL!$C$21, $C$9, 100%, $E$9)</f>
        <v>122.0236</v>
      </c>
      <c r="K979" s="53">
        <f>CHOOSE(CONTROL!$C$42, 122.4096, 122.4096) * CHOOSE(CONTROL!$C$21, $C$9, 100%, $E$9)</f>
        <v>122.4096</v>
      </c>
      <c r="L979" s="14">
        <f>CHOOSE(CONTROL!$C$42, 122.8393, 122.8393) * CHOOSE(CONTROL!$C$21, $C$9, 100%, $E$9)</f>
        <v>122.83929999999999</v>
      </c>
      <c r="M979" s="14">
        <f>CHOOSE(CONTROL!$C$42, 119.5311, 119.5311) * CHOOSE(CONTROL!$C$21, $C$9, 100%, $E$9)</f>
        <v>119.5311</v>
      </c>
      <c r="N979" s="14">
        <f>CHOOSE(CONTROL!$C$42, 119.5481, 119.5481) * CHOOSE(CONTROL!$C$21, $C$9, 100%, $E$9)</f>
        <v>119.54810000000001</v>
      </c>
      <c r="O979" s="14">
        <f>CHOOSE(CONTROL!$C$42, 119.7551, 119.7551) * CHOOSE(CONTROL!$C$21, $C$9, 100%, $E$9)</f>
        <v>119.7551</v>
      </c>
      <c r="P979" s="14">
        <f>CHOOSE(CONTROL!$C$42, 119.9054, 119.9054) * CHOOSE(CONTROL!$C$21, $C$9, 100%, $E$9)</f>
        <v>119.9054</v>
      </c>
      <c r="Q979" s="14">
        <f>CHOOSE(CONTROL!$C$42, 120.3498, 120.3498) * CHOOSE(CONTROL!$C$21, $C$9, 100%, $E$9)</f>
        <v>120.3498</v>
      </c>
      <c r="R979" s="14">
        <f>CHOOSE(CONTROL!$C$42, 121.2377, 121.2377) * CHOOSE(CONTROL!$C$21, $C$9, 100%, $E$9)</f>
        <v>121.2377</v>
      </c>
      <c r="S979" s="14">
        <f>CHOOSE(CONTROL!$C$42, 117.2226, 117.2226) * CHOOSE(CONTROL!$C$21, $C$9, 100%, $E$9)</f>
        <v>117.2226</v>
      </c>
      <c r="T9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79" s="57">
        <f>(1000*CHOOSE(CONTROL!$C$42, 695, 695)*CHOOSE(CONTROL!$C$42, 0.5599, 0.5599)*CHOOSE(CONTROL!$C$42, 31, 31))/1000000</f>
        <v>12.063045499999998</v>
      </c>
      <c r="V979" s="57">
        <f>(1000*CHOOSE(CONTROL!$C$42, 500, 500)*CHOOSE(CONTROL!$C$42, 0.275, 0.275)*CHOOSE(CONTROL!$C$42, 31, 31))/1000000</f>
        <v>4.2625000000000002</v>
      </c>
      <c r="W979" s="57">
        <f>(1000*CHOOSE(CONTROL!$C$42, 0.1146, 0.1146)*CHOOSE(CONTROL!$C$42, 121.5, 121.5)*CHOOSE(CONTROL!$C$42, 31, 31))/1000000</f>
        <v>0.43164089999999994</v>
      </c>
      <c r="X979" s="57">
        <f>(31*0.1790888*245000/1000000)+(31*0.2374*100000/1000000)</f>
        <v>2.0961194359999999</v>
      </c>
      <c r="Y979" s="57"/>
      <c r="Z979" s="14"/>
      <c r="AA979" s="56"/>
      <c r="AB979" s="50">
        <f>(B979*194.205+C979*267.466+D979*133.845+E979*53.484+F979*40+G979*185+H979*0+I979*100+J979*300)/(194.205+267.466+133.845+53.484+0+40+185+100+300)</f>
        <v>122.0843900588697</v>
      </c>
      <c r="AC979" s="45">
        <f>(M979*'RAP TEMPLATE-GAS AVAILABILITY'!O978+N979*'RAP TEMPLATE-GAS AVAILABILITY'!P978+O979*'RAP TEMPLATE-GAS AVAILABILITY'!Q978+P979*'RAP TEMPLATE-GAS AVAILABILITY'!R978)/('RAP TEMPLATE-GAS AVAILABILITY'!O978+'RAP TEMPLATE-GAS AVAILABILITY'!P978+'RAP TEMPLATE-GAS AVAILABILITY'!Q978+'RAP TEMPLATE-GAS AVAILABILITY'!R978)</f>
        <v>119.68745971223022</v>
      </c>
    </row>
    <row r="980" spans="1:29" ht="15.75" x14ac:dyDescent="0.25">
      <c r="A980" s="32">
        <v>70737</v>
      </c>
      <c r="B980" s="14">
        <f>CHOOSE(CONTROL!$C$42, 115.9777, 115.9777) * CHOOSE(CONTROL!$C$21, $C$9, 100%, $E$9)</f>
        <v>115.9777</v>
      </c>
      <c r="C980" s="14">
        <f>CHOOSE(CONTROL!$C$42, 115.9858, 115.9858) * CHOOSE(CONTROL!$C$21, $C$9, 100%, $E$9)</f>
        <v>115.9858</v>
      </c>
      <c r="D980" s="14">
        <f>CHOOSE(CONTROL!$C$42, 116.2063, 116.2063) * CHOOSE(CONTROL!$C$21, $C$9, 100%, $E$9)</f>
        <v>116.2063</v>
      </c>
      <c r="E980" s="14">
        <f>CHOOSE(CONTROL!$C$42, 116.2378, 116.2378) * CHOOSE(CONTROL!$C$21, $C$9, 100%, $E$9)</f>
        <v>116.23779999999999</v>
      </c>
      <c r="F980" s="14">
        <f>CHOOSE(CONTROL!$C$42, 116.0051, 116.0051)*CHOOSE(CONTROL!$C$21, $C$9, 100%, $E$9)</f>
        <v>116.0051</v>
      </c>
      <c r="G980" s="14">
        <f>CHOOSE(CONTROL!$C$42, 116.0225, 116.0225)*CHOOSE(CONTROL!$C$21, $C$9, 100%, $E$9)</f>
        <v>116.02249999999999</v>
      </c>
      <c r="H980" s="14">
        <f>CHOOSE(CONTROL!$C$42, 116.2264, 116.2264) * CHOOSE(CONTROL!$C$21, $C$9, 100%, $E$9)</f>
        <v>116.2264</v>
      </c>
      <c r="I980" s="14">
        <f>CHOOSE(CONTROL!$C$42, 116.3688, 116.3688)* CHOOSE(CONTROL!$C$21, $C$9, 100%, $E$9)</f>
        <v>116.36879999999999</v>
      </c>
      <c r="J980" s="14">
        <f>CHOOSE(CONTROL!$C$42, 115.9981, 115.9981)* CHOOSE(CONTROL!$C$21, $C$9, 100%, $E$9)</f>
        <v>115.99809999999999</v>
      </c>
      <c r="K980" s="53">
        <f>CHOOSE(CONTROL!$C$42, 116.365, 116.365) * CHOOSE(CONTROL!$C$21, $C$9, 100%, $E$9)</f>
        <v>116.36499999999999</v>
      </c>
      <c r="L980" s="14">
        <f>CHOOSE(CONTROL!$C$42, 116.8134, 116.8134) * CHOOSE(CONTROL!$C$21, $C$9, 100%, $E$9)</f>
        <v>116.8134</v>
      </c>
      <c r="M980" s="14">
        <f>CHOOSE(CONTROL!$C$42, 113.6291, 113.6291) * CHOOSE(CONTROL!$C$21, $C$9, 100%, $E$9)</f>
        <v>113.62909999999999</v>
      </c>
      <c r="N980" s="14">
        <f>CHOOSE(CONTROL!$C$42, 113.6461, 113.6461) * CHOOSE(CONTROL!$C$21, $C$9, 100%, $E$9)</f>
        <v>113.6461</v>
      </c>
      <c r="O980" s="14">
        <f>CHOOSE(CONTROL!$C$42, 113.8527, 113.8527) * CHOOSE(CONTROL!$C$21, $C$9, 100%, $E$9)</f>
        <v>113.8527</v>
      </c>
      <c r="P980" s="14">
        <f>CHOOSE(CONTROL!$C$42, 113.985, 113.985) * CHOOSE(CONTROL!$C$21, $C$9, 100%, $E$9)</f>
        <v>113.985</v>
      </c>
      <c r="Q980" s="14">
        <f>CHOOSE(CONTROL!$C$42, 114.4474, 114.4474) * CHOOSE(CONTROL!$C$21, $C$9, 100%, $E$9)</f>
        <v>114.4474</v>
      </c>
      <c r="R980" s="14">
        <f>CHOOSE(CONTROL!$C$42, 115.3206, 115.3206) * CHOOSE(CONTROL!$C$21, $C$9, 100%, $E$9)</f>
        <v>115.3206</v>
      </c>
      <c r="S980" s="14">
        <f>CHOOSE(CONTROL!$C$42, 111.4324, 111.4324) * CHOOSE(CONTROL!$C$21, $C$9, 100%, $E$9)</f>
        <v>111.4324</v>
      </c>
      <c r="T9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80" s="57">
        <f>(1000*CHOOSE(CONTROL!$C$42, 695, 695)*CHOOSE(CONTROL!$C$42, 0.5599, 0.5599)*CHOOSE(CONTROL!$C$42, 31, 31))/1000000</f>
        <v>12.063045499999998</v>
      </c>
      <c r="V980" s="57">
        <f>(1000*CHOOSE(CONTROL!$C$42, 500, 500)*CHOOSE(CONTROL!$C$42, 0.275, 0.275)*CHOOSE(CONTROL!$C$42, 31, 31))/1000000</f>
        <v>4.2625000000000002</v>
      </c>
      <c r="W980" s="57">
        <f>(1000*CHOOSE(CONTROL!$C$42, 0.1146, 0.1146)*CHOOSE(CONTROL!$C$42, 121.5, 121.5)*CHOOSE(CONTROL!$C$42, 31, 31))/1000000</f>
        <v>0.43164089999999994</v>
      </c>
      <c r="X980" s="57">
        <f>(31*0.1790888*245000/1000000)+(31*0.2374*100000/1000000)</f>
        <v>2.0961194359999999</v>
      </c>
      <c r="Y980" s="57"/>
      <c r="Z980" s="14"/>
      <c r="AA980" s="56"/>
      <c r="AB980" s="50">
        <f>(B980*194.205+C980*267.466+D980*133.845+E980*53.484+F980*40+G980*185+H980*0+I980*100+J980*300)/(194.205+267.466+133.845+53.484+0+40+185+100+300)</f>
        <v>116.05720441915226</v>
      </c>
      <c r="AC980" s="45">
        <f>(M980*'RAP TEMPLATE-GAS AVAILABILITY'!O979+N980*'RAP TEMPLATE-GAS AVAILABILITY'!P979+O980*'RAP TEMPLATE-GAS AVAILABILITY'!Q979+P980*'RAP TEMPLATE-GAS AVAILABILITY'!R979)/('RAP TEMPLATE-GAS AVAILABILITY'!O979+'RAP TEMPLATE-GAS AVAILABILITY'!P979+'RAP TEMPLATE-GAS AVAILABILITY'!Q979+'RAP TEMPLATE-GAS AVAILABILITY'!R979)</f>
        <v>113.78263093525179</v>
      </c>
    </row>
    <row r="981" spans="1:29" ht="15.75" x14ac:dyDescent="0.25">
      <c r="A981" s="32">
        <v>70767</v>
      </c>
      <c r="B981" s="14">
        <f>CHOOSE(CONTROL!$C$42, 108.6151, 108.6151) * CHOOSE(CONTROL!$C$21, $C$9, 100%, $E$9)</f>
        <v>108.6151</v>
      </c>
      <c r="C981" s="14">
        <f>CHOOSE(CONTROL!$C$42, 108.6231, 108.6231) * CHOOSE(CONTROL!$C$21, $C$9, 100%, $E$9)</f>
        <v>108.62309999999999</v>
      </c>
      <c r="D981" s="14">
        <f>CHOOSE(CONTROL!$C$42, 108.8437, 108.8437) * CHOOSE(CONTROL!$C$21, $C$9, 100%, $E$9)</f>
        <v>108.8437</v>
      </c>
      <c r="E981" s="14">
        <f>CHOOSE(CONTROL!$C$42, 108.8751, 108.8751) * CHOOSE(CONTROL!$C$21, $C$9, 100%, $E$9)</f>
        <v>108.8751</v>
      </c>
      <c r="F981" s="14">
        <f>CHOOSE(CONTROL!$C$42, 108.6424, 108.6424)*CHOOSE(CONTROL!$C$21, $C$9, 100%, $E$9)</f>
        <v>108.64239999999999</v>
      </c>
      <c r="G981" s="14">
        <f>CHOOSE(CONTROL!$C$42, 108.6598, 108.6598)*CHOOSE(CONTROL!$C$21, $C$9, 100%, $E$9)</f>
        <v>108.6598</v>
      </c>
      <c r="H981" s="14">
        <f>CHOOSE(CONTROL!$C$42, 108.8638, 108.8638) * CHOOSE(CONTROL!$C$21, $C$9, 100%, $E$9)</f>
        <v>108.8638</v>
      </c>
      <c r="I981" s="14">
        <f>CHOOSE(CONTROL!$C$42, 108.9831, 108.9831)* CHOOSE(CONTROL!$C$21, $C$9, 100%, $E$9)</f>
        <v>108.98309999999999</v>
      </c>
      <c r="J981" s="14">
        <f>CHOOSE(CONTROL!$C$42, 108.6354, 108.6354)* CHOOSE(CONTROL!$C$21, $C$9, 100%, $E$9)</f>
        <v>108.6354</v>
      </c>
      <c r="K981" s="53">
        <f>CHOOSE(CONTROL!$C$42, 108.9792, 108.9792) * CHOOSE(CONTROL!$C$21, $C$9, 100%, $E$9)</f>
        <v>108.97920000000001</v>
      </c>
      <c r="L981" s="14">
        <f>CHOOSE(CONTROL!$C$42, 109.4508, 109.4508) * CHOOSE(CONTROL!$C$21, $C$9, 100%, $E$9)</f>
        <v>109.4508</v>
      </c>
      <c r="M981" s="14">
        <f>CHOOSE(CONTROL!$C$42, 106.4172, 106.4172) * CHOOSE(CONTROL!$C$21, $C$9, 100%, $E$9)</f>
        <v>106.41719999999999</v>
      </c>
      <c r="N981" s="14">
        <f>CHOOSE(CONTROL!$C$42, 106.4343, 106.4343) * CHOOSE(CONTROL!$C$21, $C$9, 100%, $E$9)</f>
        <v>106.43429999999999</v>
      </c>
      <c r="O981" s="14">
        <f>CHOOSE(CONTROL!$C$42, 106.6409, 106.6409) * CHOOSE(CONTROL!$C$21, $C$9, 100%, $E$9)</f>
        <v>106.6409</v>
      </c>
      <c r="P981" s="14">
        <f>CHOOSE(CONTROL!$C$42, 106.7511, 106.7511) * CHOOSE(CONTROL!$C$21, $C$9, 100%, $E$9)</f>
        <v>106.75109999999999</v>
      </c>
      <c r="Q981" s="14">
        <f>CHOOSE(CONTROL!$C$42, 107.2356, 107.2356) * CHOOSE(CONTROL!$C$21, $C$9, 100%, $E$9)</f>
        <v>107.23560000000001</v>
      </c>
      <c r="R981" s="14">
        <f>CHOOSE(CONTROL!$C$42, 108.0907, 108.0907) * CHOOSE(CONTROL!$C$21, $C$9, 100%, $E$9)</f>
        <v>108.0907</v>
      </c>
      <c r="S981" s="14">
        <f>CHOOSE(CONTROL!$C$42, 104.3576, 104.3576) * CHOOSE(CONTROL!$C$21, $C$9, 100%, $E$9)</f>
        <v>104.35760000000001</v>
      </c>
      <c r="T9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81" s="57">
        <f>(1000*CHOOSE(CONTROL!$C$42, 695, 695)*CHOOSE(CONTROL!$C$42, 0.5599, 0.5599)*CHOOSE(CONTROL!$C$42, 30, 30))/1000000</f>
        <v>11.673914999999997</v>
      </c>
      <c r="V981" s="57">
        <f>(1000*CHOOSE(CONTROL!$C$42, 500, 500)*CHOOSE(CONTROL!$C$42, 0.275, 0.275)*CHOOSE(CONTROL!$C$42, 30, 30))/1000000</f>
        <v>4.125</v>
      </c>
      <c r="W981" s="57">
        <f>(1000*CHOOSE(CONTROL!$C$42, 0.1146, 0.1146)*CHOOSE(CONTROL!$C$42, 121.5, 121.5)*CHOOSE(CONTROL!$C$42, 30, 30))/1000000</f>
        <v>0.417717</v>
      </c>
      <c r="X981" s="57">
        <f>(30*0.1790888*245000/1000000)+(30*0.2374*100000/1000000)</f>
        <v>2.0285026799999999</v>
      </c>
      <c r="Y981" s="57"/>
      <c r="Z981" s="14"/>
      <c r="AA981" s="56"/>
      <c r="AB981" s="50">
        <f>(B981*194.205+C981*267.466+D981*133.845+E981*53.484+F981*40+G981*185+H981*0+I981*100+J981*300)/(194.205+267.466+133.845+53.484+0+40+185+100+300)</f>
        <v>108.69272483124017</v>
      </c>
      <c r="AC981" s="45">
        <f>(M981*'RAP TEMPLATE-GAS AVAILABILITY'!O980+N981*'RAP TEMPLATE-GAS AVAILABILITY'!P980+O981*'RAP TEMPLATE-GAS AVAILABILITY'!Q980+P981*'RAP TEMPLATE-GAS AVAILABILITY'!R980)/('RAP TEMPLATE-GAS AVAILABILITY'!O980+'RAP TEMPLATE-GAS AVAILABILITY'!P980+'RAP TEMPLATE-GAS AVAILABILITY'!Q980+'RAP TEMPLATE-GAS AVAILABILITY'!R980)</f>
        <v>106.56761654676258</v>
      </c>
    </row>
    <row r="982" spans="1:29" ht="15.75" x14ac:dyDescent="0.25">
      <c r="A982" s="32">
        <v>70798</v>
      </c>
      <c r="B982" s="14">
        <f>CHOOSE(CONTROL!$C$42, 106.4082, 106.4082) * CHOOSE(CONTROL!$C$21, $C$9, 100%, $E$9)</f>
        <v>106.40819999999999</v>
      </c>
      <c r="C982" s="14">
        <f>CHOOSE(CONTROL!$C$42, 106.4135, 106.4135) * CHOOSE(CONTROL!$C$21, $C$9, 100%, $E$9)</f>
        <v>106.4135</v>
      </c>
      <c r="D982" s="14">
        <f>CHOOSE(CONTROL!$C$42, 106.6391, 106.6391) * CHOOSE(CONTROL!$C$21, $C$9, 100%, $E$9)</f>
        <v>106.6391</v>
      </c>
      <c r="E982" s="14">
        <f>CHOOSE(CONTROL!$C$42, 106.6682, 106.6682) * CHOOSE(CONTROL!$C$21, $C$9, 100%, $E$9)</f>
        <v>106.6682</v>
      </c>
      <c r="F982" s="14">
        <f>CHOOSE(CONTROL!$C$42, 106.4376, 106.4376)*CHOOSE(CONTROL!$C$21, $C$9, 100%, $E$9)</f>
        <v>106.4376</v>
      </c>
      <c r="G982" s="14">
        <f>CHOOSE(CONTROL!$C$42, 106.4548, 106.4548)*CHOOSE(CONTROL!$C$21, $C$9, 100%, $E$9)</f>
        <v>106.45480000000001</v>
      </c>
      <c r="H982" s="14">
        <f>CHOOSE(CONTROL!$C$42, 106.6587, 106.6587) * CHOOSE(CONTROL!$C$21, $C$9, 100%, $E$9)</f>
        <v>106.6587</v>
      </c>
      <c r="I982" s="14">
        <f>CHOOSE(CONTROL!$C$42, 106.7711, 106.7711)* CHOOSE(CONTROL!$C$21, $C$9, 100%, $E$9)</f>
        <v>106.7711</v>
      </c>
      <c r="J982" s="14">
        <f>CHOOSE(CONTROL!$C$42, 106.4306, 106.4306)* CHOOSE(CONTROL!$C$21, $C$9, 100%, $E$9)</f>
        <v>106.4306</v>
      </c>
      <c r="K982" s="53">
        <f>CHOOSE(CONTROL!$C$42, 106.7672, 106.7672) * CHOOSE(CONTROL!$C$21, $C$9, 100%, $E$9)</f>
        <v>106.7672</v>
      </c>
      <c r="L982" s="14">
        <f>CHOOSE(CONTROL!$C$42, 107.2457, 107.2457) * CHOOSE(CONTROL!$C$21, $C$9, 100%, $E$9)</f>
        <v>107.2457</v>
      </c>
      <c r="M982" s="14">
        <f>CHOOSE(CONTROL!$C$42, 104.2576, 104.2576) * CHOOSE(CONTROL!$C$21, $C$9, 100%, $E$9)</f>
        <v>104.2576</v>
      </c>
      <c r="N982" s="14">
        <f>CHOOSE(CONTROL!$C$42, 104.2745, 104.2745) * CHOOSE(CONTROL!$C$21, $C$9, 100%, $E$9)</f>
        <v>104.2745</v>
      </c>
      <c r="O982" s="14">
        <f>CHOOSE(CONTROL!$C$42, 104.481, 104.481) * CHOOSE(CONTROL!$C$21, $C$9, 100%, $E$9)</f>
        <v>104.48099999999999</v>
      </c>
      <c r="P982" s="14">
        <f>CHOOSE(CONTROL!$C$42, 104.5845, 104.5845) * CHOOSE(CONTROL!$C$21, $C$9, 100%, $E$9)</f>
        <v>104.58450000000001</v>
      </c>
      <c r="Q982" s="14">
        <f>CHOOSE(CONTROL!$C$42, 105.0757, 105.0757) * CHOOSE(CONTROL!$C$21, $C$9, 100%, $E$9)</f>
        <v>105.0757</v>
      </c>
      <c r="R982" s="14">
        <f>CHOOSE(CONTROL!$C$42, 105.9254, 105.9254) * CHOOSE(CONTROL!$C$21, $C$9, 100%, $E$9)</f>
        <v>105.9254</v>
      </c>
      <c r="S982" s="14">
        <f>CHOOSE(CONTROL!$C$42, 102.2387, 102.2387) * CHOOSE(CONTROL!$C$21, $C$9, 100%, $E$9)</f>
        <v>102.23869999999999</v>
      </c>
      <c r="T9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82" s="57">
        <f>(1000*CHOOSE(CONTROL!$C$42, 695, 695)*CHOOSE(CONTROL!$C$42, 0.5599, 0.5599)*CHOOSE(CONTROL!$C$42, 31, 31))/1000000</f>
        <v>12.063045499999998</v>
      </c>
      <c r="V982" s="57">
        <f>(1000*CHOOSE(CONTROL!$C$42, 500, 500)*CHOOSE(CONTROL!$C$42, 0.275, 0.275)*CHOOSE(CONTROL!$C$42, 31, 31))/1000000</f>
        <v>4.2625000000000002</v>
      </c>
      <c r="W982" s="57">
        <f>(1000*CHOOSE(CONTROL!$C$42, 0.1146, 0.1146)*CHOOSE(CONTROL!$C$42, 121.5, 121.5)*CHOOSE(CONTROL!$C$42, 31, 31))/1000000</f>
        <v>0.43164089999999994</v>
      </c>
      <c r="X982" s="57">
        <f>(31*0.1790888*245000/1000000)+(31*0.2374*100000/1000000)</f>
        <v>2.0961194359999999</v>
      </c>
      <c r="Y982" s="57"/>
      <c r="Z982" s="14"/>
      <c r="AA982" s="56"/>
      <c r="AB982" s="50">
        <f>(B982*131.881+C982*277.167+D982*79.08+E982*125.872+F982*40+G982*185+H982*0+I982*100+J982*300)/(131.881+277.167+79.08+125.872+0+40+185+100+300)</f>
        <v>106.49315744721549</v>
      </c>
      <c r="AC982" s="45">
        <f>(M982*'RAP TEMPLATE-GAS AVAILABILITY'!O981+N982*'RAP TEMPLATE-GAS AVAILABILITY'!P981+O982*'RAP TEMPLATE-GAS AVAILABILITY'!Q981+P982*'RAP TEMPLATE-GAS AVAILABILITY'!R981)/('RAP TEMPLATE-GAS AVAILABILITY'!O981+'RAP TEMPLATE-GAS AVAILABILITY'!P981+'RAP TEMPLATE-GAS AVAILABILITY'!Q981+'RAP TEMPLATE-GAS AVAILABILITY'!R981)</f>
        <v>104.4068618705036</v>
      </c>
    </row>
    <row r="983" spans="1:29" ht="15.75" x14ac:dyDescent="0.25">
      <c r="A983" s="32">
        <v>70828</v>
      </c>
      <c r="B983" s="14">
        <f>CHOOSE(CONTROL!$C$42, 109.2109, 109.2109) * CHOOSE(CONTROL!$C$21, $C$9, 100%, $E$9)</f>
        <v>109.2109</v>
      </c>
      <c r="C983" s="14">
        <f>CHOOSE(CONTROL!$C$42, 109.2159, 109.2159) * CHOOSE(CONTROL!$C$21, $C$9, 100%, $E$9)</f>
        <v>109.2159</v>
      </c>
      <c r="D983" s="14">
        <f>CHOOSE(CONTROL!$C$42, 109.2901, 109.2901) * CHOOSE(CONTROL!$C$21, $C$9, 100%, $E$9)</f>
        <v>109.2901</v>
      </c>
      <c r="E983" s="14">
        <f>CHOOSE(CONTROL!$C$42, 109.3242, 109.3242) * CHOOSE(CONTROL!$C$21, $C$9, 100%, $E$9)</f>
        <v>109.3242</v>
      </c>
      <c r="F983" s="14">
        <f>CHOOSE(CONTROL!$C$42, 109.2469, 109.2469)*CHOOSE(CONTROL!$C$21, $C$9, 100%, $E$9)</f>
        <v>109.2469</v>
      </c>
      <c r="G983" s="14">
        <f>CHOOSE(CONTROL!$C$42, 109.2644, 109.2644)*CHOOSE(CONTROL!$C$21, $C$9, 100%, $E$9)</f>
        <v>109.26439999999999</v>
      </c>
      <c r="H983" s="14">
        <f>CHOOSE(CONTROL!$C$42, 109.3134, 109.3134) * CHOOSE(CONTROL!$C$21, $C$9, 100%, $E$9)</f>
        <v>109.3134</v>
      </c>
      <c r="I983" s="14">
        <f>CHOOSE(CONTROL!$C$42, 109.5803, 109.5803)* CHOOSE(CONTROL!$C$21, $C$9, 100%, $E$9)</f>
        <v>109.58029999999999</v>
      </c>
      <c r="J983" s="14">
        <f>CHOOSE(CONTROL!$C$42, 109.2399, 109.2399)* CHOOSE(CONTROL!$C$21, $C$9, 100%, $E$9)</f>
        <v>109.23990000000001</v>
      </c>
      <c r="K983" s="53">
        <f>CHOOSE(CONTROL!$C$42, 109.5765, 109.5765) * CHOOSE(CONTROL!$C$21, $C$9, 100%, $E$9)</f>
        <v>109.5765</v>
      </c>
      <c r="L983" s="14">
        <f>CHOOSE(CONTROL!$C$42, 109.9004, 109.9004) * CHOOSE(CONTROL!$C$21, $C$9, 100%, $E$9)</f>
        <v>109.9004</v>
      </c>
      <c r="M983" s="14">
        <f>CHOOSE(CONTROL!$C$42, 107.0093, 107.0093) * CHOOSE(CONTROL!$C$21, $C$9, 100%, $E$9)</f>
        <v>107.0093</v>
      </c>
      <c r="N983" s="14">
        <f>CHOOSE(CONTROL!$C$42, 107.0265, 107.0265) * CHOOSE(CONTROL!$C$21, $C$9, 100%, $E$9)</f>
        <v>107.0265</v>
      </c>
      <c r="O983" s="14">
        <f>CHOOSE(CONTROL!$C$42, 107.0814, 107.0814) * CHOOSE(CONTROL!$C$21, $C$9, 100%, $E$9)</f>
        <v>107.0814</v>
      </c>
      <c r="P983" s="14">
        <f>CHOOSE(CONTROL!$C$42, 107.336, 107.336) * CHOOSE(CONTROL!$C$21, $C$9, 100%, $E$9)</f>
        <v>107.336</v>
      </c>
      <c r="Q983" s="14">
        <f>CHOOSE(CONTROL!$C$42, 107.6761, 107.6761) * CHOOSE(CONTROL!$C$21, $C$9, 100%, $E$9)</f>
        <v>107.67610000000001</v>
      </c>
      <c r="R983" s="14">
        <f>CHOOSE(CONTROL!$C$42, 108.5323, 108.5323) * CHOOSE(CONTROL!$C$21, $C$9, 100%, $E$9)</f>
        <v>108.53230000000001</v>
      </c>
      <c r="S983" s="14">
        <f>CHOOSE(CONTROL!$C$42, 104.9322, 104.9322) * CHOOSE(CONTROL!$C$21, $C$9, 100%, $E$9)</f>
        <v>104.93219999999999</v>
      </c>
      <c r="T9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83" s="57">
        <f>(1000*CHOOSE(CONTROL!$C$42, 695, 695)*CHOOSE(CONTROL!$C$42, 0.5599, 0.5599)*CHOOSE(CONTROL!$C$42, 30, 30))/1000000</f>
        <v>11.673914999999997</v>
      </c>
      <c r="V983" s="57">
        <f>(1000*CHOOSE(CONTROL!$C$42, 500, 500)*CHOOSE(CONTROL!$C$42, 0.275, 0.275)*CHOOSE(CONTROL!$C$42, 30, 30))/1000000</f>
        <v>4.125</v>
      </c>
      <c r="W983" s="57">
        <f>(1000*CHOOSE(CONTROL!$C$42, 0.1146, 0.1146)*CHOOSE(CONTROL!$C$42, 121.5, 121.5)*CHOOSE(CONTROL!$C$42, 30, 30))/1000000</f>
        <v>0.417717</v>
      </c>
      <c r="X983" s="57">
        <f>(30*0.1790888*100000/1000000)+(30*0.2374*100000/1000000)</f>
        <v>1.2494664</v>
      </c>
      <c r="Y983" s="57"/>
      <c r="Z983" s="14"/>
      <c r="AA983" s="56"/>
      <c r="AB983" s="50">
        <f>(B983*122.58+C983*297.941+D983*89.177+E983*40.302+F983*40+G983*160+H983*0+I983*100+J983*300)/(122.58+297.941+89.177+40.302+0+40+160+100+300)</f>
        <v>109.27069020869565</v>
      </c>
      <c r="AC983" s="45">
        <f>(M983*'RAP TEMPLATE-GAS AVAILABILITY'!O982+N983*'RAP TEMPLATE-GAS AVAILABILITY'!P982+O983*'RAP TEMPLATE-GAS AVAILABILITY'!Q982+P983*'RAP TEMPLATE-GAS AVAILABILITY'!R982)/('RAP TEMPLATE-GAS AVAILABILITY'!O982+'RAP TEMPLATE-GAS AVAILABILITY'!P982+'RAP TEMPLATE-GAS AVAILABILITY'!Q982+'RAP TEMPLATE-GAS AVAILABILITY'!R982)</f>
        <v>107.08997553956836</v>
      </c>
    </row>
    <row r="984" spans="1:29" ht="15.75" x14ac:dyDescent="0.25">
      <c r="A984" s="32">
        <v>70859</v>
      </c>
      <c r="B984" s="14">
        <f>CHOOSE(CONTROL!$C$42, 116.6561, 116.6561) * CHOOSE(CONTROL!$C$21, $C$9, 100%, $E$9)</f>
        <v>116.6561</v>
      </c>
      <c r="C984" s="14">
        <f>CHOOSE(CONTROL!$C$42, 116.6612, 116.6612) * CHOOSE(CONTROL!$C$21, $C$9, 100%, $E$9)</f>
        <v>116.66119999999999</v>
      </c>
      <c r="D984" s="14">
        <f>CHOOSE(CONTROL!$C$42, 116.7354, 116.7354) * CHOOSE(CONTROL!$C$21, $C$9, 100%, $E$9)</f>
        <v>116.7354</v>
      </c>
      <c r="E984" s="14">
        <f>CHOOSE(CONTROL!$C$42, 116.7695, 116.7695) * CHOOSE(CONTROL!$C$21, $C$9, 100%, $E$9)</f>
        <v>116.76949999999999</v>
      </c>
      <c r="F984" s="14">
        <f>CHOOSE(CONTROL!$C$42, 116.6946, 116.6946)*CHOOSE(CONTROL!$C$21, $C$9, 100%, $E$9)</f>
        <v>116.69459999999999</v>
      </c>
      <c r="G984" s="14">
        <f>CHOOSE(CONTROL!$C$42, 116.7127, 116.7127)*CHOOSE(CONTROL!$C$21, $C$9, 100%, $E$9)</f>
        <v>116.7127</v>
      </c>
      <c r="H984" s="14">
        <f>CHOOSE(CONTROL!$C$42, 116.7587, 116.7587) * CHOOSE(CONTROL!$C$21, $C$9, 100%, $E$9)</f>
        <v>116.7587</v>
      </c>
      <c r="I984" s="14">
        <f>CHOOSE(CONTROL!$C$42, 117.049, 117.049)* CHOOSE(CONTROL!$C$21, $C$9, 100%, $E$9)</f>
        <v>117.04900000000001</v>
      </c>
      <c r="J984" s="14">
        <f>CHOOSE(CONTROL!$C$42, 116.6876, 116.6876)* CHOOSE(CONTROL!$C$21, $C$9, 100%, $E$9)</f>
        <v>116.6876</v>
      </c>
      <c r="K984" s="53">
        <f>CHOOSE(CONTROL!$C$42, 117.0451, 117.0451) * CHOOSE(CONTROL!$C$21, $C$9, 100%, $E$9)</f>
        <v>117.04510000000001</v>
      </c>
      <c r="L984" s="14">
        <f>CHOOSE(CONTROL!$C$42, 117.3457, 117.3457) * CHOOSE(CONTROL!$C$21, $C$9, 100%, $E$9)</f>
        <v>117.34569999999999</v>
      </c>
      <c r="M984" s="14">
        <f>CHOOSE(CONTROL!$C$42, 114.3044, 114.3044) * CHOOSE(CONTROL!$C$21, $C$9, 100%, $E$9)</f>
        <v>114.3044</v>
      </c>
      <c r="N984" s="14">
        <f>CHOOSE(CONTROL!$C$42, 114.3222, 114.3222) * CHOOSE(CONTROL!$C$21, $C$9, 100%, $E$9)</f>
        <v>114.3222</v>
      </c>
      <c r="O984" s="14">
        <f>CHOOSE(CONTROL!$C$42, 114.3741, 114.3741) * CHOOSE(CONTROL!$C$21, $C$9, 100%, $E$9)</f>
        <v>114.3741</v>
      </c>
      <c r="P984" s="14">
        <f>CHOOSE(CONTROL!$C$42, 114.6511, 114.6511) * CHOOSE(CONTROL!$C$21, $C$9, 100%, $E$9)</f>
        <v>114.6511</v>
      </c>
      <c r="Q984" s="14">
        <f>CHOOSE(CONTROL!$C$42, 114.9688, 114.9688) * CHOOSE(CONTROL!$C$21, $C$9, 100%, $E$9)</f>
        <v>114.9688</v>
      </c>
      <c r="R984" s="14">
        <f>CHOOSE(CONTROL!$C$42, 115.8432, 115.8432) * CHOOSE(CONTROL!$C$21, $C$9, 100%, $E$9)</f>
        <v>115.8432</v>
      </c>
      <c r="S984" s="14">
        <f>CHOOSE(CONTROL!$C$42, 112.0864, 112.0864) * CHOOSE(CONTROL!$C$21, $C$9, 100%, $E$9)</f>
        <v>112.0864</v>
      </c>
      <c r="T9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84" s="57">
        <f>(1000*CHOOSE(CONTROL!$C$42, 695, 695)*CHOOSE(CONTROL!$C$42, 0.5599, 0.5599)*CHOOSE(CONTROL!$C$42, 31, 31))/1000000</f>
        <v>12.063045499999998</v>
      </c>
      <c r="V984" s="57">
        <f>(1000*CHOOSE(CONTROL!$C$42, 500, 500)*CHOOSE(CONTROL!$C$42, 0.275, 0.275)*CHOOSE(CONTROL!$C$42, 31, 31))/1000000</f>
        <v>4.2625000000000002</v>
      </c>
      <c r="W984" s="57">
        <f>(1000*CHOOSE(CONTROL!$C$42, 0.1146, 0.1146)*CHOOSE(CONTROL!$C$42, 121.5, 121.5)*CHOOSE(CONTROL!$C$42, 31, 31))/1000000</f>
        <v>0.43164089999999994</v>
      </c>
      <c r="X984" s="57">
        <f>(31*0.1790888*100000/1000000)+(31*0.2374*100000/1000000)</f>
        <v>1.2911152800000001</v>
      </c>
      <c r="Y984" s="57"/>
      <c r="Z984" s="14"/>
      <c r="AA984" s="56"/>
      <c r="AB984" s="50">
        <f>(B984*122.58+C984*297.941+D984*89.177+E984*40.302+F984*40+G984*160+H984*0+I984*100+J984*300)/(122.58+297.941+89.177+40.302+0+40+160+100+300)</f>
        <v>116.71914128869564</v>
      </c>
      <c r="AC984" s="45">
        <f>(M984*'RAP TEMPLATE-GAS AVAILABILITY'!O983+N984*'RAP TEMPLATE-GAS AVAILABILITY'!P983+O984*'RAP TEMPLATE-GAS AVAILABILITY'!Q983+P984*'RAP TEMPLATE-GAS AVAILABILITY'!R983)/('RAP TEMPLATE-GAS AVAILABILITY'!O983+'RAP TEMPLATE-GAS AVAILABILITY'!P983+'RAP TEMPLATE-GAS AVAILABILITY'!Q983+'RAP TEMPLATE-GAS AVAILABILITY'!R983)</f>
        <v>114.3869</v>
      </c>
    </row>
    <row r="985" spans="1:29" ht="15.75" x14ac:dyDescent="0.25">
      <c r="A985" s="32">
        <v>70890</v>
      </c>
      <c r="B985" s="14">
        <f>CHOOSE(CONTROL!$C$42, 126.3262, 126.3262) * CHOOSE(CONTROL!$C$21, $C$9, 100%, $E$9)</f>
        <v>126.3262</v>
      </c>
      <c r="C985" s="14">
        <f>CHOOSE(CONTROL!$C$42, 126.3313, 126.3313) * CHOOSE(CONTROL!$C$21, $C$9, 100%, $E$9)</f>
        <v>126.3313</v>
      </c>
      <c r="D985" s="14">
        <f>CHOOSE(CONTROL!$C$42, 126.4081, 126.4081) * CHOOSE(CONTROL!$C$21, $C$9, 100%, $E$9)</f>
        <v>126.4081</v>
      </c>
      <c r="E985" s="14">
        <f>CHOOSE(CONTROL!$C$42, 126.4422, 126.4422) * CHOOSE(CONTROL!$C$21, $C$9, 100%, $E$9)</f>
        <v>126.4422</v>
      </c>
      <c r="F985" s="14">
        <f>CHOOSE(CONTROL!$C$42, 126.351, 126.351)*CHOOSE(CONTROL!$C$21, $C$9, 100%, $E$9)</f>
        <v>126.351</v>
      </c>
      <c r="G985" s="14">
        <f>CHOOSE(CONTROL!$C$42, 126.369, 126.369)*CHOOSE(CONTROL!$C$21, $C$9, 100%, $E$9)</f>
        <v>126.369</v>
      </c>
      <c r="H985" s="14">
        <f>CHOOSE(CONTROL!$C$42, 126.4314, 126.4314) * CHOOSE(CONTROL!$C$21, $C$9, 100%, $E$9)</f>
        <v>126.4314</v>
      </c>
      <c r="I985" s="14">
        <f>CHOOSE(CONTROL!$C$42, 126.7556, 126.7556)* CHOOSE(CONTROL!$C$21, $C$9, 100%, $E$9)</f>
        <v>126.7556</v>
      </c>
      <c r="J985" s="14">
        <f>CHOOSE(CONTROL!$C$42, 126.344, 126.344)* CHOOSE(CONTROL!$C$21, $C$9, 100%, $E$9)</f>
        <v>126.34399999999999</v>
      </c>
      <c r="K985" s="53">
        <f>CHOOSE(CONTROL!$C$42, 126.7517, 126.7517) * CHOOSE(CONTROL!$C$21, $C$9, 100%, $E$9)</f>
        <v>126.7517</v>
      </c>
      <c r="L985" s="14">
        <f>CHOOSE(CONTROL!$C$42, 127.0184, 127.0184) * CHOOSE(CONTROL!$C$21, $C$9, 100%, $E$9)</f>
        <v>127.0184</v>
      </c>
      <c r="M985" s="14">
        <f>CHOOSE(CONTROL!$C$42, 123.763, 123.763) * CHOOSE(CONTROL!$C$21, $C$9, 100%, $E$9)</f>
        <v>123.76300000000001</v>
      </c>
      <c r="N985" s="14">
        <f>CHOOSE(CONTROL!$C$42, 123.7806, 123.7806) * CHOOSE(CONTROL!$C$21, $C$9, 100%, $E$9)</f>
        <v>123.78060000000001</v>
      </c>
      <c r="O985" s="14">
        <f>CHOOSE(CONTROL!$C$42, 123.8486, 123.8486) * CHOOSE(CONTROL!$C$21, $C$9, 100%, $E$9)</f>
        <v>123.8486</v>
      </c>
      <c r="P985" s="14">
        <f>CHOOSE(CONTROL!$C$42, 124.1583, 124.1583) * CHOOSE(CONTROL!$C$21, $C$9, 100%, $E$9)</f>
        <v>124.1583</v>
      </c>
      <c r="Q985" s="14">
        <f>CHOOSE(CONTROL!$C$42, 124.4433, 124.4433) * CHOOSE(CONTROL!$C$21, $C$9, 100%, $E$9)</f>
        <v>124.44329999999999</v>
      </c>
      <c r="R985" s="14">
        <f>CHOOSE(CONTROL!$C$42, 125.3414, 125.3414) * CHOOSE(CONTROL!$C$21, $C$9, 100%, $E$9)</f>
        <v>125.34139999999999</v>
      </c>
      <c r="S985" s="14">
        <f>CHOOSE(CONTROL!$C$42, 121.3783, 121.3783) * CHOOSE(CONTROL!$C$21, $C$9, 100%, $E$9)</f>
        <v>121.3783</v>
      </c>
      <c r="T9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85" s="57">
        <f>(1000*CHOOSE(CONTROL!$C$42, 695, 695)*CHOOSE(CONTROL!$C$42, 0.5599, 0.5599)*CHOOSE(CONTROL!$C$42, 31, 31))/1000000</f>
        <v>12.063045499999998</v>
      </c>
      <c r="V985" s="57">
        <f>(1000*CHOOSE(CONTROL!$C$42, 500, 500)*CHOOSE(CONTROL!$C$42, 0.275, 0.275)*CHOOSE(CONTROL!$C$42, 31, 31))/1000000</f>
        <v>4.2625000000000002</v>
      </c>
      <c r="W985" s="57">
        <f>(1000*CHOOSE(CONTROL!$C$42, 0.1146, 0.1146)*CHOOSE(CONTROL!$C$42, 121.5, 121.5)*CHOOSE(CONTROL!$C$42, 31, 31))/1000000</f>
        <v>0.43164089999999994</v>
      </c>
      <c r="X985" s="57">
        <f>(31*0.1790888*100000/1000000)+(31*0.2374*100000/1000000)</f>
        <v>1.2911152800000001</v>
      </c>
      <c r="Y985" s="57"/>
      <c r="Z985" s="14"/>
      <c r="AA985" s="56"/>
      <c r="AB985" s="50">
        <f>(B985*122.58+C985*297.941+D985*89.177+E985*40.302+F985*40+G985*160+H985*0+I985*100+J985*300)/(122.58+297.941+89.177+40.302+0+40+160+100+300)</f>
        <v>126.38673750208696</v>
      </c>
      <c r="AC985" s="45">
        <f>(M985*'RAP TEMPLATE-GAS AVAILABILITY'!O984+N985*'RAP TEMPLATE-GAS AVAILABILITY'!P984+O985*'RAP TEMPLATE-GAS AVAILABILITY'!Q984+P985*'RAP TEMPLATE-GAS AVAILABILITY'!R984)/('RAP TEMPLATE-GAS AVAILABILITY'!O984+'RAP TEMPLATE-GAS AVAILABILITY'!P984+'RAP TEMPLATE-GAS AVAILABILITY'!Q984+'RAP TEMPLATE-GAS AVAILABILITY'!R984)</f>
        <v>123.85968776978419</v>
      </c>
    </row>
    <row r="986" spans="1:29" ht="15.75" x14ac:dyDescent="0.25">
      <c r="A986" s="32">
        <v>70918</v>
      </c>
      <c r="B986" s="14">
        <f>CHOOSE(CONTROL!$C$42, 128.5749, 128.5749) * CHOOSE(CONTROL!$C$21, $C$9, 100%, $E$9)</f>
        <v>128.57490000000001</v>
      </c>
      <c r="C986" s="14">
        <f>CHOOSE(CONTROL!$C$42, 128.5799, 128.5799) * CHOOSE(CONTROL!$C$21, $C$9, 100%, $E$9)</f>
        <v>128.57990000000001</v>
      </c>
      <c r="D986" s="14">
        <f>CHOOSE(CONTROL!$C$42, 128.6567, 128.6567) * CHOOSE(CONTROL!$C$21, $C$9, 100%, $E$9)</f>
        <v>128.6567</v>
      </c>
      <c r="E986" s="14">
        <f>CHOOSE(CONTROL!$C$42, 128.6909, 128.6909) * CHOOSE(CONTROL!$C$21, $C$9, 100%, $E$9)</f>
        <v>128.6909</v>
      </c>
      <c r="F986" s="14">
        <f>CHOOSE(CONTROL!$C$42, 128.5992, 128.5992)*CHOOSE(CONTROL!$C$21, $C$9, 100%, $E$9)</f>
        <v>128.5992</v>
      </c>
      <c r="G986" s="14">
        <f>CHOOSE(CONTROL!$C$42, 128.6171, 128.6171)*CHOOSE(CONTROL!$C$21, $C$9, 100%, $E$9)</f>
        <v>128.61709999999999</v>
      </c>
      <c r="H986" s="14">
        <f>CHOOSE(CONTROL!$C$42, 128.6801, 128.6801) * CHOOSE(CONTROL!$C$21, $C$9, 100%, $E$9)</f>
        <v>128.68010000000001</v>
      </c>
      <c r="I986" s="14">
        <f>CHOOSE(CONTROL!$C$42, 129.0113, 129.0113)* CHOOSE(CONTROL!$C$21, $C$9, 100%, $E$9)</f>
        <v>129.01130000000001</v>
      </c>
      <c r="J986" s="14">
        <f>CHOOSE(CONTROL!$C$42, 128.5922, 128.5922)* CHOOSE(CONTROL!$C$21, $C$9, 100%, $E$9)</f>
        <v>128.59219999999999</v>
      </c>
      <c r="K986" s="53">
        <f>CHOOSE(CONTROL!$C$42, 129.0074, 129.0074) * CHOOSE(CONTROL!$C$21, $C$9, 100%, $E$9)</f>
        <v>129.00739999999999</v>
      </c>
      <c r="L986" s="14">
        <f>CHOOSE(CONTROL!$C$42, 129.2671, 129.2671) * CHOOSE(CONTROL!$C$21, $C$9, 100%, $E$9)</f>
        <v>129.2671</v>
      </c>
      <c r="M986" s="14">
        <f>CHOOSE(CONTROL!$C$42, 125.9651, 125.9651) * CHOOSE(CONTROL!$C$21, $C$9, 100%, $E$9)</f>
        <v>125.96510000000001</v>
      </c>
      <c r="N986" s="14">
        <f>CHOOSE(CONTROL!$C$42, 125.9826, 125.9826) * CHOOSE(CONTROL!$C$21, $C$9, 100%, $E$9)</f>
        <v>125.98260000000001</v>
      </c>
      <c r="O986" s="14">
        <f>CHOOSE(CONTROL!$C$42, 126.0512, 126.0512) * CHOOSE(CONTROL!$C$21, $C$9, 100%, $E$9)</f>
        <v>126.05119999999999</v>
      </c>
      <c r="P986" s="14">
        <f>CHOOSE(CONTROL!$C$42, 126.3676, 126.3676) * CHOOSE(CONTROL!$C$21, $C$9, 100%, $E$9)</f>
        <v>126.3676</v>
      </c>
      <c r="Q986" s="14">
        <f>CHOOSE(CONTROL!$C$42, 126.6459, 126.6459) * CHOOSE(CONTROL!$C$21, $C$9, 100%, $E$9)</f>
        <v>126.6459</v>
      </c>
      <c r="R986" s="14">
        <f>CHOOSE(CONTROL!$C$42, 127.5495, 127.5495) * CHOOSE(CONTROL!$C$21, $C$9, 100%, $E$9)</f>
        <v>127.54949999999999</v>
      </c>
      <c r="S986" s="14">
        <f>CHOOSE(CONTROL!$C$42, 123.539, 123.539) * CHOOSE(CONTROL!$C$21, $C$9, 100%, $E$9)</f>
        <v>123.539</v>
      </c>
      <c r="T98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86" s="57">
        <f>(1000*CHOOSE(CONTROL!$C$42, 695, 695)*CHOOSE(CONTROL!$C$42, 0.5599, 0.5599)*CHOOSE(CONTROL!$C$42, 28, 28))/1000000</f>
        <v>10.895653999999999</v>
      </c>
      <c r="V986" s="57">
        <f>(1000*CHOOSE(CONTROL!$C$42, 500, 500)*CHOOSE(CONTROL!$C$42, 0.275, 0.275)*CHOOSE(CONTROL!$C$42, 28, 28))/1000000</f>
        <v>3.85</v>
      </c>
      <c r="W986" s="57">
        <f>(1000*CHOOSE(CONTROL!$C$42, 0.1146, 0.1146)*CHOOSE(CONTROL!$C$42, 121.5, 121.5)*CHOOSE(CONTROL!$C$42, 28, 28))/1000000</f>
        <v>0.38986920000000003</v>
      </c>
      <c r="X986" s="57">
        <f>(28*0.1790888*100000/1000000)+(28*0.2374*100000/1000000)</f>
        <v>1.16616864</v>
      </c>
      <c r="Y986" s="57"/>
      <c r="Z986" s="14"/>
      <c r="AA986" s="56"/>
      <c r="AB986" s="50">
        <f>(B986*122.58+C986*297.941+D986*89.177+E986*40.302+F986*40+G986*160+H986*0+I986*100+J986*300)/(122.58+297.941+89.177+40.302+0+40+160+100+300)</f>
        <v>128.63578123095652</v>
      </c>
      <c r="AC986" s="45">
        <f>(M986*'RAP TEMPLATE-GAS AVAILABILITY'!O985+N986*'RAP TEMPLATE-GAS AVAILABILITY'!P985+O986*'RAP TEMPLATE-GAS AVAILABILITY'!Q985+P986*'RAP TEMPLATE-GAS AVAILABILITY'!R985)/('RAP TEMPLATE-GAS AVAILABILITY'!O985+'RAP TEMPLATE-GAS AVAILABILITY'!P985+'RAP TEMPLATE-GAS AVAILABILITY'!Q985+'RAP TEMPLATE-GAS AVAILABILITY'!R985)</f>
        <v>126.06304460431653</v>
      </c>
    </row>
    <row r="987" spans="1:29" ht="15.75" x14ac:dyDescent="0.25">
      <c r="A987" s="32">
        <v>70949</v>
      </c>
      <c r="B987" s="14">
        <f>CHOOSE(CONTROL!$C$42, 124.9248, 124.9248) * CHOOSE(CONTROL!$C$21, $C$9, 100%, $E$9)</f>
        <v>124.9248</v>
      </c>
      <c r="C987" s="14">
        <f>CHOOSE(CONTROL!$C$42, 124.9299, 124.9299) * CHOOSE(CONTROL!$C$21, $C$9, 100%, $E$9)</f>
        <v>124.9299</v>
      </c>
      <c r="D987" s="14">
        <f>CHOOSE(CONTROL!$C$42, 125.0067, 125.0067) * CHOOSE(CONTROL!$C$21, $C$9, 100%, $E$9)</f>
        <v>125.0067</v>
      </c>
      <c r="E987" s="14">
        <f>CHOOSE(CONTROL!$C$42, 125.0408, 125.0408) * CHOOSE(CONTROL!$C$21, $C$9, 100%, $E$9)</f>
        <v>125.0408</v>
      </c>
      <c r="F987" s="14">
        <f>CHOOSE(CONTROL!$C$42, 124.9483, 124.9483)*CHOOSE(CONTROL!$C$21, $C$9, 100%, $E$9)</f>
        <v>124.9483</v>
      </c>
      <c r="G987" s="14">
        <f>CHOOSE(CONTROL!$C$42, 124.9659, 124.9659)*CHOOSE(CONTROL!$C$21, $C$9, 100%, $E$9)</f>
        <v>124.9659</v>
      </c>
      <c r="H987" s="14">
        <f>CHOOSE(CONTROL!$C$42, 125.03, 125.03) * CHOOSE(CONTROL!$C$21, $C$9, 100%, $E$9)</f>
        <v>125.03</v>
      </c>
      <c r="I987" s="14">
        <f>CHOOSE(CONTROL!$C$42, 125.3498, 125.3498)* CHOOSE(CONTROL!$C$21, $C$9, 100%, $E$9)</f>
        <v>125.3498</v>
      </c>
      <c r="J987" s="14">
        <f>CHOOSE(CONTROL!$C$42, 124.9413, 124.9413)* CHOOSE(CONTROL!$C$21, $C$9, 100%, $E$9)</f>
        <v>124.9413</v>
      </c>
      <c r="K987" s="53">
        <f>CHOOSE(CONTROL!$C$42, 125.3459, 125.3459) * CHOOSE(CONTROL!$C$21, $C$9, 100%, $E$9)</f>
        <v>125.3459</v>
      </c>
      <c r="L987" s="14">
        <f>CHOOSE(CONTROL!$C$42, 125.617, 125.617) * CHOOSE(CONTROL!$C$21, $C$9, 100%, $E$9)</f>
        <v>125.617</v>
      </c>
      <c r="M987" s="14">
        <f>CHOOSE(CONTROL!$C$42, 122.389, 122.389) * CHOOSE(CONTROL!$C$21, $C$9, 100%, $E$9)</f>
        <v>122.389</v>
      </c>
      <c r="N987" s="14">
        <f>CHOOSE(CONTROL!$C$42, 122.4063, 122.4063) * CHOOSE(CONTROL!$C$21, $C$9, 100%, $E$9)</f>
        <v>122.4063</v>
      </c>
      <c r="O987" s="14">
        <f>CHOOSE(CONTROL!$C$42, 122.4759, 122.4759) * CHOOSE(CONTROL!$C$21, $C$9, 100%, $E$9)</f>
        <v>122.4759</v>
      </c>
      <c r="P987" s="14">
        <f>CHOOSE(CONTROL!$C$42, 122.7813, 122.7813) * CHOOSE(CONTROL!$C$21, $C$9, 100%, $E$9)</f>
        <v>122.7813</v>
      </c>
      <c r="Q987" s="14">
        <f>CHOOSE(CONTROL!$C$42, 123.0706, 123.0706) * CHOOSE(CONTROL!$C$21, $C$9, 100%, $E$9)</f>
        <v>123.0706</v>
      </c>
      <c r="R987" s="14">
        <f>CHOOSE(CONTROL!$C$42, 123.9653, 123.9653) * CHOOSE(CONTROL!$C$21, $C$9, 100%, $E$9)</f>
        <v>123.9653</v>
      </c>
      <c r="S987" s="14">
        <f>CHOOSE(CONTROL!$C$42, 120.0317, 120.0317) * CHOOSE(CONTROL!$C$21, $C$9, 100%, $E$9)</f>
        <v>120.0317</v>
      </c>
      <c r="T9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87" s="57">
        <f>(1000*CHOOSE(CONTROL!$C$42, 695, 695)*CHOOSE(CONTROL!$C$42, 0.5599, 0.5599)*CHOOSE(CONTROL!$C$42, 31, 31))/1000000</f>
        <v>12.063045499999998</v>
      </c>
      <c r="V987" s="57">
        <f>(1000*CHOOSE(CONTROL!$C$42, 500, 500)*CHOOSE(CONTROL!$C$42, 0.275, 0.275)*CHOOSE(CONTROL!$C$42, 31, 31))/1000000</f>
        <v>4.2625000000000002</v>
      </c>
      <c r="W987" s="57">
        <f>(1000*CHOOSE(CONTROL!$C$42, 0.1146, 0.1146)*CHOOSE(CONTROL!$C$42, 121.5, 121.5)*CHOOSE(CONTROL!$C$42, 31, 31))/1000000</f>
        <v>0.43164089999999994</v>
      </c>
      <c r="X987" s="57">
        <f>(31*0.1790888*100000/1000000)+(31*0.2374*100000/1000000)</f>
        <v>1.2911152800000001</v>
      </c>
      <c r="Y987" s="57"/>
      <c r="Z987" s="14"/>
      <c r="AA987" s="56"/>
      <c r="AB987" s="50">
        <f>(B987*122.58+C987*297.941+D987*89.177+E987*40.302+F987*40+G987*160+H987*0+I987*100+J987*300)/(122.58+297.941+89.177+40.302+0+40+160+100+300)</f>
        <v>124.98433402382609</v>
      </c>
      <c r="AC987" s="45">
        <f>(M987*'RAP TEMPLATE-GAS AVAILABILITY'!O986+N987*'RAP TEMPLATE-GAS AVAILABILITY'!P986+O987*'RAP TEMPLATE-GAS AVAILABILITY'!Q986+P987*'RAP TEMPLATE-GAS AVAILABILITY'!R986)/('RAP TEMPLATE-GAS AVAILABILITY'!O986+'RAP TEMPLATE-GAS AVAILABILITY'!P986+'RAP TEMPLATE-GAS AVAILABILITY'!Q986+'RAP TEMPLATE-GAS AVAILABILITY'!R986)</f>
        <v>122.48582805755396</v>
      </c>
    </row>
    <row r="988" spans="1:29" ht="15.75" x14ac:dyDescent="0.25">
      <c r="A988" s="32">
        <v>70979</v>
      </c>
      <c r="B988" s="14">
        <f>CHOOSE(CONTROL!$C$42, 124.5518, 124.5518) * CHOOSE(CONTROL!$C$21, $C$9, 100%, $E$9)</f>
        <v>124.5518</v>
      </c>
      <c r="C988" s="14">
        <f>CHOOSE(CONTROL!$C$42, 124.5563, 124.5563) * CHOOSE(CONTROL!$C$21, $C$9, 100%, $E$9)</f>
        <v>124.55629999999999</v>
      </c>
      <c r="D988" s="14">
        <f>CHOOSE(CONTROL!$C$42, 124.78, 124.78) * CHOOSE(CONTROL!$C$21, $C$9, 100%, $E$9)</f>
        <v>124.78</v>
      </c>
      <c r="E988" s="14">
        <f>CHOOSE(CONTROL!$C$42, 124.8121, 124.8121) * CHOOSE(CONTROL!$C$21, $C$9, 100%, $E$9)</f>
        <v>124.8121</v>
      </c>
      <c r="F988" s="14">
        <f>CHOOSE(CONTROL!$C$42, 124.5795, 124.5795)*CHOOSE(CONTROL!$C$21, $C$9, 100%, $E$9)</f>
        <v>124.5795</v>
      </c>
      <c r="G988" s="14">
        <f>CHOOSE(CONTROL!$C$42, 124.5964, 124.5964)*CHOOSE(CONTROL!$C$21, $C$9, 100%, $E$9)</f>
        <v>124.5964</v>
      </c>
      <c r="H988" s="14">
        <f>CHOOSE(CONTROL!$C$42, 124.8019, 124.8019) * CHOOSE(CONTROL!$C$21, $C$9, 100%, $E$9)</f>
        <v>124.8019</v>
      </c>
      <c r="I988" s="14">
        <f>CHOOSE(CONTROL!$C$42, 124.9711, 124.9711)* CHOOSE(CONTROL!$C$21, $C$9, 100%, $E$9)</f>
        <v>124.97110000000001</v>
      </c>
      <c r="J988" s="14">
        <f>CHOOSE(CONTROL!$C$42, 124.5725, 124.5725)* CHOOSE(CONTROL!$C$21, $C$9, 100%, $E$9)</f>
        <v>124.57250000000001</v>
      </c>
      <c r="K988" s="53">
        <f>CHOOSE(CONTROL!$C$42, 124.9673, 124.9673) * CHOOSE(CONTROL!$C$21, $C$9, 100%, $E$9)</f>
        <v>124.96729999999999</v>
      </c>
      <c r="L988" s="14">
        <f>CHOOSE(CONTROL!$C$42, 125.3889, 125.3889) * CHOOSE(CONTROL!$C$21, $C$9, 100%, $E$9)</f>
        <v>125.38890000000001</v>
      </c>
      <c r="M988" s="14">
        <f>CHOOSE(CONTROL!$C$42, 122.0278, 122.0278) * CHOOSE(CONTROL!$C$21, $C$9, 100%, $E$9)</f>
        <v>122.0278</v>
      </c>
      <c r="N988" s="14">
        <f>CHOOSE(CONTROL!$C$42, 122.0443, 122.0443) * CHOOSE(CONTROL!$C$21, $C$9, 100%, $E$9)</f>
        <v>122.04430000000001</v>
      </c>
      <c r="O988" s="14">
        <f>CHOOSE(CONTROL!$C$42, 122.2525, 122.2525) * CHOOSE(CONTROL!$C$21, $C$9, 100%, $E$9)</f>
        <v>122.2525</v>
      </c>
      <c r="P988" s="14">
        <f>CHOOSE(CONTROL!$C$42, 122.4105, 122.4105) * CHOOSE(CONTROL!$C$21, $C$9, 100%, $E$9)</f>
        <v>122.4105</v>
      </c>
      <c r="Q988" s="14">
        <f>CHOOSE(CONTROL!$C$42, 122.8472, 122.8472) * CHOOSE(CONTROL!$C$21, $C$9, 100%, $E$9)</f>
        <v>122.8472</v>
      </c>
      <c r="R988" s="14">
        <f>CHOOSE(CONTROL!$C$42, 123.7413, 123.7413) * CHOOSE(CONTROL!$C$21, $C$9, 100%, $E$9)</f>
        <v>123.7413</v>
      </c>
      <c r="S988" s="14">
        <f>CHOOSE(CONTROL!$C$42, 119.6725, 119.6725) * CHOOSE(CONTROL!$C$21, $C$9, 100%, $E$9)</f>
        <v>119.6725</v>
      </c>
      <c r="T9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88" s="57">
        <f>(1000*CHOOSE(CONTROL!$C$42, 695, 695)*CHOOSE(CONTROL!$C$42, 0.5599, 0.5599)*CHOOSE(CONTROL!$C$42, 30, 30))/1000000</f>
        <v>11.673914999999997</v>
      </c>
      <c r="V988" s="57">
        <f>(1000*CHOOSE(CONTROL!$C$42, 500, 500)*CHOOSE(CONTROL!$C$42, 0.275, 0.275)*CHOOSE(CONTROL!$C$42, 30, 30))/1000000</f>
        <v>4.125</v>
      </c>
      <c r="W988" s="57">
        <f>(1000*CHOOSE(CONTROL!$C$42, 0.1146, 0.1146)*CHOOSE(CONTROL!$C$42, 121.5, 121.5)*CHOOSE(CONTROL!$C$42, 30, 30))/1000000</f>
        <v>0.417717</v>
      </c>
      <c r="X988" s="57">
        <f>(30*0.1790888*245000/1000000)+(30*0.2374*100000/1000000)</f>
        <v>2.0285026799999999</v>
      </c>
      <c r="Y988" s="57"/>
      <c r="Z988" s="14"/>
      <c r="AA988" s="56"/>
      <c r="AB988" s="50">
        <f>(B988*141.293+C988*267.993+D988*115.016+E988*89.698+F988*40+G988*185+H988*0+I988*100+J988*300)/(141.293+267.993+115.016+89.698+0+40+185+100+300)</f>
        <v>124.63920920831316</v>
      </c>
      <c r="AC988" s="45">
        <f>(M988*'RAP TEMPLATE-GAS AVAILABILITY'!O987+N988*'RAP TEMPLATE-GAS AVAILABILITY'!P987+O988*'RAP TEMPLATE-GAS AVAILABILITY'!Q987+P988*'RAP TEMPLATE-GAS AVAILABILITY'!R987)/('RAP TEMPLATE-GAS AVAILABILITY'!O987+'RAP TEMPLATE-GAS AVAILABILITY'!P987+'RAP TEMPLATE-GAS AVAILABILITY'!Q987+'RAP TEMPLATE-GAS AVAILABILITY'!R987)</f>
        <v>122.18565683453237</v>
      </c>
    </row>
    <row r="989" spans="1:29" ht="15.75" x14ac:dyDescent="0.25">
      <c r="A989" s="32">
        <v>71010</v>
      </c>
      <c r="B989" s="14">
        <f>CHOOSE(CONTROL!$C$42, 125.6524, 125.6524) * CHOOSE(CONTROL!$C$21, $C$9, 100%, $E$9)</f>
        <v>125.6524</v>
      </c>
      <c r="C989" s="14">
        <f>CHOOSE(CONTROL!$C$42, 125.6604, 125.6604) * CHOOSE(CONTROL!$C$21, $C$9, 100%, $E$9)</f>
        <v>125.6604</v>
      </c>
      <c r="D989" s="14">
        <f>CHOOSE(CONTROL!$C$42, 125.881, 125.881) * CHOOSE(CONTROL!$C$21, $C$9, 100%, $E$9)</f>
        <v>125.881</v>
      </c>
      <c r="E989" s="14">
        <f>CHOOSE(CONTROL!$C$42, 125.9125, 125.9125) * CHOOSE(CONTROL!$C$21, $C$9, 100%, $E$9)</f>
        <v>125.91249999999999</v>
      </c>
      <c r="F989" s="14">
        <f>CHOOSE(CONTROL!$C$42, 125.6787, 125.6787)*CHOOSE(CONTROL!$C$21, $C$9, 100%, $E$9)</f>
        <v>125.67870000000001</v>
      </c>
      <c r="G989" s="14">
        <f>CHOOSE(CONTROL!$C$42, 125.6958, 125.6958)*CHOOSE(CONTROL!$C$21, $C$9, 100%, $E$9)</f>
        <v>125.69580000000001</v>
      </c>
      <c r="H989" s="14">
        <f>CHOOSE(CONTROL!$C$42, 125.9011, 125.9011) * CHOOSE(CONTROL!$C$21, $C$9, 100%, $E$9)</f>
        <v>125.9011</v>
      </c>
      <c r="I989" s="14">
        <f>CHOOSE(CONTROL!$C$42, 126.0738, 126.0738)* CHOOSE(CONTROL!$C$21, $C$9, 100%, $E$9)</f>
        <v>126.07380000000001</v>
      </c>
      <c r="J989" s="14">
        <f>CHOOSE(CONTROL!$C$42, 125.6717, 125.6717)* CHOOSE(CONTROL!$C$21, $C$9, 100%, $E$9)</f>
        <v>125.6717</v>
      </c>
      <c r="K989" s="53">
        <f>CHOOSE(CONTROL!$C$42, 126.0699, 126.0699) * CHOOSE(CONTROL!$C$21, $C$9, 100%, $E$9)</f>
        <v>126.0699</v>
      </c>
      <c r="L989" s="14">
        <f>CHOOSE(CONTROL!$C$42, 126.4881, 126.4881) * CHOOSE(CONTROL!$C$21, $C$9, 100%, $E$9)</f>
        <v>126.4881</v>
      </c>
      <c r="M989" s="14">
        <f>CHOOSE(CONTROL!$C$42, 123.1044, 123.1044) * CHOOSE(CONTROL!$C$21, $C$9, 100%, $E$9)</f>
        <v>123.1044</v>
      </c>
      <c r="N989" s="14">
        <f>CHOOSE(CONTROL!$C$42, 123.1212, 123.1212) * CHOOSE(CONTROL!$C$21, $C$9, 100%, $E$9)</f>
        <v>123.1212</v>
      </c>
      <c r="O989" s="14">
        <f>CHOOSE(CONTROL!$C$42, 123.3292, 123.3292) * CHOOSE(CONTROL!$C$21, $C$9, 100%, $E$9)</f>
        <v>123.3292</v>
      </c>
      <c r="P989" s="14">
        <f>CHOOSE(CONTROL!$C$42, 123.4905, 123.4905) * CHOOSE(CONTROL!$C$21, $C$9, 100%, $E$9)</f>
        <v>123.4905</v>
      </c>
      <c r="Q989" s="14">
        <f>CHOOSE(CONTROL!$C$42, 123.9239, 123.9239) * CHOOSE(CONTROL!$C$21, $C$9, 100%, $E$9)</f>
        <v>123.9239</v>
      </c>
      <c r="R989" s="14">
        <f>CHOOSE(CONTROL!$C$42, 124.8207, 124.8207) * CHOOSE(CONTROL!$C$21, $C$9, 100%, $E$9)</f>
        <v>124.8207</v>
      </c>
      <c r="S989" s="14">
        <f>CHOOSE(CONTROL!$C$42, 120.7288, 120.7288) * CHOOSE(CONTROL!$C$21, $C$9, 100%, $E$9)</f>
        <v>120.72880000000001</v>
      </c>
      <c r="T9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89" s="57">
        <f>(1000*CHOOSE(CONTROL!$C$42, 695, 695)*CHOOSE(CONTROL!$C$42, 0.5599, 0.5599)*CHOOSE(CONTROL!$C$42, 31, 31))/1000000</f>
        <v>12.063045499999998</v>
      </c>
      <c r="V989" s="57">
        <f>(1000*CHOOSE(CONTROL!$C$42, 500, 500)*CHOOSE(CONTROL!$C$42, 0.275, 0.275)*CHOOSE(CONTROL!$C$42, 31, 31))/1000000</f>
        <v>4.2625000000000002</v>
      </c>
      <c r="W989" s="57">
        <f>(1000*CHOOSE(CONTROL!$C$42, 0.1146, 0.1146)*CHOOSE(CONTROL!$C$42, 121.5, 121.5)*CHOOSE(CONTROL!$C$42, 31, 31))/1000000</f>
        <v>0.43164089999999994</v>
      </c>
      <c r="X989" s="57">
        <f>(31*0.1790888*245000/1000000)+(31*0.2374*100000/1000000)</f>
        <v>2.0961194359999999</v>
      </c>
      <c r="Y989" s="57"/>
      <c r="Z989" s="14"/>
      <c r="AA989" s="56"/>
      <c r="AB989" s="50">
        <f>(B989*194.205+C989*267.466+D989*133.845+E989*53.484+F989*40+G989*185+H989*0+I989*100+J989*300)/(194.205+267.466+133.845+53.484+0+40+185+100+300)</f>
        <v>125.73376490062795</v>
      </c>
      <c r="AC989" s="45">
        <f>(M989*'RAP TEMPLATE-GAS AVAILABILITY'!O988+N989*'RAP TEMPLATE-GAS AVAILABILITY'!P988+O989*'RAP TEMPLATE-GAS AVAILABILITY'!Q988+P989*'RAP TEMPLATE-GAS AVAILABILITY'!R988)/('RAP TEMPLATE-GAS AVAILABILITY'!O988+'RAP TEMPLATE-GAS AVAILABILITY'!P988+'RAP TEMPLATE-GAS AVAILABILITY'!Q988+'RAP TEMPLATE-GAS AVAILABILITY'!R988)</f>
        <v>123.26280863309353</v>
      </c>
    </row>
    <row r="990" spans="1:29" ht="15.75" x14ac:dyDescent="0.25">
      <c r="A990" s="32">
        <v>71040</v>
      </c>
      <c r="B990" s="14">
        <f>CHOOSE(CONTROL!$C$42, 129.2164, 129.2164) * CHOOSE(CONTROL!$C$21, $C$9, 100%, $E$9)</f>
        <v>129.21639999999999</v>
      </c>
      <c r="C990" s="14">
        <f>CHOOSE(CONTROL!$C$42, 129.2244, 129.2244) * CHOOSE(CONTROL!$C$21, $C$9, 100%, $E$9)</f>
        <v>129.2244</v>
      </c>
      <c r="D990" s="14">
        <f>CHOOSE(CONTROL!$C$42, 129.445, 129.445) * CHOOSE(CONTROL!$C$21, $C$9, 100%, $E$9)</f>
        <v>129.44499999999999</v>
      </c>
      <c r="E990" s="14">
        <f>CHOOSE(CONTROL!$C$42, 129.4765, 129.4765) * CHOOSE(CONTROL!$C$21, $C$9, 100%, $E$9)</f>
        <v>129.47649999999999</v>
      </c>
      <c r="F990" s="14">
        <f>CHOOSE(CONTROL!$C$42, 129.243, 129.243)*CHOOSE(CONTROL!$C$21, $C$9, 100%, $E$9)</f>
        <v>129.24299999999999</v>
      </c>
      <c r="G990" s="14">
        <f>CHOOSE(CONTROL!$C$42, 129.2602, 129.2602)*CHOOSE(CONTROL!$C$21, $C$9, 100%, $E$9)</f>
        <v>129.2602</v>
      </c>
      <c r="H990" s="14">
        <f>CHOOSE(CONTROL!$C$42, 129.4651, 129.4651) * CHOOSE(CONTROL!$C$21, $C$9, 100%, $E$9)</f>
        <v>129.46510000000001</v>
      </c>
      <c r="I990" s="14">
        <f>CHOOSE(CONTROL!$C$42, 129.649, 129.649)* CHOOSE(CONTROL!$C$21, $C$9, 100%, $E$9)</f>
        <v>129.649</v>
      </c>
      <c r="J990" s="14">
        <f>CHOOSE(CONTROL!$C$42, 129.236, 129.236)* CHOOSE(CONTROL!$C$21, $C$9, 100%, $E$9)</f>
        <v>129.23599999999999</v>
      </c>
      <c r="K990" s="53">
        <f>CHOOSE(CONTROL!$C$42, 129.6451, 129.6451) * CHOOSE(CONTROL!$C$21, $C$9, 100%, $E$9)</f>
        <v>129.64510000000001</v>
      </c>
      <c r="L990" s="14">
        <f>CHOOSE(CONTROL!$C$42, 130.0521, 130.0521) * CHOOSE(CONTROL!$C$21, $C$9, 100%, $E$9)</f>
        <v>130.0521</v>
      </c>
      <c r="M990" s="14">
        <f>CHOOSE(CONTROL!$C$42, 126.5957, 126.5957) * CHOOSE(CONTROL!$C$21, $C$9, 100%, $E$9)</f>
        <v>126.59569999999999</v>
      </c>
      <c r="N990" s="14">
        <f>CHOOSE(CONTROL!$C$42, 126.6126, 126.6126) * CHOOSE(CONTROL!$C$21, $C$9, 100%, $E$9)</f>
        <v>126.6126</v>
      </c>
      <c r="O990" s="14">
        <f>CHOOSE(CONTROL!$C$42, 126.8201, 126.8201) * CHOOSE(CONTROL!$C$21, $C$9, 100%, $E$9)</f>
        <v>126.8201</v>
      </c>
      <c r="P990" s="14">
        <f>CHOOSE(CONTROL!$C$42, 126.9922, 126.9922) * CHOOSE(CONTROL!$C$21, $C$9, 100%, $E$9)</f>
        <v>126.9922</v>
      </c>
      <c r="Q990" s="14">
        <f>CHOOSE(CONTROL!$C$42, 127.4148, 127.4148) * CHOOSE(CONTROL!$C$21, $C$9, 100%, $E$9)</f>
        <v>127.4148</v>
      </c>
      <c r="R990" s="14">
        <f>CHOOSE(CONTROL!$C$42, 128.3204, 128.3204) * CHOOSE(CONTROL!$C$21, $C$9, 100%, $E$9)</f>
        <v>128.32040000000001</v>
      </c>
      <c r="S990" s="14">
        <f>CHOOSE(CONTROL!$C$42, 124.1534, 124.1534) * CHOOSE(CONTROL!$C$21, $C$9, 100%, $E$9)</f>
        <v>124.1534</v>
      </c>
      <c r="T9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90" s="57">
        <f>(1000*CHOOSE(CONTROL!$C$42, 695, 695)*CHOOSE(CONTROL!$C$42, 0.5599, 0.5599)*CHOOSE(CONTROL!$C$42, 30, 30))/1000000</f>
        <v>11.673914999999997</v>
      </c>
      <c r="V990" s="57">
        <f>(1000*CHOOSE(CONTROL!$C$42, 500, 500)*CHOOSE(CONTROL!$C$42, 0.275, 0.275)*CHOOSE(CONTROL!$C$42, 30, 30))/1000000</f>
        <v>4.125</v>
      </c>
      <c r="W990" s="57">
        <f>(1000*CHOOSE(CONTROL!$C$42, 0.1146, 0.1146)*CHOOSE(CONTROL!$C$42, 121.5, 121.5)*CHOOSE(CONTROL!$C$42, 30, 30))/1000000</f>
        <v>0.417717</v>
      </c>
      <c r="X990" s="57">
        <f>(30*0.1790888*245000/1000000)+(30*0.2374*100000/1000000)</f>
        <v>2.0285026799999999</v>
      </c>
      <c r="Y990" s="57"/>
      <c r="Z990" s="14"/>
      <c r="AA990" s="56"/>
      <c r="AB990" s="50">
        <f>(B990*194.205+C990*267.466+D990*133.845+E990*53.484+F990*40+G990*185+H990*0+I990*100+J990*300)/(194.205+267.466+133.845+53.484+0+40+185+100+300)</f>
        <v>129.29878216907377</v>
      </c>
      <c r="AC990" s="45">
        <f>(M990*'RAP TEMPLATE-GAS AVAILABILITY'!O989+N990*'RAP TEMPLATE-GAS AVAILABILITY'!P989+O990*'RAP TEMPLATE-GAS AVAILABILITY'!Q989+P990*'RAP TEMPLATE-GAS AVAILABILITY'!R989)/('RAP TEMPLATE-GAS AVAILABILITY'!O989+'RAP TEMPLATE-GAS AVAILABILITY'!P989+'RAP TEMPLATE-GAS AVAILABILITY'!Q989+'RAP TEMPLATE-GAS AVAILABILITY'!R989)</f>
        <v>126.75542949640287</v>
      </c>
    </row>
    <row r="991" spans="1:29" ht="15.75" x14ac:dyDescent="0.25">
      <c r="A991" s="32">
        <v>71071</v>
      </c>
      <c r="B991" s="14">
        <f>CHOOSE(CONTROL!$C$42, 126.7376, 126.7376) * CHOOSE(CONTROL!$C$21, $C$9, 100%, $E$9)</f>
        <v>126.7376</v>
      </c>
      <c r="C991" s="14">
        <f>CHOOSE(CONTROL!$C$42, 126.7456, 126.7456) * CHOOSE(CONTROL!$C$21, $C$9, 100%, $E$9)</f>
        <v>126.7456</v>
      </c>
      <c r="D991" s="14">
        <f>CHOOSE(CONTROL!$C$42, 126.9662, 126.9662) * CHOOSE(CONTROL!$C$21, $C$9, 100%, $E$9)</f>
        <v>126.9662</v>
      </c>
      <c r="E991" s="14">
        <f>CHOOSE(CONTROL!$C$42, 126.9977, 126.9977) * CHOOSE(CONTROL!$C$21, $C$9, 100%, $E$9)</f>
        <v>126.99769999999999</v>
      </c>
      <c r="F991" s="14">
        <f>CHOOSE(CONTROL!$C$42, 126.7647, 126.7647)*CHOOSE(CONTROL!$C$21, $C$9, 100%, $E$9)</f>
        <v>126.7647</v>
      </c>
      <c r="G991" s="14">
        <f>CHOOSE(CONTROL!$C$42, 126.782, 126.782)*CHOOSE(CONTROL!$C$21, $C$9, 100%, $E$9)</f>
        <v>126.782</v>
      </c>
      <c r="H991" s="14">
        <f>CHOOSE(CONTROL!$C$42, 126.9863, 126.9863) * CHOOSE(CONTROL!$C$21, $C$9, 100%, $E$9)</f>
        <v>126.9863</v>
      </c>
      <c r="I991" s="14">
        <f>CHOOSE(CONTROL!$C$42, 127.1624, 127.1624)* CHOOSE(CONTROL!$C$21, $C$9, 100%, $E$9)</f>
        <v>127.16240000000001</v>
      </c>
      <c r="J991" s="14">
        <f>CHOOSE(CONTROL!$C$42, 126.7577, 126.7577)* CHOOSE(CONTROL!$C$21, $C$9, 100%, $E$9)</f>
        <v>126.7577</v>
      </c>
      <c r="K991" s="53">
        <f>CHOOSE(CONTROL!$C$42, 127.1585, 127.1585) * CHOOSE(CONTROL!$C$21, $C$9, 100%, $E$9)</f>
        <v>127.1585</v>
      </c>
      <c r="L991" s="14">
        <f>CHOOSE(CONTROL!$C$42, 127.5733, 127.5733) * CHOOSE(CONTROL!$C$21, $C$9, 100%, $E$9)</f>
        <v>127.5733</v>
      </c>
      <c r="M991" s="14">
        <f>CHOOSE(CONTROL!$C$42, 124.1682, 124.1682) * CHOOSE(CONTROL!$C$21, $C$9, 100%, $E$9)</f>
        <v>124.1682</v>
      </c>
      <c r="N991" s="14">
        <f>CHOOSE(CONTROL!$C$42, 124.1852, 124.1852) * CHOOSE(CONTROL!$C$21, $C$9, 100%, $E$9)</f>
        <v>124.18519999999999</v>
      </c>
      <c r="O991" s="14">
        <f>CHOOSE(CONTROL!$C$42, 124.3922, 124.3922) * CHOOSE(CONTROL!$C$21, $C$9, 100%, $E$9)</f>
        <v>124.3922</v>
      </c>
      <c r="P991" s="14">
        <f>CHOOSE(CONTROL!$C$42, 124.5567, 124.5567) * CHOOSE(CONTROL!$C$21, $C$9, 100%, $E$9)</f>
        <v>124.55670000000001</v>
      </c>
      <c r="Q991" s="14">
        <f>CHOOSE(CONTROL!$C$42, 124.9869, 124.9869) * CHOOSE(CONTROL!$C$21, $C$9, 100%, $E$9)</f>
        <v>124.98690000000001</v>
      </c>
      <c r="R991" s="14">
        <f>CHOOSE(CONTROL!$C$42, 125.8863, 125.8863) * CHOOSE(CONTROL!$C$21, $C$9, 100%, $E$9)</f>
        <v>125.88630000000001</v>
      </c>
      <c r="S991" s="14">
        <f>CHOOSE(CONTROL!$C$42, 121.7715, 121.7715) * CHOOSE(CONTROL!$C$21, $C$9, 100%, $E$9)</f>
        <v>121.7715</v>
      </c>
      <c r="T9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91" s="57">
        <f>(1000*CHOOSE(CONTROL!$C$42, 695, 695)*CHOOSE(CONTROL!$C$42, 0.5599, 0.5599)*CHOOSE(CONTROL!$C$42, 31, 31))/1000000</f>
        <v>12.063045499999998</v>
      </c>
      <c r="V991" s="57">
        <f>(1000*CHOOSE(CONTROL!$C$42, 500, 500)*CHOOSE(CONTROL!$C$42, 0.275, 0.275)*CHOOSE(CONTROL!$C$42, 31, 31))/1000000</f>
        <v>4.2625000000000002</v>
      </c>
      <c r="W991" s="57">
        <f>(1000*CHOOSE(CONTROL!$C$42, 0.1146, 0.1146)*CHOOSE(CONTROL!$C$42, 121.5, 121.5)*CHOOSE(CONTROL!$C$42, 31, 31))/1000000</f>
        <v>0.43164089999999994</v>
      </c>
      <c r="X991" s="57">
        <f>(31*0.1790888*245000/1000000)+(31*0.2374*100000/1000000)</f>
        <v>2.0961194359999999</v>
      </c>
      <c r="Y991" s="57"/>
      <c r="Z991" s="14"/>
      <c r="AA991" s="56"/>
      <c r="AB991" s="50">
        <f>(B991*194.205+C991*267.466+D991*133.845+E991*53.484+F991*40+G991*185+H991*0+I991*100+J991*300)/(194.205+267.466+133.845+53.484+0+40+185+100+300)</f>
        <v>126.81959048932497</v>
      </c>
      <c r="AC991" s="45">
        <f>(M991*'RAP TEMPLATE-GAS AVAILABILITY'!O990+N991*'RAP TEMPLATE-GAS AVAILABILITY'!P990+O991*'RAP TEMPLATE-GAS AVAILABILITY'!Q990+P991*'RAP TEMPLATE-GAS AVAILABILITY'!R990)/('RAP TEMPLATE-GAS AVAILABILITY'!O990+'RAP TEMPLATE-GAS AVAILABILITY'!P990+'RAP TEMPLATE-GAS AVAILABILITY'!Q990+'RAP TEMPLATE-GAS AVAILABILITY'!R990)</f>
        <v>124.32660287769782</v>
      </c>
    </row>
    <row r="992" spans="1:29" ht="15.75" x14ac:dyDescent="0.25">
      <c r="A992" s="32">
        <v>71102</v>
      </c>
      <c r="B992" s="14">
        <f>CHOOSE(CONTROL!$C$42, 120.478, 120.478) * CHOOSE(CONTROL!$C$21, $C$9, 100%, $E$9)</f>
        <v>120.47799999999999</v>
      </c>
      <c r="C992" s="14">
        <f>CHOOSE(CONTROL!$C$42, 120.486, 120.486) * CHOOSE(CONTROL!$C$21, $C$9, 100%, $E$9)</f>
        <v>120.486</v>
      </c>
      <c r="D992" s="14">
        <f>CHOOSE(CONTROL!$C$42, 120.7066, 120.7066) * CHOOSE(CONTROL!$C$21, $C$9, 100%, $E$9)</f>
        <v>120.70659999999999</v>
      </c>
      <c r="E992" s="14">
        <f>CHOOSE(CONTROL!$C$42, 120.738, 120.738) * CHOOSE(CONTROL!$C$21, $C$9, 100%, $E$9)</f>
        <v>120.738</v>
      </c>
      <c r="F992" s="14">
        <f>CHOOSE(CONTROL!$C$42, 120.5053, 120.5053)*CHOOSE(CONTROL!$C$21, $C$9, 100%, $E$9)</f>
        <v>120.50530000000001</v>
      </c>
      <c r="G992" s="14">
        <f>CHOOSE(CONTROL!$C$42, 120.5227, 120.5227)*CHOOSE(CONTROL!$C$21, $C$9, 100%, $E$9)</f>
        <v>120.5227</v>
      </c>
      <c r="H992" s="14">
        <f>CHOOSE(CONTROL!$C$42, 120.7267, 120.7267) * CHOOSE(CONTROL!$C$21, $C$9, 100%, $E$9)</f>
        <v>120.72669999999999</v>
      </c>
      <c r="I992" s="14">
        <f>CHOOSE(CONTROL!$C$42, 120.8832, 120.8832)* CHOOSE(CONTROL!$C$21, $C$9, 100%, $E$9)</f>
        <v>120.8832</v>
      </c>
      <c r="J992" s="14">
        <f>CHOOSE(CONTROL!$C$42, 120.4983, 120.4983)* CHOOSE(CONTROL!$C$21, $C$9, 100%, $E$9)</f>
        <v>120.4983</v>
      </c>
      <c r="K992" s="53">
        <f>CHOOSE(CONTROL!$C$42, 120.8793, 120.8793) * CHOOSE(CONTROL!$C$21, $C$9, 100%, $E$9)</f>
        <v>120.8793</v>
      </c>
      <c r="L992" s="14">
        <f>CHOOSE(CONTROL!$C$42, 121.3137, 121.3137) * CHOOSE(CONTROL!$C$21, $C$9, 100%, $E$9)</f>
        <v>121.3137</v>
      </c>
      <c r="M992" s="14">
        <f>CHOOSE(CONTROL!$C$42, 118.0371, 118.0371) * CHOOSE(CONTROL!$C$21, $C$9, 100%, $E$9)</f>
        <v>118.0371</v>
      </c>
      <c r="N992" s="14">
        <f>CHOOSE(CONTROL!$C$42, 118.0541, 118.0541) * CHOOSE(CONTROL!$C$21, $C$9, 100%, $E$9)</f>
        <v>118.05410000000001</v>
      </c>
      <c r="O992" s="14">
        <f>CHOOSE(CONTROL!$C$42, 118.2607, 118.2607) * CHOOSE(CONTROL!$C$21, $C$9, 100%, $E$9)</f>
        <v>118.2607</v>
      </c>
      <c r="P992" s="14">
        <f>CHOOSE(CONTROL!$C$42, 118.4065, 118.4065) * CHOOSE(CONTROL!$C$21, $C$9, 100%, $E$9)</f>
        <v>118.40649999999999</v>
      </c>
      <c r="Q992" s="14">
        <f>CHOOSE(CONTROL!$C$42, 118.8554, 118.8554) * CHOOSE(CONTROL!$C$21, $C$9, 100%, $E$9)</f>
        <v>118.8554</v>
      </c>
      <c r="R992" s="14">
        <f>CHOOSE(CONTROL!$C$42, 119.7396, 119.7396) * CHOOSE(CONTROL!$C$21, $C$9, 100%, $E$9)</f>
        <v>119.7396</v>
      </c>
      <c r="S992" s="14">
        <f>CHOOSE(CONTROL!$C$42, 115.7566, 115.7566) * CHOOSE(CONTROL!$C$21, $C$9, 100%, $E$9)</f>
        <v>115.75660000000001</v>
      </c>
      <c r="T9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92" s="57">
        <f>(1000*CHOOSE(CONTROL!$C$42, 695, 695)*CHOOSE(CONTROL!$C$42, 0.5599, 0.5599)*CHOOSE(CONTROL!$C$42, 31, 31))/1000000</f>
        <v>12.063045499999998</v>
      </c>
      <c r="V992" s="57">
        <f>(1000*CHOOSE(CONTROL!$C$42, 500, 500)*CHOOSE(CONTROL!$C$42, 0.275, 0.275)*CHOOSE(CONTROL!$C$42, 31, 31))/1000000</f>
        <v>4.2625000000000002</v>
      </c>
      <c r="W992" s="57">
        <f>(1000*CHOOSE(CONTROL!$C$42, 0.1146, 0.1146)*CHOOSE(CONTROL!$C$42, 121.5, 121.5)*CHOOSE(CONTROL!$C$42, 31, 31))/1000000</f>
        <v>0.43164089999999994</v>
      </c>
      <c r="X992" s="57">
        <f>(31*0.1790888*245000/1000000)+(31*0.2374*100000/1000000)</f>
        <v>2.0961194359999999</v>
      </c>
      <c r="Y992" s="57"/>
      <c r="Z992" s="14"/>
      <c r="AA992" s="56"/>
      <c r="AB992" s="50">
        <f>(B992*194.205+C992*267.466+D992*133.845+E992*53.484+F992*40+G992*185+H992*0+I992*100+J992*300)/(194.205+267.466+133.845+53.484+0+40+185+100+300)</f>
        <v>120.55854476844583</v>
      </c>
      <c r="AC992" s="45">
        <f>(M992*'RAP TEMPLATE-GAS AVAILABILITY'!O991+N992*'RAP TEMPLATE-GAS AVAILABILITY'!P991+O992*'RAP TEMPLATE-GAS AVAILABILITY'!Q991+P992*'RAP TEMPLATE-GAS AVAILABILITY'!R991)/('RAP TEMPLATE-GAS AVAILABILITY'!O991+'RAP TEMPLATE-GAS AVAILABILITY'!P991+'RAP TEMPLATE-GAS AVAILABILITY'!Q991+'RAP TEMPLATE-GAS AVAILABILITY'!R991)</f>
        <v>118.19257338129493</v>
      </c>
    </row>
    <row r="993" spans="1:29" ht="15.75" x14ac:dyDescent="0.25">
      <c r="A993" s="32">
        <v>71132</v>
      </c>
      <c r="B993" s="14">
        <f>CHOOSE(CONTROL!$C$42, 112.8296, 112.8296) * CHOOSE(CONTROL!$C$21, $C$9, 100%, $E$9)</f>
        <v>112.8296</v>
      </c>
      <c r="C993" s="14">
        <f>CHOOSE(CONTROL!$C$42, 112.8376, 112.8376) * CHOOSE(CONTROL!$C$21, $C$9, 100%, $E$9)</f>
        <v>112.83759999999999</v>
      </c>
      <c r="D993" s="14">
        <f>CHOOSE(CONTROL!$C$42, 113.0582, 113.0582) * CHOOSE(CONTROL!$C$21, $C$9, 100%, $E$9)</f>
        <v>113.0582</v>
      </c>
      <c r="E993" s="14">
        <f>CHOOSE(CONTROL!$C$42, 113.0897, 113.0897) * CHOOSE(CONTROL!$C$21, $C$9, 100%, $E$9)</f>
        <v>113.08969999999999</v>
      </c>
      <c r="F993" s="14">
        <f>CHOOSE(CONTROL!$C$42, 112.8569, 112.8569)*CHOOSE(CONTROL!$C$21, $C$9, 100%, $E$9)</f>
        <v>112.8569</v>
      </c>
      <c r="G993" s="14">
        <f>CHOOSE(CONTROL!$C$42, 112.8743, 112.8743)*CHOOSE(CONTROL!$C$21, $C$9, 100%, $E$9)</f>
        <v>112.87430000000001</v>
      </c>
      <c r="H993" s="14">
        <f>CHOOSE(CONTROL!$C$42, 113.0783, 113.0783) * CHOOSE(CONTROL!$C$21, $C$9, 100%, $E$9)</f>
        <v>113.0783</v>
      </c>
      <c r="I993" s="14">
        <f>CHOOSE(CONTROL!$C$42, 113.2108, 113.2108)* CHOOSE(CONTROL!$C$21, $C$9, 100%, $E$9)</f>
        <v>113.21080000000001</v>
      </c>
      <c r="J993" s="14">
        <f>CHOOSE(CONTROL!$C$42, 112.8499, 112.8499)* CHOOSE(CONTROL!$C$21, $C$9, 100%, $E$9)</f>
        <v>112.84990000000001</v>
      </c>
      <c r="K993" s="53">
        <f>CHOOSE(CONTROL!$C$42, 113.2069, 113.2069) * CHOOSE(CONTROL!$C$21, $C$9, 100%, $E$9)</f>
        <v>113.2069</v>
      </c>
      <c r="L993" s="14">
        <f>CHOOSE(CONTROL!$C$42, 113.6653, 113.6653) * CHOOSE(CONTROL!$C$21, $C$9, 100%, $E$9)</f>
        <v>113.6653</v>
      </c>
      <c r="M993" s="14">
        <f>CHOOSE(CONTROL!$C$42, 110.5454, 110.5454) * CHOOSE(CONTROL!$C$21, $C$9, 100%, $E$9)</f>
        <v>110.5454</v>
      </c>
      <c r="N993" s="14">
        <f>CHOOSE(CONTROL!$C$42, 110.5625, 110.5625) * CHOOSE(CONTROL!$C$21, $C$9, 100%, $E$9)</f>
        <v>110.5625</v>
      </c>
      <c r="O993" s="14">
        <f>CHOOSE(CONTROL!$C$42, 110.7691, 110.7691) * CHOOSE(CONTROL!$C$21, $C$9, 100%, $E$9)</f>
        <v>110.76909999999999</v>
      </c>
      <c r="P993" s="14">
        <f>CHOOSE(CONTROL!$C$42, 110.8919, 110.8919) * CHOOSE(CONTROL!$C$21, $C$9, 100%, $E$9)</f>
        <v>110.89190000000001</v>
      </c>
      <c r="Q993" s="14">
        <f>CHOOSE(CONTROL!$C$42, 111.3638, 111.3638) * CHOOSE(CONTROL!$C$21, $C$9, 100%, $E$9)</f>
        <v>111.3638</v>
      </c>
      <c r="R993" s="14">
        <f>CHOOSE(CONTROL!$C$42, 112.2292, 112.2292) * CHOOSE(CONTROL!$C$21, $C$9, 100%, $E$9)</f>
        <v>112.22920000000001</v>
      </c>
      <c r="S993" s="14">
        <f>CHOOSE(CONTROL!$C$42, 108.4073, 108.4073) * CHOOSE(CONTROL!$C$21, $C$9, 100%, $E$9)</f>
        <v>108.40730000000001</v>
      </c>
      <c r="T9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93" s="57">
        <f>(1000*CHOOSE(CONTROL!$C$42, 695, 695)*CHOOSE(CONTROL!$C$42, 0.5599, 0.5599)*CHOOSE(CONTROL!$C$42, 30, 30))/1000000</f>
        <v>11.673914999999997</v>
      </c>
      <c r="V993" s="57">
        <f>(1000*CHOOSE(CONTROL!$C$42, 500, 500)*CHOOSE(CONTROL!$C$42, 0.275, 0.275)*CHOOSE(CONTROL!$C$42, 30, 30))/1000000</f>
        <v>4.125</v>
      </c>
      <c r="W993" s="57">
        <f>(1000*CHOOSE(CONTROL!$C$42, 0.1146, 0.1146)*CHOOSE(CONTROL!$C$42, 121.5, 121.5)*CHOOSE(CONTROL!$C$42, 30, 30))/1000000</f>
        <v>0.417717</v>
      </c>
      <c r="X993" s="57">
        <f>(30*0.1790888*245000/1000000)+(30*0.2374*100000/1000000)</f>
        <v>2.0285026799999999</v>
      </c>
      <c r="Y993" s="57"/>
      <c r="Z993" s="14"/>
      <c r="AA993" s="56"/>
      <c r="AB993" s="50">
        <f>(B993*194.205+C993*267.466+D993*133.845+E993*53.484+F993*40+G993*185+H993*0+I993*100+J993*300)/(194.205+267.466+133.845+53.484+0+40+185+100+300)</f>
        <v>112.90826513610673</v>
      </c>
      <c r="AC993" s="45">
        <f>(M993*'RAP TEMPLATE-GAS AVAILABILITY'!O992+N993*'RAP TEMPLATE-GAS AVAILABILITY'!P992+O993*'RAP TEMPLATE-GAS AVAILABILITY'!Q992+P993*'RAP TEMPLATE-GAS AVAILABILITY'!R992)/('RAP TEMPLATE-GAS AVAILABILITY'!O992+'RAP TEMPLATE-GAS AVAILABILITY'!P992+'RAP TEMPLATE-GAS AVAILABILITY'!Q992+'RAP TEMPLATE-GAS AVAILABILITY'!R992)</f>
        <v>110.69762949640288</v>
      </c>
    </row>
    <row r="994" spans="1:29" ht="15.75" x14ac:dyDescent="0.25">
      <c r="A994" s="32">
        <v>71163</v>
      </c>
      <c r="B994" s="14">
        <f>CHOOSE(CONTROL!$C$42, 110.5372, 110.5372) * CHOOSE(CONTROL!$C$21, $C$9, 100%, $E$9)</f>
        <v>110.5372</v>
      </c>
      <c r="C994" s="14">
        <f>CHOOSE(CONTROL!$C$42, 110.5425, 110.5425) * CHOOSE(CONTROL!$C$21, $C$9, 100%, $E$9)</f>
        <v>110.5425</v>
      </c>
      <c r="D994" s="14">
        <f>CHOOSE(CONTROL!$C$42, 110.768, 110.768) * CHOOSE(CONTROL!$C$21, $C$9, 100%, $E$9)</f>
        <v>110.768</v>
      </c>
      <c r="E994" s="14">
        <f>CHOOSE(CONTROL!$C$42, 110.7972, 110.7972) * CHOOSE(CONTROL!$C$21, $C$9, 100%, $E$9)</f>
        <v>110.7972</v>
      </c>
      <c r="F994" s="14">
        <f>CHOOSE(CONTROL!$C$42, 110.5665, 110.5665)*CHOOSE(CONTROL!$C$21, $C$9, 100%, $E$9)</f>
        <v>110.5665</v>
      </c>
      <c r="G994" s="14">
        <f>CHOOSE(CONTROL!$C$42, 110.5838, 110.5838)*CHOOSE(CONTROL!$C$21, $C$9, 100%, $E$9)</f>
        <v>110.5838</v>
      </c>
      <c r="H994" s="14">
        <f>CHOOSE(CONTROL!$C$42, 110.7876, 110.7876) * CHOOSE(CONTROL!$C$21, $C$9, 100%, $E$9)</f>
        <v>110.7876</v>
      </c>
      <c r="I994" s="14">
        <f>CHOOSE(CONTROL!$C$42, 110.913, 110.913)* CHOOSE(CONTROL!$C$21, $C$9, 100%, $E$9)</f>
        <v>110.913</v>
      </c>
      <c r="J994" s="14">
        <f>CHOOSE(CONTROL!$C$42, 110.5595, 110.5595)* CHOOSE(CONTROL!$C$21, $C$9, 100%, $E$9)</f>
        <v>110.5595</v>
      </c>
      <c r="K994" s="53">
        <f>CHOOSE(CONTROL!$C$42, 110.9091, 110.9091) * CHOOSE(CONTROL!$C$21, $C$9, 100%, $E$9)</f>
        <v>110.9091</v>
      </c>
      <c r="L994" s="14">
        <f>CHOOSE(CONTROL!$C$42, 111.3746, 111.3746) * CHOOSE(CONTROL!$C$21, $C$9, 100%, $E$9)</f>
        <v>111.3746</v>
      </c>
      <c r="M994" s="14">
        <f>CHOOSE(CONTROL!$C$42, 108.3019, 108.3019) * CHOOSE(CONTROL!$C$21, $C$9, 100%, $E$9)</f>
        <v>108.3019</v>
      </c>
      <c r="N994" s="14">
        <f>CHOOSE(CONTROL!$C$42, 108.3188, 108.3188) * CHOOSE(CONTROL!$C$21, $C$9, 100%, $E$9)</f>
        <v>108.3188</v>
      </c>
      <c r="O994" s="14">
        <f>CHOOSE(CONTROL!$C$42, 108.5254, 108.5254) * CHOOSE(CONTROL!$C$21, $C$9, 100%, $E$9)</f>
        <v>108.5254</v>
      </c>
      <c r="P994" s="14">
        <f>CHOOSE(CONTROL!$C$42, 108.6413, 108.6413) * CHOOSE(CONTROL!$C$21, $C$9, 100%, $E$9)</f>
        <v>108.6413</v>
      </c>
      <c r="Q994" s="14">
        <f>CHOOSE(CONTROL!$C$42, 109.1201, 109.1201) * CHOOSE(CONTROL!$C$21, $C$9, 100%, $E$9)</f>
        <v>109.12009999999999</v>
      </c>
      <c r="R994" s="14">
        <f>CHOOSE(CONTROL!$C$42, 109.9799, 109.9799) * CHOOSE(CONTROL!$C$21, $C$9, 100%, $E$9)</f>
        <v>109.9799</v>
      </c>
      <c r="S994" s="14">
        <f>CHOOSE(CONTROL!$C$42, 106.2062, 106.2062) * CHOOSE(CONTROL!$C$21, $C$9, 100%, $E$9)</f>
        <v>106.2062</v>
      </c>
      <c r="T9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94" s="57">
        <f>(1000*CHOOSE(CONTROL!$C$42, 695, 695)*CHOOSE(CONTROL!$C$42, 0.5599, 0.5599)*CHOOSE(CONTROL!$C$42, 31, 31))/1000000</f>
        <v>12.063045499999998</v>
      </c>
      <c r="V994" s="57">
        <f>(1000*CHOOSE(CONTROL!$C$42, 500, 500)*CHOOSE(CONTROL!$C$42, 0.275, 0.275)*CHOOSE(CONTROL!$C$42, 31, 31))/1000000</f>
        <v>4.2625000000000002</v>
      </c>
      <c r="W994" s="57">
        <f>(1000*CHOOSE(CONTROL!$C$42, 0.1146, 0.1146)*CHOOSE(CONTROL!$C$42, 121.5, 121.5)*CHOOSE(CONTROL!$C$42, 31, 31))/1000000</f>
        <v>0.43164089999999994</v>
      </c>
      <c r="X994" s="57">
        <f>(31*0.1790888*245000/1000000)+(31*0.2374*100000/1000000)</f>
        <v>2.0961194359999999</v>
      </c>
      <c r="Y994" s="57"/>
      <c r="Z994" s="14"/>
      <c r="AA994" s="56"/>
      <c r="AB994" s="50">
        <f>(B994*131.881+C994*277.167+D994*79.08+E994*125.872+F994*40+G994*185+H994*0+I994*100+J994*300)/(131.881+277.167+79.08+125.872+0+40+185+100+300)</f>
        <v>110.62316478539145</v>
      </c>
      <c r="AC994" s="45">
        <f>(M994*'RAP TEMPLATE-GAS AVAILABILITY'!O993+N994*'RAP TEMPLATE-GAS AVAILABILITY'!P993+O994*'RAP TEMPLATE-GAS AVAILABILITY'!Q993+P994*'RAP TEMPLATE-GAS AVAILABILITY'!R993)/('RAP TEMPLATE-GAS AVAILABILITY'!O993+'RAP TEMPLATE-GAS AVAILABILITY'!P993+'RAP TEMPLATE-GAS AVAILABILITY'!Q993+'RAP TEMPLATE-GAS AVAILABILITY'!R993)</f>
        <v>108.45300575539569</v>
      </c>
    </row>
    <row r="995" spans="1:29" ht="15.75" x14ac:dyDescent="0.25">
      <c r="A995" s="32">
        <v>71193</v>
      </c>
      <c r="B995" s="14">
        <f>CHOOSE(CONTROL!$C$42, 113.4486, 113.4486) * CHOOSE(CONTROL!$C$21, $C$9, 100%, $E$9)</f>
        <v>113.4486</v>
      </c>
      <c r="C995" s="14">
        <f>CHOOSE(CONTROL!$C$42, 113.4536, 113.4536) * CHOOSE(CONTROL!$C$21, $C$9, 100%, $E$9)</f>
        <v>113.45359999999999</v>
      </c>
      <c r="D995" s="14">
        <f>CHOOSE(CONTROL!$C$42, 113.5279, 113.5279) * CHOOSE(CONTROL!$C$21, $C$9, 100%, $E$9)</f>
        <v>113.5279</v>
      </c>
      <c r="E995" s="14">
        <f>CHOOSE(CONTROL!$C$42, 113.562, 113.562) * CHOOSE(CONTROL!$C$21, $C$9, 100%, $E$9)</f>
        <v>113.562</v>
      </c>
      <c r="F995" s="14">
        <f>CHOOSE(CONTROL!$C$42, 113.4846, 113.4846)*CHOOSE(CONTROL!$C$21, $C$9, 100%, $E$9)</f>
        <v>113.4846</v>
      </c>
      <c r="G995" s="14">
        <f>CHOOSE(CONTROL!$C$42, 113.5021, 113.5021)*CHOOSE(CONTROL!$C$21, $C$9, 100%, $E$9)</f>
        <v>113.5021</v>
      </c>
      <c r="H995" s="14">
        <f>CHOOSE(CONTROL!$C$42, 113.5512, 113.5512) * CHOOSE(CONTROL!$C$21, $C$9, 100%, $E$9)</f>
        <v>113.55119999999999</v>
      </c>
      <c r="I995" s="14">
        <f>CHOOSE(CONTROL!$C$42, 113.8313, 113.8313)* CHOOSE(CONTROL!$C$21, $C$9, 100%, $E$9)</f>
        <v>113.8313</v>
      </c>
      <c r="J995" s="14">
        <f>CHOOSE(CONTROL!$C$42, 113.4776, 113.4776)* CHOOSE(CONTROL!$C$21, $C$9, 100%, $E$9)</f>
        <v>113.4776</v>
      </c>
      <c r="K995" s="53">
        <f>CHOOSE(CONTROL!$C$42, 113.8274, 113.8274) * CHOOSE(CONTROL!$C$21, $C$9, 100%, $E$9)</f>
        <v>113.8274</v>
      </c>
      <c r="L995" s="14">
        <f>CHOOSE(CONTROL!$C$42, 114.1382, 114.1382) * CHOOSE(CONTROL!$C$21, $C$9, 100%, $E$9)</f>
        <v>114.1382</v>
      </c>
      <c r="M995" s="14">
        <f>CHOOSE(CONTROL!$C$42, 111.1602, 111.1602) * CHOOSE(CONTROL!$C$21, $C$9, 100%, $E$9)</f>
        <v>111.1602</v>
      </c>
      <c r="N995" s="14">
        <f>CHOOSE(CONTROL!$C$42, 111.1774, 111.1774) * CHOOSE(CONTROL!$C$21, $C$9, 100%, $E$9)</f>
        <v>111.17740000000001</v>
      </c>
      <c r="O995" s="14">
        <f>CHOOSE(CONTROL!$C$42, 111.2323, 111.2323) * CHOOSE(CONTROL!$C$21, $C$9, 100%, $E$9)</f>
        <v>111.2323</v>
      </c>
      <c r="P995" s="14">
        <f>CHOOSE(CONTROL!$C$42, 111.4996, 111.4996) * CHOOSE(CONTROL!$C$21, $C$9, 100%, $E$9)</f>
        <v>111.4996</v>
      </c>
      <c r="Q995" s="14">
        <f>CHOOSE(CONTROL!$C$42, 111.827, 111.827) * CHOOSE(CONTROL!$C$21, $C$9, 100%, $E$9)</f>
        <v>111.827</v>
      </c>
      <c r="R995" s="14">
        <f>CHOOSE(CONTROL!$C$42, 112.6935, 112.6935) * CHOOSE(CONTROL!$C$21, $C$9, 100%, $E$9)</f>
        <v>112.6935</v>
      </c>
      <c r="S995" s="14">
        <f>CHOOSE(CONTROL!$C$42, 109.0042, 109.0042) * CHOOSE(CONTROL!$C$21, $C$9, 100%, $E$9)</f>
        <v>109.0042</v>
      </c>
      <c r="T9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95" s="57">
        <f>(1000*CHOOSE(CONTROL!$C$42, 695, 695)*CHOOSE(CONTROL!$C$42, 0.5599, 0.5599)*CHOOSE(CONTROL!$C$42, 30, 30))/1000000</f>
        <v>11.673914999999997</v>
      </c>
      <c r="V995" s="57">
        <f>(1000*CHOOSE(CONTROL!$C$42, 500, 500)*CHOOSE(CONTROL!$C$42, 0.275, 0.275)*CHOOSE(CONTROL!$C$42, 30, 30))/1000000</f>
        <v>4.125</v>
      </c>
      <c r="W995" s="57">
        <f>(1000*CHOOSE(CONTROL!$C$42, 0.1146, 0.1146)*CHOOSE(CONTROL!$C$42, 121.5, 121.5)*CHOOSE(CONTROL!$C$42, 30, 30))/1000000</f>
        <v>0.417717</v>
      </c>
      <c r="X995" s="57">
        <f>(30*0.1790888*100000/1000000)+(30*0.2374*100000/1000000)</f>
        <v>1.2494664</v>
      </c>
      <c r="Y995" s="57"/>
      <c r="Z995" s="14"/>
      <c r="AA995" s="56"/>
      <c r="AB995" s="50">
        <f>(B995*122.58+C995*297.941+D995*89.177+E995*40.302+F995*40+G995*160+H995*0+I995*100+J995*300)/(122.58+297.941+89.177+40.302+0+40+160+100+300)</f>
        <v>113.50955798947825</v>
      </c>
      <c r="AC995" s="45">
        <f>(M995*'RAP TEMPLATE-GAS AVAILABILITY'!O994+N995*'RAP TEMPLATE-GAS AVAILABILITY'!P994+O995*'RAP TEMPLATE-GAS AVAILABILITY'!Q994+P995*'RAP TEMPLATE-GAS AVAILABILITY'!R994)/('RAP TEMPLATE-GAS AVAILABILITY'!O994+'RAP TEMPLATE-GAS AVAILABILITY'!P994+'RAP TEMPLATE-GAS AVAILABILITY'!Q994+'RAP TEMPLATE-GAS AVAILABILITY'!R994)</f>
        <v>111.24270287769785</v>
      </c>
    </row>
    <row r="996" spans="1:29" ht="15.75" x14ac:dyDescent="0.25">
      <c r="A996" s="32">
        <v>71224</v>
      </c>
      <c r="B996" s="14">
        <f>CHOOSE(CONTROL!$C$42, 121.1828, 121.1828) * CHOOSE(CONTROL!$C$21, $C$9, 100%, $E$9)</f>
        <v>121.1828</v>
      </c>
      <c r="C996" s="14">
        <f>CHOOSE(CONTROL!$C$42, 121.1879, 121.1879) * CHOOSE(CONTROL!$C$21, $C$9, 100%, $E$9)</f>
        <v>121.1879</v>
      </c>
      <c r="D996" s="14">
        <f>CHOOSE(CONTROL!$C$42, 121.2621, 121.2621) * CHOOSE(CONTROL!$C$21, $C$9, 100%, $E$9)</f>
        <v>121.2621</v>
      </c>
      <c r="E996" s="14">
        <f>CHOOSE(CONTROL!$C$42, 121.2962, 121.2962) * CHOOSE(CONTROL!$C$21, $C$9, 100%, $E$9)</f>
        <v>121.2962</v>
      </c>
      <c r="F996" s="14">
        <f>CHOOSE(CONTROL!$C$42, 121.2212, 121.2212)*CHOOSE(CONTROL!$C$21, $C$9, 100%, $E$9)</f>
        <v>121.2212</v>
      </c>
      <c r="G996" s="14">
        <f>CHOOSE(CONTROL!$C$42, 121.2393, 121.2393)*CHOOSE(CONTROL!$C$21, $C$9, 100%, $E$9)</f>
        <v>121.2393</v>
      </c>
      <c r="H996" s="14">
        <f>CHOOSE(CONTROL!$C$42, 121.2854, 121.2854) * CHOOSE(CONTROL!$C$21, $C$9, 100%, $E$9)</f>
        <v>121.2854</v>
      </c>
      <c r="I996" s="14">
        <f>CHOOSE(CONTROL!$C$42, 121.5898, 121.5898)* CHOOSE(CONTROL!$C$21, $C$9, 100%, $E$9)</f>
        <v>121.5898</v>
      </c>
      <c r="J996" s="14">
        <f>CHOOSE(CONTROL!$C$42, 121.2142, 121.2142)* CHOOSE(CONTROL!$C$21, $C$9, 100%, $E$9)</f>
        <v>121.21420000000001</v>
      </c>
      <c r="K996" s="53">
        <f>CHOOSE(CONTROL!$C$42, 121.5859, 121.5859) * CHOOSE(CONTROL!$C$21, $C$9, 100%, $E$9)</f>
        <v>121.5859</v>
      </c>
      <c r="L996" s="14">
        <f>CHOOSE(CONTROL!$C$42, 121.8724, 121.8724) * CHOOSE(CONTROL!$C$21, $C$9, 100%, $E$9)</f>
        <v>121.8724</v>
      </c>
      <c r="M996" s="14">
        <f>CHOOSE(CONTROL!$C$42, 118.7383, 118.7383) * CHOOSE(CONTROL!$C$21, $C$9, 100%, $E$9)</f>
        <v>118.7383</v>
      </c>
      <c r="N996" s="14">
        <f>CHOOSE(CONTROL!$C$42, 118.7561, 118.7561) * CHOOSE(CONTROL!$C$21, $C$9, 100%, $E$9)</f>
        <v>118.7561</v>
      </c>
      <c r="O996" s="14">
        <f>CHOOSE(CONTROL!$C$42, 118.808, 118.808) * CHOOSE(CONTROL!$C$21, $C$9, 100%, $E$9)</f>
        <v>118.80800000000001</v>
      </c>
      <c r="P996" s="14">
        <f>CHOOSE(CONTROL!$C$42, 119.0986, 119.0986) * CHOOSE(CONTROL!$C$21, $C$9, 100%, $E$9)</f>
        <v>119.0986</v>
      </c>
      <c r="Q996" s="14">
        <f>CHOOSE(CONTROL!$C$42, 119.4027, 119.4027) * CHOOSE(CONTROL!$C$21, $C$9, 100%, $E$9)</f>
        <v>119.4027</v>
      </c>
      <c r="R996" s="14">
        <f>CHOOSE(CONTROL!$C$42, 120.2882, 120.2882) * CHOOSE(CONTROL!$C$21, $C$9, 100%, $E$9)</f>
        <v>120.2882</v>
      </c>
      <c r="S996" s="14">
        <f>CHOOSE(CONTROL!$C$42, 116.436, 116.436) * CHOOSE(CONTROL!$C$21, $C$9, 100%, $E$9)</f>
        <v>116.43600000000001</v>
      </c>
      <c r="T9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96" s="57">
        <f>(1000*CHOOSE(CONTROL!$C$42, 695, 695)*CHOOSE(CONTROL!$C$42, 0.5599, 0.5599)*CHOOSE(CONTROL!$C$42, 31, 31))/1000000</f>
        <v>12.063045499999998</v>
      </c>
      <c r="V996" s="57">
        <f>(1000*CHOOSE(CONTROL!$C$42, 500, 500)*CHOOSE(CONTROL!$C$42, 0.275, 0.275)*CHOOSE(CONTROL!$C$42, 31, 31))/1000000</f>
        <v>4.2625000000000002</v>
      </c>
      <c r="W996" s="57">
        <f>(1000*CHOOSE(CONTROL!$C$42, 0.1146, 0.1146)*CHOOSE(CONTROL!$C$42, 121.5, 121.5)*CHOOSE(CONTROL!$C$42, 31, 31))/1000000</f>
        <v>0.43164089999999994</v>
      </c>
      <c r="X996" s="57">
        <f>(31*0.1790888*100000/1000000)+(31*0.2374*100000/1000000)</f>
        <v>1.2911152800000001</v>
      </c>
      <c r="Y996" s="57"/>
      <c r="Z996" s="14"/>
      <c r="AA996" s="56"/>
      <c r="AB996" s="50">
        <f>(B996*122.58+C996*297.941+D996*89.177+E996*40.302+F996*40+G996*160+H996*0+I996*100+J996*300)/(122.58+297.941+89.177+40.302+0+40+160+100+300)</f>
        <v>121.2470238973913</v>
      </c>
      <c r="AC996" s="45">
        <f>(M996*'RAP TEMPLATE-GAS AVAILABILITY'!O995+N996*'RAP TEMPLATE-GAS AVAILABILITY'!P995+O996*'RAP TEMPLATE-GAS AVAILABILITY'!Q995+P996*'RAP TEMPLATE-GAS AVAILABILITY'!R995)/('RAP TEMPLATE-GAS AVAILABILITY'!O995+'RAP TEMPLATE-GAS AVAILABILITY'!P995+'RAP TEMPLATE-GAS AVAILABILITY'!Q995+'RAP TEMPLATE-GAS AVAILABILITY'!R995)</f>
        <v>118.82275683453238</v>
      </c>
    </row>
    <row r="997" spans="1:29" ht="15.75" x14ac:dyDescent="0.25">
      <c r="A997" s="32">
        <v>71255</v>
      </c>
      <c r="B997" s="14">
        <f>CHOOSE(CONTROL!$C$42, 131.2281, 131.2281) * CHOOSE(CONTROL!$C$21, $C$9, 100%, $E$9)</f>
        <v>131.22810000000001</v>
      </c>
      <c r="C997" s="14">
        <f>CHOOSE(CONTROL!$C$42, 131.2332, 131.2332) * CHOOSE(CONTROL!$C$21, $C$9, 100%, $E$9)</f>
        <v>131.23320000000001</v>
      </c>
      <c r="D997" s="14">
        <f>CHOOSE(CONTROL!$C$42, 131.31, 131.31) * CHOOSE(CONTROL!$C$21, $C$9, 100%, $E$9)</f>
        <v>131.31</v>
      </c>
      <c r="E997" s="14">
        <f>CHOOSE(CONTROL!$C$42, 131.3441, 131.3441) * CHOOSE(CONTROL!$C$21, $C$9, 100%, $E$9)</f>
        <v>131.3441</v>
      </c>
      <c r="F997" s="14">
        <f>CHOOSE(CONTROL!$C$42, 131.2529, 131.2529)*CHOOSE(CONTROL!$C$21, $C$9, 100%, $E$9)</f>
        <v>131.25290000000001</v>
      </c>
      <c r="G997" s="14">
        <f>CHOOSE(CONTROL!$C$42, 131.2709, 131.2709)*CHOOSE(CONTROL!$C$21, $C$9, 100%, $E$9)</f>
        <v>131.27090000000001</v>
      </c>
      <c r="H997" s="14">
        <f>CHOOSE(CONTROL!$C$42, 131.3333, 131.3333) * CHOOSE(CONTROL!$C$21, $C$9, 100%, $E$9)</f>
        <v>131.33330000000001</v>
      </c>
      <c r="I997" s="14">
        <f>CHOOSE(CONTROL!$C$42, 131.6729, 131.6729)* CHOOSE(CONTROL!$C$21, $C$9, 100%, $E$9)</f>
        <v>131.6729</v>
      </c>
      <c r="J997" s="14">
        <f>CHOOSE(CONTROL!$C$42, 131.2459, 131.2459)* CHOOSE(CONTROL!$C$21, $C$9, 100%, $E$9)</f>
        <v>131.24590000000001</v>
      </c>
      <c r="K997" s="53">
        <f>CHOOSE(CONTROL!$C$42, 131.669, 131.669) * CHOOSE(CONTROL!$C$21, $C$9, 100%, $E$9)</f>
        <v>131.66900000000001</v>
      </c>
      <c r="L997" s="14">
        <f>CHOOSE(CONTROL!$C$42, 131.9203, 131.9203) * CHOOSE(CONTROL!$C$21, $C$9, 100%, $E$9)</f>
        <v>131.9203</v>
      </c>
      <c r="M997" s="14">
        <f>CHOOSE(CONTROL!$C$42, 128.5644, 128.5644) * CHOOSE(CONTROL!$C$21, $C$9, 100%, $E$9)</f>
        <v>128.56440000000001</v>
      </c>
      <c r="N997" s="14">
        <f>CHOOSE(CONTROL!$C$42, 128.582, 128.582) * CHOOSE(CONTROL!$C$21, $C$9, 100%, $E$9)</f>
        <v>128.58199999999999</v>
      </c>
      <c r="O997" s="14">
        <f>CHOOSE(CONTROL!$C$42, 128.6501, 128.6501) * CHOOSE(CONTROL!$C$21, $C$9, 100%, $E$9)</f>
        <v>128.65010000000001</v>
      </c>
      <c r="P997" s="14">
        <f>CHOOSE(CONTROL!$C$42, 128.9745, 128.9745) * CHOOSE(CONTROL!$C$21, $C$9, 100%, $E$9)</f>
        <v>128.97450000000001</v>
      </c>
      <c r="Q997" s="14">
        <f>CHOOSE(CONTROL!$C$42, 129.2448, 129.2448) * CHOOSE(CONTROL!$C$21, $C$9, 100%, $E$9)</f>
        <v>129.2448</v>
      </c>
      <c r="R997" s="14">
        <f>CHOOSE(CONTROL!$C$42, 130.1549, 130.1549) * CHOOSE(CONTROL!$C$21, $C$9, 100%, $E$9)</f>
        <v>130.1549</v>
      </c>
      <c r="S997" s="14">
        <f>CHOOSE(CONTROL!$C$42, 126.0886, 126.0886) * CHOOSE(CONTROL!$C$21, $C$9, 100%, $E$9)</f>
        <v>126.0886</v>
      </c>
      <c r="T9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97" s="57">
        <f>(1000*CHOOSE(CONTROL!$C$42, 695, 695)*CHOOSE(CONTROL!$C$42, 0.5599, 0.5599)*CHOOSE(CONTROL!$C$42, 31, 31))/1000000</f>
        <v>12.063045499999998</v>
      </c>
      <c r="V997" s="57">
        <f>(1000*CHOOSE(CONTROL!$C$42, 500, 500)*CHOOSE(CONTROL!$C$42, 0.275, 0.275)*CHOOSE(CONTROL!$C$42, 31, 31))/1000000</f>
        <v>4.2625000000000002</v>
      </c>
      <c r="W997" s="57">
        <f>(1000*CHOOSE(CONTROL!$C$42, 0.1146, 0.1146)*CHOOSE(CONTROL!$C$42, 121.5, 121.5)*CHOOSE(CONTROL!$C$42, 31, 31))/1000000</f>
        <v>0.43164089999999994</v>
      </c>
      <c r="X997" s="57">
        <f>(31*0.1790888*100000/1000000)+(31*0.2374*100000/1000000)</f>
        <v>1.2911152800000001</v>
      </c>
      <c r="Y997" s="57"/>
      <c r="Z997" s="14"/>
      <c r="AA997" s="56"/>
      <c r="AB997" s="50">
        <f>(B997*122.58+C997*297.941+D997*89.177+E997*40.302+F997*40+G997*160+H997*0+I997*100+J997*300)/(122.58+297.941+89.177+40.302+0+40+160+100+300)</f>
        <v>131.28997663252173</v>
      </c>
      <c r="AC997" s="45">
        <f>(M997*'RAP TEMPLATE-GAS AVAILABILITY'!O996+N997*'RAP TEMPLATE-GAS AVAILABILITY'!P996+O997*'RAP TEMPLATE-GAS AVAILABILITY'!Q996+P997*'RAP TEMPLATE-GAS AVAILABILITY'!R996)/('RAP TEMPLATE-GAS AVAILABILITY'!O996+'RAP TEMPLATE-GAS AVAILABILITY'!P996+'RAP TEMPLATE-GAS AVAILABILITY'!Q996+'RAP TEMPLATE-GAS AVAILABILITY'!R996)</f>
        <v>128.66326258992808</v>
      </c>
    </row>
    <row r="998" spans="1:29" ht="15.75" x14ac:dyDescent="0.25">
      <c r="A998" s="32">
        <v>71283</v>
      </c>
      <c r="B998" s="14">
        <f>CHOOSE(CONTROL!$C$42, 133.564, 133.564) * CHOOSE(CONTROL!$C$21, $C$9, 100%, $E$9)</f>
        <v>133.56399999999999</v>
      </c>
      <c r="C998" s="14">
        <f>CHOOSE(CONTROL!$C$42, 133.5691, 133.5691) * CHOOSE(CONTROL!$C$21, $C$9, 100%, $E$9)</f>
        <v>133.56909999999999</v>
      </c>
      <c r="D998" s="14">
        <f>CHOOSE(CONTROL!$C$42, 133.6459, 133.6459) * CHOOSE(CONTROL!$C$21, $C$9, 100%, $E$9)</f>
        <v>133.64590000000001</v>
      </c>
      <c r="E998" s="14">
        <f>CHOOSE(CONTROL!$C$42, 133.68, 133.68) * CHOOSE(CONTROL!$C$21, $C$9, 100%, $E$9)</f>
        <v>133.68</v>
      </c>
      <c r="F998" s="14">
        <f>CHOOSE(CONTROL!$C$42, 133.5884, 133.5884)*CHOOSE(CONTROL!$C$21, $C$9, 100%, $E$9)</f>
        <v>133.58840000000001</v>
      </c>
      <c r="G998" s="14">
        <f>CHOOSE(CONTROL!$C$42, 133.6062, 133.6062)*CHOOSE(CONTROL!$C$21, $C$9, 100%, $E$9)</f>
        <v>133.6062</v>
      </c>
      <c r="H998" s="14">
        <f>CHOOSE(CONTROL!$C$42, 133.6692, 133.6692) * CHOOSE(CONTROL!$C$21, $C$9, 100%, $E$9)</f>
        <v>133.66919999999999</v>
      </c>
      <c r="I998" s="14">
        <f>CHOOSE(CONTROL!$C$42, 134.0161, 134.0161)* CHOOSE(CONTROL!$C$21, $C$9, 100%, $E$9)</f>
        <v>134.01609999999999</v>
      </c>
      <c r="J998" s="14">
        <f>CHOOSE(CONTROL!$C$42, 133.5814, 133.5814)* CHOOSE(CONTROL!$C$21, $C$9, 100%, $E$9)</f>
        <v>133.5814</v>
      </c>
      <c r="K998" s="53">
        <f>CHOOSE(CONTROL!$C$42, 134.0122, 134.0122) * CHOOSE(CONTROL!$C$21, $C$9, 100%, $E$9)</f>
        <v>134.01220000000001</v>
      </c>
      <c r="L998" s="14">
        <f>CHOOSE(CONTROL!$C$42, 134.2562, 134.2562) * CHOOSE(CONTROL!$C$21, $C$9, 100%, $E$9)</f>
        <v>134.25620000000001</v>
      </c>
      <c r="M998" s="14">
        <f>CHOOSE(CONTROL!$C$42, 130.8521, 130.8521) * CHOOSE(CONTROL!$C$21, $C$9, 100%, $E$9)</f>
        <v>130.85210000000001</v>
      </c>
      <c r="N998" s="14">
        <f>CHOOSE(CONTROL!$C$42, 130.8696, 130.8696) * CHOOSE(CONTROL!$C$21, $C$9, 100%, $E$9)</f>
        <v>130.86959999999999</v>
      </c>
      <c r="O998" s="14">
        <f>CHOOSE(CONTROL!$C$42, 130.9381, 130.9381) * CHOOSE(CONTROL!$C$21, $C$9, 100%, $E$9)</f>
        <v>130.93809999999999</v>
      </c>
      <c r="P998" s="14">
        <f>CHOOSE(CONTROL!$C$42, 131.2695, 131.2695) * CHOOSE(CONTROL!$C$21, $C$9, 100%, $E$9)</f>
        <v>131.26949999999999</v>
      </c>
      <c r="Q998" s="14">
        <f>CHOOSE(CONTROL!$C$42, 131.5328, 131.5328) * CHOOSE(CONTROL!$C$21, $C$9, 100%, $E$9)</f>
        <v>131.53280000000001</v>
      </c>
      <c r="R998" s="14">
        <f>CHOOSE(CONTROL!$C$42, 132.4487, 132.4487) * CHOOSE(CONTROL!$C$21, $C$9, 100%, $E$9)</f>
        <v>132.4487</v>
      </c>
      <c r="S998" s="14">
        <f>CHOOSE(CONTROL!$C$42, 128.3331, 128.3331) * CHOOSE(CONTROL!$C$21, $C$9, 100%, $E$9)</f>
        <v>128.3331</v>
      </c>
      <c r="T99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98" s="57">
        <f>(1000*CHOOSE(CONTROL!$C$42, 695, 695)*CHOOSE(CONTROL!$C$42, 0.5599, 0.5599)*CHOOSE(CONTROL!$C$42, 28, 28))/1000000</f>
        <v>10.895653999999999</v>
      </c>
      <c r="V998" s="57">
        <f>(1000*CHOOSE(CONTROL!$C$42, 500, 500)*CHOOSE(CONTROL!$C$42, 0.275, 0.275)*CHOOSE(CONTROL!$C$42, 28, 28))/1000000</f>
        <v>3.85</v>
      </c>
      <c r="W998" s="57">
        <f>(1000*CHOOSE(CONTROL!$C$42, 0.1146, 0.1146)*CHOOSE(CONTROL!$C$42, 121.5, 121.5)*CHOOSE(CONTROL!$C$42, 28, 28))/1000000</f>
        <v>0.38986920000000003</v>
      </c>
      <c r="X998" s="57">
        <f>(28*0.1790888*100000/1000000)+(28*0.2374*100000/1000000)</f>
        <v>1.16616864</v>
      </c>
      <c r="Y998" s="57"/>
      <c r="Z998" s="14"/>
      <c r="AA998" s="56"/>
      <c r="AB998" s="50">
        <f>(B998*122.58+C998*297.941+D998*89.177+E998*40.302+F998*40+G998*160+H998*0+I998*100+J998*300)/(122.58+297.941+89.177+40.302+0+40+160+100+300)</f>
        <v>133.62630967600001</v>
      </c>
      <c r="AC998" s="45">
        <f>(M998*'RAP TEMPLATE-GAS AVAILABILITY'!O997+N998*'RAP TEMPLATE-GAS AVAILABILITY'!P997+O998*'RAP TEMPLATE-GAS AVAILABILITY'!Q997+P998*'RAP TEMPLATE-GAS AVAILABILITY'!R997)/('RAP TEMPLATE-GAS AVAILABILITY'!O997+'RAP TEMPLATE-GAS AVAILABILITY'!P997+'RAP TEMPLATE-GAS AVAILABILITY'!Q997+'RAP TEMPLATE-GAS AVAILABILITY'!R997)</f>
        <v>130.95214316546762</v>
      </c>
    </row>
    <row r="999" spans="1:29" ht="15.75" x14ac:dyDescent="0.25">
      <c r="A999" s="32">
        <v>71314</v>
      </c>
      <c r="B999" s="14">
        <f>CHOOSE(CONTROL!$C$42, 129.7723, 129.7723) * CHOOSE(CONTROL!$C$21, $C$9, 100%, $E$9)</f>
        <v>129.7723</v>
      </c>
      <c r="C999" s="14">
        <f>CHOOSE(CONTROL!$C$42, 129.7774, 129.7774) * CHOOSE(CONTROL!$C$21, $C$9, 100%, $E$9)</f>
        <v>129.7774</v>
      </c>
      <c r="D999" s="14">
        <f>CHOOSE(CONTROL!$C$42, 129.8542, 129.8542) * CHOOSE(CONTROL!$C$21, $C$9, 100%, $E$9)</f>
        <v>129.85419999999999</v>
      </c>
      <c r="E999" s="14">
        <f>CHOOSE(CONTROL!$C$42, 129.8883, 129.8883) * CHOOSE(CONTROL!$C$21, $C$9, 100%, $E$9)</f>
        <v>129.88829999999999</v>
      </c>
      <c r="F999" s="14">
        <f>CHOOSE(CONTROL!$C$42, 129.7958, 129.7958)*CHOOSE(CONTROL!$C$21, $C$9, 100%, $E$9)</f>
        <v>129.79580000000001</v>
      </c>
      <c r="G999" s="14">
        <f>CHOOSE(CONTROL!$C$42, 129.8134, 129.8134)*CHOOSE(CONTROL!$C$21, $C$9, 100%, $E$9)</f>
        <v>129.8134</v>
      </c>
      <c r="H999" s="14">
        <f>CHOOSE(CONTROL!$C$42, 129.8775, 129.8775) * CHOOSE(CONTROL!$C$21, $C$9, 100%, $E$9)</f>
        <v>129.8775</v>
      </c>
      <c r="I999" s="14">
        <f>CHOOSE(CONTROL!$C$42, 130.2125, 130.2125)* CHOOSE(CONTROL!$C$21, $C$9, 100%, $E$9)</f>
        <v>130.21250000000001</v>
      </c>
      <c r="J999" s="14">
        <f>CHOOSE(CONTROL!$C$42, 129.7888, 129.7888)* CHOOSE(CONTROL!$C$21, $C$9, 100%, $E$9)</f>
        <v>129.78880000000001</v>
      </c>
      <c r="K999" s="53">
        <f>CHOOSE(CONTROL!$C$42, 130.2086, 130.2086) * CHOOSE(CONTROL!$C$21, $C$9, 100%, $E$9)</f>
        <v>130.20859999999999</v>
      </c>
      <c r="L999" s="14">
        <f>CHOOSE(CONTROL!$C$42, 130.4645, 130.4645) * CHOOSE(CONTROL!$C$21, $C$9, 100%, $E$9)</f>
        <v>130.46449999999999</v>
      </c>
      <c r="M999" s="14">
        <f>CHOOSE(CONTROL!$C$42, 127.1372, 127.1372) * CHOOSE(CONTROL!$C$21, $C$9, 100%, $E$9)</f>
        <v>127.13720000000001</v>
      </c>
      <c r="N999" s="14">
        <f>CHOOSE(CONTROL!$C$42, 127.1545, 127.1545) * CHOOSE(CONTROL!$C$21, $C$9, 100%, $E$9)</f>
        <v>127.1545</v>
      </c>
      <c r="O999" s="14">
        <f>CHOOSE(CONTROL!$C$42, 127.2241, 127.2241) * CHOOSE(CONTROL!$C$21, $C$9, 100%, $E$9)</f>
        <v>127.22410000000001</v>
      </c>
      <c r="P999" s="14">
        <f>CHOOSE(CONTROL!$C$42, 127.5441, 127.5441) * CHOOSE(CONTROL!$C$21, $C$9, 100%, $E$9)</f>
        <v>127.5441</v>
      </c>
      <c r="Q999" s="14">
        <f>CHOOSE(CONTROL!$C$42, 127.8188, 127.8188) * CHOOSE(CONTROL!$C$21, $C$9, 100%, $E$9)</f>
        <v>127.8188</v>
      </c>
      <c r="R999" s="14">
        <f>CHOOSE(CONTROL!$C$42, 128.7254, 128.7254) * CHOOSE(CONTROL!$C$21, $C$9, 100%, $E$9)</f>
        <v>128.72540000000001</v>
      </c>
      <c r="S999" s="14">
        <f>CHOOSE(CONTROL!$C$42, 124.6897, 124.6897) * CHOOSE(CONTROL!$C$21, $C$9, 100%, $E$9)</f>
        <v>124.6897</v>
      </c>
      <c r="T9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9" s="57">
        <f>(1000*CHOOSE(CONTROL!$C$42, 695, 695)*CHOOSE(CONTROL!$C$42, 0.5599, 0.5599)*CHOOSE(CONTROL!$C$42, 31, 31))/1000000</f>
        <v>12.063045499999998</v>
      </c>
      <c r="V999" s="57">
        <f>(1000*CHOOSE(CONTROL!$C$42, 500, 500)*CHOOSE(CONTROL!$C$42, 0.275, 0.275)*CHOOSE(CONTROL!$C$42, 31, 31))/1000000</f>
        <v>4.2625000000000002</v>
      </c>
      <c r="W999" s="57">
        <f>(1000*CHOOSE(CONTROL!$C$42, 0.1146, 0.1146)*CHOOSE(CONTROL!$C$42, 121.5, 121.5)*CHOOSE(CONTROL!$C$42, 31, 31))/1000000</f>
        <v>0.43164089999999994</v>
      </c>
      <c r="X999" s="57">
        <f>(31*0.1790888*100000/1000000)+(31*0.2374*100000/1000000)</f>
        <v>1.2911152800000001</v>
      </c>
      <c r="Y999" s="57"/>
      <c r="Z999" s="14"/>
      <c r="AA999" s="56"/>
      <c r="AB999" s="50">
        <f>(B999*122.58+C999*297.941+D999*89.177+E999*40.302+F999*40+G999*160+H999*0+I999*100+J999*300)/(122.58+297.941+89.177+40.302+0+40+160+100+300)</f>
        <v>129.83315576295652</v>
      </c>
      <c r="AC999" s="45">
        <f>(M999*'RAP TEMPLATE-GAS AVAILABILITY'!O998+N999*'RAP TEMPLATE-GAS AVAILABILITY'!P998+O999*'RAP TEMPLATE-GAS AVAILABILITY'!Q998+P999*'RAP TEMPLATE-GAS AVAILABILITY'!R998)/('RAP TEMPLATE-GAS AVAILABILITY'!O998+'RAP TEMPLATE-GAS AVAILABILITY'!P998+'RAP TEMPLATE-GAS AVAILABILITY'!Q998+'RAP TEMPLATE-GAS AVAILABILITY'!R998)</f>
        <v>127.23612877697843</v>
      </c>
    </row>
    <row r="1000" spans="1:29" ht="15.75" x14ac:dyDescent="0.25">
      <c r="A1000" s="32">
        <v>71344</v>
      </c>
      <c r="B1000" s="14">
        <f>CHOOSE(CONTROL!$C$42, 129.3848, 129.3848) * CHOOSE(CONTROL!$C$21, $C$9, 100%, $E$9)</f>
        <v>129.38480000000001</v>
      </c>
      <c r="C1000" s="14">
        <f>CHOOSE(CONTROL!$C$42, 129.3893, 129.3893) * CHOOSE(CONTROL!$C$21, $C$9, 100%, $E$9)</f>
        <v>129.38929999999999</v>
      </c>
      <c r="D1000" s="14">
        <f>CHOOSE(CONTROL!$C$42, 129.613, 129.613) * CHOOSE(CONTROL!$C$21, $C$9, 100%, $E$9)</f>
        <v>129.613</v>
      </c>
      <c r="E1000" s="14">
        <f>CHOOSE(CONTROL!$C$42, 129.6451, 129.6451) * CHOOSE(CONTROL!$C$21, $C$9, 100%, $E$9)</f>
        <v>129.64510000000001</v>
      </c>
      <c r="F1000" s="14">
        <f>CHOOSE(CONTROL!$C$42, 129.4125, 129.4125)*CHOOSE(CONTROL!$C$21, $C$9, 100%, $E$9)</f>
        <v>129.41249999999999</v>
      </c>
      <c r="G1000" s="14">
        <f>CHOOSE(CONTROL!$C$42, 129.4294, 129.4294)*CHOOSE(CONTROL!$C$21, $C$9, 100%, $E$9)</f>
        <v>129.42939999999999</v>
      </c>
      <c r="H1000" s="14">
        <f>CHOOSE(CONTROL!$C$42, 129.6349, 129.6349) * CHOOSE(CONTROL!$C$21, $C$9, 100%, $E$9)</f>
        <v>129.63489999999999</v>
      </c>
      <c r="I1000" s="14">
        <f>CHOOSE(CONTROL!$C$42, 129.8193, 129.8193)* CHOOSE(CONTROL!$C$21, $C$9, 100%, $E$9)</f>
        <v>129.8193</v>
      </c>
      <c r="J1000" s="14">
        <f>CHOOSE(CONTROL!$C$42, 129.4055, 129.4055)* CHOOSE(CONTROL!$C$21, $C$9, 100%, $E$9)</f>
        <v>129.40549999999999</v>
      </c>
      <c r="K1000" s="53">
        <f>CHOOSE(CONTROL!$C$42, 129.8154, 129.8154) * CHOOSE(CONTROL!$C$21, $C$9, 100%, $E$9)</f>
        <v>129.81540000000001</v>
      </c>
      <c r="L1000" s="14">
        <f>CHOOSE(CONTROL!$C$42, 130.2219, 130.2219) * CHOOSE(CONTROL!$C$21, $C$9, 100%, $E$9)</f>
        <v>130.22190000000001</v>
      </c>
      <c r="M1000" s="14">
        <f>CHOOSE(CONTROL!$C$42, 126.7617, 126.7617) * CHOOSE(CONTROL!$C$21, $C$9, 100%, $E$9)</f>
        <v>126.7617</v>
      </c>
      <c r="N1000" s="14">
        <f>CHOOSE(CONTROL!$C$42, 126.7783, 126.7783) * CHOOSE(CONTROL!$C$21, $C$9, 100%, $E$9)</f>
        <v>126.7783</v>
      </c>
      <c r="O1000" s="14">
        <f>CHOOSE(CONTROL!$C$42, 126.9865, 126.9865) * CHOOSE(CONTROL!$C$21, $C$9, 100%, $E$9)</f>
        <v>126.98650000000001</v>
      </c>
      <c r="P1000" s="14">
        <f>CHOOSE(CONTROL!$C$42, 127.159, 127.159) * CHOOSE(CONTROL!$C$21, $C$9, 100%, $E$9)</f>
        <v>127.15900000000001</v>
      </c>
      <c r="Q1000" s="14">
        <f>CHOOSE(CONTROL!$C$42, 127.5812, 127.5812) * CHOOSE(CONTROL!$C$21, $C$9, 100%, $E$9)</f>
        <v>127.5812</v>
      </c>
      <c r="R1000" s="14">
        <f>CHOOSE(CONTROL!$C$42, 128.4871, 128.4871) * CHOOSE(CONTROL!$C$21, $C$9, 100%, $E$9)</f>
        <v>128.4871</v>
      </c>
      <c r="S1000" s="14">
        <f>CHOOSE(CONTROL!$C$42, 124.3166, 124.3166) * CHOOSE(CONTROL!$C$21, $C$9, 100%, $E$9)</f>
        <v>124.31659999999999</v>
      </c>
      <c r="T10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0" s="57">
        <f>(1000*CHOOSE(CONTROL!$C$42, 695, 695)*CHOOSE(CONTROL!$C$42, 0.5599, 0.5599)*CHOOSE(CONTROL!$C$42, 30, 30))/1000000</f>
        <v>11.673914999999997</v>
      </c>
      <c r="V1000" s="57">
        <f>(1000*CHOOSE(CONTROL!$C$42, 500, 500)*CHOOSE(CONTROL!$C$42, 0.275, 0.275)*CHOOSE(CONTROL!$C$42, 30, 30))/1000000</f>
        <v>4.125</v>
      </c>
      <c r="W1000" s="57">
        <f>(1000*CHOOSE(CONTROL!$C$42, 0.1146, 0.1146)*CHOOSE(CONTROL!$C$42, 121.5, 121.5)*CHOOSE(CONTROL!$C$42, 30, 30))/1000000</f>
        <v>0.417717</v>
      </c>
      <c r="X1000" s="57">
        <f>(30*0.1790888*245000/1000000)+(30*0.2374*100000/1000000)</f>
        <v>2.0285026799999999</v>
      </c>
      <c r="Y1000" s="57"/>
      <c r="Z1000" s="14"/>
      <c r="AA1000" s="56"/>
      <c r="AB1000" s="50">
        <f>(B1000*141.293+C1000*267.993+D1000*115.016+E1000*89.698+F1000*40+G1000*185+H1000*0+I1000*100+J1000*300)/(141.293+267.993+115.016+89.698+0+40+185+100+300)</f>
        <v>129.47343600411622</v>
      </c>
      <c r="AC1000" s="45">
        <f>(M1000*'RAP TEMPLATE-GAS AVAILABILITY'!O999+N1000*'RAP TEMPLATE-GAS AVAILABILITY'!P999+O1000*'RAP TEMPLATE-GAS AVAILABILITY'!Q999+P1000*'RAP TEMPLATE-GAS AVAILABILITY'!R999)/('RAP TEMPLATE-GAS AVAILABILITY'!O999+'RAP TEMPLATE-GAS AVAILABILITY'!P999+'RAP TEMPLATE-GAS AVAILABILITY'!Q999+'RAP TEMPLATE-GAS AVAILABILITY'!R999)</f>
        <v>126.92170863309352</v>
      </c>
    </row>
    <row r="1001" spans="1:29" ht="15.75" x14ac:dyDescent="0.25">
      <c r="A1001" s="32">
        <v>71375</v>
      </c>
      <c r="B1001" s="14">
        <f>CHOOSE(CONTROL!$C$42, 130.5281, 130.5281) * CHOOSE(CONTROL!$C$21, $C$9, 100%, $E$9)</f>
        <v>130.52809999999999</v>
      </c>
      <c r="C1001" s="14">
        <f>CHOOSE(CONTROL!$C$42, 130.5361, 130.5361) * CHOOSE(CONTROL!$C$21, $C$9, 100%, $E$9)</f>
        <v>130.5361</v>
      </c>
      <c r="D1001" s="14">
        <f>CHOOSE(CONTROL!$C$42, 130.7567, 130.7567) * CHOOSE(CONTROL!$C$21, $C$9, 100%, $E$9)</f>
        <v>130.7567</v>
      </c>
      <c r="E1001" s="14">
        <f>CHOOSE(CONTROL!$C$42, 130.7881, 130.7881) * CHOOSE(CONTROL!$C$21, $C$9, 100%, $E$9)</f>
        <v>130.78809999999999</v>
      </c>
      <c r="F1001" s="14">
        <f>CHOOSE(CONTROL!$C$42, 130.5543, 130.5543)*CHOOSE(CONTROL!$C$21, $C$9, 100%, $E$9)</f>
        <v>130.55430000000001</v>
      </c>
      <c r="G1001" s="14">
        <f>CHOOSE(CONTROL!$C$42, 130.5715, 130.5715)*CHOOSE(CONTROL!$C$21, $C$9, 100%, $E$9)</f>
        <v>130.57149999999999</v>
      </c>
      <c r="H1001" s="14">
        <f>CHOOSE(CONTROL!$C$42, 130.7768, 130.7768) * CHOOSE(CONTROL!$C$21, $C$9, 100%, $E$9)</f>
        <v>130.77680000000001</v>
      </c>
      <c r="I1001" s="14">
        <f>CHOOSE(CONTROL!$C$42, 130.9647, 130.9647)* CHOOSE(CONTROL!$C$21, $C$9, 100%, $E$9)</f>
        <v>130.96469999999999</v>
      </c>
      <c r="J1001" s="14">
        <f>CHOOSE(CONTROL!$C$42, 130.5473, 130.5473)* CHOOSE(CONTROL!$C$21, $C$9, 100%, $E$9)</f>
        <v>130.54730000000001</v>
      </c>
      <c r="K1001" s="53">
        <f>CHOOSE(CONTROL!$C$42, 130.9609, 130.9609) * CHOOSE(CONTROL!$C$21, $C$9, 100%, $E$9)</f>
        <v>130.96090000000001</v>
      </c>
      <c r="L1001" s="14">
        <f>CHOOSE(CONTROL!$C$42, 131.3638, 131.3638) * CHOOSE(CONTROL!$C$21, $C$9, 100%, $E$9)</f>
        <v>131.3638</v>
      </c>
      <c r="M1001" s="14">
        <f>CHOOSE(CONTROL!$C$42, 127.8802, 127.8802) * CHOOSE(CONTROL!$C$21, $C$9, 100%, $E$9)</f>
        <v>127.8802</v>
      </c>
      <c r="N1001" s="14">
        <f>CHOOSE(CONTROL!$C$42, 127.897, 127.897) * CHOOSE(CONTROL!$C$21, $C$9, 100%, $E$9)</f>
        <v>127.89700000000001</v>
      </c>
      <c r="O1001" s="14">
        <f>CHOOSE(CONTROL!$C$42, 128.1049, 128.1049) * CHOOSE(CONTROL!$C$21, $C$9, 100%, $E$9)</f>
        <v>128.10489999999999</v>
      </c>
      <c r="P1001" s="14">
        <f>CHOOSE(CONTROL!$C$42, 128.2809, 128.2809) * CHOOSE(CONTROL!$C$21, $C$9, 100%, $E$9)</f>
        <v>128.2809</v>
      </c>
      <c r="Q1001" s="14">
        <f>CHOOSE(CONTROL!$C$42, 128.6996, 128.6996) * CHOOSE(CONTROL!$C$21, $C$9, 100%, $E$9)</f>
        <v>128.6996</v>
      </c>
      <c r="R1001" s="14">
        <f>CHOOSE(CONTROL!$C$42, 129.6084, 129.6084) * CHOOSE(CONTROL!$C$21, $C$9, 100%, $E$9)</f>
        <v>129.60839999999999</v>
      </c>
      <c r="S1001" s="14">
        <f>CHOOSE(CONTROL!$C$42, 125.4138, 125.4138) * CHOOSE(CONTROL!$C$21, $C$9, 100%, $E$9)</f>
        <v>125.41379999999999</v>
      </c>
      <c r="T10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01" s="57">
        <f>(1000*CHOOSE(CONTROL!$C$42, 695, 695)*CHOOSE(CONTROL!$C$42, 0.5599, 0.5599)*CHOOSE(CONTROL!$C$42, 31, 31))/1000000</f>
        <v>12.063045499999998</v>
      </c>
      <c r="V1001" s="57">
        <f>(1000*CHOOSE(CONTROL!$C$42, 500, 500)*CHOOSE(CONTROL!$C$42, 0.275, 0.275)*CHOOSE(CONTROL!$C$42, 31, 31))/1000000</f>
        <v>4.2625000000000002</v>
      </c>
      <c r="W1001" s="57">
        <f>(1000*CHOOSE(CONTROL!$C$42, 0.1146, 0.1146)*CHOOSE(CONTROL!$C$42, 121.5, 121.5)*CHOOSE(CONTROL!$C$42, 31, 31))/1000000</f>
        <v>0.43164089999999994</v>
      </c>
      <c r="X1001" s="57">
        <f>(31*0.1790888*245000/1000000)+(31*0.2374*100000/1000000)</f>
        <v>2.0961194359999999</v>
      </c>
      <c r="Y1001" s="57"/>
      <c r="Z1001" s="14"/>
      <c r="AA1001" s="56"/>
      <c r="AB1001" s="50">
        <f>(B1001*194.205+C1001*267.466+D1001*133.845+E1001*53.484+F1001*40+G1001*185+H1001*0+I1001*100+J1001*300)/(194.205+267.466+133.845+53.484+0+40+185+100+300)</f>
        <v>130.61062710753532</v>
      </c>
      <c r="AC1001" s="45">
        <f>(M1001*'RAP TEMPLATE-GAS AVAILABILITY'!O1000+N1001*'RAP TEMPLATE-GAS AVAILABILITY'!P1000+O1001*'RAP TEMPLATE-GAS AVAILABILITY'!Q1000+P1001*'RAP TEMPLATE-GAS AVAILABILITY'!R1000)/('RAP TEMPLATE-GAS AVAILABILITY'!O1000+'RAP TEMPLATE-GAS AVAILABILITY'!P1000+'RAP TEMPLATE-GAS AVAILABILITY'!Q1000+'RAP TEMPLATE-GAS AVAILABILITY'!R1000)</f>
        <v>128.04066402877697</v>
      </c>
    </row>
    <row r="1002" spans="1:29" ht="15.75" x14ac:dyDescent="0.25">
      <c r="A1002" s="32">
        <v>71405</v>
      </c>
      <c r="B1002" s="14">
        <f>CHOOSE(CONTROL!$C$42, 134.2304, 134.2304) * CHOOSE(CONTROL!$C$21, $C$9, 100%, $E$9)</f>
        <v>134.2304</v>
      </c>
      <c r="C1002" s="14">
        <f>CHOOSE(CONTROL!$C$42, 134.2384, 134.2384) * CHOOSE(CONTROL!$C$21, $C$9, 100%, $E$9)</f>
        <v>134.23840000000001</v>
      </c>
      <c r="D1002" s="14">
        <f>CHOOSE(CONTROL!$C$42, 134.459, 134.459) * CHOOSE(CONTROL!$C$21, $C$9, 100%, $E$9)</f>
        <v>134.459</v>
      </c>
      <c r="E1002" s="14">
        <f>CHOOSE(CONTROL!$C$42, 134.4904, 134.4904) * CHOOSE(CONTROL!$C$21, $C$9, 100%, $E$9)</f>
        <v>134.49039999999999</v>
      </c>
      <c r="F1002" s="14">
        <f>CHOOSE(CONTROL!$C$42, 134.257, 134.257)*CHOOSE(CONTROL!$C$21, $C$9, 100%, $E$9)</f>
        <v>134.25700000000001</v>
      </c>
      <c r="G1002" s="14">
        <f>CHOOSE(CONTROL!$C$42, 134.2742, 134.2742)*CHOOSE(CONTROL!$C$21, $C$9, 100%, $E$9)</f>
        <v>134.27420000000001</v>
      </c>
      <c r="H1002" s="14">
        <f>CHOOSE(CONTROL!$C$42, 134.4791, 134.4791) * CHOOSE(CONTROL!$C$21, $C$9, 100%, $E$9)</f>
        <v>134.47909999999999</v>
      </c>
      <c r="I1002" s="14">
        <f>CHOOSE(CONTROL!$C$42, 134.6786, 134.6786)* CHOOSE(CONTROL!$C$21, $C$9, 100%, $E$9)</f>
        <v>134.67859999999999</v>
      </c>
      <c r="J1002" s="14">
        <f>CHOOSE(CONTROL!$C$42, 134.25, 134.25)* CHOOSE(CONTROL!$C$21, $C$9, 100%, $E$9)</f>
        <v>134.25</v>
      </c>
      <c r="K1002" s="53">
        <f>CHOOSE(CONTROL!$C$42, 134.6747, 134.6747) * CHOOSE(CONTROL!$C$21, $C$9, 100%, $E$9)</f>
        <v>134.6747</v>
      </c>
      <c r="L1002" s="14">
        <f>CHOOSE(CONTROL!$C$42, 135.0661, 135.0661) * CHOOSE(CONTROL!$C$21, $C$9, 100%, $E$9)</f>
        <v>135.06610000000001</v>
      </c>
      <c r="M1002" s="14">
        <f>CHOOSE(CONTROL!$C$42, 131.507, 131.507) * CHOOSE(CONTROL!$C$21, $C$9, 100%, $E$9)</f>
        <v>131.50700000000001</v>
      </c>
      <c r="N1002" s="14">
        <f>CHOOSE(CONTROL!$C$42, 131.5238, 131.5238) * CHOOSE(CONTROL!$C$21, $C$9, 100%, $E$9)</f>
        <v>131.52379999999999</v>
      </c>
      <c r="O1002" s="14">
        <f>CHOOSE(CONTROL!$C$42, 131.7314, 131.7314) * CHOOSE(CONTROL!$C$21, $C$9, 100%, $E$9)</f>
        <v>131.73140000000001</v>
      </c>
      <c r="P1002" s="14">
        <f>CHOOSE(CONTROL!$C$42, 131.9185, 131.9185) * CHOOSE(CONTROL!$C$21, $C$9, 100%, $E$9)</f>
        <v>131.91849999999999</v>
      </c>
      <c r="Q1002" s="14">
        <f>CHOOSE(CONTROL!$C$42, 132.3261, 132.3261) * CHOOSE(CONTROL!$C$21, $C$9, 100%, $E$9)</f>
        <v>132.3261</v>
      </c>
      <c r="R1002" s="14">
        <f>CHOOSE(CONTROL!$C$42, 133.2439, 133.2439) * CHOOSE(CONTROL!$C$21, $C$9, 100%, $E$9)</f>
        <v>133.2439</v>
      </c>
      <c r="S1002" s="14">
        <f>CHOOSE(CONTROL!$C$42, 128.9713, 128.9713) * CHOOSE(CONTROL!$C$21, $C$9, 100%, $E$9)</f>
        <v>128.97130000000001</v>
      </c>
      <c r="T10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02" s="57">
        <f>(1000*CHOOSE(CONTROL!$C$42, 695, 695)*CHOOSE(CONTROL!$C$42, 0.5599, 0.5599)*CHOOSE(CONTROL!$C$42, 30, 30))/1000000</f>
        <v>11.673914999999997</v>
      </c>
      <c r="V1002" s="57">
        <f>(1000*CHOOSE(CONTROL!$C$42, 500, 500)*CHOOSE(CONTROL!$C$42, 0.275, 0.275)*CHOOSE(CONTROL!$C$42, 30, 30))/1000000</f>
        <v>4.125</v>
      </c>
      <c r="W1002" s="57">
        <f>(1000*CHOOSE(CONTROL!$C$42, 0.1146, 0.1146)*CHOOSE(CONTROL!$C$42, 121.5, 121.5)*CHOOSE(CONTROL!$C$42, 30, 30))/1000000</f>
        <v>0.417717</v>
      </c>
      <c r="X1002" s="57">
        <f>(30*0.1790888*245000/1000000)+(30*0.2374*100000/1000000)</f>
        <v>2.0285026799999999</v>
      </c>
      <c r="Y1002" s="57"/>
      <c r="Z1002" s="14"/>
      <c r="AA1002" s="56"/>
      <c r="AB1002" s="50">
        <f>(B1002*194.205+C1002*267.466+D1002*133.845+E1002*53.484+F1002*40+G1002*185+H1002*0+I1002*100+J1002*300)/(194.205+267.466+133.845+53.484+0+40+185+100+300)</f>
        <v>134.31400246075353</v>
      </c>
      <c r="AC1002" s="45">
        <f>(M1002*'RAP TEMPLATE-GAS AVAILABILITY'!O1001+N1002*'RAP TEMPLATE-GAS AVAILABILITY'!P1001+O1002*'RAP TEMPLATE-GAS AVAILABILITY'!Q1001+P1002*'RAP TEMPLATE-GAS AVAILABILITY'!R1001)/('RAP TEMPLATE-GAS AVAILABILITY'!O1001+'RAP TEMPLATE-GAS AVAILABILITY'!P1001+'RAP TEMPLATE-GAS AVAILABILITY'!Q1001+'RAP TEMPLATE-GAS AVAILABILITY'!R1001)</f>
        <v>131.66888201438849</v>
      </c>
    </row>
    <row r="1003" spans="1:29" ht="15.75" x14ac:dyDescent="0.25">
      <c r="A1003" s="32">
        <v>71436</v>
      </c>
      <c r="B1003" s="14">
        <f>CHOOSE(CONTROL!$C$42, 131.6554, 131.6554) * CHOOSE(CONTROL!$C$21, $C$9, 100%, $E$9)</f>
        <v>131.65539999999999</v>
      </c>
      <c r="C1003" s="14">
        <f>CHOOSE(CONTROL!$C$42, 131.6634, 131.6634) * CHOOSE(CONTROL!$C$21, $C$9, 100%, $E$9)</f>
        <v>131.6634</v>
      </c>
      <c r="D1003" s="14">
        <f>CHOOSE(CONTROL!$C$42, 131.884, 131.884) * CHOOSE(CONTROL!$C$21, $C$9, 100%, $E$9)</f>
        <v>131.88399999999999</v>
      </c>
      <c r="E1003" s="14">
        <f>CHOOSE(CONTROL!$C$42, 131.9155, 131.9155) * CHOOSE(CONTROL!$C$21, $C$9, 100%, $E$9)</f>
        <v>131.91550000000001</v>
      </c>
      <c r="F1003" s="14">
        <f>CHOOSE(CONTROL!$C$42, 131.6825, 131.6825)*CHOOSE(CONTROL!$C$21, $C$9, 100%, $E$9)</f>
        <v>131.6825</v>
      </c>
      <c r="G1003" s="14">
        <f>CHOOSE(CONTROL!$C$42, 131.6998, 131.6998)*CHOOSE(CONTROL!$C$21, $C$9, 100%, $E$9)</f>
        <v>131.69980000000001</v>
      </c>
      <c r="H1003" s="14">
        <f>CHOOSE(CONTROL!$C$42, 131.9041, 131.9041) * CHOOSE(CONTROL!$C$21, $C$9, 100%, $E$9)</f>
        <v>131.9041</v>
      </c>
      <c r="I1003" s="14">
        <f>CHOOSE(CONTROL!$C$42, 132.0956, 132.0956)* CHOOSE(CONTROL!$C$21, $C$9, 100%, $E$9)</f>
        <v>132.09559999999999</v>
      </c>
      <c r="J1003" s="14">
        <f>CHOOSE(CONTROL!$C$42, 131.6755, 131.6755)* CHOOSE(CONTROL!$C$21, $C$9, 100%, $E$9)</f>
        <v>131.6755</v>
      </c>
      <c r="K1003" s="53">
        <f>CHOOSE(CONTROL!$C$42, 132.0917, 132.0917) * CHOOSE(CONTROL!$C$21, $C$9, 100%, $E$9)</f>
        <v>132.0917</v>
      </c>
      <c r="L1003" s="14">
        <f>CHOOSE(CONTROL!$C$42, 132.4911, 132.4911) * CHOOSE(CONTROL!$C$21, $C$9, 100%, $E$9)</f>
        <v>132.49109999999999</v>
      </c>
      <c r="M1003" s="14">
        <f>CHOOSE(CONTROL!$C$42, 128.9852, 128.9852) * CHOOSE(CONTROL!$C$21, $C$9, 100%, $E$9)</f>
        <v>128.98519999999999</v>
      </c>
      <c r="N1003" s="14">
        <f>CHOOSE(CONTROL!$C$42, 129.0022, 129.0022) * CHOOSE(CONTROL!$C$21, $C$9, 100%, $E$9)</f>
        <v>129.00219999999999</v>
      </c>
      <c r="O1003" s="14">
        <f>CHOOSE(CONTROL!$C$42, 129.2092, 129.2092) * CHOOSE(CONTROL!$C$21, $C$9, 100%, $E$9)</f>
        <v>129.20920000000001</v>
      </c>
      <c r="P1003" s="14">
        <f>CHOOSE(CONTROL!$C$42, 129.3885, 129.3885) * CHOOSE(CONTROL!$C$21, $C$9, 100%, $E$9)</f>
        <v>129.38849999999999</v>
      </c>
      <c r="Q1003" s="14">
        <f>CHOOSE(CONTROL!$C$42, 129.8039, 129.8039) * CHOOSE(CONTROL!$C$21, $C$9, 100%, $E$9)</f>
        <v>129.8039</v>
      </c>
      <c r="R1003" s="14">
        <f>CHOOSE(CONTROL!$C$42, 130.7154, 130.7154) * CHOOSE(CONTROL!$C$21, $C$9, 100%, $E$9)</f>
        <v>130.71539999999999</v>
      </c>
      <c r="S1003" s="14">
        <f>CHOOSE(CONTROL!$C$42, 126.497, 126.497) * CHOOSE(CONTROL!$C$21, $C$9, 100%, $E$9)</f>
        <v>126.497</v>
      </c>
      <c r="T10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03" s="57">
        <f>(1000*CHOOSE(CONTROL!$C$42, 695, 695)*CHOOSE(CONTROL!$C$42, 0.5599, 0.5599)*CHOOSE(CONTROL!$C$42, 31, 31))/1000000</f>
        <v>12.063045499999998</v>
      </c>
      <c r="V1003" s="57">
        <f>(1000*CHOOSE(CONTROL!$C$42, 500, 500)*CHOOSE(CONTROL!$C$42, 0.275, 0.275)*CHOOSE(CONTROL!$C$42, 31, 31))/1000000</f>
        <v>4.2625000000000002</v>
      </c>
      <c r="W1003" s="57">
        <f>(1000*CHOOSE(CONTROL!$C$42, 0.1146, 0.1146)*CHOOSE(CONTROL!$C$42, 121.5, 121.5)*CHOOSE(CONTROL!$C$42, 31, 31))/1000000</f>
        <v>0.43164089999999994</v>
      </c>
      <c r="X1003" s="57">
        <f>(31*0.1790888*245000/1000000)+(31*0.2374*100000/1000000)</f>
        <v>2.0961194359999999</v>
      </c>
      <c r="Y1003" s="57"/>
      <c r="Z1003" s="14"/>
      <c r="AA1003" s="56"/>
      <c r="AB1003" s="50">
        <f>(B1003*194.205+C1003*267.466+D1003*133.845+E1003*53.484+F1003*40+G1003*185+H1003*0+I1003*100+J1003*300)/(194.205+267.466+133.845+53.484+0+40+185+100+300)</f>
        <v>131.73859928053378</v>
      </c>
      <c r="AC1003" s="45">
        <f>(M1003*'RAP TEMPLATE-GAS AVAILABILITY'!O1002+N1003*'RAP TEMPLATE-GAS AVAILABILITY'!P1002+O1003*'RAP TEMPLATE-GAS AVAILABILITY'!Q1002+P1003*'RAP TEMPLATE-GAS AVAILABILITY'!R1002)/('RAP TEMPLATE-GAS AVAILABILITY'!O1002+'RAP TEMPLATE-GAS AVAILABILITY'!P1002+'RAP TEMPLATE-GAS AVAILABILITY'!Q1002+'RAP TEMPLATE-GAS AVAILABILITY'!R1002)</f>
        <v>129.1457323741007</v>
      </c>
    </row>
    <row r="1004" spans="1:29" ht="15.75" x14ac:dyDescent="0.25">
      <c r="A1004" s="32">
        <v>71467</v>
      </c>
      <c r="B1004" s="14">
        <f>CHOOSE(CONTROL!$C$42, 125.1528, 125.1528) * CHOOSE(CONTROL!$C$21, $C$9, 100%, $E$9)</f>
        <v>125.1528</v>
      </c>
      <c r="C1004" s="14">
        <f>CHOOSE(CONTROL!$C$42, 125.1608, 125.1608) * CHOOSE(CONTROL!$C$21, $C$9, 100%, $E$9)</f>
        <v>125.16079999999999</v>
      </c>
      <c r="D1004" s="14">
        <f>CHOOSE(CONTROL!$C$42, 125.3814, 125.3814) * CHOOSE(CONTROL!$C$21, $C$9, 100%, $E$9)</f>
        <v>125.3814</v>
      </c>
      <c r="E1004" s="14">
        <f>CHOOSE(CONTROL!$C$42, 125.4129, 125.4129) * CHOOSE(CONTROL!$C$21, $C$9, 100%, $E$9)</f>
        <v>125.41289999999999</v>
      </c>
      <c r="F1004" s="14">
        <f>CHOOSE(CONTROL!$C$42, 125.1802, 125.1802)*CHOOSE(CONTROL!$C$21, $C$9, 100%, $E$9)</f>
        <v>125.1802</v>
      </c>
      <c r="G1004" s="14">
        <f>CHOOSE(CONTROL!$C$42, 125.1976, 125.1976)*CHOOSE(CONTROL!$C$21, $C$9, 100%, $E$9)</f>
        <v>125.19759999999999</v>
      </c>
      <c r="H1004" s="14">
        <f>CHOOSE(CONTROL!$C$42, 125.4015, 125.4015) * CHOOSE(CONTROL!$C$21, $C$9, 100%, $E$9)</f>
        <v>125.4015</v>
      </c>
      <c r="I1004" s="14">
        <f>CHOOSE(CONTROL!$C$42, 125.5727, 125.5727)* CHOOSE(CONTROL!$C$21, $C$9, 100%, $E$9)</f>
        <v>125.5727</v>
      </c>
      <c r="J1004" s="14">
        <f>CHOOSE(CONTROL!$C$42, 125.1732, 125.1732)* CHOOSE(CONTROL!$C$21, $C$9, 100%, $E$9)</f>
        <v>125.17319999999999</v>
      </c>
      <c r="K1004" s="53">
        <f>CHOOSE(CONTROL!$C$42, 125.5688, 125.5688) * CHOOSE(CONTROL!$C$21, $C$9, 100%, $E$9)</f>
        <v>125.5688</v>
      </c>
      <c r="L1004" s="14">
        <f>CHOOSE(CONTROL!$C$42, 125.9885, 125.9885) * CHOOSE(CONTROL!$C$21, $C$9, 100%, $E$9)</f>
        <v>125.9885</v>
      </c>
      <c r="M1004" s="14">
        <f>CHOOSE(CONTROL!$C$42, 122.6162, 122.6162) * CHOOSE(CONTROL!$C$21, $C$9, 100%, $E$9)</f>
        <v>122.61620000000001</v>
      </c>
      <c r="N1004" s="14">
        <f>CHOOSE(CONTROL!$C$42, 122.6332, 122.6332) * CHOOSE(CONTROL!$C$21, $C$9, 100%, $E$9)</f>
        <v>122.6332</v>
      </c>
      <c r="O1004" s="14">
        <f>CHOOSE(CONTROL!$C$42, 122.8398, 122.8398) * CHOOSE(CONTROL!$C$21, $C$9, 100%, $E$9)</f>
        <v>122.8398</v>
      </c>
      <c r="P1004" s="14">
        <f>CHOOSE(CONTROL!$C$42, 122.9996, 122.9996) * CHOOSE(CONTROL!$C$21, $C$9, 100%, $E$9)</f>
        <v>122.9996</v>
      </c>
      <c r="Q1004" s="14">
        <f>CHOOSE(CONTROL!$C$42, 123.4345, 123.4345) * CHOOSE(CONTROL!$C$21, $C$9, 100%, $E$9)</f>
        <v>123.4345</v>
      </c>
      <c r="R1004" s="14">
        <f>CHOOSE(CONTROL!$C$42, 124.3301, 124.3301) * CHOOSE(CONTROL!$C$21, $C$9, 100%, $E$9)</f>
        <v>124.3301</v>
      </c>
      <c r="S1004" s="14">
        <f>CHOOSE(CONTROL!$C$42, 120.2487, 120.2487) * CHOOSE(CONTROL!$C$21, $C$9, 100%, $E$9)</f>
        <v>120.2487</v>
      </c>
      <c r="T10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04" s="57">
        <f>(1000*CHOOSE(CONTROL!$C$42, 695, 695)*CHOOSE(CONTROL!$C$42, 0.5599, 0.5599)*CHOOSE(CONTROL!$C$42, 31, 31))/1000000</f>
        <v>12.063045499999998</v>
      </c>
      <c r="V1004" s="57">
        <f>(1000*CHOOSE(CONTROL!$C$42, 500, 500)*CHOOSE(CONTROL!$C$42, 0.275, 0.275)*CHOOSE(CONTROL!$C$42, 31, 31))/1000000</f>
        <v>4.2625000000000002</v>
      </c>
      <c r="W1004" s="57">
        <f>(1000*CHOOSE(CONTROL!$C$42, 0.1146, 0.1146)*CHOOSE(CONTROL!$C$42, 121.5, 121.5)*CHOOSE(CONTROL!$C$42, 31, 31))/1000000</f>
        <v>0.43164089999999994</v>
      </c>
      <c r="X1004" s="57">
        <f>(31*0.1790888*245000/1000000)+(31*0.2374*100000/1000000)</f>
        <v>2.0961194359999999</v>
      </c>
      <c r="Y1004" s="57"/>
      <c r="Z1004" s="14"/>
      <c r="AA1004" s="56"/>
      <c r="AB1004" s="50">
        <f>(B1004*194.205+C1004*267.466+D1004*133.845+E1004*53.484+F1004*40+G1004*185+H1004*0+I1004*100+J1004*300)/(194.205+267.466+133.845+53.484+0+40+185+100+300)</f>
        <v>125.23454402150706</v>
      </c>
      <c r="AC1004" s="45">
        <f>(M1004*'RAP TEMPLATE-GAS AVAILABILITY'!O1003+N1004*'RAP TEMPLATE-GAS AVAILABILITY'!P1003+O1004*'RAP TEMPLATE-GAS AVAILABILITY'!Q1003+P1004*'RAP TEMPLATE-GAS AVAILABILITY'!R1003)/('RAP TEMPLATE-GAS AVAILABILITY'!O1003+'RAP TEMPLATE-GAS AVAILABILITY'!P1003+'RAP TEMPLATE-GAS AVAILABILITY'!Q1003+'RAP TEMPLATE-GAS AVAILABILITY'!R1003)</f>
        <v>122.77368776978417</v>
      </c>
    </row>
    <row r="1005" spans="1:29" ht="15.75" x14ac:dyDescent="0.25">
      <c r="A1005" s="32">
        <v>71497</v>
      </c>
      <c r="B1005" s="14">
        <f>CHOOSE(CONTROL!$C$42, 117.2077, 117.2077) * CHOOSE(CONTROL!$C$21, $C$9, 100%, $E$9)</f>
        <v>117.2077</v>
      </c>
      <c r="C1005" s="14">
        <f>CHOOSE(CONTROL!$C$42, 117.2157, 117.2157) * CHOOSE(CONTROL!$C$21, $C$9, 100%, $E$9)</f>
        <v>117.2157</v>
      </c>
      <c r="D1005" s="14">
        <f>CHOOSE(CONTROL!$C$42, 117.4363, 117.4363) * CHOOSE(CONTROL!$C$21, $C$9, 100%, $E$9)</f>
        <v>117.4363</v>
      </c>
      <c r="E1005" s="14">
        <f>CHOOSE(CONTROL!$C$42, 117.4677, 117.4677) * CHOOSE(CONTROL!$C$21, $C$9, 100%, $E$9)</f>
        <v>117.46769999999999</v>
      </c>
      <c r="F1005" s="14">
        <f>CHOOSE(CONTROL!$C$42, 117.235, 117.235)*CHOOSE(CONTROL!$C$21, $C$9, 100%, $E$9)</f>
        <v>117.235</v>
      </c>
      <c r="G1005" s="14">
        <f>CHOOSE(CONTROL!$C$42, 117.2524, 117.2524)*CHOOSE(CONTROL!$C$21, $C$9, 100%, $E$9)</f>
        <v>117.25239999999999</v>
      </c>
      <c r="H1005" s="14">
        <f>CHOOSE(CONTROL!$C$42, 117.4564, 117.4564) * CHOOSE(CONTROL!$C$21, $C$9, 100%, $E$9)</f>
        <v>117.4564</v>
      </c>
      <c r="I1005" s="14">
        <f>CHOOSE(CONTROL!$C$42, 117.6026, 117.6026)* CHOOSE(CONTROL!$C$21, $C$9, 100%, $E$9)</f>
        <v>117.6026</v>
      </c>
      <c r="J1005" s="14">
        <f>CHOOSE(CONTROL!$C$42, 117.228, 117.228)* CHOOSE(CONTROL!$C$21, $C$9, 100%, $E$9)</f>
        <v>117.22799999999999</v>
      </c>
      <c r="K1005" s="53">
        <f>CHOOSE(CONTROL!$C$42, 117.5987, 117.5987) * CHOOSE(CONTROL!$C$21, $C$9, 100%, $E$9)</f>
        <v>117.59869999999999</v>
      </c>
      <c r="L1005" s="14">
        <f>CHOOSE(CONTROL!$C$42, 118.0434, 118.0434) * CHOOSE(CONTROL!$C$21, $C$9, 100%, $E$9)</f>
        <v>118.04340000000001</v>
      </c>
      <c r="M1005" s="14">
        <f>CHOOSE(CONTROL!$C$42, 114.8338, 114.8338) * CHOOSE(CONTROL!$C$21, $C$9, 100%, $E$9)</f>
        <v>114.8338</v>
      </c>
      <c r="N1005" s="14">
        <f>CHOOSE(CONTROL!$C$42, 114.8508, 114.8508) * CHOOSE(CONTROL!$C$21, $C$9, 100%, $E$9)</f>
        <v>114.85080000000001</v>
      </c>
      <c r="O1005" s="14">
        <f>CHOOSE(CONTROL!$C$42, 115.0575, 115.0575) * CHOOSE(CONTROL!$C$21, $C$9, 100%, $E$9)</f>
        <v>115.0575</v>
      </c>
      <c r="P1005" s="14">
        <f>CHOOSE(CONTROL!$C$42, 115.1934, 115.1934) * CHOOSE(CONTROL!$C$21, $C$9, 100%, $E$9)</f>
        <v>115.1934</v>
      </c>
      <c r="Q1005" s="14">
        <f>CHOOSE(CONTROL!$C$42, 115.6522, 115.6522) * CHOOSE(CONTROL!$C$21, $C$9, 100%, $E$9)</f>
        <v>115.65219999999999</v>
      </c>
      <c r="R1005" s="14">
        <f>CHOOSE(CONTROL!$C$42, 116.5283, 116.5283) * CHOOSE(CONTROL!$C$21, $C$9, 100%, $E$9)</f>
        <v>116.5283</v>
      </c>
      <c r="S1005" s="14">
        <f>CHOOSE(CONTROL!$C$42, 112.6142, 112.6142) * CHOOSE(CONTROL!$C$21, $C$9, 100%, $E$9)</f>
        <v>112.6142</v>
      </c>
      <c r="T10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05" s="57">
        <f>(1000*CHOOSE(CONTROL!$C$42, 695, 695)*CHOOSE(CONTROL!$C$42, 0.5599, 0.5599)*CHOOSE(CONTROL!$C$42, 30, 30))/1000000</f>
        <v>11.673914999999997</v>
      </c>
      <c r="V1005" s="57">
        <f>(1000*CHOOSE(CONTROL!$C$42, 500, 500)*CHOOSE(CONTROL!$C$42, 0.275, 0.275)*CHOOSE(CONTROL!$C$42, 30, 30))/1000000</f>
        <v>4.125</v>
      </c>
      <c r="W1005" s="57">
        <f>(1000*CHOOSE(CONTROL!$C$42, 0.1146, 0.1146)*CHOOSE(CONTROL!$C$42, 121.5, 121.5)*CHOOSE(CONTROL!$C$42, 30, 30))/1000000</f>
        <v>0.417717</v>
      </c>
      <c r="X1005" s="57">
        <f>(30*0.1790888*245000/1000000)+(30*0.2374*100000/1000000)</f>
        <v>2.0285026799999999</v>
      </c>
      <c r="Y1005" s="57"/>
      <c r="Z1005" s="14"/>
      <c r="AA1005" s="56"/>
      <c r="AB1005" s="50">
        <f>(B1005*194.205+C1005*267.466+D1005*133.845+E1005*53.484+F1005*40+G1005*185+H1005*0+I1005*100+J1005*300)/(194.205+267.466+133.845+53.484+0+40+185+100+300)</f>
        <v>117.28743629120878</v>
      </c>
      <c r="AC1005" s="45">
        <f>(M1005*'RAP TEMPLATE-GAS AVAILABILITY'!O1004+N1005*'RAP TEMPLATE-GAS AVAILABILITY'!P1004+O1005*'RAP TEMPLATE-GAS AVAILABILITY'!Q1004+P1005*'RAP TEMPLATE-GAS AVAILABILITY'!R1004)/('RAP TEMPLATE-GAS AVAILABILITY'!O1004+'RAP TEMPLATE-GAS AVAILABILITY'!P1004+'RAP TEMPLATE-GAS AVAILABILITY'!Q1004+'RAP TEMPLATE-GAS AVAILABILITY'!R1004)</f>
        <v>114.98790863309353</v>
      </c>
    </row>
    <row r="1006" spans="1:29" ht="15.75" x14ac:dyDescent="0.25">
      <c r="A1006" s="32">
        <v>71528</v>
      </c>
      <c r="B1006" s="14">
        <f>CHOOSE(CONTROL!$C$42, 114.8263, 114.8263) * CHOOSE(CONTROL!$C$21, $C$9, 100%, $E$9)</f>
        <v>114.8263</v>
      </c>
      <c r="C1006" s="14">
        <f>CHOOSE(CONTROL!$C$42, 114.8317, 114.8317) * CHOOSE(CONTROL!$C$21, $C$9, 100%, $E$9)</f>
        <v>114.8317</v>
      </c>
      <c r="D1006" s="14">
        <f>CHOOSE(CONTROL!$C$42, 115.0572, 115.0572) * CHOOSE(CONTROL!$C$21, $C$9, 100%, $E$9)</f>
        <v>115.05719999999999</v>
      </c>
      <c r="E1006" s="14">
        <f>CHOOSE(CONTROL!$C$42, 115.0863, 115.0863) * CHOOSE(CONTROL!$C$21, $C$9, 100%, $E$9)</f>
        <v>115.08629999999999</v>
      </c>
      <c r="F1006" s="14">
        <f>CHOOSE(CONTROL!$C$42, 114.8557, 114.8557)*CHOOSE(CONTROL!$C$21, $C$9, 100%, $E$9)</f>
        <v>114.8557</v>
      </c>
      <c r="G1006" s="14">
        <f>CHOOSE(CONTROL!$C$42, 114.8729, 114.8729)*CHOOSE(CONTROL!$C$21, $C$9, 100%, $E$9)</f>
        <v>114.8729</v>
      </c>
      <c r="H1006" s="14">
        <f>CHOOSE(CONTROL!$C$42, 115.0768, 115.0768) * CHOOSE(CONTROL!$C$21, $C$9, 100%, $E$9)</f>
        <v>115.07680000000001</v>
      </c>
      <c r="I1006" s="14">
        <f>CHOOSE(CONTROL!$C$42, 115.2156, 115.2156)* CHOOSE(CONTROL!$C$21, $C$9, 100%, $E$9)</f>
        <v>115.21559999999999</v>
      </c>
      <c r="J1006" s="14">
        <f>CHOOSE(CONTROL!$C$42, 114.8487, 114.8487)* CHOOSE(CONTROL!$C$21, $C$9, 100%, $E$9)</f>
        <v>114.84869999999999</v>
      </c>
      <c r="K1006" s="53">
        <f>CHOOSE(CONTROL!$C$42, 115.2117, 115.2117) * CHOOSE(CONTROL!$C$21, $C$9, 100%, $E$9)</f>
        <v>115.21169999999999</v>
      </c>
      <c r="L1006" s="14">
        <f>CHOOSE(CONTROL!$C$42, 115.6638, 115.6638) * CHOOSE(CONTROL!$C$21, $C$9, 100%, $E$9)</f>
        <v>115.66379999999999</v>
      </c>
      <c r="M1006" s="14">
        <f>CHOOSE(CONTROL!$C$42, 112.5032, 112.5032) * CHOOSE(CONTROL!$C$21, $C$9, 100%, $E$9)</f>
        <v>112.50320000000001</v>
      </c>
      <c r="N1006" s="14">
        <f>CHOOSE(CONTROL!$C$42, 112.5201, 112.5201) * CHOOSE(CONTROL!$C$21, $C$9, 100%, $E$9)</f>
        <v>112.5201</v>
      </c>
      <c r="O1006" s="14">
        <f>CHOOSE(CONTROL!$C$42, 112.7267, 112.7267) * CHOOSE(CONTROL!$C$21, $C$9, 100%, $E$9)</f>
        <v>112.72669999999999</v>
      </c>
      <c r="P1006" s="14">
        <f>CHOOSE(CONTROL!$C$42, 112.8555, 112.8555) * CHOOSE(CONTROL!$C$21, $C$9, 100%, $E$9)</f>
        <v>112.85550000000001</v>
      </c>
      <c r="Q1006" s="14">
        <f>CHOOSE(CONTROL!$C$42, 113.3214, 113.3214) * CHOOSE(CONTROL!$C$21, $C$9, 100%, $E$9)</f>
        <v>113.3214</v>
      </c>
      <c r="R1006" s="14">
        <f>CHOOSE(CONTROL!$C$42, 114.1917, 114.1917) * CHOOSE(CONTROL!$C$21, $C$9, 100%, $E$9)</f>
        <v>114.1917</v>
      </c>
      <c r="S1006" s="14">
        <f>CHOOSE(CONTROL!$C$42, 110.3277, 110.3277) * CHOOSE(CONTROL!$C$21, $C$9, 100%, $E$9)</f>
        <v>110.32769999999999</v>
      </c>
      <c r="T10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06" s="57">
        <f>(1000*CHOOSE(CONTROL!$C$42, 695, 695)*CHOOSE(CONTROL!$C$42, 0.5599, 0.5599)*CHOOSE(CONTROL!$C$42, 31, 31))/1000000</f>
        <v>12.063045499999998</v>
      </c>
      <c r="V1006" s="57">
        <f>(1000*CHOOSE(CONTROL!$C$42, 500, 500)*CHOOSE(CONTROL!$C$42, 0.275, 0.275)*CHOOSE(CONTROL!$C$42, 31, 31))/1000000</f>
        <v>4.2625000000000002</v>
      </c>
      <c r="W1006" s="57">
        <f>(1000*CHOOSE(CONTROL!$C$42, 0.1146, 0.1146)*CHOOSE(CONTROL!$C$42, 121.5, 121.5)*CHOOSE(CONTROL!$C$42, 31, 31))/1000000</f>
        <v>0.43164089999999994</v>
      </c>
      <c r="X1006" s="57">
        <f>(31*0.1790888*245000/1000000)+(31*0.2374*100000/1000000)</f>
        <v>2.0961194359999999</v>
      </c>
      <c r="Y1006" s="57"/>
      <c r="Z1006" s="14"/>
      <c r="AA1006" s="56"/>
      <c r="AB1006" s="50">
        <f>(B1006*131.881+C1006*277.167+D1006*79.08+E1006*125.872+F1006*40+G1006*185+H1006*0+I1006*100+J1006*300)/(131.881+277.167+79.08+125.872+0+40+185+100+300)</f>
        <v>114.91341056803876</v>
      </c>
      <c r="AC1006" s="45">
        <f>(M1006*'RAP TEMPLATE-GAS AVAILABILITY'!O1005+N1006*'RAP TEMPLATE-GAS AVAILABILITY'!P1005+O1006*'RAP TEMPLATE-GAS AVAILABILITY'!Q1005+P1006*'RAP TEMPLATE-GAS AVAILABILITY'!R1005)/('RAP TEMPLATE-GAS AVAILABILITY'!O1005+'RAP TEMPLATE-GAS AVAILABILITY'!P1005+'RAP TEMPLATE-GAS AVAILABILITY'!Q1005+'RAP TEMPLATE-GAS AVAILABILITY'!R1005)</f>
        <v>112.6561618705036</v>
      </c>
    </row>
    <row r="1007" spans="1:29" ht="15.75" x14ac:dyDescent="0.25">
      <c r="A1007" s="32">
        <v>71558</v>
      </c>
      <c r="B1007" s="14">
        <f>CHOOSE(CONTROL!$C$42, 117.8507, 117.8507) * CHOOSE(CONTROL!$C$21, $C$9, 100%, $E$9)</f>
        <v>117.8507</v>
      </c>
      <c r="C1007" s="14">
        <f>CHOOSE(CONTROL!$C$42, 117.8558, 117.8558) * CHOOSE(CONTROL!$C$21, $C$9, 100%, $E$9)</f>
        <v>117.8558</v>
      </c>
      <c r="D1007" s="14">
        <f>CHOOSE(CONTROL!$C$42, 117.93, 117.93) * CHOOSE(CONTROL!$C$21, $C$9, 100%, $E$9)</f>
        <v>117.93</v>
      </c>
      <c r="E1007" s="14">
        <f>CHOOSE(CONTROL!$C$42, 117.9641, 117.9641) * CHOOSE(CONTROL!$C$21, $C$9, 100%, $E$9)</f>
        <v>117.9641</v>
      </c>
      <c r="F1007" s="14">
        <f>CHOOSE(CONTROL!$C$42, 117.8868, 117.8868)*CHOOSE(CONTROL!$C$21, $C$9, 100%, $E$9)</f>
        <v>117.88679999999999</v>
      </c>
      <c r="G1007" s="14">
        <f>CHOOSE(CONTROL!$C$42, 117.9043, 117.9043)*CHOOSE(CONTROL!$C$21, $C$9, 100%, $E$9)</f>
        <v>117.90430000000001</v>
      </c>
      <c r="H1007" s="14">
        <f>CHOOSE(CONTROL!$C$42, 117.9533, 117.9533) * CHOOSE(CONTROL!$C$21, $C$9, 100%, $E$9)</f>
        <v>117.9533</v>
      </c>
      <c r="I1007" s="14">
        <f>CHOOSE(CONTROL!$C$42, 118.2473, 118.2473)* CHOOSE(CONTROL!$C$21, $C$9, 100%, $E$9)</f>
        <v>118.2473</v>
      </c>
      <c r="J1007" s="14">
        <f>CHOOSE(CONTROL!$C$42, 117.8798, 117.8798)* CHOOSE(CONTROL!$C$21, $C$9, 100%, $E$9)</f>
        <v>117.8798</v>
      </c>
      <c r="K1007" s="53">
        <f>CHOOSE(CONTROL!$C$42, 118.2434, 118.2434) * CHOOSE(CONTROL!$C$21, $C$9, 100%, $E$9)</f>
        <v>118.24339999999999</v>
      </c>
      <c r="L1007" s="14">
        <f>CHOOSE(CONTROL!$C$42, 118.5403, 118.5403) * CHOOSE(CONTROL!$C$21, $C$9, 100%, $E$9)</f>
        <v>118.5403</v>
      </c>
      <c r="M1007" s="14">
        <f>CHOOSE(CONTROL!$C$42, 115.4722, 115.4722) * CHOOSE(CONTROL!$C$21, $C$9, 100%, $E$9)</f>
        <v>115.4722</v>
      </c>
      <c r="N1007" s="14">
        <f>CHOOSE(CONTROL!$C$42, 115.4894, 115.4894) * CHOOSE(CONTROL!$C$21, $C$9, 100%, $E$9)</f>
        <v>115.4894</v>
      </c>
      <c r="O1007" s="14">
        <f>CHOOSE(CONTROL!$C$42, 115.5442, 115.5442) * CHOOSE(CONTROL!$C$21, $C$9, 100%, $E$9)</f>
        <v>115.5442</v>
      </c>
      <c r="P1007" s="14">
        <f>CHOOSE(CONTROL!$C$42, 115.8248, 115.8248) * CHOOSE(CONTROL!$C$21, $C$9, 100%, $E$9)</f>
        <v>115.8248</v>
      </c>
      <c r="Q1007" s="14">
        <f>CHOOSE(CONTROL!$C$42, 116.1389, 116.1389) * CHOOSE(CONTROL!$C$21, $C$9, 100%, $E$9)</f>
        <v>116.13890000000001</v>
      </c>
      <c r="R1007" s="14">
        <f>CHOOSE(CONTROL!$C$42, 117.0163, 117.0163) * CHOOSE(CONTROL!$C$21, $C$9, 100%, $E$9)</f>
        <v>117.0163</v>
      </c>
      <c r="S1007" s="14">
        <f>CHOOSE(CONTROL!$C$42, 113.2342, 113.2342) * CHOOSE(CONTROL!$C$21, $C$9, 100%, $E$9)</f>
        <v>113.2342</v>
      </c>
      <c r="T10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07" s="57">
        <f>(1000*CHOOSE(CONTROL!$C$42, 695, 695)*CHOOSE(CONTROL!$C$42, 0.5599, 0.5599)*CHOOSE(CONTROL!$C$42, 30, 30))/1000000</f>
        <v>11.673914999999997</v>
      </c>
      <c r="V1007" s="57">
        <f>(1000*CHOOSE(CONTROL!$C$42, 500, 500)*CHOOSE(CONTROL!$C$42, 0.275, 0.275)*CHOOSE(CONTROL!$C$42, 30, 30))/1000000</f>
        <v>4.125</v>
      </c>
      <c r="W1007" s="57">
        <f>(1000*CHOOSE(CONTROL!$C$42, 0.1146, 0.1146)*CHOOSE(CONTROL!$C$42, 121.5, 121.5)*CHOOSE(CONTROL!$C$42, 30, 30))/1000000</f>
        <v>0.417717</v>
      </c>
      <c r="X1007" s="57">
        <f>(30*0.1790888*100000/1000000)+(30*0.2374*100000/1000000)</f>
        <v>1.2494664</v>
      </c>
      <c r="Y1007" s="57"/>
      <c r="Z1007" s="14"/>
      <c r="AA1007" s="56"/>
      <c r="AB1007" s="50">
        <f>(B1007*122.58+C1007*297.941+D1007*89.177+E1007*40.302+F1007*40+G1007*160+H1007*0+I1007*100+J1007*300)/(122.58+297.941+89.177+40.302+0+40+160+100+300)</f>
        <v>117.91293607130434</v>
      </c>
      <c r="AC1007" s="45">
        <f>(M1007*'RAP TEMPLATE-GAS AVAILABILITY'!O1006+N1007*'RAP TEMPLATE-GAS AVAILABILITY'!P1006+O1007*'RAP TEMPLATE-GAS AVAILABILITY'!Q1006+P1007*'RAP TEMPLATE-GAS AVAILABILITY'!R1006)/('RAP TEMPLATE-GAS AVAILABILITY'!O1006+'RAP TEMPLATE-GAS AVAILABILITY'!P1006+'RAP TEMPLATE-GAS AVAILABILITY'!Q1006+'RAP TEMPLATE-GAS AVAILABILITY'!R1006)</f>
        <v>115.55655683453237</v>
      </c>
    </row>
    <row r="1008" spans="1:29" ht="15.75" x14ac:dyDescent="0.25">
      <c r="A1008" s="32">
        <v>71589</v>
      </c>
      <c r="B1008" s="14">
        <f>CHOOSE(CONTROL!$C$42, 125.8851, 125.8851) * CHOOSE(CONTROL!$C$21, $C$9, 100%, $E$9)</f>
        <v>125.88509999999999</v>
      </c>
      <c r="C1008" s="14">
        <f>CHOOSE(CONTROL!$C$42, 125.8902, 125.8902) * CHOOSE(CONTROL!$C$21, $C$9, 100%, $E$9)</f>
        <v>125.89019999999999</v>
      </c>
      <c r="D1008" s="14">
        <f>CHOOSE(CONTROL!$C$42, 125.9644, 125.9644) * CHOOSE(CONTROL!$C$21, $C$9, 100%, $E$9)</f>
        <v>125.9644</v>
      </c>
      <c r="E1008" s="14">
        <f>CHOOSE(CONTROL!$C$42, 125.9985, 125.9985) * CHOOSE(CONTROL!$C$21, $C$9, 100%, $E$9)</f>
        <v>125.99850000000001</v>
      </c>
      <c r="F1008" s="14">
        <f>CHOOSE(CONTROL!$C$42, 125.9235, 125.9235)*CHOOSE(CONTROL!$C$21, $C$9, 100%, $E$9)</f>
        <v>125.9235</v>
      </c>
      <c r="G1008" s="14">
        <f>CHOOSE(CONTROL!$C$42, 125.9417, 125.9417)*CHOOSE(CONTROL!$C$21, $C$9, 100%, $E$9)</f>
        <v>125.9417</v>
      </c>
      <c r="H1008" s="14">
        <f>CHOOSE(CONTROL!$C$42, 125.9877, 125.9877) * CHOOSE(CONTROL!$C$21, $C$9, 100%, $E$9)</f>
        <v>125.9877</v>
      </c>
      <c r="I1008" s="14">
        <f>CHOOSE(CONTROL!$C$42, 126.3068, 126.3068)* CHOOSE(CONTROL!$C$21, $C$9, 100%, $E$9)</f>
        <v>126.3068</v>
      </c>
      <c r="J1008" s="14">
        <f>CHOOSE(CONTROL!$C$42, 125.9165, 125.9165)* CHOOSE(CONTROL!$C$21, $C$9, 100%, $E$9)</f>
        <v>125.9165</v>
      </c>
      <c r="K1008" s="53">
        <f>CHOOSE(CONTROL!$C$42, 126.3029, 126.3029) * CHOOSE(CONTROL!$C$21, $C$9, 100%, $E$9)</f>
        <v>126.30289999999999</v>
      </c>
      <c r="L1008" s="14">
        <f>CHOOSE(CONTROL!$C$42, 126.5747, 126.5747) * CHOOSE(CONTROL!$C$21, $C$9, 100%, $E$9)</f>
        <v>126.57470000000001</v>
      </c>
      <c r="M1008" s="14">
        <f>CHOOSE(CONTROL!$C$42, 123.3443, 123.3443) * CHOOSE(CONTROL!$C$21, $C$9, 100%, $E$9)</f>
        <v>123.3443</v>
      </c>
      <c r="N1008" s="14">
        <f>CHOOSE(CONTROL!$C$42, 123.362, 123.362) * CHOOSE(CONTROL!$C$21, $C$9, 100%, $E$9)</f>
        <v>123.36199999999999</v>
      </c>
      <c r="O1008" s="14">
        <f>CHOOSE(CONTROL!$C$42, 123.414, 123.414) * CHOOSE(CONTROL!$C$21, $C$9, 100%, $E$9)</f>
        <v>123.414</v>
      </c>
      <c r="P1008" s="14">
        <f>CHOOSE(CONTROL!$C$42, 123.7187, 123.7187) * CHOOSE(CONTROL!$C$21, $C$9, 100%, $E$9)</f>
        <v>123.7187</v>
      </c>
      <c r="Q1008" s="14">
        <f>CHOOSE(CONTROL!$C$42, 124.0087, 124.0087) * CHOOSE(CONTROL!$C$21, $C$9, 100%, $E$9)</f>
        <v>124.0087</v>
      </c>
      <c r="R1008" s="14">
        <f>CHOOSE(CONTROL!$C$42, 124.9057, 124.9057) * CHOOSE(CONTROL!$C$21, $C$9, 100%, $E$9)</f>
        <v>124.9057</v>
      </c>
      <c r="S1008" s="14">
        <f>CHOOSE(CONTROL!$C$42, 120.9544, 120.9544) * CHOOSE(CONTROL!$C$21, $C$9, 100%, $E$9)</f>
        <v>120.95440000000001</v>
      </c>
      <c r="T10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08" s="57">
        <f>(1000*CHOOSE(CONTROL!$C$42, 695, 695)*CHOOSE(CONTROL!$C$42, 0.5599, 0.5599)*CHOOSE(CONTROL!$C$42, 31, 31))/1000000</f>
        <v>12.063045499999998</v>
      </c>
      <c r="V1008" s="57">
        <f>(1000*CHOOSE(CONTROL!$C$42, 500, 500)*CHOOSE(CONTROL!$C$42, 0.275, 0.275)*CHOOSE(CONTROL!$C$42, 31, 31))/1000000</f>
        <v>4.2625000000000002</v>
      </c>
      <c r="W1008" s="57">
        <f>(1000*CHOOSE(CONTROL!$C$42, 0.1146, 0.1146)*CHOOSE(CONTROL!$C$42, 121.5, 121.5)*CHOOSE(CONTROL!$C$42, 31, 31))/1000000</f>
        <v>0.43164089999999994</v>
      </c>
      <c r="X1008" s="57">
        <f>(31*0.1790888*100000/1000000)+(31*0.2374*100000/1000000)</f>
        <v>1.2911152800000001</v>
      </c>
      <c r="Y1008" s="57"/>
      <c r="Z1008" s="14"/>
      <c r="AA1008" s="56"/>
      <c r="AB1008" s="50">
        <f>(B1008*122.58+C1008*297.941+D1008*89.177+E1008*40.302+F1008*40+G1008*160+H1008*0+I1008*100+J1008*300)/(122.58+297.941+89.177+40.302+0+40+160+100+300)</f>
        <v>125.95061607130434</v>
      </c>
      <c r="AC1008" s="45">
        <f>(M1008*'RAP TEMPLATE-GAS AVAILABILITY'!O1007+N1008*'RAP TEMPLATE-GAS AVAILABILITY'!P1007+O1008*'RAP TEMPLATE-GAS AVAILABILITY'!Q1007+P1008*'RAP TEMPLATE-GAS AVAILABILITY'!R1007)/('RAP TEMPLATE-GAS AVAILABILITY'!O1007+'RAP TEMPLATE-GAS AVAILABILITY'!P1007+'RAP TEMPLATE-GAS AVAILABILITY'!Q1007+'RAP TEMPLATE-GAS AVAILABILITY'!R1007)</f>
        <v>123.43077985611509</v>
      </c>
    </row>
    <row r="1009" spans="1:29" ht="15.75" x14ac:dyDescent="0.25">
      <c r="A1009" s="32">
        <v>71620</v>
      </c>
      <c r="B1009" s="14">
        <f>CHOOSE(CONTROL!$C$42, 136.3203, 136.3203) * CHOOSE(CONTROL!$C$21, $C$9, 100%, $E$9)</f>
        <v>136.3203</v>
      </c>
      <c r="C1009" s="14">
        <f>CHOOSE(CONTROL!$C$42, 136.3253, 136.3253) * CHOOSE(CONTROL!$C$21, $C$9, 100%, $E$9)</f>
        <v>136.3253</v>
      </c>
      <c r="D1009" s="14">
        <f>CHOOSE(CONTROL!$C$42, 136.4022, 136.4022) * CHOOSE(CONTROL!$C$21, $C$9, 100%, $E$9)</f>
        <v>136.40219999999999</v>
      </c>
      <c r="E1009" s="14">
        <f>CHOOSE(CONTROL!$C$42, 136.4363, 136.4363) * CHOOSE(CONTROL!$C$21, $C$9, 100%, $E$9)</f>
        <v>136.43629999999999</v>
      </c>
      <c r="F1009" s="14">
        <f>CHOOSE(CONTROL!$C$42, 136.345, 136.345)*CHOOSE(CONTROL!$C$21, $C$9, 100%, $E$9)</f>
        <v>136.345</v>
      </c>
      <c r="G1009" s="14">
        <f>CHOOSE(CONTROL!$C$42, 136.363, 136.363)*CHOOSE(CONTROL!$C$21, $C$9, 100%, $E$9)</f>
        <v>136.363</v>
      </c>
      <c r="H1009" s="14">
        <f>CHOOSE(CONTROL!$C$42, 136.4255, 136.4255) * CHOOSE(CONTROL!$C$21, $C$9, 100%, $E$9)</f>
        <v>136.4255</v>
      </c>
      <c r="I1009" s="14">
        <f>CHOOSE(CONTROL!$C$42, 136.7809, 136.7809)* CHOOSE(CONTROL!$C$21, $C$9, 100%, $E$9)</f>
        <v>136.7809</v>
      </c>
      <c r="J1009" s="14">
        <f>CHOOSE(CONTROL!$C$42, 136.338, 136.338)* CHOOSE(CONTROL!$C$21, $C$9, 100%, $E$9)</f>
        <v>136.33799999999999</v>
      </c>
      <c r="K1009" s="53">
        <f>CHOOSE(CONTROL!$C$42, 136.777, 136.777) * CHOOSE(CONTROL!$C$21, $C$9, 100%, $E$9)</f>
        <v>136.77699999999999</v>
      </c>
      <c r="L1009" s="14">
        <f>CHOOSE(CONTROL!$C$42, 137.0125, 137.0125) * CHOOSE(CONTROL!$C$21, $C$9, 100%, $E$9)</f>
        <v>137.01249999999999</v>
      </c>
      <c r="M1009" s="14">
        <f>CHOOSE(CONTROL!$C$42, 133.5522, 133.5522) * CHOOSE(CONTROL!$C$21, $C$9, 100%, $E$9)</f>
        <v>133.5522</v>
      </c>
      <c r="N1009" s="14">
        <f>CHOOSE(CONTROL!$C$42, 133.5698, 133.5698) * CHOOSE(CONTROL!$C$21, $C$9, 100%, $E$9)</f>
        <v>133.56979999999999</v>
      </c>
      <c r="O1009" s="14">
        <f>CHOOSE(CONTROL!$C$42, 133.6379, 133.6379) * CHOOSE(CONTROL!$C$21, $C$9, 100%, $E$9)</f>
        <v>133.6379</v>
      </c>
      <c r="P1009" s="14">
        <f>CHOOSE(CONTROL!$C$42, 133.9776, 133.9776) * CHOOSE(CONTROL!$C$21, $C$9, 100%, $E$9)</f>
        <v>133.9776</v>
      </c>
      <c r="Q1009" s="14">
        <f>CHOOSE(CONTROL!$C$42, 134.2326, 134.2326) * CHOOSE(CONTROL!$C$21, $C$9, 100%, $E$9)</f>
        <v>134.23259999999999</v>
      </c>
      <c r="R1009" s="14">
        <f>CHOOSE(CONTROL!$C$42, 135.1552, 135.1552) * CHOOSE(CONTROL!$C$21, $C$9, 100%, $E$9)</f>
        <v>135.15520000000001</v>
      </c>
      <c r="S1009" s="14">
        <f>CHOOSE(CONTROL!$C$42, 130.9816, 130.9816) * CHOOSE(CONTROL!$C$21, $C$9, 100%, $E$9)</f>
        <v>130.98159999999999</v>
      </c>
      <c r="T10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09" s="57">
        <f>(1000*CHOOSE(CONTROL!$C$42, 695, 695)*CHOOSE(CONTROL!$C$42, 0.5599, 0.5599)*CHOOSE(CONTROL!$C$42, 31, 31))/1000000</f>
        <v>12.063045499999998</v>
      </c>
      <c r="V1009" s="57">
        <f>(1000*CHOOSE(CONTROL!$C$42, 500, 500)*CHOOSE(CONTROL!$C$42, 0.275, 0.275)*CHOOSE(CONTROL!$C$42, 31, 31))/1000000</f>
        <v>4.2625000000000002</v>
      </c>
      <c r="W1009" s="57">
        <f>(1000*CHOOSE(CONTROL!$C$42, 0.1146, 0.1146)*CHOOSE(CONTROL!$C$42, 121.5, 121.5)*CHOOSE(CONTROL!$C$42, 31, 31))/1000000</f>
        <v>0.43164089999999994</v>
      </c>
      <c r="X1009" s="57">
        <f>(31*0.1790888*100000/1000000)+(31*0.2374*100000/1000000)</f>
        <v>1.2911152800000001</v>
      </c>
      <c r="Y1009" s="57"/>
      <c r="Z1009" s="14"/>
      <c r="AA1009" s="56"/>
      <c r="AB1009" s="50">
        <f>(B1009*122.58+C1009*297.941+D1009*89.177+E1009*40.302+F1009*40+G1009*160+H1009*0+I1009*100+J1009*300)/(122.58+297.941+89.177+40.302+0+40+160+100+300)</f>
        <v>136.38348115939129</v>
      </c>
      <c r="AC1009" s="45">
        <f>(M1009*'RAP TEMPLATE-GAS AVAILABILITY'!O1008+N1009*'RAP TEMPLATE-GAS AVAILABILITY'!P1008+O1009*'RAP TEMPLATE-GAS AVAILABILITY'!Q1008+P1009*'RAP TEMPLATE-GAS AVAILABILITY'!R1008)/('RAP TEMPLATE-GAS AVAILABILITY'!O1008+'RAP TEMPLATE-GAS AVAILABILITY'!P1008+'RAP TEMPLATE-GAS AVAILABILITY'!Q1008+'RAP TEMPLATE-GAS AVAILABILITY'!R1008)</f>
        <v>133.65326402877696</v>
      </c>
    </row>
    <row r="1010" spans="1:29" ht="15.75" x14ac:dyDescent="0.25">
      <c r="A1010" s="32">
        <v>71649</v>
      </c>
      <c r="B1010" s="14">
        <f>CHOOSE(CONTROL!$C$42, 138.7468, 138.7468) * CHOOSE(CONTROL!$C$21, $C$9, 100%, $E$9)</f>
        <v>138.74680000000001</v>
      </c>
      <c r="C1010" s="14">
        <f>CHOOSE(CONTROL!$C$42, 138.7519, 138.7519) * CHOOSE(CONTROL!$C$21, $C$9, 100%, $E$9)</f>
        <v>138.75190000000001</v>
      </c>
      <c r="D1010" s="14">
        <f>CHOOSE(CONTROL!$C$42, 138.8287, 138.8287) * CHOOSE(CONTROL!$C$21, $C$9, 100%, $E$9)</f>
        <v>138.8287</v>
      </c>
      <c r="E1010" s="14">
        <f>CHOOSE(CONTROL!$C$42, 138.8628, 138.8628) * CHOOSE(CONTROL!$C$21, $C$9, 100%, $E$9)</f>
        <v>138.86279999999999</v>
      </c>
      <c r="F1010" s="14">
        <f>CHOOSE(CONTROL!$C$42, 138.7711, 138.7711)*CHOOSE(CONTROL!$C$21, $C$9, 100%, $E$9)</f>
        <v>138.77109999999999</v>
      </c>
      <c r="G1010" s="14">
        <f>CHOOSE(CONTROL!$C$42, 138.789, 138.789)*CHOOSE(CONTROL!$C$21, $C$9, 100%, $E$9)</f>
        <v>138.78899999999999</v>
      </c>
      <c r="H1010" s="14">
        <f>CHOOSE(CONTROL!$C$42, 138.852, 138.852) * CHOOSE(CONTROL!$C$21, $C$9, 100%, $E$9)</f>
        <v>138.852</v>
      </c>
      <c r="I1010" s="14">
        <f>CHOOSE(CONTROL!$C$42, 139.2151, 139.2151)* CHOOSE(CONTROL!$C$21, $C$9, 100%, $E$9)</f>
        <v>139.21510000000001</v>
      </c>
      <c r="J1010" s="14">
        <f>CHOOSE(CONTROL!$C$42, 138.7641, 138.7641)* CHOOSE(CONTROL!$C$21, $C$9, 100%, $E$9)</f>
        <v>138.76410000000001</v>
      </c>
      <c r="K1010" s="53">
        <f>CHOOSE(CONTROL!$C$42, 139.2112, 139.2112) * CHOOSE(CONTROL!$C$21, $C$9, 100%, $E$9)</f>
        <v>139.21119999999999</v>
      </c>
      <c r="L1010" s="14">
        <f>CHOOSE(CONTROL!$C$42, 139.439, 139.439) * CHOOSE(CONTROL!$C$21, $C$9, 100%, $E$9)</f>
        <v>139.43899999999999</v>
      </c>
      <c r="M1010" s="14">
        <f>CHOOSE(CONTROL!$C$42, 135.9287, 135.9287) * CHOOSE(CONTROL!$C$21, $C$9, 100%, $E$9)</f>
        <v>135.92869999999999</v>
      </c>
      <c r="N1010" s="14">
        <f>CHOOSE(CONTROL!$C$42, 135.9462, 135.9462) * CHOOSE(CONTROL!$C$21, $C$9, 100%, $E$9)</f>
        <v>135.9462</v>
      </c>
      <c r="O1010" s="14">
        <f>CHOOSE(CONTROL!$C$42, 136.0147, 136.0147) * CHOOSE(CONTROL!$C$21, $C$9, 100%, $E$9)</f>
        <v>136.0147</v>
      </c>
      <c r="P1010" s="14">
        <f>CHOOSE(CONTROL!$C$42, 136.3617, 136.3617) * CHOOSE(CONTROL!$C$21, $C$9, 100%, $E$9)</f>
        <v>136.36170000000001</v>
      </c>
      <c r="Q1010" s="14">
        <f>CHOOSE(CONTROL!$C$42, 136.6094, 136.6094) * CHOOSE(CONTROL!$C$21, $C$9, 100%, $E$9)</f>
        <v>136.60939999999999</v>
      </c>
      <c r="R1010" s="14">
        <f>CHOOSE(CONTROL!$C$42, 137.5379, 137.5379) * CHOOSE(CONTROL!$C$21, $C$9, 100%, $E$9)</f>
        <v>137.53790000000001</v>
      </c>
      <c r="S1010" s="14">
        <f>CHOOSE(CONTROL!$C$42, 133.3133, 133.3133) * CHOOSE(CONTROL!$C$21, $C$9, 100%, $E$9)</f>
        <v>133.3133</v>
      </c>
      <c r="T101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010" s="57">
        <f>(1000*CHOOSE(CONTROL!$C$42, 695, 695)*CHOOSE(CONTROL!$C$42, 0.5599, 0.5599)*CHOOSE(CONTROL!$C$42, 29, 29))/1000000</f>
        <v>11.284784499999999</v>
      </c>
      <c r="V1010" s="57">
        <f>(1000*CHOOSE(CONTROL!$C$42, 500, 500)*CHOOSE(CONTROL!$C$42, 0.275, 0.275)*CHOOSE(CONTROL!$C$42, 29, 29))/1000000</f>
        <v>3.9874999999999998</v>
      </c>
      <c r="W1010" s="57">
        <f>(1000*CHOOSE(CONTROL!$C$42, 0.1146, 0.1146)*CHOOSE(CONTROL!$C$42, 121.5, 121.5)*CHOOSE(CONTROL!$C$42, 29, 29))/1000000</f>
        <v>0.40379309999999996</v>
      </c>
      <c r="X1010" s="57">
        <f>(29*0.1790888*100000/1000000)+(29*0.2374*100000/1000000)</f>
        <v>1.2078175199999999</v>
      </c>
      <c r="Y1010" s="57"/>
      <c r="Z1010" s="14"/>
      <c r="AA1010" s="56"/>
      <c r="AB1010" s="50">
        <f>(B1010*122.58+C1010*297.941+D1010*89.177+E1010*40.302+F1010*40+G1010*160+H1010*0+I1010*100+J1010*300)/(122.58+297.941+89.177+40.302+0+40+160+100+300)</f>
        <v>138.81048880643476</v>
      </c>
      <c r="AC1010" s="45">
        <f>(M1010*'RAP TEMPLATE-GAS AVAILABILITY'!O1009+N1010*'RAP TEMPLATE-GAS AVAILABILITY'!P1009+O1010*'RAP TEMPLATE-GAS AVAILABILITY'!Q1009+P1010*'RAP TEMPLATE-GAS AVAILABILITY'!R1009)/('RAP TEMPLATE-GAS AVAILABILITY'!O1009+'RAP TEMPLATE-GAS AVAILABILITY'!P1009+'RAP TEMPLATE-GAS AVAILABILITY'!Q1009+'RAP TEMPLATE-GAS AVAILABILITY'!R1009)</f>
        <v>136.03098776978416</v>
      </c>
    </row>
    <row r="1011" spans="1:29" ht="15.75" x14ac:dyDescent="0.25">
      <c r="A1011" s="32">
        <v>71680</v>
      </c>
      <c r="B1011" s="14">
        <f>CHOOSE(CONTROL!$C$42, 134.808, 134.808) * CHOOSE(CONTROL!$C$21, $C$9, 100%, $E$9)</f>
        <v>134.80799999999999</v>
      </c>
      <c r="C1011" s="14">
        <f>CHOOSE(CONTROL!$C$42, 134.813, 134.813) * CHOOSE(CONTROL!$C$21, $C$9, 100%, $E$9)</f>
        <v>134.81299999999999</v>
      </c>
      <c r="D1011" s="14">
        <f>CHOOSE(CONTROL!$C$42, 134.8898, 134.8898) * CHOOSE(CONTROL!$C$21, $C$9, 100%, $E$9)</f>
        <v>134.88980000000001</v>
      </c>
      <c r="E1011" s="14">
        <f>CHOOSE(CONTROL!$C$42, 134.924, 134.924) * CHOOSE(CONTROL!$C$21, $C$9, 100%, $E$9)</f>
        <v>134.92400000000001</v>
      </c>
      <c r="F1011" s="14">
        <f>CHOOSE(CONTROL!$C$42, 134.8314, 134.8314)*CHOOSE(CONTROL!$C$21, $C$9, 100%, $E$9)</f>
        <v>134.8314</v>
      </c>
      <c r="G1011" s="14">
        <f>CHOOSE(CONTROL!$C$42, 134.8491, 134.8491)*CHOOSE(CONTROL!$C$21, $C$9, 100%, $E$9)</f>
        <v>134.84909999999999</v>
      </c>
      <c r="H1011" s="14">
        <f>CHOOSE(CONTROL!$C$42, 134.9131, 134.9131) * CHOOSE(CONTROL!$C$21, $C$9, 100%, $E$9)</f>
        <v>134.91309999999999</v>
      </c>
      <c r="I1011" s="14">
        <f>CHOOSE(CONTROL!$C$42, 135.2639, 135.2639)* CHOOSE(CONTROL!$C$21, $C$9, 100%, $E$9)</f>
        <v>135.26390000000001</v>
      </c>
      <c r="J1011" s="14">
        <f>CHOOSE(CONTROL!$C$42, 134.8244, 134.8244)* CHOOSE(CONTROL!$C$21, $C$9, 100%, $E$9)</f>
        <v>134.8244</v>
      </c>
      <c r="K1011" s="53">
        <f>CHOOSE(CONTROL!$C$42, 135.26, 135.26) * CHOOSE(CONTROL!$C$21, $C$9, 100%, $E$9)</f>
        <v>135.26</v>
      </c>
      <c r="L1011" s="14">
        <f>CHOOSE(CONTROL!$C$42, 135.5001, 135.5001) * CHOOSE(CONTROL!$C$21, $C$9, 100%, $E$9)</f>
        <v>135.5001</v>
      </c>
      <c r="M1011" s="14">
        <f>CHOOSE(CONTROL!$C$42, 132.0697, 132.0697) * CHOOSE(CONTROL!$C$21, $C$9, 100%, $E$9)</f>
        <v>132.06970000000001</v>
      </c>
      <c r="N1011" s="14">
        <f>CHOOSE(CONTROL!$C$42, 132.0869, 132.0869) * CHOOSE(CONTROL!$C$21, $C$9, 100%, $E$9)</f>
        <v>132.08690000000001</v>
      </c>
      <c r="O1011" s="14">
        <f>CHOOSE(CONTROL!$C$42, 132.1566, 132.1566) * CHOOSE(CONTROL!$C$21, $C$9, 100%, $E$9)</f>
        <v>132.1566</v>
      </c>
      <c r="P1011" s="14">
        <f>CHOOSE(CONTROL!$C$42, 132.4917, 132.4917) * CHOOSE(CONTROL!$C$21, $C$9, 100%, $E$9)</f>
        <v>132.49170000000001</v>
      </c>
      <c r="Q1011" s="14">
        <f>CHOOSE(CONTROL!$C$42, 132.7513, 132.7513) * CHOOSE(CONTROL!$C$21, $C$9, 100%, $E$9)</f>
        <v>132.75129999999999</v>
      </c>
      <c r="R1011" s="14">
        <f>CHOOSE(CONTROL!$C$42, 133.6701, 133.6701) * CHOOSE(CONTROL!$C$21, $C$9, 100%, $E$9)</f>
        <v>133.67009999999999</v>
      </c>
      <c r="S1011" s="14">
        <f>CHOOSE(CONTROL!$C$42, 129.5284, 129.5284) * CHOOSE(CONTROL!$C$21, $C$9, 100%, $E$9)</f>
        <v>129.5284</v>
      </c>
      <c r="T10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11" s="57">
        <f>(1000*CHOOSE(CONTROL!$C$42, 695, 695)*CHOOSE(CONTROL!$C$42, 0.5599, 0.5599)*CHOOSE(CONTROL!$C$42, 31, 31))/1000000</f>
        <v>12.063045499999998</v>
      </c>
      <c r="V1011" s="57">
        <f>(1000*CHOOSE(CONTROL!$C$42, 500, 500)*CHOOSE(CONTROL!$C$42, 0.275, 0.275)*CHOOSE(CONTROL!$C$42, 31, 31))/1000000</f>
        <v>4.2625000000000002</v>
      </c>
      <c r="W1011" s="57">
        <f>(1000*CHOOSE(CONTROL!$C$42, 0.1146, 0.1146)*CHOOSE(CONTROL!$C$42, 121.5, 121.5)*CHOOSE(CONTROL!$C$42, 31, 31))/1000000</f>
        <v>0.43164089999999994</v>
      </c>
      <c r="X1011" s="57">
        <f>(31*0.1790888*100000/1000000)+(31*0.2374*100000/1000000)</f>
        <v>1.2911152800000001</v>
      </c>
      <c r="Y1011" s="57"/>
      <c r="Z1011" s="14"/>
      <c r="AA1011" s="56"/>
      <c r="AB1011" s="50">
        <f>(B1011*122.58+C1011*297.941+D1011*89.177+E1011*40.302+F1011*40+G1011*160+H1011*0+I1011*100+J1011*300)/(122.58+297.941+89.177+40.302+0+40+160+100+300)</f>
        <v>134.87015775269563</v>
      </c>
      <c r="AC1011" s="45">
        <f>(M1011*'RAP TEMPLATE-GAS AVAILABILITY'!O1010+N1011*'RAP TEMPLATE-GAS AVAILABILITY'!P1010+O1011*'RAP TEMPLATE-GAS AVAILABILITY'!Q1010+P1011*'RAP TEMPLATE-GAS AVAILABILITY'!R1010)/('RAP TEMPLATE-GAS AVAILABILITY'!O1010+'RAP TEMPLATE-GAS AVAILABILITY'!P1010+'RAP TEMPLATE-GAS AVAILABILITY'!Q1010+'RAP TEMPLATE-GAS AVAILABILITY'!R1010)</f>
        <v>132.17079568345324</v>
      </c>
    </row>
    <row r="1012" spans="1:29" ht="15.75" x14ac:dyDescent="0.25">
      <c r="A1012" s="32">
        <v>71710</v>
      </c>
      <c r="B1012" s="14">
        <f>CHOOSE(CONTROL!$C$42, 134.4054, 134.4054) * CHOOSE(CONTROL!$C$21, $C$9, 100%, $E$9)</f>
        <v>134.40539999999999</v>
      </c>
      <c r="C1012" s="14">
        <f>CHOOSE(CONTROL!$C$42, 134.4098, 134.4098) * CHOOSE(CONTROL!$C$21, $C$9, 100%, $E$9)</f>
        <v>134.40979999999999</v>
      </c>
      <c r="D1012" s="14">
        <f>CHOOSE(CONTROL!$C$42, 134.6336, 134.6336) * CHOOSE(CONTROL!$C$21, $C$9, 100%, $E$9)</f>
        <v>134.6336</v>
      </c>
      <c r="E1012" s="14">
        <f>CHOOSE(CONTROL!$C$42, 134.6657, 134.6657) * CHOOSE(CONTROL!$C$21, $C$9, 100%, $E$9)</f>
        <v>134.66569999999999</v>
      </c>
      <c r="F1012" s="14">
        <f>CHOOSE(CONTROL!$C$42, 134.433, 134.433)*CHOOSE(CONTROL!$C$21, $C$9, 100%, $E$9)</f>
        <v>134.43299999999999</v>
      </c>
      <c r="G1012" s="14">
        <f>CHOOSE(CONTROL!$C$42, 134.4499, 134.4499)*CHOOSE(CONTROL!$C$21, $C$9, 100%, $E$9)</f>
        <v>134.44990000000001</v>
      </c>
      <c r="H1012" s="14">
        <f>CHOOSE(CONTROL!$C$42, 134.6555, 134.6555) * CHOOSE(CONTROL!$C$21, $C$9, 100%, $E$9)</f>
        <v>134.65549999999999</v>
      </c>
      <c r="I1012" s="14">
        <f>CHOOSE(CONTROL!$C$42, 134.8556, 134.8556)* CHOOSE(CONTROL!$C$21, $C$9, 100%, $E$9)</f>
        <v>134.85560000000001</v>
      </c>
      <c r="J1012" s="14">
        <f>CHOOSE(CONTROL!$C$42, 134.426, 134.426)* CHOOSE(CONTROL!$C$21, $C$9, 100%, $E$9)</f>
        <v>134.42599999999999</v>
      </c>
      <c r="K1012" s="53">
        <f>CHOOSE(CONTROL!$C$42, 134.8517, 134.8517) * CHOOSE(CONTROL!$C$21, $C$9, 100%, $E$9)</f>
        <v>134.85169999999999</v>
      </c>
      <c r="L1012" s="14">
        <f>CHOOSE(CONTROL!$C$42, 135.2425, 135.2425) * CHOOSE(CONTROL!$C$21, $C$9, 100%, $E$9)</f>
        <v>135.24250000000001</v>
      </c>
      <c r="M1012" s="14">
        <f>CHOOSE(CONTROL!$C$42, 131.6794, 131.6794) * CHOOSE(CONTROL!$C$21, $C$9, 100%, $E$9)</f>
        <v>131.67939999999999</v>
      </c>
      <c r="N1012" s="14">
        <f>CHOOSE(CONTROL!$C$42, 131.696, 131.696) * CHOOSE(CONTROL!$C$21, $C$9, 100%, $E$9)</f>
        <v>131.696</v>
      </c>
      <c r="O1012" s="14">
        <f>CHOOSE(CONTROL!$C$42, 131.9042, 131.9042) * CHOOSE(CONTROL!$C$21, $C$9, 100%, $E$9)</f>
        <v>131.9042</v>
      </c>
      <c r="P1012" s="14">
        <f>CHOOSE(CONTROL!$C$42, 132.0918, 132.0918) * CHOOSE(CONTROL!$C$21, $C$9, 100%, $E$9)</f>
        <v>132.09180000000001</v>
      </c>
      <c r="Q1012" s="14">
        <f>CHOOSE(CONTROL!$C$42, 132.4989, 132.4989) * CHOOSE(CONTROL!$C$21, $C$9, 100%, $E$9)</f>
        <v>132.49889999999999</v>
      </c>
      <c r="R1012" s="14">
        <f>CHOOSE(CONTROL!$C$42, 133.4171, 133.4171) * CHOOSE(CONTROL!$C$21, $C$9, 100%, $E$9)</f>
        <v>133.4171</v>
      </c>
      <c r="S1012" s="14">
        <f>CHOOSE(CONTROL!$C$42, 129.1408, 129.1408) * CHOOSE(CONTROL!$C$21, $C$9, 100%, $E$9)</f>
        <v>129.14080000000001</v>
      </c>
      <c r="T10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12" s="57">
        <f>(1000*CHOOSE(CONTROL!$C$42, 695, 695)*CHOOSE(CONTROL!$C$42, 0.5599, 0.5599)*CHOOSE(CONTROL!$C$42, 30, 30))/1000000</f>
        <v>11.673914999999997</v>
      </c>
      <c r="V1012" s="57">
        <f>(1000*CHOOSE(CONTROL!$C$42, 500, 500)*CHOOSE(CONTROL!$C$42, 0.275, 0.275)*CHOOSE(CONTROL!$C$42, 30, 30))/1000000</f>
        <v>4.125</v>
      </c>
      <c r="W1012" s="57">
        <f>(1000*CHOOSE(CONTROL!$C$42, 0.1146, 0.1146)*CHOOSE(CONTROL!$C$42, 121.5, 121.5)*CHOOSE(CONTROL!$C$42, 30, 30))/1000000</f>
        <v>0.417717</v>
      </c>
      <c r="X1012" s="57">
        <f>(30*0.1790888*245000/1000000)+(30*0.2374*100000/1000000)</f>
        <v>2.0285026799999999</v>
      </c>
      <c r="Y1012" s="57"/>
      <c r="Z1012" s="14"/>
      <c r="AA1012" s="56"/>
      <c r="AB1012" s="50">
        <f>(B1012*141.293+C1012*267.993+D1012*115.016+E1012*89.698+F1012*40+G1012*185+H1012*0+I1012*100+J1012*300)/(141.293+267.993+115.016+89.698+0+40+185+100+300)</f>
        <v>134.49523915238092</v>
      </c>
      <c r="AC1012" s="45">
        <f>(M1012*'RAP TEMPLATE-GAS AVAILABILITY'!O1011+N1012*'RAP TEMPLATE-GAS AVAILABILITY'!P1011+O1012*'RAP TEMPLATE-GAS AVAILABILITY'!Q1011+P1012*'RAP TEMPLATE-GAS AVAILABILITY'!R1011)/('RAP TEMPLATE-GAS AVAILABILITY'!O1011+'RAP TEMPLATE-GAS AVAILABILITY'!P1011+'RAP TEMPLATE-GAS AVAILABILITY'!Q1011+'RAP TEMPLATE-GAS AVAILABILITY'!R1011)</f>
        <v>131.84158129496404</v>
      </c>
    </row>
    <row r="1013" spans="1:29" ht="15.75" x14ac:dyDescent="0.25">
      <c r="A1013" s="32">
        <v>71741</v>
      </c>
      <c r="B1013" s="14">
        <f>CHOOSE(CONTROL!$C$42, 135.5929, 135.5929) * CHOOSE(CONTROL!$C$21, $C$9, 100%, $E$9)</f>
        <v>135.59289999999999</v>
      </c>
      <c r="C1013" s="14">
        <f>CHOOSE(CONTROL!$C$42, 135.601, 135.601) * CHOOSE(CONTROL!$C$21, $C$9, 100%, $E$9)</f>
        <v>135.601</v>
      </c>
      <c r="D1013" s="14">
        <f>CHOOSE(CONTROL!$C$42, 135.8215, 135.8215) * CHOOSE(CONTROL!$C$21, $C$9, 100%, $E$9)</f>
        <v>135.82149999999999</v>
      </c>
      <c r="E1013" s="14">
        <f>CHOOSE(CONTROL!$C$42, 135.853, 135.853) * CHOOSE(CONTROL!$C$21, $C$9, 100%, $E$9)</f>
        <v>135.85300000000001</v>
      </c>
      <c r="F1013" s="14">
        <f>CHOOSE(CONTROL!$C$42, 135.6192, 135.6192)*CHOOSE(CONTROL!$C$21, $C$9, 100%, $E$9)</f>
        <v>135.61920000000001</v>
      </c>
      <c r="G1013" s="14">
        <f>CHOOSE(CONTROL!$C$42, 135.6363, 135.6363)*CHOOSE(CONTROL!$C$21, $C$9, 100%, $E$9)</f>
        <v>135.63630000000001</v>
      </c>
      <c r="H1013" s="14">
        <f>CHOOSE(CONTROL!$C$42, 135.8416, 135.8416) * CHOOSE(CONTROL!$C$21, $C$9, 100%, $E$9)</f>
        <v>135.8416</v>
      </c>
      <c r="I1013" s="14">
        <f>CHOOSE(CONTROL!$C$42, 136.0455, 136.0455)* CHOOSE(CONTROL!$C$21, $C$9, 100%, $E$9)</f>
        <v>136.0455</v>
      </c>
      <c r="J1013" s="14">
        <f>CHOOSE(CONTROL!$C$42, 135.6122, 135.6122)* CHOOSE(CONTROL!$C$21, $C$9, 100%, $E$9)</f>
        <v>135.6122</v>
      </c>
      <c r="K1013" s="53">
        <f>CHOOSE(CONTROL!$C$42, 136.0416, 136.0416) * CHOOSE(CONTROL!$C$21, $C$9, 100%, $E$9)</f>
        <v>136.04159999999999</v>
      </c>
      <c r="L1013" s="14">
        <f>CHOOSE(CONTROL!$C$42, 136.4286, 136.4286) * CHOOSE(CONTROL!$C$21, $C$9, 100%, $E$9)</f>
        <v>136.42859999999999</v>
      </c>
      <c r="M1013" s="14">
        <f>CHOOSE(CONTROL!$C$42, 132.8413, 132.8413) * CHOOSE(CONTROL!$C$21, $C$9, 100%, $E$9)</f>
        <v>132.84129999999999</v>
      </c>
      <c r="N1013" s="14">
        <f>CHOOSE(CONTROL!$C$42, 132.8581, 132.8581) * CHOOSE(CONTROL!$C$21, $C$9, 100%, $E$9)</f>
        <v>132.85810000000001</v>
      </c>
      <c r="O1013" s="14">
        <f>CHOOSE(CONTROL!$C$42, 133.066, 133.066) * CHOOSE(CONTROL!$C$21, $C$9, 100%, $E$9)</f>
        <v>133.066</v>
      </c>
      <c r="P1013" s="14">
        <f>CHOOSE(CONTROL!$C$42, 133.2572, 133.2572) * CHOOSE(CONTROL!$C$21, $C$9, 100%, $E$9)</f>
        <v>133.25720000000001</v>
      </c>
      <c r="Q1013" s="14">
        <f>CHOOSE(CONTROL!$C$42, 133.6607, 133.6607) * CHOOSE(CONTROL!$C$21, $C$9, 100%, $E$9)</f>
        <v>133.66069999999999</v>
      </c>
      <c r="R1013" s="14">
        <f>CHOOSE(CONTROL!$C$42, 134.5819, 134.5819) * CHOOSE(CONTROL!$C$21, $C$9, 100%, $E$9)</f>
        <v>134.58189999999999</v>
      </c>
      <c r="S1013" s="14">
        <f>CHOOSE(CONTROL!$C$42, 130.2806, 130.2806) * CHOOSE(CONTROL!$C$21, $C$9, 100%, $E$9)</f>
        <v>130.28059999999999</v>
      </c>
      <c r="T10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3" s="57">
        <f>(1000*CHOOSE(CONTROL!$C$42, 695, 695)*CHOOSE(CONTROL!$C$42, 0.5599, 0.5599)*CHOOSE(CONTROL!$C$42, 31, 31))/1000000</f>
        <v>12.063045499999998</v>
      </c>
      <c r="V1013" s="57">
        <f>(1000*CHOOSE(CONTROL!$C$42, 500, 500)*CHOOSE(CONTROL!$C$42, 0.275, 0.275)*CHOOSE(CONTROL!$C$42, 31, 31))/1000000</f>
        <v>4.2625000000000002</v>
      </c>
      <c r="W1013" s="57">
        <f>(1000*CHOOSE(CONTROL!$C$42, 0.1146, 0.1146)*CHOOSE(CONTROL!$C$42, 121.5, 121.5)*CHOOSE(CONTROL!$C$42, 31, 31))/1000000</f>
        <v>0.43164089999999994</v>
      </c>
      <c r="X1013" s="57">
        <f>(31*0.1790888*245000/1000000)+(31*0.2374*100000/1000000)</f>
        <v>2.0961194359999999</v>
      </c>
      <c r="Y1013" s="57"/>
      <c r="Z1013" s="14"/>
      <c r="AA1013" s="56"/>
      <c r="AB1013" s="50">
        <f>(B1013*194.205+C1013*267.466+D1013*133.845+E1013*53.484+F1013*40+G1013*185+H1013*0+I1013*100+J1013*300)/(194.205+267.466+133.845+53.484+0+40+185+100+300)</f>
        <v>135.6767348744113</v>
      </c>
      <c r="AC1013" s="45">
        <f>(M1013*'RAP TEMPLATE-GAS AVAILABILITY'!O1012+N1013*'RAP TEMPLATE-GAS AVAILABILITY'!P1012+O1013*'RAP TEMPLATE-GAS AVAILABILITY'!Q1012+P1013*'RAP TEMPLATE-GAS AVAILABILITY'!R1012)/('RAP TEMPLATE-GAS AVAILABILITY'!O1012+'RAP TEMPLATE-GAS AVAILABILITY'!P1012+'RAP TEMPLATE-GAS AVAILABILITY'!Q1012+'RAP TEMPLATE-GAS AVAILABILITY'!R1012)</f>
        <v>133.0039510791367</v>
      </c>
    </row>
    <row r="1014" spans="1:29" ht="15.75" x14ac:dyDescent="0.25">
      <c r="A1014" s="32">
        <v>71771</v>
      </c>
      <c r="B1014" s="14">
        <f>CHOOSE(CONTROL!$C$42, 139.4389, 139.4389) * CHOOSE(CONTROL!$C$21, $C$9, 100%, $E$9)</f>
        <v>139.43889999999999</v>
      </c>
      <c r="C1014" s="14">
        <f>CHOOSE(CONTROL!$C$42, 139.4469, 139.4469) * CHOOSE(CONTROL!$C$21, $C$9, 100%, $E$9)</f>
        <v>139.4469</v>
      </c>
      <c r="D1014" s="14">
        <f>CHOOSE(CONTROL!$C$42, 139.6675, 139.6675) * CHOOSE(CONTROL!$C$21, $C$9, 100%, $E$9)</f>
        <v>139.66749999999999</v>
      </c>
      <c r="E1014" s="14">
        <f>CHOOSE(CONTROL!$C$42, 139.699, 139.699) * CHOOSE(CONTROL!$C$21, $C$9, 100%, $E$9)</f>
        <v>139.69900000000001</v>
      </c>
      <c r="F1014" s="14">
        <f>CHOOSE(CONTROL!$C$42, 139.4655, 139.4655)*CHOOSE(CONTROL!$C$21, $C$9, 100%, $E$9)</f>
        <v>139.46549999999999</v>
      </c>
      <c r="G1014" s="14">
        <f>CHOOSE(CONTROL!$C$42, 139.4827, 139.4827)*CHOOSE(CONTROL!$C$21, $C$9, 100%, $E$9)</f>
        <v>139.48269999999999</v>
      </c>
      <c r="H1014" s="14">
        <f>CHOOSE(CONTROL!$C$42, 139.6876, 139.6876) * CHOOSE(CONTROL!$C$21, $C$9, 100%, $E$9)</f>
        <v>139.6876</v>
      </c>
      <c r="I1014" s="14">
        <f>CHOOSE(CONTROL!$C$42, 139.9035, 139.9035)* CHOOSE(CONTROL!$C$21, $C$9, 100%, $E$9)</f>
        <v>139.90350000000001</v>
      </c>
      <c r="J1014" s="14">
        <f>CHOOSE(CONTROL!$C$42, 139.4585, 139.4585)* CHOOSE(CONTROL!$C$21, $C$9, 100%, $E$9)</f>
        <v>139.45849999999999</v>
      </c>
      <c r="K1014" s="53">
        <f>CHOOSE(CONTROL!$C$42, 139.8996, 139.8996) * CHOOSE(CONTROL!$C$21, $C$9, 100%, $E$9)</f>
        <v>139.89959999999999</v>
      </c>
      <c r="L1014" s="14">
        <f>CHOOSE(CONTROL!$C$42, 140.2746, 140.2746) * CHOOSE(CONTROL!$C$21, $C$9, 100%, $E$9)</f>
        <v>140.27459999999999</v>
      </c>
      <c r="M1014" s="14">
        <f>CHOOSE(CONTROL!$C$42, 136.6088, 136.6088) * CHOOSE(CONTROL!$C$21, $C$9, 100%, $E$9)</f>
        <v>136.6088</v>
      </c>
      <c r="N1014" s="14">
        <f>CHOOSE(CONTROL!$C$42, 136.6256, 136.6256) * CHOOSE(CONTROL!$C$21, $C$9, 100%, $E$9)</f>
        <v>136.62559999999999</v>
      </c>
      <c r="O1014" s="14">
        <f>CHOOSE(CONTROL!$C$42, 136.8332, 136.8332) * CHOOSE(CONTROL!$C$21, $C$9, 100%, $E$9)</f>
        <v>136.83320000000001</v>
      </c>
      <c r="P1014" s="14">
        <f>CHOOSE(CONTROL!$C$42, 137.0359, 137.0359) * CHOOSE(CONTROL!$C$21, $C$9, 100%, $E$9)</f>
        <v>137.0359</v>
      </c>
      <c r="Q1014" s="14">
        <f>CHOOSE(CONTROL!$C$42, 137.4279, 137.4279) * CHOOSE(CONTROL!$C$21, $C$9, 100%, $E$9)</f>
        <v>137.42789999999999</v>
      </c>
      <c r="R1014" s="14">
        <f>CHOOSE(CONTROL!$C$42, 138.3585, 138.3585) * CHOOSE(CONTROL!$C$21, $C$9, 100%, $E$9)</f>
        <v>138.35849999999999</v>
      </c>
      <c r="S1014" s="14">
        <f>CHOOSE(CONTROL!$C$42, 133.9762, 133.9762) * CHOOSE(CONTROL!$C$21, $C$9, 100%, $E$9)</f>
        <v>133.97620000000001</v>
      </c>
      <c r="T10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14" s="57">
        <f>(1000*CHOOSE(CONTROL!$C$42, 695, 695)*CHOOSE(CONTROL!$C$42, 0.5599, 0.5599)*CHOOSE(CONTROL!$C$42, 30, 30))/1000000</f>
        <v>11.673914999999997</v>
      </c>
      <c r="V1014" s="57">
        <f>(1000*CHOOSE(CONTROL!$C$42, 500, 500)*CHOOSE(CONTROL!$C$42, 0.275, 0.275)*CHOOSE(CONTROL!$C$42, 30, 30))/1000000</f>
        <v>4.125</v>
      </c>
      <c r="W1014" s="57">
        <f>(1000*CHOOSE(CONTROL!$C$42, 0.1146, 0.1146)*CHOOSE(CONTROL!$C$42, 121.5, 121.5)*CHOOSE(CONTROL!$C$42, 30, 30))/1000000</f>
        <v>0.417717</v>
      </c>
      <c r="X1014" s="57">
        <f>(30*0.1790888*245000/1000000)+(30*0.2374*100000/1000000)</f>
        <v>2.0285026799999999</v>
      </c>
      <c r="Y1014" s="57"/>
      <c r="Z1014" s="14"/>
      <c r="AA1014" s="56"/>
      <c r="AB1014" s="50">
        <f>(B1014*194.205+C1014*267.466+D1014*133.845+E1014*53.484+F1014*40+G1014*185+H1014*0+I1014*100+J1014*300)/(194.205+267.466+133.845+53.484+0+40+185+100+300)</f>
        <v>139.52379394301411</v>
      </c>
      <c r="AC1014" s="45">
        <f>(M1014*'RAP TEMPLATE-GAS AVAILABILITY'!O1013+N1014*'RAP TEMPLATE-GAS AVAILABILITY'!P1013+O1014*'RAP TEMPLATE-GAS AVAILABILITY'!Q1013+P1014*'RAP TEMPLATE-GAS AVAILABILITY'!R1013)/('RAP TEMPLATE-GAS AVAILABILITY'!O1013+'RAP TEMPLATE-GAS AVAILABILITY'!P1013+'RAP TEMPLATE-GAS AVAILABILITY'!Q1013+'RAP TEMPLATE-GAS AVAILABILITY'!R1013)</f>
        <v>136.77292661870501</v>
      </c>
    </row>
    <row r="1015" spans="1:29" ht="15.75" x14ac:dyDescent="0.25">
      <c r="A1015" s="32">
        <v>71802</v>
      </c>
      <c r="B1015" s="14">
        <f>CHOOSE(CONTROL!$C$42, 136.764, 136.764) * CHOOSE(CONTROL!$C$21, $C$9, 100%, $E$9)</f>
        <v>136.76400000000001</v>
      </c>
      <c r="C1015" s="14">
        <f>CHOOSE(CONTROL!$C$42, 136.772, 136.772) * CHOOSE(CONTROL!$C$21, $C$9, 100%, $E$9)</f>
        <v>136.77199999999999</v>
      </c>
      <c r="D1015" s="14">
        <f>CHOOSE(CONTROL!$C$42, 136.9926, 136.9926) * CHOOSE(CONTROL!$C$21, $C$9, 100%, $E$9)</f>
        <v>136.99260000000001</v>
      </c>
      <c r="E1015" s="14">
        <f>CHOOSE(CONTROL!$C$42, 137.0241, 137.0241) * CHOOSE(CONTROL!$C$21, $C$9, 100%, $E$9)</f>
        <v>137.0241</v>
      </c>
      <c r="F1015" s="14">
        <f>CHOOSE(CONTROL!$C$42, 136.7911, 136.7911)*CHOOSE(CONTROL!$C$21, $C$9, 100%, $E$9)</f>
        <v>136.7911</v>
      </c>
      <c r="G1015" s="14">
        <f>CHOOSE(CONTROL!$C$42, 136.8084, 136.8084)*CHOOSE(CONTROL!$C$21, $C$9, 100%, $E$9)</f>
        <v>136.80840000000001</v>
      </c>
      <c r="H1015" s="14">
        <f>CHOOSE(CONTROL!$C$42, 137.0127, 137.0127) * CHOOSE(CONTROL!$C$21, $C$9, 100%, $E$9)</f>
        <v>137.0127</v>
      </c>
      <c r="I1015" s="14">
        <f>CHOOSE(CONTROL!$C$42, 137.2202, 137.2202)* CHOOSE(CONTROL!$C$21, $C$9, 100%, $E$9)</f>
        <v>137.22020000000001</v>
      </c>
      <c r="J1015" s="14">
        <f>CHOOSE(CONTROL!$C$42, 136.7841, 136.7841)* CHOOSE(CONTROL!$C$21, $C$9, 100%, $E$9)</f>
        <v>136.7841</v>
      </c>
      <c r="K1015" s="53">
        <f>CHOOSE(CONTROL!$C$42, 137.2163, 137.2163) * CHOOSE(CONTROL!$C$21, $C$9, 100%, $E$9)</f>
        <v>137.21629999999999</v>
      </c>
      <c r="L1015" s="14">
        <f>CHOOSE(CONTROL!$C$42, 137.5997, 137.5997) * CHOOSE(CONTROL!$C$21, $C$9, 100%, $E$9)</f>
        <v>137.59970000000001</v>
      </c>
      <c r="M1015" s="14">
        <f>CHOOSE(CONTROL!$C$42, 133.9892, 133.9892) * CHOOSE(CONTROL!$C$21, $C$9, 100%, $E$9)</f>
        <v>133.98920000000001</v>
      </c>
      <c r="N1015" s="14">
        <f>CHOOSE(CONTROL!$C$42, 134.0061, 134.0061) * CHOOSE(CONTROL!$C$21, $C$9, 100%, $E$9)</f>
        <v>134.0061</v>
      </c>
      <c r="O1015" s="14">
        <f>CHOOSE(CONTROL!$C$42, 134.2131, 134.2131) * CHOOSE(CONTROL!$C$21, $C$9, 100%, $E$9)</f>
        <v>134.2131</v>
      </c>
      <c r="P1015" s="14">
        <f>CHOOSE(CONTROL!$C$42, 134.4078, 134.4078) * CHOOSE(CONTROL!$C$21, $C$9, 100%, $E$9)</f>
        <v>134.40780000000001</v>
      </c>
      <c r="Q1015" s="14">
        <f>CHOOSE(CONTROL!$C$42, 134.8078, 134.8078) * CHOOSE(CONTROL!$C$21, $C$9, 100%, $E$9)</f>
        <v>134.80779999999999</v>
      </c>
      <c r="R1015" s="14">
        <f>CHOOSE(CONTROL!$C$42, 135.7318, 135.7318) * CHOOSE(CONTROL!$C$21, $C$9, 100%, $E$9)</f>
        <v>135.73179999999999</v>
      </c>
      <c r="S1015" s="14">
        <f>CHOOSE(CONTROL!$C$42, 131.4059, 131.4059) * CHOOSE(CONTROL!$C$21, $C$9, 100%, $E$9)</f>
        <v>131.4059</v>
      </c>
      <c r="T10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15" s="57">
        <f>(1000*CHOOSE(CONTROL!$C$42, 695, 695)*CHOOSE(CONTROL!$C$42, 0.5599, 0.5599)*CHOOSE(CONTROL!$C$42, 31, 31))/1000000</f>
        <v>12.063045499999998</v>
      </c>
      <c r="V1015" s="57">
        <f>(1000*CHOOSE(CONTROL!$C$42, 500, 500)*CHOOSE(CONTROL!$C$42, 0.275, 0.275)*CHOOSE(CONTROL!$C$42, 31, 31))/1000000</f>
        <v>4.2625000000000002</v>
      </c>
      <c r="W1015" s="57">
        <f>(1000*CHOOSE(CONTROL!$C$42, 0.1146, 0.1146)*CHOOSE(CONTROL!$C$42, 121.5, 121.5)*CHOOSE(CONTROL!$C$42, 31, 31))/1000000</f>
        <v>0.43164089999999994</v>
      </c>
      <c r="X1015" s="57">
        <f>(31*0.1790888*245000/1000000)+(31*0.2374*100000/1000000)</f>
        <v>2.0961194359999999</v>
      </c>
      <c r="Y1015" s="57"/>
      <c r="Z1015" s="14"/>
      <c r="AA1015" s="56"/>
      <c r="AB1015" s="50">
        <f>(B1015*194.205+C1015*267.466+D1015*133.845+E1015*53.484+F1015*40+G1015*185+H1015*0+I1015*100+J1015*300)/(194.205+267.466+133.845+53.484+0+40+185+100+300)</f>
        <v>136.84845516750394</v>
      </c>
      <c r="AC1015" s="45">
        <f>(M1015*'RAP TEMPLATE-GAS AVAILABILITY'!O1014+N1015*'RAP TEMPLATE-GAS AVAILABILITY'!P1014+O1015*'RAP TEMPLATE-GAS AVAILABILITY'!Q1014+P1015*'RAP TEMPLATE-GAS AVAILABILITY'!R1014)/('RAP TEMPLATE-GAS AVAILABILITY'!O1014+'RAP TEMPLATE-GAS AVAILABILITY'!P1014+'RAP TEMPLATE-GAS AVAILABILITY'!Q1014+'RAP TEMPLATE-GAS AVAILABILITY'!R1014)</f>
        <v>134.15188273381295</v>
      </c>
    </row>
    <row r="1016" spans="1:29" ht="15.75" x14ac:dyDescent="0.25">
      <c r="A1016" s="32">
        <v>71833</v>
      </c>
      <c r="B1016" s="14">
        <f>CHOOSE(CONTROL!$C$42, 130.0091, 130.0091) * CHOOSE(CONTROL!$C$21, $C$9, 100%, $E$9)</f>
        <v>130.00909999999999</v>
      </c>
      <c r="C1016" s="14">
        <f>CHOOSE(CONTROL!$C$42, 130.0171, 130.0171) * CHOOSE(CONTROL!$C$21, $C$9, 100%, $E$9)</f>
        <v>130.0171</v>
      </c>
      <c r="D1016" s="14">
        <f>CHOOSE(CONTROL!$C$42, 130.2377, 130.2377) * CHOOSE(CONTROL!$C$21, $C$9, 100%, $E$9)</f>
        <v>130.23769999999999</v>
      </c>
      <c r="E1016" s="14">
        <f>CHOOSE(CONTROL!$C$42, 130.2692, 130.2692) * CHOOSE(CONTROL!$C$21, $C$9, 100%, $E$9)</f>
        <v>130.26920000000001</v>
      </c>
      <c r="F1016" s="14">
        <f>CHOOSE(CONTROL!$C$42, 130.0365, 130.0365)*CHOOSE(CONTROL!$C$21, $C$9, 100%, $E$9)</f>
        <v>130.03649999999999</v>
      </c>
      <c r="G1016" s="14">
        <f>CHOOSE(CONTROL!$C$42, 130.0539, 130.0539)*CHOOSE(CONTROL!$C$21, $C$9, 100%, $E$9)</f>
        <v>130.0539</v>
      </c>
      <c r="H1016" s="14">
        <f>CHOOSE(CONTROL!$C$42, 130.2578, 130.2578) * CHOOSE(CONTROL!$C$21, $C$9, 100%, $E$9)</f>
        <v>130.2578</v>
      </c>
      <c r="I1016" s="14">
        <f>CHOOSE(CONTROL!$C$42, 130.4441, 130.4441)* CHOOSE(CONTROL!$C$21, $C$9, 100%, $E$9)</f>
        <v>130.44409999999999</v>
      </c>
      <c r="J1016" s="14">
        <f>CHOOSE(CONTROL!$C$42, 130.0295, 130.0295)* CHOOSE(CONTROL!$C$21, $C$9, 100%, $E$9)</f>
        <v>130.02950000000001</v>
      </c>
      <c r="K1016" s="53">
        <f>CHOOSE(CONTROL!$C$42, 130.4403, 130.4403) * CHOOSE(CONTROL!$C$21, $C$9, 100%, $E$9)</f>
        <v>130.44030000000001</v>
      </c>
      <c r="L1016" s="14">
        <f>CHOOSE(CONTROL!$C$42, 130.8448, 130.8448) * CHOOSE(CONTROL!$C$21, $C$9, 100%, $E$9)</f>
        <v>130.84479999999999</v>
      </c>
      <c r="M1016" s="14">
        <f>CHOOSE(CONTROL!$C$42, 127.3729, 127.3729) * CHOOSE(CONTROL!$C$21, $C$9, 100%, $E$9)</f>
        <v>127.3729</v>
      </c>
      <c r="N1016" s="14">
        <f>CHOOSE(CONTROL!$C$42, 127.39, 127.39) * CHOOSE(CONTROL!$C$21, $C$9, 100%, $E$9)</f>
        <v>127.39</v>
      </c>
      <c r="O1016" s="14">
        <f>CHOOSE(CONTROL!$C$42, 127.5966, 127.5966) * CHOOSE(CONTROL!$C$21, $C$9, 100%, $E$9)</f>
        <v>127.5966</v>
      </c>
      <c r="P1016" s="14">
        <f>CHOOSE(CONTROL!$C$42, 127.771, 127.771) * CHOOSE(CONTROL!$C$21, $C$9, 100%, $E$9)</f>
        <v>127.771</v>
      </c>
      <c r="Q1016" s="14">
        <f>CHOOSE(CONTROL!$C$42, 128.1913, 128.1913) * CHOOSE(CONTROL!$C$21, $C$9, 100%, $E$9)</f>
        <v>128.19130000000001</v>
      </c>
      <c r="R1016" s="14">
        <f>CHOOSE(CONTROL!$C$42, 129.0988, 129.0988) * CHOOSE(CONTROL!$C$21, $C$9, 100%, $E$9)</f>
        <v>129.09880000000001</v>
      </c>
      <c r="S1016" s="14">
        <f>CHOOSE(CONTROL!$C$42, 124.9151, 124.9151) * CHOOSE(CONTROL!$C$21, $C$9, 100%, $E$9)</f>
        <v>124.9151</v>
      </c>
      <c r="T10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16" s="57">
        <f>(1000*CHOOSE(CONTROL!$C$42, 695, 695)*CHOOSE(CONTROL!$C$42, 0.5599, 0.5599)*CHOOSE(CONTROL!$C$42, 31, 31))/1000000</f>
        <v>12.063045499999998</v>
      </c>
      <c r="V1016" s="57">
        <f>(1000*CHOOSE(CONTROL!$C$42, 500, 500)*CHOOSE(CONTROL!$C$42, 0.275, 0.275)*CHOOSE(CONTROL!$C$42, 31, 31))/1000000</f>
        <v>4.2625000000000002</v>
      </c>
      <c r="W1016" s="57">
        <f>(1000*CHOOSE(CONTROL!$C$42, 0.1146, 0.1146)*CHOOSE(CONTROL!$C$42, 121.5, 121.5)*CHOOSE(CONTROL!$C$42, 31, 31))/1000000</f>
        <v>0.43164089999999994</v>
      </c>
      <c r="X1016" s="57">
        <f>(31*0.1790888*245000/1000000)+(31*0.2374*100000/1000000)</f>
        <v>2.0961194359999999</v>
      </c>
      <c r="Y1016" s="57"/>
      <c r="Z1016" s="14"/>
      <c r="AA1016" s="56"/>
      <c r="AB1016" s="50">
        <f>(B1016*194.205+C1016*267.466+D1016*133.845+E1016*53.484+F1016*40+G1016*185+H1016*0+I1016*100+J1016*300)/(194.205+267.466+133.845+53.484+0+40+185+100+300)</f>
        <v>130.09202926483516</v>
      </c>
      <c r="AC1016" s="45">
        <f>(M1016*'RAP TEMPLATE-GAS AVAILABILITY'!O1015+N1016*'RAP TEMPLATE-GAS AVAILABILITY'!P1015+O1016*'RAP TEMPLATE-GAS AVAILABILITY'!Q1015+P1016*'RAP TEMPLATE-GAS AVAILABILITY'!R1015)/('RAP TEMPLATE-GAS AVAILABILITY'!O1015+'RAP TEMPLATE-GAS AVAILABILITY'!P1015+'RAP TEMPLATE-GAS AVAILABILITY'!Q1015+'RAP TEMPLATE-GAS AVAILABILITY'!R1015)</f>
        <v>127.53255395683453</v>
      </c>
    </row>
    <row r="1017" spans="1:29" ht="15.75" x14ac:dyDescent="0.25">
      <c r="A1017" s="32">
        <v>71863</v>
      </c>
      <c r="B1017" s="14">
        <f>CHOOSE(CONTROL!$C$42, 121.7556, 121.7556) * CHOOSE(CONTROL!$C$21, $C$9, 100%, $E$9)</f>
        <v>121.7556</v>
      </c>
      <c r="C1017" s="14">
        <f>CHOOSE(CONTROL!$C$42, 121.7636, 121.7636) * CHOOSE(CONTROL!$C$21, $C$9, 100%, $E$9)</f>
        <v>121.7636</v>
      </c>
      <c r="D1017" s="14">
        <f>CHOOSE(CONTROL!$C$42, 121.9842, 121.9842) * CHOOSE(CONTROL!$C$21, $C$9, 100%, $E$9)</f>
        <v>121.9842</v>
      </c>
      <c r="E1017" s="14">
        <f>CHOOSE(CONTROL!$C$42, 122.0157, 122.0157) * CHOOSE(CONTROL!$C$21, $C$9, 100%, $E$9)</f>
        <v>122.0157</v>
      </c>
      <c r="F1017" s="14">
        <f>CHOOSE(CONTROL!$C$42, 121.783, 121.783)*CHOOSE(CONTROL!$C$21, $C$9, 100%, $E$9)</f>
        <v>121.783</v>
      </c>
      <c r="G1017" s="14">
        <f>CHOOSE(CONTROL!$C$42, 121.8004, 121.8004)*CHOOSE(CONTROL!$C$21, $C$9, 100%, $E$9)</f>
        <v>121.8004</v>
      </c>
      <c r="H1017" s="14">
        <f>CHOOSE(CONTROL!$C$42, 122.0043, 122.0043) * CHOOSE(CONTROL!$C$21, $C$9, 100%, $E$9)</f>
        <v>122.0043</v>
      </c>
      <c r="I1017" s="14">
        <f>CHOOSE(CONTROL!$C$42, 122.1648, 122.1648)* CHOOSE(CONTROL!$C$21, $C$9, 100%, $E$9)</f>
        <v>122.1648</v>
      </c>
      <c r="J1017" s="14">
        <f>CHOOSE(CONTROL!$C$42, 121.776, 121.776)* CHOOSE(CONTROL!$C$21, $C$9, 100%, $E$9)</f>
        <v>121.776</v>
      </c>
      <c r="K1017" s="53">
        <f>CHOOSE(CONTROL!$C$42, 122.1609, 122.1609) * CHOOSE(CONTROL!$C$21, $C$9, 100%, $E$9)</f>
        <v>122.1609</v>
      </c>
      <c r="L1017" s="14">
        <f>CHOOSE(CONTROL!$C$42, 122.5913, 122.5913) * CHOOSE(CONTROL!$C$21, $C$9, 100%, $E$9)</f>
        <v>122.5913</v>
      </c>
      <c r="M1017" s="14">
        <f>CHOOSE(CONTROL!$C$42, 119.2885, 119.2885) * CHOOSE(CONTROL!$C$21, $C$9, 100%, $E$9)</f>
        <v>119.2885</v>
      </c>
      <c r="N1017" s="14">
        <f>CHOOSE(CONTROL!$C$42, 119.3056, 119.3056) * CHOOSE(CONTROL!$C$21, $C$9, 100%, $E$9)</f>
        <v>119.3056</v>
      </c>
      <c r="O1017" s="14">
        <f>CHOOSE(CONTROL!$C$42, 119.5122, 119.5122) * CHOOSE(CONTROL!$C$21, $C$9, 100%, $E$9)</f>
        <v>119.51220000000001</v>
      </c>
      <c r="P1017" s="14">
        <f>CHOOSE(CONTROL!$C$42, 119.6618, 119.6618) * CHOOSE(CONTROL!$C$21, $C$9, 100%, $E$9)</f>
        <v>119.6618</v>
      </c>
      <c r="Q1017" s="14">
        <f>CHOOSE(CONTROL!$C$42, 120.1069, 120.1069) * CHOOSE(CONTROL!$C$21, $C$9, 100%, $E$9)</f>
        <v>120.1069</v>
      </c>
      <c r="R1017" s="14">
        <f>CHOOSE(CONTROL!$C$42, 120.9942, 120.9942) * CHOOSE(CONTROL!$C$21, $C$9, 100%, $E$9)</f>
        <v>120.99420000000001</v>
      </c>
      <c r="S1017" s="14">
        <f>CHOOSE(CONTROL!$C$42, 116.9843, 116.9843) * CHOOSE(CONTROL!$C$21, $C$9, 100%, $E$9)</f>
        <v>116.9843</v>
      </c>
      <c r="T10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17" s="57">
        <f>(1000*CHOOSE(CONTROL!$C$42, 695, 695)*CHOOSE(CONTROL!$C$42, 0.5599, 0.5599)*CHOOSE(CONTROL!$C$42, 30, 30))/1000000</f>
        <v>11.673914999999997</v>
      </c>
      <c r="V1017" s="57">
        <f>(1000*CHOOSE(CONTROL!$C$42, 500, 500)*CHOOSE(CONTROL!$C$42, 0.275, 0.275)*CHOOSE(CONTROL!$C$42, 30, 30))/1000000</f>
        <v>4.125</v>
      </c>
      <c r="W1017" s="57">
        <f>(1000*CHOOSE(CONTROL!$C$42, 0.1146, 0.1146)*CHOOSE(CONTROL!$C$42, 121.5, 121.5)*CHOOSE(CONTROL!$C$42, 30, 30))/1000000</f>
        <v>0.417717</v>
      </c>
      <c r="X1017" s="57">
        <f>(30*0.1790888*245000/1000000)+(30*0.2374*100000/1000000)</f>
        <v>2.0285026799999999</v>
      </c>
      <c r="Y1017" s="57"/>
      <c r="Z1017" s="14"/>
      <c r="AA1017" s="56"/>
      <c r="AB1017" s="50">
        <f>(B1017*194.205+C1017*267.466+D1017*133.845+E1017*53.484+F1017*40+G1017*185+H1017*0+I1017*100+J1017*300)/(194.205+267.466+133.845+53.484+0+40+185+100+300)</f>
        <v>121.83650414709575</v>
      </c>
      <c r="AC1017" s="45">
        <f>(M1017*'RAP TEMPLATE-GAS AVAILABILITY'!O1016+N1017*'RAP TEMPLATE-GAS AVAILABILITY'!P1016+O1017*'RAP TEMPLATE-GAS AVAILABILITY'!Q1016+P1017*'RAP TEMPLATE-GAS AVAILABILITY'!R1016)/('RAP TEMPLATE-GAS AVAILABILITY'!O1016+'RAP TEMPLATE-GAS AVAILABILITY'!P1016+'RAP TEMPLATE-GAS AVAILABILITY'!Q1016+'RAP TEMPLATE-GAS AVAILABILITY'!R1016)</f>
        <v>119.44458561151079</v>
      </c>
    </row>
    <row r="1018" spans="1:29" ht="15.75" x14ac:dyDescent="0.25">
      <c r="A1018" s="32">
        <v>71894</v>
      </c>
      <c r="B1018" s="14">
        <f>CHOOSE(CONTROL!$C$42, 119.282, 119.282) * CHOOSE(CONTROL!$C$21, $C$9, 100%, $E$9)</f>
        <v>119.282</v>
      </c>
      <c r="C1018" s="14">
        <f>CHOOSE(CONTROL!$C$42, 119.2873, 119.2873) * CHOOSE(CONTROL!$C$21, $C$9, 100%, $E$9)</f>
        <v>119.2873</v>
      </c>
      <c r="D1018" s="14">
        <f>CHOOSE(CONTROL!$C$42, 119.5128, 119.5128) * CHOOSE(CONTROL!$C$21, $C$9, 100%, $E$9)</f>
        <v>119.5128</v>
      </c>
      <c r="E1018" s="14">
        <f>CHOOSE(CONTROL!$C$42, 119.542, 119.542) * CHOOSE(CONTROL!$C$21, $C$9, 100%, $E$9)</f>
        <v>119.542</v>
      </c>
      <c r="F1018" s="14">
        <f>CHOOSE(CONTROL!$C$42, 119.3113, 119.3113)*CHOOSE(CONTROL!$C$21, $C$9, 100%, $E$9)</f>
        <v>119.3113</v>
      </c>
      <c r="G1018" s="14">
        <f>CHOOSE(CONTROL!$C$42, 119.3286, 119.3286)*CHOOSE(CONTROL!$C$21, $C$9, 100%, $E$9)</f>
        <v>119.32859999999999</v>
      </c>
      <c r="H1018" s="14">
        <f>CHOOSE(CONTROL!$C$42, 119.5324, 119.5324) * CHOOSE(CONTROL!$C$21, $C$9, 100%, $E$9)</f>
        <v>119.5324</v>
      </c>
      <c r="I1018" s="14">
        <f>CHOOSE(CONTROL!$C$42, 119.6852, 119.6852)* CHOOSE(CONTROL!$C$21, $C$9, 100%, $E$9)</f>
        <v>119.68519999999999</v>
      </c>
      <c r="J1018" s="14">
        <f>CHOOSE(CONTROL!$C$42, 119.3043, 119.3043)* CHOOSE(CONTROL!$C$21, $C$9, 100%, $E$9)</f>
        <v>119.3043</v>
      </c>
      <c r="K1018" s="53">
        <f>CHOOSE(CONTROL!$C$42, 119.6813, 119.6813) * CHOOSE(CONTROL!$C$21, $C$9, 100%, $E$9)</f>
        <v>119.68129999999999</v>
      </c>
      <c r="L1018" s="14">
        <f>CHOOSE(CONTROL!$C$42, 120.1194, 120.1194) * CHOOSE(CONTROL!$C$21, $C$9, 100%, $E$9)</f>
        <v>120.1194</v>
      </c>
      <c r="M1018" s="14">
        <f>CHOOSE(CONTROL!$C$42, 116.8675, 116.8675) * CHOOSE(CONTROL!$C$21, $C$9, 100%, $E$9)</f>
        <v>116.86750000000001</v>
      </c>
      <c r="N1018" s="14">
        <f>CHOOSE(CONTROL!$C$42, 116.8844, 116.8844) * CHOOSE(CONTROL!$C$21, $C$9, 100%, $E$9)</f>
        <v>116.8844</v>
      </c>
      <c r="O1018" s="14">
        <f>CHOOSE(CONTROL!$C$42, 117.091, 117.091) * CHOOSE(CONTROL!$C$21, $C$9, 100%, $E$9)</f>
        <v>117.09099999999999</v>
      </c>
      <c r="P1018" s="14">
        <f>CHOOSE(CONTROL!$C$42, 117.2332, 117.2332) * CHOOSE(CONTROL!$C$21, $C$9, 100%, $E$9)</f>
        <v>117.2332</v>
      </c>
      <c r="Q1018" s="14">
        <f>CHOOSE(CONTROL!$C$42, 117.6857, 117.6857) * CHOOSE(CONTROL!$C$21, $C$9, 100%, $E$9)</f>
        <v>117.6857</v>
      </c>
      <c r="R1018" s="14">
        <f>CHOOSE(CONTROL!$C$42, 118.5669, 118.5669) * CHOOSE(CONTROL!$C$21, $C$9, 100%, $E$9)</f>
        <v>118.5669</v>
      </c>
      <c r="S1018" s="14">
        <f>CHOOSE(CONTROL!$C$42, 114.6091, 114.6091) * CHOOSE(CONTROL!$C$21, $C$9, 100%, $E$9)</f>
        <v>114.6091</v>
      </c>
      <c r="T10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18" s="57">
        <f>(1000*CHOOSE(CONTROL!$C$42, 695, 695)*CHOOSE(CONTROL!$C$42, 0.5599, 0.5599)*CHOOSE(CONTROL!$C$42, 31, 31))/1000000</f>
        <v>12.063045499999998</v>
      </c>
      <c r="V1018" s="57">
        <f>(1000*CHOOSE(CONTROL!$C$42, 500, 500)*CHOOSE(CONTROL!$C$42, 0.275, 0.275)*CHOOSE(CONTROL!$C$42, 31, 31))/1000000</f>
        <v>4.2625000000000002</v>
      </c>
      <c r="W1018" s="57">
        <f>(1000*CHOOSE(CONTROL!$C$42, 0.1146, 0.1146)*CHOOSE(CONTROL!$C$42, 121.5, 121.5)*CHOOSE(CONTROL!$C$42, 31, 31))/1000000</f>
        <v>0.43164089999999994</v>
      </c>
      <c r="X1018" s="57">
        <f>(31*0.1790888*245000/1000000)+(31*0.2374*100000/1000000)</f>
        <v>2.0961194359999999</v>
      </c>
      <c r="Y1018" s="57"/>
      <c r="Z1018" s="14"/>
      <c r="AA1018" s="56"/>
      <c r="AB1018" s="50">
        <f>(B1018*131.881+C1018*277.167+D1018*79.08+E1018*125.872+F1018*40+G1018*185+H1018*0+I1018*100+J1018*300)/(131.881+277.167+79.08+125.872+0+40+185+100+300)</f>
        <v>119.37017624624697</v>
      </c>
      <c r="AC1018" s="45">
        <f>(M1018*'RAP TEMPLATE-GAS AVAILABILITY'!O1017+N1018*'RAP TEMPLATE-GAS AVAILABILITY'!P1017+O1018*'RAP TEMPLATE-GAS AVAILABILITY'!Q1017+P1018*'RAP TEMPLATE-GAS AVAILABILITY'!R1017)/('RAP TEMPLATE-GAS AVAILABILITY'!O1017+'RAP TEMPLATE-GAS AVAILABILITY'!P1017+'RAP TEMPLATE-GAS AVAILABILITY'!Q1017+'RAP TEMPLATE-GAS AVAILABILITY'!R1017)</f>
        <v>117.02238992805758</v>
      </c>
    </row>
    <row r="1019" spans="1:29" ht="15.75" x14ac:dyDescent="0.25">
      <c r="A1019" s="32">
        <v>71924</v>
      </c>
      <c r="B1019" s="14">
        <f>CHOOSE(CONTROL!$C$42, 122.4237, 122.4237) * CHOOSE(CONTROL!$C$21, $C$9, 100%, $E$9)</f>
        <v>122.4237</v>
      </c>
      <c r="C1019" s="14">
        <f>CHOOSE(CONTROL!$C$42, 122.4288, 122.4288) * CHOOSE(CONTROL!$C$21, $C$9, 100%, $E$9)</f>
        <v>122.4288</v>
      </c>
      <c r="D1019" s="14">
        <f>CHOOSE(CONTROL!$C$42, 122.503, 122.503) * CHOOSE(CONTROL!$C$21, $C$9, 100%, $E$9)</f>
        <v>122.503</v>
      </c>
      <c r="E1019" s="14">
        <f>CHOOSE(CONTROL!$C$42, 122.5371, 122.5371) * CHOOSE(CONTROL!$C$21, $C$9, 100%, $E$9)</f>
        <v>122.5371</v>
      </c>
      <c r="F1019" s="14">
        <f>CHOOSE(CONTROL!$C$42, 122.4598, 122.4598)*CHOOSE(CONTROL!$C$21, $C$9, 100%, $E$9)</f>
        <v>122.4598</v>
      </c>
      <c r="G1019" s="14">
        <f>CHOOSE(CONTROL!$C$42, 122.4773, 122.4773)*CHOOSE(CONTROL!$C$21, $C$9, 100%, $E$9)</f>
        <v>122.4773</v>
      </c>
      <c r="H1019" s="14">
        <f>CHOOSE(CONTROL!$C$42, 122.5263, 122.5263) * CHOOSE(CONTROL!$C$21, $C$9, 100%, $E$9)</f>
        <v>122.52630000000001</v>
      </c>
      <c r="I1019" s="14">
        <f>CHOOSE(CONTROL!$C$42, 122.8346, 122.8346)* CHOOSE(CONTROL!$C$21, $C$9, 100%, $E$9)</f>
        <v>122.83459999999999</v>
      </c>
      <c r="J1019" s="14">
        <f>CHOOSE(CONTROL!$C$42, 122.4528, 122.4528)* CHOOSE(CONTROL!$C$21, $C$9, 100%, $E$9)</f>
        <v>122.4528</v>
      </c>
      <c r="K1019" s="53">
        <f>CHOOSE(CONTROL!$C$42, 122.8307, 122.8307) * CHOOSE(CONTROL!$C$21, $C$9, 100%, $E$9)</f>
        <v>122.83069999999999</v>
      </c>
      <c r="L1019" s="14">
        <f>CHOOSE(CONTROL!$C$42, 123.1133, 123.1133) * CHOOSE(CONTROL!$C$21, $C$9, 100%, $E$9)</f>
        <v>123.1133</v>
      </c>
      <c r="M1019" s="14">
        <f>CHOOSE(CONTROL!$C$42, 119.9515, 119.9515) * CHOOSE(CONTROL!$C$21, $C$9, 100%, $E$9)</f>
        <v>119.9515</v>
      </c>
      <c r="N1019" s="14">
        <f>CHOOSE(CONTROL!$C$42, 119.9687, 119.9687) * CHOOSE(CONTROL!$C$21, $C$9, 100%, $E$9)</f>
        <v>119.9687</v>
      </c>
      <c r="O1019" s="14">
        <f>CHOOSE(CONTROL!$C$42, 120.0235, 120.0235) * CHOOSE(CONTROL!$C$21, $C$9, 100%, $E$9)</f>
        <v>120.0235</v>
      </c>
      <c r="P1019" s="14">
        <f>CHOOSE(CONTROL!$C$42, 120.3179, 120.3179) * CHOOSE(CONTROL!$C$21, $C$9, 100%, $E$9)</f>
        <v>120.31789999999999</v>
      </c>
      <c r="Q1019" s="14">
        <f>CHOOSE(CONTROL!$C$42, 120.6182, 120.6182) * CHOOSE(CONTROL!$C$21, $C$9, 100%, $E$9)</f>
        <v>120.6182</v>
      </c>
      <c r="R1019" s="14">
        <f>CHOOSE(CONTROL!$C$42, 121.5068, 121.5068) * CHOOSE(CONTROL!$C$21, $C$9, 100%, $E$9)</f>
        <v>121.5068</v>
      </c>
      <c r="S1019" s="14">
        <f>CHOOSE(CONTROL!$C$42, 117.6284, 117.6284) * CHOOSE(CONTROL!$C$21, $C$9, 100%, $E$9)</f>
        <v>117.6284</v>
      </c>
      <c r="T10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19" s="57">
        <f>(1000*CHOOSE(CONTROL!$C$42, 695, 695)*CHOOSE(CONTROL!$C$42, 0.5599, 0.5599)*CHOOSE(CONTROL!$C$42, 30, 30))/1000000</f>
        <v>11.673914999999997</v>
      </c>
      <c r="V1019" s="57">
        <f>(1000*CHOOSE(CONTROL!$C$42, 500, 500)*CHOOSE(CONTROL!$C$42, 0.275, 0.275)*CHOOSE(CONTROL!$C$42, 30, 30))/1000000</f>
        <v>4.125</v>
      </c>
      <c r="W1019" s="57">
        <f>(1000*CHOOSE(CONTROL!$C$42, 0.1146, 0.1146)*CHOOSE(CONTROL!$C$42, 121.5, 121.5)*CHOOSE(CONTROL!$C$42, 30, 30))/1000000</f>
        <v>0.417717</v>
      </c>
      <c r="X1019" s="57">
        <f>(30*0.1790888*100000/1000000)+(30*0.2374*100000/1000000)</f>
        <v>1.2494664</v>
      </c>
      <c r="Y1019" s="57"/>
      <c r="Z1019" s="14"/>
      <c r="AA1019" s="56"/>
      <c r="AB1019" s="50">
        <f>(B1019*122.58+C1019*297.941+D1019*89.177+E1019*40.302+F1019*40+G1019*160+H1019*0+I1019*100+J1019*300)/(122.58+297.941+89.177+40.302+0+40+160+100+300)</f>
        <v>122.48717954956521</v>
      </c>
      <c r="AC1019" s="45">
        <f>(M1019*'RAP TEMPLATE-GAS AVAILABILITY'!O1018+N1019*'RAP TEMPLATE-GAS AVAILABILITY'!P1018+O1019*'RAP TEMPLATE-GAS AVAILABILITY'!Q1018+P1019*'RAP TEMPLATE-GAS AVAILABILITY'!R1018)/('RAP TEMPLATE-GAS AVAILABILITY'!O1018+'RAP TEMPLATE-GAS AVAILABILITY'!P1018+'RAP TEMPLATE-GAS AVAILABILITY'!Q1018+'RAP TEMPLATE-GAS AVAILABILITY'!R1018)</f>
        <v>120.03784244604316</v>
      </c>
    </row>
    <row r="1020" spans="1:29" ht="15.75" x14ac:dyDescent="0.25">
      <c r="A1020" s="32">
        <v>71955</v>
      </c>
      <c r="B1020" s="14">
        <f>CHOOSE(CONTROL!$C$42, 130.7699, 130.7699) * CHOOSE(CONTROL!$C$21, $C$9, 100%, $E$9)</f>
        <v>130.76990000000001</v>
      </c>
      <c r="C1020" s="14">
        <f>CHOOSE(CONTROL!$C$42, 130.7749, 130.7749) * CHOOSE(CONTROL!$C$21, $C$9, 100%, $E$9)</f>
        <v>130.7749</v>
      </c>
      <c r="D1020" s="14">
        <f>CHOOSE(CONTROL!$C$42, 130.8492, 130.8492) * CHOOSE(CONTROL!$C$21, $C$9, 100%, $E$9)</f>
        <v>130.8492</v>
      </c>
      <c r="E1020" s="14">
        <f>CHOOSE(CONTROL!$C$42, 130.8833, 130.8833) * CHOOSE(CONTROL!$C$21, $C$9, 100%, $E$9)</f>
        <v>130.88329999999999</v>
      </c>
      <c r="F1020" s="14">
        <f>CHOOSE(CONTROL!$C$42, 130.8083, 130.8083)*CHOOSE(CONTROL!$C$21, $C$9, 100%, $E$9)</f>
        <v>130.8083</v>
      </c>
      <c r="G1020" s="14">
        <f>CHOOSE(CONTROL!$C$42, 130.8264, 130.8264)*CHOOSE(CONTROL!$C$21, $C$9, 100%, $E$9)</f>
        <v>130.82640000000001</v>
      </c>
      <c r="H1020" s="14">
        <f>CHOOSE(CONTROL!$C$42, 130.8725, 130.8725) * CHOOSE(CONTROL!$C$21, $C$9, 100%, $E$9)</f>
        <v>130.8725</v>
      </c>
      <c r="I1020" s="14">
        <f>CHOOSE(CONTROL!$C$42, 131.2069, 131.2069)* CHOOSE(CONTROL!$C$21, $C$9, 100%, $E$9)</f>
        <v>131.20689999999999</v>
      </c>
      <c r="J1020" s="14">
        <f>CHOOSE(CONTROL!$C$42, 130.8013, 130.8013)* CHOOSE(CONTROL!$C$21, $C$9, 100%, $E$9)</f>
        <v>130.8013</v>
      </c>
      <c r="K1020" s="53">
        <f>CHOOSE(CONTROL!$C$42, 131.203, 131.203) * CHOOSE(CONTROL!$C$21, $C$9, 100%, $E$9)</f>
        <v>131.203</v>
      </c>
      <c r="L1020" s="14">
        <f>CHOOSE(CONTROL!$C$42, 131.4595, 131.4595) * CHOOSE(CONTROL!$C$21, $C$9, 100%, $E$9)</f>
        <v>131.45949999999999</v>
      </c>
      <c r="M1020" s="14">
        <f>CHOOSE(CONTROL!$C$42, 128.129, 128.129) * CHOOSE(CONTROL!$C$21, $C$9, 100%, $E$9)</f>
        <v>128.12899999999999</v>
      </c>
      <c r="N1020" s="14">
        <f>CHOOSE(CONTROL!$C$42, 128.1467, 128.1467) * CHOOSE(CONTROL!$C$21, $C$9, 100%, $E$9)</f>
        <v>128.14670000000001</v>
      </c>
      <c r="O1020" s="14">
        <f>CHOOSE(CONTROL!$C$42, 128.1987, 128.1987) * CHOOSE(CONTROL!$C$21, $C$9, 100%, $E$9)</f>
        <v>128.1987</v>
      </c>
      <c r="P1020" s="14">
        <f>CHOOSE(CONTROL!$C$42, 128.5181, 128.5181) * CHOOSE(CONTROL!$C$21, $C$9, 100%, $E$9)</f>
        <v>128.5181</v>
      </c>
      <c r="Q1020" s="14">
        <f>CHOOSE(CONTROL!$C$42, 128.7934, 128.7934) * CHOOSE(CONTROL!$C$21, $C$9, 100%, $E$9)</f>
        <v>128.79339999999999</v>
      </c>
      <c r="R1020" s="14">
        <f>CHOOSE(CONTROL!$C$42, 129.7024, 129.7024) * CHOOSE(CONTROL!$C$21, $C$9, 100%, $E$9)</f>
        <v>129.70240000000001</v>
      </c>
      <c r="S1020" s="14">
        <f>CHOOSE(CONTROL!$C$42, 125.6482, 125.6482) * CHOOSE(CONTROL!$C$21, $C$9, 100%, $E$9)</f>
        <v>125.6482</v>
      </c>
      <c r="T10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20" s="57">
        <f>(1000*CHOOSE(CONTROL!$C$42, 695, 695)*CHOOSE(CONTROL!$C$42, 0.5599, 0.5599)*CHOOSE(CONTROL!$C$42, 31, 31))/1000000</f>
        <v>12.063045499999998</v>
      </c>
      <c r="V1020" s="57">
        <f>(1000*CHOOSE(CONTROL!$C$42, 500, 500)*CHOOSE(CONTROL!$C$42, 0.275, 0.275)*CHOOSE(CONTROL!$C$42, 31, 31))/1000000</f>
        <v>4.2625000000000002</v>
      </c>
      <c r="W1020" s="57">
        <f>(1000*CHOOSE(CONTROL!$C$42, 0.1146, 0.1146)*CHOOSE(CONTROL!$C$42, 121.5, 121.5)*CHOOSE(CONTROL!$C$42, 31, 31))/1000000</f>
        <v>0.43164089999999994</v>
      </c>
      <c r="X1020" s="57">
        <f>(31*0.1790888*100000/1000000)+(31*0.2374*100000/1000000)</f>
        <v>1.2911152800000001</v>
      </c>
      <c r="Y1020" s="57"/>
      <c r="Z1020" s="14"/>
      <c r="AA1020" s="56"/>
      <c r="AB1020" s="50">
        <f>(B1020*122.58+C1020*297.941+D1020*89.177+E1020*40.302+F1020*40+G1020*160+H1020*0+I1020*100+J1020*300)/(122.58+297.941+89.177+40.302+0+40+160+100+300)</f>
        <v>130.83670668513042</v>
      </c>
      <c r="AC1020" s="45">
        <f>(M1020*'RAP TEMPLATE-GAS AVAILABILITY'!O1019+N1020*'RAP TEMPLATE-GAS AVAILABILITY'!P1019+O1020*'RAP TEMPLATE-GAS AVAILABILITY'!Q1019+P1020*'RAP TEMPLATE-GAS AVAILABILITY'!R1019)/('RAP TEMPLATE-GAS AVAILABILITY'!O1019+'RAP TEMPLATE-GAS AVAILABILITY'!P1019+'RAP TEMPLATE-GAS AVAILABILITY'!Q1019+'RAP TEMPLATE-GAS AVAILABILITY'!R1019)</f>
        <v>128.21759496402876</v>
      </c>
    </row>
    <row r="1021" spans="1:29" ht="15.75" x14ac:dyDescent="0.25">
      <c r="A1021" s="32">
        <v>71986</v>
      </c>
      <c r="B1021" s="14">
        <f>CHOOSE(CONTROL!$C$42, 141.61, 141.61) * CHOOSE(CONTROL!$C$21, $C$9, 100%, $E$9)</f>
        <v>141.61000000000001</v>
      </c>
      <c r="C1021" s="14">
        <f>CHOOSE(CONTROL!$C$42, 141.6151, 141.6151) * CHOOSE(CONTROL!$C$21, $C$9, 100%, $E$9)</f>
        <v>141.61510000000001</v>
      </c>
      <c r="D1021" s="14">
        <f>CHOOSE(CONTROL!$C$42, 141.6919, 141.6919) * CHOOSE(CONTROL!$C$21, $C$9, 100%, $E$9)</f>
        <v>141.6919</v>
      </c>
      <c r="E1021" s="14">
        <f>CHOOSE(CONTROL!$C$42, 141.726, 141.726) * CHOOSE(CONTROL!$C$21, $C$9, 100%, $E$9)</f>
        <v>141.726</v>
      </c>
      <c r="F1021" s="14">
        <f>CHOOSE(CONTROL!$C$42, 141.6348, 141.6348)*CHOOSE(CONTROL!$C$21, $C$9, 100%, $E$9)</f>
        <v>141.63480000000001</v>
      </c>
      <c r="G1021" s="14">
        <f>CHOOSE(CONTROL!$C$42, 141.6527, 141.6527)*CHOOSE(CONTROL!$C$21, $C$9, 100%, $E$9)</f>
        <v>141.65270000000001</v>
      </c>
      <c r="H1021" s="14">
        <f>CHOOSE(CONTROL!$C$42, 141.7152, 141.7152) * CHOOSE(CONTROL!$C$21, $C$9, 100%, $E$9)</f>
        <v>141.71520000000001</v>
      </c>
      <c r="I1021" s="14">
        <f>CHOOSE(CONTROL!$C$42, 142.0872, 142.0872)* CHOOSE(CONTROL!$C$21, $C$9, 100%, $E$9)</f>
        <v>142.0872</v>
      </c>
      <c r="J1021" s="14">
        <f>CHOOSE(CONTROL!$C$42, 141.6278, 141.6278)* CHOOSE(CONTROL!$C$21, $C$9, 100%, $E$9)</f>
        <v>141.62780000000001</v>
      </c>
      <c r="K1021" s="53">
        <f>CHOOSE(CONTROL!$C$42, 142.0834, 142.0834) * CHOOSE(CONTROL!$C$21, $C$9, 100%, $E$9)</f>
        <v>142.08340000000001</v>
      </c>
      <c r="L1021" s="14">
        <f>CHOOSE(CONTROL!$C$42, 142.3022, 142.3022) * CHOOSE(CONTROL!$C$21, $C$9, 100%, $E$9)</f>
        <v>142.3022</v>
      </c>
      <c r="M1021" s="14">
        <f>CHOOSE(CONTROL!$C$42, 138.7336, 138.7336) * CHOOSE(CONTROL!$C$21, $C$9, 100%, $E$9)</f>
        <v>138.7336</v>
      </c>
      <c r="N1021" s="14">
        <f>CHOOSE(CONTROL!$C$42, 138.7512, 138.7512) * CHOOSE(CONTROL!$C$21, $C$9, 100%, $E$9)</f>
        <v>138.75120000000001</v>
      </c>
      <c r="O1021" s="14">
        <f>CHOOSE(CONTROL!$C$42, 138.8193, 138.8193) * CHOOSE(CONTROL!$C$21, $C$9, 100%, $E$9)</f>
        <v>138.8193</v>
      </c>
      <c r="P1021" s="14">
        <f>CHOOSE(CONTROL!$C$42, 139.1748, 139.1748) * CHOOSE(CONTROL!$C$21, $C$9, 100%, $E$9)</f>
        <v>139.1748</v>
      </c>
      <c r="Q1021" s="14">
        <f>CHOOSE(CONTROL!$C$42, 139.414, 139.414) * CHOOSE(CONTROL!$C$21, $C$9, 100%, $E$9)</f>
        <v>139.41399999999999</v>
      </c>
      <c r="R1021" s="14">
        <f>CHOOSE(CONTROL!$C$42, 140.3495, 140.3495) * CHOOSE(CONTROL!$C$21, $C$9, 100%, $E$9)</f>
        <v>140.34950000000001</v>
      </c>
      <c r="S1021" s="14">
        <f>CHOOSE(CONTROL!$C$42, 136.0645, 136.0645) * CHOOSE(CONTROL!$C$21, $C$9, 100%, $E$9)</f>
        <v>136.06450000000001</v>
      </c>
      <c r="T10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21" s="57">
        <f>(1000*CHOOSE(CONTROL!$C$42, 695, 695)*CHOOSE(CONTROL!$C$42, 0.5599, 0.5599)*CHOOSE(CONTROL!$C$42, 31, 31))/1000000</f>
        <v>12.063045499999998</v>
      </c>
      <c r="V1021" s="57">
        <f>(1000*CHOOSE(CONTROL!$C$42, 500, 500)*CHOOSE(CONTROL!$C$42, 0.275, 0.275)*CHOOSE(CONTROL!$C$42, 31, 31))/1000000</f>
        <v>4.2625000000000002</v>
      </c>
      <c r="W1021" s="57">
        <f>(1000*CHOOSE(CONTROL!$C$42, 0.1146, 0.1146)*CHOOSE(CONTROL!$C$42, 121.5, 121.5)*CHOOSE(CONTROL!$C$42, 31, 31))/1000000</f>
        <v>0.43164089999999994</v>
      </c>
      <c r="X1021" s="57">
        <f>(31*0.1790888*100000/1000000)+(31*0.2374*100000/1000000)</f>
        <v>1.2911152800000001</v>
      </c>
      <c r="Y1021" s="57"/>
      <c r="Z1021" s="14"/>
      <c r="AA1021" s="56"/>
      <c r="AB1021" s="50">
        <f>(B1021*122.58+C1021*297.941+D1021*89.177+E1021*40.302+F1021*40+G1021*160+H1021*0+I1021*100+J1021*300)/(122.58+297.941+89.177+40.302+0+40+160+100+300)</f>
        <v>141.67468011078262</v>
      </c>
      <c r="AC1021" s="45">
        <f>(M1021*'RAP TEMPLATE-GAS AVAILABILITY'!O1020+N1021*'RAP TEMPLATE-GAS AVAILABILITY'!P1020+O1021*'RAP TEMPLATE-GAS AVAILABILITY'!Q1020+P1021*'RAP TEMPLATE-GAS AVAILABILITY'!R1020)/('RAP TEMPLATE-GAS AVAILABILITY'!O1020+'RAP TEMPLATE-GAS AVAILABILITY'!P1020+'RAP TEMPLATE-GAS AVAILABILITY'!Q1020+'RAP TEMPLATE-GAS AVAILABILITY'!R1020)</f>
        <v>138.83693741007193</v>
      </c>
    </row>
    <row r="1022" spans="1:29" ht="15.75" x14ac:dyDescent="0.25">
      <c r="A1022" s="32">
        <v>72014</v>
      </c>
      <c r="B1022" s="14">
        <f>CHOOSE(CONTROL!$C$42, 144.1307, 144.1307) * CHOOSE(CONTROL!$C$21, $C$9, 100%, $E$9)</f>
        <v>144.13069999999999</v>
      </c>
      <c r="C1022" s="14">
        <f>CHOOSE(CONTROL!$C$42, 144.1358, 144.1358) * CHOOSE(CONTROL!$C$21, $C$9, 100%, $E$9)</f>
        <v>144.13579999999999</v>
      </c>
      <c r="D1022" s="14">
        <f>CHOOSE(CONTROL!$C$42, 144.2126, 144.2126) * CHOOSE(CONTROL!$C$21, $C$9, 100%, $E$9)</f>
        <v>144.21260000000001</v>
      </c>
      <c r="E1022" s="14">
        <f>CHOOSE(CONTROL!$C$42, 144.2467, 144.2467) * CHOOSE(CONTROL!$C$21, $C$9, 100%, $E$9)</f>
        <v>144.2467</v>
      </c>
      <c r="F1022" s="14">
        <f>CHOOSE(CONTROL!$C$42, 144.1551, 144.1551)*CHOOSE(CONTROL!$C$21, $C$9, 100%, $E$9)</f>
        <v>144.1551</v>
      </c>
      <c r="G1022" s="14">
        <f>CHOOSE(CONTROL!$C$42, 144.1729, 144.1729)*CHOOSE(CONTROL!$C$21, $C$9, 100%, $E$9)</f>
        <v>144.1729</v>
      </c>
      <c r="H1022" s="14">
        <f>CHOOSE(CONTROL!$C$42, 144.2359, 144.2359) * CHOOSE(CONTROL!$C$21, $C$9, 100%, $E$9)</f>
        <v>144.23589999999999</v>
      </c>
      <c r="I1022" s="14">
        <f>CHOOSE(CONTROL!$C$42, 144.6158, 144.6158)* CHOOSE(CONTROL!$C$21, $C$9, 100%, $E$9)</f>
        <v>144.61580000000001</v>
      </c>
      <c r="J1022" s="14">
        <f>CHOOSE(CONTROL!$C$42, 144.1481, 144.1481)* CHOOSE(CONTROL!$C$21, $C$9, 100%, $E$9)</f>
        <v>144.1481</v>
      </c>
      <c r="K1022" s="53">
        <f>CHOOSE(CONTROL!$C$42, 144.6119, 144.6119) * CHOOSE(CONTROL!$C$21, $C$9, 100%, $E$9)</f>
        <v>144.61189999999999</v>
      </c>
      <c r="L1022" s="14">
        <f>CHOOSE(CONTROL!$C$42, 144.8229, 144.8229) * CHOOSE(CONTROL!$C$21, $C$9, 100%, $E$9)</f>
        <v>144.8229</v>
      </c>
      <c r="M1022" s="14">
        <f>CHOOSE(CONTROL!$C$42, 141.2022, 141.2022) * CHOOSE(CONTROL!$C$21, $C$9, 100%, $E$9)</f>
        <v>141.2022</v>
      </c>
      <c r="N1022" s="14">
        <f>CHOOSE(CONTROL!$C$42, 141.2198, 141.2198) * CHOOSE(CONTROL!$C$21, $C$9, 100%, $E$9)</f>
        <v>141.21979999999999</v>
      </c>
      <c r="O1022" s="14">
        <f>CHOOSE(CONTROL!$C$42, 141.2883, 141.2883) * CHOOSE(CONTROL!$C$21, $C$9, 100%, $E$9)</f>
        <v>141.28829999999999</v>
      </c>
      <c r="P1022" s="14">
        <f>CHOOSE(CONTROL!$C$42, 141.6514, 141.6514) * CHOOSE(CONTROL!$C$21, $C$9, 100%, $E$9)</f>
        <v>141.6514</v>
      </c>
      <c r="Q1022" s="14">
        <f>CHOOSE(CONTROL!$C$42, 141.883, 141.883) * CHOOSE(CONTROL!$C$21, $C$9, 100%, $E$9)</f>
        <v>141.88300000000001</v>
      </c>
      <c r="R1022" s="14">
        <f>CHOOSE(CONTROL!$C$42, 142.8247, 142.8247) * CHOOSE(CONTROL!$C$21, $C$9, 100%, $E$9)</f>
        <v>142.82470000000001</v>
      </c>
      <c r="S1022" s="14">
        <f>CHOOSE(CONTROL!$C$42, 138.4867, 138.4867) * CHOOSE(CONTROL!$C$21, $C$9, 100%, $E$9)</f>
        <v>138.48670000000001</v>
      </c>
      <c r="T102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22" s="57">
        <f>(1000*CHOOSE(CONTROL!$C$42, 695, 695)*CHOOSE(CONTROL!$C$42, 0.5599, 0.5599)*CHOOSE(CONTROL!$C$42, 28, 28))/1000000</f>
        <v>10.895653999999999</v>
      </c>
      <c r="V1022" s="57">
        <f>(1000*CHOOSE(CONTROL!$C$42, 500, 500)*CHOOSE(CONTROL!$C$42, 0.275, 0.275)*CHOOSE(CONTROL!$C$42, 28, 28))/1000000</f>
        <v>3.85</v>
      </c>
      <c r="W1022" s="57">
        <f>(1000*CHOOSE(CONTROL!$C$42, 0.1146, 0.1146)*CHOOSE(CONTROL!$C$42, 121.5, 121.5)*CHOOSE(CONTROL!$C$42, 28, 28))/1000000</f>
        <v>0.38986920000000003</v>
      </c>
      <c r="X1022" s="57">
        <f>(28*0.1790888*100000/1000000)+(28*0.2374*100000/1000000)</f>
        <v>1.16616864</v>
      </c>
      <c r="Y1022" s="57"/>
      <c r="Z1022" s="14"/>
      <c r="AA1022" s="56"/>
      <c r="AB1022" s="50">
        <f>(B1022*122.58+C1022*297.941+D1022*89.177+E1022*40.302+F1022*40+G1022*160+H1022*0+I1022*100+J1022*300)/(122.58+297.941+89.177+40.302+0+40+160+100+300)</f>
        <v>144.19587924121737</v>
      </c>
      <c r="AC1022" s="45">
        <f>(M1022*'RAP TEMPLATE-GAS AVAILABILITY'!O1021+N1022*'RAP TEMPLATE-GAS AVAILABILITY'!P1021+O1022*'RAP TEMPLATE-GAS AVAILABILITY'!Q1021+P1022*'RAP TEMPLATE-GAS AVAILABILITY'!R1021)/('RAP TEMPLATE-GAS AVAILABILITY'!O1021+'RAP TEMPLATE-GAS AVAILABILITY'!P1021+'RAP TEMPLATE-GAS AVAILABILITY'!Q1021+'RAP TEMPLATE-GAS AVAILABILITY'!R1021)</f>
        <v>141.30686978417265</v>
      </c>
    </row>
    <row r="1023" spans="1:29" ht="15.75" x14ac:dyDescent="0.25">
      <c r="A1023" s="32">
        <v>72045</v>
      </c>
      <c r="B1023" s="14">
        <f>CHOOSE(CONTROL!$C$42, 140.039, 140.039) * CHOOSE(CONTROL!$C$21, $C$9, 100%, $E$9)</f>
        <v>140.03899999999999</v>
      </c>
      <c r="C1023" s="14">
        <f>CHOOSE(CONTROL!$C$42, 140.0441, 140.0441) * CHOOSE(CONTROL!$C$21, $C$9, 100%, $E$9)</f>
        <v>140.04409999999999</v>
      </c>
      <c r="D1023" s="14">
        <f>CHOOSE(CONTROL!$C$42, 140.1209, 140.1209) * CHOOSE(CONTROL!$C$21, $C$9, 100%, $E$9)</f>
        <v>140.12090000000001</v>
      </c>
      <c r="E1023" s="14">
        <f>CHOOSE(CONTROL!$C$42, 140.155, 140.155) * CHOOSE(CONTROL!$C$21, $C$9, 100%, $E$9)</f>
        <v>140.155</v>
      </c>
      <c r="F1023" s="14">
        <f>CHOOSE(CONTROL!$C$42, 140.0625, 140.0625)*CHOOSE(CONTROL!$C$21, $C$9, 100%, $E$9)</f>
        <v>140.0625</v>
      </c>
      <c r="G1023" s="14">
        <f>CHOOSE(CONTROL!$C$42, 140.0801, 140.0801)*CHOOSE(CONTROL!$C$21, $C$9, 100%, $E$9)</f>
        <v>140.08009999999999</v>
      </c>
      <c r="H1023" s="14">
        <f>CHOOSE(CONTROL!$C$42, 140.1442, 140.1442) * CHOOSE(CONTROL!$C$21, $C$9, 100%, $E$9)</f>
        <v>140.14420000000001</v>
      </c>
      <c r="I1023" s="14">
        <f>CHOOSE(CONTROL!$C$42, 140.5113, 140.5113)* CHOOSE(CONTROL!$C$21, $C$9, 100%, $E$9)</f>
        <v>140.51130000000001</v>
      </c>
      <c r="J1023" s="14">
        <f>CHOOSE(CONTROL!$C$42, 140.0555, 140.0555)* CHOOSE(CONTROL!$C$21, $C$9, 100%, $E$9)</f>
        <v>140.05549999999999</v>
      </c>
      <c r="K1023" s="53">
        <f>CHOOSE(CONTROL!$C$42, 140.5074, 140.5074) * CHOOSE(CONTROL!$C$21, $C$9, 100%, $E$9)</f>
        <v>140.50739999999999</v>
      </c>
      <c r="L1023" s="14">
        <f>CHOOSE(CONTROL!$C$42, 140.7312, 140.7312) * CHOOSE(CONTROL!$C$21, $C$9, 100%, $E$9)</f>
        <v>140.7312</v>
      </c>
      <c r="M1023" s="14">
        <f>CHOOSE(CONTROL!$C$42, 137.1935, 137.1935) * CHOOSE(CONTROL!$C$21, $C$9, 100%, $E$9)</f>
        <v>137.1935</v>
      </c>
      <c r="N1023" s="14">
        <f>CHOOSE(CONTROL!$C$42, 137.2108, 137.2108) * CHOOSE(CONTROL!$C$21, $C$9, 100%, $E$9)</f>
        <v>137.21080000000001</v>
      </c>
      <c r="O1023" s="14">
        <f>CHOOSE(CONTROL!$C$42, 137.2804, 137.2804) * CHOOSE(CONTROL!$C$21, $C$9, 100%, $E$9)</f>
        <v>137.28039999999999</v>
      </c>
      <c r="P1023" s="14">
        <f>CHOOSE(CONTROL!$C$42, 137.6313, 137.6313) * CHOOSE(CONTROL!$C$21, $C$9, 100%, $E$9)</f>
        <v>137.63130000000001</v>
      </c>
      <c r="Q1023" s="14">
        <f>CHOOSE(CONTROL!$C$42, 137.8751, 137.8751) * CHOOSE(CONTROL!$C$21, $C$9, 100%, $E$9)</f>
        <v>137.8751</v>
      </c>
      <c r="R1023" s="14">
        <f>CHOOSE(CONTROL!$C$42, 138.8068, 138.8068) * CHOOSE(CONTROL!$C$21, $C$9, 100%, $E$9)</f>
        <v>138.80680000000001</v>
      </c>
      <c r="S1023" s="14">
        <f>CHOOSE(CONTROL!$C$42, 134.5549, 134.5549) * CHOOSE(CONTROL!$C$21, $C$9, 100%, $E$9)</f>
        <v>134.5549</v>
      </c>
      <c r="T10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23" s="57">
        <f>(1000*CHOOSE(CONTROL!$C$42, 695, 695)*CHOOSE(CONTROL!$C$42, 0.5599, 0.5599)*CHOOSE(CONTROL!$C$42, 31, 31))/1000000</f>
        <v>12.063045499999998</v>
      </c>
      <c r="V1023" s="57">
        <f>(1000*CHOOSE(CONTROL!$C$42, 500, 500)*CHOOSE(CONTROL!$C$42, 0.275, 0.275)*CHOOSE(CONTROL!$C$42, 31, 31))/1000000</f>
        <v>4.2625000000000002</v>
      </c>
      <c r="W1023" s="57">
        <f>(1000*CHOOSE(CONTROL!$C$42, 0.1146, 0.1146)*CHOOSE(CONTROL!$C$42, 121.5, 121.5)*CHOOSE(CONTROL!$C$42, 31, 31))/1000000</f>
        <v>0.43164089999999994</v>
      </c>
      <c r="X1023" s="57">
        <f>(31*0.1790888*100000/1000000)+(31*0.2374*100000/1000000)</f>
        <v>1.2911152800000001</v>
      </c>
      <c r="Y1023" s="57"/>
      <c r="Z1023" s="14"/>
      <c r="AA1023" s="56"/>
      <c r="AB1023" s="50">
        <f>(B1023*122.58+C1023*297.941+D1023*89.177+E1023*40.302+F1023*40+G1023*160+H1023*0+I1023*100+J1023*300)/(122.58+297.941+89.177+40.302+0+40+160+100+300)</f>
        <v>140.10264706730436</v>
      </c>
      <c r="AC1023" s="45">
        <f>(M1023*'RAP TEMPLATE-GAS AVAILABILITY'!O1022+N1023*'RAP TEMPLATE-GAS AVAILABILITY'!P1022+O1023*'RAP TEMPLATE-GAS AVAILABILITY'!Q1022+P1023*'RAP TEMPLATE-GAS AVAILABILITY'!R1022)/('RAP TEMPLATE-GAS AVAILABILITY'!O1022+'RAP TEMPLATE-GAS AVAILABILITY'!P1022+'RAP TEMPLATE-GAS AVAILABILITY'!Q1022+'RAP TEMPLATE-GAS AVAILABILITY'!R1022)</f>
        <v>137.2968748201439</v>
      </c>
    </row>
    <row r="1024" spans="1:29" ht="15.75" x14ac:dyDescent="0.25">
      <c r="A1024" s="32">
        <v>72075</v>
      </c>
      <c r="B1024" s="14">
        <f>CHOOSE(CONTROL!$C$42, 139.6207, 139.6207) * CHOOSE(CONTROL!$C$21, $C$9, 100%, $E$9)</f>
        <v>139.6207</v>
      </c>
      <c r="C1024" s="14">
        <f>CHOOSE(CONTROL!$C$42, 139.6252, 139.6252) * CHOOSE(CONTROL!$C$21, $C$9, 100%, $E$9)</f>
        <v>139.62520000000001</v>
      </c>
      <c r="D1024" s="14">
        <f>CHOOSE(CONTROL!$C$42, 139.849, 139.849) * CHOOSE(CONTROL!$C$21, $C$9, 100%, $E$9)</f>
        <v>139.84899999999999</v>
      </c>
      <c r="E1024" s="14">
        <f>CHOOSE(CONTROL!$C$42, 139.8811, 139.8811) * CHOOSE(CONTROL!$C$21, $C$9, 100%, $E$9)</f>
        <v>139.8811</v>
      </c>
      <c r="F1024" s="14">
        <f>CHOOSE(CONTROL!$C$42, 139.6484, 139.6484)*CHOOSE(CONTROL!$C$21, $C$9, 100%, $E$9)</f>
        <v>139.64840000000001</v>
      </c>
      <c r="G1024" s="14">
        <f>CHOOSE(CONTROL!$C$42, 139.6653, 139.6653)*CHOOSE(CONTROL!$C$21, $C$9, 100%, $E$9)</f>
        <v>139.6653</v>
      </c>
      <c r="H1024" s="14">
        <f>CHOOSE(CONTROL!$C$42, 139.8708, 139.8708) * CHOOSE(CONTROL!$C$21, $C$9, 100%, $E$9)</f>
        <v>139.8708</v>
      </c>
      <c r="I1024" s="14">
        <f>CHOOSE(CONTROL!$C$42, 140.0873, 140.0873)* CHOOSE(CONTROL!$C$21, $C$9, 100%, $E$9)</f>
        <v>140.0873</v>
      </c>
      <c r="J1024" s="14">
        <f>CHOOSE(CONTROL!$C$42, 139.6414, 139.6414)* CHOOSE(CONTROL!$C$21, $C$9, 100%, $E$9)</f>
        <v>139.6414</v>
      </c>
      <c r="K1024" s="53">
        <f>CHOOSE(CONTROL!$C$42, 140.0834, 140.0834) * CHOOSE(CONTROL!$C$21, $C$9, 100%, $E$9)</f>
        <v>140.08340000000001</v>
      </c>
      <c r="L1024" s="14">
        <f>CHOOSE(CONTROL!$C$42, 140.4578, 140.4578) * CHOOSE(CONTROL!$C$21, $C$9, 100%, $E$9)</f>
        <v>140.45779999999999</v>
      </c>
      <c r="M1024" s="14">
        <f>CHOOSE(CONTROL!$C$42, 136.788, 136.788) * CHOOSE(CONTROL!$C$21, $C$9, 100%, $E$9)</f>
        <v>136.78800000000001</v>
      </c>
      <c r="N1024" s="14">
        <f>CHOOSE(CONTROL!$C$42, 136.8045, 136.8045) * CHOOSE(CONTROL!$C$21, $C$9, 100%, $E$9)</f>
        <v>136.80449999999999</v>
      </c>
      <c r="O1024" s="14">
        <f>CHOOSE(CONTROL!$C$42, 137.0127, 137.0127) * CHOOSE(CONTROL!$C$21, $C$9, 100%, $E$9)</f>
        <v>137.0127</v>
      </c>
      <c r="P1024" s="14">
        <f>CHOOSE(CONTROL!$C$42, 137.216, 137.216) * CHOOSE(CONTROL!$C$21, $C$9, 100%, $E$9)</f>
        <v>137.21600000000001</v>
      </c>
      <c r="Q1024" s="14">
        <f>CHOOSE(CONTROL!$C$42, 137.6074, 137.6074) * CHOOSE(CONTROL!$C$21, $C$9, 100%, $E$9)</f>
        <v>137.60740000000001</v>
      </c>
      <c r="R1024" s="14">
        <f>CHOOSE(CONTROL!$C$42, 138.5384, 138.5384) * CHOOSE(CONTROL!$C$21, $C$9, 100%, $E$9)</f>
        <v>138.5384</v>
      </c>
      <c r="S1024" s="14">
        <f>CHOOSE(CONTROL!$C$42, 134.1523, 134.1523) * CHOOSE(CONTROL!$C$21, $C$9, 100%, $E$9)</f>
        <v>134.1523</v>
      </c>
      <c r="T10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24" s="57">
        <f>(1000*CHOOSE(CONTROL!$C$42, 695, 695)*CHOOSE(CONTROL!$C$42, 0.5599, 0.5599)*CHOOSE(CONTROL!$C$42, 30, 30))/1000000</f>
        <v>11.673914999999997</v>
      </c>
      <c r="V1024" s="57">
        <f>(1000*CHOOSE(CONTROL!$C$42, 500, 500)*CHOOSE(CONTROL!$C$42, 0.275, 0.275)*CHOOSE(CONTROL!$C$42, 30, 30))/1000000</f>
        <v>4.125</v>
      </c>
      <c r="W1024" s="57">
        <f>(1000*CHOOSE(CONTROL!$C$42, 0.1146, 0.1146)*CHOOSE(CONTROL!$C$42, 121.5, 121.5)*CHOOSE(CONTROL!$C$42, 30, 30))/1000000</f>
        <v>0.417717</v>
      </c>
      <c r="X1024" s="57">
        <f>(30*0.1790888*245000/1000000)+(30*0.2374*100000/1000000)</f>
        <v>2.0285026799999999</v>
      </c>
      <c r="Y1024" s="57"/>
      <c r="Z1024" s="14"/>
      <c r="AA1024" s="56"/>
      <c r="AB1024" s="50">
        <f>(B1024*141.293+C1024*267.993+D1024*115.016+E1024*89.698+F1024*40+G1024*185+H1024*0+I1024*100+J1024*300)/(141.293+267.993+115.016+89.698+0+40+185+100+300)</f>
        <v>139.71194332566589</v>
      </c>
      <c r="AC1024" s="45">
        <f>(M1024*'RAP TEMPLATE-GAS AVAILABILITY'!O1023+N1024*'RAP TEMPLATE-GAS AVAILABILITY'!P1023+O1024*'RAP TEMPLATE-GAS AVAILABILITY'!Q1023+P1024*'RAP TEMPLATE-GAS AVAILABILITY'!R1023)/('RAP TEMPLATE-GAS AVAILABILITY'!O1023+'RAP TEMPLATE-GAS AVAILABILITY'!P1023+'RAP TEMPLATE-GAS AVAILABILITY'!Q1023+'RAP TEMPLATE-GAS AVAILABILITY'!R1023)</f>
        <v>136.95237482014392</v>
      </c>
    </row>
    <row r="1025" spans="1:29" ht="15.75" x14ac:dyDescent="0.25">
      <c r="A1025" s="32">
        <v>72106</v>
      </c>
      <c r="B1025" s="14">
        <f>CHOOSE(CONTROL!$C$42, 140.8544, 140.8544) * CHOOSE(CONTROL!$C$21, $C$9, 100%, $E$9)</f>
        <v>140.8544</v>
      </c>
      <c r="C1025" s="14">
        <f>CHOOSE(CONTROL!$C$42, 140.8624, 140.8624) * CHOOSE(CONTROL!$C$21, $C$9, 100%, $E$9)</f>
        <v>140.86240000000001</v>
      </c>
      <c r="D1025" s="14">
        <f>CHOOSE(CONTROL!$C$42, 141.083, 141.083) * CHOOSE(CONTROL!$C$21, $C$9, 100%, $E$9)</f>
        <v>141.083</v>
      </c>
      <c r="E1025" s="14">
        <f>CHOOSE(CONTROL!$C$42, 141.1144, 141.1144) * CHOOSE(CONTROL!$C$21, $C$9, 100%, $E$9)</f>
        <v>141.11439999999999</v>
      </c>
      <c r="F1025" s="14">
        <f>CHOOSE(CONTROL!$C$42, 140.8806, 140.8806)*CHOOSE(CONTROL!$C$21, $C$9, 100%, $E$9)</f>
        <v>140.88059999999999</v>
      </c>
      <c r="G1025" s="14">
        <f>CHOOSE(CONTROL!$C$42, 140.8977, 140.8977)*CHOOSE(CONTROL!$C$21, $C$9, 100%, $E$9)</f>
        <v>140.89769999999999</v>
      </c>
      <c r="H1025" s="14">
        <f>CHOOSE(CONTROL!$C$42, 141.1031, 141.1031) * CHOOSE(CONTROL!$C$21, $C$9, 100%, $E$9)</f>
        <v>141.10310000000001</v>
      </c>
      <c r="I1025" s="14">
        <f>CHOOSE(CONTROL!$C$42, 141.3234, 141.3234)* CHOOSE(CONTROL!$C$21, $C$9, 100%, $E$9)</f>
        <v>141.32339999999999</v>
      </c>
      <c r="J1025" s="14">
        <f>CHOOSE(CONTROL!$C$42, 140.8736, 140.8736)* CHOOSE(CONTROL!$C$21, $C$9, 100%, $E$9)</f>
        <v>140.87360000000001</v>
      </c>
      <c r="K1025" s="53">
        <f>CHOOSE(CONTROL!$C$42, 141.3195, 141.3195) * CHOOSE(CONTROL!$C$21, $C$9, 100%, $E$9)</f>
        <v>141.31950000000001</v>
      </c>
      <c r="L1025" s="14">
        <f>CHOOSE(CONTROL!$C$42, 141.6901, 141.6901) * CHOOSE(CONTROL!$C$21, $C$9, 100%, $E$9)</f>
        <v>141.6901</v>
      </c>
      <c r="M1025" s="14">
        <f>CHOOSE(CONTROL!$C$42, 137.9949, 137.9949) * CHOOSE(CONTROL!$C$21, $C$9, 100%, $E$9)</f>
        <v>137.9949</v>
      </c>
      <c r="N1025" s="14">
        <f>CHOOSE(CONTROL!$C$42, 138.0117, 138.0117) * CHOOSE(CONTROL!$C$21, $C$9, 100%, $E$9)</f>
        <v>138.01169999999999</v>
      </c>
      <c r="O1025" s="14">
        <f>CHOOSE(CONTROL!$C$42, 138.2197, 138.2197) * CHOOSE(CONTROL!$C$21, $C$9, 100%, $E$9)</f>
        <v>138.21969999999999</v>
      </c>
      <c r="P1025" s="14">
        <f>CHOOSE(CONTROL!$C$42, 138.4267, 138.4267) * CHOOSE(CONTROL!$C$21, $C$9, 100%, $E$9)</f>
        <v>138.42670000000001</v>
      </c>
      <c r="Q1025" s="14">
        <f>CHOOSE(CONTROL!$C$42, 138.8144, 138.8144) * CHOOSE(CONTROL!$C$21, $C$9, 100%, $E$9)</f>
        <v>138.81440000000001</v>
      </c>
      <c r="R1025" s="14">
        <f>CHOOSE(CONTROL!$C$42, 139.7484, 139.7484) * CHOOSE(CONTROL!$C$21, $C$9, 100%, $E$9)</f>
        <v>139.7484</v>
      </c>
      <c r="S1025" s="14">
        <f>CHOOSE(CONTROL!$C$42, 135.3363, 135.3363) * CHOOSE(CONTROL!$C$21, $C$9, 100%, $E$9)</f>
        <v>135.33629999999999</v>
      </c>
      <c r="T10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25" s="57">
        <f>(1000*CHOOSE(CONTROL!$C$42, 695, 695)*CHOOSE(CONTROL!$C$42, 0.5599, 0.5599)*CHOOSE(CONTROL!$C$42, 31, 31))/1000000</f>
        <v>12.063045499999998</v>
      </c>
      <c r="V1025" s="57">
        <f>(1000*CHOOSE(CONTROL!$C$42, 500, 500)*CHOOSE(CONTROL!$C$42, 0.275, 0.275)*CHOOSE(CONTROL!$C$42, 31, 31))/1000000</f>
        <v>4.2625000000000002</v>
      </c>
      <c r="W1025" s="57">
        <f>(1000*CHOOSE(CONTROL!$C$42, 0.1146, 0.1146)*CHOOSE(CONTROL!$C$42, 121.5, 121.5)*CHOOSE(CONTROL!$C$42, 31, 31))/1000000</f>
        <v>0.43164089999999994</v>
      </c>
      <c r="X1025" s="57">
        <f>(31*0.1790888*245000/1000000)+(31*0.2374*100000/1000000)</f>
        <v>2.0961194359999999</v>
      </c>
      <c r="Y1025" s="57"/>
      <c r="Z1025" s="14"/>
      <c r="AA1025" s="56"/>
      <c r="AB1025" s="50">
        <f>(B1025*194.205+C1025*267.466+D1025*133.845+E1025*53.484+F1025*40+G1025*185+H1025*0+I1025*100+J1025*300)/(194.205+267.466+133.845+53.484+0+40+185+100+300)</f>
        <v>140.93945575745681</v>
      </c>
      <c r="AC1025" s="45">
        <f>(M1025*'RAP TEMPLATE-GAS AVAILABILITY'!O1024+N1025*'RAP TEMPLATE-GAS AVAILABILITY'!P1024+O1025*'RAP TEMPLATE-GAS AVAILABILITY'!Q1024+P1025*'RAP TEMPLATE-GAS AVAILABILITY'!R1024)/('RAP TEMPLATE-GAS AVAILABILITY'!O1024+'RAP TEMPLATE-GAS AVAILABILITY'!P1024+'RAP TEMPLATE-GAS AVAILABILITY'!Q1024+'RAP TEMPLATE-GAS AVAILABILITY'!R1024)</f>
        <v>138.15988417266186</v>
      </c>
    </row>
    <row r="1026" spans="1:29" ht="15.75" x14ac:dyDescent="0.25">
      <c r="A1026" s="32">
        <v>72136</v>
      </c>
      <c r="B1026" s="14">
        <f>CHOOSE(CONTROL!$C$42, 144.8496, 144.8496) * CHOOSE(CONTROL!$C$21, $C$9, 100%, $E$9)</f>
        <v>144.84960000000001</v>
      </c>
      <c r="C1026" s="14">
        <f>CHOOSE(CONTROL!$C$42, 144.8576, 144.8576) * CHOOSE(CONTROL!$C$21, $C$9, 100%, $E$9)</f>
        <v>144.85759999999999</v>
      </c>
      <c r="D1026" s="14">
        <f>CHOOSE(CONTROL!$C$42, 145.0782, 145.0782) * CHOOSE(CONTROL!$C$21, $C$9, 100%, $E$9)</f>
        <v>145.07820000000001</v>
      </c>
      <c r="E1026" s="14">
        <f>CHOOSE(CONTROL!$C$42, 145.1096, 145.1096) * CHOOSE(CONTROL!$C$21, $C$9, 100%, $E$9)</f>
        <v>145.1096</v>
      </c>
      <c r="F1026" s="14">
        <f>CHOOSE(CONTROL!$C$42, 144.8762, 144.8762)*CHOOSE(CONTROL!$C$21, $C$9, 100%, $E$9)</f>
        <v>144.87620000000001</v>
      </c>
      <c r="G1026" s="14">
        <f>CHOOSE(CONTROL!$C$42, 144.8934, 144.8934)*CHOOSE(CONTROL!$C$21, $C$9, 100%, $E$9)</f>
        <v>144.89340000000001</v>
      </c>
      <c r="H1026" s="14">
        <f>CHOOSE(CONTROL!$C$42, 145.0983, 145.0983) * CHOOSE(CONTROL!$C$21, $C$9, 100%, $E$9)</f>
        <v>145.09829999999999</v>
      </c>
      <c r="I1026" s="14">
        <f>CHOOSE(CONTROL!$C$42, 145.3311, 145.3311)* CHOOSE(CONTROL!$C$21, $C$9, 100%, $E$9)</f>
        <v>145.33109999999999</v>
      </c>
      <c r="J1026" s="14">
        <f>CHOOSE(CONTROL!$C$42, 144.8692, 144.8692)* CHOOSE(CONTROL!$C$21, $C$9, 100%, $E$9)</f>
        <v>144.86920000000001</v>
      </c>
      <c r="K1026" s="53">
        <f>CHOOSE(CONTROL!$C$42, 145.3272, 145.3272) * CHOOSE(CONTROL!$C$21, $C$9, 100%, $E$9)</f>
        <v>145.3272</v>
      </c>
      <c r="L1026" s="14">
        <f>CHOOSE(CONTROL!$C$42, 145.6853, 145.6853) * CHOOSE(CONTROL!$C$21, $C$9, 100%, $E$9)</f>
        <v>145.68530000000001</v>
      </c>
      <c r="M1026" s="14">
        <f>CHOOSE(CONTROL!$C$42, 141.9086, 141.9086) * CHOOSE(CONTROL!$C$21, $C$9, 100%, $E$9)</f>
        <v>141.90860000000001</v>
      </c>
      <c r="N1026" s="14">
        <f>CHOOSE(CONTROL!$C$42, 141.9255, 141.9255) * CHOOSE(CONTROL!$C$21, $C$9, 100%, $E$9)</f>
        <v>141.9255</v>
      </c>
      <c r="O1026" s="14">
        <f>CHOOSE(CONTROL!$C$42, 142.133, 142.133) * CHOOSE(CONTROL!$C$21, $C$9, 100%, $E$9)</f>
        <v>142.13300000000001</v>
      </c>
      <c r="P1026" s="14">
        <f>CHOOSE(CONTROL!$C$42, 142.352, 142.352) * CHOOSE(CONTROL!$C$21, $C$9, 100%, $E$9)</f>
        <v>142.352</v>
      </c>
      <c r="Q1026" s="14">
        <f>CHOOSE(CONTROL!$C$42, 142.7277, 142.7277) * CHOOSE(CONTROL!$C$21, $C$9, 100%, $E$9)</f>
        <v>142.7277</v>
      </c>
      <c r="R1026" s="14">
        <f>CHOOSE(CONTROL!$C$42, 143.6715, 143.6715) * CHOOSE(CONTROL!$C$21, $C$9, 100%, $E$9)</f>
        <v>143.67150000000001</v>
      </c>
      <c r="S1026" s="14">
        <f>CHOOSE(CONTROL!$C$42, 139.1753, 139.1753) * CHOOSE(CONTROL!$C$21, $C$9, 100%, $E$9)</f>
        <v>139.17529999999999</v>
      </c>
      <c r="T10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6" s="57">
        <f>(1000*CHOOSE(CONTROL!$C$42, 695, 695)*CHOOSE(CONTROL!$C$42, 0.5599, 0.5599)*CHOOSE(CONTROL!$C$42, 30, 30))/1000000</f>
        <v>11.673914999999997</v>
      </c>
      <c r="V1026" s="57">
        <f>(1000*CHOOSE(CONTROL!$C$42, 500, 500)*CHOOSE(CONTROL!$C$42, 0.275, 0.275)*CHOOSE(CONTROL!$C$42, 30, 30))/1000000</f>
        <v>4.125</v>
      </c>
      <c r="W1026" s="57">
        <f>(1000*CHOOSE(CONTROL!$C$42, 0.1146, 0.1146)*CHOOSE(CONTROL!$C$42, 121.5, 121.5)*CHOOSE(CONTROL!$C$42, 30, 30))/1000000</f>
        <v>0.417717</v>
      </c>
      <c r="X1026" s="57">
        <f>(30*0.1790888*245000/1000000)+(30*0.2374*100000/1000000)</f>
        <v>2.0285026799999999</v>
      </c>
      <c r="Y1026" s="57"/>
      <c r="Z1026" s="14"/>
      <c r="AA1026" s="56"/>
      <c r="AB1026" s="50">
        <f>(B1026*194.205+C1026*267.466+D1026*133.845+E1026*53.484+F1026*40+G1026*185+H1026*0+I1026*100+J1026*300)/(194.205+267.466+133.845+53.484+0+40+185+100+300)</f>
        <v>144.93581627551018</v>
      </c>
      <c r="AC1026" s="45">
        <f>(M1026*'RAP TEMPLATE-GAS AVAILABILITY'!O1025+N1026*'RAP TEMPLATE-GAS AVAILABILITY'!P1025+O1026*'RAP TEMPLATE-GAS AVAILABILITY'!Q1025+P1026*'RAP TEMPLATE-GAS AVAILABILITY'!R1025)/('RAP TEMPLATE-GAS AVAILABILITY'!O1025+'RAP TEMPLATE-GAS AVAILABILITY'!P1025+'RAP TEMPLATE-GAS AVAILABILITY'!Q1025+'RAP TEMPLATE-GAS AVAILABILITY'!R1025)</f>
        <v>142.07507769784172</v>
      </c>
    </row>
    <row r="1027" spans="1:29" ht="15.75" x14ac:dyDescent="0.25">
      <c r="A1027" s="32">
        <v>72167</v>
      </c>
      <c r="B1027" s="14">
        <f>CHOOSE(CONTROL!$C$42, 142.0709, 142.0709) * CHOOSE(CONTROL!$C$21, $C$9, 100%, $E$9)</f>
        <v>142.07089999999999</v>
      </c>
      <c r="C1027" s="14">
        <f>CHOOSE(CONTROL!$C$42, 142.0789, 142.0789) * CHOOSE(CONTROL!$C$21, $C$9, 100%, $E$9)</f>
        <v>142.0789</v>
      </c>
      <c r="D1027" s="14">
        <f>CHOOSE(CONTROL!$C$42, 142.2995, 142.2995) * CHOOSE(CONTROL!$C$21, $C$9, 100%, $E$9)</f>
        <v>142.29949999999999</v>
      </c>
      <c r="E1027" s="14">
        <f>CHOOSE(CONTROL!$C$42, 142.3309, 142.3309) * CHOOSE(CONTROL!$C$21, $C$9, 100%, $E$9)</f>
        <v>142.33090000000001</v>
      </c>
      <c r="F1027" s="14">
        <f>CHOOSE(CONTROL!$C$42, 142.0979, 142.0979)*CHOOSE(CONTROL!$C$21, $C$9, 100%, $E$9)</f>
        <v>142.09790000000001</v>
      </c>
      <c r="G1027" s="14">
        <f>CHOOSE(CONTROL!$C$42, 142.1153, 142.1153)*CHOOSE(CONTROL!$C$21, $C$9, 100%, $E$9)</f>
        <v>142.11529999999999</v>
      </c>
      <c r="H1027" s="14">
        <f>CHOOSE(CONTROL!$C$42, 142.3196, 142.3196) * CHOOSE(CONTROL!$C$21, $C$9, 100%, $E$9)</f>
        <v>142.31960000000001</v>
      </c>
      <c r="I1027" s="14">
        <f>CHOOSE(CONTROL!$C$42, 142.5437, 142.5437)* CHOOSE(CONTROL!$C$21, $C$9, 100%, $E$9)</f>
        <v>142.5437</v>
      </c>
      <c r="J1027" s="14">
        <f>CHOOSE(CONTROL!$C$42, 142.0909, 142.0909)* CHOOSE(CONTROL!$C$21, $C$9, 100%, $E$9)</f>
        <v>142.0909</v>
      </c>
      <c r="K1027" s="53">
        <f>CHOOSE(CONTROL!$C$42, 142.5398, 142.5398) * CHOOSE(CONTROL!$C$21, $C$9, 100%, $E$9)</f>
        <v>142.53980000000001</v>
      </c>
      <c r="L1027" s="14">
        <f>CHOOSE(CONTROL!$C$42, 142.9066, 142.9066) * CHOOSE(CONTROL!$C$21, $C$9, 100%, $E$9)</f>
        <v>142.9066</v>
      </c>
      <c r="M1027" s="14">
        <f>CHOOSE(CONTROL!$C$42, 139.1873, 139.1873) * CHOOSE(CONTROL!$C$21, $C$9, 100%, $E$9)</f>
        <v>139.18729999999999</v>
      </c>
      <c r="N1027" s="14">
        <f>CHOOSE(CONTROL!$C$42, 139.2043, 139.2043) * CHOOSE(CONTROL!$C$21, $C$9, 100%, $E$9)</f>
        <v>139.20429999999999</v>
      </c>
      <c r="O1027" s="14">
        <f>CHOOSE(CONTROL!$C$42, 139.4112, 139.4112) * CHOOSE(CONTROL!$C$21, $C$9, 100%, $E$9)</f>
        <v>139.41120000000001</v>
      </c>
      <c r="P1027" s="14">
        <f>CHOOSE(CONTROL!$C$42, 139.6219, 139.6219) * CHOOSE(CONTROL!$C$21, $C$9, 100%, $E$9)</f>
        <v>139.62190000000001</v>
      </c>
      <c r="Q1027" s="14">
        <f>CHOOSE(CONTROL!$C$42, 140.0059, 140.0059) * CHOOSE(CONTROL!$C$21, $C$9, 100%, $E$9)</f>
        <v>140.0059</v>
      </c>
      <c r="R1027" s="14">
        <f>CHOOSE(CONTROL!$C$42, 140.943, 140.943) * CHOOSE(CONTROL!$C$21, $C$9, 100%, $E$9)</f>
        <v>140.94300000000001</v>
      </c>
      <c r="S1027" s="14">
        <f>CHOOSE(CONTROL!$C$42, 136.5053, 136.5053) * CHOOSE(CONTROL!$C$21, $C$9, 100%, $E$9)</f>
        <v>136.50530000000001</v>
      </c>
      <c r="T10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27" s="57">
        <f>(1000*CHOOSE(CONTROL!$C$42, 695, 695)*CHOOSE(CONTROL!$C$42, 0.5599, 0.5599)*CHOOSE(CONTROL!$C$42, 31, 31))/1000000</f>
        <v>12.063045499999998</v>
      </c>
      <c r="V1027" s="57">
        <f>(1000*CHOOSE(CONTROL!$C$42, 500, 500)*CHOOSE(CONTROL!$C$42, 0.275, 0.275)*CHOOSE(CONTROL!$C$42, 31, 31))/1000000</f>
        <v>4.2625000000000002</v>
      </c>
      <c r="W1027" s="57">
        <f>(1000*CHOOSE(CONTROL!$C$42, 0.1146, 0.1146)*CHOOSE(CONTROL!$C$42, 121.5, 121.5)*CHOOSE(CONTROL!$C$42, 31, 31))/1000000</f>
        <v>0.43164089999999994</v>
      </c>
      <c r="X1027" s="57">
        <f>(31*0.1790888*245000/1000000)+(31*0.2374*100000/1000000)</f>
        <v>2.0961194359999999</v>
      </c>
      <c r="Y1027" s="57"/>
      <c r="Z1027" s="14"/>
      <c r="AA1027" s="56"/>
      <c r="AB1027" s="50">
        <f>(B1027*194.205+C1027*267.466+D1027*133.845+E1027*53.484+F1027*40+G1027*185+H1027*0+I1027*100+J1027*300)/(194.205+267.466+133.845+53.484+0+40+185+100+300)</f>
        <v>142.15662726452118</v>
      </c>
      <c r="AC1027" s="45">
        <f>(M1027*'RAP TEMPLATE-GAS AVAILABILITY'!O1026+N1027*'RAP TEMPLATE-GAS AVAILABILITY'!P1026+O1027*'RAP TEMPLATE-GAS AVAILABILITY'!Q1026+P1027*'RAP TEMPLATE-GAS AVAILABILITY'!R1026)/('RAP TEMPLATE-GAS AVAILABILITY'!O1026+'RAP TEMPLATE-GAS AVAILABILITY'!P1026+'RAP TEMPLATE-GAS AVAILABILITY'!Q1026+'RAP TEMPLATE-GAS AVAILABILITY'!R1026)</f>
        <v>139.35229064748202</v>
      </c>
    </row>
    <row r="1028" spans="1:29" ht="15.75" x14ac:dyDescent="0.25">
      <c r="A1028" s="32">
        <v>72198</v>
      </c>
      <c r="B1028" s="14">
        <f>CHOOSE(CONTROL!$C$42, 135.0538, 135.0538) * CHOOSE(CONTROL!$C$21, $C$9, 100%, $E$9)</f>
        <v>135.0538</v>
      </c>
      <c r="C1028" s="14">
        <f>CHOOSE(CONTROL!$C$42, 135.0618, 135.0618) * CHOOSE(CONTROL!$C$21, $C$9, 100%, $E$9)</f>
        <v>135.06180000000001</v>
      </c>
      <c r="D1028" s="14">
        <f>CHOOSE(CONTROL!$C$42, 135.2824, 135.2824) * CHOOSE(CONTROL!$C$21, $C$9, 100%, $E$9)</f>
        <v>135.2824</v>
      </c>
      <c r="E1028" s="14">
        <f>CHOOSE(CONTROL!$C$42, 135.3139, 135.3139) * CHOOSE(CONTROL!$C$21, $C$9, 100%, $E$9)</f>
        <v>135.31389999999999</v>
      </c>
      <c r="F1028" s="14">
        <f>CHOOSE(CONTROL!$C$42, 135.0812, 135.0812)*CHOOSE(CONTROL!$C$21, $C$9, 100%, $E$9)</f>
        <v>135.0812</v>
      </c>
      <c r="G1028" s="14">
        <f>CHOOSE(CONTROL!$C$42, 135.0986, 135.0986)*CHOOSE(CONTROL!$C$21, $C$9, 100%, $E$9)</f>
        <v>135.0986</v>
      </c>
      <c r="H1028" s="14">
        <f>CHOOSE(CONTROL!$C$42, 135.3025, 135.3025) * CHOOSE(CONTROL!$C$21, $C$9, 100%, $E$9)</f>
        <v>135.30250000000001</v>
      </c>
      <c r="I1028" s="14">
        <f>CHOOSE(CONTROL!$C$42, 135.5047, 135.5047)* CHOOSE(CONTROL!$C$21, $C$9, 100%, $E$9)</f>
        <v>135.50470000000001</v>
      </c>
      <c r="J1028" s="14">
        <f>CHOOSE(CONTROL!$C$42, 135.0742, 135.0742)* CHOOSE(CONTROL!$C$21, $C$9, 100%, $E$9)</f>
        <v>135.07419999999999</v>
      </c>
      <c r="K1028" s="53">
        <f>CHOOSE(CONTROL!$C$42, 135.5008, 135.5008) * CHOOSE(CONTROL!$C$21, $C$9, 100%, $E$9)</f>
        <v>135.5008</v>
      </c>
      <c r="L1028" s="14">
        <f>CHOOSE(CONTROL!$C$42, 135.8895, 135.8895) * CHOOSE(CONTROL!$C$21, $C$9, 100%, $E$9)</f>
        <v>135.8895</v>
      </c>
      <c r="M1028" s="14">
        <f>CHOOSE(CONTROL!$C$42, 132.3143, 132.3143) * CHOOSE(CONTROL!$C$21, $C$9, 100%, $E$9)</f>
        <v>132.3143</v>
      </c>
      <c r="N1028" s="14">
        <f>CHOOSE(CONTROL!$C$42, 132.3314, 132.3314) * CHOOSE(CONTROL!$C$21, $C$9, 100%, $E$9)</f>
        <v>132.3314</v>
      </c>
      <c r="O1028" s="14">
        <f>CHOOSE(CONTROL!$C$42, 132.538, 132.538) * CHOOSE(CONTROL!$C$21, $C$9, 100%, $E$9)</f>
        <v>132.53800000000001</v>
      </c>
      <c r="P1028" s="14">
        <f>CHOOSE(CONTROL!$C$42, 132.7275, 132.7275) * CHOOSE(CONTROL!$C$21, $C$9, 100%, $E$9)</f>
        <v>132.72749999999999</v>
      </c>
      <c r="Q1028" s="14">
        <f>CHOOSE(CONTROL!$C$42, 133.1327, 133.1327) * CHOOSE(CONTROL!$C$21, $C$9, 100%, $E$9)</f>
        <v>133.1327</v>
      </c>
      <c r="R1028" s="14">
        <f>CHOOSE(CONTROL!$C$42, 134.0525, 134.0525) * CHOOSE(CONTROL!$C$21, $C$9, 100%, $E$9)</f>
        <v>134.05250000000001</v>
      </c>
      <c r="S1028" s="14">
        <f>CHOOSE(CONTROL!$C$42, 129.7626, 129.7626) * CHOOSE(CONTROL!$C$21, $C$9, 100%, $E$9)</f>
        <v>129.76259999999999</v>
      </c>
      <c r="T10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28" s="57">
        <f>(1000*CHOOSE(CONTROL!$C$42, 695, 695)*CHOOSE(CONTROL!$C$42, 0.5599, 0.5599)*CHOOSE(CONTROL!$C$42, 31, 31))/1000000</f>
        <v>12.063045499999998</v>
      </c>
      <c r="V1028" s="57">
        <f>(1000*CHOOSE(CONTROL!$C$42, 500, 500)*CHOOSE(CONTROL!$C$42, 0.275, 0.275)*CHOOSE(CONTROL!$C$42, 31, 31))/1000000</f>
        <v>4.2625000000000002</v>
      </c>
      <c r="W1028" s="57">
        <f>(1000*CHOOSE(CONTROL!$C$42, 0.1146, 0.1146)*CHOOSE(CONTROL!$C$42, 121.5, 121.5)*CHOOSE(CONTROL!$C$42, 31, 31))/1000000</f>
        <v>0.43164089999999994</v>
      </c>
      <c r="X1028" s="57">
        <f>(31*0.1790888*245000/1000000)+(31*0.2374*100000/1000000)</f>
        <v>2.0961194359999999</v>
      </c>
      <c r="Y1028" s="57"/>
      <c r="Z1028" s="14"/>
      <c r="AA1028" s="56"/>
      <c r="AB1028" s="50">
        <f>(B1028*194.205+C1028*267.466+D1028*133.845+E1028*53.484+F1028*40+G1028*185+H1028*0+I1028*100+J1028*300)/(194.205+267.466+133.845+53.484+0+40+185+100+300)</f>
        <v>135.13797730251176</v>
      </c>
      <c r="AC1028" s="45">
        <f>(M1028*'RAP TEMPLATE-GAS AVAILABILITY'!O1027+N1028*'RAP TEMPLATE-GAS AVAILABILITY'!P1027+O1028*'RAP TEMPLATE-GAS AVAILABILITY'!Q1027+P1028*'RAP TEMPLATE-GAS AVAILABILITY'!R1027)/('RAP TEMPLATE-GAS AVAILABILITY'!O1027+'RAP TEMPLATE-GAS AVAILABILITY'!P1027+'RAP TEMPLATE-GAS AVAILABILITY'!Q1027+'RAP TEMPLATE-GAS AVAILABILITY'!R1027)</f>
        <v>132.47612661870502</v>
      </c>
    </row>
    <row r="1029" spans="1:29" ht="15.75" x14ac:dyDescent="0.25">
      <c r="A1029" s="32">
        <v>72228</v>
      </c>
      <c r="B1029" s="14">
        <f>CHOOSE(CONTROL!$C$42, 126.4801, 126.4801) * CHOOSE(CONTROL!$C$21, $C$9, 100%, $E$9)</f>
        <v>126.48009999999999</v>
      </c>
      <c r="C1029" s="14">
        <f>CHOOSE(CONTROL!$C$42, 126.4881, 126.4881) * CHOOSE(CONTROL!$C$21, $C$9, 100%, $E$9)</f>
        <v>126.4881</v>
      </c>
      <c r="D1029" s="14">
        <f>CHOOSE(CONTROL!$C$42, 126.7087, 126.7087) * CHOOSE(CONTROL!$C$21, $C$9, 100%, $E$9)</f>
        <v>126.70869999999999</v>
      </c>
      <c r="E1029" s="14">
        <f>CHOOSE(CONTROL!$C$42, 126.7401, 126.7401) * CHOOSE(CONTROL!$C$21, $C$9, 100%, $E$9)</f>
        <v>126.7401</v>
      </c>
      <c r="F1029" s="14">
        <f>CHOOSE(CONTROL!$C$42, 126.5074, 126.5074)*CHOOSE(CONTROL!$C$21, $C$9, 100%, $E$9)</f>
        <v>126.5074</v>
      </c>
      <c r="G1029" s="14">
        <f>CHOOSE(CONTROL!$C$42, 126.5248, 126.5248)*CHOOSE(CONTROL!$C$21, $C$9, 100%, $E$9)</f>
        <v>126.5248</v>
      </c>
      <c r="H1029" s="14">
        <f>CHOOSE(CONTROL!$C$42, 126.7288, 126.7288) * CHOOSE(CONTROL!$C$21, $C$9, 100%, $E$9)</f>
        <v>126.72880000000001</v>
      </c>
      <c r="I1029" s="14">
        <f>CHOOSE(CONTROL!$C$42, 126.9041, 126.9041)* CHOOSE(CONTROL!$C$21, $C$9, 100%, $E$9)</f>
        <v>126.9041</v>
      </c>
      <c r="J1029" s="14">
        <f>CHOOSE(CONTROL!$C$42, 126.5004, 126.5004)* CHOOSE(CONTROL!$C$21, $C$9, 100%, $E$9)</f>
        <v>126.5004</v>
      </c>
      <c r="K1029" s="53">
        <f>CHOOSE(CONTROL!$C$42, 126.9002, 126.9002) * CHOOSE(CONTROL!$C$21, $C$9, 100%, $E$9)</f>
        <v>126.9002</v>
      </c>
      <c r="L1029" s="14">
        <f>CHOOSE(CONTROL!$C$42, 127.3158, 127.3158) * CHOOSE(CONTROL!$C$21, $C$9, 100%, $E$9)</f>
        <v>127.3158</v>
      </c>
      <c r="M1029" s="14">
        <f>CHOOSE(CONTROL!$C$42, 123.9162, 123.9162) * CHOOSE(CONTROL!$C$21, $C$9, 100%, $E$9)</f>
        <v>123.9162</v>
      </c>
      <c r="N1029" s="14">
        <f>CHOOSE(CONTROL!$C$42, 123.9332, 123.9332) * CHOOSE(CONTROL!$C$21, $C$9, 100%, $E$9)</f>
        <v>123.9332</v>
      </c>
      <c r="O1029" s="14">
        <f>CHOOSE(CONTROL!$C$42, 124.1399, 124.1399) * CHOOSE(CONTROL!$C$21, $C$9, 100%, $E$9)</f>
        <v>124.1399</v>
      </c>
      <c r="P1029" s="14">
        <f>CHOOSE(CONTROL!$C$42, 124.3037, 124.3037) * CHOOSE(CONTROL!$C$21, $C$9, 100%, $E$9)</f>
        <v>124.30370000000001</v>
      </c>
      <c r="Q1029" s="14">
        <f>CHOOSE(CONTROL!$C$42, 124.7346, 124.7346) * CHOOSE(CONTROL!$C$21, $C$9, 100%, $E$9)</f>
        <v>124.7346</v>
      </c>
      <c r="R1029" s="14">
        <f>CHOOSE(CONTROL!$C$42, 125.6334, 125.6334) * CHOOSE(CONTROL!$C$21, $C$9, 100%, $E$9)</f>
        <v>125.63339999999999</v>
      </c>
      <c r="S1029" s="14">
        <f>CHOOSE(CONTROL!$C$42, 121.5241, 121.5241) * CHOOSE(CONTROL!$C$21, $C$9, 100%, $E$9)</f>
        <v>121.5241</v>
      </c>
      <c r="T10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29" s="57">
        <f>(1000*CHOOSE(CONTROL!$C$42, 695, 695)*CHOOSE(CONTROL!$C$42, 0.5599, 0.5599)*CHOOSE(CONTROL!$C$42, 30, 30))/1000000</f>
        <v>11.673914999999997</v>
      </c>
      <c r="V1029" s="57">
        <f>(1000*CHOOSE(CONTROL!$C$42, 500, 500)*CHOOSE(CONTROL!$C$42, 0.275, 0.275)*CHOOSE(CONTROL!$C$42, 30, 30))/1000000</f>
        <v>4.125</v>
      </c>
      <c r="W1029" s="57">
        <f>(1000*CHOOSE(CONTROL!$C$42, 0.1146, 0.1146)*CHOOSE(CONTROL!$C$42, 121.5, 121.5)*CHOOSE(CONTROL!$C$42, 30, 30))/1000000</f>
        <v>0.417717</v>
      </c>
      <c r="X1029" s="57">
        <f>(30*0.1790888*245000/1000000)+(30*0.2374*100000/1000000)</f>
        <v>2.0285026799999999</v>
      </c>
      <c r="Y1029" s="57"/>
      <c r="Z1029" s="14"/>
      <c r="AA1029" s="56"/>
      <c r="AB1029" s="50">
        <f>(B1029*194.205+C1029*267.466+D1029*133.845+E1029*53.484+F1029*40+G1029*185+H1029*0+I1029*100+J1029*300)/(194.205+267.466+133.845+53.484+0+40+185+100+300)</f>
        <v>126.56212043563579</v>
      </c>
      <c r="AC1029" s="45">
        <f>(M1029*'RAP TEMPLATE-GAS AVAILABILITY'!O1028+N1029*'RAP TEMPLATE-GAS AVAILABILITY'!P1028+O1029*'RAP TEMPLATE-GAS AVAILABILITY'!Q1028+P1029*'RAP TEMPLATE-GAS AVAILABILITY'!R1028)/('RAP TEMPLATE-GAS AVAILABILITY'!O1028+'RAP TEMPLATE-GAS AVAILABILITY'!P1028+'RAP TEMPLATE-GAS AVAILABILITY'!Q1028+'RAP TEMPLATE-GAS AVAILABILITY'!R1028)</f>
        <v>124.07432302158274</v>
      </c>
    </row>
    <row r="1030" spans="1:29" ht="15.75" x14ac:dyDescent="0.25">
      <c r="A1030" s="32">
        <v>72259</v>
      </c>
      <c r="B1030" s="14">
        <f>CHOOSE(CONTROL!$C$42, 123.9105, 123.9105) * CHOOSE(CONTROL!$C$21, $C$9, 100%, $E$9)</f>
        <v>123.9105</v>
      </c>
      <c r="C1030" s="14">
        <f>CHOOSE(CONTROL!$C$42, 123.9158, 123.9158) * CHOOSE(CONTROL!$C$21, $C$9, 100%, $E$9)</f>
        <v>123.9158</v>
      </c>
      <c r="D1030" s="14">
        <f>CHOOSE(CONTROL!$C$42, 124.1414, 124.1414) * CHOOSE(CONTROL!$C$21, $C$9, 100%, $E$9)</f>
        <v>124.1414</v>
      </c>
      <c r="E1030" s="14">
        <f>CHOOSE(CONTROL!$C$42, 124.1705, 124.1705) * CHOOSE(CONTROL!$C$21, $C$9, 100%, $E$9)</f>
        <v>124.1705</v>
      </c>
      <c r="F1030" s="14">
        <f>CHOOSE(CONTROL!$C$42, 123.9398, 123.9398)*CHOOSE(CONTROL!$C$21, $C$9, 100%, $E$9)</f>
        <v>123.93980000000001</v>
      </c>
      <c r="G1030" s="14">
        <f>CHOOSE(CONTROL!$C$42, 123.9571, 123.9571)*CHOOSE(CONTROL!$C$21, $C$9, 100%, $E$9)</f>
        <v>123.9571</v>
      </c>
      <c r="H1030" s="14">
        <f>CHOOSE(CONTROL!$C$42, 124.161, 124.161) * CHOOSE(CONTROL!$C$21, $C$9, 100%, $E$9)</f>
        <v>124.161</v>
      </c>
      <c r="I1030" s="14">
        <f>CHOOSE(CONTROL!$C$42, 124.3282, 124.3282)* CHOOSE(CONTROL!$C$21, $C$9, 100%, $E$9)</f>
        <v>124.3282</v>
      </c>
      <c r="J1030" s="14">
        <f>CHOOSE(CONTROL!$C$42, 123.9328, 123.9328)* CHOOSE(CONTROL!$C$21, $C$9, 100%, $E$9)</f>
        <v>123.9328</v>
      </c>
      <c r="K1030" s="53">
        <f>CHOOSE(CONTROL!$C$42, 124.3243, 124.3243) * CHOOSE(CONTROL!$C$21, $C$9, 100%, $E$9)</f>
        <v>124.32429999999999</v>
      </c>
      <c r="L1030" s="14">
        <f>CHOOSE(CONTROL!$C$42, 124.748, 124.748) * CHOOSE(CONTROL!$C$21, $C$9, 100%, $E$9)</f>
        <v>124.748</v>
      </c>
      <c r="M1030" s="14">
        <f>CHOOSE(CONTROL!$C$42, 121.4012, 121.4012) * CHOOSE(CONTROL!$C$21, $C$9, 100%, $E$9)</f>
        <v>121.4012</v>
      </c>
      <c r="N1030" s="14">
        <f>CHOOSE(CONTROL!$C$42, 121.4181, 121.4181) * CHOOSE(CONTROL!$C$21, $C$9, 100%, $E$9)</f>
        <v>121.4181</v>
      </c>
      <c r="O1030" s="14">
        <f>CHOOSE(CONTROL!$C$42, 121.6247, 121.6247) * CHOOSE(CONTROL!$C$21, $C$9, 100%, $E$9)</f>
        <v>121.6247</v>
      </c>
      <c r="P1030" s="14">
        <f>CHOOSE(CONTROL!$C$42, 121.7808, 121.7808) * CHOOSE(CONTROL!$C$21, $C$9, 100%, $E$9)</f>
        <v>121.7808</v>
      </c>
      <c r="Q1030" s="14">
        <f>CHOOSE(CONTROL!$C$42, 122.2194, 122.2194) * CHOOSE(CONTROL!$C$21, $C$9, 100%, $E$9)</f>
        <v>122.21939999999999</v>
      </c>
      <c r="R1030" s="14">
        <f>CHOOSE(CONTROL!$C$42, 123.1119, 123.1119) * CHOOSE(CONTROL!$C$21, $C$9, 100%, $E$9)</f>
        <v>123.11190000000001</v>
      </c>
      <c r="S1030" s="14">
        <f>CHOOSE(CONTROL!$C$42, 119.0566, 119.0566) * CHOOSE(CONTROL!$C$21, $C$9, 100%, $E$9)</f>
        <v>119.0566</v>
      </c>
      <c r="T10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30" s="57">
        <f>(1000*CHOOSE(CONTROL!$C$42, 695, 695)*CHOOSE(CONTROL!$C$42, 0.5599, 0.5599)*CHOOSE(CONTROL!$C$42, 31, 31))/1000000</f>
        <v>12.063045499999998</v>
      </c>
      <c r="V1030" s="57">
        <f>(1000*CHOOSE(CONTROL!$C$42, 500, 500)*CHOOSE(CONTROL!$C$42, 0.275, 0.275)*CHOOSE(CONTROL!$C$42, 31, 31))/1000000</f>
        <v>4.2625000000000002</v>
      </c>
      <c r="W1030" s="57">
        <f>(1000*CHOOSE(CONTROL!$C$42, 0.1146, 0.1146)*CHOOSE(CONTROL!$C$42, 121.5, 121.5)*CHOOSE(CONTROL!$C$42, 31, 31))/1000000</f>
        <v>0.43164089999999994</v>
      </c>
      <c r="X1030" s="57">
        <f>(31*0.1790888*245000/1000000)+(31*0.2374*100000/1000000)</f>
        <v>2.0961194359999999</v>
      </c>
      <c r="Y1030" s="57"/>
      <c r="Z1030" s="14"/>
      <c r="AA1030" s="56"/>
      <c r="AB1030" s="50">
        <f>(B1030*131.881+C1030*277.167+D1030*79.08+E1030*125.872+F1030*40+G1030*185+H1030*0+I1030*100+J1030*300)/(131.881+277.167+79.08+125.872+0+40+185+100+300)</f>
        <v>123.99985292744148</v>
      </c>
      <c r="AC1030" s="45">
        <f>(M1030*'RAP TEMPLATE-GAS AVAILABILITY'!O1029+N1030*'RAP TEMPLATE-GAS AVAILABILITY'!P1029+O1030*'RAP TEMPLATE-GAS AVAILABILITY'!Q1029+P1030*'RAP TEMPLATE-GAS AVAILABILITY'!R1029)/('RAP TEMPLATE-GAS AVAILABILITY'!O1029+'RAP TEMPLATE-GAS AVAILABILITY'!P1029+'RAP TEMPLATE-GAS AVAILABILITY'!Q1029+'RAP TEMPLATE-GAS AVAILABILITY'!R1029)</f>
        <v>121.55808992805757</v>
      </c>
    </row>
    <row r="1031" spans="1:29" ht="15.75" x14ac:dyDescent="0.25">
      <c r="A1031" s="32">
        <v>72289</v>
      </c>
      <c r="B1031" s="14">
        <f>CHOOSE(CONTROL!$C$42, 127.1742, 127.1742) * CHOOSE(CONTROL!$C$21, $C$9, 100%, $E$9)</f>
        <v>127.1742</v>
      </c>
      <c r="C1031" s="14">
        <f>CHOOSE(CONTROL!$C$42, 127.1793, 127.1793) * CHOOSE(CONTROL!$C$21, $C$9, 100%, $E$9)</f>
        <v>127.1793</v>
      </c>
      <c r="D1031" s="14">
        <f>CHOOSE(CONTROL!$C$42, 127.2535, 127.2535) * CHOOSE(CONTROL!$C$21, $C$9, 100%, $E$9)</f>
        <v>127.2535</v>
      </c>
      <c r="E1031" s="14">
        <f>CHOOSE(CONTROL!$C$42, 127.2876, 127.2876) * CHOOSE(CONTROL!$C$21, $C$9, 100%, $E$9)</f>
        <v>127.2876</v>
      </c>
      <c r="F1031" s="14">
        <f>CHOOSE(CONTROL!$C$42, 127.2103, 127.2103)*CHOOSE(CONTROL!$C$21, $C$9, 100%, $E$9)</f>
        <v>127.2103</v>
      </c>
      <c r="G1031" s="14">
        <f>CHOOSE(CONTROL!$C$42, 127.2278, 127.2278)*CHOOSE(CONTROL!$C$21, $C$9, 100%, $E$9)</f>
        <v>127.2278</v>
      </c>
      <c r="H1031" s="14">
        <f>CHOOSE(CONTROL!$C$42, 127.2768, 127.2768) * CHOOSE(CONTROL!$C$21, $C$9, 100%, $E$9)</f>
        <v>127.27679999999999</v>
      </c>
      <c r="I1031" s="14">
        <f>CHOOSE(CONTROL!$C$42, 127.5999, 127.5999)* CHOOSE(CONTROL!$C$21, $C$9, 100%, $E$9)</f>
        <v>127.59990000000001</v>
      </c>
      <c r="J1031" s="14">
        <f>CHOOSE(CONTROL!$C$42, 127.2033, 127.2033)* CHOOSE(CONTROL!$C$21, $C$9, 100%, $E$9)</f>
        <v>127.2033</v>
      </c>
      <c r="K1031" s="53">
        <f>CHOOSE(CONTROL!$C$42, 127.5961, 127.5961) * CHOOSE(CONTROL!$C$21, $C$9, 100%, $E$9)</f>
        <v>127.59610000000001</v>
      </c>
      <c r="L1031" s="14">
        <f>CHOOSE(CONTROL!$C$42, 127.8638, 127.8638) * CHOOSE(CONTROL!$C$21, $C$9, 100%, $E$9)</f>
        <v>127.8638</v>
      </c>
      <c r="M1031" s="14">
        <f>CHOOSE(CONTROL!$C$42, 124.6046, 124.6046) * CHOOSE(CONTROL!$C$21, $C$9, 100%, $E$9)</f>
        <v>124.6046</v>
      </c>
      <c r="N1031" s="14">
        <f>CHOOSE(CONTROL!$C$42, 124.6218, 124.6218) * CHOOSE(CONTROL!$C$21, $C$9, 100%, $E$9)</f>
        <v>124.62179999999999</v>
      </c>
      <c r="O1031" s="14">
        <f>CHOOSE(CONTROL!$C$42, 124.6767, 124.6767) * CHOOSE(CONTROL!$C$21, $C$9, 100%, $E$9)</f>
        <v>124.6767</v>
      </c>
      <c r="P1031" s="14">
        <f>CHOOSE(CONTROL!$C$42, 124.9853, 124.9853) * CHOOSE(CONTROL!$C$21, $C$9, 100%, $E$9)</f>
        <v>124.9853</v>
      </c>
      <c r="Q1031" s="14">
        <f>CHOOSE(CONTROL!$C$42, 125.2714, 125.2714) * CHOOSE(CONTROL!$C$21, $C$9, 100%, $E$9)</f>
        <v>125.2714</v>
      </c>
      <c r="R1031" s="14">
        <f>CHOOSE(CONTROL!$C$42, 126.1715, 126.1715) * CHOOSE(CONTROL!$C$21, $C$9, 100%, $E$9)</f>
        <v>126.17149999999999</v>
      </c>
      <c r="S1031" s="14">
        <f>CHOOSE(CONTROL!$C$42, 122.1931, 122.1931) * CHOOSE(CONTROL!$C$21, $C$9, 100%, $E$9)</f>
        <v>122.1931</v>
      </c>
      <c r="T10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31" s="57">
        <f>(1000*CHOOSE(CONTROL!$C$42, 695, 695)*CHOOSE(CONTROL!$C$42, 0.5599, 0.5599)*CHOOSE(CONTROL!$C$42, 30, 30))/1000000</f>
        <v>11.673914999999997</v>
      </c>
      <c r="V1031" s="57">
        <f>(1000*CHOOSE(CONTROL!$C$42, 500, 500)*CHOOSE(CONTROL!$C$42, 0.275, 0.275)*CHOOSE(CONTROL!$C$42, 30, 30))/1000000</f>
        <v>4.125</v>
      </c>
      <c r="W1031" s="57">
        <f>(1000*CHOOSE(CONTROL!$C$42, 0.1146, 0.1146)*CHOOSE(CONTROL!$C$42, 121.5, 121.5)*CHOOSE(CONTROL!$C$42, 30, 30))/1000000</f>
        <v>0.417717</v>
      </c>
      <c r="X1031" s="57">
        <f>(30*0.1790888*100000/1000000)+(30*0.2374*100000/1000000)</f>
        <v>1.2494664</v>
      </c>
      <c r="Y1031" s="57"/>
      <c r="Z1031" s="14"/>
      <c r="AA1031" s="56"/>
      <c r="AB1031" s="50">
        <f>(B1031*122.58+C1031*297.941+D1031*89.177+E1031*40.302+F1031*40+G1031*160+H1031*0+I1031*100+J1031*300)/(122.58+297.941+89.177+40.302+0+40+160+100+300)</f>
        <v>127.23896650608695</v>
      </c>
      <c r="AC1031" s="45">
        <f>(M1031*'RAP TEMPLATE-GAS AVAILABILITY'!O1030+N1031*'RAP TEMPLATE-GAS AVAILABILITY'!P1030+O1031*'RAP TEMPLATE-GAS AVAILABILITY'!Q1030+P1031*'RAP TEMPLATE-GAS AVAILABILITY'!R1030)/('RAP TEMPLATE-GAS AVAILABILITY'!O1030+'RAP TEMPLATE-GAS AVAILABILITY'!P1030+'RAP TEMPLATE-GAS AVAILABILITY'!Q1030+'RAP TEMPLATE-GAS AVAILABILITY'!R1030)</f>
        <v>124.69304532374099</v>
      </c>
    </row>
    <row r="1032" spans="1:29" ht="15.75" x14ac:dyDescent="0.25">
      <c r="A1032" s="32">
        <v>72320</v>
      </c>
      <c r="B1032" s="14">
        <f>CHOOSE(CONTROL!$C$42, 135.8442, 135.8442) * CHOOSE(CONTROL!$C$21, $C$9, 100%, $E$9)</f>
        <v>135.8442</v>
      </c>
      <c r="C1032" s="14">
        <f>CHOOSE(CONTROL!$C$42, 135.8493, 135.8493) * CHOOSE(CONTROL!$C$21, $C$9, 100%, $E$9)</f>
        <v>135.8493</v>
      </c>
      <c r="D1032" s="14">
        <f>CHOOSE(CONTROL!$C$42, 135.9235, 135.9235) * CHOOSE(CONTROL!$C$21, $C$9, 100%, $E$9)</f>
        <v>135.92349999999999</v>
      </c>
      <c r="E1032" s="14">
        <f>CHOOSE(CONTROL!$C$42, 135.9576, 135.9576) * CHOOSE(CONTROL!$C$21, $C$9, 100%, $E$9)</f>
        <v>135.95760000000001</v>
      </c>
      <c r="F1032" s="14">
        <f>CHOOSE(CONTROL!$C$42, 135.8826, 135.8826)*CHOOSE(CONTROL!$C$21, $C$9, 100%, $E$9)</f>
        <v>135.8826</v>
      </c>
      <c r="G1032" s="14">
        <f>CHOOSE(CONTROL!$C$42, 135.9008, 135.9008)*CHOOSE(CONTROL!$C$21, $C$9, 100%, $E$9)</f>
        <v>135.9008</v>
      </c>
      <c r="H1032" s="14">
        <f>CHOOSE(CONTROL!$C$42, 135.9468, 135.9468) * CHOOSE(CONTROL!$C$21, $C$9, 100%, $E$9)</f>
        <v>135.9468</v>
      </c>
      <c r="I1032" s="14">
        <f>CHOOSE(CONTROL!$C$42, 136.2971, 136.2971)* CHOOSE(CONTROL!$C$21, $C$9, 100%, $E$9)</f>
        <v>136.2971</v>
      </c>
      <c r="J1032" s="14">
        <f>CHOOSE(CONTROL!$C$42, 135.8756, 135.8756)* CHOOSE(CONTROL!$C$21, $C$9, 100%, $E$9)</f>
        <v>135.87559999999999</v>
      </c>
      <c r="K1032" s="53">
        <f>CHOOSE(CONTROL!$C$42, 136.2932, 136.2932) * CHOOSE(CONTROL!$C$21, $C$9, 100%, $E$9)</f>
        <v>136.29320000000001</v>
      </c>
      <c r="L1032" s="14">
        <f>CHOOSE(CONTROL!$C$42, 136.5338, 136.5338) * CHOOSE(CONTROL!$C$21, $C$9, 100%, $E$9)</f>
        <v>136.53380000000001</v>
      </c>
      <c r="M1032" s="14">
        <f>CHOOSE(CONTROL!$C$42, 133.0993, 133.0993) * CHOOSE(CONTROL!$C$21, $C$9, 100%, $E$9)</f>
        <v>133.0993</v>
      </c>
      <c r="N1032" s="14">
        <f>CHOOSE(CONTROL!$C$42, 133.1171, 133.1171) * CHOOSE(CONTROL!$C$21, $C$9, 100%, $E$9)</f>
        <v>133.11709999999999</v>
      </c>
      <c r="O1032" s="14">
        <f>CHOOSE(CONTROL!$C$42, 133.1691, 133.1691) * CHOOSE(CONTROL!$C$21, $C$9, 100%, $E$9)</f>
        <v>133.16909999999999</v>
      </c>
      <c r="P1032" s="14">
        <f>CHOOSE(CONTROL!$C$42, 133.5037, 133.5037) * CHOOSE(CONTROL!$C$21, $C$9, 100%, $E$9)</f>
        <v>133.50370000000001</v>
      </c>
      <c r="Q1032" s="14">
        <f>CHOOSE(CONTROL!$C$42, 133.7638, 133.7638) * CHOOSE(CONTROL!$C$21, $C$9, 100%, $E$9)</f>
        <v>133.7638</v>
      </c>
      <c r="R1032" s="14">
        <f>CHOOSE(CONTROL!$C$42, 134.6852, 134.6852) * CHOOSE(CONTROL!$C$21, $C$9, 100%, $E$9)</f>
        <v>134.68520000000001</v>
      </c>
      <c r="S1032" s="14">
        <f>CHOOSE(CONTROL!$C$42, 130.5242, 130.5242) * CHOOSE(CONTROL!$C$21, $C$9, 100%, $E$9)</f>
        <v>130.52420000000001</v>
      </c>
      <c r="T10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32" s="57">
        <f>(1000*CHOOSE(CONTROL!$C$42, 695, 695)*CHOOSE(CONTROL!$C$42, 0.5599, 0.5599)*CHOOSE(CONTROL!$C$42, 31, 31))/1000000</f>
        <v>12.063045499999998</v>
      </c>
      <c r="V1032" s="57">
        <f>(1000*CHOOSE(CONTROL!$C$42, 500, 500)*CHOOSE(CONTROL!$C$42, 0.275, 0.275)*CHOOSE(CONTROL!$C$42, 31, 31))/1000000</f>
        <v>4.2625000000000002</v>
      </c>
      <c r="W1032" s="57">
        <f>(1000*CHOOSE(CONTROL!$C$42, 0.1146, 0.1146)*CHOOSE(CONTROL!$C$42, 121.5, 121.5)*CHOOSE(CONTROL!$C$42, 31, 31))/1000000</f>
        <v>0.43164089999999994</v>
      </c>
      <c r="X1032" s="57">
        <f>(31*0.1790888*100000/1000000)+(31*0.2374*100000/1000000)</f>
        <v>1.2911152800000001</v>
      </c>
      <c r="Y1032" s="57"/>
      <c r="Z1032" s="14"/>
      <c r="AA1032" s="56"/>
      <c r="AB1032" s="50">
        <f>(B1032*122.58+C1032*297.941+D1032*89.177+E1032*40.302+F1032*40+G1032*160+H1032*0+I1032*100+J1032*300)/(122.58+297.941+89.177+40.302+0+40+160+100+300)</f>
        <v>135.91242911478258</v>
      </c>
      <c r="AC1032" s="45">
        <f>(M1032*'RAP TEMPLATE-GAS AVAILABILITY'!O1031+N1032*'RAP TEMPLATE-GAS AVAILABILITY'!P1031+O1032*'RAP TEMPLATE-GAS AVAILABILITY'!Q1031+P1032*'RAP TEMPLATE-GAS AVAILABILITY'!R1031)/('RAP TEMPLATE-GAS AVAILABILITY'!O1031+'RAP TEMPLATE-GAS AVAILABILITY'!P1031+'RAP TEMPLATE-GAS AVAILABILITY'!Q1031+'RAP TEMPLATE-GAS AVAILABILITY'!R1031)</f>
        <v>133.1901474820144</v>
      </c>
    </row>
    <row r="1033" spans="1:29" ht="15.75" x14ac:dyDescent="0.25">
      <c r="A1033" s="32">
        <v>72351</v>
      </c>
      <c r="B1033" s="14">
        <f>CHOOSE(CONTROL!$C$42, 147.105, 147.105) * CHOOSE(CONTROL!$C$21, $C$9, 100%, $E$9)</f>
        <v>147.10499999999999</v>
      </c>
      <c r="C1033" s="14">
        <f>CHOOSE(CONTROL!$C$42, 147.1101, 147.1101) * CHOOSE(CONTROL!$C$21, $C$9, 100%, $E$9)</f>
        <v>147.11009999999999</v>
      </c>
      <c r="D1033" s="14">
        <f>CHOOSE(CONTROL!$C$42, 147.1869, 147.1869) * CHOOSE(CONTROL!$C$21, $C$9, 100%, $E$9)</f>
        <v>147.18690000000001</v>
      </c>
      <c r="E1033" s="14">
        <f>CHOOSE(CONTROL!$C$42, 147.221, 147.221) * CHOOSE(CONTROL!$C$21, $C$9, 100%, $E$9)</f>
        <v>147.221</v>
      </c>
      <c r="F1033" s="14">
        <f>CHOOSE(CONTROL!$C$42, 147.1298, 147.1298)*CHOOSE(CONTROL!$C$21, $C$9, 100%, $E$9)</f>
        <v>147.12979999999999</v>
      </c>
      <c r="G1033" s="14">
        <f>CHOOSE(CONTROL!$C$42, 147.1477, 147.1477)*CHOOSE(CONTROL!$C$21, $C$9, 100%, $E$9)</f>
        <v>147.14769999999999</v>
      </c>
      <c r="H1033" s="14">
        <f>CHOOSE(CONTROL!$C$42, 147.2102, 147.2102) * CHOOSE(CONTROL!$C$21, $C$9, 100%, $E$9)</f>
        <v>147.21019999999999</v>
      </c>
      <c r="I1033" s="14">
        <f>CHOOSE(CONTROL!$C$42, 147.5995, 147.5995)* CHOOSE(CONTROL!$C$21, $C$9, 100%, $E$9)</f>
        <v>147.59950000000001</v>
      </c>
      <c r="J1033" s="14">
        <f>CHOOSE(CONTROL!$C$42, 147.1228, 147.1228)* CHOOSE(CONTROL!$C$21, $C$9, 100%, $E$9)</f>
        <v>147.12280000000001</v>
      </c>
      <c r="K1033" s="53">
        <f>CHOOSE(CONTROL!$C$42, 147.5956, 147.5956) * CHOOSE(CONTROL!$C$21, $C$9, 100%, $E$9)</f>
        <v>147.59559999999999</v>
      </c>
      <c r="L1033" s="14">
        <f>CHOOSE(CONTROL!$C$42, 147.7972, 147.7972) * CHOOSE(CONTROL!$C$21, $C$9, 100%, $E$9)</f>
        <v>147.7972</v>
      </c>
      <c r="M1033" s="14">
        <f>CHOOSE(CONTROL!$C$42, 144.116, 144.116) * CHOOSE(CONTROL!$C$21, $C$9, 100%, $E$9)</f>
        <v>144.11600000000001</v>
      </c>
      <c r="N1033" s="14">
        <f>CHOOSE(CONTROL!$C$42, 144.1336, 144.1336) * CHOOSE(CONTROL!$C$21, $C$9, 100%, $E$9)</f>
        <v>144.1336</v>
      </c>
      <c r="O1033" s="14">
        <f>CHOOSE(CONTROL!$C$42, 144.2017, 144.2017) * CHOOSE(CONTROL!$C$21, $C$9, 100%, $E$9)</f>
        <v>144.20169999999999</v>
      </c>
      <c r="P1033" s="14">
        <f>CHOOSE(CONTROL!$C$42, 144.5738, 144.5738) * CHOOSE(CONTROL!$C$21, $C$9, 100%, $E$9)</f>
        <v>144.57380000000001</v>
      </c>
      <c r="Q1033" s="14">
        <f>CHOOSE(CONTROL!$C$42, 144.7964, 144.7964) * CHOOSE(CONTROL!$C$21, $C$9, 100%, $E$9)</f>
        <v>144.79640000000001</v>
      </c>
      <c r="R1033" s="14">
        <f>CHOOSE(CONTROL!$C$42, 145.7454, 145.7454) * CHOOSE(CONTROL!$C$21, $C$9, 100%, $E$9)</f>
        <v>145.74539999999999</v>
      </c>
      <c r="S1033" s="14">
        <f>CHOOSE(CONTROL!$C$42, 141.3447, 141.3447) * CHOOSE(CONTROL!$C$21, $C$9, 100%, $E$9)</f>
        <v>141.34469999999999</v>
      </c>
      <c r="T10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33" s="57">
        <f>(1000*CHOOSE(CONTROL!$C$42, 695, 695)*CHOOSE(CONTROL!$C$42, 0.5599, 0.5599)*CHOOSE(CONTROL!$C$42, 31, 31))/1000000</f>
        <v>12.063045499999998</v>
      </c>
      <c r="V1033" s="57">
        <f>(1000*CHOOSE(CONTROL!$C$42, 500, 500)*CHOOSE(CONTROL!$C$42, 0.275, 0.275)*CHOOSE(CONTROL!$C$42, 31, 31))/1000000</f>
        <v>4.2625000000000002</v>
      </c>
      <c r="W1033" s="57">
        <f>(1000*CHOOSE(CONTROL!$C$42, 0.1146, 0.1146)*CHOOSE(CONTROL!$C$42, 121.5, 121.5)*CHOOSE(CONTROL!$C$42, 31, 31))/1000000</f>
        <v>0.43164089999999994</v>
      </c>
      <c r="X1033" s="57">
        <f>(31*0.1790888*100000/1000000)+(31*0.2374*100000/1000000)</f>
        <v>1.2911152800000001</v>
      </c>
      <c r="Y1033" s="57"/>
      <c r="Z1033" s="14"/>
      <c r="AA1033" s="56"/>
      <c r="AB1033" s="50">
        <f>(B1033*122.58+C1033*297.941+D1033*89.177+E1033*40.302+F1033*40+G1033*160+H1033*0+I1033*100+J1033*300)/(122.58+297.941+89.177+40.302+0+40+160+100+300)</f>
        <v>147.17118445860871</v>
      </c>
      <c r="AC1033" s="45">
        <f>(M1033*'RAP TEMPLATE-GAS AVAILABILITY'!O1032+N1033*'RAP TEMPLATE-GAS AVAILABILITY'!P1032+O1033*'RAP TEMPLATE-GAS AVAILABILITY'!Q1032+P1033*'RAP TEMPLATE-GAS AVAILABILITY'!R1032)/('RAP TEMPLATE-GAS AVAILABILITY'!O1032+'RAP TEMPLATE-GAS AVAILABILITY'!P1032+'RAP TEMPLATE-GAS AVAILABILITY'!Q1032+'RAP TEMPLATE-GAS AVAILABILITY'!R1032)</f>
        <v>144.22172589928059</v>
      </c>
    </row>
    <row r="1034" spans="1:29" ht="15.75" x14ac:dyDescent="0.25">
      <c r="A1034" s="32">
        <v>72379</v>
      </c>
      <c r="B1034" s="14">
        <f>CHOOSE(CONTROL!$C$42, 149.7235, 149.7235) * CHOOSE(CONTROL!$C$21, $C$9, 100%, $E$9)</f>
        <v>149.7235</v>
      </c>
      <c r="C1034" s="14">
        <f>CHOOSE(CONTROL!$C$42, 149.7286, 149.7286) * CHOOSE(CONTROL!$C$21, $C$9, 100%, $E$9)</f>
        <v>149.7286</v>
      </c>
      <c r="D1034" s="14">
        <f>CHOOSE(CONTROL!$C$42, 149.8054, 149.8054) * CHOOSE(CONTROL!$C$21, $C$9, 100%, $E$9)</f>
        <v>149.80539999999999</v>
      </c>
      <c r="E1034" s="14">
        <f>CHOOSE(CONTROL!$C$42, 149.8395, 149.8395) * CHOOSE(CONTROL!$C$21, $C$9, 100%, $E$9)</f>
        <v>149.83949999999999</v>
      </c>
      <c r="F1034" s="14">
        <f>CHOOSE(CONTROL!$C$42, 149.7479, 149.7479)*CHOOSE(CONTROL!$C$21, $C$9, 100%, $E$9)</f>
        <v>149.74789999999999</v>
      </c>
      <c r="G1034" s="14">
        <f>CHOOSE(CONTROL!$C$42, 149.7658, 149.7658)*CHOOSE(CONTROL!$C$21, $C$9, 100%, $E$9)</f>
        <v>149.76580000000001</v>
      </c>
      <c r="H1034" s="14">
        <f>CHOOSE(CONTROL!$C$42, 149.8287, 149.8287) * CHOOSE(CONTROL!$C$21, $C$9, 100%, $E$9)</f>
        <v>149.8287</v>
      </c>
      <c r="I1034" s="14">
        <f>CHOOSE(CONTROL!$C$42, 150.2262, 150.2262)* CHOOSE(CONTROL!$C$21, $C$9, 100%, $E$9)</f>
        <v>150.22620000000001</v>
      </c>
      <c r="J1034" s="14">
        <f>CHOOSE(CONTROL!$C$42, 149.7409, 149.7409)* CHOOSE(CONTROL!$C$21, $C$9, 100%, $E$9)</f>
        <v>149.74090000000001</v>
      </c>
      <c r="K1034" s="53">
        <f>CHOOSE(CONTROL!$C$42, 150.2223, 150.2223) * CHOOSE(CONTROL!$C$21, $C$9, 100%, $E$9)</f>
        <v>150.22229999999999</v>
      </c>
      <c r="L1034" s="14">
        <f>CHOOSE(CONTROL!$C$42, 150.4157, 150.4157) * CHOOSE(CONTROL!$C$21, $C$9, 100%, $E$9)</f>
        <v>150.41569999999999</v>
      </c>
      <c r="M1034" s="14">
        <f>CHOOSE(CONTROL!$C$42, 146.6805, 146.6805) * CHOOSE(CONTROL!$C$21, $C$9, 100%, $E$9)</f>
        <v>146.68049999999999</v>
      </c>
      <c r="N1034" s="14">
        <f>CHOOSE(CONTROL!$C$42, 146.698, 146.698) * CHOOSE(CONTROL!$C$21, $C$9, 100%, $E$9)</f>
        <v>146.69800000000001</v>
      </c>
      <c r="O1034" s="14">
        <f>CHOOSE(CONTROL!$C$42, 146.7665, 146.7665) * CHOOSE(CONTROL!$C$21, $C$9, 100%, $E$9)</f>
        <v>146.76650000000001</v>
      </c>
      <c r="P1034" s="14">
        <f>CHOOSE(CONTROL!$C$42, 147.1465, 147.1465) * CHOOSE(CONTROL!$C$21, $C$9, 100%, $E$9)</f>
        <v>147.1465</v>
      </c>
      <c r="Q1034" s="14">
        <f>CHOOSE(CONTROL!$C$42, 147.3612, 147.3612) * CHOOSE(CONTROL!$C$21, $C$9, 100%, $E$9)</f>
        <v>147.3612</v>
      </c>
      <c r="R1034" s="14">
        <f>CHOOSE(CONTROL!$C$42, 148.3166, 148.3166) * CHOOSE(CONTROL!$C$21, $C$9, 100%, $E$9)</f>
        <v>148.31659999999999</v>
      </c>
      <c r="S1034" s="14">
        <f>CHOOSE(CONTROL!$C$42, 143.8608, 143.8608) * CHOOSE(CONTROL!$C$21, $C$9, 100%, $E$9)</f>
        <v>143.86080000000001</v>
      </c>
      <c r="T103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34" s="57">
        <f>(1000*CHOOSE(CONTROL!$C$42, 695, 695)*CHOOSE(CONTROL!$C$42, 0.5599, 0.5599)*CHOOSE(CONTROL!$C$42, 28, 28))/1000000</f>
        <v>10.895653999999999</v>
      </c>
      <c r="V1034" s="57">
        <f>(1000*CHOOSE(CONTROL!$C$42, 500, 500)*CHOOSE(CONTROL!$C$42, 0.275, 0.275)*CHOOSE(CONTROL!$C$42, 28, 28))/1000000</f>
        <v>3.85</v>
      </c>
      <c r="W1034" s="57">
        <f>(1000*CHOOSE(CONTROL!$C$42, 0.1146, 0.1146)*CHOOSE(CONTROL!$C$42, 121.5, 121.5)*CHOOSE(CONTROL!$C$42, 28, 28))/1000000</f>
        <v>0.38986920000000003</v>
      </c>
      <c r="X1034" s="57">
        <f>(28*0.1790888*100000/1000000)+(28*0.2374*100000/1000000)</f>
        <v>1.16616864</v>
      </c>
      <c r="Y1034" s="57"/>
      <c r="Z1034" s="14"/>
      <c r="AA1034" s="56"/>
      <c r="AB1034" s="50">
        <f>(B1034*122.58+C1034*297.941+D1034*89.177+E1034*40.302+F1034*40+G1034*160+H1034*0+I1034*100+J1034*300)/(122.58+297.941+89.177+40.302+0+40+160+100+300)</f>
        <v>149.79022358904351</v>
      </c>
      <c r="AC1034" s="45">
        <f>(M1034*'RAP TEMPLATE-GAS AVAILABILITY'!O1033+N1034*'RAP TEMPLATE-GAS AVAILABILITY'!P1033+O1034*'RAP TEMPLATE-GAS AVAILABILITY'!Q1033+P1034*'RAP TEMPLATE-GAS AVAILABILITY'!R1033)/('RAP TEMPLATE-GAS AVAILABILITY'!O1033+'RAP TEMPLATE-GAS AVAILABILITY'!P1033+'RAP TEMPLATE-GAS AVAILABILITY'!Q1033+'RAP TEMPLATE-GAS AVAILABILITY'!R1033)</f>
        <v>146.78753597122301</v>
      </c>
    </row>
    <row r="1035" spans="1:29" ht="15.75" x14ac:dyDescent="0.25">
      <c r="A1035" s="32">
        <v>72410</v>
      </c>
      <c r="B1035" s="14">
        <f>CHOOSE(CONTROL!$C$42, 145.4731, 145.4731) * CHOOSE(CONTROL!$C$21, $C$9, 100%, $E$9)</f>
        <v>145.47309999999999</v>
      </c>
      <c r="C1035" s="14">
        <f>CHOOSE(CONTROL!$C$42, 145.4781, 145.4781) * CHOOSE(CONTROL!$C$21, $C$9, 100%, $E$9)</f>
        <v>145.47810000000001</v>
      </c>
      <c r="D1035" s="14">
        <f>CHOOSE(CONTROL!$C$42, 145.5549, 145.5549) * CHOOSE(CONTROL!$C$21, $C$9, 100%, $E$9)</f>
        <v>145.5549</v>
      </c>
      <c r="E1035" s="14">
        <f>CHOOSE(CONTROL!$C$42, 145.5891, 145.5891) * CHOOSE(CONTROL!$C$21, $C$9, 100%, $E$9)</f>
        <v>145.5891</v>
      </c>
      <c r="F1035" s="14">
        <f>CHOOSE(CONTROL!$C$42, 145.4965, 145.4965)*CHOOSE(CONTROL!$C$21, $C$9, 100%, $E$9)</f>
        <v>145.4965</v>
      </c>
      <c r="G1035" s="14">
        <f>CHOOSE(CONTROL!$C$42, 145.5142, 145.5142)*CHOOSE(CONTROL!$C$21, $C$9, 100%, $E$9)</f>
        <v>145.51419999999999</v>
      </c>
      <c r="H1035" s="14">
        <f>CHOOSE(CONTROL!$C$42, 145.5782, 145.5782) * CHOOSE(CONTROL!$C$21, $C$9, 100%, $E$9)</f>
        <v>145.57820000000001</v>
      </c>
      <c r="I1035" s="14">
        <f>CHOOSE(CONTROL!$C$42, 145.9624, 145.9624)* CHOOSE(CONTROL!$C$21, $C$9, 100%, $E$9)</f>
        <v>145.9624</v>
      </c>
      <c r="J1035" s="14">
        <f>CHOOSE(CONTROL!$C$42, 145.4895, 145.4895)* CHOOSE(CONTROL!$C$21, $C$9, 100%, $E$9)</f>
        <v>145.48949999999999</v>
      </c>
      <c r="K1035" s="53">
        <f>CHOOSE(CONTROL!$C$42, 145.9585, 145.9585) * CHOOSE(CONTROL!$C$21, $C$9, 100%, $E$9)</f>
        <v>145.95849999999999</v>
      </c>
      <c r="L1035" s="14">
        <f>CHOOSE(CONTROL!$C$42, 146.1652, 146.1652) * CHOOSE(CONTROL!$C$21, $C$9, 100%, $E$9)</f>
        <v>146.1652</v>
      </c>
      <c r="M1035" s="14">
        <f>CHOOSE(CONTROL!$C$42, 142.5162, 142.5162) * CHOOSE(CONTROL!$C$21, $C$9, 100%, $E$9)</f>
        <v>142.5162</v>
      </c>
      <c r="N1035" s="14">
        <f>CHOOSE(CONTROL!$C$42, 142.5335, 142.5335) * CHOOSE(CONTROL!$C$21, $C$9, 100%, $E$9)</f>
        <v>142.5335</v>
      </c>
      <c r="O1035" s="14">
        <f>CHOOSE(CONTROL!$C$42, 142.6031, 142.6031) * CHOOSE(CONTROL!$C$21, $C$9, 100%, $E$9)</f>
        <v>142.60310000000001</v>
      </c>
      <c r="P1035" s="14">
        <f>CHOOSE(CONTROL!$C$42, 142.9703, 142.9703) * CHOOSE(CONTROL!$C$21, $C$9, 100%, $E$9)</f>
        <v>142.97030000000001</v>
      </c>
      <c r="Q1035" s="14">
        <f>CHOOSE(CONTROL!$C$42, 143.1978, 143.1978) * CHOOSE(CONTROL!$C$21, $C$9, 100%, $E$9)</f>
        <v>143.1978</v>
      </c>
      <c r="R1035" s="14">
        <f>CHOOSE(CONTROL!$C$42, 144.1428, 144.1428) * CHOOSE(CONTROL!$C$21, $C$9, 100%, $E$9)</f>
        <v>144.14279999999999</v>
      </c>
      <c r="S1035" s="14">
        <f>CHOOSE(CONTROL!$C$42, 139.7765, 139.7765) * CHOOSE(CONTROL!$C$21, $C$9, 100%, $E$9)</f>
        <v>139.7765</v>
      </c>
      <c r="T10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35" s="57">
        <f>(1000*CHOOSE(CONTROL!$C$42, 695, 695)*CHOOSE(CONTROL!$C$42, 0.5599, 0.5599)*CHOOSE(CONTROL!$C$42, 31, 31))/1000000</f>
        <v>12.063045499999998</v>
      </c>
      <c r="V1035" s="57">
        <f>(1000*CHOOSE(CONTROL!$C$42, 500, 500)*CHOOSE(CONTROL!$C$42, 0.275, 0.275)*CHOOSE(CONTROL!$C$42, 31, 31))/1000000</f>
        <v>4.2625000000000002</v>
      </c>
      <c r="W1035" s="57">
        <f>(1000*CHOOSE(CONTROL!$C$42, 0.1146, 0.1146)*CHOOSE(CONTROL!$C$42, 121.5, 121.5)*CHOOSE(CONTROL!$C$42, 31, 31))/1000000</f>
        <v>0.43164089999999994</v>
      </c>
      <c r="X1035" s="57">
        <f>(31*0.1790888*100000/1000000)+(31*0.2374*100000/1000000)</f>
        <v>1.2911152800000001</v>
      </c>
      <c r="Y1035" s="57"/>
      <c r="Z1035" s="14"/>
      <c r="AA1035" s="56"/>
      <c r="AB1035" s="50">
        <f>(B1035*122.58+C1035*297.941+D1035*89.177+E1035*40.302+F1035*40+G1035*160+H1035*0+I1035*100+J1035*300)/(122.58+297.941+89.177+40.302+0+40+160+100+300)</f>
        <v>145.53816210052176</v>
      </c>
      <c r="AC1035" s="45">
        <f>(M1035*'RAP TEMPLATE-GAS AVAILABILITY'!O1034+N1035*'RAP TEMPLATE-GAS AVAILABILITY'!P1034+O1035*'RAP TEMPLATE-GAS AVAILABILITY'!Q1034+P1035*'RAP TEMPLATE-GAS AVAILABILITY'!R1034)/('RAP TEMPLATE-GAS AVAILABILITY'!O1034+'RAP TEMPLATE-GAS AVAILABILITY'!P1034+'RAP TEMPLATE-GAS AVAILABILITY'!Q1034+'RAP TEMPLATE-GAS AVAILABILITY'!R1034)</f>
        <v>142.62192014388489</v>
      </c>
    </row>
    <row r="1036" spans="1:29" ht="15.75" x14ac:dyDescent="0.25">
      <c r="A1036" s="32">
        <v>72440</v>
      </c>
      <c r="B1036" s="14">
        <f>CHOOSE(CONTROL!$C$42, 145.0385, 145.0385) * CHOOSE(CONTROL!$C$21, $C$9, 100%, $E$9)</f>
        <v>145.0385</v>
      </c>
      <c r="C1036" s="14">
        <f>CHOOSE(CONTROL!$C$42, 145.043, 145.043) * CHOOSE(CONTROL!$C$21, $C$9, 100%, $E$9)</f>
        <v>145.04300000000001</v>
      </c>
      <c r="D1036" s="14">
        <f>CHOOSE(CONTROL!$C$42, 145.2667, 145.2667) * CHOOSE(CONTROL!$C$21, $C$9, 100%, $E$9)</f>
        <v>145.26669999999999</v>
      </c>
      <c r="E1036" s="14">
        <f>CHOOSE(CONTROL!$C$42, 145.2988, 145.2988) * CHOOSE(CONTROL!$C$21, $C$9, 100%, $E$9)</f>
        <v>145.2988</v>
      </c>
      <c r="F1036" s="14">
        <f>CHOOSE(CONTROL!$C$42, 145.0662, 145.0662)*CHOOSE(CONTROL!$C$21, $C$9, 100%, $E$9)</f>
        <v>145.06620000000001</v>
      </c>
      <c r="G1036" s="14">
        <f>CHOOSE(CONTROL!$C$42, 145.0831, 145.0831)*CHOOSE(CONTROL!$C$21, $C$9, 100%, $E$9)</f>
        <v>145.0831</v>
      </c>
      <c r="H1036" s="14">
        <f>CHOOSE(CONTROL!$C$42, 145.2886, 145.2886) * CHOOSE(CONTROL!$C$21, $C$9, 100%, $E$9)</f>
        <v>145.2886</v>
      </c>
      <c r="I1036" s="14">
        <f>CHOOSE(CONTROL!$C$42, 145.522, 145.522)* CHOOSE(CONTROL!$C$21, $C$9, 100%, $E$9)</f>
        <v>145.52199999999999</v>
      </c>
      <c r="J1036" s="14">
        <f>CHOOSE(CONTROL!$C$42, 145.0592, 145.0592)* CHOOSE(CONTROL!$C$21, $C$9, 100%, $E$9)</f>
        <v>145.0592</v>
      </c>
      <c r="K1036" s="53">
        <f>CHOOSE(CONTROL!$C$42, 145.5182, 145.5182) * CHOOSE(CONTROL!$C$21, $C$9, 100%, $E$9)</f>
        <v>145.51820000000001</v>
      </c>
      <c r="L1036" s="14">
        <f>CHOOSE(CONTROL!$C$42, 145.8756, 145.8756) * CHOOSE(CONTROL!$C$21, $C$9, 100%, $E$9)</f>
        <v>145.87559999999999</v>
      </c>
      <c r="M1036" s="14">
        <f>CHOOSE(CONTROL!$C$42, 142.0947, 142.0947) * CHOOSE(CONTROL!$C$21, $C$9, 100%, $E$9)</f>
        <v>142.09469999999999</v>
      </c>
      <c r="N1036" s="14">
        <f>CHOOSE(CONTROL!$C$42, 142.1113, 142.1113) * CHOOSE(CONTROL!$C$21, $C$9, 100%, $E$9)</f>
        <v>142.1113</v>
      </c>
      <c r="O1036" s="14">
        <f>CHOOSE(CONTROL!$C$42, 142.3195, 142.3195) * CHOOSE(CONTROL!$C$21, $C$9, 100%, $E$9)</f>
        <v>142.31950000000001</v>
      </c>
      <c r="P1036" s="14">
        <f>CHOOSE(CONTROL!$C$42, 142.539, 142.539) * CHOOSE(CONTROL!$C$21, $C$9, 100%, $E$9)</f>
        <v>142.53899999999999</v>
      </c>
      <c r="Q1036" s="14">
        <f>CHOOSE(CONTROL!$C$42, 142.9142, 142.9142) * CHOOSE(CONTROL!$C$21, $C$9, 100%, $E$9)</f>
        <v>142.91419999999999</v>
      </c>
      <c r="R1036" s="14">
        <f>CHOOSE(CONTROL!$C$42, 143.8584, 143.8584) * CHOOSE(CONTROL!$C$21, $C$9, 100%, $E$9)</f>
        <v>143.85839999999999</v>
      </c>
      <c r="S1036" s="14">
        <f>CHOOSE(CONTROL!$C$42, 139.3582, 139.3582) * CHOOSE(CONTROL!$C$21, $C$9, 100%, $E$9)</f>
        <v>139.35820000000001</v>
      </c>
      <c r="T10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36" s="57">
        <f>(1000*CHOOSE(CONTROL!$C$42, 695, 695)*CHOOSE(CONTROL!$C$42, 0.5599, 0.5599)*CHOOSE(CONTROL!$C$42, 30, 30))/1000000</f>
        <v>11.673914999999997</v>
      </c>
      <c r="V1036" s="57">
        <f>(1000*CHOOSE(CONTROL!$C$42, 500, 500)*CHOOSE(CONTROL!$C$42, 0.275, 0.275)*CHOOSE(CONTROL!$C$42, 30, 30))/1000000</f>
        <v>4.125</v>
      </c>
      <c r="W1036" s="57">
        <f>(1000*CHOOSE(CONTROL!$C$42, 0.1146, 0.1146)*CHOOSE(CONTROL!$C$42, 121.5, 121.5)*CHOOSE(CONTROL!$C$42, 30, 30))/1000000</f>
        <v>0.417717</v>
      </c>
      <c r="X1036" s="57">
        <f>(30*0.1790888*245000/1000000)+(30*0.2374*100000/1000000)</f>
        <v>2.0285026799999999</v>
      </c>
      <c r="Y1036" s="57"/>
      <c r="Z1036" s="14"/>
      <c r="AA1036" s="56"/>
      <c r="AB1036" s="50">
        <f>(B1036*141.293+C1036*267.993+D1036*115.016+E1036*89.698+F1036*40+G1036*185+H1036*0+I1036*100+J1036*300)/(141.293+267.993+115.016+89.698+0+40+185+100+300)</f>
        <v>145.13109080637611</v>
      </c>
      <c r="AC1036" s="45">
        <f>(M1036*'RAP TEMPLATE-GAS AVAILABILITY'!O1035+N1036*'RAP TEMPLATE-GAS AVAILABILITY'!P1035+O1036*'RAP TEMPLATE-GAS AVAILABILITY'!Q1035+P1036*'RAP TEMPLATE-GAS AVAILABILITY'!R1035)/('RAP TEMPLATE-GAS AVAILABILITY'!O1035+'RAP TEMPLATE-GAS AVAILABILITY'!P1035+'RAP TEMPLATE-GAS AVAILABILITY'!Q1035+'RAP TEMPLATE-GAS AVAILABILITY'!R1035)</f>
        <v>142.26147122302157</v>
      </c>
    </row>
    <row r="1037" spans="1:29" ht="15.75" x14ac:dyDescent="0.25">
      <c r="A1037" s="32">
        <v>72471</v>
      </c>
      <c r="B1037" s="14">
        <f>CHOOSE(CONTROL!$C$42, 146.32, 146.32) * CHOOSE(CONTROL!$C$21, $C$9, 100%, $E$9)</f>
        <v>146.32</v>
      </c>
      <c r="C1037" s="14">
        <f>CHOOSE(CONTROL!$C$42, 146.328, 146.328) * CHOOSE(CONTROL!$C$21, $C$9, 100%, $E$9)</f>
        <v>146.328</v>
      </c>
      <c r="D1037" s="14">
        <f>CHOOSE(CONTROL!$C$42, 146.5486, 146.5486) * CHOOSE(CONTROL!$C$21, $C$9, 100%, $E$9)</f>
        <v>146.54859999999999</v>
      </c>
      <c r="E1037" s="14">
        <f>CHOOSE(CONTROL!$C$42, 146.58, 146.58) * CHOOSE(CONTROL!$C$21, $C$9, 100%, $E$9)</f>
        <v>146.58000000000001</v>
      </c>
      <c r="F1037" s="14">
        <f>CHOOSE(CONTROL!$C$42, 146.3462, 146.3462)*CHOOSE(CONTROL!$C$21, $C$9, 100%, $E$9)</f>
        <v>146.34620000000001</v>
      </c>
      <c r="G1037" s="14">
        <f>CHOOSE(CONTROL!$C$42, 146.3633, 146.3633)*CHOOSE(CONTROL!$C$21, $C$9, 100%, $E$9)</f>
        <v>146.36330000000001</v>
      </c>
      <c r="H1037" s="14">
        <f>CHOOSE(CONTROL!$C$42, 146.5687, 146.5687) * CHOOSE(CONTROL!$C$21, $C$9, 100%, $E$9)</f>
        <v>146.56870000000001</v>
      </c>
      <c r="I1037" s="14">
        <f>CHOOSE(CONTROL!$C$42, 146.8061, 146.8061)* CHOOSE(CONTROL!$C$21, $C$9, 100%, $E$9)</f>
        <v>146.80609999999999</v>
      </c>
      <c r="J1037" s="14">
        <f>CHOOSE(CONTROL!$C$42, 146.3392, 146.3392)* CHOOSE(CONTROL!$C$21, $C$9, 100%, $E$9)</f>
        <v>146.33920000000001</v>
      </c>
      <c r="K1037" s="53">
        <f>CHOOSE(CONTROL!$C$42, 146.8022, 146.8022) * CHOOSE(CONTROL!$C$21, $C$9, 100%, $E$9)</f>
        <v>146.8022</v>
      </c>
      <c r="L1037" s="14">
        <f>CHOOSE(CONTROL!$C$42, 147.1557, 147.1557) * CHOOSE(CONTROL!$C$21, $C$9, 100%, $E$9)</f>
        <v>147.1557</v>
      </c>
      <c r="M1037" s="14">
        <f>CHOOSE(CONTROL!$C$42, 143.3485, 143.3485) * CHOOSE(CONTROL!$C$21, $C$9, 100%, $E$9)</f>
        <v>143.3485</v>
      </c>
      <c r="N1037" s="14">
        <f>CHOOSE(CONTROL!$C$42, 143.3653, 143.3653) * CHOOSE(CONTROL!$C$21, $C$9, 100%, $E$9)</f>
        <v>143.36529999999999</v>
      </c>
      <c r="O1037" s="14">
        <f>CHOOSE(CONTROL!$C$42, 143.5733, 143.5733) * CHOOSE(CONTROL!$C$21, $C$9, 100%, $E$9)</f>
        <v>143.57329999999999</v>
      </c>
      <c r="P1037" s="14">
        <f>CHOOSE(CONTROL!$C$42, 143.7967, 143.7967) * CHOOSE(CONTROL!$C$21, $C$9, 100%, $E$9)</f>
        <v>143.79669999999999</v>
      </c>
      <c r="Q1037" s="14">
        <f>CHOOSE(CONTROL!$C$42, 144.168, 144.168) * CHOOSE(CONTROL!$C$21, $C$9, 100%, $E$9)</f>
        <v>144.16800000000001</v>
      </c>
      <c r="R1037" s="14">
        <f>CHOOSE(CONTROL!$C$42, 145.1154, 145.1154) * CHOOSE(CONTROL!$C$21, $C$9, 100%, $E$9)</f>
        <v>145.11539999999999</v>
      </c>
      <c r="S1037" s="14">
        <f>CHOOSE(CONTROL!$C$42, 140.5882, 140.5882) * CHOOSE(CONTROL!$C$21, $C$9, 100%, $E$9)</f>
        <v>140.5882</v>
      </c>
      <c r="T10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37" s="57">
        <f>(1000*CHOOSE(CONTROL!$C$42, 695, 695)*CHOOSE(CONTROL!$C$42, 0.5599, 0.5599)*CHOOSE(CONTROL!$C$42, 31, 31))/1000000</f>
        <v>12.063045499999998</v>
      </c>
      <c r="V1037" s="57">
        <f>(1000*CHOOSE(CONTROL!$C$42, 500, 500)*CHOOSE(CONTROL!$C$42, 0.275, 0.275)*CHOOSE(CONTROL!$C$42, 31, 31))/1000000</f>
        <v>4.2625000000000002</v>
      </c>
      <c r="W1037" s="57">
        <f>(1000*CHOOSE(CONTROL!$C$42, 0.1146, 0.1146)*CHOOSE(CONTROL!$C$42, 121.5, 121.5)*CHOOSE(CONTROL!$C$42, 31, 31))/1000000</f>
        <v>0.43164089999999994</v>
      </c>
      <c r="X1037" s="57">
        <f>(31*0.1790888*245000/1000000)+(31*0.2374*100000/1000000)</f>
        <v>2.0961194359999999</v>
      </c>
      <c r="Y1037" s="57"/>
      <c r="Z1037" s="14"/>
      <c r="AA1037" s="56"/>
      <c r="AB1037" s="50">
        <f>(B1037*194.205+C1037*267.466+D1037*133.845+E1037*53.484+F1037*40+G1037*185+H1037*0+I1037*100+J1037*300)/(194.205+267.466+133.845+53.484+0+40+185+100+300)</f>
        <v>146.4063979866562</v>
      </c>
      <c r="AC1037" s="45">
        <f>(M1037*'RAP TEMPLATE-GAS AVAILABILITY'!O1036+N1037*'RAP TEMPLATE-GAS AVAILABILITY'!P1036+O1037*'RAP TEMPLATE-GAS AVAILABILITY'!Q1036+P1037*'RAP TEMPLATE-GAS AVAILABILITY'!R1036)/('RAP TEMPLATE-GAS AVAILABILITY'!O1036+'RAP TEMPLATE-GAS AVAILABILITY'!P1036+'RAP TEMPLATE-GAS AVAILABILITY'!Q1036+'RAP TEMPLATE-GAS AVAILABILITY'!R1036)</f>
        <v>143.51584388489206</v>
      </c>
    </row>
    <row r="1038" spans="1:29" ht="15.75" x14ac:dyDescent="0.25">
      <c r="A1038" s="32">
        <v>72501</v>
      </c>
      <c r="B1038" s="14">
        <f>CHOOSE(CONTROL!$C$42, 150.4702, 150.4702) * CHOOSE(CONTROL!$C$21, $C$9, 100%, $E$9)</f>
        <v>150.47020000000001</v>
      </c>
      <c r="C1038" s="14">
        <f>CHOOSE(CONTROL!$C$42, 150.4782, 150.4782) * CHOOSE(CONTROL!$C$21, $C$9, 100%, $E$9)</f>
        <v>150.47819999999999</v>
      </c>
      <c r="D1038" s="14">
        <f>CHOOSE(CONTROL!$C$42, 150.6988, 150.6988) * CHOOSE(CONTROL!$C$21, $C$9, 100%, $E$9)</f>
        <v>150.69880000000001</v>
      </c>
      <c r="E1038" s="14">
        <f>CHOOSE(CONTROL!$C$42, 150.7303, 150.7303) * CHOOSE(CONTROL!$C$21, $C$9, 100%, $E$9)</f>
        <v>150.7303</v>
      </c>
      <c r="F1038" s="14">
        <f>CHOOSE(CONTROL!$C$42, 150.4968, 150.4968)*CHOOSE(CONTROL!$C$21, $C$9, 100%, $E$9)</f>
        <v>150.49680000000001</v>
      </c>
      <c r="G1038" s="14">
        <f>CHOOSE(CONTROL!$C$42, 150.514, 150.514)*CHOOSE(CONTROL!$C$21, $C$9, 100%, $E$9)</f>
        <v>150.51400000000001</v>
      </c>
      <c r="H1038" s="14">
        <f>CHOOSE(CONTROL!$C$42, 150.7189, 150.7189) * CHOOSE(CONTROL!$C$21, $C$9, 100%, $E$9)</f>
        <v>150.71889999999999</v>
      </c>
      <c r="I1038" s="14">
        <f>CHOOSE(CONTROL!$C$42, 150.9693, 150.9693)* CHOOSE(CONTROL!$C$21, $C$9, 100%, $E$9)</f>
        <v>150.9693</v>
      </c>
      <c r="J1038" s="14">
        <f>CHOOSE(CONTROL!$C$42, 150.4898, 150.4898)* CHOOSE(CONTROL!$C$21, $C$9, 100%, $E$9)</f>
        <v>150.4898</v>
      </c>
      <c r="K1038" s="53">
        <f>CHOOSE(CONTROL!$C$42, 150.9654, 150.9654) * CHOOSE(CONTROL!$C$21, $C$9, 100%, $E$9)</f>
        <v>150.96539999999999</v>
      </c>
      <c r="L1038" s="14">
        <f>CHOOSE(CONTROL!$C$42, 151.3059, 151.3059) * CHOOSE(CONTROL!$C$21, $C$9, 100%, $E$9)</f>
        <v>151.30590000000001</v>
      </c>
      <c r="M1038" s="14">
        <f>CHOOSE(CONTROL!$C$42, 147.4141, 147.4141) * CHOOSE(CONTROL!$C$21, $C$9, 100%, $E$9)</f>
        <v>147.41409999999999</v>
      </c>
      <c r="N1038" s="14">
        <f>CHOOSE(CONTROL!$C$42, 147.4309, 147.4309) * CHOOSE(CONTROL!$C$21, $C$9, 100%, $E$9)</f>
        <v>147.43090000000001</v>
      </c>
      <c r="O1038" s="14">
        <f>CHOOSE(CONTROL!$C$42, 147.6385, 147.6385) * CHOOSE(CONTROL!$C$21, $C$9, 100%, $E$9)</f>
        <v>147.63849999999999</v>
      </c>
      <c r="P1038" s="14">
        <f>CHOOSE(CONTROL!$C$42, 147.8744, 147.8744) * CHOOSE(CONTROL!$C$21, $C$9, 100%, $E$9)</f>
        <v>147.87440000000001</v>
      </c>
      <c r="Q1038" s="14">
        <f>CHOOSE(CONTROL!$C$42, 148.2332, 148.2332) * CHOOSE(CONTROL!$C$21, $C$9, 100%, $E$9)</f>
        <v>148.23320000000001</v>
      </c>
      <c r="R1038" s="14">
        <f>CHOOSE(CONTROL!$C$42, 149.1908, 149.1908) * CHOOSE(CONTROL!$C$21, $C$9, 100%, $E$9)</f>
        <v>149.1908</v>
      </c>
      <c r="S1038" s="14">
        <f>CHOOSE(CONTROL!$C$42, 144.5762, 144.5762) * CHOOSE(CONTROL!$C$21, $C$9, 100%, $E$9)</f>
        <v>144.5762</v>
      </c>
      <c r="T10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38" s="57">
        <f>(1000*CHOOSE(CONTROL!$C$42, 695, 695)*CHOOSE(CONTROL!$C$42, 0.5599, 0.5599)*CHOOSE(CONTROL!$C$42, 30, 30))/1000000</f>
        <v>11.673914999999997</v>
      </c>
      <c r="V1038" s="57">
        <f>(1000*CHOOSE(CONTROL!$C$42, 500, 500)*CHOOSE(CONTROL!$C$42, 0.275, 0.275)*CHOOSE(CONTROL!$C$42, 30, 30))/1000000</f>
        <v>4.125</v>
      </c>
      <c r="W1038" s="57">
        <f>(1000*CHOOSE(CONTROL!$C$42, 0.1146, 0.1146)*CHOOSE(CONTROL!$C$42, 121.5, 121.5)*CHOOSE(CONTROL!$C$42, 30, 30))/1000000</f>
        <v>0.417717</v>
      </c>
      <c r="X1038" s="57">
        <f>(30*0.1790888*245000/1000000)+(30*0.2374*100000/1000000)</f>
        <v>2.0285026799999999</v>
      </c>
      <c r="Y1038" s="57"/>
      <c r="Z1038" s="14"/>
      <c r="AA1038" s="56"/>
      <c r="AB1038" s="50">
        <f>(B1038*194.205+C1038*267.466+D1038*133.845+E1038*53.484+F1038*40+G1038*185+H1038*0+I1038*100+J1038*300)/(194.205+267.466+133.845+53.484+0+40+185+100+300)</f>
        <v>150.55780194929355</v>
      </c>
      <c r="AC1038" s="45">
        <f>(M1038*'RAP TEMPLATE-GAS AVAILABILITY'!O1037+N1038*'RAP TEMPLATE-GAS AVAILABILITY'!P1037+O1038*'RAP TEMPLATE-GAS AVAILABILITY'!Q1037+P1038*'RAP TEMPLATE-GAS AVAILABILITY'!R1037)/('RAP TEMPLATE-GAS AVAILABILITY'!O1037+'RAP TEMPLATE-GAS AVAILABILITY'!P1037+'RAP TEMPLATE-GAS AVAILABILITY'!Q1037+'RAP TEMPLATE-GAS AVAILABILITY'!R1037)</f>
        <v>147.58300359712231</v>
      </c>
    </row>
    <row r="1039" spans="1:29" ht="15.75" x14ac:dyDescent="0.25">
      <c r="A1039" s="32">
        <v>72532</v>
      </c>
      <c r="B1039" s="14">
        <f>CHOOSE(CONTROL!$C$42, 147.5837, 147.5837) * CHOOSE(CONTROL!$C$21, $C$9, 100%, $E$9)</f>
        <v>147.58369999999999</v>
      </c>
      <c r="C1039" s="14">
        <f>CHOOSE(CONTROL!$C$42, 147.5917, 147.5917) * CHOOSE(CONTROL!$C$21, $C$9, 100%, $E$9)</f>
        <v>147.5917</v>
      </c>
      <c r="D1039" s="14">
        <f>CHOOSE(CONTROL!$C$42, 147.8123, 147.8123) * CHOOSE(CONTROL!$C$21, $C$9, 100%, $E$9)</f>
        <v>147.81229999999999</v>
      </c>
      <c r="E1039" s="14">
        <f>CHOOSE(CONTROL!$C$42, 147.8438, 147.8438) * CHOOSE(CONTROL!$C$21, $C$9, 100%, $E$9)</f>
        <v>147.84379999999999</v>
      </c>
      <c r="F1039" s="14">
        <f>CHOOSE(CONTROL!$C$42, 147.6107, 147.6107)*CHOOSE(CONTROL!$C$21, $C$9, 100%, $E$9)</f>
        <v>147.61070000000001</v>
      </c>
      <c r="G1039" s="14">
        <f>CHOOSE(CONTROL!$C$42, 147.6281, 147.6281)*CHOOSE(CONTROL!$C$21, $C$9, 100%, $E$9)</f>
        <v>147.62809999999999</v>
      </c>
      <c r="H1039" s="14">
        <f>CHOOSE(CONTROL!$C$42, 147.8324, 147.8324) * CHOOSE(CONTROL!$C$21, $C$9, 100%, $E$9)</f>
        <v>147.83240000000001</v>
      </c>
      <c r="I1039" s="14">
        <f>CHOOSE(CONTROL!$C$42, 148.0738, 148.0738)* CHOOSE(CONTROL!$C$21, $C$9, 100%, $E$9)</f>
        <v>148.07380000000001</v>
      </c>
      <c r="J1039" s="14">
        <f>CHOOSE(CONTROL!$C$42, 147.6037, 147.6037)* CHOOSE(CONTROL!$C$21, $C$9, 100%, $E$9)</f>
        <v>147.6037</v>
      </c>
      <c r="K1039" s="53">
        <f>CHOOSE(CONTROL!$C$42, 148.0699, 148.0699) * CHOOSE(CONTROL!$C$21, $C$9, 100%, $E$9)</f>
        <v>148.06989999999999</v>
      </c>
      <c r="L1039" s="14">
        <f>CHOOSE(CONTROL!$C$42, 148.4194, 148.4194) * CHOOSE(CONTROL!$C$21, $C$9, 100%, $E$9)</f>
        <v>148.4194</v>
      </c>
      <c r="M1039" s="14">
        <f>CHOOSE(CONTROL!$C$42, 144.5871, 144.5871) * CHOOSE(CONTROL!$C$21, $C$9, 100%, $E$9)</f>
        <v>144.58709999999999</v>
      </c>
      <c r="N1039" s="14">
        <f>CHOOSE(CONTROL!$C$42, 144.6041, 144.6041) * CHOOSE(CONTROL!$C$21, $C$9, 100%, $E$9)</f>
        <v>144.60409999999999</v>
      </c>
      <c r="O1039" s="14">
        <f>CHOOSE(CONTROL!$C$42, 144.8111, 144.8111) * CHOOSE(CONTROL!$C$21, $C$9, 100%, $E$9)</f>
        <v>144.81110000000001</v>
      </c>
      <c r="P1039" s="14">
        <f>CHOOSE(CONTROL!$C$42, 145.0383, 145.0383) * CHOOSE(CONTROL!$C$21, $C$9, 100%, $E$9)</f>
        <v>145.03829999999999</v>
      </c>
      <c r="Q1039" s="14">
        <f>CHOOSE(CONTROL!$C$42, 145.4058, 145.4058) * CHOOSE(CONTROL!$C$21, $C$9, 100%, $E$9)</f>
        <v>145.4058</v>
      </c>
      <c r="R1039" s="14">
        <f>CHOOSE(CONTROL!$C$42, 146.3563, 146.3563) * CHOOSE(CONTROL!$C$21, $C$9, 100%, $E$9)</f>
        <v>146.3563</v>
      </c>
      <c r="S1039" s="14">
        <f>CHOOSE(CONTROL!$C$42, 141.8025, 141.8025) * CHOOSE(CONTROL!$C$21, $C$9, 100%, $E$9)</f>
        <v>141.80250000000001</v>
      </c>
      <c r="T10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9" s="57">
        <f>(1000*CHOOSE(CONTROL!$C$42, 695, 695)*CHOOSE(CONTROL!$C$42, 0.5599, 0.5599)*CHOOSE(CONTROL!$C$42, 31, 31))/1000000</f>
        <v>12.063045499999998</v>
      </c>
      <c r="V1039" s="57">
        <f>(1000*CHOOSE(CONTROL!$C$42, 500, 500)*CHOOSE(CONTROL!$C$42, 0.275, 0.275)*CHOOSE(CONTROL!$C$42, 31, 31))/1000000</f>
        <v>4.2625000000000002</v>
      </c>
      <c r="W1039" s="57">
        <f>(1000*CHOOSE(CONTROL!$C$42, 0.1146, 0.1146)*CHOOSE(CONTROL!$C$42, 121.5, 121.5)*CHOOSE(CONTROL!$C$42, 31, 31))/1000000</f>
        <v>0.43164089999999994</v>
      </c>
      <c r="X1039" s="57">
        <f>(31*0.1790888*245000/1000000)+(31*0.2374*100000/1000000)</f>
        <v>2.0961194359999999</v>
      </c>
      <c r="Y1039" s="57"/>
      <c r="Z1039" s="14"/>
      <c r="AA1039" s="56"/>
      <c r="AB1039" s="50">
        <f>(B1039*194.205+C1039*267.466+D1039*133.845+E1039*53.484+F1039*40+G1039*185+H1039*0+I1039*100+J1039*300)/(194.205+267.466+133.845+53.484+0+40+185+100+300)</f>
        <v>147.67078939042386</v>
      </c>
      <c r="AC1039" s="45">
        <f>(M1039*'RAP TEMPLATE-GAS AVAILABILITY'!O1038+N1039*'RAP TEMPLATE-GAS AVAILABILITY'!P1038+O1039*'RAP TEMPLATE-GAS AVAILABILITY'!Q1038+P1039*'RAP TEMPLATE-GAS AVAILABILITY'!R1038)/('RAP TEMPLATE-GAS AVAILABILITY'!O1038+'RAP TEMPLATE-GAS AVAILABILITY'!P1038+'RAP TEMPLATE-GAS AVAILABILITY'!Q1038+'RAP TEMPLATE-GAS AVAILABILITY'!R1038)</f>
        <v>144.75452446043164</v>
      </c>
    </row>
    <row r="1040" spans="1:29" ht="15.75" x14ac:dyDescent="0.25">
      <c r="A1040" s="32">
        <v>72563</v>
      </c>
      <c r="B1040" s="14">
        <f>CHOOSE(CONTROL!$C$42, 140.2943, 140.2943) * CHOOSE(CONTROL!$C$21, $C$9, 100%, $E$9)</f>
        <v>140.29429999999999</v>
      </c>
      <c r="C1040" s="14">
        <f>CHOOSE(CONTROL!$C$42, 140.3023, 140.3023) * CHOOSE(CONTROL!$C$21, $C$9, 100%, $E$9)</f>
        <v>140.3023</v>
      </c>
      <c r="D1040" s="14">
        <f>CHOOSE(CONTROL!$C$42, 140.5229, 140.5229) * CHOOSE(CONTROL!$C$21, $C$9, 100%, $E$9)</f>
        <v>140.52289999999999</v>
      </c>
      <c r="E1040" s="14">
        <f>CHOOSE(CONTROL!$C$42, 140.5544, 140.5544) * CHOOSE(CONTROL!$C$21, $C$9, 100%, $E$9)</f>
        <v>140.55439999999999</v>
      </c>
      <c r="F1040" s="14">
        <f>CHOOSE(CONTROL!$C$42, 140.3217, 140.3217)*CHOOSE(CONTROL!$C$21, $C$9, 100%, $E$9)</f>
        <v>140.32169999999999</v>
      </c>
      <c r="G1040" s="14">
        <f>CHOOSE(CONTROL!$C$42, 140.3391, 140.3391)*CHOOSE(CONTROL!$C$21, $C$9, 100%, $E$9)</f>
        <v>140.3391</v>
      </c>
      <c r="H1040" s="14">
        <f>CHOOSE(CONTROL!$C$42, 140.543, 140.543) * CHOOSE(CONTROL!$C$21, $C$9, 100%, $E$9)</f>
        <v>140.54300000000001</v>
      </c>
      <c r="I1040" s="14">
        <f>CHOOSE(CONTROL!$C$42, 140.7616, 140.7616)* CHOOSE(CONTROL!$C$21, $C$9, 100%, $E$9)</f>
        <v>140.76159999999999</v>
      </c>
      <c r="J1040" s="14">
        <f>CHOOSE(CONTROL!$C$42, 140.3147, 140.3147)* CHOOSE(CONTROL!$C$21, $C$9, 100%, $E$9)</f>
        <v>140.31469999999999</v>
      </c>
      <c r="K1040" s="53">
        <f>CHOOSE(CONTROL!$C$42, 140.7577, 140.7577) * CHOOSE(CONTROL!$C$21, $C$9, 100%, $E$9)</f>
        <v>140.7577</v>
      </c>
      <c r="L1040" s="14">
        <f>CHOOSE(CONTROL!$C$42, 141.13, 141.13) * CHOOSE(CONTROL!$C$21, $C$9, 100%, $E$9)</f>
        <v>141.13</v>
      </c>
      <c r="M1040" s="14">
        <f>CHOOSE(CONTROL!$C$42, 137.4474, 137.4474) * CHOOSE(CONTROL!$C$21, $C$9, 100%, $E$9)</f>
        <v>137.44739999999999</v>
      </c>
      <c r="N1040" s="14">
        <f>CHOOSE(CONTROL!$C$42, 137.4645, 137.4645) * CHOOSE(CONTROL!$C$21, $C$9, 100%, $E$9)</f>
        <v>137.46449999999999</v>
      </c>
      <c r="O1040" s="14">
        <f>CHOOSE(CONTROL!$C$42, 137.6711, 137.6711) * CHOOSE(CONTROL!$C$21, $C$9, 100%, $E$9)</f>
        <v>137.6711</v>
      </c>
      <c r="P1040" s="14">
        <f>CHOOSE(CONTROL!$C$42, 137.8764, 137.8764) * CHOOSE(CONTROL!$C$21, $C$9, 100%, $E$9)</f>
        <v>137.87639999999999</v>
      </c>
      <c r="Q1040" s="14">
        <f>CHOOSE(CONTROL!$C$42, 138.2658, 138.2658) * CHOOSE(CONTROL!$C$21, $C$9, 100%, $E$9)</f>
        <v>138.26580000000001</v>
      </c>
      <c r="R1040" s="14">
        <f>CHOOSE(CONTROL!$C$42, 139.1985, 139.1985) * CHOOSE(CONTROL!$C$21, $C$9, 100%, $E$9)</f>
        <v>139.1985</v>
      </c>
      <c r="S1040" s="14">
        <f>CHOOSE(CONTROL!$C$42, 134.7982, 134.7982) * CHOOSE(CONTROL!$C$21, $C$9, 100%, $E$9)</f>
        <v>134.79820000000001</v>
      </c>
      <c r="T10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0" s="57">
        <f>(1000*CHOOSE(CONTROL!$C$42, 695, 695)*CHOOSE(CONTROL!$C$42, 0.5599, 0.5599)*CHOOSE(CONTROL!$C$42, 31, 31))/1000000</f>
        <v>12.063045499999998</v>
      </c>
      <c r="V1040" s="57">
        <f>(1000*CHOOSE(CONTROL!$C$42, 500, 500)*CHOOSE(CONTROL!$C$42, 0.275, 0.275)*CHOOSE(CONTROL!$C$42, 31, 31))/1000000</f>
        <v>4.2625000000000002</v>
      </c>
      <c r="W1040" s="57">
        <f>(1000*CHOOSE(CONTROL!$C$42, 0.1146, 0.1146)*CHOOSE(CONTROL!$C$42, 121.5, 121.5)*CHOOSE(CONTROL!$C$42, 31, 31))/1000000</f>
        <v>0.43164089999999994</v>
      </c>
      <c r="X1040" s="57">
        <f>(31*0.1790888*245000/1000000)+(31*0.2374*100000/1000000)</f>
        <v>2.0961194359999999</v>
      </c>
      <c r="Y1040" s="57"/>
      <c r="Z1040" s="14"/>
      <c r="AA1040" s="56"/>
      <c r="AB1040" s="50">
        <f>(B1040*194.205+C1040*267.466+D1040*133.845+E1040*53.484+F1040*40+G1040*185+H1040*0+I1040*100+J1040*300)/(194.205+267.466+133.845+53.484+0+40+185+100+300)</f>
        <v>140.37976458665619</v>
      </c>
      <c r="AC1040" s="45">
        <f>(M1040*'RAP TEMPLATE-GAS AVAILABILITY'!O1039+N1040*'RAP TEMPLATE-GAS AVAILABILITY'!P1039+O1040*'RAP TEMPLATE-GAS AVAILABILITY'!Q1039+P1040*'RAP TEMPLATE-GAS AVAILABILITY'!R1039)/('RAP TEMPLATE-GAS AVAILABILITY'!O1039+'RAP TEMPLATE-GAS AVAILABILITY'!P1039+'RAP TEMPLATE-GAS AVAILABILITY'!Q1039+'RAP TEMPLATE-GAS AVAILABILITY'!R1039)</f>
        <v>137.61149999999998</v>
      </c>
    </row>
    <row r="1041" spans="1:29" ht="15.75" x14ac:dyDescent="0.25">
      <c r="A1041" s="32">
        <v>72593</v>
      </c>
      <c r="B1041" s="14">
        <f>CHOOSE(CONTROL!$C$42, 131.3879, 131.3879) * CHOOSE(CONTROL!$C$21, $C$9, 100%, $E$9)</f>
        <v>131.3879</v>
      </c>
      <c r="C1041" s="14">
        <f>CHOOSE(CONTROL!$C$42, 131.3959, 131.3959) * CHOOSE(CONTROL!$C$21, $C$9, 100%, $E$9)</f>
        <v>131.39590000000001</v>
      </c>
      <c r="D1041" s="14">
        <f>CHOOSE(CONTROL!$C$42, 131.6165, 131.6165) * CHOOSE(CONTROL!$C$21, $C$9, 100%, $E$9)</f>
        <v>131.6165</v>
      </c>
      <c r="E1041" s="14">
        <f>CHOOSE(CONTROL!$C$42, 131.6479, 131.6479) * CHOOSE(CONTROL!$C$21, $C$9, 100%, $E$9)</f>
        <v>131.64789999999999</v>
      </c>
      <c r="F1041" s="14">
        <f>CHOOSE(CONTROL!$C$42, 131.4152, 131.4152)*CHOOSE(CONTROL!$C$21, $C$9, 100%, $E$9)</f>
        <v>131.4152</v>
      </c>
      <c r="G1041" s="14">
        <f>CHOOSE(CONTROL!$C$42, 131.4326, 131.4326)*CHOOSE(CONTROL!$C$21, $C$9, 100%, $E$9)</f>
        <v>131.43260000000001</v>
      </c>
      <c r="H1041" s="14">
        <f>CHOOSE(CONTROL!$C$42, 131.6366, 131.6366) * CHOOSE(CONTROL!$C$21, $C$9, 100%, $E$9)</f>
        <v>131.63659999999999</v>
      </c>
      <c r="I1041" s="14">
        <f>CHOOSE(CONTROL!$C$42, 131.8272, 131.8272)* CHOOSE(CONTROL!$C$21, $C$9, 100%, $E$9)</f>
        <v>131.8272</v>
      </c>
      <c r="J1041" s="14">
        <f>CHOOSE(CONTROL!$C$42, 131.4082, 131.4082)* CHOOSE(CONTROL!$C$21, $C$9, 100%, $E$9)</f>
        <v>131.40819999999999</v>
      </c>
      <c r="K1041" s="53">
        <f>CHOOSE(CONTROL!$C$42, 131.8233, 131.8233) * CHOOSE(CONTROL!$C$21, $C$9, 100%, $E$9)</f>
        <v>131.82329999999999</v>
      </c>
      <c r="L1041" s="14">
        <f>CHOOSE(CONTROL!$C$42, 132.2236, 132.2236) * CHOOSE(CONTROL!$C$21, $C$9, 100%, $E$9)</f>
        <v>132.2236</v>
      </c>
      <c r="M1041" s="14">
        <f>CHOOSE(CONTROL!$C$42, 128.7234, 128.7234) * CHOOSE(CONTROL!$C$21, $C$9, 100%, $E$9)</f>
        <v>128.7234</v>
      </c>
      <c r="N1041" s="14">
        <f>CHOOSE(CONTROL!$C$42, 128.7405, 128.7405) * CHOOSE(CONTROL!$C$21, $C$9, 100%, $E$9)</f>
        <v>128.7405</v>
      </c>
      <c r="O1041" s="14">
        <f>CHOOSE(CONTROL!$C$42, 128.9471, 128.9471) * CHOOSE(CONTROL!$C$21, $C$9, 100%, $E$9)</f>
        <v>128.94710000000001</v>
      </c>
      <c r="P1041" s="14">
        <f>CHOOSE(CONTROL!$C$42, 129.1257, 129.1257) * CHOOSE(CONTROL!$C$21, $C$9, 100%, $E$9)</f>
        <v>129.12569999999999</v>
      </c>
      <c r="Q1041" s="14">
        <f>CHOOSE(CONTROL!$C$42, 129.5418, 129.5418) * CHOOSE(CONTROL!$C$21, $C$9, 100%, $E$9)</f>
        <v>129.54179999999999</v>
      </c>
      <c r="R1041" s="14">
        <f>CHOOSE(CONTROL!$C$42, 130.4527, 130.4527) * CHOOSE(CONTROL!$C$21, $C$9, 100%, $E$9)</f>
        <v>130.45269999999999</v>
      </c>
      <c r="S1041" s="14">
        <f>CHOOSE(CONTROL!$C$42, 126.24, 126.24) * CHOOSE(CONTROL!$C$21, $C$9, 100%, $E$9)</f>
        <v>126.24</v>
      </c>
      <c r="T10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41" s="57">
        <f>(1000*CHOOSE(CONTROL!$C$42, 695, 695)*CHOOSE(CONTROL!$C$42, 0.5599, 0.5599)*CHOOSE(CONTROL!$C$42, 30, 30))/1000000</f>
        <v>11.673914999999997</v>
      </c>
      <c r="V1041" s="57">
        <f>(1000*CHOOSE(CONTROL!$C$42, 500, 500)*CHOOSE(CONTROL!$C$42, 0.275, 0.275)*CHOOSE(CONTROL!$C$42, 30, 30))/1000000</f>
        <v>4.125</v>
      </c>
      <c r="W1041" s="57">
        <f>(1000*CHOOSE(CONTROL!$C$42, 0.1146, 0.1146)*CHOOSE(CONTROL!$C$42, 121.5, 121.5)*CHOOSE(CONTROL!$C$42, 30, 30))/1000000</f>
        <v>0.417717</v>
      </c>
      <c r="X1041" s="57">
        <f>(30*0.1790888*245000/1000000)+(30*0.2374*100000/1000000)</f>
        <v>2.0285026799999999</v>
      </c>
      <c r="Y1041" s="57"/>
      <c r="Z1041" s="14"/>
      <c r="AA1041" s="56"/>
      <c r="AB1041" s="50">
        <f>(B1041*194.205+C1041*267.466+D1041*133.845+E1041*53.484+F1041*40+G1041*185+H1041*0+I1041*100+J1041*300)/(194.205+267.466+133.845+53.484+0+40+185+100+300)</f>
        <v>131.47112137755104</v>
      </c>
      <c r="AC1041" s="45">
        <f>(M1041*'RAP TEMPLATE-GAS AVAILABILITY'!O1040+N1041*'RAP TEMPLATE-GAS AVAILABILITY'!P1040+O1041*'RAP TEMPLATE-GAS AVAILABILITY'!Q1040+P1041*'RAP TEMPLATE-GAS AVAILABILITY'!R1040)/('RAP TEMPLATE-GAS AVAILABILITY'!O1040+'RAP TEMPLATE-GAS AVAILABILITY'!P1040+'RAP TEMPLATE-GAS AVAILABILITY'!Q1040+'RAP TEMPLATE-GAS AVAILABILITY'!R1040)</f>
        <v>128.88365827338131</v>
      </c>
    </row>
    <row r="1042" spans="1:29" ht="15.75" x14ac:dyDescent="0.25">
      <c r="A1042" s="32">
        <v>72624</v>
      </c>
      <c r="B1042" s="14">
        <f>CHOOSE(CONTROL!$C$42, 128.7186, 128.7186) * CHOOSE(CONTROL!$C$21, $C$9, 100%, $E$9)</f>
        <v>128.71860000000001</v>
      </c>
      <c r="C1042" s="14">
        <f>CHOOSE(CONTROL!$C$42, 128.7239, 128.7239) * CHOOSE(CONTROL!$C$21, $C$9, 100%, $E$9)</f>
        <v>128.72389999999999</v>
      </c>
      <c r="D1042" s="14">
        <f>CHOOSE(CONTROL!$C$42, 128.9495, 128.9495) * CHOOSE(CONTROL!$C$21, $C$9, 100%, $E$9)</f>
        <v>128.9495</v>
      </c>
      <c r="E1042" s="14">
        <f>CHOOSE(CONTROL!$C$42, 128.9786, 128.9786) * CHOOSE(CONTROL!$C$21, $C$9, 100%, $E$9)</f>
        <v>128.9786</v>
      </c>
      <c r="F1042" s="14">
        <f>CHOOSE(CONTROL!$C$42, 128.748, 128.748)*CHOOSE(CONTROL!$C$21, $C$9, 100%, $E$9)</f>
        <v>128.74799999999999</v>
      </c>
      <c r="G1042" s="14">
        <f>CHOOSE(CONTROL!$C$42, 128.7652, 128.7652)*CHOOSE(CONTROL!$C$21, $C$9, 100%, $E$9)</f>
        <v>128.76519999999999</v>
      </c>
      <c r="H1042" s="14">
        <f>CHOOSE(CONTROL!$C$42, 128.9691, 128.9691) * CHOOSE(CONTROL!$C$21, $C$9, 100%, $E$9)</f>
        <v>128.9691</v>
      </c>
      <c r="I1042" s="14">
        <f>CHOOSE(CONTROL!$C$42, 129.1514, 129.1514)* CHOOSE(CONTROL!$C$21, $C$9, 100%, $E$9)</f>
        <v>129.1514</v>
      </c>
      <c r="J1042" s="14">
        <f>CHOOSE(CONTROL!$C$42, 128.741, 128.741)* CHOOSE(CONTROL!$C$21, $C$9, 100%, $E$9)</f>
        <v>128.74100000000001</v>
      </c>
      <c r="K1042" s="53">
        <f>CHOOSE(CONTROL!$C$42, 129.1475, 129.1475) * CHOOSE(CONTROL!$C$21, $C$9, 100%, $E$9)</f>
        <v>129.14750000000001</v>
      </c>
      <c r="L1042" s="14">
        <f>CHOOSE(CONTROL!$C$42, 129.5561, 129.5561) * CHOOSE(CONTROL!$C$21, $C$9, 100%, $E$9)</f>
        <v>129.55609999999999</v>
      </c>
      <c r="M1042" s="14">
        <f>CHOOSE(CONTROL!$C$42, 126.1109, 126.1109) * CHOOSE(CONTROL!$C$21, $C$9, 100%, $E$9)</f>
        <v>126.1109</v>
      </c>
      <c r="N1042" s="14">
        <f>CHOOSE(CONTROL!$C$42, 126.1278, 126.1278) * CHOOSE(CONTROL!$C$21, $C$9, 100%, $E$9)</f>
        <v>126.12779999999999</v>
      </c>
      <c r="O1042" s="14">
        <f>CHOOSE(CONTROL!$C$42, 126.3343, 126.3343) * CHOOSE(CONTROL!$C$21, $C$9, 100%, $E$9)</f>
        <v>126.3343</v>
      </c>
      <c r="P1042" s="14">
        <f>CHOOSE(CONTROL!$C$42, 126.5048, 126.5048) * CHOOSE(CONTROL!$C$21, $C$9, 100%, $E$9)</f>
        <v>126.5048</v>
      </c>
      <c r="Q1042" s="14">
        <f>CHOOSE(CONTROL!$C$42, 126.929, 126.929) * CHOOSE(CONTROL!$C$21, $C$9, 100%, $E$9)</f>
        <v>126.929</v>
      </c>
      <c r="R1042" s="14">
        <f>CHOOSE(CONTROL!$C$42, 127.8333, 127.8333) * CHOOSE(CONTROL!$C$21, $C$9, 100%, $E$9)</f>
        <v>127.83329999999999</v>
      </c>
      <c r="S1042" s="14">
        <f>CHOOSE(CONTROL!$C$42, 123.6768, 123.6768) * CHOOSE(CONTROL!$C$21, $C$9, 100%, $E$9)</f>
        <v>123.6768</v>
      </c>
      <c r="T10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42" s="57">
        <f>(1000*CHOOSE(CONTROL!$C$42, 695, 695)*CHOOSE(CONTROL!$C$42, 0.5599, 0.5599)*CHOOSE(CONTROL!$C$42, 31, 31))/1000000</f>
        <v>12.063045499999998</v>
      </c>
      <c r="V1042" s="57">
        <f>(1000*CHOOSE(CONTROL!$C$42, 500, 500)*CHOOSE(CONTROL!$C$42, 0.275, 0.275)*CHOOSE(CONTROL!$C$42, 31, 31))/1000000</f>
        <v>4.2625000000000002</v>
      </c>
      <c r="W1042" s="57">
        <f>(1000*CHOOSE(CONTROL!$C$42, 0.1146, 0.1146)*CHOOSE(CONTROL!$C$42, 121.5, 121.5)*CHOOSE(CONTROL!$C$42, 31, 31))/1000000</f>
        <v>0.43164089999999994</v>
      </c>
      <c r="X1042" s="57">
        <f>(31*0.1790888*245000/1000000)+(31*0.2374*100000/1000000)</f>
        <v>2.0961194359999999</v>
      </c>
      <c r="Y1042" s="57"/>
      <c r="Z1042" s="14"/>
      <c r="AA1042" s="56"/>
      <c r="AB1042" s="50">
        <f>(B1042*131.881+C1042*277.167+D1042*79.08+E1042*125.872+F1042*40+G1042*185+H1042*0+I1042*100+J1042*300)/(131.881+277.167+79.08+125.872+0+40+185+100+300)</f>
        <v>128.80919909370459</v>
      </c>
      <c r="AC1042" s="45">
        <f>(M1042*'RAP TEMPLATE-GAS AVAILABILITY'!O1041+N1042*'RAP TEMPLATE-GAS AVAILABILITY'!P1041+O1042*'RAP TEMPLATE-GAS AVAILABILITY'!Q1041+P1042*'RAP TEMPLATE-GAS AVAILABILITY'!R1041)/('RAP TEMPLATE-GAS AVAILABILITY'!O1041+'RAP TEMPLATE-GAS AVAILABILITY'!P1041+'RAP TEMPLATE-GAS AVAILABILITY'!Q1041+'RAP TEMPLATE-GAS AVAILABILITY'!R1041)</f>
        <v>126.26980215827338</v>
      </c>
    </row>
    <row r="1043" spans="1:29" ht="15.75" x14ac:dyDescent="0.25">
      <c r="A1043" s="32">
        <v>72654</v>
      </c>
      <c r="B1043" s="14">
        <f>CHOOSE(CONTROL!$C$42, 132.109, 132.109) * CHOOSE(CONTROL!$C$21, $C$9, 100%, $E$9)</f>
        <v>132.10900000000001</v>
      </c>
      <c r="C1043" s="14">
        <f>CHOOSE(CONTROL!$C$42, 132.1141, 132.1141) * CHOOSE(CONTROL!$C$21, $C$9, 100%, $E$9)</f>
        <v>132.11410000000001</v>
      </c>
      <c r="D1043" s="14">
        <f>CHOOSE(CONTROL!$C$42, 132.1883, 132.1883) * CHOOSE(CONTROL!$C$21, $C$9, 100%, $E$9)</f>
        <v>132.1883</v>
      </c>
      <c r="E1043" s="14">
        <f>CHOOSE(CONTROL!$C$42, 132.2224, 132.2224) * CHOOSE(CONTROL!$C$21, $C$9, 100%, $E$9)</f>
        <v>132.22239999999999</v>
      </c>
      <c r="F1043" s="14">
        <f>CHOOSE(CONTROL!$C$42, 132.1451, 132.1451)*CHOOSE(CONTROL!$C$21, $C$9, 100%, $E$9)</f>
        <v>132.14510000000001</v>
      </c>
      <c r="G1043" s="14">
        <f>CHOOSE(CONTROL!$C$42, 132.1626, 132.1626)*CHOOSE(CONTROL!$C$21, $C$9, 100%, $E$9)</f>
        <v>132.1626</v>
      </c>
      <c r="H1043" s="14">
        <f>CHOOSE(CONTROL!$C$42, 132.2116, 132.2116) * CHOOSE(CONTROL!$C$21, $C$9, 100%, $E$9)</f>
        <v>132.2116</v>
      </c>
      <c r="I1043" s="14">
        <f>CHOOSE(CONTROL!$C$42, 132.5502, 132.5502)* CHOOSE(CONTROL!$C$21, $C$9, 100%, $E$9)</f>
        <v>132.55019999999999</v>
      </c>
      <c r="J1043" s="14">
        <f>CHOOSE(CONTROL!$C$42, 132.1381, 132.1381)* CHOOSE(CONTROL!$C$21, $C$9, 100%, $E$9)</f>
        <v>132.13810000000001</v>
      </c>
      <c r="K1043" s="53">
        <f>CHOOSE(CONTROL!$C$42, 132.5463, 132.5463) * CHOOSE(CONTROL!$C$21, $C$9, 100%, $E$9)</f>
        <v>132.5463</v>
      </c>
      <c r="L1043" s="14">
        <f>CHOOSE(CONTROL!$C$42, 132.7986, 132.7986) * CHOOSE(CONTROL!$C$21, $C$9, 100%, $E$9)</f>
        <v>132.79859999999999</v>
      </c>
      <c r="M1043" s="14">
        <f>CHOOSE(CONTROL!$C$42, 129.4383, 129.4383) * CHOOSE(CONTROL!$C$21, $C$9, 100%, $E$9)</f>
        <v>129.4383</v>
      </c>
      <c r="N1043" s="14">
        <f>CHOOSE(CONTROL!$C$42, 129.4555, 129.4555) * CHOOSE(CONTROL!$C$21, $C$9, 100%, $E$9)</f>
        <v>129.4555</v>
      </c>
      <c r="O1043" s="14">
        <f>CHOOSE(CONTROL!$C$42, 129.5104, 129.5104) * CHOOSE(CONTROL!$C$21, $C$9, 100%, $E$9)</f>
        <v>129.5104</v>
      </c>
      <c r="P1043" s="14">
        <f>CHOOSE(CONTROL!$C$42, 129.8338, 129.8338) * CHOOSE(CONTROL!$C$21, $C$9, 100%, $E$9)</f>
        <v>129.8338</v>
      </c>
      <c r="Q1043" s="14">
        <f>CHOOSE(CONTROL!$C$42, 130.1051, 130.1051) * CHOOSE(CONTROL!$C$21, $C$9, 100%, $E$9)</f>
        <v>130.10509999999999</v>
      </c>
      <c r="R1043" s="14">
        <f>CHOOSE(CONTROL!$C$42, 131.0173, 131.0173) * CHOOSE(CONTROL!$C$21, $C$9, 100%, $E$9)</f>
        <v>131.01730000000001</v>
      </c>
      <c r="S1043" s="14">
        <f>CHOOSE(CONTROL!$C$42, 126.935, 126.935) * CHOOSE(CONTROL!$C$21, $C$9, 100%, $E$9)</f>
        <v>126.935</v>
      </c>
      <c r="T10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43" s="57">
        <f>(1000*CHOOSE(CONTROL!$C$42, 695, 695)*CHOOSE(CONTROL!$C$42, 0.5599, 0.5599)*CHOOSE(CONTROL!$C$42, 30, 30))/1000000</f>
        <v>11.673914999999997</v>
      </c>
      <c r="V1043" s="57">
        <f>(1000*CHOOSE(CONTROL!$C$42, 500, 500)*CHOOSE(CONTROL!$C$42, 0.275, 0.275)*CHOOSE(CONTROL!$C$42, 30, 30))/1000000</f>
        <v>4.125</v>
      </c>
      <c r="W1043" s="57">
        <f>(1000*CHOOSE(CONTROL!$C$42, 0.1146, 0.1146)*CHOOSE(CONTROL!$C$42, 121.5, 121.5)*CHOOSE(CONTROL!$C$42, 30, 30))/1000000</f>
        <v>0.417717</v>
      </c>
      <c r="X1043" s="57">
        <f>(30*0.1790888*100000/1000000)+(30*0.2374*100000/1000000)</f>
        <v>1.2494664</v>
      </c>
      <c r="Y1043" s="57"/>
      <c r="Z1043" s="14"/>
      <c r="AA1043" s="56"/>
      <c r="AB1043" s="50">
        <f>(B1043*122.58+C1043*297.941+D1043*89.177+E1043*40.302+F1043*40+G1043*160+H1043*0+I1043*100+J1043*300)/(122.58+297.941+89.177+40.302+0+40+160+100+300)</f>
        <v>132.17511433217391</v>
      </c>
      <c r="AC1043" s="45">
        <f>(M1043*'RAP TEMPLATE-GAS AVAILABILITY'!O1042+N1043*'RAP TEMPLATE-GAS AVAILABILITY'!P1042+O1043*'RAP TEMPLATE-GAS AVAILABILITY'!Q1042+P1043*'RAP TEMPLATE-GAS AVAILABILITY'!R1042)/('RAP TEMPLATE-GAS AVAILABILITY'!O1042+'RAP TEMPLATE-GAS AVAILABILITY'!P1042+'RAP TEMPLATE-GAS AVAILABILITY'!Q1042+'RAP TEMPLATE-GAS AVAILABILITY'!R1042)</f>
        <v>129.5288748201439</v>
      </c>
    </row>
    <row r="1044" spans="1:29" ht="15.75" x14ac:dyDescent="0.25">
      <c r="A1044" s="32">
        <v>72685</v>
      </c>
      <c r="B1044" s="14">
        <f>CHOOSE(CONTROL!$C$42, 141.1155, 141.1155) * CHOOSE(CONTROL!$C$21, $C$9, 100%, $E$9)</f>
        <v>141.1155</v>
      </c>
      <c r="C1044" s="14">
        <f>CHOOSE(CONTROL!$C$42, 141.1206, 141.1206) * CHOOSE(CONTROL!$C$21, $C$9, 100%, $E$9)</f>
        <v>141.1206</v>
      </c>
      <c r="D1044" s="14">
        <f>CHOOSE(CONTROL!$C$42, 141.1948, 141.1948) * CHOOSE(CONTROL!$C$21, $C$9, 100%, $E$9)</f>
        <v>141.19479999999999</v>
      </c>
      <c r="E1044" s="14">
        <f>CHOOSE(CONTROL!$C$42, 141.2289, 141.2289) * CHOOSE(CONTROL!$C$21, $C$9, 100%, $E$9)</f>
        <v>141.22890000000001</v>
      </c>
      <c r="F1044" s="14">
        <f>CHOOSE(CONTROL!$C$42, 141.1539, 141.1539)*CHOOSE(CONTROL!$C$21, $C$9, 100%, $E$9)</f>
        <v>141.15389999999999</v>
      </c>
      <c r="G1044" s="14">
        <f>CHOOSE(CONTROL!$C$42, 141.1721, 141.1721)*CHOOSE(CONTROL!$C$21, $C$9, 100%, $E$9)</f>
        <v>141.1721</v>
      </c>
      <c r="H1044" s="14">
        <f>CHOOSE(CONTROL!$C$42, 141.2181, 141.2181) * CHOOSE(CONTROL!$C$21, $C$9, 100%, $E$9)</f>
        <v>141.21809999999999</v>
      </c>
      <c r="I1044" s="14">
        <f>CHOOSE(CONTROL!$C$42, 141.5849, 141.5849)* CHOOSE(CONTROL!$C$21, $C$9, 100%, $E$9)</f>
        <v>141.5849</v>
      </c>
      <c r="J1044" s="14">
        <f>CHOOSE(CONTROL!$C$42, 141.1469, 141.1469)* CHOOSE(CONTROL!$C$21, $C$9, 100%, $E$9)</f>
        <v>141.14689999999999</v>
      </c>
      <c r="K1044" s="53">
        <f>CHOOSE(CONTROL!$C$42, 141.581, 141.581) * CHOOSE(CONTROL!$C$21, $C$9, 100%, $E$9)</f>
        <v>141.58099999999999</v>
      </c>
      <c r="L1044" s="14">
        <f>CHOOSE(CONTROL!$C$42, 141.8051, 141.8051) * CHOOSE(CONTROL!$C$21, $C$9, 100%, $E$9)</f>
        <v>141.80510000000001</v>
      </c>
      <c r="M1044" s="14">
        <f>CHOOSE(CONTROL!$C$42, 138.2626, 138.2626) * CHOOSE(CONTROL!$C$21, $C$9, 100%, $E$9)</f>
        <v>138.26259999999999</v>
      </c>
      <c r="N1044" s="14">
        <f>CHOOSE(CONTROL!$C$42, 138.2804, 138.2804) * CHOOSE(CONTROL!$C$21, $C$9, 100%, $E$9)</f>
        <v>138.28039999999999</v>
      </c>
      <c r="O1044" s="14">
        <f>CHOOSE(CONTROL!$C$42, 138.3323, 138.3323) * CHOOSE(CONTROL!$C$21, $C$9, 100%, $E$9)</f>
        <v>138.3323</v>
      </c>
      <c r="P1044" s="14">
        <f>CHOOSE(CONTROL!$C$42, 138.6828, 138.6828) * CHOOSE(CONTROL!$C$21, $C$9, 100%, $E$9)</f>
        <v>138.68279999999999</v>
      </c>
      <c r="Q1044" s="14">
        <f>CHOOSE(CONTROL!$C$42, 138.927, 138.927) * CHOOSE(CONTROL!$C$21, $C$9, 100%, $E$9)</f>
        <v>138.92699999999999</v>
      </c>
      <c r="R1044" s="14">
        <f>CHOOSE(CONTROL!$C$42, 139.8613, 139.8613) * CHOOSE(CONTROL!$C$21, $C$9, 100%, $E$9)</f>
        <v>139.8613</v>
      </c>
      <c r="S1044" s="14">
        <f>CHOOSE(CONTROL!$C$42, 135.5893, 135.5893) * CHOOSE(CONTROL!$C$21, $C$9, 100%, $E$9)</f>
        <v>135.58930000000001</v>
      </c>
      <c r="T10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44" s="57">
        <f>(1000*CHOOSE(CONTROL!$C$42, 695, 695)*CHOOSE(CONTROL!$C$42, 0.5599, 0.5599)*CHOOSE(CONTROL!$C$42, 31, 31))/1000000</f>
        <v>12.063045499999998</v>
      </c>
      <c r="V1044" s="57">
        <f>(1000*CHOOSE(CONTROL!$C$42, 500, 500)*CHOOSE(CONTROL!$C$42, 0.275, 0.275)*CHOOSE(CONTROL!$C$42, 31, 31))/1000000</f>
        <v>4.2625000000000002</v>
      </c>
      <c r="W1044" s="57">
        <f>(1000*CHOOSE(CONTROL!$C$42, 0.1146, 0.1146)*CHOOSE(CONTROL!$C$42, 121.5, 121.5)*CHOOSE(CONTROL!$C$42, 31, 31))/1000000</f>
        <v>0.43164089999999994</v>
      </c>
      <c r="X1044" s="57">
        <f>(31*0.1790888*100000/1000000)+(31*0.2374*100000/1000000)</f>
        <v>1.2911152800000001</v>
      </c>
      <c r="Y1044" s="57"/>
      <c r="Z1044" s="14"/>
      <c r="AA1044" s="56"/>
      <c r="AB1044" s="50">
        <f>(B1044*122.58+C1044*297.941+D1044*89.177+E1044*40.302+F1044*40+G1044*160+H1044*0+I1044*100+J1044*300)/(122.58+297.941+89.177+40.302+0+40+160+100+300)</f>
        <v>141.18516389739131</v>
      </c>
      <c r="AC1044" s="45">
        <f>(M1044*'RAP TEMPLATE-GAS AVAILABILITY'!O1043+N1044*'RAP TEMPLATE-GAS AVAILABILITY'!P1043+O1044*'RAP TEMPLATE-GAS AVAILABILITY'!Q1043+P1044*'RAP TEMPLATE-GAS AVAILABILITY'!R1043)/('RAP TEMPLATE-GAS AVAILABILITY'!O1043+'RAP TEMPLATE-GAS AVAILABILITY'!P1043+'RAP TEMPLATE-GAS AVAILABILITY'!Q1043+'RAP TEMPLATE-GAS AVAILABILITY'!R1043)</f>
        <v>138.35567553956835</v>
      </c>
    </row>
    <row r="1045" spans="1:29" ht="15.75" x14ac:dyDescent="0.25">
      <c r="A1045" s="32">
        <v>72716</v>
      </c>
      <c r="B1045" s="14">
        <f>CHOOSE(CONTROL!$C$42, 152.8133, 152.8133) * CHOOSE(CONTROL!$C$21, $C$9, 100%, $E$9)</f>
        <v>152.8133</v>
      </c>
      <c r="C1045" s="14">
        <f>CHOOSE(CONTROL!$C$42, 152.8184, 152.8184) * CHOOSE(CONTROL!$C$21, $C$9, 100%, $E$9)</f>
        <v>152.8184</v>
      </c>
      <c r="D1045" s="14">
        <f>CHOOSE(CONTROL!$C$42, 152.8952, 152.8952) * CHOOSE(CONTROL!$C$21, $C$9, 100%, $E$9)</f>
        <v>152.89519999999999</v>
      </c>
      <c r="E1045" s="14">
        <f>CHOOSE(CONTROL!$C$42, 152.9293, 152.9293) * CHOOSE(CONTROL!$C$21, $C$9, 100%, $E$9)</f>
        <v>152.92930000000001</v>
      </c>
      <c r="F1045" s="14">
        <f>CHOOSE(CONTROL!$C$42, 152.838, 152.838)*CHOOSE(CONTROL!$C$21, $C$9, 100%, $E$9)</f>
        <v>152.83799999999999</v>
      </c>
      <c r="G1045" s="14">
        <f>CHOOSE(CONTROL!$C$42, 152.856, 152.856)*CHOOSE(CONTROL!$C$21, $C$9, 100%, $E$9)</f>
        <v>152.85599999999999</v>
      </c>
      <c r="H1045" s="14">
        <f>CHOOSE(CONTROL!$C$42, 152.9185, 152.9185) * CHOOSE(CONTROL!$C$21, $C$9, 100%, $E$9)</f>
        <v>152.91849999999999</v>
      </c>
      <c r="I1045" s="14">
        <f>CHOOSE(CONTROL!$C$42, 153.3256, 153.3256)* CHOOSE(CONTROL!$C$21, $C$9, 100%, $E$9)</f>
        <v>153.32560000000001</v>
      </c>
      <c r="J1045" s="14">
        <f>CHOOSE(CONTROL!$C$42, 152.831, 152.831)* CHOOSE(CONTROL!$C$21, $C$9, 100%, $E$9)</f>
        <v>152.83099999999999</v>
      </c>
      <c r="K1045" s="53">
        <f>CHOOSE(CONTROL!$C$42, 153.3217, 153.3217) * CHOOSE(CONTROL!$C$21, $C$9, 100%, $E$9)</f>
        <v>153.32169999999999</v>
      </c>
      <c r="L1045" s="14">
        <f>CHOOSE(CONTROL!$C$42, 153.5055, 153.5055) * CHOOSE(CONTROL!$C$21, $C$9, 100%, $E$9)</f>
        <v>153.50550000000001</v>
      </c>
      <c r="M1045" s="14">
        <f>CHOOSE(CONTROL!$C$42, 149.7073, 149.7073) * CHOOSE(CONTROL!$C$21, $C$9, 100%, $E$9)</f>
        <v>149.7073</v>
      </c>
      <c r="N1045" s="14">
        <f>CHOOSE(CONTROL!$C$42, 149.7249, 149.7249) * CHOOSE(CONTROL!$C$21, $C$9, 100%, $E$9)</f>
        <v>149.72489999999999</v>
      </c>
      <c r="O1045" s="14">
        <f>CHOOSE(CONTROL!$C$42, 149.793, 149.793) * CHOOSE(CONTROL!$C$21, $C$9, 100%, $E$9)</f>
        <v>149.79300000000001</v>
      </c>
      <c r="P1045" s="14">
        <f>CHOOSE(CONTROL!$C$42, 150.1822, 150.1822) * CHOOSE(CONTROL!$C$21, $C$9, 100%, $E$9)</f>
        <v>150.18219999999999</v>
      </c>
      <c r="Q1045" s="14">
        <f>CHOOSE(CONTROL!$C$42, 150.3877, 150.3877) * CHOOSE(CONTROL!$C$21, $C$9, 100%, $E$9)</f>
        <v>150.3877</v>
      </c>
      <c r="R1045" s="14">
        <f>CHOOSE(CONTROL!$C$42, 151.3506, 151.3506) * CHOOSE(CONTROL!$C$21, $C$9, 100%, $E$9)</f>
        <v>151.35059999999999</v>
      </c>
      <c r="S1045" s="14">
        <f>CHOOSE(CONTROL!$C$42, 146.8298, 146.8298) * CHOOSE(CONTROL!$C$21, $C$9, 100%, $E$9)</f>
        <v>146.82980000000001</v>
      </c>
      <c r="T10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45" s="57">
        <f>(1000*CHOOSE(CONTROL!$C$42, 695, 695)*CHOOSE(CONTROL!$C$42, 0.5599, 0.5599)*CHOOSE(CONTROL!$C$42, 31, 31))/1000000</f>
        <v>12.063045499999998</v>
      </c>
      <c r="V1045" s="57">
        <f>(1000*CHOOSE(CONTROL!$C$42, 500, 500)*CHOOSE(CONTROL!$C$42, 0.275, 0.275)*CHOOSE(CONTROL!$C$42, 31, 31))/1000000</f>
        <v>4.2625000000000002</v>
      </c>
      <c r="W1045" s="57">
        <f>(1000*CHOOSE(CONTROL!$C$42, 0.1146, 0.1146)*CHOOSE(CONTROL!$C$42, 121.5, 121.5)*CHOOSE(CONTROL!$C$42, 31, 31))/1000000</f>
        <v>0.43164089999999994</v>
      </c>
      <c r="X1045" s="57">
        <f>(31*0.1790888*100000/1000000)+(31*0.2374*100000/1000000)</f>
        <v>1.2911152800000001</v>
      </c>
      <c r="Y1045" s="57"/>
      <c r="Z1045" s="14"/>
      <c r="AA1045" s="56"/>
      <c r="AB1045" s="50">
        <f>(B1045*122.58+C1045*297.941+D1045*89.177+E1045*40.302+F1045*40+G1045*160+H1045*0+I1045*100+J1045*300)/(122.58+297.941+89.177+40.302+0+40+160+100+300)</f>
        <v>152.88100271947826</v>
      </c>
      <c r="AC1045" s="45">
        <f>(M1045*'RAP TEMPLATE-GAS AVAILABILITY'!O1044+N1045*'RAP TEMPLATE-GAS AVAILABILITY'!P1044+O1045*'RAP TEMPLATE-GAS AVAILABILITY'!Q1044+P1045*'RAP TEMPLATE-GAS AVAILABILITY'!R1044)/('RAP TEMPLATE-GAS AVAILABILITY'!O1044+'RAP TEMPLATE-GAS AVAILABILITY'!P1044+'RAP TEMPLATE-GAS AVAILABILITY'!Q1044+'RAP TEMPLATE-GAS AVAILABILITY'!R1044)</f>
        <v>149.81548633093527</v>
      </c>
    </row>
    <row r="1046" spans="1:29" ht="15.75" x14ac:dyDescent="0.25">
      <c r="A1046" s="32">
        <v>72744</v>
      </c>
      <c r="B1046" s="14">
        <f>CHOOSE(CONTROL!$C$42, 155.5334, 155.5334) * CHOOSE(CONTROL!$C$21, $C$9, 100%, $E$9)</f>
        <v>155.5334</v>
      </c>
      <c r="C1046" s="14">
        <f>CHOOSE(CONTROL!$C$42, 155.5385, 155.5385) * CHOOSE(CONTROL!$C$21, $C$9, 100%, $E$9)</f>
        <v>155.5385</v>
      </c>
      <c r="D1046" s="14">
        <f>CHOOSE(CONTROL!$C$42, 155.6153, 155.6153) * CHOOSE(CONTROL!$C$21, $C$9, 100%, $E$9)</f>
        <v>155.61529999999999</v>
      </c>
      <c r="E1046" s="14">
        <f>CHOOSE(CONTROL!$C$42, 155.6494, 155.6494) * CHOOSE(CONTROL!$C$21, $C$9, 100%, $E$9)</f>
        <v>155.64940000000001</v>
      </c>
      <c r="F1046" s="14">
        <f>CHOOSE(CONTROL!$C$42, 155.5578, 155.5578)*CHOOSE(CONTROL!$C$21, $C$9, 100%, $E$9)</f>
        <v>155.55779999999999</v>
      </c>
      <c r="G1046" s="14">
        <f>CHOOSE(CONTROL!$C$42, 155.5756, 155.5756)*CHOOSE(CONTROL!$C$21, $C$9, 100%, $E$9)</f>
        <v>155.57560000000001</v>
      </c>
      <c r="H1046" s="14">
        <f>CHOOSE(CONTROL!$C$42, 155.6386, 155.6386) * CHOOSE(CONTROL!$C$21, $C$9, 100%, $E$9)</f>
        <v>155.6386</v>
      </c>
      <c r="I1046" s="14">
        <f>CHOOSE(CONTROL!$C$42, 156.0543, 156.0543)* CHOOSE(CONTROL!$C$21, $C$9, 100%, $E$9)</f>
        <v>156.05430000000001</v>
      </c>
      <c r="J1046" s="14">
        <f>CHOOSE(CONTROL!$C$42, 155.5508, 155.5508)* CHOOSE(CONTROL!$C$21, $C$9, 100%, $E$9)</f>
        <v>155.55080000000001</v>
      </c>
      <c r="K1046" s="53">
        <f>CHOOSE(CONTROL!$C$42, 156.0504, 156.0504) * CHOOSE(CONTROL!$C$21, $C$9, 100%, $E$9)</f>
        <v>156.0504</v>
      </c>
      <c r="L1046" s="14">
        <f>CHOOSE(CONTROL!$C$42, 156.2256, 156.2256) * CHOOSE(CONTROL!$C$21, $C$9, 100%, $E$9)</f>
        <v>156.22559999999999</v>
      </c>
      <c r="M1046" s="14">
        <f>CHOOSE(CONTROL!$C$42, 152.3713, 152.3713) * CHOOSE(CONTROL!$C$21, $C$9, 100%, $E$9)</f>
        <v>152.37129999999999</v>
      </c>
      <c r="N1046" s="14">
        <f>CHOOSE(CONTROL!$C$42, 152.3888, 152.3888) * CHOOSE(CONTROL!$C$21, $C$9, 100%, $E$9)</f>
        <v>152.3888</v>
      </c>
      <c r="O1046" s="14">
        <f>CHOOSE(CONTROL!$C$42, 152.4574, 152.4574) * CHOOSE(CONTROL!$C$21, $C$9, 100%, $E$9)</f>
        <v>152.45740000000001</v>
      </c>
      <c r="P1046" s="14">
        <f>CHOOSE(CONTROL!$C$42, 152.8548, 152.8548) * CHOOSE(CONTROL!$C$21, $C$9, 100%, $E$9)</f>
        <v>152.85480000000001</v>
      </c>
      <c r="Q1046" s="14">
        <f>CHOOSE(CONTROL!$C$42, 153.0521, 153.0521) * CHOOSE(CONTROL!$C$21, $C$9, 100%, $E$9)</f>
        <v>153.0521</v>
      </c>
      <c r="R1046" s="14">
        <f>CHOOSE(CONTROL!$C$42, 154.0217, 154.0217) * CHOOSE(CONTROL!$C$21, $C$9, 100%, $E$9)</f>
        <v>154.02170000000001</v>
      </c>
      <c r="S1046" s="14">
        <f>CHOOSE(CONTROL!$C$42, 149.4435, 149.4435) * CHOOSE(CONTROL!$C$21, $C$9, 100%, $E$9)</f>
        <v>149.4435</v>
      </c>
      <c r="T104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46" s="57">
        <f>(1000*CHOOSE(CONTROL!$C$42, 695, 695)*CHOOSE(CONTROL!$C$42, 0.5599, 0.5599)*CHOOSE(CONTROL!$C$42, 28, 28))/1000000</f>
        <v>10.895653999999999</v>
      </c>
      <c r="V1046" s="57">
        <f>(1000*CHOOSE(CONTROL!$C$42, 500, 500)*CHOOSE(CONTROL!$C$42, 0.275, 0.275)*CHOOSE(CONTROL!$C$42, 28, 28))/1000000</f>
        <v>3.85</v>
      </c>
      <c r="W1046" s="57">
        <f>(1000*CHOOSE(CONTROL!$C$42, 0.1146, 0.1146)*CHOOSE(CONTROL!$C$42, 121.5, 121.5)*CHOOSE(CONTROL!$C$42, 28, 28))/1000000</f>
        <v>0.38986920000000003</v>
      </c>
      <c r="X1046" s="57">
        <f>(28*0.1790888*100000/1000000)+(28*0.2374*100000/1000000)</f>
        <v>1.16616864</v>
      </c>
      <c r="Y1046" s="57"/>
      <c r="Z1046" s="14"/>
      <c r="AA1046" s="56"/>
      <c r="AB1046" s="50">
        <f>(B1046*122.58+C1046*297.941+D1046*89.177+E1046*40.302+F1046*40+G1046*160+H1046*0+I1046*100+J1046*300)/(122.58+297.941+89.177+40.302+0+40+160+100+300)</f>
        <v>155.60169228469567</v>
      </c>
      <c r="AC1046" s="45">
        <f>(M1046*'RAP TEMPLATE-GAS AVAILABILITY'!O1045+N1046*'RAP TEMPLATE-GAS AVAILABILITY'!P1045+O1046*'RAP TEMPLATE-GAS AVAILABILITY'!Q1045+P1046*'RAP TEMPLATE-GAS AVAILABILITY'!R1045)/('RAP TEMPLATE-GAS AVAILABILITY'!O1045+'RAP TEMPLATE-GAS AVAILABILITY'!P1045+'RAP TEMPLATE-GAS AVAILABILITY'!Q1045+'RAP TEMPLATE-GAS AVAILABILITY'!R1045)</f>
        <v>152.48089928057556</v>
      </c>
    </row>
    <row r="1047" spans="1:29" ht="15.75" x14ac:dyDescent="0.25">
      <c r="A1047" s="32">
        <v>72775</v>
      </c>
      <c r="B1047" s="14">
        <f>CHOOSE(CONTROL!$C$42, 151.118, 151.118) * CHOOSE(CONTROL!$C$21, $C$9, 100%, $E$9)</f>
        <v>151.11799999999999</v>
      </c>
      <c r="C1047" s="14">
        <f>CHOOSE(CONTROL!$C$42, 151.1231, 151.1231) * CHOOSE(CONTROL!$C$21, $C$9, 100%, $E$9)</f>
        <v>151.12309999999999</v>
      </c>
      <c r="D1047" s="14">
        <f>CHOOSE(CONTROL!$C$42, 151.1999, 151.1999) * CHOOSE(CONTROL!$C$21, $C$9, 100%, $E$9)</f>
        <v>151.19990000000001</v>
      </c>
      <c r="E1047" s="14">
        <f>CHOOSE(CONTROL!$C$42, 151.234, 151.234) * CHOOSE(CONTROL!$C$21, $C$9, 100%, $E$9)</f>
        <v>151.23400000000001</v>
      </c>
      <c r="F1047" s="14">
        <f>CHOOSE(CONTROL!$C$42, 151.1415, 151.1415)*CHOOSE(CONTROL!$C$21, $C$9, 100%, $E$9)</f>
        <v>151.14150000000001</v>
      </c>
      <c r="G1047" s="14">
        <f>CHOOSE(CONTROL!$C$42, 151.1591, 151.1591)*CHOOSE(CONTROL!$C$21, $C$9, 100%, $E$9)</f>
        <v>151.1591</v>
      </c>
      <c r="H1047" s="14">
        <f>CHOOSE(CONTROL!$C$42, 151.2232, 151.2232) * CHOOSE(CONTROL!$C$21, $C$9, 100%, $E$9)</f>
        <v>151.22319999999999</v>
      </c>
      <c r="I1047" s="14">
        <f>CHOOSE(CONTROL!$C$42, 151.625, 151.625)* CHOOSE(CONTROL!$C$21, $C$9, 100%, $E$9)</f>
        <v>151.625</v>
      </c>
      <c r="J1047" s="14">
        <f>CHOOSE(CONTROL!$C$42, 151.1345, 151.1345)* CHOOSE(CONTROL!$C$21, $C$9, 100%, $E$9)</f>
        <v>151.1345</v>
      </c>
      <c r="K1047" s="53">
        <f>CHOOSE(CONTROL!$C$42, 151.6211, 151.6211) * CHOOSE(CONTROL!$C$21, $C$9, 100%, $E$9)</f>
        <v>151.62110000000001</v>
      </c>
      <c r="L1047" s="14">
        <f>CHOOSE(CONTROL!$C$42, 151.8102, 151.8102) * CHOOSE(CONTROL!$C$21, $C$9, 100%, $E$9)</f>
        <v>151.81020000000001</v>
      </c>
      <c r="M1047" s="14">
        <f>CHOOSE(CONTROL!$C$42, 148.0455, 148.0455) * CHOOSE(CONTROL!$C$21, $C$9, 100%, $E$9)</f>
        <v>148.0455</v>
      </c>
      <c r="N1047" s="14">
        <f>CHOOSE(CONTROL!$C$42, 148.0628, 148.0628) * CHOOSE(CONTROL!$C$21, $C$9, 100%, $E$9)</f>
        <v>148.06280000000001</v>
      </c>
      <c r="O1047" s="14">
        <f>CHOOSE(CONTROL!$C$42, 148.1324, 148.1324) * CHOOSE(CONTROL!$C$21, $C$9, 100%, $E$9)</f>
        <v>148.13239999999999</v>
      </c>
      <c r="P1047" s="14">
        <f>CHOOSE(CONTROL!$C$42, 148.5165, 148.5165) * CHOOSE(CONTROL!$C$21, $C$9, 100%, $E$9)</f>
        <v>148.51650000000001</v>
      </c>
      <c r="Q1047" s="14">
        <f>CHOOSE(CONTROL!$C$42, 148.7271, 148.7271) * CHOOSE(CONTROL!$C$21, $C$9, 100%, $E$9)</f>
        <v>148.72710000000001</v>
      </c>
      <c r="R1047" s="14">
        <f>CHOOSE(CONTROL!$C$42, 149.6859, 149.6859) * CHOOSE(CONTROL!$C$21, $C$9, 100%, $E$9)</f>
        <v>149.6859</v>
      </c>
      <c r="S1047" s="14">
        <f>CHOOSE(CONTROL!$C$42, 145.2007, 145.2007) * CHOOSE(CONTROL!$C$21, $C$9, 100%, $E$9)</f>
        <v>145.20070000000001</v>
      </c>
      <c r="T10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47" s="57">
        <f>(1000*CHOOSE(CONTROL!$C$42, 695, 695)*CHOOSE(CONTROL!$C$42, 0.5599, 0.5599)*CHOOSE(CONTROL!$C$42, 31, 31))/1000000</f>
        <v>12.063045499999998</v>
      </c>
      <c r="V1047" s="57">
        <f>(1000*CHOOSE(CONTROL!$C$42, 500, 500)*CHOOSE(CONTROL!$C$42, 0.275, 0.275)*CHOOSE(CONTROL!$C$42, 31, 31))/1000000</f>
        <v>4.2625000000000002</v>
      </c>
      <c r="W1047" s="57">
        <f>(1000*CHOOSE(CONTROL!$C$42, 0.1146, 0.1146)*CHOOSE(CONTROL!$C$42, 121.5, 121.5)*CHOOSE(CONTROL!$C$42, 31, 31))/1000000</f>
        <v>0.43164089999999994</v>
      </c>
      <c r="X1047" s="57">
        <f>(31*0.1790888*100000/1000000)+(31*0.2374*100000/1000000)</f>
        <v>1.2911152800000001</v>
      </c>
      <c r="Y1047" s="57"/>
      <c r="Z1047" s="14"/>
      <c r="AA1047" s="56"/>
      <c r="AB1047" s="50">
        <f>(B1047*122.58+C1047*297.941+D1047*89.177+E1047*40.302+F1047*40+G1047*160+H1047*0+I1047*100+J1047*300)/(122.58+297.941+89.177+40.302+0+40+160+100+300)</f>
        <v>151.18466445860869</v>
      </c>
      <c r="AC1047" s="45">
        <f>(M1047*'RAP TEMPLATE-GAS AVAILABILITY'!O1046+N1047*'RAP TEMPLATE-GAS AVAILABILITY'!P1046+O1047*'RAP TEMPLATE-GAS AVAILABILITY'!Q1046+P1047*'RAP TEMPLATE-GAS AVAILABILITY'!R1046)/('RAP TEMPLATE-GAS AVAILABILITY'!O1046+'RAP TEMPLATE-GAS AVAILABILITY'!P1046+'RAP TEMPLATE-GAS AVAILABILITY'!Q1046+'RAP TEMPLATE-GAS AVAILABILITY'!R1046)</f>
        <v>148.15365179856116</v>
      </c>
    </row>
    <row r="1048" spans="1:29" ht="15.75" x14ac:dyDescent="0.25">
      <c r="A1048" s="32">
        <v>72805</v>
      </c>
      <c r="B1048" s="14">
        <f>CHOOSE(CONTROL!$C$42, 150.6665, 150.6665) * CHOOSE(CONTROL!$C$21, $C$9, 100%, $E$9)</f>
        <v>150.66650000000001</v>
      </c>
      <c r="C1048" s="14">
        <f>CHOOSE(CONTROL!$C$42, 150.671, 150.671) * CHOOSE(CONTROL!$C$21, $C$9, 100%, $E$9)</f>
        <v>150.67099999999999</v>
      </c>
      <c r="D1048" s="14">
        <f>CHOOSE(CONTROL!$C$42, 150.8948, 150.8948) * CHOOSE(CONTROL!$C$21, $C$9, 100%, $E$9)</f>
        <v>150.8948</v>
      </c>
      <c r="E1048" s="14">
        <f>CHOOSE(CONTROL!$C$42, 150.9269, 150.9269) * CHOOSE(CONTROL!$C$21, $C$9, 100%, $E$9)</f>
        <v>150.92689999999999</v>
      </c>
      <c r="F1048" s="14">
        <f>CHOOSE(CONTROL!$C$42, 150.6942, 150.6942)*CHOOSE(CONTROL!$C$21, $C$9, 100%, $E$9)</f>
        <v>150.6942</v>
      </c>
      <c r="G1048" s="14">
        <f>CHOOSE(CONTROL!$C$42, 150.7111, 150.7111)*CHOOSE(CONTROL!$C$21, $C$9, 100%, $E$9)</f>
        <v>150.71109999999999</v>
      </c>
      <c r="H1048" s="14">
        <f>CHOOSE(CONTROL!$C$42, 150.9166, 150.9166) * CHOOSE(CONTROL!$C$21, $C$9, 100%, $E$9)</f>
        <v>150.91659999999999</v>
      </c>
      <c r="I1048" s="14">
        <f>CHOOSE(CONTROL!$C$42, 151.1677, 151.1677)* CHOOSE(CONTROL!$C$21, $C$9, 100%, $E$9)</f>
        <v>151.1677</v>
      </c>
      <c r="J1048" s="14">
        <f>CHOOSE(CONTROL!$C$42, 150.6872, 150.6872)* CHOOSE(CONTROL!$C$21, $C$9, 100%, $E$9)</f>
        <v>150.68719999999999</v>
      </c>
      <c r="K1048" s="53">
        <f>CHOOSE(CONTROL!$C$42, 151.1638, 151.1638) * CHOOSE(CONTROL!$C$21, $C$9, 100%, $E$9)</f>
        <v>151.16380000000001</v>
      </c>
      <c r="L1048" s="14">
        <f>CHOOSE(CONTROL!$C$42, 151.5036, 151.5036) * CHOOSE(CONTROL!$C$21, $C$9, 100%, $E$9)</f>
        <v>151.50360000000001</v>
      </c>
      <c r="M1048" s="14">
        <f>CHOOSE(CONTROL!$C$42, 147.6074, 147.6074) * CHOOSE(CONTROL!$C$21, $C$9, 100%, $E$9)</f>
        <v>147.60740000000001</v>
      </c>
      <c r="N1048" s="14">
        <f>CHOOSE(CONTROL!$C$42, 147.624, 147.624) * CHOOSE(CONTROL!$C$21, $C$9, 100%, $E$9)</f>
        <v>147.624</v>
      </c>
      <c r="O1048" s="14">
        <f>CHOOSE(CONTROL!$C$42, 147.8322, 147.8322) * CHOOSE(CONTROL!$C$21, $C$9, 100%, $E$9)</f>
        <v>147.8322</v>
      </c>
      <c r="P1048" s="14">
        <f>CHOOSE(CONTROL!$C$42, 148.0686, 148.0686) * CHOOSE(CONTROL!$C$21, $C$9, 100%, $E$9)</f>
        <v>148.0686</v>
      </c>
      <c r="Q1048" s="14">
        <f>CHOOSE(CONTROL!$C$42, 148.4269, 148.4269) * CHOOSE(CONTROL!$C$21, $C$9, 100%, $E$9)</f>
        <v>148.42689999999999</v>
      </c>
      <c r="R1048" s="14">
        <f>CHOOSE(CONTROL!$C$42, 149.3849, 149.3849) * CHOOSE(CONTROL!$C$21, $C$9, 100%, $E$9)</f>
        <v>149.38489999999999</v>
      </c>
      <c r="S1048" s="14">
        <f>CHOOSE(CONTROL!$C$42, 144.7662, 144.7662) * CHOOSE(CONTROL!$C$21, $C$9, 100%, $E$9)</f>
        <v>144.7662</v>
      </c>
      <c r="T10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48" s="57">
        <f>(1000*CHOOSE(CONTROL!$C$42, 695, 695)*CHOOSE(CONTROL!$C$42, 0.5599, 0.5599)*CHOOSE(CONTROL!$C$42, 30, 30))/1000000</f>
        <v>11.673914999999997</v>
      </c>
      <c r="V1048" s="57">
        <f>(1000*CHOOSE(CONTROL!$C$42, 500, 500)*CHOOSE(CONTROL!$C$42, 0.275, 0.275)*CHOOSE(CONTROL!$C$42, 30, 30))/1000000</f>
        <v>4.125</v>
      </c>
      <c r="W1048" s="57">
        <f>(1000*CHOOSE(CONTROL!$C$42, 0.1146, 0.1146)*CHOOSE(CONTROL!$C$42, 121.5, 121.5)*CHOOSE(CONTROL!$C$42, 30, 30))/1000000</f>
        <v>0.417717</v>
      </c>
      <c r="X1048" s="57">
        <f>(30*0.1790888*245000/1000000)+(30*0.2374*100000/1000000)</f>
        <v>2.0285026799999999</v>
      </c>
      <c r="Y1048" s="57"/>
      <c r="Z1048" s="14"/>
      <c r="AA1048" s="56"/>
      <c r="AB1048" s="50">
        <f>(B1048*141.293+C1048*267.993+D1048*115.016+E1048*89.698+F1048*40+G1048*185+H1048*0+I1048*100+J1048*300)/(141.293+267.993+115.016+89.698+0+40+185+100+300)</f>
        <v>150.76053590032285</v>
      </c>
      <c r="AC1048" s="45">
        <f>(M1048*'RAP TEMPLATE-GAS AVAILABILITY'!O1047+N1048*'RAP TEMPLATE-GAS AVAILABILITY'!P1047+O1048*'RAP TEMPLATE-GAS AVAILABILITY'!Q1047+P1048*'RAP TEMPLATE-GAS AVAILABILITY'!R1047)/('RAP TEMPLATE-GAS AVAILABILITY'!O1047+'RAP TEMPLATE-GAS AVAILABILITY'!P1047+'RAP TEMPLATE-GAS AVAILABILITY'!Q1047+'RAP TEMPLATE-GAS AVAILABILITY'!R1047)</f>
        <v>147.77660287769785</v>
      </c>
    </row>
    <row r="1049" spans="1:29" ht="15.75" x14ac:dyDescent="0.25">
      <c r="A1049" s="32">
        <v>72836</v>
      </c>
      <c r="B1049" s="14">
        <f>CHOOSE(CONTROL!$C$42, 151.9977, 151.9977) * CHOOSE(CONTROL!$C$21, $C$9, 100%, $E$9)</f>
        <v>151.99770000000001</v>
      </c>
      <c r="C1049" s="14">
        <f>CHOOSE(CONTROL!$C$42, 152.0057, 152.0057) * CHOOSE(CONTROL!$C$21, $C$9, 100%, $E$9)</f>
        <v>152.00569999999999</v>
      </c>
      <c r="D1049" s="14">
        <f>CHOOSE(CONTROL!$C$42, 152.2263, 152.2263) * CHOOSE(CONTROL!$C$21, $C$9, 100%, $E$9)</f>
        <v>152.22630000000001</v>
      </c>
      <c r="E1049" s="14">
        <f>CHOOSE(CONTROL!$C$42, 152.2577, 152.2577) * CHOOSE(CONTROL!$C$21, $C$9, 100%, $E$9)</f>
        <v>152.2577</v>
      </c>
      <c r="F1049" s="14">
        <f>CHOOSE(CONTROL!$C$42, 152.0239, 152.0239)*CHOOSE(CONTROL!$C$21, $C$9, 100%, $E$9)</f>
        <v>152.0239</v>
      </c>
      <c r="G1049" s="14">
        <f>CHOOSE(CONTROL!$C$42, 152.041, 152.041)*CHOOSE(CONTROL!$C$21, $C$9, 100%, $E$9)</f>
        <v>152.041</v>
      </c>
      <c r="H1049" s="14">
        <f>CHOOSE(CONTROL!$C$42, 152.2464, 152.2464) * CHOOSE(CONTROL!$C$21, $C$9, 100%, $E$9)</f>
        <v>152.24639999999999</v>
      </c>
      <c r="I1049" s="14">
        <f>CHOOSE(CONTROL!$C$42, 152.5016, 152.5016)* CHOOSE(CONTROL!$C$21, $C$9, 100%, $E$9)</f>
        <v>152.5016</v>
      </c>
      <c r="J1049" s="14">
        <f>CHOOSE(CONTROL!$C$42, 152.0169, 152.0169)* CHOOSE(CONTROL!$C$21, $C$9, 100%, $E$9)</f>
        <v>152.01689999999999</v>
      </c>
      <c r="K1049" s="53">
        <f>CHOOSE(CONTROL!$C$42, 152.4977, 152.4977) * CHOOSE(CONTROL!$C$21, $C$9, 100%, $E$9)</f>
        <v>152.49770000000001</v>
      </c>
      <c r="L1049" s="14">
        <f>CHOOSE(CONTROL!$C$42, 152.8334, 152.8334) * CHOOSE(CONTROL!$C$21, $C$9, 100%, $E$9)</f>
        <v>152.83340000000001</v>
      </c>
      <c r="M1049" s="14">
        <f>CHOOSE(CONTROL!$C$42, 148.9099, 148.9099) * CHOOSE(CONTROL!$C$21, $C$9, 100%, $E$9)</f>
        <v>148.90989999999999</v>
      </c>
      <c r="N1049" s="14">
        <f>CHOOSE(CONTROL!$C$42, 148.9267, 148.9267) * CHOOSE(CONTROL!$C$21, $C$9, 100%, $E$9)</f>
        <v>148.92670000000001</v>
      </c>
      <c r="O1049" s="14">
        <f>CHOOSE(CONTROL!$C$42, 149.1346, 149.1346) * CHOOSE(CONTROL!$C$21, $C$9, 100%, $E$9)</f>
        <v>149.13460000000001</v>
      </c>
      <c r="P1049" s="14">
        <f>CHOOSE(CONTROL!$C$42, 149.3751, 149.3751) * CHOOSE(CONTROL!$C$21, $C$9, 100%, $E$9)</f>
        <v>149.3751</v>
      </c>
      <c r="Q1049" s="14">
        <f>CHOOSE(CONTROL!$C$42, 149.7293, 149.7293) * CHOOSE(CONTROL!$C$21, $C$9, 100%, $E$9)</f>
        <v>149.72929999999999</v>
      </c>
      <c r="R1049" s="14">
        <f>CHOOSE(CONTROL!$C$42, 150.6907, 150.6907) * CHOOSE(CONTROL!$C$21, $C$9, 100%, $E$9)</f>
        <v>150.69069999999999</v>
      </c>
      <c r="S1049" s="14">
        <f>CHOOSE(CONTROL!$C$42, 146.0439, 146.0439) * CHOOSE(CONTROL!$C$21, $C$9, 100%, $E$9)</f>
        <v>146.04390000000001</v>
      </c>
      <c r="T10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49" s="57">
        <f>(1000*CHOOSE(CONTROL!$C$42, 695, 695)*CHOOSE(CONTROL!$C$42, 0.5599, 0.5599)*CHOOSE(CONTROL!$C$42, 31, 31))/1000000</f>
        <v>12.063045499999998</v>
      </c>
      <c r="V1049" s="57">
        <f>(1000*CHOOSE(CONTROL!$C$42, 500, 500)*CHOOSE(CONTROL!$C$42, 0.275, 0.275)*CHOOSE(CONTROL!$C$42, 31, 31))/1000000</f>
        <v>4.2625000000000002</v>
      </c>
      <c r="W1049" s="57">
        <f>(1000*CHOOSE(CONTROL!$C$42, 0.1146, 0.1146)*CHOOSE(CONTROL!$C$42, 121.5, 121.5)*CHOOSE(CONTROL!$C$42, 31, 31))/1000000</f>
        <v>0.43164089999999994</v>
      </c>
      <c r="X1049" s="57">
        <f>(31*0.1790888*245000/1000000)+(31*0.2374*100000/1000000)</f>
        <v>2.0961194359999999</v>
      </c>
      <c r="Y1049" s="57"/>
      <c r="Z1049" s="14"/>
      <c r="AA1049" s="56"/>
      <c r="AB1049" s="50">
        <f>(B1049*194.205+C1049*267.466+D1049*133.845+E1049*53.484+F1049*40+G1049*185+H1049*0+I1049*100+J1049*300)/(194.205+267.466+133.845+53.484+0+40+185+100+300)</f>
        <v>152.08549516091054</v>
      </c>
      <c r="AC1049" s="45">
        <f>(M1049*'RAP TEMPLATE-GAS AVAILABILITY'!O1048+N1049*'RAP TEMPLATE-GAS AVAILABILITY'!P1048+O1049*'RAP TEMPLATE-GAS AVAILABILITY'!Q1048+P1049*'RAP TEMPLATE-GAS AVAILABILITY'!R1048)/('RAP TEMPLATE-GAS AVAILABILITY'!O1048+'RAP TEMPLATE-GAS AVAILABILITY'!P1048+'RAP TEMPLATE-GAS AVAILABILITY'!Q1048+'RAP TEMPLATE-GAS AVAILABILITY'!R1048)</f>
        <v>149.07964460431654</v>
      </c>
    </row>
    <row r="1050" spans="1:29" ht="15.75" x14ac:dyDescent="0.25">
      <c r="A1050" s="32">
        <v>72866</v>
      </c>
      <c r="B1050" s="14">
        <f>CHOOSE(CONTROL!$C$42, 156.309, 156.309) * CHOOSE(CONTROL!$C$21, $C$9, 100%, $E$9)</f>
        <v>156.309</v>
      </c>
      <c r="C1050" s="14">
        <f>CHOOSE(CONTROL!$C$42, 156.317, 156.317) * CHOOSE(CONTROL!$C$21, $C$9, 100%, $E$9)</f>
        <v>156.31700000000001</v>
      </c>
      <c r="D1050" s="14">
        <f>CHOOSE(CONTROL!$C$42, 156.5376, 156.5376) * CHOOSE(CONTROL!$C$21, $C$9, 100%, $E$9)</f>
        <v>156.5376</v>
      </c>
      <c r="E1050" s="14">
        <f>CHOOSE(CONTROL!$C$42, 156.569, 156.569) * CHOOSE(CONTROL!$C$21, $C$9, 100%, $E$9)</f>
        <v>156.56899999999999</v>
      </c>
      <c r="F1050" s="14">
        <f>CHOOSE(CONTROL!$C$42, 156.3356, 156.3356)*CHOOSE(CONTROL!$C$21, $C$9, 100%, $E$9)</f>
        <v>156.3356</v>
      </c>
      <c r="G1050" s="14">
        <f>CHOOSE(CONTROL!$C$42, 156.3528, 156.3528)*CHOOSE(CONTROL!$C$21, $C$9, 100%, $E$9)</f>
        <v>156.3528</v>
      </c>
      <c r="H1050" s="14">
        <f>CHOOSE(CONTROL!$C$42, 156.5577, 156.5577) * CHOOSE(CONTROL!$C$21, $C$9, 100%, $E$9)</f>
        <v>156.55770000000001</v>
      </c>
      <c r="I1050" s="14">
        <f>CHOOSE(CONTROL!$C$42, 156.8264, 156.8264)* CHOOSE(CONTROL!$C$21, $C$9, 100%, $E$9)</f>
        <v>156.82640000000001</v>
      </c>
      <c r="J1050" s="14">
        <f>CHOOSE(CONTROL!$C$42, 156.3286, 156.3286)* CHOOSE(CONTROL!$C$21, $C$9, 100%, $E$9)</f>
        <v>156.32859999999999</v>
      </c>
      <c r="K1050" s="53">
        <f>CHOOSE(CONTROL!$C$42, 156.8225, 156.8225) * CHOOSE(CONTROL!$C$21, $C$9, 100%, $E$9)</f>
        <v>156.82249999999999</v>
      </c>
      <c r="L1050" s="14">
        <f>CHOOSE(CONTROL!$C$42, 157.1447, 157.1447) * CHOOSE(CONTROL!$C$21, $C$9, 100%, $E$9)</f>
        <v>157.1447</v>
      </c>
      <c r="M1050" s="14">
        <f>CHOOSE(CONTROL!$C$42, 153.1332, 153.1332) * CHOOSE(CONTROL!$C$21, $C$9, 100%, $E$9)</f>
        <v>153.13319999999999</v>
      </c>
      <c r="N1050" s="14">
        <f>CHOOSE(CONTROL!$C$42, 153.1501, 153.1501) * CHOOSE(CONTROL!$C$21, $C$9, 100%, $E$9)</f>
        <v>153.15010000000001</v>
      </c>
      <c r="O1050" s="14">
        <f>CHOOSE(CONTROL!$C$42, 153.3576, 153.3576) * CHOOSE(CONTROL!$C$21, $C$9, 100%, $E$9)</f>
        <v>153.35759999999999</v>
      </c>
      <c r="P1050" s="14">
        <f>CHOOSE(CONTROL!$C$42, 153.611, 153.611) * CHOOSE(CONTROL!$C$21, $C$9, 100%, $E$9)</f>
        <v>153.61099999999999</v>
      </c>
      <c r="Q1050" s="14">
        <f>CHOOSE(CONTROL!$C$42, 153.9523, 153.9523) * CHOOSE(CONTROL!$C$21, $C$9, 100%, $E$9)</f>
        <v>153.95230000000001</v>
      </c>
      <c r="R1050" s="14">
        <f>CHOOSE(CONTROL!$C$42, 154.9242, 154.9242) * CHOOSE(CONTROL!$C$21, $C$9, 100%, $E$9)</f>
        <v>154.92420000000001</v>
      </c>
      <c r="S1050" s="14">
        <f>CHOOSE(CONTROL!$C$42, 150.1866, 150.1866) * CHOOSE(CONTROL!$C$21, $C$9, 100%, $E$9)</f>
        <v>150.1866</v>
      </c>
      <c r="T10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50" s="57">
        <f>(1000*CHOOSE(CONTROL!$C$42, 695, 695)*CHOOSE(CONTROL!$C$42, 0.5599, 0.5599)*CHOOSE(CONTROL!$C$42, 30, 30))/1000000</f>
        <v>11.673914999999997</v>
      </c>
      <c r="V1050" s="57">
        <f>(1000*CHOOSE(CONTROL!$C$42, 500, 500)*CHOOSE(CONTROL!$C$42, 0.275, 0.275)*CHOOSE(CONTROL!$C$42, 30, 30))/1000000</f>
        <v>4.125</v>
      </c>
      <c r="W1050" s="57">
        <f>(1000*CHOOSE(CONTROL!$C$42, 0.1146, 0.1146)*CHOOSE(CONTROL!$C$42, 121.5, 121.5)*CHOOSE(CONTROL!$C$42, 30, 30))/1000000</f>
        <v>0.417717</v>
      </c>
      <c r="X1050" s="57">
        <f>(30*0.1790888*245000/1000000)+(30*0.2374*100000/1000000)</f>
        <v>2.0285026799999999</v>
      </c>
      <c r="Y1050" s="57"/>
      <c r="Z1050" s="14"/>
      <c r="AA1050" s="56"/>
      <c r="AB1050" s="50">
        <f>(B1050*194.205+C1050*267.466+D1050*133.845+E1050*53.484+F1050*40+G1050*185+H1050*0+I1050*100+J1050*300)/(194.205+267.466+133.845+53.484+0+40+185+100+300)</f>
        <v>156.39803417189955</v>
      </c>
      <c r="AC1050" s="45">
        <f>(M1050*'RAP TEMPLATE-GAS AVAILABILITY'!O1049+N1050*'RAP TEMPLATE-GAS AVAILABILITY'!P1049+O1050*'RAP TEMPLATE-GAS AVAILABILITY'!Q1049+P1050*'RAP TEMPLATE-GAS AVAILABILITY'!R1049)/('RAP TEMPLATE-GAS AVAILABILITY'!O1049+'RAP TEMPLATE-GAS AVAILABILITY'!P1049+'RAP TEMPLATE-GAS AVAILABILITY'!Q1049+'RAP TEMPLATE-GAS AVAILABILITY'!R1049)</f>
        <v>153.30462733812948</v>
      </c>
    </row>
    <row r="1051" spans="1:29" ht="15.75" x14ac:dyDescent="0.25">
      <c r="A1051" s="32">
        <v>72897</v>
      </c>
      <c r="B1051" s="14">
        <f>CHOOSE(CONTROL!$C$42, 153.3104, 153.3104) * CHOOSE(CONTROL!$C$21, $C$9, 100%, $E$9)</f>
        <v>153.31039999999999</v>
      </c>
      <c r="C1051" s="14">
        <f>CHOOSE(CONTROL!$C$42, 153.3184, 153.3184) * CHOOSE(CONTROL!$C$21, $C$9, 100%, $E$9)</f>
        <v>153.3184</v>
      </c>
      <c r="D1051" s="14">
        <f>CHOOSE(CONTROL!$C$42, 153.539, 153.539) * CHOOSE(CONTROL!$C$21, $C$9, 100%, $E$9)</f>
        <v>153.53899999999999</v>
      </c>
      <c r="E1051" s="14">
        <f>CHOOSE(CONTROL!$C$42, 153.5705, 153.5705) * CHOOSE(CONTROL!$C$21, $C$9, 100%, $E$9)</f>
        <v>153.57050000000001</v>
      </c>
      <c r="F1051" s="14">
        <f>CHOOSE(CONTROL!$C$42, 153.3375, 153.3375)*CHOOSE(CONTROL!$C$21, $C$9, 100%, $E$9)</f>
        <v>153.33750000000001</v>
      </c>
      <c r="G1051" s="14">
        <f>CHOOSE(CONTROL!$C$42, 153.3548, 153.3548)*CHOOSE(CONTROL!$C$21, $C$9, 100%, $E$9)</f>
        <v>153.35480000000001</v>
      </c>
      <c r="H1051" s="14">
        <f>CHOOSE(CONTROL!$C$42, 153.5591, 153.5591) * CHOOSE(CONTROL!$C$21, $C$9, 100%, $E$9)</f>
        <v>153.5591</v>
      </c>
      <c r="I1051" s="14">
        <f>CHOOSE(CONTROL!$C$42, 153.8185, 153.8185)* CHOOSE(CONTROL!$C$21, $C$9, 100%, $E$9)</f>
        <v>153.8185</v>
      </c>
      <c r="J1051" s="14">
        <f>CHOOSE(CONTROL!$C$42, 153.3305, 153.3305)* CHOOSE(CONTROL!$C$21, $C$9, 100%, $E$9)</f>
        <v>153.3305</v>
      </c>
      <c r="K1051" s="53">
        <f>CHOOSE(CONTROL!$C$42, 153.8146, 153.8146) * CHOOSE(CONTROL!$C$21, $C$9, 100%, $E$9)</f>
        <v>153.81460000000001</v>
      </c>
      <c r="L1051" s="14">
        <f>CHOOSE(CONTROL!$C$42, 154.1461, 154.1461) * CHOOSE(CONTROL!$C$21, $C$9, 100%, $E$9)</f>
        <v>154.14609999999999</v>
      </c>
      <c r="M1051" s="14">
        <f>CHOOSE(CONTROL!$C$42, 150.1965, 150.1965) * CHOOSE(CONTROL!$C$21, $C$9, 100%, $E$9)</f>
        <v>150.19649999999999</v>
      </c>
      <c r="N1051" s="14">
        <f>CHOOSE(CONTROL!$C$42, 150.2135, 150.2135) * CHOOSE(CONTROL!$C$21, $C$9, 100%, $E$9)</f>
        <v>150.21350000000001</v>
      </c>
      <c r="O1051" s="14">
        <f>CHOOSE(CONTROL!$C$42, 150.4205, 150.4205) * CHOOSE(CONTROL!$C$21, $C$9, 100%, $E$9)</f>
        <v>150.4205</v>
      </c>
      <c r="P1051" s="14">
        <f>CHOOSE(CONTROL!$C$42, 150.6649, 150.6649) * CHOOSE(CONTROL!$C$21, $C$9, 100%, $E$9)</f>
        <v>150.66489999999999</v>
      </c>
      <c r="Q1051" s="14">
        <f>CHOOSE(CONTROL!$C$42, 151.0152, 151.0152) * CHOOSE(CONTROL!$C$21, $C$9, 100%, $E$9)</f>
        <v>151.01519999999999</v>
      </c>
      <c r="R1051" s="14">
        <f>CHOOSE(CONTROL!$C$42, 151.9797, 151.9797) * CHOOSE(CONTROL!$C$21, $C$9, 100%, $E$9)</f>
        <v>151.97970000000001</v>
      </c>
      <c r="S1051" s="14">
        <f>CHOOSE(CONTROL!$C$42, 147.3054, 147.3054) * CHOOSE(CONTROL!$C$21, $C$9, 100%, $E$9)</f>
        <v>147.30539999999999</v>
      </c>
      <c r="T10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51" s="57">
        <f>(1000*CHOOSE(CONTROL!$C$42, 695, 695)*CHOOSE(CONTROL!$C$42, 0.5599, 0.5599)*CHOOSE(CONTROL!$C$42, 31, 31))/1000000</f>
        <v>12.063045499999998</v>
      </c>
      <c r="V1051" s="57">
        <f>(1000*CHOOSE(CONTROL!$C$42, 500, 500)*CHOOSE(CONTROL!$C$42, 0.275, 0.275)*CHOOSE(CONTROL!$C$42, 31, 31))/1000000</f>
        <v>4.2625000000000002</v>
      </c>
      <c r="W1051" s="57">
        <f>(1000*CHOOSE(CONTROL!$C$42, 0.1146, 0.1146)*CHOOSE(CONTROL!$C$42, 121.5, 121.5)*CHOOSE(CONTROL!$C$42, 31, 31))/1000000</f>
        <v>0.43164089999999994</v>
      </c>
      <c r="X1051" s="57">
        <f>(31*0.1790888*245000/1000000)+(31*0.2374*100000/1000000)</f>
        <v>2.0961194359999999</v>
      </c>
      <c r="Y1051" s="57"/>
      <c r="Z1051" s="14"/>
      <c r="AA1051" s="56"/>
      <c r="AB1051" s="50">
        <f>(B1051*194.205+C1051*267.466+D1051*133.845+E1051*53.484+F1051*40+G1051*185+H1051*0+I1051*100+J1051*300)/(194.205+267.466+133.845+53.484+0+40+185+100+300)</f>
        <v>153.39892895086342</v>
      </c>
      <c r="AC1051" s="45">
        <f>(M1051*'RAP TEMPLATE-GAS AVAILABILITY'!O1050+N1051*'RAP TEMPLATE-GAS AVAILABILITY'!P1050+O1051*'RAP TEMPLATE-GAS AVAILABILITY'!Q1050+P1051*'RAP TEMPLATE-GAS AVAILABILITY'!R1050)/('RAP TEMPLATE-GAS AVAILABILITY'!O1050+'RAP TEMPLATE-GAS AVAILABILITY'!P1050+'RAP TEMPLATE-GAS AVAILABILITY'!Q1050+'RAP TEMPLATE-GAS AVAILABILITY'!R1050)</f>
        <v>150.36639928057554</v>
      </c>
    </row>
    <row r="1052" spans="1:29" ht="15.75" x14ac:dyDescent="0.25">
      <c r="A1052" s="32">
        <v>72928</v>
      </c>
      <c r="B1052" s="14">
        <f>CHOOSE(CONTROL!$C$42, 145.7382, 145.7382) * CHOOSE(CONTROL!$C$21, $C$9, 100%, $E$9)</f>
        <v>145.73820000000001</v>
      </c>
      <c r="C1052" s="14">
        <f>CHOOSE(CONTROL!$C$42, 145.7462, 145.7462) * CHOOSE(CONTROL!$C$21, $C$9, 100%, $E$9)</f>
        <v>145.74619999999999</v>
      </c>
      <c r="D1052" s="14">
        <f>CHOOSE(CONTROL!$C$42, 145.9668, 145.9668) * CHOOSE(CONTROL!$C$21, $C$9, 100%, $E$9)</f>
        <v>145.96680000000001</v>
      </c>
      <c r="E1052" s="14">
        <f>CHOOSE(CONTROL!$C$42, 145.9983, 145.9983) * CHOOSE(CONTROL!$C$21, $C$9, 100%, $E$9)</f>
        <v>145.9983</v>
      </c>
      <c r="F1052" s="14">
        <f>CHOOSE(CONTROL!$C$42, 145.7655, 145.7655)*CHOOSE(CONTROL!$C$21, $C$9, 100%, $E$9)</f>
        <v>145.7655</v>
      </c>
      <c r="G1052" s="14">
        <f>CHOOSE(CONTROL!$C$42, 145.783, 145.783)*CHOOSE(CONTROL!$C$21, $C$9, 100%, $E$9)</f>
        <v>145.78299999999999</v>
      </c>
      <c r="H1052" s="14">
        <f>CHOOSE(CONTROL!$C$42, 145.9869, 145.9869) * CHOOSE(CONTROL!$C$21, $C$9, 100%, $E$9)</f>
        <v>145.98689999999999</v>
      </c>
      <c r="I1052" s="14">
        <f>CHOOSE(CONTROL!$C$42, 146.2225, 146.2225)* CHOOSE(CONTROL!$C$21, $C$9, 100%, $E$9)</f>
        <v>146.2225</v>
      </c>
      <c r="J1052" s="14">
        <f>CHOOSE(CONTROL!$C$42, 145.7585, 145.7585)* CHOOSE(CONTROL!$C$21, $C$9, 100%, $E$9)</f>
        <v>145.7585</v>
      </c>
      <c r="K1052" s="53">
        <f>CHOOSE(CONTROL!$C$42, 146.2186, 146.2186) * CHOOSE(CONTROL!$C$21, $C$9, 100%, $E$9)</f>
        <v>146.21860000000001</v>
      </c>
      <c r="L1052" s="14">
        <f>CHOOSE(CONTROL!$C$42, 146.5739, 146.5739) * CHOOSE(CONTROL!$C$21, $C$9, 100%, $E$9)</f>
        <v>146.57390000000001</v>
      </c>
      <c r="M1052" s="14">
        <f>CHOOSE(CONTROL!$C$42, 142.7797, 142.7797) * CHOOSE(CONTROL!$C$21, $C$9, 100%, $E$9)</f>
        <v>142.77969999999999</v>
      </c>
      <c r="N1052" s="14">
        <f>CHOOSE(CONTROL!$C$42, 142.7968, 142.7968) * CHOOSE(CONTROL!$C$21, $C$9, 100%, $E$9)</f>
        <v>142.79679999999999</v>
      </c>
      <c r="O1052" s="14">
        <f>CHOOSE(CONTROL!$C$42, 143.0034, 143.0034) * CHOOSE(CONTROL!$C$21, $C$9, 100%, $E$9)</f>
        <v>143.0034</v>
      </c>
      <c r="P1052" s="14">
        <f>CHOOSE(CONTROL!$C$42, 143.2251, 143.2251) * CHOOSE(CONTROL!$C$21, $C$9, 100%, $E$9)</f>
        <v>143.2251</v>
      </c>
      <c r="Q1052" s="14">
        <f>CHOOSE(CONTROL!$C$42, 143.5981, 143.5981) * CHOOSE(CONTROL!$C$21, $C$9, 100%, $E$9)</f>
        <v>143.59809999999999</v>
      </c>
      <c r="R1052" s="14">
        <f>CHOOSE(CONTROL!$C$42, 144.5441, 144.5441) * CHOOSE(CONTROL!$C$21, $C$9, 100%, $E$9)</f>
        <v>144.54409999999999</v>
      </c>
      <c r="S1052" s="14">
        <f>CHOOSE(CONTROL!$C$42, 140.0292, 140.0292) * CHOOSE(CONTROL!$C$21, $C$9, 100%, $E$9)</f>
        <v>140.0292</v>
      </c>
      <c r="T10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52" s="57">
        <f>(1000*CHOOSE(CONTROL!$C$42, 695, 695)*CHOOSE(CONTROL!$C$42, 0.5599, 0.5599)*CHOOSE(CONTROL!$C$42, 31, 31))/1000000</f>
        <v>12.063045499999998</v>
      </c>
      <c r="V1052" s="57">
        <f>(1000*CHOOSE(CONTROL!$C$42, 500, 500)*CHOOSE(CONTROL!$C$42, 0.275, 0.275)*CHOOSE(CONTROL!$C$42, 31, 31))/1000000</f>
        <v>4.2625000000000002</v>
      </c>
      <c r="W1052" s="57">
        <f>(1000*CHOOSE(CONTROL!$C$42, 0.1146, 0.1146)*CHOOSE(CONTROL!$C$42, 121.5, 121.5)*CHOOSE(CONTROL!$C$42, 31, 31))/1000000</f>
        <v>0.43164089999999994</v>
      </c>
      <c r="X1052" s="57">
        <f>(31*0.1790888*245000/1000000)+(31*0.2374*100000/1000000)</f>
        <v>2.0961194359999999</v>
      </c>
      <c r="Y1052" s="57"/>
      <c r="Z1052" s="14"/>
      <c r="AA1052" s="56"/>
      <c r="AB1052" s="50">
        <f>(B1052*194.205+C1052*267.466+D1052*133.845+E1052*53.484+F1052*40+G1052*185+H1052*0+I1052*100+J1052*300)/(194.205+267.466+133.845+53.484+0+40+185+100+300)</f>
        <v>145.82497227896388</v>
      </c>
      <c r="AC1052" s="45">
        <f>(M1052*'RAP TEMPLATE-GAS AVAILABILITY'!O1051+N1052*'RAP TEMPLATE-GAS AVAILABILITY'!P1051+O1052*'RAP TEMPLATE-GAS AVAILABILITY'!Q1051+P1052*'RAP TEMPLATE-GAS AVAILABILITY'!R1051)/('RAP TEMPLATE-GAS AVAILABILITY'!O1051+'RAP TEMPLATE-GAS AVAILABILITY'!P1051+'RAP TEMPLATE-GAS AVAILABILITY'!Q1051+'RAP TEMPLATE-GAS AVAILABILITY'!R1051)</f>
        <v>142.94615971223021</v>
      </c>
    </row>
    <row r="1053" spans="1:29" ht="15.75" x14ac:dyDescent="0.25">
      <c r="A1053" s="32">
        <v>72958</v>
      </c>
      <c r="B1053" s="14">
        <f>CHOOSE(CONTROL!$C$42, 136.4861, 136.4861) * CHOOSE(CONTROL!$C$21, $C$9, 100%, $E$9)</f>
        <v>136.48609999999999</v>
      </c>
      <c r="C1053" s="14">
        <f>CHOOSE(CONTROL!$C$42, 136.4941, 136.4941) * CHOOSE(CONTROL!$C$21, $C$9, 100%, $E$9)</f>
        <v>136.4941</v>
      </c>
      <c r="D1053" s="14">
        <f>CHOOSE(CONTROL!$C$42, 136.7147, 136.7147) * CHOOSE(CONTROL!$C$21, $C$9, 100%, $E$9)</f>
        <v>136.71469999999999</v>
      </c>
      <c r="E1053" s="14">
        <f>CHOOSE(CONTROL!$C$42, 136.7462, 136.7462) * CHOOSE(CONTROL!$C$21, $C$9, 100%, $E$9)</f>
        <v>136.74619999999999</v>
      </c>
      <c r="F1053" s="14">
        <f>CHOOSE(CONTROL!$C$42, 136.5134, 136.5134)*CHOOSE(CONTROL!$C$21, $C$9, 100%, $E$9)</f>
        <v>136.51339999999999</v>
      </c>
      <c r="G1053" s="14">
        <f>CHOOSE(CONTROL!$C$42, 136.5309, 136.5309)*CHOOSE(CONTROL!$C$21, $C$9, 100%, $E$9)</f>
        <v>136.5309</v>
      </c>
      <c r="H1053" s="14">
        <f>CHOOSE(CONTROL!$C$42, 136.7348, 136.7348) * CHOOSE(CONTROL!$C$21, $C$9, 100%, $E$9)</f>
        <v>136.73480000000001</v>
      </c>
      <c r="I1053" s="14">
        <f>CHOOSE(CONTROL!$C$42, 136.9414, 136.9414)* CHOOSE(CONTROL!$C$21, $C$9, 100%, $E$9)</f>
        <v>136.94139999999999</v>
      </c>
      <c r="J1053" s="14">
        <f>CHOOSE(CONTROL!$C$42, 136.5064, 136.5064)* CHOOSE(CONTROL!$C$21, $C$9, 100%, $E$9)</f>
        <v>136.50640000000001</v>
      </c>
      <c r="K1053" s="53">
        <f>CHOOSE(CONTROL!$C$42, 136.9375, 136.9375) * CHOOSE(CONTROL!$C$21, $C$9, 100%, $E$9)</f>
        <v>136.9375</v>
      </c>
      <c r="L1053" s="14">
        <f>CHOOSE(CONTROL!$C$42, 137.3218, 137.3218) * CHOOSE(CONTROL!$C$21, $C$9, 100%, $E$9)</f>
        <v>137.3218</v>
      </c>
      <c r="M1053" s="14">
        <f>CHOOSE(CONTROL!$C$42, 133.7172, 133.7172) * CHOOSE(CONTROL!$C$21, $C$9, 100%, $E$9)</f>
        <v>133.71719999999999</v>
      </c>
      <c r="N1053" s="14">
        <f>CHOOSE(CONTROL!$C$42, 133.7343, 133.7343) * CHOOSE(CONTROL!$C$21, $C$9, 100%, $E$9)</f>
        <v>133.73429999999999</v>
      </c>
      <c r="O1053" s="14">
        <f>CHOOSE(CONTROL!$C$42, 133.9409, 133.9409) * CHOOSE(CONTROL!$C$21, $C$9, 100%, $E$9)</f>
        <v>133.9409</v>
      </c>
      <c r="P1053" s="14">
        <f>CHOOSE(CONTROL!$C$42, 134.1348, 134.1348) * CHOOSE(CONTROL!$C$21, $C$9, 100%, $E$9)</f>
        <v>134.13480000000001</v>
      </c>
      <c r="Q1053" s="14">
        <f>CHOOSE(CONTROL!$C$42, 134.5356, 134.5356) * CHOOSE(CONTROL!$C$21, $C$9, 100%, $E$9)</f>
        <v>134.53559999999999</v>
      </c>
      <c r="R1053" s="14">
        <f>CHOOSE(CONTROL!$C$42, 135.4589, 135.4589) * CHOOSE(CONTROL!$C$21, $C$9, 100%, $E$9)</f>
        <v>135.4589</v>
      </c>
      <c r="S1053" s="14">
        <f>CHOOSE(CONTROL!$C$42, 131.1389, 131.1389) * CHOOSE(CONTROL!$C$21, $C$9, 100%, $E$9)</f>
        <v>131.13890000000001</v>
      </c>
      <c r="T10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3" s="57">
        <f>(1000*CHOOSE(CONTROL!$C$42, 695, 695)*CHOOSE(CONTROL!$C$42, 0.5599, 0.5599)*CHOOSE(CONTROL!$C$42, 30, 30))/1000000</f>
        <v>11.673914999999997</v>
      </c>
      <c r="V1053" s="57">
        <f>(1000*CHOOSE(CONTROL!$C$42, 500, 500)*CHOOSE(CONTROL!$C$42, 0.275, 0.275)*CHOOSE(CONTROL!$C$42, 30, 30))/1000000</f>
        <v>4.125</v>
      </c>
      <c r="W1053" s="57">
        <f>(1000*CHOOSE(CONTROL!$C$42, 0.1146, 0.1146)*CHOOSE(CONTROL!$C$42, 121.5, 121.5)*CHOOSE(CONTROL!$C$42, 30, 30))/1000000</f>
        <v>0.417717</v>
      </c>
      <c r="X1053" s="57">
        <f>(30*0.1790888*245000/1000000)+(30*0.2374*100000/1000000)</f>
        <v>2.0285026799999999</v>
      </c>
      <c r="Y1053" s="57"/>
      <c r="Z1053" s="14"/>
      <c r="AA1053" s="56"/>
      <c r="AB1053" s="50">
        <f>(B1053*194.205+C1053*267.466+D1053*133.845+E1053*53.484+F1053*40+G1053*185+H1053*0+I1053*100+J1053*300)/(194.205+267.466+133.845+53.484+0+40+185+100+300)</f>
        <v>136.57059598383049</v>
      </c>
      <c r="AC1053" s="45">
        <f>(M1053*'RAP TEMPLATE-GAS AVAILABILITY'!O1052+N1053*'RAP TEMPLATE-GAS AVAILABILITY'!P1052+O1053*'RAP TEMPLATE-GAS AVAILABILITY'!Q1052+P1053*'RAP TEMPLATE-GAS AVAILABILITY'!R1052)/('RAP TEMPLATE-GAS AVAILABILITY'!O1052+'RAP TEMPLATE-GAS AVAILABILITY'!P1052+'RAP TEMPLATE-GAS AVAILABILITY'!Q1052+'RAP TEMPLATE-GAS AVAILABILITY'!R1052)</f>
        <v>133.87965971223019</v>
      </c>
    </row>
    <row r="1054" spans="1:29" ht="15.75" x14ac:dyDescent="0.25">
      <c r="A1054" s="32">
        <v>72989</v>
      </c>
      <c r="B1054" s="14">
        <f>CHOOSE(CONTROL!$C$42, 133.7134, 133.7134) * CHOOSE(CONTROL!$C$21, $C$9, 100%, $E$9)</f>
        <v>133.71340000000001</v>
      </c>
      <c r="C1054" s="14">
        <f>CHOOSE(CONTROL!$C$42, 133.7187, 133.7187) * CHOOSE(CONTROL!$C$21, $C$9, 100%, $E$9)</f>
        <v>133.71870000000001</v>
      </c>
      <c r="D1054" s="14">
        <f>CHOOSE(CONTROL!$C$42, 133.9442, 133.9442) * CHOOSE(CONTROL!$C$21, $C$9, 100%, $E$9)</f>
        <v>133.9442</v>
      </c>
      <c r="E1054" s="14">
        <f>CHOOSE(CONTROL!$C$42, 133.9734, 133.9734) * CHOOSE(CONTROL!$C$21, $C$9, 100%, $E$9)</f>
        <v>133.9734</v>
      </c>
      <c r="F1054" s="14">
        <f>CHOOSE(CONTROL!$C$42, 133.7427, 133.7427)*CHOOSE(CONTROL!$C$21, $C$9, 100%, $E$9)</f>
        <v>133.74270000000001</v>
      </c>
      <c r="G1054" s="14">
        <f>CHOOSE(CONTROL!$C$42, 133.76, 133.76)*CHOOSE(CONTROL!$C$21, $C$9, 100%, $E$9)</f>
        <v>133.76</v>
      </c>
      <c r="H1054" s="14">
        <f>CHOOSE(CONTROL!$C$42, 133.9638, 133.9638) * CHOOSE(CONTROL!$C$21, $C$9, 100%, $E$9)</f>
        <v>133.96379999999999</v>
      </c>
      <c r="I1054" s="14">
        <f>CHOOSE(CONTROL!$C$42, 134.1618, 134.1618)* CHOOSE(CONTROL!$C$21, $C$9, 100%, $E$9)</f>
        <v>134.1618</v>
      </c>
      <c r="J1054" s="14">
        <f>CHOOSE(CONTROL!$C$42, 133.7357, 133.7357)* CHOOSE(CONTROL!$C$21, $C$9, 100%, $E$9)</f>
        <v>133.73570000000001</v>
      </c>
      <c r="K1054" s="53">
        <f>CHOOSE(CONTROL!$C$42, 134.1579, 134.1579) * CHOOSE(CONTROL!$C$21, $C$9, 100%, $E$9)</f>
        <v>134.15790000000001</v>
      </c>
      <c r="L1054" s="14">
        <f>CHOOSE(CONTROL!$C$42, 134.5508, 134.5508) * CHOOSE(CONTROL!$C$21, $C$9, 100%, $E$9)</f>
        <v>134.55080000000001</v>
      </c>
      <c r="M1054" s="14">
        <f>CHOOSE(CONTROL!$C$42, 131.0033, 131.0033) * CHOOSE(CONTROL!$C$21, $C$9, 100%, $E$9)</f>
        <v>131.0033</v>
      </c>
      <c r="N1054" s="14">
        <f>CHOOSE(CONTROL!$C$42, 131.0201, 131.0201) * CHOOSE(CONTROL!$C$21, $C$9, 100%, $E$9)</f>
        <v>131.02010000000001</v>
      </c>
      <c r="O1054" s="14">
        <f>CHOOSE(CONTROL!$C$42, 131.2267, 131.2267) * CHOOSE(CONTROL!$C$21, $C$9, 100%, $E$9)</f>
        <v>131.22669999999999</v>
      </c>
      <c r="P1054" s="14">
        <f>CHOOSE(CONTROL!$C$42, 131.4122, 131.4122) * CHOOSE(CONTROL!$C$21, $C$9, 100%, $E$9)</f>
        <v>131.41220000000001</v>
      </c>
      <c r="Q1054" s="14">
        <f>CHOOSE(CONTROL!$C$42, 131.8214, 131.8214) * CHOOSE(CONTROL!$C$21, $C$9, 100%, $E$9)</f>
        <v>131.82140000000001</v>
      </c>
      <c r="R1054" s="14">
        <f>CHOOSE(CONTROL!$C$42, 132.7379, 132.7379) * CHOOSE(CONTROL!$C$21, $C$9, 100%, $E$9)</f>
        <v>132.7379</v>
      </c>
      <c r="S1054" s="14">
        <f>CHOOSE(CONTROL!$C$42, 128.4762, 128.4762) * CHOOSE(CONTROL!$C$21, $C$9, 100%, $E$9)</f>
        <v>128.47620000000001</v>
      </c>
      <c r="T10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54" s="57">
        <f>(1000*CHOOSE(CONTROL!$C$42, 695, 695)*CHOOSE(CONTROL!$C$42, 0.5599, 0.5599)*CHOOSE(CONTROL!$C$42, 31, 31))/1000000</f>
        <v>12.063045499999998</v>
      </c>
      <c r="V1054" s="57">
        <f>(1000*CHOOSE(CONTROL!$C$42, 500, 500)*CHOOSE(CONTROL!$C$42, 0.275, 0.275)*CHOOSE(CONTROL!$C$42, 31, 31))/1000000</f>
        <v>4.2625000000000002</v>
      </c>
      <c r="W1054" s="57">
        <f>(1000*CHOOSE(CONTROL!$C$42, 0.1146, 0.1146)*CHOOSE(CONTROL!$C$42, 121.5, 121.5)*CHOOSE(CONTROL!$C$42, 31, 31))/1000000</f>
        <v>0.43164089999999994</v>
      </c>
      <c r="X1054" s="57">
        <f>(31*0.1790888*245000/1000000)+(31*0.2374*100000/1000000)</f>
        <v>2.0961194359999999</v>
      </c>
      <c r="Y1054" s="57"/>
      <c r="Z1054" s="14"/>
      <c r="AA1054" s="56"/>
      <c r="AB1054" s="50">
        <f>(B1054*131.881+C1054*277.167+D1054*79.08+E1054*125.872+F1054*40+G1054*185+H1054*0+I1054*100+J1054*300)/(131.881+277.167+79.08+125.872+0+40+185+100+300)</f>
        <v>133.80522434955608</v>
      </c>
      <c r="AC1054" s="45">
        <f>(M1054*'RAP TEMPLATE-GAS AVAILABILITY'!O1053+N1054*'RAP TEMPLATE-GAS AVAILABILITY'!P1053+O1054*'RAP TEMPLATE-GAS AVAILABILITY'!Q1053+P1054*'RAP TEMPLATE-GAS AVAILABILITY'!R1053)/('RAP TEMPLATE-GAS AVAILABILITY'!O1053+'RAP TEMPLATE-GAS AVAILABILITY'!P1053+'RAP TEMPLATE-GAS AVAILABILITY'!Q1053+'RAP TEMPLATE-GAS AVAILABILITY'!R1053)</f>
        <v>131.16435467625897</v>
      </c>
    </row>
    <row r="1055" spans="1:29" ht="15.75" x14ac:dyDescent="0.25">
      <c r="A1055" s="32">
        <v>73019</v>
      </c>
      <c r="B1055" s="14">
        <f>CHOOSE(CONTROL!$C$42, 137.2353, 137.2353) * CHOOSE(CONTROL!$C$21, $C$9, 100%, $E$9)</f>
        <v>137.2353</v>
      </c>
      <c r="C1055" s="14">
        <f>CHOOSE(CONTROL!$C$42, 137.2404, 137.2404) * CHOOSE(CONTROL!$C$21, $C$9, 100%, $E$9)</f>
        <v>137.24039999999999</v>
      </c>
      <c r="D1055" s="14">
        <f>CHOOSE(CONTROL!$C$42, 137.3146, 137.3146) * CHOOSE(CONTROL!$C$21, $C$9, 100%, $E$9)</f>
        <v>137.31460000000001</v>
      </c>
      <c r="E1055" s="14">
        <f>CHOOSE(CONTROL!$C$42, 137.3487, 137.3487) * CHOOSE(CONTROL!$C$21, $C$9, 100%, $E$9)</f>
        <v>137.34870000000001</v>
      </c>
      <c r="F1055" s="14">
        <f>CHOOSE(CONTROL!$C$42, 137.2714, 137.2714)*CHOOSE(CONTROL!$C$21, $C$9, 100%, $E$9)</f>
        <v>137.2714</v>
      </c>
      <c r="G1055" s="14">
        <f>CHOOSE(CONTROL!$C$42, 137.2889, 137.2889)*CHOOSE(CONTROL!$C$21, $C$9, 100%, $E$9)</f>
        <v>137.28890000000001</v>
      </c>
      <c r="H1055" s="14">
        <f>CHOOSE(CONTROL!$C$42, 137.3379, 137.3379) * CHOOSE(CONTROL!$C$21, $C$9, 100%, $E$9)</f>
        <v>137.33789999999999</v>
      </c>
      <c r="I1055" s="14">
        <f>CHOOSE(CONTROL!$C$42, 137.6926, 137.6926)* CHOOSE(CONTROL!$C$21, $C$9, 100%, $E$9)</f>
        <v>137.6926</v>
      </c>
      <c r="J1055" s="14">
        <f>CHOOSE(CONTROL!$C$42, 137.2644, 137.2644)* CHOOSE(CONTROL!$C$21, $C$9, 100%, $E$9)</f>
        <v>137.26439999999999</v>
      </c>
      <c r="K1055" s="53">
        <f>CHOOSE(CONTROL!$C$42, 137.6887, 137.6887) * CHOOSE(CONTROL!$C$21, $C$9, 100%, $E$9)</f>
        <v>137.68870000000001</v>
      </c>
      <c r="L1055" s="14">
        <f>CHOOSE(CONTROL!$C$42, 137.9249, 137.9249) * CHOOSE(CONTROL!$C$21, $C$9, 100%, $E$9)</f>
        <v>137.92490000000001</v>
      </c>
      <c r="M1055" s="14">
        <f>CHOOSE(CONTROL!$C$42, 134.4596, 134.4596) * CHOOSE(CONTROL!$C$21, $C$9, 100%, $E$9)</f>
        <v>134.45959999999999</v>
      </c>
      <c r="N1055" s="14">
        <f>CHOOSE(CONTROL!$C$42, 134.4768, 134.4768) * CHOOSE(CONTROL!$C$21, $C$9, 100%, $E$9)</f>
        <v>134.4768</v>
      </c>
      <c r="O1055" s="14">
        <f>CHOOSE(CONTROL!$C$42, 134.5316, 134.5316) * CHOOSE(CONTROL!$C$21, $C$9, 100%, $E$9)</f>
        <v>134.5316</v>
      </c>
      <c r="P1055" s="14">
        <f>CHOOSE(CONTROL!$C$42, 134.8705, 134.8705) * CHOOSE(CONTROL!$C$21, $C$9, 100%, $E$9)</f>
        <v>134.87049999999999</v>
      </c>
      <c r="Q1055" s="14">
        <f>CHOOSE(CONTROL!$C$42, 135.1263, 135.1263) * CHOOSE(CONTROL!$C$21, $C$9, 100%, $E$9)</f>
        <v>135.12629999999999</v>
      </c>
      <c r="R1055" s="14">
        <f>CHOOSE(CONTROL!$C$42, 136.0512, 136.0512) * CHOOSE(CONTROL!$C$21, $C$9, 100%, $E$9)</f>
        <v>136.05119999999999</v>
      </c>
      <c r="S1055" s="14">
        <f>CHOOSE(CONTROL!$C$42, 131.8609, 131.8609) * CHOOSE(CONTROL!$C$21, $C$9, 100%, $E$9)</f>
        <v>131.86089999999999</v>
      </c>
      <c r="T10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55" s="57">
        <f>(1000*CHOOSE(CONTROL!$C$42, 695, 695)*CHOOSE(CONTROL!$C$42, 0.5599, 0.5599)*CHOOSE(CONTROL!$C$42, 30, 30))/1000000</f>
        <v>11.673914999999997</v>
      </c>
      <c r="V1055" s="57">
        <f>(1000*CHOOSE(CONTROL!$C$42, 500, 500)*CHOOSE(CONTROL!$C$42, 0.275, 0.275)*CHOOSE(CONTROL!$C$42, 30, 30))/1000000</f>
        <v>4.125</v>
      </c>
      <c r="W1055" s="57">
        <f>(1000*CHOOSE(CONTROL!$C$42, 0.1146, 0.1146)*CHOOSE(CONTROL!$C$42, 121.5, 121.5)*CHOOSE(CONTROL!$C$42, 30, 30))/1000000</f>
        <v>0.417717</v>
      </c>
      <c r="X1055" s="57">
        <f>(30*0.1790888*100000/1000000)+(30*0.2374*100000/1000000)</f>
        <v>1.2494664</v>
      </c>
      <c r="Y1055" s="57"/>
      <c r="Z1055" s="14"/>
      <c r="AA1055" s="56"/>
      <c r="AB1055" s="50">
        <f>(B1055*122.58+C1055*297.941+D1055*89.177+E1055*40.302+F1055*40+G1055*160+H1055*0+I1055*100+J1055*300)/(122.58+297.941+89.177+40.302+0+40+160+100+300)</f>
        <v>137.30281433217388</v>
      </c>
      <c r="AC1055" s="45">
        <f>(M1055*'RAP TEMPLATE-GAS AVAILABILITY'!O1054+N1055*'RAP TEMPLATE-GAS AVAILABILITY'!P1054+O1055*'RAP TEMPLATE-GAS AVAILABILITY'!Q1054+P1055*'RAP TEMPLATE-GAS AVAILABILITY'!R1054)/('RAP TEMPLATE-GAS AVAILABILITY'!O1054+'RAP TEMPLATE-GAS AVAILABILITY'!P1054+'RAP TEMPLATE-GAS AVAILABILITY'!Q1054+'RAP TEMPLATE-GAS AVAILABILITY'!R1054)</f>
        <v>134.55234532374101</v>
      </c>
    </row>
    <row r="1056" spans="1:29" ht="15.75" x14ac:dyDescent="0.25">
      <c r="A1056" s="32">
        <v>73050</v>
      </c>
      <c r="B1056" s="14">
        <f>CHOOSE(CONTROL!$C$42, 146.5913, 146.5913) * CHOOSE(CONTROL!$C$21, $C$9, 100%, $E$9)</f>
        <v>146.59129999999999</v>
      </c>
      <c r="C1056" s="14">
        <f>CHOOSE(CONTROL!$C$42, 146.5964, 146.5964) * CHOOSE(CONTROL!$C$21, $C$9, 100%, $E$9)</f>
        <v>146.59639999999999</v>
      </c>
      <c r="D1056" s="14">
        <f>CHOOSE(CONTROL!$C$42, 146.6706, 146.6706) * CHOOSE(CONTROL!$C$21, $C$9, 100%, $E$9)</f>
        <v>146.67060000000001</v>
      </c>
      <c r="E1056" s="14">
        <f>CHOOSE(CONTROL!$C$42, 146.7047, 146.7047) * CHOOSE(CONTROL!$C$21, $C$9, 100%, $E$9)</f>
        <v>146.7047</v>
      </c>
      <c r="F1056" s="14">
        <f>CHOOSE(CONTROL!$C$42, 146.6297, 146.6297)*CHOOSE(CONTROL!$C$21, $C$9, 100%, $E$9)</f>
        <v>146.62970000000001</v>
      </c>
      <c r="G1056" s="14">
        <f>CHOOSE(CONTROL!$C$42, 146.6479, 146.6479)*CHOOSE(CONTROL!$C$21, $C$9, 100%, $E$9)</f>
        <v>146.64789999999999</v>
      </c>
      <c r="H1056" s="14">
        <f>CHOOSE(CONTROL!$C$42, 146.6939, 146.6939) * CHOOSE(CONTROL!$C$21, $C$9, 100%, $E$9)</f>
        <v>146.69390000000001</v>
      </c>
      <c r="I1056" s="14">
        <f>CHOOSE(CONTROL!$C$42, 147.0779, 147.0779)* CHOOSE(CONTROL!$C$21, $C$9, 100%, $E$9)</f>
        <v>147.0779</v>
      </c>
      <c r="J1056" s="14">
        <f>CHOOSE(CONTROL!$C$42, 146.6227, 146.6227)* CHOOSE(CONTROL!$C$21, $C$9, 100%, $E$9)</f>
        <v>146.62270000000001</v>
      </c>
      <c r="K1056" s="53">
        <f>CHOOSE(CONTROL!$C$42, 147.074, 147.074) * CHOOSE(CONTROL!$C$21, $C$9, 100%, $E$9)</f>
        <v>147.07400000000001</v>
      </c>
      <c r="L1056" s="14">
        <f>CHOOSE(CONTROL!$C$42, 147.2809, 147.2809) * CHOOSE(CONTROL!$C$21, $C$9, 100%, $E$9)</f>
        <v>147.2809</v>
      </c>
      <c r="M1056" s="14">
        <f>CHOOSE(CONTROL!$C$42, 143.6262, 143.6262) * CHOOSE(CONTROL!$C$21, $C$9, 100%, $E$9)</f>
        <v>143.62620000000001</v>
      </c>
      <c r="N1056" s="14">
        <f>CHOOSE(CONTROL!$C$42, 143.644, 143.644) * CHOOSE(CONTROL!$C$21, $C$9, 100%, $E$9)</f>
        <v>143.64400000000001</v>
      </c>
      <c r="O1056" s="14">
        <f>CHOOSE(CONTROL!$C$42, 143.6959, 143.6959) * CHOOSE(CONTROL!$C$21, $C$9, 100%, $E$9)</f>
        <v>143.69589999999999</v>
      </c>
      <c r="P1056" s="14">
        <f>CHOOSE(CONTROL!$C$42, 144.0629, 144.0629) * CHOOSE(CONTROL!$C$21, $C$9, 100%, $E$9)</f>
        <v>144.06290000000001</v>
      </c>
      <c r="Q1056" s="14">
        <f>CHOOSE(CONTROL!$C$42, 144.2906, 144.2906) * CHOOSE(CONTROL!$C$21, $C$9, 100%, $E$9)</f>
        <v>144.29060000000001</v>
      </c>
      <c r="R1056" s="14">
        <f>CHOOSE(CONTROL!$C$42, 145.2384, 145.2384) * CHOOSE(CONTROL!$C$21, $C$9, 100%, $E$9)</f>
        <v>145.23840000000001</v>
      </c>
      <c r="S1056" s="14">
        <f>CHOOSE(CONTROL!$C$42, 140.8511, 140.8511) * CHOOSE(CONTROL!$C$21, $C$9, 100%, $E$9)</f>
        <v>140.8511</v>
      </c>
      <c r="T10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56" s="57">
        <f>(1000*CHOOSE(CONTROL!$C$42, 695, 695)*CHOOSE(CONTROL!$C$42, 0.5599, 0.5599)*CHOOSE(CONTROL!$C$42, 31, 31))/1000000</f>
        <v>12.063045499999998</v>
      </c>
      <c r="V1056" s="57">
        <f>(1000*CHOOSE(CONTROL!$C$42, 500, 500)*CHOOSE(CONTROL!$C$42, 0.275, 0.275)*CHOOSE(CONTROL!$C$42, 31, 31))/1000000</f>
        <v>4.2625000000000002</v>
      </c>
      <c r="W1056" s="57">
        <f>(1000*CHOOSE(CONTROL!$C$42, 0.1146, 0.1146)*CHOOSE(CONTROL!$C$42, 121.5, 121.5)*CHOOSE(CONTROL!$C$42, 31, 31))/1000000</f>
        <v>0.43164089999999994</v>
      </c>
      <c r="X1056" s="57">
        <f>(31*0.1790888*100000/1000000)+(31*0.2374*100000/1000000)</f>
        <v>1.2911152800000001</v>
      </c>
      <c r="Y1056" s="57"/>
      <c r="Z1056" s="14"/>
      <c r="AA1056" s="56"/>
      <c r="AB1056" s="50">
        <f>(B1056*122.58+C1056*297.941+D1056*89.177+E1056*40.302+F1056*40+G1056*160+H1056*0+I1056*100+J1056*300)/(122.58+297.941+89.177+40.302+0+40+160+100+300)</f>
        <v>146.6624595495652</v>
      </c>
      <c r="AC1056" s="45">
        <f>(M1056*'RAP TEMPLATE-GAS AVAILABILITY'!O1055+N1056*'RAP TEMPLATE-GAS AVAILABILITY'!P1055+O1056*'RAP TEMPLATE-GAS AVAILABILITY'!Q1055+P1056*'RAP TEMPLATE-GAS AVAILABILITY'!R1055)/('RAP TEMPLATE-GAS AVAILABILITY'!O1055+'RAP TEMPLATE-GAS AVAILABILITY'!P1055+'RAP TEMPLATE-GAS AVAILABILITY'!Q1055+'RAP TEMPLATE-GAS AVAILABILITY'!R1055)</f>
        <v>143.72164964028775</v>
      </c>
    </row>
    <row r="1057" spans="1:29" ht="15.75" x14ac:dyDescent="0.25">
      <c r="A1057" s="32">
        <v>73081</v>
      </c>
      <c r="B1057" s="14">
        <f>CHOOSE(CONTROL!$C$42, 158.7431, 158.7431) * CHOOSE(CONTROL!$C$21, $C$9, 100%, $E$9)</f>
        <v>158.7431</v>
      </c>
      <c r="C1057" s="14">
        <f>CHOOSE(CONTROL!$C$42, 158.7481, 158.7481) * CHOOSE(CONTROL!$C$21, $C$9, 100%, $E$9)</f>
        <v>158.74809999999999</v>
      </c>
      <c r="D1057" s="14">
        <f>CHOOSE(CONTROL!$C$42, 158.825, 158.825) * CHOOSE(CONTROL!$C$21, $C$9, 100%, $E$9)</f>
        <v>158.82499999999999</v>
      </c>
      <c r="E1057" s="14">
        <f>CHOOSE(CONTROL!$C$42, 158.8591, 158.8591) * CHOOSE(CONTROL!$C$21, $C$9, 100%, $E$9)</f>
        <v>158.85910000000001</v>
      </c>
      <c r="F1057" s="14">
        <f>CHOOSE(CONTROL!$C$42, 158.7678, 158.7678)*CHOOSE(CONTROL!$C$21, $C$9, 100%, $E$9)</f>
        <v>158.76779999999999</v>
      </c>
      <c r="G1057" s="14">
        <f>CHOOSE(CONTROL!$C$42, 158.7858, 158.7858)*CHOOSE(CONTROL!$C$21, $C$9, 100%, $E$9)</f>
        <v>158.78579999999999</v>
      </c>
      <c r="H1057" s="14">
        <f>CHOOSE(CONTROL!$C$42, 158.8483, 158.8483) * CHOOSE(CONTROL!$C$21, $C$9, 100%, $E$9)</f>
        <v>158.84829999999999</v>
      </c>
      <c r="I1057" s="14">
        <f>CHOOSE(CONTROL!$C$42, 159.2739, 159.2739)* CHOOSE(CONTROL!$C$21, $C$9, 100%, $E$9)</f>
        <v>159.2739</v>
      </c>
      <c r="J1057" s="14">
        <f>CHOOSE(CONTROL!$C$42, 158.7608, 158.7608)* CHOOSE(CONTROL!$C$21, $C$9, 100%, $E$9)</f>
        <v>158.76079999999999</v>
      </c>
      <c r="K1057" s="53">
        <f>CHOOSE(CONTROL!$C$42, 159.2701, 159.2701) * CHOOSE(CONTROL!$C$21, $C$9, 100%, $E$9)</f>
        <v>159.27010000000001</v>
      </c>
      <c r="L1057" s="14">
        <f>CHOOSE(CONTROL!$C$42, 159.4353, 159.4353) * CHOOSE(CONTROL!$C$21, $C$9, 100%, $E$9)</f>
        <v>159.43530000000001</v>
      </c>
      <c r="M1057" s="14">
        <f>CHOOSE(CONTROL!$C$42, 155.5156, 155.5156) * CHOOSE(CONTROL!$C$21, $C$9, 100%, $E$9)</f>
        <v>155.51560000000001</v>
      </c>
      <c r="N1057" s="14">
        <f>CHOOSE(CONTROL!$C$42, 155.5332, 155.5332) * CHOOSE(CONTROL!$C$21, $C$9, 100%, $E$9)</f>
        <v>155.53319999999999</v>
      </c>
      <c r="O1057" s="14">
        <f>CHOOSE(CONTROL!$C$42, 155.6013, 155.6013) * CHOOSE(CONTROL!$C$21, $C$9, 100%, $E$9)</f>
        <v>155.60130000000001</v>
      </c>
      <c r="P1057" s="14">
        <f>CHOOSE(CONTROL!$C$42, 156.0083, 156.0083) * CHOOSE(CONTROL!$C$21, $C$9, 100%, $E$9)</f>
        <v>156.00829999999999</v>
      </c>
      <c r="Q1057" s="14">
        <f>CHOOSE(CONTROL!$C$42, 156.196, 156.196) * CHOOSE(CONTROL!$C$21, $C$9, 100%, $E$9)</f>
        <v>156.196</v>
      </c>
      <c r="R1057" s="14">
        <f>CHOOSE(CONTROL!$C$42, 157.1734, 157.1734) * CHOOSE(CONTROL!$C$21, $C$9, 100%, $E$9)</f>
        <v>157.17339999999999</v>
      </c>
      <c r="S1057" s="14">
        <f>CHOOSE(CONTROL!$C$42, 152.5277, 152.5277) * CHOOSE(CONTROL!$C$21, $C$9, 100%, $E$9)</f>
        <v>152.52770000000001</v>
      </c>
      <c r="T10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57" s="57">
        <f>(1000*CHOOSE(CONTROL!$C$42, 695, 695)*CHOOSE(CONTROL!$C$42, 0.5599, 0.5599)*CHOOSE(CONTROL!$C$42, 31, 31))/1000000</f>
        <v>12.063045499999998</v>
      </c>
      <c r="V1057" s="57">
        <f>(1000*CHOOSE(CONTROL!$C$42, 500, 500)*CHOOSE(CONTROL!$C$42, 0.275, 0.275)*CHOOSE(CONTROL!$C$42, 31, 31))/1000000</f>
        <v>4.2625000000000002</v>
      </c>
      <c r="W1057" s="57">
        <f>(1000*CHOOSE(CONTROL!$C$42, 0.1146, 0.1146)*CHOOSE(CONTROL!$C$42, 121.5, 121.5)*CHOOSE(CONTROL!$C$42, 31, 31))/1000000</f>
        <v>0.43164089999999994</v>
      </c>
      <c r="X1057" s="57">
        <f>(31*0.1790888*100000/1000000)+(31*0.2374*100000/1000000)</f>
        <v>1.2911152800000001</v>
      </c>
      <c r="Y1057" s="57"/>
      <c r="Z1057" s="14"/>
      <c r="AA1057" s="56"/>
      <c r="AB1057" s="50">
        <f>(B1057*122.58+C1057*297.941+D1057*89.177+E1057*40.302+F1057*40+G1057*160+H1057*0+I1057*100+J1057*300)/(122.58+297.941+89.177+40.302+0+40+160+100+300)</f>
        <v>158.81238550721739</v>
      </c>
      <c r="AC1057" s="45">
        <f>(M1057*'RAP TEMPLATE-GAS AVAILABILITY'!O1056+N1057*'RAP TEMPLATE-GAS AVAILABILITY'!P1056+O1057*'RAP TEMPLATE-GAS AVAILABILITY'!Q1056+P1057*'RAP TEMPLATE-GAS AVAILABILITY'!R1056)/('RAP TEMPLATE-GAS AVAILABILITY'!O1056+'RAP TEMPLATE-GAS AVAILABILITY'!P1056+'RAP TEMPLATE-GAS AVAILABILITY'!Q1056+'RAP TEMPLATE-GAS AVAILABILITY'!R1056)</f>
        <v>155.62634748201438</v>
      </c>
    </row>
    <row r="1058" spans="1:29" ht="15.75" x14ac:dyDescent="0.25">
      <c r="A1058" s="32">
        <v>73109</v>
      </c>
      <c r="B1058" s="14">
        <f>CHOOSE(CONTROL!$C$42, 161.5688, 161.5688) * CHOOSE(CONTROL!$C$21, $C$9, 100%, $E$9)</f>
        <v>161.56880000000001</v>
      </c>
      <c r="C1058" s="14">
        <f>CHOOSE(CONTROL!$C$42, 161.5738, 161.5738) * CHOOSE(CONTROL!$C$21, $C$9, 100%, $E$9)</f>
        <v>161.57380000000001</v>
      </c>
      <c r="D1058" s="14">
        <f>CHOOSE(CONTROL!$C$42, 161.6506, 161.6506) * CHOOSE(CONTROL!$C$21, $C$9, 100%, $E$9)</f>
        <v>161.6506</v>
      </c>
      <c r="E1058" s="14">
        <f>CHOOSE(CONTROL!$C$42, 161.6847, 161.6847) * CHOOSE(CONTROL!$C$21, $C$9, 100%, $E$9)</f>
        <v>161.68469999999999</v>
      </c>
      <c r="F1058" s="14">
        <f>CHOOSE(CONTROL!$C$42, 161.5931, 161.5931)*CHOOSE(CONTROL!$C$21, $C$9, 100%, $E$9)</f>
        <v>161.59309999999999</v>
      </c>
      <c r="G1058" s="14">
        <f>CHOOSE(CONTROL!$C$42, 161.611, 161.611)*CHOOSE(CONTROL!$C$21, $C$9, 100%, $E$9)</f>
        <v>161.61099999999999</v>
      </c>
      <c r="H1058" s="14">
        <f>CHOOSE(CONTROL!$C$42, 161.6739, 161.6739) * CHOOSE(CONTROL!$C$21, $C$9, 100%, $E$9)</f>
        <v>161.6739</v>
      </c>
      <c r="I1058" s="14">
        <f>CHOOSE(CONTROL!$C$42, 162.1085, 162.1085)* CHOOSE(CONTROL!$C$21, $C$9, 100%, $E$9)</f>
        <v>162.10849999999999</v>
      </c>
      <c r="J1058" s="14">
        <f>CHOOSE(CONTROL!$C$42, 161.5861, 161.5861)* CHOOSE(CONTROL!$C$21, $C$9, 100%, $E$9)</f>
        <v>161.58609999999999</v>
      </c>
      <c r="K1058" s="53">
        <f>CHOOSE(CONTROL!$C$42, 162.1046, 162.1046) * CHOOSE(CONTROL!$C$21, $C$9, 100%, $E$9)</f>
        <v>162.1046</v>
      </c>
      <c r="L1058" s="14">
        <f>CHOOSE(CONTROL!$C$42, 162.2609, 162.2609) * CHOOSE(CONTROL!$C$21, $C$9, 100%, $E$9)</f>
        <v>162.26089999999999</v>
      </c>
      <c r="M1058" s="14">
        <f>CHOOSE(CONTROL!$C$42, 158.283, 158.283) * CHOOSE(CONTROL!$C$21, $C$9, 100%, $E$9)</f>
        <v>158.28299999999999</v>
      </c>
      <c r="N1058" s="14">
        <f>CHOOSE(CONTROL!$C$42, 158.3005, 158.3005) * CHOOSE(CONTROL!$C$21, $C$9, 100%, $E$9)</f>
        <v>158.3005</v>
      </c>
      <c r="O1058" s="14">
        <f>CHOOSE(CONTROL!$C$42, 158.3691, 158.3691) * CHOOSE(CONTROL!$C$21, $C$9, 100%, $E$9)</f>
        <v>158.3691</v>
      </c>
      <c r="P1058" s="14">
        <f>CHOOSE(CONTROL!$C$42, 158.7846, 158.7846) * CHOOSE(CONTROL!$C$21, $C$9, 100%, $E$9)</f>
        <v>158.78460000000001</v>
      </c>
      <c r="Q1058" s="14">
        <f>CHOOSE(CONTROL!$C$42, 158.9638, 158.9638) * CHOOSE(CONTROL!$C$21, $C$9, 100%, $E$9)</f>
        <v>158.96379999999999</v>
      </c>
      <c r="R1058" s="14">
        <f>CHOOSE(CONTROL!$C$42, 159.9482, 159.9482) * CHOOSE(CONTROL!$C$21, $C$9, 100%, $E$9)</f>
        <v>159.94820000000001</v>
      </c>
      <c r="S1058" s="14">
        <f>CHOOSE(CONTROL!$C$42, 155.2429, 155.2429) * CHOOSE(CONTROL!$C$21, $C$9, 100%, $E$9)</f>
        <v>155.24289999999999</v>
      </c>
      <c r="T105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058" s="57">
        <f>(1000*CHOOSE(CONTROL!$C$42, 695, 695)*CHOOSE(CONTROL!$C$42, 0.5599, 0.5599)*CHOOSE(CONTROL!$C$42, 29, 29))/1000000</f>
        <v>11.284784499999999</v>
      </c>
      <c r="V1058" s="57">
        <f>(1000*CHOOSE(CONTROL!$C$42, 500, 500)*CHOOSE(CONTROL!$C$42, 0.275, 0.275)*CHOOSE(CONTROL!$C$42, 29, 29))/1000000</f>
        <v>3.9874999999999998</v>
      </c>
      <c r="W1058" s="57">
        <f>(1000*CHOOSE(CONTROL!$C$42, 0.1146, 0.1146)*CHOOSE(CONTROL!$C$42, 121.5, 121.5)*CHOOSE(CONTROL!$C$42, 29, 29))/1000000</f>
        <v>0.40379309999999996</v>
      </c>
      <c r="X1058" s="57">
        <f>(28*0.1790888*100000/1000000)+(28*0.2374*100000/1000000)</f>
        <v>1.16616864</v>
      </c>
      <c r="Y1058" s="57"/>
      <c r="Z1058" s="14"/>
      <c r="AA1058" s="56"/>
      <c r="AB1058" s="50">
        <f>(B1058*122.58+C1058*297.941+D1058*89.177+E1058*40.302+F1058*40+G1058*160+H1058*0+I1058*100+J1058*300)/(122.58+297.941+89.177+40.302+0+40+160+100+300)</f>
        <v>161.6386603351304</v>
      </c>
      <c r="AC1058" s="45">
        <f>(M1058*'RAP TEMPLATE-GAS AVAILABILITY'!O1057+N1058*'RAP TEMPLATE-GAS AVAILABILITY'!P1057+O1058*'RAP TEMPLATE-GAS AVAILABILITY'!Q1057+P1058*'RAP TEMPLATE-GAS AVAILABILITY'!R1057)/('RAP TEMPLATE-GAS AVAILABILITY'!O1057+'RAP TEMPLATE-GAS AVAILABILITY'!P1057+'RAP TEMPLATE-GAS AVAILABILITY'!Q1057+'RAP TEMPLATE-GAS AVAILABILITY'!R1057)</f>
        <v>158.3952035971223</v>
      </c>
    </row>
    <row r="1059" spans="1:29" ht="15.75" x14ac:dyDescent="0.25">
      <c r="A1059" s="32">
        <v>73140</v>
      </c>
      <c r="B1059" s="14">
        <f>CHOOSE(CONTROL!$C$42, 156.982, 156.982) * CHOOSE(CONTROL!$C$21, $C$9, 100%, $E$9)</f>
        <v>156.982</v>
      </c>
      <c r="C1059" s="14">
        <f>CHOOSE(CONTROL!$C$42, 156.987, 156.987) * CHOOSE(CONTROL!$C$21, $C$9, 100%, $E$9)</f>
        <v>156.98699999999999</v>
      </c>
      <c r="D1059" s="14">
        <f>CHOOSE(CONTROL!$C$42, 157.0639, 157.0639) * CHOOSE(CONTROL!$C$21, $C$9, 100%, $E$9)</f>
        <v>157.06389999999999</v>
      </c>
      <c r="E1059" s="14">
        <f>CHOOSE(CONTROL!$C$42, 157.098, 157.098) * CHOOSE(CONTROL!$C$21, $C$9, 100%, $E$9)</f>
        <v>157.09800000000001</v>
      </c>
      <c r="F1059" s="14">
        <f>CHOOSE(CONTROL!$C$42, 157.0054, 157.0054)*CHOOSE(CONTROL!$C$21, $C$9, 100%, $E$9)</f>
        <v>157.00540000000001</v>
      </c>
      <c r="G1059" s="14">
        <f>CHOOSE(CONTROL!$C$42, 157.0231, 157.0231)*CHOOSE(CONTROL!$C$21, $C$9, 100%, $E$9)</f>
        <v>157.0231</v>
      </c>
      <c r="H1059" s="14">
        <f>CHOOSE(CONTROL!$C$42, 157.0872, 157.0872) * CHOOSE(CONTROL!$C$21, $C$9, 100%, $E$9)</f>
        <v>157.0872</v>
      </c>
      <c r="I1059" s="14">
        <f>CHOOSE(CONTROL!$C$42, 157.5073, 157.5073)* CHOOSE(CONTROL!$C$21, $C$9, 100%, $E$9)</f>
        <v>157.50729999999999</v>
      </c>
      <c r="J1059" s="14">
        <f>CHOOSE(CONTROL!$C$42, 156.9984, 156.9984)* CHOOSE(CONTROL!$C$21, $C$9, 100%, $E$9)</f>
        <v>156.9984</v>
      </c>
      <c r="K1059" s="53">
        <f>CHOOSE(CONTROL!$C$42, 157.5035, 157.5035) * CHOOSE(CONTROL!$C$21, $C$9, 100%, $E$9)</f>
        <v>157.5035</v>
      </c>
      <c r="L1059" s="14">
        <f>CHOOSE(CONTROL!$C$42, 157.6742, 157.6742) * CHOOSE(CONTROL!$C$21, $C$9, 100%, $E$9)</f>
        <v>157.67420000000001</v>
      </c>
      <c r="M1059" s="14">
        <f>CHOOSE(CONTROL!$C$42, 153.7893, 153.7893) * CHOOSE(CONTROL!$C$21, $C$9, 100%, $E$9)</f>
        <v>153.7893</v>
      </c>
      <c r="N1059" s="14">
        <f>CHOOSE(CONTROL!$C$42, 153.8066, 153.8066) * CHOOSE(CONTROL!$C$21, $C$9, 100%, $E$9)</f>
        <v>153.8066</v>
      </c>
      <c r="O1059" s="14">
        <f>CHOOSE(CONTROL!$C$42, 153.8762, 153.8762) * CHOOSE(CONTROL!$C$21, $C$9, 100%, $E$9)</f>
        <v>153.87620000000001</v>
      </c>
      <c r="P1059" s="14">
        <f>CHOOSE(CONTROL!$C$42, 154.278, 154.278) * CHOOSE(CONTROL!$C$21, $C$9, 100%, $E$9)</f>
        <v>154.27799999999999</v>
      </c>
      <c r="Q1059" s="14">
        <f>CHOOSE(CONTROL!$C$42, 154.4709, 154.4709) * CHOOSE(CONTROL!$C$21, $C$9, 100%, $E$9)</f>
        <v>154.4709</v>
      </c>
      <c r="R1059" s="14">
        <f>CHOOSE(CONTROL!$C$42, 155.4441, 155.4441) * CHOOSE(CONTROL!$C$21, $C$9, 100%, $E$9)</f>
        <v>155.44409999999999</v>
      </c>
      <c r="S1059" s="14">
        <f>CHOOSE(CONTROL!$C$42, 150.8354, 150.8354) * CHOOSE(CONTROL!$C$21, $C$9, 100%, $E$9)</f>
        <v>150.83539999999999</v>
      </c>
      <c r="T10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59" s="57">
        <f>(1000*CHOOSE(CONTROL!$C$42, 695, 695)*CHOOSE(CONTROL!$C$42, 0.5599, 0.5599)*CHOOSE(CONTROL!$C$42, 31, 31))/1000000</f>
        <v>12.063045499999998</v>
      </c>
      <c r="V1059" s="57">
        <f>(1000*CHOOSE(CONTROL!$C$42, 500, 500)*CHOOSE(CONTROL!$C$42, 0.275, 0.275)*CHOOSE(CONTROL!$C$42, 31, 31))/1000000</f>
        <v>4.2625000000000002</v>
      </c>
      <c r="W1059" s="57">
        <f>(1000*CHOOSE(CONTROL!$C$42, 0.1146, 0.1146)*CHOOSE(CONTROL!$C$42, 121.5, 121.5)*CHOOSE(CONTROL!$C$42, 31, 31))/1000000</f>
        <v>0.43164089999999994</v>
      </c>
      <c r="X1059" s="57">
        <f>(31*0.1790888*100000/1000000)+(31*0.2374*100000/1000000)</f>
        <v>1.2911152800000001</v>
      </c>
      <c r="Y1059" s="57"/>
      <c r="Z1059" s="14"/>
      <c r="AA1059" s="56"/>
      <c r="AB1059" s="50">
        <f>(B1059*122.58+C1059*297.941+D1059*89.177+E1059*40.302+F1059*40+G1059*160+H1059*0+I1059*100+J1059*300)/(122.58+297.941+89.177+40.302+0+40+160+100+300)</f>
        <v>157.05020028982611</v>
      </c>
      <c r="AC1059" s="45">
        <f>(M1059*'RAP TEMPLATE-GAS AVAILABILITY'!O1058+N1059*'RAP TEMPLATE-GAS AVAILABILITY'!P1058+O1059*'RAP TEMPLATE-GAS AVAILABILITY'!Q1058+P1059*'RAP TEMPLATE-GAS AVAILABILITY'!R1058)/('RAP TEMPLATE-GAS AVAILABILITY'!O1058+'RAP TEMPLATE-GAS AVAILABILITY'!P1058+'RAP TEMPLATE-GAS AVAILABILITY'!Q1058+'RAP TEMPLATE-GAS AVAILABILITY'!R1058)</f>
        <v>153.89999856115111</v>
      </c>
    </row>
    <row r="1060" spans="1:29" ht="15.75" x14ac:dyDescent="0.25">
      <c r="A1060" s="32">
        <v>73170</v>
      </c>
      <c r="B1060" s="14">
        <f>CHOOSE(CONTROL!$C$42, 156.513, 156.513) * CHOOSE(CONTROL!$C$21, $C$9, 100%, $E$9)</f>
        <v>156.51300000000001</v>
      </c>
      <c r="C1060" s="14">
        <f>CHOOSE(CONTROL!$C$42, 156.5175, 156.5175) * CHOOSE(CONTROL!$C$21, $C$9, 100%, $E$9)</f>
        <v>156.51750000000001</v>
      </c>
      <c r="D1060" s="14">
        <f>CHOOSE(CONTROL!$C$42, 156.7412, 156.7412) * CHOOSE(CONTROL!$C$21, $C$9, 100%, $E$9)</f>
        <v>156.74119999999999</v>
      </c>
      <c r="E1060" s="14">
        <f>CHOOSE(CONTROL!$C$42, 156.7733, 156.7733) * CHOOSE(CONTROL!$C$21, $C$9, 100%, $E$9)</f>
        <v>156.77330000000001</v>
      </c>
      <c r="F1060" s="14">
        <f>CHOOSE(CONTROL!$C$42, 156.5407, 156.5407)*CHOOSE(CONTROL!$C$21, $C$9, 100%, $E$9)</f>
        <v>156.54069999999999</v>
      </c>
      <c r="G1060" s="14">
        <f>CHOOSE(CONTROL!$C$42, 156.5576, 156.5576)*CHOOSE(CONTROL!$C$21, $C$9, 100%, $E$9)</f>
        <v>156.55760000000001</v>
      </c>
      <c r="H1060" s="14">
        <f>CHOOSE(CONTROL!$C$42, 156.7631, 156.7631) * CHOOSE(CONTROL!$C$21, $C$9, 100%, $E$9)</f>
        <v>156.76310000000001</v>
      </c>
      <c r="I1060" s="14">
        <f>CHOOSE(CONTROL!$C$42, 157.0324, 157.0324)* CHOOSE(CONTROL!$C$21, $C$9, 100%, $E$9)</f>
        <v>157.0324</v>
      </c>
      <c r="J1060" s="14">
        <f>CHOOSE(CONTROL!$C$42, 156.5337, 156.5337)* CHOOSE(CONTROL!$C$21, $C$9, 100%, $E$9)</f>
        <v>156.53370000000001</v>
      </c>
      <c r="K1060" s="53">
        <f>CHOOSE(CONTROL!$C$42, 157.0285, 157.0285) * CHOOSE(CONTROL!$C$21, $C$9, 100%, $E$9)</f>
        <v>157.02850000000001</v>
      </c>
      <c r="L1060" s="14">
        <f>CHOOSE(CONTROL!$C$42, 157.3501, 157.3501) * CHOOSE(CONTROL!$C$21, $C$9, 100%, $E$9)</f>
        <v>157.3501</v>
      </c>
      <c r="M1060" s="14">
        <f>CHOOSE(CONTROL!$C$42, 153.3341, 153.3341) * CHOOSE(CONTROL!$C$21, $C$9, 100%, $E$9)</f>
        <v>153.33410000000001</v>
      </c>
      <c r="N1060" s="14">
        <f>CHOOSE(CONTROL!$C$42, 153.3506, 153.3506) * CHOOSE(CONTROL!$C$21, $C$9, 100%, $E$9)</f>
        <v>153.35059999999999</v>
      </c>
      <c r="O1060" s="14">
        <f>CHOOSE(CONTROL!$C$42, 153.5588, 153.5588) * CHOOSE(CONTROL!$C$21, $C$9, 100%, $E$9)</f>
        <v>153.55879999999999</v>
      </c>
      <c r="P1060" s="14">
        <f>CHOOSE(CONTROL!$C$42, 153.8129, 153.8129) * CHOOSE(CONTROL!$C$21, $C$9, 100%, $E$9)</f>
        <v>153.81290000000001</v>
      </c>
      <c r="Q1060" s="14">
        <f>CHOOSE(CONTROL!$C$42, 154.1535, 154.1535) * CHOOSE(CONTROL!$C$21, $C$9, 100%, $E$9)</f>
        <v>154.15350000000001</v>
      </c>
      <c r="R1060" s="14">
        <f>CHOOSE(CONTROL!$C$42, 155.1259, 155.1259) * CHOOSE(CONTROL!$C$21, $C$9, 100%, $E$9)</f>
        <v>155.1259</v>
      </c>
      <c r="S1060" s="14">
        <f>CHOOSE(CONTROL!$C$42, 150.384, 150.384) * CHOOSE(CONTROL!$C$21, $C$9, 100%, $E$9)</f>
        <v>150.38399999999999</v>
      </c>
      <c r="T10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60" s="57">
        <f>(1000*CHOOSE(CONTROL!$C$42, 695, 695)*CHOOSE(CONTROL!$C$42, 0.5599, 0.5599)*CHOOSE(CONTROL!$C$42, 30, 30))/1000000</f>
        <v>11.673914999999997</v>
      </c>
      <c r="V1060" s="57">
        <f>(1000*CHOOSE(CONTROL!$C$42, 500, 500)*CHOOSE(CONTROL!$C$42, 0.275, 0.275)*CHOOSE(CONTROL!$C$42, 30, 30))/1000000</f>
        <v>4.125</v>
      </c>
      <c r="W1060" s="57">
        <f>(1000*CHOOSE(CONTROL!$C$42, 0.1146, 0.1146)*CHOOSE(CONTROL!$C$42, 121.5, 121.5)*CHOOSE(CONTROL!$C$42, 30, 30))/1000000</f>
        <v>0.417717</v>
      </c>
      <c r="X1060" s="57">
        <f>(30*0.1790888*245000/1000000)+(30*0.2374*100000/1000000)</f>
        <v>2.0285026799999999</v>
      </c>
      <c r="Y1060" s="57"/>
      <c r="Z1060" s="14"/>
      <c r="AA1060" s="56"/>
      <c r="AB1060" s="50">
        <f>(B1060*141.293+C1060*267.993+D1060*115.016+E1060*89.698+F1060*40+G1060*185+H1060*0+I1060*100+J1060*300)/(141.293+267.993+115.016+89.698+0+40+185+100+300)</f>
        <v>156.60848830435833</v>
      </c>
      <c r="AC1060" s="45">
        <f>(M1060*'RAP TEMPLATE-GAS AVAILABILITY'!O1059+N1060*'RAP TEMPLATE-GAS AVAILABILITY'!P1059+O1060*'RAP TEMPLATE-GAS AVAILABILITY'!Q1059+P1060*'RAP TEMPLATE-GAS AVAILABILITY'!R1059)/('RAP TEMPLATE-GAS AVAILABILITY'!O1059+'RAP TEMPLATE-GAS AVAILABILITY'!P1059+'RAP TEMPLATE-GAS AVAILABILITY'!Q1059+'RAP TEMPLATE-GAS AVAILABILITY'!R1059)</f>
        <v>153.50578417266186</v>
      </c>
    </row>
    <row r="1061" spans="1:29" ht="15.75" x14ac:dyDescent="0.25">
      <c r="A1061" s="32">
        <v>73201</v>
      </c>
      <c r="B1061" s="14">
        <f>CHOOSE(CONTROL!$C$42, 157.8957, 157.8957) * CHOOSE(CONTROL!$C$21, $C$9, 100%, $E$9)</f>
        <v>157.89570000000001</v>
      </c>
      <c r="C1061" s="14">
        <f>CHOOSE(CONTROL!$C$42, 157.9037, 157.9037) * CHOOSE(CONTROL!$C$21, $C$9, 100%, $E$9)</f>
        <v>157.90369999999999</v>
      </c>
      <c r="D1061" s="14">
        <f>CHOOSE(CONTROL!$C$42, 158.1243, 158.1243) * CHOOSE(CONTROL!$C$21, $C$9, 100%, $E$9)</f>
        <v>158.12430000000001</v>
      </c>
      <c r="E1061" s="14">
        <f>CHOOSE(CONTROL!$C$42, 158.1558, 158.1558) * CHOOSE(CONTROL!$C$21, $C$9, 100%, $E$9)</f>
        <v>158.1558</v>
      </c>
      <c r="F1061" s="14">
        <f>CHOOSE(CONTROL!$C$42, 157.9219, 157.9219)*CHOOSE(CONTROL!$C$21, $C$9, 100%, $E$9)</f>
        <v>157.92189999999999</v>
      </c>
      <c r="G1061" s="14">
        <f>CHOOSE(CONTROL!$C$42, 157.9391, 157.9391)*CHOOSE(CONTROL!$C$21, $C$9, 100%, $E$9)</f>
        <v>157.9391</v>
      </c>
      <c r="H1061" s="14">
        <f>CHOOSE(CONTROL!$C$42, 158.1444, 158.1444) * CHOOSE(CONTROL!$C$21, $C$9, 100%, $E$9)</f>
        <v>158.14439999999999</v>
      </c>
      <c r="I1061" s="14">
        <f>CHOOSE(CONTROL!$C$42, 158.4181, 158.4181)* CHOOSE(CONTROL!$C$21, $C$9, 100%, $E$9)</f>
        <v>158.41810000000001</v>
      </c>
      <c r="J1061" s="14">
        <f>CHOOSE(CONTROL!$C$42, 157.9149, 157.9149)* CHOOSE(CONTROL!$C$21, $C$9, 100%, $E$9)</f>
        <v>157.91489999999999</v>
      </c>
      <c r="K1061" s="53">
        <f>CHOOSE(CONTROL!$C$42, 158.4142, 158.4142) * CHOOSE(CONTROL!$C$21, $C$9, 100%, $E$9)</f>
        <v>158.41419999999999</v>
      </c>
      <c r="L1061" s="14">
        <f>CHOOSE(CONTROL!$C$42, 158.7314, 158.7314) * CHOOSE(CONTROL!$C$21, $C$9, 100%, $E$9)</f>
        <v>158.73140000000001</v>
      </c>
      <c r="M1061" s="14">
        <f>CHOOSE(CONTROL!$C$42, 154.6871, 154.6871) * CHOOSE(CONTROL!$C$21, $C$9, 100%, $E$9)</f>
        <v>154.68709999999999</v>
      </c>
      <c r="N1061" s="14">
        <f>CHOOSE(CONTROL!$C$42, 154.7038, 154.7038) * CHOOSE(CONTROL!$C$21, $C$9, 100%, $E$9)</f>
        <v>154.7038</v>
      </c>
      <c r="O1061" s="14">
        <f>CHOOSE(CONTROL!$C$42, 154.9118, 154.9118) * CHOOSE(CONTROL!$C$21, $C$9, 100%, $E$9)</f>
        <v>154.9118</v>
      </c>
      <c r="P1061" s="14">
        <f>CHOOSE(CONTROL!$C$42, 155.17, 155.17) * CHOOSE(CONTROL!$C$21, $C$9, 100%, $E$9)</f>
        <v>155.16999999999999</v>
      </c>
      <c r="Q1061" s="14">
        <f>CHOOSE(CONTROL!$C$42, 155.5065, 155.5065) * CHOOSE(CONTROL!$C$21, $C$9, 100%, $E$9)</f>
        <v>155.50649999999999</v>
      </c>
      <c r="R1061" s="14">
        <f>CHOOSE(CONTROL!$C$42, 156.4823, 156.4823) * CHOOSE(CONTROL!$C$21, $C$9, 100%, $E$9)</f>
        <v>156.48230000000001</v>
      </c>
      <c r="S1061" s="14">
        <f>CHOOSE(CONTROL!$C$42, 151.7113, 151.7113) * CHOOSE(CONTROL!$C$21, $C$9, 100%, $E$9)</f>
        <v>151.71129999999999</v>
      </c>
      <c r="T10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61" s="57">
        <f>(1000*CHOOSE(CONTROL!$C$42, 695, 695)*CHOOSE(CONTROL!$C$42, 0.5599, 0.5599)*CHOOSE(CONTROL!$C$42, 31, 31))/1000000</f>
        <v>12.063045499999998</v>
      </c>
      <c r="V1061" s="57">
        <f>(1000*CHOOSE(CONTROL!$C$42, 500, 500)*CHOOSE(CONTROL!$C$42, 0.275, 0.275)*CHOOSE(CONTROL!$C$42, 31, 31))/1000000</f>
        <v>4.2625000000000002</v>
      </c>
      <c r="W1061" s="57">
        <f>(1000*CHOOSE(CONTROL!$C$42, 0.1146, 0.1146)*CHOOSE(CONTROL!$C$42, 121.5, 121.5)*CHOOSE(CONTROL!$C$42, 31, 31))/1000000</f>
        <v>0.43164089999999994</v>
      </c>
      <c r="X1061" s="57">
        <f>(31*0.1790888*245000/1000000)+(31*0.2374*100000/1000000)</f>
        <v>2.0961194359999999</v>
      </c>
      <c r="Y1061" s="57"/>
      <c r="Z1061" s="14"/>
      <c r="AA1061" s="56"/>
      <c r="AB1061" s="50">
        <f>(B1061*194.205+C1061*267.466+D1061*133.845+E1061*53.484+F1061*40+G1061*185+H1061*0+I1061*100+J1061*300)/(194.205+267.466+133.845+53.484+0+40+185+100+300)</f>
        <v>157.98496599952904</v>
      </c>
      <c r="AC1061" s="45">
        <f>(M1061*'RAP TEMPLATE-GAS AVAILABILITY'!O1060+N1061*'RAP TEMPLATE-GAS AVAILABILITY'!P1060+O1061*'RAP TEMPLATE-GAS AVAILABILITY'!Q1060+P1061*'RAP TEMPLATE-GAS AVAILABILITY'!R1060)/('RAP TEMPLATE-GAS AVAILABILITY'!O1060+'RAP TEMPLATE-GAS AVAILABILITY'!P1060+'RAP TEMPLATE-GAS AVAILABILITY'!Q1060+'RAP TEMPLATE-GAS AVAILABILITY'!R1060)</f>
        <v>154.85938561151076</v>
      </c>
    </row>
    <row r="1062" spans="1:29" ht="15.75" x14ac:dyDescent="0.25">
      <c r="A1062" s="32">
        <v>73231</v>
      </c>
      <c r="B1062" s="14">
        <f>CHOOSE(CONTROL!$C$42, 162.3743, 162.3743) * CHOOSE(CONTROL!$C$21, $C$9, 100%, $E$9)</f>
        <v>162.37430000000001</v>
      </c>
      <c r="C1062" s="14">
        <f>CHOOSE(CONTROL!$C$42, 162.3823, 162.3823) * CHOOSE(CONTROL!$C$21, $C$9, 100%, $E$9)</f>
        <v>162.38229999999999</v>
      </c>
      <c r="D1062" s="14">
        <f>CHOOSE(CONTROL!$C$42, 162.6029, 162.6029) * CHOOSE(CONTROL!$C$21, $C$9, 100%, $E$9)</f>
        <v>162.60290000000001</v>
      </c>
      <c r="E1062" s="14">
        <f>CHOOSE(CONTROL!$C$42, 162.6344, 162.6344) * CHOOSE(CONTROL!$C$21, $C$9, 100%, $E$9)</f>
        <v>162.6344</v>
      </c>
      <c r="F1062" s="14">
        <f>CHOOSE(CONTROL!$C$42, 162.4009, 162.4009)*CHOOSE(CONTROL!$C$21, $C$9, 100%, $E$9)</f>
        <v>162.40090000000001</v>
      </c>
      <c r="G1062" s="14">
        <f>CHOOSE(CONTROL!$C$42, 162.4181, 162.4181)*CHOOSE(CONTROL!$C$21, $C$9, 100%, $E$9)</f>
        <v>162.41810000000001</v>
      </c>
      <c r="H1062" s="14">
        <f>CHOOSE(CONTROL!$C$42, 162.623, 162.623) * CHOOSE(CONTROL!$C$21, $C$9, 100%, $E$9)</f>
        <v>162.62299999999999</v>
      </c>
      <c r="I1062" s="14">
        <f>CHOOSE(CONTROL!$C$42, 162.9107, 162.9107)* CHOOSE(CONTROL!$C$21, $C$9, 100%, $E$9)</f>
        <v>162.91069999999999</v>
      </c>
      <c r="J1062" s="14">
        <f>CHOOSE(CONTROL!$C$42, 162.3939, 162.3939)* CHOOSE(CONTROL!$C$21, $C$9, 100%, $E$9)</f>
        <v>162.3939</v>
      </c>
      <c r="K1062" s="53">
        <f>CHOOSE(CONTROL!$C$42, 162.9068, 162.9068) * CHOOSE(CONTROL!$C$21, $C$9, 100%, $E$9)</f>
        <v>162.9068</v>
      </c>
      <c r="L1062" s="14">
        <f>CHOOSE(CONTROL!$C$42, 163.21, 163.21) * CHOOSE(CONTROL!$C$21, $C$9, 100%, $E$9)</f>
        <v>163.21</v>
      </c>
      <c r="M1062" s="14">
        <f>CHOOSE(CONTROL!$C$42, 159.0743, 159.0743) * CHOOSE(CONTROL!$C$21, $C$9, 100%, $E$9)</f>
        <v>159.07429999999999</v>
      </c>
      <c r="N1062" s="14">
        <f>CHOOSE(CONTROL!$C$42, 159.0911, 159.0911) * CHOOSE(CONTROL!$C$21, $C$9, 100%, $E$9)</f>
        <v>159.09110000000001</v>
      </c>
      <c r="O1062" s="14">
        <f>CHOOSE(CONTROL!$C$42, 159.2987, 159.2987) * CHOOSE(CONTROL!$C$21, $C$9, 100%, $E$9)</f>
        <v>159.2987</v>
      </c>
      <c r="P1062" s="14">
        <f>CHOOSE(CONTROL!$C$42, 159.5703, 159.5703) * CHOOSE(CONTROL!$C$21, $C$9, 100%, $E$9)</f>
        <v>159.5703</v>
      </c>
      <c r="Q1062" s="14">
        <f>CHOOSE(CONTROL!$C$42, 159.8934, 159.8934) * CHOOSE(CONTROL!$C$21, $C$9, 100%, $E$9)</f>
        <v>159.89340000000001</v>
      </c>
      <c r="R1062" s="14">
        <f>CHOOSE(CONTROL!$C$42, 160.8801, 160.8801) * CHOOSE(CONTROL!$C$21, $C$9, 100%, $E$9)</f>
        <v>160.8801</v>
      </c>
      <c r="S1062" s="14">
        <f>CHOOSE(CONTROL!$C$42, 156.0148, 156.0148) * CHOOSE(CONTROL!$C$21, $C$9, 100%, $E$9)</f>
        <v>156.01480000000001</v>
      </c>
      <c r="T10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62" s="57">
        <f>(1000*CHOOSE(CONTROL!$C$42, 695, 695)*CHOOSE(CONTROL!$C$42, 0.5599, 0.5599)*CHOOSE(CONTROL!$C$42, 30, 30))/1000000</f>
        <v>11.673914999999997</v>
      </c>
      <c r="V1062" s="57">
        <f>(1000*CHOOSE(CONTROL!$C$42, 500, 500)*CHOOSE(CONTROL!$C$42, 0.275, 0.275)*CHOOSE(CONTROL!$C$42, 30, 30))/1000000</f>
        <v>4.125</v>
      </c>
      <c r="W1062" s="57">
        <f>(1000*CHOOSE(CONTROL!$C$42, 0.1146, 0.1146)*CHOOSE(CONTROL!$C$42, 121.5, 121.5)*CHOOSE(CONTROL!$C$42, 30, 30))/1000000</f>
        <v>0.417717</v>
      </c>
      <c r="X1062" s="57">
        <f>(30*0.1790888*245000/1000000)+(30*0.2374*100000/1000000)</f>
        <v>2.0285026799999999</v>
      </c>
      <c r="Y1062" s="57"/>
      <c r="Z1062" s="14"/>
      <c r="AA1062" s="56"/>
      <c r="AB1062" s="50">
        <f>(B1062*194.205+C1062*267.466+D1062*133.845+E1062*53.484+F1062*40+G1062*185+H1062*0+I1062*100+J1062*300)/(194.205+267.466+133.845+53.484+0+40+185+100+300)</f>
        <v>162.46482973579279</v>
      </c>
      <c r="AC1062" s="45">
        <f>(M1062*'RAP TEMPLATE-GAS AVAILABILITY'!O1061+N1062*'RAP TEMPLATE-GAS AVAILABILITY'!P1061+O1062*'RAP TEMPLATE-GAS AVAILABILITY'!Q1061+P1062*'RAP TEMPLATE-GAS AVAILABILITY'!R1061)/('RAP TEMPLATE-GAS AVAILABILITY'!O1061+'RAP TEMPLATE-GAS AVAILABILITY'!P1061+'RAP TEMPLATE-GAS AVAILABILITY'!Q1061+'RAP TEMPLATE-GAS AVAILABILITY'!R1061)</f>
        <v>159.24834028776976</v>
      </c>
    </row>
    <row r="1063" spans="1:29" ht="15.75" x14ac:dyDescent="0.25">
      <c r="A1063" s="32">
        <v>73262</v>
      </c>
      <c r="B1063" s="14">
        <f>CHOOSE(CONTROL!$C$42, 159.2594, 159.2594) * CHOOSE(CONTROL!$C$21, $C$9, 100%, $E$9)</f>
        <v>159.2594</v>
      </c>
      <c r="C1063" s="14">
        <f>CHOOSE(CONTROL!$C$42, 159.2674, 159.2674) * CHOOSE(CONTROL!$C$21, $C$9, 100%, $E$9)</f>
        <v>159.26740000000001</v>
      </c>
      <c r="D1063" s="14">
        <f>CHOOSE(CONTROL!$C$42, 159.488, 159.488) * CHOOSE(CONTROL!$C$21, $C$9, 100%, $E$9)</f>
        <v>159.488</v>
      </c>
      <c r="E1063" s="14">
        <f>CHOOSE(CONTROL!$C$42, 159.5195, 159.5195) * CHOOSE(CONTROL!$C$21, $C$9, 100%, $E$9)</f>
        <v>159.51949999999999</v>
      </c>
      <c r="F1063" s="14">
        <f>CHOOSE(CONTROL!$C$42, 159.2865, 159.2865)*CHOOSE(CONTROL!$C$21, $C$9, 100%, $E$9)</f>
        <v>159.28649999999999</v>
      </c>
      <c r="G1063" s="14">
        <f>CHOOSE(CONTROL!$C$42, 159.3038, 159.3038)*CHOOSE(CONTROL!$C$21, $C$9, 100%, $E$9)</f>
        <v>159.3038</v>
      </c>
      <c r="H1063" s="14">
        <f>CHOOSE(CONTROL!$C$42, 159.5081, 159.5081) * CHOOSE(CONTROL!$C$21, $C$9, 100%, $E$9)</f>
        <v>159.50810000000001</v>
      </c>
      <c r="I1063" s="14">
        <f>CHOOSE(CONTROL!$C$42, 159.7861, 159.7861)* CHOOSE(CONTROL!$C$21, $C$9, 100%, $E$9)</f>
        <v>159.7861</v>
      </c>
      <c r="J1063" s="14">
        <f>CHOOSE(CONTROL!$C$42, 159.2795, 159.2795)* CHOOSE(CONTROL!$C$21, $C$9, 100%, $E$9)</f>
        <v>159.27950000000001</v>
      </c>
      <c r="K1063" s="53">
        <f>CHOOSE(CONTROL!$C$42, 159.7822, 159.7822) * CHOOSE(CONTROL!$C$21, $C$9, 100%, $E$9)</f>
        <v>159.78219999999999</v>
      </c>
      <c r="L1063" s="14">
        <f>CHOOSE(CONTROL!$C$42, 160.0951, 160.0951) * CHOOSE(CONTROL!$C$21, $C$9, 100%, $E$9)</f>
        <v>160.0951</v>
      </c>
      <c r="M1063" s="14">
        <f>CHOOSE(CONTROL!$C$42, 156.0236, 156.0236) * CHOOSE(CONTROL!$C$21, $C$9, 100%, $E$9)</f>
        <v>156.02359999999999</v>
      </c>
      <c r="N1063" s="14">
        <f>CHOOSE(CONTROL!$C$42, 156.0406, 156.0406) * CHOOSE(CONTROL!$C$21, $C$9, 100%, $E$9)</f>
        <v>156.04060000000001</v>
      </c>
      <c r="O1063" s="14">
        <f>CHOOSE(CONTROL!$C$42, 156.2476, 156.2476) * CHOOSE(CONTROL!$C$21, $C$9, 100%, $E$9)</f>
        <v>156.24760000000001</v>
      </c>
      <c r="P1063" s="14">
        <f>CHOOSE(CONTROL!$C$42, 156.5099, 156.5099) * CHOOSE(CONTROL!$C$21, $C$9, 100%, $E$9)</f>
        <v>156.50989999999999</v>
      </c>
      <c r="Q1063" s="14">
        <f>CHOOSE(CONTROL!$C$42, 156.8423, 156.8423) * CHOOSE(CONTROL!$C$21, $C$9, 100%, $E$9)</f>
        <v>156.84229999999999</v>
      </c>
      <c r="R1063" s="14">
        <f>CHOOSE(CONTROL!$C$42, 157.8214, 157.8214) * CHOOSE(CONTROL!$C$21, $C$9, 100%, $E$9)</f>
        <v>157.82140000000001</v>
      </c>
      <c r="S1063" s="14">
        <f>CHOOSE(CONTROL!$C$42, 153.0217, 153.0217) * CHOOSE(CONTROL!$C$21, $C$9, 100%, $E$9)</f>
        <v>153.02170000000001</v>
      </c>
      <c r="T10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63" s="57">
        <f>(1000*CHOOSE(CONTROL!$C$42, 695, 695)*CHOOSE(CONTROL!$C$42, 0.5599, 0.5599)*CHOOSE(CONTROL!$C$42, 31, 31))/1000000</f>
        <v>12.063045499999998</v>
      </c>
      <c r="V1063" s="57">
        <f>(1000*CHOOSE(CONTROL!$C$42, 500, 500)*CHOOSE(CONTROL!$C$42, 0.275, 0.275)*CHOOSE(CONTROL!$C$42, 31, 31))/1000000</f>
        <v>4.2625000000000002</v>
      </c>
      <c r="W1063" s="57">
        <f>(1000*CHOOSE(CONTROL!$C$42, 0.1146, 0.1146)*CHOOSE(CONTROL!$C$42, 121.5, 121.5)*CHOOSE(CONTROL!$C$42, 31, 31))/1000000</f>
        <v>0.43164089999999994</v>
      </c>
      <c r="X1063" s="57">
        <f>(31*0.1790888*245000/1000000)+(31*0.2374*100000/1000000)</f>
        <v>2.0961194359999999</v>
      </c>
      <c r="Y1063" s="57"/>
      <c r="Z1063" s="14"/>
      <c r="AA1063" s="56"/>
      <c r="AB1063" s="50">
        <f>(B1063*194.205+C1063*267.466+D1063*133.845+E1063*53.484+F1063*40+G1063*185+H1063*0+I1063*100+J1063*300)/(194.205+267.466+133.845+53.484+0+40+185+100+300)</f>
        <v>159.34938891946626</v>
      </c>
      <c r="AC1063" s="45">
        <f>(M1063*'RAP TEMPLATE-GAS AVAILABILITY'!O1062+N1063*'RAP TEMPLATE-GAS AVAILABILITY'!P1062+O1063*'RAP TEMPLATE-GAS AVAILABILITY'!Q1062+P1063*'RAP TEMPLATE-GAS AVAILABILITY'!R1062)/('RAP TEMPLATE-GAS AVAILABILITY'!O1062+'RAP TEMPLATE-GAS AVAILABILITY'!P1062+'RAP TEMPLATE-GAS AVAILABILITY'!Q1062+'RAP TEMPLATE-GAS AVAILABILITY'!R1062)</f>
        <v>156.19607482014388</v>
      </c>
    </row>
    <row r="1064" spans="1:29" ht="15.75" x14ac:dyDescent="0.25">
      <c r="A1064" s="32">
        <v>73293</v>
      </c>
      <c r="B1064" s="14">
        <f>CHOOSE(CONTROL!$C$42, 151.3933, 151.3933) * CHOOSE(CONTROL!$C$21, $C$9, 100%, $E$9)</f>
        <v>151.39330000000001</v>
      </c>
      <c r="C1064" s="14">
        <f>CHOOSE(CONTROL!$C$42, 151.4013, 151.4013) * CHOOSE(CONTROL!$C$21, $C$9, 100%, $E$9)</f>
        <v>151.40129999999999</v>
      </c>
      <c r="D1064" s="14">
        <f>CHOOSE(CONTROL!$C$42, 151.6219, 151.6219) * CHOOSE(CONTROL!$C$21, $C$9, 100%, $E$9)</f>
        <v>151.62190000000001</v>
      </c>
      <c r="E1064" s="14">
        <f>CHOOSE(CONTROL!$C$42, 151.6534, 151.6534) * CHOOSE(CONTROL!$C$21, $C$9, 100%, $E$9)</f>
        <v>151.6534</v>
      </c>
      <c r="F1064" s="14">
        <f>CHOOSE(CONTROL!$C$42, 151.4207, 151.4207)*CHOOSE(CONTROL!$C$21, $C$9, 100%, $E$9)</f>
        <v>151.42070000000001</v>
      </c>
      <c r="G1064" s="14">
        <f>CHOOSE(CONTROL!$C$42, 151.4381, 151.4381)*CHOOSE(CONTROL!$C$21, $C$9, 100%, $E$9)</f>
        <v>151.43809999999999</v>
      </c>
      <c r="H1064" s="14">
        <f>CHOOSE(CONTROL!$C$42, 151.642, 151.642) * CHOOSE(CONTROL!$C$21, $C$9, 100%, $E$9)</f>
        <v>151.642</v>
      </c>
      <c r="I1064" s="14">
        <f>CHOOSE(CONTROL!$C$42, 151.8953, 151.8953)* CHOOSE(CONTROL!$C$21, $C$9, 100%, $E$9)</f>
        <v>151.89529999999999</v>
      </c>
      <c r="J1064" s="14">
        <f>CHOOSE(CONTROL!$C$42, 151.4137, 151.4137)* CHOOSE(CONTROL!$C$21, $C$9, 100%, $E$9)</f>
        <v>151.41370000000001</v>
      </c>
      <c r="K1064" s="53">
        <f>CHOOSE(CONTROL!$C$42, 151.8914, 151.8914) * CHOOSE(CONTROL!$C$21, $C$9, 100%, $E$9)</f>
        <v>151.8914</v>
      </c>
      <c r="L1064" s="14">
        <f>CHOOSE(CONTROL!$C$42, 152.229, 152.229) * CHOOSE(CONTROL!$C$21, $C$9, 100%, $E$9)</f>
        <v>152.22900000000001</v>
      </c>
      <c r="M1064" s="14">
        <f>CHOOSE(CONTROL!$C$42, 148.319, 148.319) * CHOOSE(CONTROL!$C$21, $C$9, 100%, $E$9)</f>
        <v>148.31899999999999</v>
      </c>
      <c r="N1064" s="14">
        <f>CHOOSE(CONTROL!$C$42, 148.3361, 148.3361) * CHOOSE(CONTROL!$C$21, $C$9, 100%, $E$9)</f>
        <v>148.33609999999999</v>
      </c>
      <c r="O1064" s="14">
        <f>CHOOSE(CONTROL!$C$42, 148.5427, 148.5427) * CHOOSE(CONTROL!$C$21, $C$9, 100%, $E$9)</f>
        <v>148.5427</v>
      </c>
      <c r="P1064" s="14">
        <f>CHOOSE(CONTROL!$C$42, 148.7813, 148.7813) * CHOOSE(CONTROL!$C$21, $C$9, 100%, $E$9)</f>
        <v>148.78129999999999</v>
      </c>
      <c r="Q1064" s="14">
        <f>CHOOSE(CONTROL!$C$42, 149.1374, 149.1374) * CHOOSE(CONTROL!$C$21, $C$9, 100%, $E$9)</f>
        <v>149.13740000000001</v>
      </c>
      <c r="R1064" s="14">
        <f>CHOOSE(CONTROL!$C$42, 150.0972, 150.0972) * CHOOSE(CONTROL!$C$21, $C$9, 100%, $E$9)</f>
        <v>150.09719999999999</v>
      </c>
      <c r="S1064" s="14">
        <f>CHOOSE(CONTROL!$C$42, 145.4632, 145.4632) * CHOOSE(CONTROL!$C$21, $C$9, 100%, $E$9)</f>
        <v>145.4632</v>
      </c>
      <c r="T10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64" s="57">
        <f>(1000*CHOOSE(CONTROL!$C$42, 695, 695)*CHOOSE(CONTROL!$C$42, 0.5599, 0.5599)*CHOOSE(CONTROL!$C$42, 31, 31))/1000000</f>
        <v>12.063045499999998</v>
      </c>
      <c r="V1064" s="57">
        <f>(1000*CHOOSE(CONTROL!$C$42, 500, 500)*CHOOSE(CONTROL!$C$42, 0.275, 0.275)*CHOOSE(CONTROL!$C$42, 31, 31))/1000000</f>
        <v>4.2625000000000002</v>
      </c>
      <c r="W1064" s="57">
        <f>(1000*CHOOSE(CONTROL!$C$42, 0.1146, 0.1146)*CHOOSE(CONTROL!$C$42, 121.5, 121.5)*CHOOSE(CONTROL!$C$42, 31, 31))/1000000</f>
        <v>0.43164089999999994</v>
      </c>
      <c r="X1064" s="57">
        <f>(31*0.1790888*245000/1000000)+(31*0.2374*100000/1000000)</f>
        <v>2.0961194359999999</v>
      </c>
      <c r="Y1064" s="57"/>
      <c r="Z1064" s="14"/>
      <c r="AA1064" s="56"/>
      <c r="AB1064" s="50">
        <f>(B1064*194.205+C1064*267.466+D1064*133.845+E1064*53.484+F1064*40+G1064*185+H1064*0+I1064*100+J1064*300)/(194.205+267.466+133.845+53.484+0+40+185+100+300)</f>
        <v>151.48148829152277</v>
      </c>
      <c r="AC1064" s="45">
        <f>(M1064*'RAP TEMPLATE-GAS AVAILABILITY'!O1063+N1064*'RAP TEMPLATE-GAS AVAILABILITY'!P1063+O1064*'RAP TEMPLATE-GAS AVAILABILITY'!Q1063+P1064*'RAP TEMPLATE-GAS AVAILABILITY'!R1063)/('RAP TEMPLATE-GAS AVAILABILITY'!O1063+'RAP TEMPLATE-GAS AVAILABILITY'!P1063+'RAP TEMPLATE-GAS AVAILABILITY'!Q1063+'RAP TEMPLATE-GAS AVAILABILITY'!R1063)</f>
        <v>148.48789136690647</v>
      </c>
    </row>
    <row r="1065" spans="1:29" ht="15.75" x14ac:dyDescent="0.25">
      <c r="A1065" s="32">
        <v>73323</v>
      </c>
      <c r="B1065" s="14">
        <f>CHOOSE(CONTROL!$C$42, 141.7822, 141.7822) * CHOOSE(CONTROL!$C$21, $C$9, 100%, $E$9)</f>
        <v>141.78219999999999</v>
      </c>
      <c r="C1065" s="14">
        <f>CHOOSE(CONTROL!$C$42, 141.7902, 141.7902) * CHOOSE(CONTROL!$C$21, $C$9, 100%, $E$9)</f>
        <v>141.7902</v>
      </c>
      <c r="D1065" s="14">
        <f>CHOOSE(CONTROL!$C$42, 142.0108, 142.0108) * CHOOSE(CONTROL!$C$21, $C$9, 100%, $E$9)</f>
        <v>142.01079999999999</v>
      </c>
      <c r="E1065" s="14">
        <f>CHOOSE(CONTROL!$C$42, 142.0423, 142.0423) * CHOOSE(CONTROL!$C$21, $C$9, 100%, $E$9)</f>
        <v>142.04230000000001</v>
      </c>
      <c r="F1065" s="14">
        <f>CHOOSE(CONTROL!$C$42, 141.8095, 141.8095)*CHOOSE(CONTROL!$C$21, $C$9, 100%, $E$9)</f>
        <v>141.80950000000001</v>
      </c>
      <c r="G1065" s="14">
        <f>CHOOSE(CONTROL!$C$42, 141.8269, 141.8269)*CHOOSE(CONTROL!$C$21, $C$9, 100%, $E$9)</f>
        <v>141.82689999999999</v>
      </c>
      <c r="H1065" s="14">
        <f>CHOOSE(CONTROL!$C$42, 142.0309, 142.0309) * CHOOSE(CONTROL!$C$21, $C$9, 100%, $E$9)</f>
        <v>142.0309</v>
      </c>
      <c r="I1065" s="14">
        <f>CHOOSE(CONTROL!$C$42, 142.2541, 142.2541)* CHOOSE(CONTROL!$C$21, $C$9, 100%, $E$9)</f>
        <v>142.25409999999999</v>
      </c>
      <c r="J1065" s="14">
        <f>CHOOSE(CONTROL!$C$42, 141.8025, 141.8025)* CHOOSE(CONTROL!$C$21, $C$9, 100%, $E$9)</f>
        <v>141.80250000000001</v>
      </c>
      <c r="K1065" s="53">
        <f>CHOOSE(CONTROL!$C$42, 142.2502, 142.2502) * CHOOSE(CONTROL!$C$21, $C$9, 100%, $E$9)</f>
        <v>142.25020000000001</v>
      </c>
      <c r="L1065" s="14">
        <f>CHOOSE(CONTROL!$C$42, 142.6179, 142.6179) * CHOOSE(CONTROL!$C$21, $C$9, 100%, $E$9)</f>
        <v>142.61789999999999</v>
      </c>
      <c r="M1065" s="14">
        <f>CHOOSE(CONTROL!$C$42, 138.9048, 138.9048) * CHOOSE(CONTROL!$C$21, $C$9, 100%, $E$9)</f>
        <v>138.90479999999999</v>
      </c>
      <c r="N1065" s="14">
        <f>CHOOSE(CONTROL!$C$42, 138.9218, 138.9218) * CHOOSE(CONTROL!$C$21, $C$9, 100%, $E$9)</f>
        <v>138.92179999999999</v>
      </c>
      <c r="O1065" s="14">
        <f>CHOOSE(CONTROL!$C$42, 139.1285, 139.1285) * CHOOSE(CONTROL!$C$21, $C$9, 100%, $E$9)</f>
        <v>139.1285</v>
      </c>
      <c r="P1065" s="14">
        <f>CHOOSE(CONTROL!$C$42, 139.3383, 139.3383) * CHOOSE(CONTROL!$C$21, $C$9, 100%, $E$9)</f>
        <v>139.3383</v>
      </c>
      <c r="Q1065" s="14">
        <f>CHOOSE(CONTROL!$C$42, 139.7232, 139.7232) * CHOOSE(CONTROL!$C$21, $C$9, 100%, $E$9)</f>
        <v>139.72319999999999</v>
      </c>
      <c r="R1065" s="14">
        <f>CHOOSE(CONTROL!$C$42, 140.6595, 140.6595) * CHOOSE(CONTROL!$C$21, $C$9, 100%, $E$9)</f>
        <v>140.65950000000001</v>
      </c>
      <c r="S1065" s="14">
        <f>CHOOSE(CONTROL!$C$42, 136.2279, 136.2279) * CHOOSE(CONTROL!$C$21, $C$9, 100%, $E$9)</f>
        <v>136.22790000000001</v>
      </c>
      <c r="T10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65" s="57">
        <f>(1000*CHOOSE(CONTROL!$C$42, 695, 695)*CHOOSE(CONTROL!$C$42, 0.5599, 0.5599)*CHOOSE(CONTROL!$C$42, 30, 30))/1000000</f>
        <v>11.673914999999997</v>
      </c>
      <c r="V1065" s="57">
        <f>(1000*CHOOSE(CONTROL!$C$42, 500, 500)*CHOOSE(CONTROL!$C$42, 0.275, 0.275)*CHOOSE(CONTROL!$C$42, 30, 30))/1000000</f>
        <v>4.125</v>
      </c>
      <c r="W1065" s="57">
        <f>(1000*CHOOSE(CONTROL!$C$42, 0.1146, 0.1146)*CHOOSE(CONTROL!$C$42, 121.5, 121.5)*CHOOSE(CONTROL!$C$42, 30, 30))/1000000</f>
        <v>0.417717</v>
      </c>
      <c r="X1065" s="57">
        <f>(30*0.1790888*245000/1000000)+(30*0.2374*100000/1000000)</f>
        <v>2.0285026799999999</v>
      </c>
      <c r="Y1065" s="57"/>
      <c r="Z1065" s="14"/>
      <c r="AA1065" s="56"/>
      <c r="AB1065" s="50">
        <f>(B1065*194.205+C1065*267.466+D1065*133.845+E1065*53.484+F1065*40+G1065*185+H1065*0+I1065*100+J1065*300)/(194.205+267.466+133.845+53.484+0+40+185+100+300)</f>
        <v>141.86798444536893</v>
      </c>
      <c r="AC1065" s="45">
        <f>(M1065*'RAP TEMPLATE-GAS AVAILABILITY'!O1064+N1065*'RAP TEMPLATE-GAS AVAILABILITY'!P1064+O1065*'RAP TEMPLATE-GAS AVAILABILITY'!Q1064+P1065*'RAP TEMPLATE-GAS AVAILABILITY'!R1064)/('RAP TEMPLATE-GAS AVAILABILITY'!O1064+'RAP TEMPLATE-GAS AVAILABILITY'!P1064+'RAP TEMPLATE-GAS AVAILABILITY'!Q1064+'RAP TEMPLATE-GAS AVAILABILITY'!R1064)</f>
        <v>139.06954172661872</v>
      </c>
    </row>
    <row r="1066" spans="1:29" ht="15.75" x14ac:dyDescent="0.25">
      <c r="A1066" s="32">
        <v>73354</v>
      </c>
      <c r="B1066" s="14">
        <f>CHOOSE(CONTROL!$C$42, 138.9019, 138.9019) * CHOOSE(CONTROL!$C$21, $C$9, 100%, $E$9)</f>
        <v>138.90190000000001</v>
      </c>
      <c r="C1066" s="14">
        <f>CHOOSE(CONTROL!$C$42, 138.9072, 138.9072) * CHOOSE(CONTROL!$C$21, $C$9, 100%, $E$9)</f>
        <v>138.90719999999999</v>
      </c>
      <c r="D1066" s="14">
        <f>CHOOSE(CONTROL!$C$42, 139.1328, 139.1328) * CHOOSE(CONTROL!$C$21, $C$9, 100%, $E$9)</f>
        <v>139.1328</v>
      </c>
      <c r="E1066" s="14">
        <f>CHOOSE(CONTROL!$C$42, 139.1619, 139.1619) * CHOOSE(CONTROL!$C$21, $C$9, 100%, $E$9)</f>
        <v>139.1619</v>
      </c>
      <c r="F1066" s="14">
        <f>CHOOSE(CONTROL!$C$42, 138.9313, 138.9313)*CHOOSE(CONTROL!$C$21, $C$9, 100%, $E$9)</f>
        <v>138.93129999999999</v>
      </c>
      <c r="G1066" s="14">
        <f>CHOOSE(CONTROL!$C$42, 138.9485, 138.9485)*CHOOSE(CONTROL!$C$21, $C$9, 100%, $E$9)</f>
        <v>138.9485</v>
      </c>
      <c r="H1066" s="14">
        <f>CHOOSE(CONTROL!$C$42, 139.1524, 139.1524) * CHOOSE(CONTROL!$C$21, $C$9, 100%, $E$9)</f>
        <v>139.1524</v>
      </c>
      <c r="I1066" s="14">
        <f>CHOOSE(CONTROL!$C$42, 139.3666, 139.3666)* CHOOSE(CONTROL!$C$21, $C$9, 100%, $E$9)</f>
        <v>139.36660000000001</v>
      </c>
      <c r="J1066" s="14">
        <f>CHOOSE(CONTROL!$C$42, 138.9243, 138.9243)* CHOOSE(CONTROL!$C$21, $C$9, 100%, $E$9)</f>
        <v>138.92429999999999</v>
      </c>
      <c r="K1066" s="53">
        <f>CHOOSE(CONTROL!$C$42, 139.3627, 139.3627) * CHOOSE(CONTROL!$C$21, $C$9, 100%, $E$9)</f>
        <v>139.36269999999999</v>
      </c>
      <c r="L1066" s="14">
        <f>CHOOSE(CONTROL!$C$42, 139.7394, 139.7394) * CHOOSE(CONTROL!$C$21, $C$9, 100%, $E$9)</f>
        <v>139.73939999999999</v>
      </c>
      <c r="M1066" s="14">
        <f>CHOOSE(CONTROL!$C$42, 136.0855, 136.0855) * CHOOSE(CONTROL!$C$21, $C$9, 100%, $E$9)</f>
        <v>136.0855</v>
      </c>
      <c r="N1066" s="14">
        <f>CHOOSE(CONTROL!$C$42, 136.1024, 136.1024) * CHOOSE(CONTROL!$C$21, $C$9, 100%, $E$9)</f>
        <v>136.10239999999999</v>
      </c>
      <c r="O1066" s="14">
        <f>CHOOSE(CONTROL!$C$42, 136.3089, 136.3089) * CHOOSE(CONTROL!$C$21, $C$9, 100%, $E$9)</f>
        <v>136.30889999999999</v>
      </c>
      <c r="P1066" s="14">
        <f>CHOOSE(CONTROL!$C$42, 136.5101, 136.5101) * CHOOSE(CONTROL!$C$21, $C$9, 100%, $E$9)</f>
        <v>136.51009999999999</v>
      </c>
      <c r="Q1066" s="14">
        <f>CHOOSE(CONTROL!$C$42, 136.9036, 136.9036) * CHOOSE(CONTROL!$C$21, $C$9, 100%, $E$9)</f>
        <v>136.90360000000001</v>
      </c>
      <c r="R1066" s="14">
        <f>CHOOSE(CONTROL!$C$42, 137.8329, 137.8329) * CHOOSE(CONTROL!$C$21, $C$9, 100%, $E$9)</f>
        <v>137.8329</v>
      </c>
      <c r="S1066" s="14">
        <f>CHOOSE(CONTROL!$C$42, 133.4619, 133.4619) * CHOOSE(CONTROL!$C$21, $C$9, 100%, $E$9)</f>
        <v>133.46190000000001</v>
      </c>
      <c r="T10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66" s="57">
        <f>(1000*CHOOSE(CONTROL!$C$42, 695, 695)*CHOOSE(CONTROL!$C$42, 0.5599, 0.5599)*CHOOSE(CONTROL!$C$42, 31, 31))/1000000</f>
        <v>12.063045499999998</v>
      </c>
      <c r="V1066" s="57">
        <f>(1000*CHOOSE(CONTROL!$C$42, 500, 500)*CHOOSE(CONTROL!$C$42, 0.275, 0.275)*CHOOSE(CONTROL!$C$42, 31, 31))/1000000</f>
        <v>4.2625000000000002</v>
      </c>
      <c r="W1066" s="57">
        <f>(1000*CHOOSE(CONTROL!$C$42, 0.1146, 0.1146)*CHOOSE(CONTROL!$C$42, 121.5, 121.5)*CHOOSE(CONTROL!$C$42, 31, 31))/1000000</f>
        <v>0.43164089999999994</v>
      </c>
      <c r="X1066" s="57">
        <f>(31*0.1790888*245000/1000000)+(31*0.2374*100000/1000000)</f>
        <v>2.0961194359999999</v>
      </c>
      <c r="Y1066" s="57"/>
      <c r="Z1066" s="14"/>
      <c r="AA1066" s="56"/>
      <c r="AB1066" s="50">
        <f>(B1066*131.881+C1066*277.167+D1066*79.08+E1066*125.872+F1066*40+G1066*185+H1066*0+I1066*100+J1066*300)/(131.881+277.167+79.08+125.872+0+40+185+100+300)</f>
        <v>138.995073750686</v>
      </c>
      <c r="AC1066" s="45">
        <f>(M1066*'RAP TEMPLATE-GAS AVAILABILITY'!O1065+N1066*'RAP TEMPLATE-GAS AVAILABILITY'!P1065+O1066*'RAP TEMPLATE-GAS AVAILABILITY'!Q1065+P1066*'RAP TEMPLATE-GAS AVAILABILITY'!R1065)/('RAP TEMPLATE-GAS AVAILABILITY'!O1065+'RAP TEMPLATE-GAS AVAILABILITY'!P1065+'RAP TEMPLATE-GAS AVAILABILITY'!Q1065+'RAP TEMPLATE-GAS AVAILABILITY'!R1065)</f>
        <v>136.24881942446041</v>
      </c>
    </row>
    <row r="1067" spans="1:29" ht="15.75" x14ac:dyDescent="0.25">
      <c r="A1067" s="32">
        <v>73384</v>
      </c>
      <c r="B1067" s="14">
        <f>CHOOSE(CONTROL!$C$42, 142.5606, 142.5606) * CHOOSE(CONTROL!$C$21, $C$9, 100%, $E$9)</f>
        <v>142.56059999999999</v>
      </c>
      <c r="C1067" s="14">
        <f>CHOOSE(CONTROL!$C$42, 142.5656, 142.5656) * CHOOSE(CONTROL!$C$21, $C$9, 100%, $E$9)</f>
        <v>142.56559999999999</v>
      </c>
      <c r="D1067" s="14">
        <f>CHOOSE(CONTROL!$C$42, 142.6399, 142.6399) * CHOOSE(CONTROL!$C$21, $C$9, 100%, $E$9)</f>
        <v>142.63990000000001</v>
      </c>
      <c r="E1067" s="14">
        <f>CHOOSE(CONTROL!$C$42, 142.674, 142.674) * CHOOSE(CONTROL!$C$21, $C$9, 100%, $E$9)</f>
        <v>142.67400000000001</v>
      </c>
      <c r="F1067" s="14">
        <f>CHOOSE(CONTROL!$C$42, 142.5966, 142.5966)*CHOOSE(CONTROL!$C$21, $C$9, 100%, $E$9)</f>
        <v>142.5966</v>
      </c>
      <c r="G1067" s="14">
        <f>CHOOSE(CONTROL!$C$42, 142.6142, 142.6142)*CHOOSE(CONTROL!$C$21, $C$9, 100%, $E$9)</f>
        <v>142.61420000000001</v>
      </c>
      <c r="H1067" s="14">
        <f>CHOOSE(CONTROL!$C$42, 142.6632, 142.6632) * CHOOSE(CONTROL!$C$21, $C$9, 100%, $E$9)</f>
        <v>142.66319999999999</v>
      </c>
      <c r="I1067" s="14">
        <f>CHOOSE(CONTROL!$C$42, 143.0345, 143.0345)* CHOOSE(CONTROL!$C$21, $C$9, 100%, $E$9)</f>
        <v>143.03450000000001</v>
      </c>
      <c r="J1067" s="14">
        <f>CHOOSE(CONTROL!$C$42, 142.5896, 142.5896)* CHOOSE(CONTROL!$C$21, $C$9, 100%, $E$9)</f>
        <v>142.58959999999999</v>
      </c>
      <c r="K1067" s="53">
        <f>CHOOSE(CONTROL!$C$42, 143.0306, 143.0306) * CHOOSE(CONTROL!$C$21, $C$9, 100%, $E$9)</f>
        <v>143.03059999999999</v>
      </c>
      <c r="L1067" s="14">
        <f>CHOOSE(CONTROL!$C$42, 143.2502, 143.2502) * CHOOSE(CONTROL!$C$21, $C$9, 100%, $E$9)</f>
        <v>143.25020000000001</v>
      </c>
      <c r="M1067" s="14">
        <f>CHOOSE(CONTROL!$C$42, 139.6758, 139.6758) * CHOOSE(CONTROL!$C$21, $C$9, 100%, $E$9)</f>
        <v>139.67580000000001</v>
      </c>
      <c r="N1067" s="14">
        <f>CHOOSE(CONTROL!$C$42, 139.6929, 139.6929) * CHOOSE(CONTROL!$C$21, $C$9, 100%, $E$9)</f>
        <v>139.69290000000001</v>
      </c>
      <c r="O1067" s="14">
        <f>CHOOSE(CONTROL!$C$42, 139.7478, 139.7478) * CHOOSE(CONTROL!$C$21, $C$9, 100%, $E$9)</f>
        <v>139.74780000000001</v>
      </c>
      <c r="P1067" s="14">
        <f>CHOOSE(CONTROL!$C$42, 140.1026, 140.1026) * CHOOSE(CONTROL!$C$21, $C$9, 100%, $E$9)</f>
        <v>140.1026</v>
      </c>
      <c r="Q1067" s="14">
        <f>CHOOSE(CONTROL!$C$42, 140.3425, 140.3425) * CHOOSE(CONTROL!$C$21, $C$9, 100%, $E$9)</f>
        <v>140.3425</v>
      </c>
      <c r="R1067" s="14">
        <f>CHOOSE(CONTROL!$C$42, 141.2803, 141.2803) * CHOOSE(CONTROL!$C$21, $C$9, 100%, $E$9)</f>
        <v>141.28030000000001</v>
      </c>
      <c r="S1067" s="14">
        <f>CHOOSE(CONTROL!$C$42, 136.9779, 136.9779) * CHOOSE(CONTROL!$C$21, $C$9, 100%, $E$9)</f>
        <v>136.97790000000001</v>
      </c>
      <c r="T10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67" s="57">
        <f>(1000*CHOOSE(CONTROL!$C$42, 695, 695)*CHOOSE(CONTROL!$C$42, 0.5599, 0.5599)*CHOOSE(CONTROL!$C$42, 30, 30))/1000000</f>
        <v>11.673914999999997</v>
      </c>
      <c r="V1067" s="57">
        <f>(1000*CHOOSE(CONTROL!$C$42, 500, 500)*CHOOSE(CONTROL!$C$42, 0.275, 0.275)*CHOOSE(CONTROL!$C$42, 30, 30))/1000000</f>
        <v>4.125</v>
      </c>
      <c r="W1067" s="57">
        <f>(1000*CHOOSE(CONTROL!$C$42, 0.1146, 0.1146)*CHOOSE(CONTROL!$C$42, 121.5, 121.5)*CHOOSE(CONTROL!$C$42, 30, 30))/1000000</f>
        <v>0.417717</v>
      </c>
      <c r="X1067" s="57">
        <f>(30*0.1790888*100000/1000000)+(30*0.2374*100000/1000000)</f>
        <v>1.2494664</v>
      </c>
      <c r="Y1067" s="57"/>
      <c r="Z1067" s="14"/>
      <c r="AA1067" s="56"/>
      <c r="AB1067" s="50">
        <f>(B1067*122.58+C1067*297.941+D1067*89.177+E1067*40.302+F1067*40+G1067*160+H1067*0+I1067*100+J1067*300)/(122.58+297.941+89.177+40.302+0+40+160+100+300)</f>
        <v>142.62950233730433</v>
      </c>
      <c r="AC1067" s="45">
        <f>(M1067*'RAP TEMPLATE-GAS AVAILABILITY'!O1066+N1067*'RAP TEMPLATE-GAS AVAILABILITY'!P1066+O1067*'RAP TEMPLATE-GAS AVAILABILITY'!Q1066+P1067*'RAP TEMPLATE-GAS AVAILABILITY'!R1066)/('RAP TEMPLATE-GAS AVAILABILITY'!O1066+'RAP TEMPLATE-GAS AVAILABILITY'!P1066+'RAP TEMPLATE-GAS AVAILABILITY'!Q1066+'RAP TEMPLATE-GAS AVAILABILITY'!R1066)</f>
        <v>139.77082733812949</v>
      </c>
    </row>
    <row r="1068" spans="1:29" ht="15.75" x14ac:dyDescent="0.25">
      <c r="A1068" s="32">
        <v>73415</v>
      </c>
      <c r="B1068" s="14">
        <f>CHOOSE(CONTROL!$C$42, 152.2789, 152.2789) * CHOOSE(CONTROL!$C$21, $C$9, 100%, $E$9)</f>
        <v>152.27889999999999</v>
      </c>
      <c r="C1068" s="14">
        <f>CHOOSE(CONTROL!$C$42, 152.284, 152.284) * CHOOSE(CONTROL!$C$21, $C$9, 100%, $E$9)</f>
        <v>152.28399999999999</v>
      </c>
      <c r="D1068" s="14">
        <f>CHOOSE(CONTROL!$C$42, 152.3582, 152.3582) * CHOOSE(CONTROL!$C$21, $C$9, 100%, $E$9)</f>
        <v>152.35820000000001</v>
      </c>
      <c r="E1068" s="14">
        <f>CHOOSE(CONTROL!$C$42, 152.3923, 152.3923) * CHOOSE(CONTROL!$C$21, $C$9, 100%, $E$9)</f>
        <v>152.39230000000001</v>
      </c>
      <c r="F1068" s="14">
        <f>CHOOSE(CONTROL!$C$42, 152.3173, 152.3173)*CHOOSE(CONTROL!$C$21, $C$9, 100%, $E$9)</f>
        <v>152.31729999999999</v>
      </c>
      <c r="G1068" s="14">
        <f>CHOOSE(CONTROL!$C$42, 152.3355, 152.3355)*CHOOSE(CONTROL!$C$21, $C$9, 100%, $E$9)</f>
        <v>152.3355</v>
      </c>
      <c r="H1068" s="14">
        <f>CHOOSE(CONTROL!$C$42, 152.3815, 152.3815) * CHOOSE(CONTROL!$C$21, $C$9, 100%, $E$9)</f>
        <v>152.38149999999999</v>
      </c>
      <c r="I1068" s="14">
        <f>CHOOSE(CONTROL!$C$42, 152.7833, 152.7833)* CHOOSE(CONTROL!$C$21, $C$9, 100%, $E$9)</f>
        <v>152.7833</v>
      </c>
      <c r="J1068" s="14">
        <f>CHOOSE(CONTROL!$C$42, 152.3103, 152.3103)* CHOOSE(CONTROL!$C$21, $C$9, 100%, $E$9)</f>
        <v>152.31030000000001</v>
      </c>
      <c r="K1068" s="53">
        <f>CHOOSE(CONTROL!$C$42, 152.7794, 152.7794) * CHOOSE(CONTROL!$C$21, $C$9, 100%, $E$9)</f>
        <v>152.77940000000001</v>
      </c>
      <c r="L1068" s="14">
        <f>CHOOSE(CONTROL!$C$42, 152.9685, 152.9685) * CHOOSE(CONTROL!$C$21, $C$9, 100%, $E$9)</f>
        <v>152.96850000000001</v>
      </c>
      <c r="M1068" s="14">
        <f>CHOOSE(CONTROL!$C$42, 149.1973, 149.1973) * CHOOSE(CONTROL!$C$21, $C$9, 100%, $E$9)</f>
        <v>149.19730000000001</v>
      </c>
      <c r="N1068" s="14">
        <f>CHOOSE(CONTROL!$C$42, 149.2151, 149.2151) * CHOOSE(CONTROL!$C$21, $C$9, 100%, $E$9)</f>
        <v>149.21510000000001</v>
      </c>
      <c r="O1068" s="14">
        <f>CHOOSE(CONTROL!$C$42, 149.267, 149.267) * CHOOSE(CONTROL!$C$21, $C$9, 100%, $E$9)</f>
        <v>149.267</v>
      </c>
      <c r="P1068" s="14">
        <f>CHOOSE(CONTROL!$C$42, 149.651, 149.651) * CHOOSE(CONTROL!$C$21, $C$9, 100%, $E$9)</f>
        <v>149.65100000000001</v>
      </c>
      <c r="Q1068" s="14">
        <f>CHOOSE(CONTROL!$C$42, 149.8617, 149.8617) * CHOOSE(CONTROL!$C$21, $C$9, 100%, $E$9)</f>
        <v>149.86170000000001</v>
      </c>
      <c r="R1068" s="14">
        <f>CHOOSE(CONTROL!$C$42, 150.8234, 150.8234) * CHOOSE(CONTROL!$C$21, $C$9, 100%, $E$9)</f>
        <v>150.82339999999999</v>
      </c>
      <c r="S1068" s="14">
        <f>CHOOSE(CONTROL!$C$42, 146.3163, 146.3163) * CHOOSE(CONTROL!$C$21, $C$9, 100%, $E$9)</f>
        <v>146.31630000000001</v>
      </c>
      <c r="T10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68" s="57">
        <f>(1000*CHOOSE(CONTROL!$C$42, 695, 695)*CHOOSE(CONTROL!$C$42, 0.5599, 0.5599)*CHOOSE(CONTROL!$C$42, 31, 31))/1000000</f>
        <v>12.063045499999998</v>
      </c>
      <c r="V1068" s="57">
        <f>(1000*CHOOSE(CONTROL!$C$42, 500, 500)*CHOOSE(CONTROL!$C$42, 0.275, 0.275)*CHOOSE(CONTROL!$C$42, 31, 31))/1000000</f>
        <v>4.2625000000000002</v>
      </c>
      <c r="W1068" s="57">
        <f>(1000*CHOOSE(CONTROL!$C$42, 0.1146, 0.1146)*CHOOSE(CONTROL!$C$42, 121.5, 121.5)*CHOOSE(CONTROL!$C$42, 31, 31))/1000000</f>
        <v>0.43164089999999994</v>
      </c>
      <c r="X1068" s="57">
        <f>(31*0.1790888*100000/1000000)+(31*0.2374*100000/1000000)</f>
        <v>1.2911152800000001</v>
      </c>
      <c r="Y1068" s="57"/>
      <c r="Z1068" s="14"/>
      <c r="AA1068" s="56"/>
      <c r="AB1068" s="50">
        <f>(B1068*122.58+C1068*297.941+D1068*89.177+E1068*40.302+F1068*40+G1068*160+H1068*0+I1068*100+J1068*300)/(122.58+297.941+89.177+40.302+0+40+160+100+300)</f>
        <v>152.35160737565218</v>
      </c>
      <c r="AC1068" s="45">
        <f>(M1068*'RAP TEMPLATE-GAS AVAILABILITY'!O1067+N1068*'RAP TEMPLATE-GAS AVAILABILITY'!P1067+O1068*'RAP TEMPLATE-GAS AVAILABILITY'!Q1067+P1068*'RAP TEMPLATE-GAS AVAILABILITY'!R1067)/('RAP TEMPLATE-GAS AVAILABILITY'!O1067+'RAP TEMPLATE-GAS AVAILABILITY'!P1067+'RAP TEMPLATE-GAS AVAILABILITY'!Q1067+'RAP TEMPLATE-GAS AVAILABILITY'!R1067)</f>
        <v>149.29519568345324</v>
      </c>
    </row>
    <row r="1069" spans="1:29" ht="15" x14ac:dyDescent="0.2">
      <c r="A1069" s="12"/>
    </row>
    <row r="1070" spans="1:29" ht="15.75" x14ac:dyDescent="0.25">
      <c r="A1070" s="10">
        <v>2013</v>
      </c>
      <c r="B1070" s="14">
        <f t="shared" ref="B1070:J1070" si="3">AVERAGE(B13:B24)</f>
        <v>4.0835379773309919</v>
      </c>
      <c r="C1070" s="14">
        <f t="shared" si="3"/>
        <v>4.0898346724542254</v>
      </c>
      <c r="D1070" s="14">
        <f t="shared" si="3"/>
        <v>4.2410958726038643</v>
      </c>
      <c r="E1070" s="14">
        <f t="shared" si="3"/>
        <v>4.2734166243786014</v>
      </c>
      <c r="F1070" s="14">
        <f t="shared" si="3"/>
        <v>4.0965437046731976</v>
      </c>
      <c r="G1070" s="14">
        <f t="shared" si="3"/>
        <v>4.1126075859452369</v>
      </c>
      <c r="H1070" s="14">
        <f t="shared" si="3"/>
        <v>4.2624626187957331</v>
      </c>
      <c r="I1070" s="14">
        <f t="shared" si="3"/>
        <v>4.1175290621729825</v>
      </c>
      <c r="J1070" s="14">
        <f t="shared" si="3"/>
        <v>4.0894437046731982</v>
      </c>
      <c r="K1070" s="53"/>
      <c r="L1070" s="14">
        <f t="shared" ref="L1070:S1070" si="4">AVERAGE(L13:L24)</f>
        <v>4.8494626187957328</v>
      </c>
      <c r="M1070" s="14">
        <f t="shared" si="4"/>
        <v>4.0248456077747514</v>
      </c>
      <c r="N1070" s="14">
        <f t="shared" si="4"/>
        <v>4.0406223098578371</v>
      </c>
      <c r="O1070" s="14">
        <f t="shared" si="4"/>
        <v>4.1947897658756856</v>
      </c>
      <c r="P1070" s="14">
        <f t="shared" si="4"/>
        <v>4.0522962836077463</v>
      </c>
      <c r="Q1070" s="14">
        <f t="shared" si="4"/>
        <v>4.7894897658756843</v>
      </c>
      <c r="R1070" s="14">
        <f t="shared" si="4"/>
        <v>5.3884575111237076</v>
      </c>
      <c r="S1070" s="14">
        <f t="shared" si="4"/>
        <v>3.9217100734093564</v>
      </c>
      <c r="T1070" s="49">
        <f t="shared" ref="T1070:Y1070" si="5">SUM(T13:T24)</f>
        <v>360.2459035</v>
      </c>
      <c r="U1070" s="49">
        <f t="shared" si="5"/>
        <v>142.03557699999999</v>
      </c>
      <c r="V1070" s="49">
        <f t="shared" si="5"/>
        <v>58.217499999999994</v>
      </c>
      <c r="W1070" s="49">
        <f t="shared" si="5"/>
        <v>8.093966</v>
      </c>
      <c r="X1070" s="49">
        <f t="shared" si="5"/>
        <v>5.5571254639999994</v>
      </c>
      <c r="Y1070" s="49">
        <f t="shared" si="5"/>
        <v>4.7699999999999996</v>
      </c>
      <c r="Z1070" s="14">
        <f>AVERAGE(Z13:Z24)</f>
        <v>4.0392465012719452</v>
      </c>
      <c r="AA1070" s="49">
        <f>SUM(AA13:AA24)</f>
        <v>9.4679999999999982</v>
      </c>
      <c r="AB1070" s="50">
        <f>AVERAGE(AB13:AB24)</f>
        <v>4.1401513728443042</v>
      </c>
      <c r="AC1070" s="45">
        <f>AVERAGE(AC13:AC24)</f>
        <v>4.0958297301066535</v>
      </c>
    </row>
    <row r="1071" spans="1:29" ht="15.75" x14ac:dyDescent="0.25">
      <c r="A1071" s="10">
        <v>2014</v>
      </c>
      <c r="B1071" s="14">
        <f t="shared" ref="B1071:J1071" si="6">AVERAGE(B25:B36)</f>
        <v>4.4546416666666664</v>
      </c>
      <c r="C1071" s="14">
        <f t="shared" si="6"/>
        <v>4.4609166666666669</v>
      </c>
      <c r="D1071" s="14">
        <f t="shared" si="6"/>
        <v>4.6218416666666657</v>
      </c>
      <c r="E1071" s="14">
        <f t="shared" si="6"/>
        <v>4.6542666666666666</v>
      </c>
      <c r="F1071" s="14">
        <f t="shared" si="6"/>
        <v>4.4828749999999999</v>
      </c>
      <c r="G1071" s="14">
        <f t="shared" si="6"/>
        <v>4.5003583333333337</v>
      </c>
      <c r="H1071" s="14">
        <f t="shared" si="6"/>
        <v>4.6433833333333325</v>
      </c>
      <c r="I1071" s="14">
        <f t="shared" si="6"/>
        <v>4.4981416666666663</v>
      </c>
      <c r="J1071" s="14">
        <f t="shared" si="6"/>
        <v>4.4758749999999994</v>
      </c>
      <c r="K1071" s="53"/>
      <c r="L1071" s="14">
        <f t="shared" ref="L1071:S1071" si="7">AVERAGE(L25:L36)</f>
        <v>5.2303833333333332</v>
      </c>
      <c r="M1071" s="14">
        <f t="shared" si="7"/>
        <v>4.3918666666666661</v>
      </c>
      <c r="N1071" s="14">
        <f t="shared" si="7"/>
        <v>4.408974999999999</v>
      </c>
      <c r="O1071" s="14">
        <f t="shared" si="7"/>
        <v>4.5559500000000002</v>
      </c>
      <c r="P1071" s="14">
        <f t="shared" si="7"/>
        <v>4.4134583333333337</v>
      </c>
      <c r="Q1071" s="14">
        <f t="shared" si="7"/>
        <v>5.1506499999999997</v>
      </c>
      <c r="R1071" s="14">
        <f t="shared" si="7"/>
        <v>5.7505166666666661</v>
      </c>
      <c r="S1071" s="14">
        <f t="shared" si="7"/>
        <v>4.27095</v>
      </c>
      <c r="T1071" s="49">
        <f t="shared" ref="T1071:Y1071" si="8">SUM(T25:T36)</f>
        <v>364.742681</v>
      </c>
      <c r="U1071" s="49">
        <f t="shared" si="8"/>
        <v>142.03263249999998</v>
      </c>
      <c r="V1071" s="49">
        <f t="shared" si="8"/>
        <v>58.217499999999994</v>
      </c>
      <c r="W1071" s="49">
        <f t="shared" si="8"/>
        <v>8.3657999999999983</v>
      </c>
      <c r="X1071" s="49">
        <f t="shared" si="8"/>
        <v>5.5571254639999994</v>
      </c>
      <c r="Y1071" s="49">
        <f t="shared" si="8"/>
        <v>1.2000000000000002</v>
      </c>
      <c r="Z1071" s="14">
        <f>AVERAGE(Z25:Z36)</f>
        <v>4.3995916666666659</v>
      </c>
      <c r="AA1071" s="49">
        <f>SUM(AA25:AA36)</f>
        <v>9.4679999999999982</v>
      </c>
      <c r="AB1071" s="50">
        <f>AVERAGE(AB25:AB36)</f>
        <v>4.5205276986041394</v>
      </c>
      <c r="AC1071" s="45">
        <f>AVERAGE(AC25:AC36)</f>
        <v>4.457913788968825</v>
      </c>
    </row>
    <row r="1072" spans="1:29" ht="15.75" x14ac:dyDescent="0.25">
      <c r="A1072" s="10">
        <v>2015</v>
      </c>
      <c r="B1072" s="14">
        <f t="shared" ref="B1072:J1072" si="9">AVERAGE(B37:B48)</f>
        <v>4.4955916666666669</v>
      </c>
      <c r="C1072" s="14">
        <f t="shared" si="9"/>
        <v>4.5018500000000001</v>
      </c>
      <c r="D1072" s="14">
        <f t="shared" si="9"/>
        <v>4.6627833333333335</v>
      </c>
      <c r="E1072" s="14">
        <f t="shared" si="9"/>
        <v>4.6951999999999998</v>
      </c>
      <c r="F1072" s="14">
        <f t="shared" si="9"/>
        <v>4.5238166666666668</v>
      </c>
      <c r="G1072" s="14">
        <f t="shared" si="9"/>
        <v>4.5412916666666669</v>
      </c>
      <c r="H1072" s="14">
        <f t="shared" si="9"/>
        <v>4.6843250000000003</v>
      </c>
      <c r="I1072" s="14">
        <f t="shared" si="9"/>
        <v>4.5392083333333328</v>
      </c>
      <c r="J1072" s="14">
        <f t="shared" si="9"/>
        <v>4.5168166666666663</v>
      </c>
      <c r="K1072" s="53"/>
      <c r="L1072" s="14">
        <f t="shared" ref="L1072:S1072" si="10">AVERAGE(L37:L48)</f>
        <v>5.271325</v>
      </c>
      <c r="M1072" s="14">
        <f t="shared" si="10"/>
        <v>4.4319583333333332</v>
      </c>
      <c r="N1072" s="14">
        <f t="shared" si="10"/>
        <v>4.4490833333333333</v>
      </c>
      <c r="O1072" s="14">
        <f t="shared" si="10"/>
        <v>4.596025</v>
      </c>
      <c r="P1072" s="14">
        <f t="shared" si="10"/>
        <v>4.4536833333333332</v>
      </c>
      <c r="Q1072" s="14">
        <f t="shared" si="10"/>
        <v>5.1907250000000005</v>
      </c>
      <c r="R1072" s="14">
        <f t="shared" si="10"/>
        <v>5.7907083333333338</v>
      </c>
      <c r="S1072" s="14">
        <f t="shared" si="10"/>
        <v>4.3102833333333335</v>
      </c>
      <c r="T1072" s="49">
        <f>SUM(T37:T48)</f>
        <v>364.742681</v>
      </c>
      <c r="U1072" s="49">
        <f>SUM(U37:U48)</f>
        <v>142.03263249999998</v>
      </c>
      <c r="V1072" s="49">
        <f>SUM(V37:V48)</f>
        <v>58.217499999999994</v>
      </c>
      <c r="W1072" s="49">
        <f>SUM(W37:W48)</f>
        <v>8.3657999999999983</v>
      </c>
      <c r="X1072" s="49">
        <f>SUM(X37:X48)</f>
        <v>17.010567464000001</v>
      </c>
      <c r="Y1072" s="49"/>
      <c r="Z1072" s="14">
        <f>AVERAGE(Z37:Z48)</f>
        <v>4.4398416666666671</v>
      </c>
      <c r="AA1072" s="49">
        <f>SUM(AA37:AA48)</f>
        <v>9.4679999999999982</v>
      </c>
      <c r="AB1072" s="50">
        <f>AVERAGE(AB37:AB48)</f>
        <v>4.5446403477138526</v>
      </c>
      <c r="AC1072" s="45">
        <f>AVERAGE(AC37:AC48)</f>
        <v>4.4905504196642676</v>
      </c>
    </row>
    <row r="1073" spans="1:29" ht="15.75" x14ac:dyDescent="0.25">
      <c r="A1073" s="10">
        <v>2016</v>
      </c>
      <c r="B1073" s="14">
        <f t="shared" ref="B1073:J1073" si="11">AVERAGE(B49:B60)</f>
        <v>4.6629999999999994</v>
      </c>
      <c r="C1073" s="14">
        <f t="shared" si="11"/>
        <v>4.6692833333333326</v>
      </c>
      <c r="D1073" s="14">
        <f t="shared" si="11"/>
        <v>4.8302000000000005</v>
      </c>
      <c r="E1073" s="14">
        <f t="shared" si="11"/>
        <v>4.8626166666666668</v>
      </c>
      <c r="F1073" s="14">
        <f t="shared" si="11"/>
        <v>4.6912333333333338</v>
      </c>
      <c r="G1073" s="14">
        <f t="shared" si="11"/>
        <v>4.7087083333333331</v>
      </c>
      <c r="H1073" s="14">
        <f t="shared" si="11"/>
        <v>4.8517416666666664</v>
      </c>
      <c r="I1073" s="14">
        <f t="shared" si="11"/>
        <v>4.7071499999999995</v>
      </c>
      <c r="J1073" s="14">
        <f t="shared" si="11"/>
        <v>4.6842333333333332</v>
      </c>
      <c r="K1073" s="53"/>
      <c r="L1073" s="14">
        <f t="shared" ref="L1073:S1073" si="12">AVERAGE(L49:L60)</f>
        <v>5.4387416666666679</v>
      </c>
      <c r="M1073" s="14">
        <f t="shared" si="12"/>
        <v>4.5959416666666666</v>
      </c>
      <c r="N1073" s="14">
        <f t="shared" si="12"/>
        <v>4.6130749999999994</v>
      </c>
      <c r="O1073" s="14">
        <f t="shared" si="12"/>
        <v>4.7600249999999997</v>
      </c>
      <c r="P1073" s="14">
        <f t="shared" si="12"/>
        <v>4.6181749999999999</v>
      </c>
      <c r="Q1073" s="14">
        <f t="shared" si="12"/>
        <v>5.3547249999999993</v>
      </c>
      <c r="R1073" s="14">
        <f t="shared" si="12"/>
        <v>5.9550999999999989</v>
      </c>
      <c r="S1073" s="14">
        <f t="shared" si="12"/>
        <v>4.4711833333333333</v>
      </c>
      <c r="T1073" s="49">
        <f>SUM(T49:T60)</f>
        <v>358.17703550000004</v>
      </c>
      <c r="U1073" s="49">
        <f>SUM(U49:U60)</f>
        <v>142.42176299999997</v>
      </c>
      <c r="V1073" s="49">
        <f>SUM(V49:V60)</f>
        <v>58.377000000000002</v>
      </c>
      <c r="W1073" s="49">
        <f>SUM(W49:W60)</f>
        <v>6.1846754999999982</v>
      </c>
      <c r="X1073" s="49">
        <f>SUM(X49:X60)</f>
        <v>20.800615543999996</v>
      </c>
      <c r="Y1073" s="49"/>
      <c r="Z1073" s="14"/>
      <c r="AA1073" s="49"/>
      <c r="AB1073" s="50">
        <f>AVERAGE(AB49:AB60)</f>
        <v>4.7064296861234434</v>
      </c>
      <c r="AC1073" s="45">
        <f>AVERAGE(AC49:AC60)</f>
        <v>4.6536264388489208</v>
      </c>
    </row>
    <row r="1074" spans="1:29" ht="15.75" x14ac:dyDescent="0.25">
      <c r="A1074" s="10">
        <v>2017</v>
      </c>
      <c r="B1074" s="14">
        <f t="shared" ref="B1074:S1074" si="13">AVERAGE(B61:B72)</f>
        <v>4.9927083333333329</v>
      </c>
      <c r="C1074" s="14">
        <f t="shared" si="13"/>
        <v>4.9989749999999997</v>
      </c>
      <c r="D1074" s="14">
        <f t="shared" si="13"/>
        <v>5.1598999999999995</v>
      </c>
      <c r="E1074" s="14">
        <f t="shared" si="13"/>
        <v>5.192333333333333</v>
      </c>
      <c r="F1074" s="14">
        <f t="shared" si="13"/>
        <v>5.0209333333333328</v>
      </c>
      <c r="G1074" s="14">
        <f t="shared" si="13"/>
        <v>5.0384333333333338</v>
      </c>
      <c r="H1074" s="14">
        <f t="shared" si="13"/>
        <v>5.1814333333333336</v>
      </c>
      <c r="I1074" s="14">
        <f t="shared" si="13"/>
        <v>5.0378833333333342</v>
      </c>
      <c r="J1074" s="14">
        <f t="shared" si="13"/>
        <v>5.0139333333333331</v>
      </c>
      <c r="K1074" s="53">
        <f t="shared" si="13"/>
        <v>5.0339999999999989</v>
      </c>
      <c r="L1074" s="14">
        <f t="shared" si="13"/>
        <v>5.7684333333333333</v>
      </c>
      <c r="M1074" s="14">
        <f t="shared" si="13"/>
        <v>4.9188833333333344</v>
      </c>
      <c r="N1074" s="14">
        <f t="shared" si="13"/>
        <v>4.9360249999999999</v>
      </c>
      <c r="O1074" s="14">
        <f t="shared" si="13"/>
        <v>5.0829749999999994</v>
      </c>
      <c r="P1074" s="14">
        <f t="shared" si="13"/>
        <v>4.9421000000000008</v>
      </c>
      <c r="Q1074" s="14">
        <f t="shared" si="13"/>
        <v>5.6776750000000007</v>
      </c>
      <c r="R1074" s="14">
        <f t="shared" si="13"/>
        <v>6.2788666666666666</v>
      </c>
      <c r="S1074" s="14">
        <f t="shared" si="13"/>
        <v>4.7879833333333339</v>
      </c>
      <c r="T1074" s="49">
        <f>SUM(T61:T72)</f>
        <v>357.24568100000005</v>
      </c>
      <c r="U1074" s="49">
        <f>SUM(U61:U72)</f>
        <v>142.03263249999998</v>
      </c>
      <c r="V1074" s="49">
        <f>SUM(V61:V72)</f>
        <v>58.217499999999994</v>
      </c>
      <c r="W1074" s="49">
        <f>SUM(W61:W72)</f>
        <v>5.0822234999999996</v>
      </c>
      <c r="X1074" s="49">
        <f>SUM(X61:X72)</f>
        <v>20.758966663999999</v>
      </c>
      <c r="Y1074" s="49"/>
      <c r="Z1074" s="14"/>
      <c r="AA1074" s="14"/>
      <c r="AB1074" s="50">
        <f>AVERAGE(AB61:AB72)</f>
        <v>5.0362180824778324</v>
      </c>
      <c r="AC1074" s="45">
        <f>AVERAGE(AC61:AC72)</f>
        <v>4.9767124100719426</v>
      </c>
    </row>
    <row r="1075" spans="1:29" ht="15.75" x14ac:dyDescent="0.25">
      <c r="A1075" s="10">
        <v>2018</v>
      </c>
      <c r="B1075" s="14">
        <f t="shared" ref="B1075:S1075" si="14">AVERAGE(B73:B84)</f>
        <v>5.8629083333333334</v>
      </c>
      <c r="C1075" s="14">
        <f t="shared" si="14"/>
        <v>5.869183333333333</v>
      </c>
      <c r="D1075" s="14">
        <f t="shared" si="14"/>
        <v>6.0301000000000009</v>
      </c>
      <c r="E1075" s="14">
        <f t="shared" si="14"/>
        <v>6.0625333333333336</v>
      </c>
      <c r="F1075" s="14">
        <f t="shared" si="14"/>
        <v>5.8911499999999997</v>
      </c>
      <c r="G1075" s="14">
        <f t="shared" si="14"/>
        <v>5.9086166666666671</v>
      </c>
      <c r="H1075" s="14">
        <f t="shared" si="14"/>
        <v>6.0516416666666659</v>
      </c>
      <c r="I1075" s="14">
        <f t="shared" si="14"/>
        <v>5.9108166666666664</v>
      </c>
      <c r="J1075" s="14">
        <f t="shared" si="14"/>
        <v>5.8841499999999991</v>
      </c>
      <c r="K1075" s="53">
        <f t="shared" si="14"/>
        <v>5.9069333333333338</v>
      </c>
      <c r="L1075" s="14">
        <f t="shared" si="14"/>
        <v>6.6386416666666674</v>
      </c>
      <c r="M1075" s="14">
        <f t="shared" si="14"/>
        <v>5.7712666666666665</v>
      </c>
      <c r="N1075" s="14">
        <f t="shared" si="14"/>
        <v>5.788383333333333</v>
      </c>
      <c r="O1075" s="14">
        <f t="shared" si="14"/>
        <v>5.9353583333333333</v>
      </c>
      <c r="P1075" s="14">
        <f t="shared" si="14"/>
        <v>5.797108333333334</v>
      </c>
      <c r="Q1075" s="14">
        <f t="shared" si="14"/>
        <v>6.5300583333333337</v>
      </c>
      <c r="R1075" s="14">
        <f t="shared" si="14"/>
        <v>7.1333833333333336</v>
      </c>
      <c r="S1075" s="14">
        <f t="shared" si="14"/>
        <v>5.6241750000000001</v>
      </c>
      <c r="T1075" s="49">
        <f>SUM(T73:T84)</f>
        <v>357.24568100000005</v>
      </c>
      <c r="U1075" s="49">
        <f>SUM(U73:U84)</f>
        <v>142.03263249999998</v>
      </c>
      <c r="V1075" s="49">
        <f>SUM(V73:V84)</f>
        <v>50.187500000000007</v>
      </c>
      <c r="W1075" s="49">
        <f>SUM(W73:W84)</f>
        <v>5.0822234999999996</v>
      </c>
      <c r="X1075" s="49">
        <f>SUM(X73:X84)</f>
        <v>20.758966663999999</v>
      </c>
      <c r="Y1075" s="49"/>
      <c r="Z1075" s="14"/>
      <c r="AA1075" s="14"/>
      <c r="AB1075" s="50">
        <f>AVERAGE(AB73:AB84)</f>
        <v>5.9066480802830812</v>
      </c>
      <c r="AC1075" s="45">
        <f>AVERAGE(AC73:AC84)</f>
        <v>5.829470563549159</v>
      </c>
    </row>
    <row r="1076" spans="1:29" ht="15.75" x14ac:dyDescent="0.25">
      <c r="A1076" s="10">
        <v>2019</v>
      </c>
      <c r="B1076" s="14">
        <f t="shared" ref="B1076:S1076" si="15">AVERAGE(B85:B96)</f>
        <v>6.4108583333333344</v>
      </c>
      <c r="C1076" s="14">
        <f t="shared" si="15"/>
        <v>6.4171166666666659</v>
      </c>
      <c r="D1076" s="14">
        <f t="shared" si="15"/>
        <v>6.5780500000000011</v>
      </c>
      <c r="E1076" s="14">
        <f t="shared" si="15"/>
        <v>6.6104666666666674</v>
      </c>
      <c r="F1076" s="14">
        <f t="shared" si="15"/>
        <v>6.4390666666666663</v>
      </c>
      <c r="G1076" s="14">
        <f t="shared" si="15"/>
        <v>6.4565666666666663</v>
      </c>
      <c r="H1076" s="14">
        <f t="shared" si="15"/>
        <v>6.5995916666666661</v>
      </c>
      <c r="I1076" s="14">
        <f t="shared" si="15"/>
        <v>6.4604416666666671</v>
      </c>
      <c r="J1076" s="14">
        <f t="shared" si="15"/>
        <v>6.4320666666666675</v>
      </c>
      <c r="K1076" s="53">
        <f t="shared" si="15"/>
        <v>6.4565666666666672</v>
      </c>
      <c r="L1076" s="14">
        <f t="shared" si="15"/>
        <v>7.1865916666666676</v>
      </c>
      <c r="M1076" s="14">
        <f t="shared" si="15"/>
        <v>6.3079749999999999</v>
      </c>
      <c r="N1076" s="14">
        <f t="shared" si="15"/>
        <v>6.3250999999999999</v>
      </c>
      <c r="O1076" s="14">
        <f t="shared" si="15"/>
        <v>6.4720666666666675</v>
      </c>
      <c r="P1076" s="14">
        <f t="shared" si="15"/>
        <v>6.3354666666666661</v>
      </c>
      <c r="Q1076" s="14">
        <f t="shared" si="15"/>
        <v>7.0667666666666662</v>
      </c>
      <c r="R1076" s="14">
        <f t="shared" si="15"/>
        <v>7.6714083333333329</v>
      </c>
      <c r="S1076" s="14">
        <f t="shared" si="15"/>
        <v>6.1506666666666669</v>
      </c>
      <c r="T1076" s="49">
        <f>SUM(T85:T96)</f>
        <v>357.24568100000005</v>
      </c>
      <c r="U1076" s="49">
        <f>SUM(U85:U96)</f>
        <v>142.03263249999998</v>
      </c>
      <c r="V1076" s="49">
        <f>SUM(V85:V96)</f>
        <v>50.187500000000007</v>
      </c>
      <c r="W1076" s="49">
        <f>SUM(W85:W96)</f>
        <v>5.0822234999999996</v>
      </c>
      <c r="X1076" s="49">
        <f>SUM(X85:X96)</f>
        <v>20.758966663999999</v>
      </c>
      <c r="Y1076" s="49"/>
      <c r="Z1076" s="14"/>
      <c r="AA1076" s="14"/>
      <c r="AB1076" s="50">
        <f>AVERAGE(AB85:AB96)</f>
        <v>6.4547220592796917</v>
      </c>
      <c r="AC1076" s="45">
        <f>AVERAGE(AC85:AC96)</f>
        <v>6.3664182254196637</v>
      </c>
    </row>
    <row r="1077" spans="1:29" ht="15.75" x14ac:dyDescent="0.25">
      <c r="A1077" s="10">
        <v>2020</v>
      </c>
      <c r="B1077" s="14">
        <f t="shared" ref="B1077:S1077" si="16">AVERAGE(B97:B108)</f>
        <v>6.955958333333335</v>
      </c>
      <c r="C1077" s="14">
        <f t="shared" si="16"/>
        <v>6.9622250000000001</v>
      </c>
      <c r="D1077" s="14">
        <f t="shared" si="16"/>
        <v>7.123149999999999</v>
      </c>
      <c r="E1077" s="14">
        <f t="shared" si="16"/>
        <v>7.1555749999999998</v>
      </c>
      <c r="F1077" s="14">
        <f t="shared" si="16"/>
        <v>6.9841749999999996</v>
      </c>
      <c r="G1077" s="14">
        <f t="shared" si="16"/>
        <v>7.0016583333333324</v>
      </c>
      <c r="H1077" s="14">
        <f t="shared" si="16"/>
        <v>7.1446833333333331</v>
      </c>
      <c r="I1077" s="14">
        <f t="shared" si="16"/>
        <v>7.0072750000000008</v>
      </c>
      <c r="J1077" s="14">
        <f t="shared" si="16"/>
        <v>6.9771749999999999</v>
      </c>
      <c r="K1077" s="53">
        <f t="shared" si="16"/>
        <v>7.0033833333333346</v>
      </c>
      <c r="L1077" s="14">
        <f t="shared" si="16"/>
        <v>7.7316833333333337</v>
      </c>
      <c r="M1077" s="14">
        <f t="shared" si="16"/>
        <v>6.8419083333333335</v>
      </c>
      <c r="N1077" s="14">
        <f t="shared" si="16"/>
        <v>6.8590416666666654</v>
      </c>
      <c r="O1077" s="14">
        <f t="shared" si="16"/>
        <v>7.0060083333333338</v>
      </c>
      <c r="P1077" s="14">
        <f t="shared" si="16"/>
        <v>6.8710333333333331</v>
      </c>
      <c r="Q1077" s="14">
        <f t="shared" si="16"/>
        <v>7.6007083333333334</v>
      </c>
      <c r="R1077" s="14">
        <f t="shared" si="16"/>
        <v>8.2067083333333333</v>
      </c>
      <c r="S1077" s="14">
        <f t="shared" si="16"/>
        <v>6.674475000000001</v>
      </c>
      <c r="T1077" s="49">
        <f>SUM(T97:T108)</f>
        <v>358.17703550000004</v>
      </c>
      <c r="U1077" s="49">
        <f>SUM(U97:U108)</f>
        <v>142.42176299999997</v>
      </c>
      <c r="V1077" s="49">
        <f>SUM(V97:V108)</f>
        <v>50.325000000000003</v>
      </c>
      <c r="W1077" s="49">
        <f>SUM(W97:W108)</f>
        <v>5.0961473999999995</v>
      </c>
      <c r="X1077" s="49">
        <f>SUM(X97:X108)</f>
        <v>20.800615543999996</v>
      </c>
      <c r="Y1077" s="49"/>
      <c r="Z1077" s="14"/>
      <c r="AA1077" s="14"/>
      <c r="AB1077" s="50">
        <f>AVERAGE(AB97:AB108)</f>
        <v>6.9999683764148175</v>
      </c>
      <c r="AC1077" s="45">
        <f>AVERAGE(AC97:AC108)</f>
        <v>6.9005922661870498</v>
      </c>
    </row>
    <row r="1078" spans="1:29" ht="15.75" x14ac:dyDescent="0.25">
      <c r="A1078" s="10">
        <v>2021</v>
      </c>
      <c r="B1078" s="14">
        <f t="shared" ref="B1078:S1078" si="17">AVERAGE(B109:B120)</f>
        <v>7.3609999999999998</v>
      </c>
      <c r="C1078" s="14">
        <f t="shared" si="17"/>
        <v>7.3672500000000012</v>
      </c>
      <c r="D1078" s="14">
        <f t="shared" si="17"/>
        <v>7.5281916666666655</v>
      </c>
      <c r="E1078" s="14">
        <f t="shared" si="17"/>
        <v>7.5606083333333336</v>
      </c>
      <c r="F1078" s="14">
        <f t="shared" si="17"/>
        <v>7.3891916666666662</v>
      </c>
      <c r="G1078" s="14">
        <f t="shared" si="17"/>
        <v>7.4066833333333326</v>
      </c>
      <c r="H1078" s="14">
        <f t="shared" si="17"/>
        <v>7.5497333333333323</v>
      </c>
      <c r="I1078" s="14">
        <f t="shared" si="17"/>
        <v>7.4135833333333343</v>
      </c>
      <c r="J1078" s="14">
        <f t="shared" si="17"/>
        <v>7.3821916666666665</v>
      </c>
      <c r="K1078" s="53">
        <f t="shared" si="17"/>
        <v>7.4096833333333327</v>
      </c>
      <c r="L1078" s="14">
        <f t="shared" si="17"/>
        <v>8.1367333333333338</v>
      </c>
      <c r="M1078" s="14">
        <f t="shared" si="17"/>
        <v>7.2386333333333335</v>
      </c>
      <c r="N1078" s="14">
        <f t="shared" si="17"/>
        <v>7.2557666666666671</v>
      </c>
      <c r="O1078" s="14">
        <f t="shared" si="17"/>
        <v>7.4027333333333338</v>
      </c>
      <c r="P1078" s="14">
        <f t="shared" si="17"/>
        <v>7.2689750000000002</v>
      </c>
      <c r="Q1078" s="14">
        <f t="shared" si="17"/>
        <v>7.9974333333333334</v>
      </c>
      <c r="R1078" s="14">
        <f t="shared" si="17"/>
        <v>8.6044083333333319</v>
      </c>
      <c r="S1078" s="14">
        <f t="shared" si="17"/>
        <v>7.0636583333333336</v>
      </c>
      <c r="T1078" s="49">
        <f>SUM(T109:T120)</f>
        <v>357.24568100000005</v>
      </c>
      <c r="U1078" s="49">
        <f>SUM(U109:U120)</f>
        <v>142.03263249999998</v>
      </c>
      <c r="V1078" s="49">
        <f>SUM(V109:V120)</f>
        <v>50.187500000000007</v>
      </c>
      <c r="W1078" s="49">
        <f>SUM(W109:W120)</f>
        <v>5.0822234999999996</v>
      </c>
      <c r="X1078" s="49">
        <f>SUM(X109:X120)</f>
        <v>20.758966663999999</v>
      </c>
      <c r="Y1078" s="49"/>
      <c r="Z1078" s="14"/>
      <c r="AA1078" s="14"/>
      <c r="AB1078" s="50">
        <f>AVERAGE(AB109:AB120)</f>
        <v>7.4051003986140769</v>
      </c>
      <c r="AC1078" s="45">
        <f>AVERAGE(AC109:AC120)</f>
        <v>7.2974894484412474</v>
      </c>
    </row>
    <row r="1079" spans="1:29" ht="15.75" x14ac:dyDescent="0.25">
      <c r="A1079" s="10">
        <v>2022</v>
      </c>
      <c r="B1079" s="14">
        <f t="shared" ref="B1079:S1079" si="18">AVERAGE(B121:B132)</f>
        <v>7.6703000000000001</v>
      </c>
      <c r="C1079" s="14">
        <f t="shared" si="18"/>
        <v>7.6765916666666678</v>
      </c>
      <c r="D1079" s="14">
        <f t="shared" si="18"/>
        <v>7.8375083333333331</v>
      </c>
      <c r="E1079" s="14">
        <f t="shared" si="18"/>
        <v>7.8699166666666676</v>
      </c>
      <c r="F1079" s="14">
        <f t="shared" si="18"/>
        <v>7.6985416666666673</v>
      </c>
      <c r="G1079" s="14">
        <f t="shared" si="18"/>
        <v>7.716008333333332</v>
      </c>
      <c r="H1079" s="14">
        <f t="shared" si="18"/>
        <v>7.8590500000000008</v>
      </c>
      <c r="I1079" s="14">
        <f t="shared" si="18"/>
        <v>7.7238666666666669</v>
      </c>
      <c r="J1079" s="14">
        <f t="shared" si="18"/>
        <v>7.6915416666666685</v>
      </c>
      <c r="K1079" s="53">
        <f t="shared" si="18"/>
        <v>7.7199750000000007</v>
      </c>
      <c r="L1079" s="14">
        <f t="shared" si="18"/>
        <v>8.4460500000000014</v>
      </c>
      <c r="M1079" s="14">
        <f t="shared" si="18"/>
        <v>7.5416416666666661</v>
      </c>
      <c r="N1079" s="14">
        <f t="shared" si="18"/>
        <v>7.5587416666666654</v>
      </c>
      <c r="O1079" s="14">
        <f t="shared" si="18"/>
        <v>7.7057166666666665</v>
      </c>
      <c r="P1079" s="14">
        <f t="shared" si="18"/>
        <v>7.5729083333333342</v>
      </c>
      <c r="Q1079" s="14">
        <f t="shared" si="18"/>
        <v>8.300416666666667</v>
      </c>
      <c r="R1079" s="14">
        <f t="shared" si="18"/>
        <v>8.9081750000000017</v>
      </c>
      <c r="S1079" s="14">
        <f t="shared" si="18"/>
        <v>7.3608749999999992</v>
      </c>
      <c r="T1079" s="49">
        <f>SUM(T121:T132)</f>
        <v>357.24568100000005</v>
      </c>
      <c r="U1079" s="49">
        <f>SUM(U121:U132)</f>
        <v>142.03263249999998</v>
      </c>
      <c r="V1079" s="49">
        <f>SUM(V121:V132)</f>
        <v>50.187500000000007</v>
      </c>
      <c r="W1079" s="49">
        <f>SUM(W121:W132)</f>
        <v>5.0822234999999996</v>
      </c>
      <c r="X1079" s="49">
        <f>SUM(X121:X132)</f>
        <v>20.758966663999999</v>
      </c>
      <c r="Y1079" s="49"/>
      <c r="Z1079" s="14"/>
      <c r="AA1079" s="14"/>
      <c r="AB1079" s="50">
        <f>AVERAGE(AB121:AB132)</f>
        <v>7.7145103961421952</v>
      </c>
      <c r="AC1079" s="45">
        <f>AVERAGE(AC121:AC132)</f>
        <v>7.6006161870503597</v>
      </c>
    </row>
    <row r="1080" spans="1:29" ht="15.75" x14ac:dyDescent="0.25">
      <c r="A1080" s="10">
        <v>2023</v>
      </c>
      <c r="B1080" s="14">
        <f t="shared" ref="B1080:S1080" si="19">AVERAGE(B133:B144)</f>
        <v>8.3051083333333331</v>
      </c>
      <c r="C1080" s="14">
        <f t="shared" si="19"/>
        <v>8.3113916666666672</v>
      </c>
      <c r="D1080" s="14">
        <f t="shared" si="19"/>
        <v>8.4723249999999997</v>
      </c>
      <c r="E1080" s="14">
        <f t="shared" si="19"/>
        <v>8.5047250000000005</v>
      </c>
      <c r="F1080" s="14">
        <f t="shared" si="19"/>
        <v>8.3333416666666675</v>
      </c>
      <c r="G1080" s="14">
        <f t="shared" si="19"/>
        <v>8.3508250000000004</v>
      </c>
      <c r="H1080" s="14">
        <f t="shared" si="19"/>
        <v>8.4938666666666673</v>
      </c>
      <c r="I1080" s="14">
        <f t="shared" si="19"/>
        <v>8.3606833333333324</v>
      </c>
      <c r="J1080" s="14">
        <f t="shared" si="19"/>
        <v>8.3263416666666679</v>
      </c>
      <c r="K1080" s="53">
        <f t="shared" si="19"/>
        <v>8.3567833333333343</v>
      </c>
      <c r="L1080" s="14">
        <f t="shared" si="19"/>
        <v>9.0808666666666653</v>
      </c>
      <c r="M1080" s="14">
        <f t="shared" si="19"/>
        <v>8.1634416666666656</v>
      </c>
      <c r="N1080" s="14">
        <f t="shared" si="19"/>
        <v>8.180558333333332</v>
      </c>
      <c r="O1080" s="14">
        <f t="shared" si="19"/>
        <v>8.327516666666666</v>
      </c>
      <c r="P1080" s="14">
        <f t="shared" si="19"/>
        <v>8.1965999999999983</v>
      </c>
      <c r="Q1080" s="14">
        <f t="shared" si="19"/>
        <v>8.9222166666666656</v>
      </c>
      <c r="R1080" s="14">
        <f t="shared" si="19"/>
        <v>9.5315166666666666</v>
      </c>
      <c r="S1080" s="14">
        <f t="shared" si="19"/>
        <v>7.9708666666666668</v>
      </c>
      <c r="T1080" s="49">
        <f>SUM(T133:T144)</f>
        <v>357.24568100000005</v>
      </c>
      <c r="U1080" s="49">
        <f>SUM(U133:U144)</f>
        <v>142.03263249999998</v>
      </c>
      <c r="V1080" s="49">
        <f>SUM(V133:V144)</f>
        <v>50.187500000000007</v>
      </c>
      <c r="W1080" s="49">
        <f>SUM(W133:W144)</f>
        <v>5.0822234999999996</v>
      </c>
      <c r="X1080" s="49">
        <f>SUM(X133:X144)</f>
        <v>20.758966663999999</v>
      </c>
      <c r="Y1080" s="49"/>
      <c r="Z1080" s="14"/>
      <c r="AA1080" s="14"/>
      <c r="AB1080" s="50">
        <f>AVERAGE(AB133:AB144)</f>
        <v>8.349481712957969</v>
      </c>
      <c r="AC1080" s="45">
        <f>AVERAGE(AC133:AC144)</f>
        <v>8.2226936450839343</v>
      </c>
    </row>
    <row r="1081" spans="1:29" ht="15.75" x14ac:dyDescent="0.25">
      <c r="A1081" s="10">
        <v>2024</v>
      </c>
      <c r="B1081" s="14">
        <f t="shared" ref="B1081:S1081" si="20">AVERAGE(B145:B156)</f>
        <v>8.6737166666666674</v>
      </c>
      <c r="C1081" s="14">
        <f t="shared" si="20"/>
        <v>8.6799916666666661</v>
      </c>
      <c r="D1081" s="14">
        <f t="shared" si="20"/>
        <v>8.8409083333333331</v>
      </c>
      <c r="E1081" s="14">
        <f t="shared" si="20"/>
        <v>8.8733416666666667</v>
      </c>
      <c r="F1081" s="14">
        <f t="shared" si="20"/>
        <v>8.7019500000000001</v>
      </c>
      <c r="G1081" s="14">
        <f t="shared" si="20"/>
        <v>8.7194333333333329</v>
      </c>
      <c r="H1081" s="14">
        <f t="shared" si="20"/>
        <v>8.8624499999999991</v>
      </c>
      <c r="I1081" s="14">
        <f t="shared" si="20"/>
        <v>8.7304333333333339</v>
      </c>
      <c r="J1081" s="14">
        <f t="shared" si="20"/>
        <v>8.6949500000000004</v>
      </c>
      <c r="K1081" s="53">
        <f t="shared" si="20"/>
        <v>8.726541666666666</v>
      </c>
      <c r="L1081" s="14">
        <f t="shared" si="20"/>
        <v>9.4494500000000006</v>
      </c>
      <c r="M1081" s="14">
        <f t="shared" si="20"/>
        <v>8.5244916666666661</v>
      </c>
      <c r="N1081" s="14">
        <f t="shared" si="20"/>
        <v>8.5416083333333344</v>
      </c>
      <c r="O1081" s="14">
        <f t="shared" si="20"/>
        <v>8.6885583333333312</v>
      </c>
      <c r="P1081" s="14">
        <f t="shared" si="20"/>
        <v>8.5587833333333325</v>
      </c>
      <c r="Q1081" s="14">
        <f t="shared" si="20"/>
        <v>9.2832583333333343</v>
      </c>
      <c r="R1081" s="14">
        <f t="shared" si="20"/>
        <v>9.8934666666666651</v>
      </c>
      <c r="S1081" s="14">
        <f t="shared" si="20"/>
        <v>8.3250666666666664</v>
      </c>
      <c r="T1081" s="49">
        <f>SUM(T145:T156)</f>
        <v>358.17703550000004</v>
      </c>
      <c r="U1081" s="49">
        <f>SUM(U145:U156)</f>
        <v>142.42176299999997</v>
      </c>
      <c r="V1081" s="49">
        <f>SUM(V145:V156)</f>
        <v>50.325000000000003</v>
      </c>
      <c r="W1081" s="49">
        <f>SUM(W145:W156)</f>
        <v>5.0961473999999995</v>
      </c>
      <c r="X1081" s="49">
        <f>SUM(X145:X156)</f>
        <v>20.800615543999996</v>
      </c>
      <c r="Y1081" s="49"/>
      <c r="Z1081" s="14"/>
      <c r="AA1081" s="14"/>
      <c r="AB1081" s="50">
        <f>AVERAGE(AB145:AB156)</f>
        <v>8.7181806322658559</v>
      </c>
      <c r="AC1081" s="45">
        <f>AVERAGE(AC145:AC156)</f>
        <v>8.5839029376498797</v>
      </c>
    </row>
    <row r="1082" spans="1:29" ht="15.75" x14ac:dyDescent="0.25">
      <c r="A1082" s="10">
        <v>2025</v>
      </c>
      <c r="B1082" s="14">
        <f t="shared" ref="B1082:S1082" si="21">AVERAGE(B157:B168)</f>
        <v>9.0405250000000006</v>
      </c>
      <c r="C1082" s="14">
        <f t="shared" si="21"/>
        <v>9.0468166666666683</v>
      </c>
      <c r="D1082" s="14">
        <f t="shared" si="21"/>
        <v>9.2077416666666672</v>
      </c>
      <c r="E1082" s="14">
        <f t="shared" si="21"/>
        <v>9.2401583333333317</v>
      </c>
      <c r="F1082" s="14">
        <f t="shared" si="21"/>
        <v>9.0687666666666686</v>
      </c>
      <c r="G1082" s="14">
        <f t="shared" si="21"/>
        <v>9.0862416666666661</v>
      </c>
      <c r="H1082" s="14">
        <f t="shared" si="21"/>
        <v>9.2292749999999995</v>
      </c>
      <c r="I1082" s="14">
        <f t="shared" si="21"/>
        <v>9.0984000000000016</v>
      </c>
      <c r="J1082" s="14">
        <f t="shared" si="21"/>
        <v>9.0617666666666654</v>
      </c>
      <c r="K1082" s="53">
        <f t="shared" si="21"/>
        <v>9.0945083333333336</v>
      </c>
      <c r="L1082" s="14">
        <f t="shared" si="21"/>
        <v>9.8162749999999992</v>
      </c>
      <c r="M1082" s="14">
        <f t="shared" si="21"/>
        <v>8.8837916666666672</v>
      </c>
      <c r="N1082" s="14">
        <f t="shared" si="21"/>
        <v>8.9009083333333319</v>
      </c>
      <c r="O1082" s="14">
        <f t="shared" si="21"/>
        <v>9.047858333333334</v>
      </c>
      <c r="P1082" s="14">
        <f t="shared" si="21"/>
        <v>8.919175000000001</v>
      </c>
      <c r="Q1082" s="14">
        <f t="shared" si="21"/>
        <v>9.6425583333333336</v>
      </c>
      <c r="R1082" s="14">
        <f t="shared" si="21"/>
        <v>10.253675000000001</v>
      </c>
      <c r="S1082" s="14">
        <f t="shared" si="21"/>
        <v>8.6775416666666683</v>
      </c>
      <c r="T1082" s="49">
        <f>SUM(T157:T168)</f>
        <v>357.24568100000005</v>
      </c>
      <c r="U1082" s="49">
        <f>SUM(U157:U168)</f>
        <v>142.03263249999998</v>
      </c>
      <c r="V1082" s="49">
        <f>SUM(V157:V168)</f>
        <v>50.187500000000007</v>
      </c>
      <c r="W1082" s="49">
        <f>SUM(W157:W168)</f>
        <v>5.0822234999999996</v>
      </c>
      <c r="X1082" s="49">
        <f>SUM(X157:X168)</f>
        <v>20.758966663999999</v>
      </c>
      <c r="Y1082" s="49"/>
      <c r="Z1082" s="14"/>
      <c r="AA1082" s="14"/>
      <c r="AB1082" s="50">
        <f>AVERAGE(AB157:AB168)</f>
        <v>9.0850924584448549</v>
      </c>
      <c r="AC1082" s="45">
        <f>AVERAGE(AC157:AC168)</f>
        <v>8.943358573141488</v>
      </c>
    </row>
    <row r="1083" spans="1:29" ht="15.75" x14ac:dyDescent="0.25">
      <c r="A1083" s="10">
        <v>2026</v>
      </c>
      <c r="B1083" s="14">
        <f t="shared" ref="B1083:S1083" si="22">AVERAGE(B169:B180)</f>
        <v>9.3663916666666669</v>
      </c>
      <c r="C1083" s="14">
        <f t="shared" si="22"/>
        <v>9.3726499999999984</v>
      </c>
      <c r="D1083" s="14">
        <f t="shared" si="22"/>
        <v>9.5335999999999999</v>
      </c>
      <c r="E1083" s="14">
        <f t="shared" si="22"/>
        <v>9.5660083333333326</v>
      </c>
      <c r="F1083" s="14">
        <f t="shared" si="22"/>
        <v>9.3946000000000005</v>
      </c>
      <c r="G1083" s="14">
        <f t="shared" si="22"/>
        <v>9.4121083333333342</v>
      </c>
      <c r="H1083" s="14">
        <f t="shared" si="22"/>
        <v>9.5551333333333339</v>
      </c>
      <c r="I1083" s="14">
        <f t="shared" si="22"/>
        <v>9.4252583333333337</v>
      </c>
      <c r="J1083" s="14">
        <f t="shared" si="22"/>
        <v>9.3875999999999973</v>
      </c>
      <c r="K1083" s="53">
        <f t="shared" si="22"/>
        <v>9.4213749999999994</v>
      </c>
      <c r="L1083" s="14">
        <f t="shared" si="22"/>
        <v>10.142133333333334</v>
      </c>
      <c r="M1083" s="14">
        <f t="shared" si="22"/>
        <v>9.2029499999999995</v>
      </c>
      <c r="N1083" s="14">
        <f t="shared" si="22"/>
        <v>9.2200833333333332</v>
      </c>
      <c r="O1083" s="14">
        <f t="shared" si="22"/>
        <v>9.3670333333333335</v>
      </c>
      <c r="P1083" s="14">
        <f t="shared" si="22"/>
        <v>9.2393166666666673</v>
      </c>
      <c r="Q1083" s="14">
        <f t="shared" si="22"/>
        <v>9.9617333333333349</v>
      </c>
      <c r="R1083" s="14">
        <f t="shared" si="22"/>
        <v>10.573633333333333</v>
      </c>
      <c r="S1083" s="14">
        <f t="shared" si="22"/>
        <v>8.9906583333333323</v>
      </c>
      <c r="T1083" s="49">
        <f>SUM(T169:T180)</f>
        <v>357.24568100000005</v>
      </c>
      <c r="U1083" s="49">
        <f>SUM(U169:U180)</f>
        <v>142.03263249999998</v>
      </c>
      <c r="V1083" s="49">
        <f>SUM(V169:V180)</f>
        <v>50.187500000000007</v>
      </c>
      <c r="W1083" s="49">
        <f>SUM(W169:W180)</f>
        <v>5.0822234999999996</v>
      </c>
      <c r="X1083" s="49">
        <f>SUM(X169:X180)</f>
        <v>20.758966663999999</v>
      </c>
      <c r="Y1083" s="49"/>
      <c r="Z1083" s="14"/>
      <c r="AA1083" s="14"/>
      <c r="AB1083" s="50">
        <f>AVERAGE(AB169:AB180)</f>
        <v>9.4110222361376756</v>
      </c>
      <c r="AC1083" s="45">
        <f>AVERAGE(AC169:AC180)</f>
        <v>9.2626683453237408</v>
      </c>
    </row>
    <row r="1084" spans="1:29" ht="15.75" x14ac:dyDescent="0.25">
      <c r="A1084" s="10">
        <v>2027</v>
      </c>
      <c r="B1084" s="14">
        <f t="shared" ref="B1084:S1084" si="23">AVERAGE(B181:B192)</f>
        <v>9.6871000000000009</v>
      </c>
      <c r="C1084" s="14">
        <f t="shared" si="23"/>
        <v>9.693366666666666</v>
      </c>
      <c r="D1084" s="14">
        <f t="shared" si="23"/>
        <v>9.8543083333333339</v>
      </c>
      <c r="E1084" s="14">
        <f t="shared" si="23"/>
        <v>9.8867166666666666</v>
      </c>
      <c r="F1084" s="14">
        <f t="shared" si="23"/>
        <v>9.7153166666666682</v>
      </c>
      <c r="G1084" s="14">
        <f t="shared" si="23"/>
        <v>9.7327916666666656</v>
      </c>
      <c r="H1084" s="14">
        <f t="shared" si="23"/>
        <v>9.875841666666668</v>
      </c>
      <c r="I1084" s="14">
        <f t="shared" si="23"/>
        <v>9.7469749999999991</v>
      </c>
      <c r="J1084" s="14">
        <f t="shared" si="23"/>
        <v>9.7083166666666667</v>
      </c>
      <c r="K1084" s="53">
        <f t="shared" si="23"/>
        <v>9.7430916666666665</v>
      </c>
      <c r="L1084" s="14">
        <f t="shared" si="23"/>
        <v>10.462841666666668</v>
      </c>
      <c r="M1084" s="14">
        <f t="shared" si="23"/>
        <v>9.5171083333333346</v>
      </c>
      <c r="N1084" s="14">
        <f t="shared" si="23"/>
        <v>9.5342250000000011</v>
      </c>
      <c r="O1084" s="14">
        <f t="shared" si="23"/>
        <v>9.6811833333333333</v>
      </c>
      <c r="P1084" s="14">
        <f t="shared" si="23"/>
        <v>9.5544083333333347</v>
      </c>
      <c r="Q1084" s="14">
        <f t="shared" si="23"/>
        <v>10.275883333333335</v>
      </c>
      <c r="R1084" s="14">
        <f t="shared" si="23"/>
        <v>10.888583333333335</v>
      </c>
      <c r="S1084" s="14">
        <f t="shared" si="23"/>
        <v>9.2988333333333326</v>
      </c>
      <c r="T1084" s="49">
        <f>SUM(T181:T192)</f>
        <v>357.24568100000005</v>
      </c>
      <c r="U1084" s="49">
        <f>SUM(U181:U192)</f>
        <v>142.03263249999998</v>
      </c>
      <c r="V1084" s="49">
        <f>SUM(V181:V192)</f>
        <v>50.187500000000007</v>
      </c>
      <c r="W1084" s="49">
        <f>SUM(W181:W192)</f>
        <v>5.0822234999999996</v>
      </c>
      <c r="X1084" s="49">
        <f>SUM(X181:X192)</f>
        <v>20.758966663999999</v>
      </c>
      <c r="Y1084" s="49"/>
      <c r="Z1084" s="14"/>
      <c r="AA1084" s="14"/>
      <c r="AB1084" s="50">
        <f>AVERAGE(AB181:AB192)</f>
        <v>9.7318147409541726</v>
      </c>
      <c r="AC1084" s="45">
        <f>AVERAGE(AC181:AC192)</f>
        <v>9.5769547961630703</v>
      </c>
    </row>
    <row r="1085" spans="1:29" ht="15.75" x14ac:dyDescent="0.25">
      <c r="A1085" s="10">
        <v>2028</v>
      </c>
      <c r="B1085" s="14">
        <f t="shared" ref="B1085:S1085" si="24">AVERAGE(B193:B204)</f>
        <v>10.009924999999999</v>
      </c>
      <c r="C1085" s="14">
        <f t="shared" si="24"/>
        <v>10.016174999999999</v>
      </c>
      <c r="D1085" s="14">
        <f t="shared" si="24"/>
        <v>10.177091666666668</v>
      </c>
      <c r="E1085" s="14">
        <f t="shared" si="24"/>
        <v>10.209533333333333</v>
      </c>
      <c r="F1085" s="14">
        <f t="shared" si="24"/>
        <v>10.038133333333333</v>
      </c>
      <c r="G1085" s="14">
        <f t="shared" si="24"/>
        <v>10.055624999999999</v>
      </c>
      <c r="H1085" s="14">
        <f t="shared" si="24"/>
        <v>10.198633333333335</v>
      </c>
      <c r="I1085" s="14">
        <f t="shared" si="24"/>
        <v>10.070783333333333</v>
      </c>
      <c r="J1085" s="14">
        <f t="shared" si="24"/>
        <v>10.031133333333333</v>
      </c>
      <c r="K1085" s="53">
        <f t="shared" si="24"/>
        <v>10.066883333333333</v>
      </c>
      <c r="L1085" s="14">
        <f t="shared" si="24"/>
        <v>10.785633333333335</v>
      </c>
      <c r="M1085" s="14">
        <f t="shared" si="24"/>
        <v>9.8332916666666659</v>
      </c>
      <c r="N1085" s="14">
        <f t="shared" si="24"/>
        <v>9.8504166666666659</v>
      </c>
      <c r="O1085" s="14">
        <f t="shared" si="24"/>
        <v>9.9973666666666663</v>
      </c>
      <c r="P1085" s="14">
        <f t="shared" si="24"/>
        <v>9.8715833333333336</v>
      </c>
      <c r="Q1085" s="14">
        <f t="shared" si="24"/>
        <v>10.592066666666666</v>
      </c>
      <c r="R1085" s="14">
        <f t="shared" si="24"/>
        <v>11.205541666666667</v>
      </c>
      <c r="S1085" s="14">
        <f t="shared" si="24"/>
        <v>9.6090083333333336</v>
      </c>
      <c r="T1085" s="49">
        <f>SUM(T193:T204)</f>
        <v>358.17703550000004</v>
      </c>
      <c r="U1085" s="49">
        <f>SUM(U193:U204)</f>
        <v>142.42176299999997</v>
      </c>
      <c r="V1085" s="49">
        <f>SUM(V193:V204)</f>
        <v>50.325000000000003</v>
      </c>
      <c r="W1085" s="49">
        <f>SUM(W193:W204)</f>
        <v>5.0961473999999995</v>
      </c>
      <c r="X1085" s="49">
        <f>SUM(X193:X204)</f>
        <v>20.800615543999996</v>
      </c>
      <c r="Y1085" s="49"/>
      <c r="Z1085" s="14"/>
      <c r="AA1085" s="14"/>
      <c r="AB1085" s="50">
        <f>AVERAGE(AB193:AB204)</f>
        <v>10.054711632829532</v>
      </c>
      <c r="AC1085" s="45">
        <f>AVERAGE(AC193:AC204)</f>
        <v>9.8932827338129474</v>
      </c>
    </row>
    <row r="1086" spans="1:29" ht="15.75" x14ac:dyDescent="0.25">
      <c r="A1086" s="10">
        <v>2029</v>
      </c>
      <c r="B1086" s="14">
        <f t="shared" ref="B1086:S1086" si="25">AVERAGE(B205:B216)</f>
        <v>10.342808333333332</v>
      </c>
      <c r="C1086" s="14">
        <f t="shared" si="25"/>
        <v>10.349066666666667</v>
      </c>
      <c r="D1086" s="14">
        <f t="shared" si="25"/>
        <v>10.51</v>
      </c>
      <c r="E1086" s="14">
        <f t="shared" si="25"/>
        <v>10.542433333333333</v>
      </c>
      <c r="F1086" s="14">
        <f t="shared" si="25"/>
        <v>10.371041666666668</v>
      </c>
      <c r="G1086" s="14">
        <f t="shared" si="25"/>
        <v>10.388524999999998</v>
      </c>
      <c r="H1086" s="14">
        <f t="shared" si="25"/>
        <v>10.531550000000001</v>
      </c>
      <c r="I1086" s="14">
        <f t="shared" si="25"/>
        <v>10.404741666666665</v>
      </c>
      <c r="J1086" s="14">
        <f t="shared" si="25"/>
        <v>10.364041666666665</v>
      </c>
      <c r="K1086" s="53">
        <f t="shared" si="25"/>
        <v>10.400858333333334</v>
      </c>
      <c r="L1086" s="14">
        <f t="shared" si="25"/>
        <v>11.118550000000001</v>
      </c>
      <c r="M1086" s="14">
        <f t="shared" si="25"/>
        <v>10.159366666666669</v>
      </c>
      <c r="N1086" s="14">
        <f t="shared" si="25"/>
        <v>10.176508333333333</v>
      </c>
      <c r="O1086" s="14">
        <f t="shared" si="25"/>
        <v>10.323449999999999</v>
      </c>
      <c r="P1086" s="14">
        <f t="shared" si="25"/>
        <v>10.198683333333333</v>
      </c>
      <c r="Q1086" s="14">
        <f t="shared" si="25"/>
        <v>10.918149999999999</v>
      </c>
      <c r="R1086" s="14">
        <f t="shared" si="25"/>
        <v>11.532449999999999</v>
      </c>
      <c r="S1086" s="14">
        <f t="shared" si="25"/>
        <v>9.928899999999997</v>
      </c>
      <c r="T1086" s="49">
        <f>SUM(T205:T216)</f>
        <v>357.24568100000005</v>
      </c>
      <c r="U1086" s="49">
        <f>SUM(U205:U216)</f>
        <v>142.03263249999998</v>
      </c>
      <c r="V1086" s="49">
        <f>SUM(V205:V216)</f>
        <v>50.187500000000007</v>
      </c>
      <c r="W1086" s="49">
        <f>SUM(W205:W216)</f>
        <v>5.0822234999999996</v>
      </c>
      <c r="X1086" s="49">
        <f>SUM(X205:X216)</f>
        <v>20.758966663999999</v>
      </c>
      <c r="Y1086" s="49"/>
      <c r="Z1086" s="14"/>
      <c r="AA1086" s="14"/>
      <c r="AB1086" s="50">
        <f>AVERAGE(AB205:AB216)</f>
        <v>10.387697639336533</v>
      </c>
      <c r="AC1086" s="45">
        <f>AVERAGE(AC205:AC216)</f>
        <v>10.219509952038369</v>
      </c>
    </row>
    <row r="1087" spans="1:29" ht="15.75" x14ac:dyDescent="0.25">
      <c r="A1087" s="10">
        <v>2030</v>
      </c>
      <c r="B1087" s="14">
        <f t="shared" ref="B1087:S1087" si="26">AVERAGE(B217:B228)</f>
        <v>10.642949999999999</v>
      </c>
      <c r="C1087" s="14">
        <f t="shared" si="26"/>
        <v>10.649216666666668</v>
      </c>
      <c r="D1087" s="14">
        <f t="shared" si="26"/>
        <v>10.810133333333333</v>
      </c>
      <c r="E1087" s="14">
        <f t="shared" si="26"/>
        <v>10.842574999999998</v>
      </c>
      <c r="F1087" s="14">
        <f t="shared" si="26"/>
        <v>10.671191666666665</v>
      </c>
      <c r="G1087" s="14">
        <f t="shared" si="26"/>
        <v>10.688650000000001</v>
      </c>
      <c r="H1087" s="14">
        <f t="shared" si="26"/>
        <v>10.831683333333336</v>
      </c>
      <c r="I1087" s="14">
        <f t="shared" si="26"/>
        <v>10.705800000000002</v>
      </c>
      <c r="J1087" s="14">
        <f t="shared" si="26"/>
        <v>10.664191666666667</v>
      </c>
      <c r="K1087" s="53">
        <f t="shared" si="26"/>
        <v>10.701924999999997</v>
      </c>
      <c r="L1087" s="14">
        <f t="shared" si="26"/>
        <v>11.418683333333332</v>
      </c>
      <c r="M1087" s="14">
        <f t="shared" si="26"/>
        <v>10.453358333333334</v>
      </c>
      <c r="N1087" s="14">
        <f t="shared" si="26"/>
        <v>10.470499999999999</v>
      </c>
      <c r="O1087" s="14">
        <f t="shared" si="26"/>
        <v>10.617441666666666</v>
      </c>
      <c r="P1087" s="14">
        <f t="shared" si="26"/>
        <v>10.493583333333333</v>
      </c>
      <c r="Q1087" s="14">
        <f t="shared" si="26"/>
        <v>11.212141666666666</v>
      </c>
      <c r="R1087" s="14">
        <f t="shared" si="26"/>
        <v>11.827174999999999</v>
      </c>
      <c r="S1087" s="14">
        <f t="shared" si="26"/>
        <v>10.217308333333333</v>
      </c>
      <c r="T1087" s="49">
        <f>SUM(T217:T228)</f>
        <v>357.24568100000005</v>
      </c>
      <c r="U1087" s="49">
        <f>SUM(U217:U228)</f>
        <v>142.03263249999998</v>
      </c>
      <c r="V1087" s="49">
        <f>SUM(V217:V228)</f>
        <v>50.187500000000007</v>
      </c>
      <c r="W1087" s="49">
        <f>SUM(W217:W228)</f>
        <v>5.0822234999999996</v>
      </c>
      <c r="X1087" s="49">
        <f>SUM(X217:X228)</f>
        <v>20.758966663999999</v>
      </c>
      <c r="Y1087" s="49"/>
      <c r="Z1087" s="14"/>
      <c r="AA1087" s="14"/>
      <c r="AB1087" s="50">
        <f>AVERAGE(AB217:AB228)</f>
        <v>10.687915848224904</v>
      </c>
      <c r="AC1087" s="45">
        <f>AVERAGE(AC217:AC228)</f>
        <v>10.513633752997602</v>
      </c>
    </row>
    <row r="1088" spans="1:29" ht="15.75" x14ac:dyDescent="0.25">
      <c r="A1088" s="10">
        <v>2031</v>
      </c>
      <c r="B1088" s="14">
        <f t="shared" ref="B1088:S1088" si="27">AVERAGE(B229:B240)</f>
        <v>11.096716666666666</v>
      </c>
      <c r="C1088" s="14">
        <f t="shared" si="27"/>
        <v>11.103</v>
      </c>
      <c r="D1088" s="14">
        <f t="shared" si="27"/>
        <v>11.263908333333333</v>
      </c>
      <c r="E1088" s="14">
        <f t="shared" si="27"/>
        <v>11.296333333333337</v>
      </c>
      <c r="F1088" s="14">
        <f t="shared" si="27"/>
        <v>11.124941666666667</v>
      </c>
      <c r="G1088" s="14">
        <f t="shared" si="27"/>
        <v>11.142433333333331</v>
      </c>
      <c r="H1088" s="14">
        <f t="shared" si="27"/>
        <v>11.285449999999999</v>
      </c>
      <c r="I1088" s="14">
        <f t="shared" si="27"/>
        <v>11.161008333333333</v>
      </c>
      <c r="J1088" s="14">
        <f t="shared" si="27"/>
        <v>11.117941666666667</v>
      </c>
      <c r="K1088" s="53">
        <f t="shared" si="27"/>
        <v>11.157125000000001</v>
      </c>
      <c r="L1088" s="14">
        <f t="shared" si="27"/>
        <v>11.872450000000001</v>
      </c>
      <c r="M1088" s="14">
        <f t="shared" si="27"/>
        <v>10.897841666666666</v>
      </c>
      <c r="N1088" s="14">
        <f t="shared" si="27"/>
        <v>10.914958333333333</v>
      </c>
      <c r="O1088" s="14">
        <f t="shared" si="27"/>
        <v>11.061933333333331</v>
      </c>
      <c r="P1088" s="14">
        <f t="shared" si="27"/>
        <v>10.939416666666668</v>
      </c>
      <c r="Q1088" s="14">
        <f t="shared" si="27"/>
        <v>11.656633333333334</v>
      </c>
      <c r="R1088" s="14">
        <f t="shared" si="27"/>
        <v>12.272775000000001</v>
      </c>
      <c r="S1088" s="14">
        <f t="shared" si="27"/>
        <v>10.653333333333331</v>
      </c>
      <c r="T1088" s="49">
        <f>SUM(T229:T240)</f>
        <v>357.24568100000005</v>
      </c>
      <c r="U1088" s="49">
        <f>SUM(U229:U240)</f>
        <v>142.03263249999998</v>
      </c>
      <c r="V1088" s="49">
        <f>SUM(V229:V240)</f>
        <v>50.187500000000007</v>
      </c>
      <c r="W1088" s="49">
        <f>SUM(W229:W240)</f>
        <v>5.0822234999999996</v>
      </c>
      <c r="X1088" s="49">
        <f>SUM(X229:X240)</f>
        <v>20.758966663999999</v>
      </c>
      <c r="Y1088" s="49"/>
      <c r="Z1088" s="14"/>
      <c r="AA1088" s="14"/>
      <c r="AB1088" s="50">
        <f>AVERAGE(AB229:AB240)</f>
        <v>11.141803160071731</v>
      </c>
      <c r="AC1088" s="45">
        <f>AVERAGE(AC229:AC240)</f>
        <v>10.958310791366905</v>
      </c>
    </row>
    <row r="1089" spans="1:29" ht="15.75" x14ac:dyDescent="0.25">
      <c r="A1089" s="10">
        <v>2032</v>
      </c>
      <c r="B1089" s="14">
        <f t="shared" ref="B1089:S1089" si="28">AVERAGE(B241:B252)</f>
        <v>11.526933333333332</v>
      </c>
      <c r="C1089" s="14">
        <f t="shared" si="28"/>
        <v>11.533208333333334</v>
      </c>
      <c r="D1089" s="14">
        <f t="shared" si="28"/>
        <v>11.694133333333333</v>
      </c>
      <c r="E1089" s="14">
        <f t="shared" si="28"/>
        <v>11.726558333333337</v>
      </c>
      <c r="F1089" s="14">
        <f t="shared" si="28"/>
        <v>11.555141666666666</v>
      </c>
      <c r="G1089" s="14">
        <f t="shared" si="28"/>
        <v>11.572633333333334</v>
      </c>
      <c r="H1089" s="14">
        <f t="shared" si="28"/>
        <v>11.715674999999999</v>
      </c>
      <c r="I1089" s="14">
        <f t="shared" si="28"/>
        <v>11.592566666666668</v>
      </c>
      <c r="J1089" s="14">
        <f t="shared" si="28"/>
        <v>11.548141666666666</v>
      </c>
      <c r="K1089" s="53">
        <f t="shared" si="28"/>
        <v>11.588683333333334</v>
      </c>
      <c r="L1089" s="14">
        <f t="shared" si="28"/>
        <v>12.302675000000002</v>
      </c>
      <c r="M1089" s="14">
        <f t="shared" si="28"/>
        <v>11.319241666666665</v>
      </c>
      <c r="N1089" s="14">
        <f t="shared" si="28"/>
        <v>11.336358333333335</v>
      </c>
      <c r="O1089" s="14">
        <f t="shared" si="28"/>
        <v>11.483308333333332</v>
      </c>
      <c r="P1089" s="14">
        <f t="shared" si="28"/>
        <v>11.362083333333331</v>
      </c>
      <c r="Q1089" s="14">
        <f t="shared" si="28"/>
        <v>12.078008333333335</v>
      </c>
      <c r="R1089" s="14">
        <f t="shared" si="28"/>
        <v>12.695208333333335</v>
      </c>
      <c r="S1089" s="14">
        <f t="shared" si="28"/>
        <v>11.066725</v>
      </c>
      <c r="T1089" s="49">
        <f>SUM(T241:T252)</f>
        <v>358.17703550000004</v>
      </c>
      <c r="U1089" s="49">
        <f>SUM(U241:U252)</f>
        <v>142.42176299999997</v>
      </c>
      <c r="V1089" s="49">
        <f>SUM(V241:V252)</f>
        <v>50.325000000000003</v>
      </c>
      <c r="W1089" s="49">
        <f>SUM(W241:W252)</f>
        <v>5.0961473999999995</v>
      </c>
      <c r="X1089" s="49">
        <f>SUM(X241:X252)</f>
        <v>20.800615543999996</v>
      </c>
      <c r="Y1089" s="49"/>
      <c r="Z1089" s="14"/>
      <c r="AA1089" s="14"/>
      <c r="AB1089" s="50">
        <f>AVERAGE(AB241:AB252)</f>
        <v>11.572123105112539</v>
      </c>
      <c r="AC1089" s="45">
        <f>AVERAGE(AC241:AC252)</f>
        <v>11.379883153477218</v>
      </c>
    </row>
    <row r="1090" spans="1:29" ht="15.75" x14ac:dyDescent="0.25">
      <c r="A1090" s="10">
        <v>2033</v>
      </c>
      <c r="B1090" s="14">
        <f t="shared" ref="B1090:S1090" si="29">AVERAGE(B253:B264)</f>
        <v>11.973833333333333</v>
      </c>
      <c r="C1090" s="14">
        <f t="shared" si="29"/>
        <v>11.980091666666667</v>
      </c>
      <c r="D1090" s="14">
        <f t="shared" si="29"/>
        <v>12.141016666666665</v>
      </c>
      <c r="E1090" s="14">
        <f t="shared" si="29"/>
        <v>12.173458333333331</v>
      </c>
      <c r="F1090" s="14">
        <f t="shared" si="29"/>
        <v>12.002058333333336</v>
      </c>
      <c r="G1090" s="14">
        <f t="shared" si="29"/>
        <v>12.019533333333335</v>
      </c>
      <c r="H1090" s="14">
        <f t="shared" si="29"/>
        <v>12.162558333333335</v>
      </c>
      <c r="I1090" s="14">
        <f t="shared" si="29"/>
        <v>12.040858333333334</v>
      </c>
      <c r="J1090" s="14">
        <f t="shared" si="29"/>
        <v>11.995058333333333</v>
      </c>
      <c r="K1090" s="53">
        <f t="shared" si="29"/>
        <v>12.036983333333334</v>
      </c>
      <c r="L1090" s="14">
        <f t="shared" si="29"/>
        <v>12.749558333333333</v>
      </c>
      <c r="M1090" s="14">
        <f t="shared" si="29"/>
        <v>11.756974999999999</v>
      </c>
      <c r="N1090" s="14">
        <f t="shared" si="29"/>
        <v>11.774108333333331</v>
      </c>
      <c r="O1090" s="14">
        <f t="shared" si="29"/>
        <v>11.921041666666666</v>
      </c>
      <c r="P1090" s="14">
        <f t="shared" si="29"/>
        <v>11.801175000000001</v>
      </c>
      <c r="Q1090" s="14">
        <f t="shared" si="29"/>
        <v>12.515741666666665</v>
      </c>
      <c r="R1090" s="14">
        <f t="shared" si="29"/>
        <v>13.134058333333334</v>
      </c>
      <c r="S1090" s="14">
        <f t="shared" si="29"/>
        <v>11.496158333333334</v>
      </c>
      <c r="T1090" s="49">
        <f>SUM(T253:T264)</f>
        <v>357.24568100000005</v>
      </c>
      <c r="U1090" s="49">
        <f>SUM(U253:U264)</f>
        <v>142.03263249999998</v>
      </c>
      <c r="V1090" s="49">
        <f>SUM(V253:V264)</f>
        <v>50.187500000000007</v>
      </c>
      <c r="W1090" s="49">
        <f>SUM(W253:W264)</f>
        <v>5.0822234999999996</v>
      </c>
      <c r="X1090" s="49">
        <f>SUM(X253:X264)</f>
        <v>20.758966663999999</v>
      </c>
      <c r="Y1090" s="49"/>
      <c r="Z1090" s="14"/>
      <c r="AA1090" s="14"/>
      <c r="AB1090" s="50">
        <f>AVERAGE(AB253:AB264)</f>
        <v>12.019137188353662</v>
      </c>
      <c r="AC1090" s="45">
        <f>AVERAGE(AC253:AC264)</f>
        <v>11.817812889688248</v>
      </c>
    </row>
    <row r="1091" spans="1:29" ht="15.75" x14ac:dyDescent="0.25">
      <c r="A1091" s="10">
        <v>2034</v>
      </c>
      <c r="B1091" s="14">
        <f t="shared" ref="B1091:S1091" si="30">AVERAGE(B265:B276)</f>
        <v>12.438083333333331</v>
      </c>
      <c r="C1091" s="14">
        <f t="shared" si="30"/>
        <v>12.44435</v>
      </c>
      <c r="D1091" s="14">
        <f t="shared" si="30"/>
        <v>12.605283333333334</v>
      </c>
      <c r="E1091" s="14">
        <f t="shared" si="30"/>
        <v>12.637700000000002</v>
      </c>
      <c r="F1091" s="14">
        <f t="shared" si="30"/>
        <v>12.466316666666666</v>
      </c>
      <c r="G1091" s="14">
        <f t="shared" si="30"/>
        <v>12.4838</v>
      </c>
      <c r="H1091" s="14">
        <f t="shared" si="30"/>
        <v>12.626808333333329</v>
      </c>
      <c r="I1091" s="14">
        <f t="shared" si="30"/>
        <v>12.506566666666666</v>
      </c>
      <c r="J1091" s="14">
        <f t="shared" si="30"/>
        <v>12.459316666666666</v>
      </c>
      <c r="K1091" s="53">
        <f t="shared" si="30"/>
        <v>12.502675000000002</v>
      </c>
      <c r="L1091" s="14">
        <f t="shared" si="30"/>
        <v>13.213808333333334</v>
      </c>
      <c r="M1091" s="14">
        <f t="shared" si="30"/>
        <v>12.211716666666666</v>
      </c>
      <c r="N1091" s="14">
        <f t="shared" si="30"/>
        <v>12.228841666666668</v>
      </c>
      <c r="O1091" s="14">
        <f t="shared" si="30"/>
        <v>12.375791666666666</v>
      </c>
      <c r="P1091" s="14">
        <f t="shared" si="30"/>
        <v>12.257316666666666</v>
      </c>
      <c r="Q1091" s="14">
        <f t="shared" si="30"/>
        <v>12.970491666666668</v>
      </c>
      <c r="R1091" s="14">
        <f t="shared" si="30"/>
        <v>13.589933333333333</v>
      </c>
      <c r="S1091" s="14">
        <f t="shared" si="30"/>
        <v>11.942233333333332</v>
      </c>
      <c r="T1091" s="49">
        <f>SUM(T265:T276)</f>
        <v>357.24568100000005</v>
      </c>
      <c r="U1091" s="49">
        <f>SUM(U265:U276)</f>
        <v>142.03263249999998</v>
      </c>
      <c r="V1091" s="49">
        <f>SUM(V265:V276)</f>
        <v>50.187500000000007</v>
      </c>
      <c r="W1091" s="49">
        <f>SUM(W265:W276)</f>
        <v>5.0822234999999996</v>
      </c>
      <c r="X1091" s="49">
        <f>SUM(X265:X276)</f>
        <v>20.758966663999999</v>
      </c>
      <c r="Y1091" s="49"/>
      <c r="Z1091" s="14"/>
      <c r="AA1091" s="14"/>
      <c r="AB1091" s="50">
        <f>AVERAGE(AB265:AB276)</f>
        <v>12.483514578629572</v>
      </c>
      <c r="AC1091" s="45">
        <f>AVERAGE(AC265:AC276)</f>
        <v>12.272757853717026</v>
      </c>
    </row>
    <row r="1092" spans="1:29" ht="15.75" x14ac:dyDescent="0.25">
      <c r="A1092" s="10">
        <v>2035</v>
      </c>
      <c r="B1092" s="14">
        <f t="shared" ref="B1092:S1092" si="31">AVERAGE(B277:B288)</f>
        <v>12.920341666666667</v>
      </c>
      <c r="C1092" s="14">
        <f t="shared" si="31"/>
        <v>12.926608333333334</v>
      </c>
      <c r="D1092" s="14">
        <f t="shared" si="31"/>
        <v>13.08755</v>
      </c>
      <c r="E1092" s="14">
        <f t="shared" si="31"/>
        <v>13.119966666666665</v>
      </c>
      <c r="F1092" s="14">
        <f t="shared" si="31"/>
        <v>12.948566666666665</v>
      </c>
      <c r="G1092" s="14">
        <f t="shared" si="31"/>
        <v>12.966041666666664</v>
      </c>
      <c r="H1092" s="14">
        <f t="shared" si="31"/>
        <v>13.109091666666666</v>
      </c>
      <c r="I1092" s="14">
        <f t="shared" si="31"/>
        <v>12.990350000000001</v>
      </c>
      <c r="J1092" s="14">
        <f t="shared" si="31"/>
        <v>12.941566666666667</v>
      </c>
      <c r="K1092" s="53">
        <f t="shared" si="31"/>
        <v>12.986458333333331</v>
      </c>
      <c r="L1092" s="14">
        <f t="shared" si="31"/>
        <v>13.696091666666666</v>
      </c>
      <c r="M1092" s="14">
        <f t="shared" si="31"/>
        <v>12.684091666666667</v>
      </c>
      <c r="N1092" s="14">
        <f t="shared" si="31"/>
        <v>12.701216666666665</v>
      </c>
      <c r="O1092" s="14">
        <f t="shared" si="31"/>
        <v>12.848183333333333</v>
      </c>
      <c r="P1092" s="14">
        <f t="shared" si="31"/>
        <v>12.731149999999998</v>
      </c>
      <c r="Q1092" s="14">
        <f t="shared" si="31"/>
        <v>13.442883333333333</v>
      </c>
      <c r="R1092" s="14">
        <f t="shared" si="31"/>
        <v>14.063483333333332</v>
      </c>
      <c r="S1092" s="14">
        <f t="shared" si="31"/>
        <v>12.40565</v>
      </c>
      <c r="T1092" s="49">
        <f>SUM(T277:T288)</f>
        <v>357.24568100000005</v>
      </c>
      <c r="U1092" s="49">
        <f>SUM(U277:U288)</f>
        <v>142.03263249999998</v>
      </c>
      <c r="V1092" s="49">
        <f>SUM(V277:V288)</f>
        <v>50.187500000000007</v>
      </c>
      <c r="W1092" s="49">
        <f>SUM(W277:W288)</f>
        <v>5.0822234999999996</v>
      </c>
      <c r="X1092" s="49">
        <f>SUM(X277:X288)</f>
        <v>20.758966663999999</v>
      </c>
      <c r="Y1092" s="49"/>
      <c r="Z1092" s="14"/>
      <c r="AA1092" s="14"/>
      <c r="AB1092" s="50">
        <f>AVERAGE(AB277:AB288)</f>
        <v>12.965895507088922</v>
      </c>
      <c r="AC1092" s="45">
        <f>AVERAGE(AC277:AC288)</f>
        <v>12.74534880095923</v>
      </c>
    </row>
    <row r="1093" spans="1:29" ht="15.75" x14ac:dyDescent="0.25">
      <c r="A1093" s="10">
        <v>2036</v>
      </c>
      <c r="B1093" s="14">
        <f t="shared" ref="B1093:S1093" si="32">AVERAGE(B289:B300)</f>
        <v>13.421333333333335</v>
      </c>
      <c r="C1093" s="14">
        <f t="shared" si="32"/>
        <v>13.42759166666667</v>
      </c>
      <c r="D1093" s="14">
        <f t="shared" si="32"/>
        <v>13.588516666666665</v>
      </c>
      <c r="E1093" s="14">
        <f t="shared" si="32"/>
        <v>13.620941666666665</v>
      </c>
      <c r="F1093" s="14">
        <f t="shared" si="32"/>
        <v>13.449533333333333</v>
      </c>
      <c r="G1093" s="14">
        <f t="shared" si="32"/>
        <v>13.467033333333333</v>
      </c>
      <c r="H1093" s="14">
        <f t="shared" si="32"/>
        <v>13.610058333333335</v>
      </c>
      <c r="I1093" s="14">
        <f t="shared" si="32"/>
        <v>13.492891666666667</v>
      </c>
      <c r="J1093" s="14">
        <f t="shared" si="32"/>
        <v>13.442533333333335</v>
      </c>
      <c r="K1093" s="53">
        <f t="shared" si="32"/>
        <v>13.488999999999999</v>
      </c>
      <c r="L1093" s="14">
        <f t="shared" si="32"/>
        <v>14.197058333333333</v>
      </c>
      <c r="M1093" s="14">
        <f t="shared" si="32"/>
        <v>13.174825</v>
      </c>
      <c r="N1093" s="14">
        <f t="shared" si="32"/>
        <v>13.191924999999998</v>
      </c>
      <c r="O1093" s="14">
        <f t="shared" si="32"/>
        <v>13.338891666666663</v>
      </c>
      <c r="P1093" s="14">
        <f t="shared" si="32"/>
        <v>13.223358333333332</v>
      </c>
      <c r="Q1093" s="14">
        <f t="shared" si="32"/>
        <v>13.933591666666667</v>
      </c>
      <c r="R1093" s="14">
        <f t="shared" si="32"/>
        <v>14.555425000000001</v>
      </c>
      <c r="S1093" s="14">
        <f t="shared" si="32"/>
        <v>12.887041666666663</v>
      </c>
      <c r="T1093" s="49">
        <f>SUM(T289:T300)</f>
        <v>358.17703550000004</v>
      </c>
      <c r="U1093" s="49">
        <f>SUM(U289:U300)</f>
        <v>142.42176299999997</v>
      </c>
      <c r="V1093" s="49">
        <f>SUM(V289:V300)</f>
        <v>50.325000000000003</v>
      </c>
      <c r="W1093" s="49">
        <f>SUM(W289:W300)</f>
        <v>5.0961473999999995</v>
      </c>
      <c r="X1093" s="49">
        <f>SUM(X289:X300)</f>
        <v>20.800615543999996</v>
      </c>
      <c r="Y1093" s="49"/>
      <c r="Z1093" s="14"/>
      <c r="AA1093" s="14"/>
      <c r="AB1093" s="50">
        <f>AVERAGE(AB289:AB300)</f>
        <v>13.467003234155049</v>
      </c>
      <c r="AC1093" s="45">
        <f>AVERAGE(AC289:AC300)</f>
        <v>13.236281594724224</v>
      </c>
    </row>
    <row r="1094" spans="1:29" ht="15.75" x14ac:dyDescent="0.25">
      <c r="A1094" s="10">
        <v>2037</v>
      </c>
      <c r="B1094" s="14">
        <f t="shared" ref="B1094:S1094" si="33">AVERAGE(B301:B312)</f>
        <v>13.941749999999999</v>
      </c>
      <c r="C1094" s="14">
        <f t="shared" si="33"/>
        <v>13.948016666666666</v>
      </c>
      <c r="D1094" s="14">
        <f t="shared" si="33"/>
        <v>14.108950000000002</v>
      </c>
      <c r="E1094" s="14">
        <f t="shared" si="33"/>
        <v>14.141358333333336</v>
      </c>
      <c r="F1094" s="14">
        <f t="shared" si="33"/>
        <v>13.969958333333331</v>
      </c>
      <c r="G1094" s="14">
        <f t="shared" si="33"/>
        <v>13.987441666666667</v>
      </c>
      <c r="H1094" s="14">
        <f t="shared" si="33"/>
        <v>14.130491666666666</v>
      </c>
      <c r="I1094" s="14">
        <f t="shared" si="33"/>
        <v>14.014925000000003</v>
      </c>
      <c r="J1094" s="14">
        <f t="shared" si="33"/>
        <v>13.962958333333333</v>
      </c>
      <c r="K1094" s="53">
        <f t="shared" si="33"/>
        <v>14.011049999999999</v>
      </c>
      <c r="L1094" s="14">
        <f t="shared" si="33"/>
        <v>14.717491666666666</v>
      </c>
      <c r="M1094" s="14">
        <f t="shared" si="33"/>
        <v>13.684558333333335</v>
      </c>
      <c r="N1094" s="14">
        <f t="shared" si="33"/>
        <v>13.701683333333333</v>
      </c>
      <c r="O1094" s="14">
        <f t="shared" si="33"/>
        <v>13.848641666666666</v>
      </c>
      <c r="P1094" s="14">
        <f t="shared" si="33"/>
        <v>13.734683333333331</v>
      </c>
      <c r="Q1094" s="14">
        <f t="shared" si="33"/>
        <v>14.443341666666667</v>
      </c>
      <c r="R1094" s="14">
        <f t="shared" si="33"/>
        <v>15.066449999999998</v>
      </c>
      <c r="S1094" s="14">
        <f t="shared" si="33"/>
        <v>13.387108333333336</v>
      </c>
      <c r="T1094" s="49">
        <f>SUM(T301:T312)</f>
        <v>357.24568100000005</v>
      </c>
      <c r="U1094" s="49">
        <f>SUM(U301:U312)</f>
        <v>142.03263249999998</v>
      </c>
      <c r="V1094" s="49">
        <f>SUM(V301:V312)</f>
        <v>50.187500000000007</v>
      </c>
      <c r="W1094" s="49">
        <f>SUM(W301:W312)</f>
        <v>5.0822234999999996</v>
      </c>
      <c r="X1094" s="49">
        <f>SUM(X301:X312)</f>
        <v>20.758966663999999</v>
      </c>
      <c r="Y1094" s="49"/>
      <c r="Z1094" s="14"/>
      <c r="AA1094" s="14"/>
      <c r="AB1094" s="50">
        <f>AVERAGE(AB301:AB312)</f>
        <v>13.987557968897759</v>
      </c>
      <c r="AC1094" s="45">
        <f>AVERAGE(AC301:AC312)</f>
        <v>13.746254376498802</v>
      </c>
    </row>
    <row r="1095" spans="1:29" ht="15.75" x14ac:dyDescent="0.25">
      <c r="A1095" s="10">
        <f t="shared" ref="A1095:A1126" si="34">A1094+1</f>
        <v>2038</v>
      </c>
      <c r="B1095" s="14">
        <f t="shared" ref="B1095:S1095" si="35">AVERAGE(B313:B324)</f>
        <v>14.482349999999999</v>
      </c>
      <c r="C1095" s="14">
        <f t="shared" si="35"/>
        <v>14.488624999999999</v>
      </c>
      <c r="D1095" s="14">
        <f t="shared" si="35"/>
        <v>14.64956666666667</v>
      </c>
      <c r="E1095" s="14">
        <f t="shared" si="35"/>
        <v>14.681983333333333</v>
      </c>
      <c r="F1095" s="14">
        <f t="shared" si="35"/>
        <v>14.510574999999998</v>
      </c>
      <c r="G1095" s="14">
        <f t="shared" si="35"/>
        <v>14.528066666666668</v>
      </c>
      <c r="H1095" s="14">
        <f t="shared" si="35"/>
        <v>14.671100000000001</v>
      </c>
      <c r="I1095" s="14">
        <f t="shared" si="35"/>
        <v>14.557241666666668</v>
      </c>
      <c r="J1095" s="14">
        <f t="shared" si="35"/>
        <v>14.503575</v>
      </c>
      <c r="K1095" s="53">
        <f t="shared" si="35"/>
        <v>14.553341666666666</v>
      </c>
      <c r="L1095" s="14">
        <f t="shared" si="35"/>
        <v>15.258099999999999</v>
      </c>
      <c r="M1095" s="14">
        <f t="shared" si="35"/>
        <v>14.21409166666667</v>
      </c>
      <c r="N1095" s="14">
        <f t="shared" si="35"/>
        <v>14.231216666666667</v>
      </c>
      <c r="O1095" s="14">
        <f t="shared" si="35"/>
        <v>14.378183333333332</v>
      </c>
      <c r="P1095" s="14">
        <f t="shared" si="35"/>
        <v>14.265833333333331</v>
      </c>
      <c r="Q1095" s="14">
        <f t="shared" si="35"/>
        <v>14.97288333333333</v>
      </c>
      <c r="R1095" s="14">
        <f t="shared" si="35"/>
        <v>15.59731666666667</v>
      </c>
      <c r="S1095" s="14">
        <f t="shared" si="35"/>
        <v>13.906566666666668</v>
      </c>
      <c r="T1095" s="49">
        <f>SUM(T313:T324)</f>
        <v>357.24568100000005</v>
      </c>
      <c r="U1095" s="49">
        <f>SUM(U313:U324)</f>
        <v>142.03263249999998</v>
      </c>
      <c r="V1095" s="49">
        <f>SUM(V313:V324)</f>
        <v>50.187500000000007</v>
      </c>
      <c r="W1095" s="49">
        <f>SUM(W313:W324)</f>
        <v>5.0822234999999996</v>
      </c>
      <c r="X1095" s="49">
        <f>SUM(X313:X324)</f>
        <v>20.758966663999999</v>
      </c>
      <c r="Y1095" s="49"/>
      <c r="Z1095" s="14"/>
      <c r="AA1095" s="14"/>
      <c r="AB1095" s="50">
        <f>AVERAGE(AB313:AB324)</f>
        <v>14.52831174640132</v>
      </c>
      <c r="AC1095" s="45">
        <f>AVERAGE(AC313:AC324)</f>
        <v>14.276024100719424</v>
      </c>
    </row>
    <row r="1096" spans="1:29" ht="15.75" x14ac:dyDescent="0.25">
      <c r="A1096" s="10">
        <f t="shared" si="34"/>
        <v>2039</v>
      </c>
      <c r="B1096" s="14">
        <f t="shared" ref="B1096:S1096" si="36">AVERAGE(B325:B336)</f>
        <v>15.043950000000001</v>
      </c>
      <c r="C1096" s="14">
        <f t="shared" si="36"/>
        <v>15.050200000000002</v>
      </c>
      <c r="D1096" s="14">
        <f t="shared" si="36"/>
        <v>15.211133333333335</v>
      </c>
      <c r="E1096" s="14">
        <f t="shared" si="36"/>
        <v>15.243566666666666</v>
      </c>
      <c r="F1096" s="14">
        <f t="shared" si="36"/>
        <v>15.072175000000001</v>
      </c>
      <c r="G1096" s="14">
        <f t="shared" si="36"/>
        <v>15.089641666666667</v>
      </c>
      <c r="H1096" s="14">
        <f t="shared" si="36"/>
        <v>15.232675</v>
      </c>
      <c r="I1096" s="14">
        <f t="shared" si="36"/>
        <v>15.120600000000001</v>
      </c>
      <c r="J1096" s="14">
        <f t="shared" si="36"/>
        <v>15.065174999999998</v>
      </c>
      <c r="K1096" s="53">
        <f t="shared" si="36"/>
        <v>15.1167</v>
      </c>
      <c r="L1096" s="14">
        <f t="shared" si="36"/>
        <v>15.819674999999998</v>
      </c>
      <c r="M1096" s="14">
        <f t="shared" si="36"/>
        <v>14.764191666666663</v>
      </c>
      <c r="N1096" s="14">
        <f t="shared" si="36"/>
        <v>14.781316666666667</v>
      </c>
      <c r="O1096" s="14">
        <f t="shared" si="36"/>
        <v>14.928258333333334</v>
      </c>
      <c r="P1096" s="14">
        <f t="shared" si="36"/>
        <v>14.817600000000001</v>
      </c>
      <c r="Q1096" s="14">
        <f t="shared" si="36"/>
        <v>15.522958333333328</v>
      </c>
      <c r="R1096" s="14">
        <f t="shared" si="36"/>
        <v>16.148774999999997</v>
      </c>
      <c r="S1096" s="14">
        <f t="shared" si="36"/>
        <v>14.446208333333331</v>
      </c>
      <c r="T1096" s="49">
        <f>SUM(T325:T336)</f>
        <v>357.24568100000005</v>
      </c>
      <c r="U1096" s="49">
        <f>SUM(U325:U336)</f>
        <v>142.03263249999998</v>
      </c>
      <c r="V1096" s="49">
        <f>SUM(V325:V336)</f>
        <v>50.187500000000007</v>
      </c>
      <c r="W1096" s="49">
        <f>SUM(W325:W336)</f>
        <v>5.0822234999999996</v>
      </c>
      <c r="X1096" s="49">
        <f>SUM(X325:X336)</f>
        <v>20.758966663999999</v>
      </c>
      <c r="Y1096" s="49"/>
      <c r="Z1096" s="55"/>
      <c r="AA1096" s="54"/>
      <c r="AB1096" s="50">
        <f>AVERAGE(AB325:AB336)</f>
        <v>15.090043518874282</v>
      </c>
      <c r="AC1096" s="45">
        <f>AVERAGE(AC325:AC336)</f>
        <v>14.826354016786569</v>
      </c>
    </row>
    <row r="1097" spans="1:29" ht="15.75" x14ac:dyDescent="0.25">
      <c r="A1097" s="10">
        <f t="shared" si="34"/>
        <v>2040</v>
      </c>
      <c r="B1097" s="14">
        <f t="shared" ref="B1097:S1097" si="37">AVERAGE(B337:B348)</f>
        <v>15.62735</v>
      </c>
      <c r="C1097" s="14">
        <f t="shared" si="37"/>
        <v>15.633599999999999</v>
      </c>
      <c r="D1097" s="14">
        <f t="shared" si="37"/>
        <v>15.794541666666669</v>
      </c>
      <c r="E1097" s="14">
        <f t="shared" si="37"/>
        <v>15.826958333333335</v>
      </c>
      <c r="F1097" s="14">
        <f t="shared" si="37"/>
        <v>15.655541666666666</v>
      </c>
      <c r="G1097" s="14">
        <f t="shared" si="37"/>
        <v>15.673041666666665</v>
      </c>
      <c r="H1097" s="14">
        <f t="shared" si="37"/>
        <v>15.816083333333331</v>
      </c>
      <c r="I1097" s="14">
        <f t="shared" si="37"/>
        <v>15.705808333333332</v>
      </c>
      <c r="J1097" s="14">
        <f t="shared" si="37"/>
        <v>15.648541666666667</v>
      </c>
      <c r="K1097" s="53">
        <f t="shared" si="37"/>
        <v>15.701916666666667</v>
      </c>
      <c r="L1097" s="14">
        <f t="shared" si="37"/>
        <v>16.403083333333338</v>
      </c>
      <c r="M1097" s="14">
        <f t="shared" si="37"/>
        <v>15.335608333333333</v>
      </c>
      <c r="N1097" s="14">
        <f t="shared" si="37"/>
        <v>15.352733333333333</v>
      </c>
      <c r="O1097" s="14">
        <f t="shared" si="37"/>
        <v>15.499691666666665</v>
      </c>
      <c r="P1097" s="14">
        <f t="shared" si="37"/>
        <v>15.390783333333333</v>
      </c>
      <c r="Q1097" s="14">
        <f t="shared" si="37"/>
        <v>16.094391666666667</v>
      </c>
      <c r="R1097" s="14">
        <f t="shared" si="37"/>
        <v>16.721641666666667</v>
      </c>
      <c r="S1097" s="14">
        <f t="shared" si="37"/>
        <v>15.006783333333333</v>
      </c>
      <c r="T1097" s="49">
        <f>SUM(T337:T348)</f>
        <v>358.17703550000004</v>
      </c>
      <c r="U1097" s="49">
        <f>SUM(U337:U348)</f>
        <v>142.42176299999997</v>
      </c>
      <c r="V1097" s="49">
        <f>SUM(V337:V348)</f>
        <v>50.325000000000003</v>
      </c>
      <c r="W1097" s="49">
        <f>SUM(W337:W348)</f>
        <v>5.0961473999999995</v>
      </c>
      <c r="X1097" s="49">
        <f>SUM(X337:X348)</f>
        <v>20.800615543999996</v>
      </c>
      <c r="Y1097" s="49"/>
      <c r="Z1097" s="55"/>
      <c r="AA1097" s="54"/>
      <c r="AB1097" s="50">
        <f>AVERAGE(AB337:AB348)</f>
        <v>15.673583629475509</v>
      </c>
      <c r="AC1097" s="45">
        <f>AVERAGE(AC337:AC348)</f>
        <v>15.398029556354915</v>
      </c>
    </row>
    <row r="1098" spans="1:29" ht="15.75" x14ac:dyDescent="0.25">
      <c r="A1098" s="10">
        <f t="shared" si="34"/>
        <v>2041</v>
      </c>
      <c r="B1098" s="14">
        <f t="shared" ref="B1098:S1098" si="38">AVERAGE(B349:B360)</f>
        <v>16.233358333333332</v>
      </c>
      <c r="C1098" s="14">
        <f t="shared" si="38"/>
        <v>16.239625</v>
      </c>
      <c r="D1098" s="14">
        <f t="shared" si="38"/>
        <v>16.400549999999999</v>
      </c>
      <c r="E1098" s="14">
        <f t="shared" si="38"/>
        <v>16.432966666666669</v>
      </c>
      <c r="F1098" s="14">
        <f t="shared" si="38"/>
        <v>16.261583333333334</v>
      </c>
      <c r="G1098" s="14">
        <f t="shared" si="38"/>
        <v>16.279058333333335</v>
      </c>
      <c r="H1098" s="14">
        <f t="shared" si="38"/>
        <v>16.422091666666667</v>
      </c>
      <c r="I1098" s="14">
        <f t="shared" si="38"/>
        <v>16.313741666666665</v>
      </c>
      <c r="J1098" s="14">
        <f t="shared" si="38"/>
        <v>16.254583333333333</v>
      </c>
      <c r="K1098" s="53">
        <f t="shared" si="38"/>
        <v>16.309850000000001</v>
      </c>
      <c r="L1098" s="14">
        <f t="shared" si="38"/>
        <v>17.009091666666666</v>
      </c>
      <c r="M1098" s="14">
        <f t="shared" si="38"/>
        <v>15.929224999999997</v>
      </c>
      <c r="N1098" s="14">
        <f t="shared" si="38"/>
        <v>15.946358333333331</v>
      </c>
      <c r="O1098" s="14">
        <f t="shared" si="38"/>
        <v>16.093308333333333</v>
      </c>
      <c r="P1098" s="14">
        <f t="shared" si="38"/>
        <v>15.986233333333331</v>
      </c>
      <c r="Q1098" s="14">
        <f t="shared" si="38"/>
        <v>16.688008333333336</v>
      </c>
      <c r="R1098" s="14">
        <f t="shared" si="38"/>
        <v>17.316725000000002</v>
      </c>
      <c r="S1098" s="14">
        <f t="shared" si="38"/>
        <v>15.589125000000001</v>
      </c>
      <c r="T1098" s="49">
        <f>SUM(T349:T360)</f>
        <v>357.24568100000005</v>
      </c>
      <c r="U1098" s="49">
        <f>SUM(U349:U360)</f>
        <v>142.03263249999998</v>
      </c>
      <c r="V1098" s="49">
        <f>SUM(V349:V360)</f>
        <v>50.187500000000007</v>
      </c>
      <c r="W1098" s="49">
        <f>SUM(W349:W360)</f>
        <v>5.0822234999999996</v>
      </c>
      <c r="X1098" s="49">
        <f>SUM(X349:X360)</f>
        <v>20.758966663999999</v>
      </c>
      <c r="Y1098" s="49"/>
      <c r="Z1098" s="55"/>
      <c r="AA1098" s="54"/>
      <c r="AB1098" s="50">
        <f>AVERAGE(AB349:AB360)</f>
        <v>16.279764966417719</v>
      </c>
      <c r="AC1098" s="45">
        <f>AVERAGE(AC349:AC360)</f>
        <v>15.991913369304555</v>
      </c>
    </row>
    <row r="1099" spans="1:29" ht="15.75" x14ac:dyDescent="0.25">
      <c r="A1099" s="10">
        <f t="shared" si="34"/>
        <v>2042</v>
      </c>
      <c r="B1099" s="14">
        <f t="shared" ref="B1099:S1099" si="39">AVERAGE(B361:B372)</f>
        <v>16.8629</v>
      </c>
      <c r="C1099" s="14">
        <f t="shared" si="39"/>
        <v>16.869175000000002</v>
      </c>
      <c r="D1099" s="14">
        <f t="shared" si="39"/>
        <v>17.030091666666667</v>
      </c>
      <c r="E1099" s="14">
        <f t="shared" si="39"/>
        <v>17.062524999999997</v>
      </c>
      <c r="F1099" s="14">
        <f t="shared" si="39"/>
        <v>16.891116666666665</v>
      </c>
      <c r="G1099" s="14">
        <f t="shared" si="39"/>
        <v>16.908608333333333</v>
      </c>
      <c r="H1099" s="14">
        <f t="shared" si="39"/>
        <v>17.051624999999998</v>
      </c>
      <c r="I1099" s="14">
        <f t="shared" si="39"/>
        <v>16.945249999999998</v>
      </c>
      <c r="J1099" s="14">
        <f t="shared" si="39"/>
        <v>16.884116666666667</v>
      </c>
      <c r="K1099" s="53">
        <f t="shared" si="39"/>
        <v>16.94135833333333</v>
      </c>
      <c r="L1099" s="14">
        <f t="shared" si="39"/>
        <v>17.638625000000001</v>
      </c>
      <c r="M1099" s="14">
        <f t="shared" si="39"/>
        <v>16.545874999999999</v>
      </c>
      <c r="N1099" s="14">
        <f t="shared" si="39"/>
        <v>16.562991666666665</v>
      </c>
      <c r="O1099" s="14">
        <f t="shared" si="39"/>
        <v>16.709958333333336</v>
      </c>
      <c r="P1099" s="14">
        <f t="shared" si="39"/>
        <v>16.604749999999999</v>
      </c>
      <c r="Q1099" s="14">
        <f t="shared" si="39"/>
        <v>17.304658333333332</v>
      </c>
      <c r="R1099" s="14">
        <f t="shared" si="39"/>
        <v>17.93491666666667</v>
      </c>
      <c r="S1099" s="14">
        <f t="shared" si="39"/>
        <v>16.194033333333334</v>
      </c>
      <c r="T1099" s="49">
        <f>SUM(T361:T372)</f>
        <v>357.24568100000005</v>
      </c>
      <c r="U1099" s="49">
        <f>SUM(U361:U372)</f>
        <v>142.03263249999998</v>
      </c>
      <c r="V1099" s="49">
        <f>SUM(V361:V372)</f>
        <v>50.187500000000007</v>
      </c>
      <c r="W1099" s="49">
        <f>SUM(W361:W372)</f>
        <v>5.0822234999999996</v>
      </c>
      <c r="X1099" s="49">
        <f>SUM(X361:X372)</f>
        <v>20.758966663999999</v>
      </c>
      <c r="Y1099" s="49"/>
      <c r="Z1099" s="55"/>
      <c r="AA1099" s="54"/>
      <c r="AB1099" s="50">
        <f>AVERAGE(AB361:AB372)</f>
        <v>16.90946959804322</v>
      </c>
      <c r="AC1099" s="45">
        <f>AVERAGE(AC361:AC372)</f>
        <v>16.608828117505997</v>
      </c>
    </row>
    <row r="1100" spans="1:29" ht="15.75" x14ac:dyDescent="0.25">
      <c r="A1100" s="10">
        <f t="shared" si="34"/>
        <v>2043</v>
      </c>
      <c r="B1100" s="14">
        <f t="shared" ref="B1100:S1100" si="40">AVERAGE(B373:B384)</f>
        <v>17.516883333333336</v>
      </c>
      <c r="C1100" s="14">
        <f t="shared" si="40"/>
        <v>17.523150000000001</v>
      </c>
      <c r="D1100" s="14">
        <f t="shared" si="40"/>
        <v>17.684074999999996</v>
      </c>
      <c r="E1100" s="14">
        <f t="shared" si="40"/>
        <v>17.716491666666666</v>
      </c>
      <c r="F1100" s="14">
        <f t="shared" si="40"/>
        <v>17.545100000000001</v>
      </c>
      <c r="G1100" s="14">
        <f t="shared" si="40"/>
        <v>17.562574999999999</v>
      </c>
      <c r="H1100" s="14">
        <f t="shared" si="40"/>
        <v>17.705616666666668</v>
      </c>
      <c r="I1100" s="14">
        <f t="shared" si="40"/>
        <v>17.601266666666664</v>
      </c>
      <c r="J1100" s="14">
        <f t="shared" si="40"/>
        <v>17.538100000000004</v>
      </c>
      <c r="K1100" s="53">
        <f t="shared" si="40"/>
        <v>17.597375000000003</v>
      </c>
      <c r="L1100" s="14">
        <f t="shared" si="40"/>
        <v>18.292616666666664</v>
      </c>
      <c r="M1100" s="14">
        <f t="shared" si="40"/>
        <v>17.186441666666667</v>
      </c>
      <c r="N1100" s="14">
        <f t="shared" si="40"/>
        <v>17.203566666666667</v>
      </c>
      <c r="O1100" s="14">
        <f t="shared" si="40"/>
        <v>17.350533333333335</v>
      </c>
      <c r="P1100" s="14">
        <f t="shared" si="40"/>
        <v>17.247283333333332</v>
      </c>
      <c r="Q1100" s="14">
        <f t="shared" si="40"/>
        <v>17.945233333333334</v>
      </c>
      <c r="R1100" s="14">
        <f t="shared" si="40"/>
        <v>18.577083333333334</v>
      </c>
      <c r="S1100" s="14">
        <f t="shared" si="40"/>
        <v>16.822458333333334</v>
      </c>
      <c r="T1100" s="49">
        <f>SUM(T373:T384)</f>
        <v>357.24568100000005</v>
      </c>
      <c r="U1100" s="49">
        <f>SUM(U373:U384)</f>
        <v>142.03263249999998</v>
      </c>
      <c r="V1100" s="49">
        <f>SUM(V373:V384)</f>
        <v>50.187500000000007</v>
      </c>
      <c r="W1100" s="49">
        <f>SUM(W373:W384)</f>
        <v>5.0822234999999996</v>
      </c>
      <c r="X1100" s="49">
        <f>SUM(X373:X384)</f>
        <v>20.758966663999999</v>
      </c>
      <c r="Y1100" s="49"/>
      <c r="Z1100" s="55"/>
      <c r="AA1100" s="54"/>
      <c r="AB1100" s="50">
        <f>AVERAGE(AB373:AB384)</f>
        <v>17.563616015518484</v>
      </c>
      <c r="AC1100" s="45">
        <f>AVERAGE(AC373:AC384)</f>
        <v>17.249683453237406</v>
      </c>
    </row>
    <row r="1101" spans="1:29" ht="15.75" x14ac:dyDescent="0.25">
      <c r="A1101" s="10">
        <f t="shared" si="34"/>
        <v>2044</v>
      </c>
      <c r="B1101" s="14">
        <f t="shared" ref="B1101:S1101" si="41">AVERAGE(B385:B396)</f>
        <v>18.196225000000002</v>
      </c>
      <c r="C1101" s="14">
        <f t="shared" si="41"/>
        <v>18.202508333333331</v>
      </c>
      <c r="D1101" s="14">
        <f t="shared" si="41"/>
        <v>18.363424999999999</v>
      </c>
      <c r="E1101" s="14">
        <f t="shared" si="41"/>
        <v>18.395841666666666</v>
      </c>
      <c r="F1101" s="14">
        <f t="shared" si="41"/>
        <v>18.224441666666667</v>
      </c>
      <c r="G1101" s="14">
        <f t="shared" si="41"/>
        <v>18.241941666666666</v>
      </c>
      <c r="H1101" s="14">
        <f t="shared" si="41"/>
        <v>18.384966666666667</v>
      </c>
      <c r="I1101" s="14">
        <f t="shared" si="41"/>
        <v>18.282750000000004</v>
      </c>
      <c r="J1101" s="14">
        <f t="shared" si="41"/>
        <v>18.217441666666662</v>
      </c>
      <c r="K1101" s="53">
        <f t="shared" si="41"/>
        <v>18.278858333333332</v>
      </c>
      <c r="L1101" s="14">
        <f t="shared" si="41"/>
        <v>18.971966666666667</v>
      </c>
      <c r="M1101" s="14">
        <f t="shared" si="41"/>
        <v>17.851866666666666</v>
      </c>
      <c r="N1101" s="14">
        <f t="shared" si="41"/>
        <v>17.869</v>
      </c>
      <c r="O1101" s="14">
        <f t="shared" si="41"/>
        <v>18.015975000000001</v>
      </c>
      <c r="P1101" s="14">
        <f t="shared" si="41"/>
        <v>17.914774999999995</v>
      </c>
      <c r="Q1101" s="14">
        <f t="shared" si="41"/>
        <v>18.610675000000001</v>
      </c>
      <c r="R1101" s="14">
        <f t="shared" si="41"/>
        <v>19.244191666666669</v>
      </c>
      <c r="S1101" s="14">
        <f t="shared" si="41"/>
        <v>17.475233333333335</v>
      </c>
      <c r="T1101" s="49">
        <f>SUM(T385:T396)</f>
        <v>358.17703550000004</v>
      </c>
      <c r="U1101" s="49">
        <f>SUM(U385:U396)</f>
        <v>142.42176299999997</v>
      </c>
      <c r="V1101" s="49">
        <f>SUM(V385:V396)</f>
        <v>50.325000000000003</v>
      </c>
      <c r="W1101" s="49">
        <f>SUM(W385:W396)</f>
        <v>5.0961473999999995</v>
      </c>
      <c r="X1101" s="49">
        <f>SUM(X385:X396)</f>
        <v>20.800615543999996</v>
      </c>
      <c r="Y1101" s="49"/>
      <c r="Z1101" s="55"/>
      <c r="AA1101" s="54"/>
      <c r="AB1101" s="50">
        <f>AVERAGE(AB385:AB396)</f>
        <v>18.243142503878548</v>
      </c>
      <c r="AC1101" s="45">
        <f>AVERAGE(AC385:AC396)</f>
        <v>17.915413848920863</v>
      </c>
    </row>
    <row r="1102" spans="1:29" ht="15.75" x14ac:dyDescent="0.25">
      <c r="A1102" s="10">
        <f t="shared" si="34"/>
        <v>2045</v>
      </c>
      <c r="B1102" s="14">
        <f t="shared" ref="B1102:S1102" si="42">AVERAGE(B397:B408)</f>
        <v>18.901941666666666</v>
      </c>
      <c r="C1102" s="14">
        <f t="shared" si="42"/>
        <v>18.908225000000002</v>
      </c>
      <c r="D1102" s="14">
        <f t="shared" si="42"/>
        <v>19.06913333333333</v>
      </c>
      <c r="E1102" s="14">
        <f t="shared" si="42"/>
        <v>19.101566666666667</v>
      </c>
      <c r="F1102" s="14">
        <f t="shared" si="42"/>
        <v>18.930175000000002</v>
      </c>
      <c r="G1102" s="14">
        <f t="shared" si="42"/>
        <v>18.947641666666662</v>
      </c>
      <c r="H1102" s="14">
        <f t="shared" si="42"/>
        <v>19.090666666666667</v>
      </c>
      <c r="I1102" s="14">
        <f t="shared" si="42"/>
        <v>18.990675000000007</v>
      </c>
      <c r="J1102" s="14">
        <f t="shared" si="42"/>
        <v>18.923175000000004</v>
      </c>
      <c r="K1102" s="53">
        <f t="shared" si="42"/>
        <v>18.986783333333332</v>
      </c>
      <c r="L1102" s="14">
        <f t="shared" si="42"/>
        <v>19.677666666666664</v>
      </c>
      <c r="M1102" s="14">
        <f t="shared" si="42"/>
        <v>18.543149999999997</v>
      </c>
      <c r="N1102" s="14">
        <f t="shared" si="42"/>
        <v>18.56025</v>
      </c>
      <c r="O1102" s="14">
        <f t="shared" si="42"/>
        <v>18.707225000000001</v>
      </c>
      <c r="P1102" s="14">
        <f t="shared" si="42"/>
        <v>18.608149999999998</v>
      </c>
      <c r="Q1102" s="14">
        <f t="shared" si="42"/>
        <v>19.301924999999997</v>
      </c>
      <c r="R1102" s="14">
        <f t="shared" si="42"/>
        <v>19.937166666666666</v>
      </c>
      <c r="S1102" s="14">
        <f t="shared" si="42"/>
        <v>18.153366666666663</v>
      </c>
      <c r="T1102" s="49">
        <f>SUM(T397:T408)</f>
        <v>357.24568100000005</v>
      </c>
      <c r="U1102" s="49">
        <f>SUM(U397:U408)</f>
        <v>142.03263249999998</v>
      </c>
      <c r="V1102" s="49">
        <f>SUM(V397:V408)</f>
        <v>50.187500000000007</v>
      </c>
      <c r="W1102" s="49">
        <f>SUM(W397:W408)</f>
        <v>5.0822234999999996</v>
      </c>
      <c r="X1102" s="49">
        <f>SUM(X397:X408)</f>
        <v>20.758966663999999</v>
      </c>
      <c r="Y1102" s="49"/>
      <c r="Z1102" s="55"/>
      <c r="AA1102" s="54"/>
      <c r="AB1102" s="50">
        <f>AVERAGE(AB397:AB408)</f>
        <v>18.949043137416822</v>
      </c>
      <c r="AC1102" s="45">
        <f>AVERAGE(AC397:AC408)</f>
        <v>18.606982553956836</v>
      </c>
    </row>
    <row r="1103" spans="1:29" ht="15.75" x14ac:dyDescent="0.25">
      <c r="A1103" s="10">
        <f t="shared" si="34"/>
        <v>2046</v>
      </c>
      <c r="B1103" s="14">
        <f t="shared" ref="B1103:S1103" si="43">AVERAGE(B409:B420)</f>
        <v>19.635041666666666</v>
      </c>
      <c r="C1103" s="14">
        <f t="shared" si="43"/>
        <v>19.641325000000002</v>
      </c>
      <c r="D1103" s="14">
        <f t="shared" si="43"/>
        <v>19.802241666666664</v>
      </c>
      <c r="E1103" s="14">
        <f t="shared" si="43"/>
        <v>19.834666666666667</v>
      </c>
      <c r="F1103" s="14">
        <f t="shared" si="43"/>
        <v>19.663266666666669</v>
      </c>
      <c r="G1103" s="14">
        <f t="shared" si="43"/>
        <v>19.680758333333333</v>
      </c>
      <c r="H1103" s="14">
        <f t="shared" si="43"/>
        <v>19.823783333333335</v>
      </c>
      <c r="I1103" s="14">
        <f t="shared" si="43"/>
        <v>19.726058333333334</v>
      </c>
      <c r="J1103" s="14">
        <f t="shared" si="43"/>
        <v>19.656266666666664</v>
      </c>
      <c r="K1103" s="53">
        <f t="shared" si="43"/>
        <v>19.722191666666664</v>
      </c>
      <c r="L1103" s="14">
        <f t="shared" si="43"/>
        <v>20.410783333333335</v>
      </c>
      <c r="M1103" s="14">
        <f t="shared" si="43"/>
        <v>19.261208333333332</v>
      </c>
      <c r="N1103" s="14">
        <f t="shared" si="43"/>
        <v>19.27835</v>
      </c>
      <c r="O1103" s="14">
        <f t="shared" si="43"/>
        <v>19.425291666666663</v>
      </c>
      <c r="P1103" s="14">
        <f t="shared" si="43"/>
        <v>19.328424999999999</v>
      </c>
      <c r="Q1103" s="14">
        <f t="shared" si="43"/>
        <v>20.019991666666666</v>
      </c>
      <c r="R1103" s="14">
        <f t="shared" si="43"/>
        <v>20.657033333333334</v>
      </c>
      <c r="S1103" s="14">
        <f t="shared" si="43"/>
        <v>18.857808333333331</v>
      </c>
      <c r="T1103" s="49">
        <f>SUM(T409:T420)</f>
        <v>357.24568100000005</v>
      </c>
      <c r="U1103" s="49">
        <f>SUM(U409:U420)</f>
        <v>142.03263249999998</v>
      </c>
      <c r="V1103" s="49">
        <f>SUM(V409:V420)</f>
        <v>50.187500000000007</v>
      </c>
      <c r="W1103" s="49">
        <f>SUM(W409:W420)</f>
        <v>5.0822234999999996</v>
      </c>
      <c r="X1103" s="49">
        <f>SUM(X409:X420)</f>
        <v>20.758966663999999</v>
      </c>
      <c r="Y1103" s="49"/>
      <c r="Z1103" s="55"/>
      <c r="AA1103" s="54"/>
      <c r="AB1103" s="50">
        <f>AVERAGE(AB409:AB420)</f>
        <v>19.682332670550888</v>
      </c>
      <c r="AC1103" s="45">
        <f>AVERAGE(AC409:AC420)</f>
        <v>19.325366007194244</v>
      </c>
    </row>
    <row r="1104" spans="1:29" ht="15.75" x14ac:dyDescent="0.25">
      <c r="A1104" s="10">
        <f t="shared" si="34"/>
        <v>2047</v>
      </c>
      <c r="B1104" s="14">
        <f t="shared" ref="B1104:S1104" si="44">AVERAGE(B421:B432)</f>
        <v>20.396583333333336</v>
      </c>
      <c r="C1104" s="14">
        <f t="shared" si="44"/>
        <v>20.402866666666668</v>
      </c>
      <c r="D1104" s="14">
        <f t="shared" si="44"/>
        <v>20.563783333333337</v>
      </c>
      <c r="E1104" s="14">
        <f t="shared" si="44"/>
        <v>20.596216666666667</v>
      </c>
      <c r="F1104" s="14">
        <f t="shared" si="44"/>
        <v>20.424825000000002</v>
      </c>
      <c r="G1104" s="14">
        <f t="shared" si="44"/>
        <v>20.442299999999999</v>
      </c>
      <c r="H1104" s="14">
        <f t="shared" si="44"/>
        <v>20.585333333333335</v>
      </c>
      <c r="I1104" s="14">
        <f t="shared" si="44"/>
        <v>20.490024999999999</v>
      </c>
      <c r="J1104" s="14">
        <f t="shared" si="44"/>
        <v>20.417825000000001</v>
      </c>
      <c r="K1104" s="53">
        <f t="shared" si="44"/>
        <v>20.486125000000001</v>
      </c>
      <c r="L1104" s="14">
        <f t="shared" si="44"/>
        <v>21.172333333333331</v>
      </c>
      <c r="M1104" s="14">
        <f t="shared" si="44"/>
        <v>20.00715833333334</v>
      </c>
      <c r="N1104" s="14">
        <f t="shared" si="44"/>
        <v>20.024283333333333</v>
      </c>
      <c r="O1104" s="14">
        <f t="shared" si="44"/>
        <v>20.171241666666663</v>
      </c>
      <c r="P1104" s="14">
        <f t="shared" si="44"/>
        <v>20.076658333333334</v>
      </c>
      <c r="Q1104" s="14">
        <f t="shared" si="44"/>
        <v>20.765941666666667</v>
      </c>
      <c r="R1104" s="14">
        <f t="shared" si="44"/>
        <v>21.40485</v>
      </c>
      <c r="S1104" s="14">
        <f t="shared" si="44"/>
        <v>19.589591666666667</v>
      </c>
      <c r="T1104" s="49">
        <f>SUM(T421:T432)</f>
        <v>357.24568100000005</v>
      </c>
      <c r="U1104" s="49">
        <f>SUM(U421:U432)</f>
        <v>142.03263249999998</v>
      </c>
      <c r="V1104" s="49">
        <f>SUM(V421:V432)</f>
        <v>50.187500000000007</v>
      </c>
      <c r="W1104" s="49">
        <f>SUM(W421:W432)</f>
        <v>5.0822234999999996</v>
      </c>
      <c r="X1104" s="49">
        <f>SUM(X421:X432)</f>
        <v>20.758966663999999</v>
      </c>
      <c r="Y1104" s="49"/>
      <c r="Z1104" s="55"/>
      <c r="AA1104" s="54"/>
      <c r="AB1104" s="50">
        <f>AVERAGE(AB421:AB432)</f>
        <v>20.444077665607235</v>
      </c>
      <c r="AC1104" s="45">
        <f>AVERAGE(AC421:AC432)</f>
        <v>20.071643585131895</v>
      </c>
    </row>
    <row r="1105" spans="1:29" ht="15.75" x14ac:dyDescent="0.25">
      <c r="A1105" s="10">
        <f t="shared" si="34"/>
        <v>2048</v>
      </c>
      <c r="B1105" s="14">
        <f t="shared" ref="B1105:S1105" si="45">AVERAGE(B433:B444)</f>
        <v>21.187708333333333</v>
      </c>
      <c r="C1105" s="14">
        <f t="shared" si="45"/>
        <v>21.193974999999998</v>
      </c>
      <c r="D1105" s="14">
        <f t="shared" si="45"/>
        <v>21.354900000000001</v>
      </c>
      <c r="E1105" s="14">
        <f t="shared" si="45"/>
        <v>21.387316666666667</v>
      </c>
      <c r="F1105" s="14">
        <f t="shared" si="45"/>
        <v>21.215924999999995</v>
      </c>
      <c r="G1105" s="14">
        <f t="shared" si="45"/>
        <v>21.233416666666663</v>
      </c>
      <c r="H1105" s="14">
        <f t="shared" si="45"/>
        <v>21.376441666666665</v>
      </c>
      <c r="I1105" s="14">
        <f t="shared" si="45"/>
        <v>21.283591666666666</v>
      </c>
      <c r="J1105" s="14">
        <f t="shared" si="45"/>
        <v>21.208924999999997</v>
      </c>
      <c r="K1105" s="53">
        <f t="shared" si="45"/>
        <v>21.279699999999998</v>
      </c>
      <c r="L1105" s="14">
        <f t="shared" si="45"/>
        <v>21.963441666666665</v>
      </c>
      <c r="M1105" s="14">
        <f t="shared" si="45"/>
        <v>20.782058333333335</v>
      </c>
      <c r="N1105" s="14">
        <f t="shared" si="45"/>
        <v>20.799200000000003</v>
      </c>
      <c r="O1105" s="14">
        <f t="shared" si="45"/>
        <v>20.946133333333332</v>
      </c>
      <c r="P1105" s="14">
        <f t="shared" si="45"/>
        <v>20.853933333333334</v>
      </c>
      <c r="Q1105" s="14">
        <f t="shared" si="45"/>
        <v>21.540833333333328</v>
      </c>
      <c r="R1105" s="14">
        <f t="shared" si="45"/>
        <v>22.181691666666666</v>
      </c>
      <c r="S1105" s="14">
        <f t="shared" si="45"/>
        <v>20.34975833333333</v>
      </c>
      <c r="T1105" s="49">
        <f>SUM(T433:T444)</f>
        <v>358.17703550000004</v>
      </c>
      <c r="U1105" s="49">
        <f>SUM(U433:U444)</f>
        <v>142.42176299999997</v>
      </c>
      <c r="V1105" s="49">
        <f>SUM(V433:V444)</f>
        <v>50.325000000000003</v>
      </c>
      <c r="W1105" s="49">
        <f>SUM(W433:W444)</f>
        <v>5.0961473999999995</v>
      </c>
      <c r="X1105" s="49">
        <f>SUM(X433:X444)</f>
        <v>20.800615543999996</v>
      </c>
      <c r="Y1105" s="49"/>
      <c r="Z1105" s="55"/>
      <c r="AA1105" s="54"/>
      <c r="AB1105" s="50">
        <f>AVERAGE(AB433:AB444)</f>
        <v>21.235391441431616</v>
      </c>
      <c r="AC1105" s="45">
        <f>AVERAGE(AC433:AC444)</f>
        <v>20.846885371702637</v>
      </c>
    </row>
    <row r="1106" spans="1:29" ht="15.75" x14ac:dyDescent="0.25">
      <c r="A1106" s="10">
        <f t="shared" si="34"/>
        <v>2049</v>
      </c>
      <c r="B1106" s="14">
        <f t="shared" ref="B1106:S1106" si="46">AVERAGE(B445:B456)</f>
        <v>22.009508333333333</v>
      </c>
      <c r="C1106" s="14">
        <f t="shared" si="46"/>
        <v>22.015766666666668</v>
      </c>
      <c r="D1106" s="14">
        <f t="shared" si="46"/>
        <v>22.1767</v>
      </c>
      <c r="E1106" s="14">
        <f t="shared" si="46"/>
        <v>22.209124999999997</v>
      </c>
      <c r="F1106" s="14">
        <f t="shared" si="46"/>
        <v>22.037716666666668</v>
      </c>
      <c r="G1106" s="14">
        <f t="shared" si="46"/>
        <v>22.055191666666669</v>
      </c>
      <c r="H1106" s="14">
        <f t="shared" si="46"/>
        <v>22.198225000000004</v>
      </c>
      <c r="I1106" s="14">
        <f t="shared" si="46"/>
        <v>22.107975</v>
      </c>
      <c r="J1106" s="14">
        <f t="shared" si="46"/>
        <v>22.030716666666667</v>
      </c>
      <c r="K1106" s="53">
        <f t="shared" si="46"/>
        <v>22.104074999999998</v>
      </c>
      <c r="L1106" s="14">
        <f t="shared" si="46"/>
        <v>22.785224999999997</v>
      </c>
      <c r="M1106" s="14">
        <f t="shared" si="46"/>
        <v>21.587025000000001</v>
      </c>
      <c r="N1106" s="14">
        <f t="shared" si="46"/>
        <v>21.604158333333334</v>
      </c>
      <c r="O1106" s="14">
        <f t="shared" si="46"/>
        <v>21.751116666666665</v>
      </c>
      <c r="P1106" s="14">
        <f t="shared" si="46"/>
        <v>21.661366666666666</v>
      </c>
      <c r="Q1106" s="14">
        <f t="shared" si="46"/>
        <v>22.345816666666668</v>
      </c>
      <c r="R1106" s="14">
        <f t="shared" si="46"/>
        <v>22.988666666666663</v>
      </c>
      <c r="S1106" s="14">
        <f t="shared" si="46"/>
        <v>21.139416666666666</v>
      </c>
      <c r="T1106" s="49">
        <f>SUM(T445:T456)</f>
        <v>357.24568100000005</v>
      </c>
      <c r="U1106" s="49">
        <f>SUM(U445:U456)</f>
        <v>142.03263249999998</v>
      </c>
      <c r="V1106" s="49">
        <f>SUM(V445:V456)</f>
        <v>50.187500000000007</v>
      </c>
      <c r="W1106" s="49">
        <f>SUM(W445:W456)</f>
        <v>5.0822234999999996</v>
      </c>
      <c r="X1106" s="49">
        <f>SUM(X445:X456)</f>
        <v>20.758966663999999</v>
      </c>
      <c r="Y1106" s="49"/>
      <c r="Z1106" s="55"/>
      <c r="AA1106" s="54"/>
      <c r="AB1106" s="50">
        <f>AVERAGE(AB445:AB456)</f>
        <v>22.057396049192146</v>
      </c>
      <c r="AC1106" s="45">
        <f>AVERAGE(AC445:AC456)</f>
        <v>21.652209712230217</v>
      </c>
    </row>
    <row r="1107" spans="1:29" ht="15.75" x14ac:dyDescent="0.25">
      <c r="A1107" s="10">
        <f t="shared" si="34"/>
        <v>2050</v>
      </c>
      <c r="B1107" s="14">
        <f t="shared" ref="B1107:S1107" si="47">AVERAGE(B457:B468)</f>
        <v>22.863200000000003</v>
      </c>
      <c r="C1107" s="14">
        <f t="shared" si="47"/>
        <v>22.869458333333331</v>
      </c>
      <c r="D1107" s="14">
        <f t="shared" si="47"/>
        <v>23.030391666666663</v>
      </c>
      <c r="E1107" s="14">
        <f t="shared" si="47"/>
        <v>23.062816666666663</v>
      </c>
      <c r="F1107" s="14">
        <f t="shared" si="47"/>
        <v>22.891416666666672</v>
      </c>
      <c r="G1107" s="14">
        <f t="shared" si="47"/>
        <v>22.908899999999999</v>
      </c>
      <c r="H1107" s="14">
        <f t="shared" si="47"/>
        <v>23.051925000000001</v>
      </c>
      <c r="I1107" s="14">
        <f t="shared" si="47"/>
        <v>22.964341666666666</v>
      </c>
      <c r="J1107" s="14">
        <f t="shared" si="47"/>
        <v>22.884416666666667</v>
      </c>
      <c r="K1107" s="53">
        <f t="shared" si="47"/>
        <v>22.960449999999998</v>
      </c>
      <c r="L1107" s="14">
        <f t="shared" si="47"/>
        <v>23.638925000000004</v>
      </c>
      <c r="M1107" s="14">
        <f t="shared" si="47"/>
        <v>22.423233333333332</v>
      </c>
      <c r="N1107" s="14">
        <f t="shared" si="47"/>
        <v>22.440358333333332</v>
      </c>
      <c r="O1107" s="14">
        <f t="shared" si="47"/>
        <v>22.587308333333329</v>
      </c>
      <c r="P1107" s="14">
        <f t="shared" si="47"/>
        <v>22.500141666666668</v>
      </c>
      <c r="Q1107" s="14">
        <f t="shared" si="47"/>
        <v>23.182008333333332</v>
      </c>
      <c r="R1107" s="14">
        <f t="shared" si="47"/>
        <v>23.826975000000001</v>
      </c>
      <c r="S1107" s="14">
        <f t="shared" si="47"/>
        <v>21.959741666666662</v>
      </c>
      <c r="T1107" s="49">
        <f>SUM(T457:T468)</f>
        <v>357.24568100000005</v>
      </c>
      <c r="U1107" s="49">
        <f>SUM(U457:U468)</f>
        <v>142.03263249999998</v>
      </c>
      <c r="V1107" s="49">
        <f>SUM(V457:V468)</f>
        <v>50.187500000000007</v>
      </c>
      <c r="W1107" s="49">
        <f>SUM(W457:W468)</f>
        <v>5.0822234999999996</v>
      </c>
      <c r="X1107" s="49">
        <f>SUM(X457:X468)</f>
        <v>20.758966663999999</v>
      </c>
      <c r="Y1107" s="49"/>
      <c r="Z1107" s="55"/>
      <c r="AA1107" s="54"/>
      <c r="AB1107" s="50">
        <f>AVERAGE(AB457:AB468)</f>
        <v>22.911312654201883</v>
      </c>
      <c r="AC1107" s="45">
        <f>AVERAGE(AC457:AC468)</f>
        <v>22.488780755395684</v>
      </c>
    </row>
    <row r="1108" spans="1:29" ht="15.75" x14ac:dyDescent="0.25">
      <c r="A1108" s="10">
        <f t="shared" si="34"/>
        <v>2051</v>
      </c>
      <c r="B1108" s="14">
        <f t="shared" ref="B1108:S1108" si="48">AVERAGE(B469:B480)</f>
        <v>23.750033333333331</v>
      </c>
      <c r="C1108" s="14">
        <f t="shared" si="48"/>
        <v>23.756283333333339</v>
      </c>
      <c r="D1108" s="14">
        <f t="shared" si="48"/>
        <v>23.917224999999998</v>
      </c>
      <c r="E1108" s="14">
        <f t="shared" si="48"/>
        <v>23.949641666666665</v>
      </c>
      <c r="F1108" s="14">
        <f t="shared" si="48"/>
        <v>23.778241666666663</v>
      </c>
      <c r="G1108" s="14">
        <f t="shared" si="48"/>
        <v>23.795741666666668</v>
      </c>
      <c r="H1108" s="14">
        <f t="shared" si="48"/>
        <v>23.938766666666663</v>
      </c>
      <c r="I1108" s="14">
        <f t="shared" si="48"/>
        <v>23.853925000000004</v>
      </c>
      <c r="J1108" s="14">
        <f t="shared" si="48"/>
        <v>23.771241666666668</v>
      </c>
      <c r="K1108" s="53">
        <f t="shared" si="48"/>
        <v>23.850033333333329</v>
      </c>
      <c r="L1108" s="14">
        <f t="shared" si="48"/>
        <v>24.525766666666669</v>
      </c>
      <c r="M1108" s="14">
        <f t="shared" si="48"/>
        <v>23.291891666666661</v>
      </c>
      <c r="N1108" s="14">
        <f t="shared" si="48"/>
        <v>23.309008333333335</v>
      </c>
      <c r="O1108" s="14">
        <f t="shared" si="48"/>
        <v>23.455958333333331</v>
      </c>
      <c r="P1108" s="14">
        <f t="shared" si="48"/>
        <v>23.371466666666667</v>
      </c>
      <c r="Q1108" s="14">
        <f t="shared" si="48"/>
        <v>24.050658333333331</v>
      </c>
      <c r="R1108" s="14">
        <f t="shared" si="48"/>
        <v>24.697791666666664</v>
      </c>
      <c r="S1108" s="14">
        <f t="shared" si="48"/>
        <v>22.811908333333339</v>
      </c>
      <c r="T1108" s="49">
        <f>SUM(T469:T480)</f>
        <v>357.24568100000005</v>
      </c>
      <c r="U1108" s="49">
        <f>SUM(U469:U480)</f>
        <v>142.03263249999998</v>
      </c>
      <c r="V1108" s="49">
        <f>SUM(V469:V480)</f>
        <v>50.187500000000007</v>
      </c>
      <c r="W1108" s="49">
        <f>SUM(W469:W480)</f>
        <v>5.0822234999999996</v>
      </c>
      <c r="X1108" s="49">
        <f>SUM(X469:X480)</f>
        <v>20.758966663999999</v>
      </c>
      <c r="Y1108" s="49"/>
      <c r="Z1108" s="55"/>
      <c r="AA1108" s="54"/>
      <c r="AB1108" s="50">
        <f>AVERAGE(AB469:AB480)</f>
        <v>23.798369234514031</v>
      </c>
      <c r="AC1108" s="45">
        <f>AVERAGE(AC469:AC480)</f>
        <v>23.357818525179862</v>
      </c>
    </row>
    <row r="1109" spans="1:29" ht="15.75" x14ac:dyDescent="0.25">
      <c r="A1109" s="10">
        <f t="shared" si="34"/>
        <v>2052</v>
      </c>
      <c r="B1109" s="14">
        <f t="shared" ref="B1109:S1109" si="49">AVERAGE(B481:B492)</f>
        <v>24.671258333333331</v>
      </c>
      <c r="C1109" s="14">
        <f t="shared" si="49"/>
        <v>24.677524999999999</v>
      </c>
      <c r="D1109" s="14">
        <f t="shared" si="49"/>
        <v>24.838458333333335</v>
      </c>
      <c r="E1109" s="14">
        <f t="shared" si="49"/>
        <v>24.870875000000002</v>
      </c>
      <c r="F1109" s="14">
        <f t="shared" si="49"/>
        <v>24.699483333333337</v>
      </c>
      <c r="G1109" s="14">
        <f t="shared" si="49"/>
        <v>24.716958333333327</v>
      </c>
      <c r="H1109" s="14">
        <f t="shared" si="49"/>
        <v>24.86</v>
      </c>
      <c r="I1109" s="14">
        <f t="shared" si="49"/>
        <v>24.778066666666664</v>
      </c>
      <c r="J1109" s="14">
        <f t="shared" si="49"/>
        <v>24.692483333333332</v>
      </c>
      <c r="K1109" s="53">
        <f t="shared" si="49"/>
        <v>24.774175</v>
      </c>
      <c r="L1109" s="14">
        <f t="shared" si="49"/>
        <v>25.446999999999992</v>
      </c>
      <c r="M1109" s="14">
        <f t="shared" si="49"/>
        <v>24.194249999999997</v>
      </c>
      <c r="N1109" s="14">
        <f t="shared" si="49"/>
        <v>24.211375000000004</v>
      </c>
      <c r="O1109" s="14">
        <f t="shared" si="49"/>
        <v>24.358316666666667</v>
      </c>
      <c r="P1109" s="14">
        <f t="shared" si="49"/>
        <v>24.276591666666665</v>
      </c>
      <c r="Q1109" s="14">
        <f t="shared" si="49"/>
        <v>24.953016666666667</v>
      </c>
      <c r="R1109" s="14">
        <f t="shared" si="49"/>
        <v>25.602416666666667</v>
      </c>
      <c r="S1109" s="14">
        <f t="shared" si="49"/>
        <v>23.697108333333333</v>
      </c>
      <c r="T1109" s="49">
        <f>SUM(T481:T492)</f>
        <v>358.17703550000004</v>
      </c>
      <c r="U1109" s="49">
        <f>SUM(U481:U492)</f>
        <v>142.42176299999997</v>
      </c>
      <c r="V1109" s="49">
        <f>SUM(V481:V492)</f>
        <v>50.325000000000003</v>
      </c>
      <c r="W1109" s="49">
        <f>SUM(W481:W492)</f>
        <v>5.0961473999999995</v>
      </c>
      <c r="X1109" s="49">
        <f>SUM(X481:X492)</f>
        <v>20.800615543999996</v>
      </c>
      <c r="Y1109" s="49"/>
      <c r="Z1109" s="55"/>
      <c r="AA1109" s="54"/>
      <c r="AB1109" s="50">
        <f>AVERAGE(AB481:AB492)</f>
        <v>24.719843633238998</v>
      </c>
      <c r="AC1109" s="45">
        <f>AVERAGE(AC481:AC492)</f>
        <v>24.260573980815341</v>
      </c>
    </row>
    <row r="1110" spans="1:29" ht="15.75" x14ac:dyDescent="0.25">
      <c r="A1110" s="10">
        <f t="shared" si="34"/>
        <v>2053</v>
      </c>
      <c r="B1110" s="14">
        <f t="shared" ref="B1110:S1110" si="50">AVERAGE(B493:B504)</f>
        <v>25.628241666666668</v>
      </c>
      <c r="C1110" s="14">
        <f t="shared" si="50"/>
        <v>25.63451666666667</v>
      </c>
      <c r="D1110" s="14">
        <f t="shared" si="50"/>
        <v>25.795441666666665</v>
      </c>
      <c r="E1110" s="14">
        <f t="shared" si="50"/>
        <v>25.827874999999995</v>
      </c>
      <c r="F1110" s="14">
        <f t="shared" si="50"/>
        <v>25.656483333333338</v>
      </c>
      <c r="G1110" s="14">
        <f t="shared" si="50"/>
        <v>25.673950000000001</v>
      </c>
      <c r="H1110" s="14">
        <f t="shared" si="50"/>
        <v>25.816983333333329</v>
      </c>
      <c r="I1110" s="14">
        <f t="shared" si="50"/>
        <v>25.738041666666664</v>
      </c>
      <c r="J1110" s="14">
        <f t="shared" si="50"/>
        <v>25.649483333333333</v>
      </c>
      <c r="K1110" s="53">
        <f t="shared" si="50"/>
        <v>25.73415833333333</v>
      </c>
      <c r="L1110" s="14">
        <f t="shared" si="50"/>
        <v>26.40398333333334</v>
      </c>
      <c r="M1110" s="14">
        <f t="shared" si="50"/>
        <v>25.131633333333337</v>
      </c>
      <c r="N1110" s="14">
        <f t="shared" si="50"/>
        <v>25.148741666666666</v>
      </c>
      <c r="O1110" s="14">
        <f t="shared" si="50"/>
        <v>25.2957</v>
      </c>
      <c r="P1110" s="14">
        <f t="shared" si="50"/>
        <v>25.216858333333334</v>
      </c>
      <c r="Q1110" s="14">
        <f t="shared" si="50"/>
        <v>25.8904</v>
      </c>
      <c r="R1110" s="14">
        <f t="shared" si="50"/>
        <v>26.542141666666669</v>
      </c>
      <c r="S1110" s="14">
        <f t="shared" si="50"/>
        <v>24.616675000000004</v>
      </c>
      <c r="T1110" s="49">
        <f>SUM(T493:T504)</f>
        <v>357.24568100000005</v>
      </c>
      <c r="U1110" s="49">
        <f>SUM(U493:U504)</f>
        <v>142.03263249999998</v>
      </c>
      <c r="V1110" s="49">
        <f>SUM(V493:V504)</f>
        <v>50.187500000000007</v>
      </c>
      <c r="W1110" s="49">
        <f>SUM(W493:W504)</f>
        <v>5.0822234999999996</v>
      </c>
      <c r="X1110" s="49">
        <f>SUM(X493:X504)</f>
        <v>20.758966663999999</v>
      </c>
      <c r="Y1110" s="49"/>
      <c r="Z1110" s="55"/>
      <c r="AA1110" s="54"/>
      <c r="AB1110" s="50">
        <f>AVERAGE(AB493:AB504)</f>
        <v>25.677081890010584</v>
      </c>
      <c r="AC1110" s="45">
        <f>AVERAGE(AC493:AC504)</f>
        <v>25.198369784172666</v>
      </c>
    </row>
    <row r="1111" spans="1:29" ht="15.75" x14ac:dyDescent="0.25">
      <c r="A1111" s="10">
        <f t="shared" si="34"/>
        <v>2054</v>
      </c>
      <c r="B1111" s="14">
        <f t="shared" ref="B1111:S1111" si="51">AVERAGE(B505:B516)</f>
        <v>26.622374999999995</v>
      </c>
      <c r="C1111" s="14">
        <f t="shared" si="51"/>
        <v>26.628650000000004</v>
      </c>
      <c r="D1111" s="14">
        <f t="shared" si="51"/>
        <v>26.789575000000003</v>
      </c>
      <c r="E1111" s="14">
        <f t="shared" si="51"/>
        <v>26.822008333333333</v>
      </c>
      <c r="F1111" s="14">
        <f t="shared" si="51"/>
        <v>26.650599999999997</v>
      </c>
      <c r="G1111" s="14">
        <f t="shared" si="51"/>
        <v>26.668075000000002</v>
      </c>
      <c r="H1111" s="14">
        <f t="shared" si="51"/>
        <v>26.811116666666667</v>
      </c>
      <c r="I1111" s="14">
        <f t="shared" si="51"/>
        <v>26.735291666666672</v>
      </c>
      <c r="J1111" s="14">
        <f t="shared" si="51"/>
        <v>26.643600000000003</v>
      </c>
      <c r="K1111" s="53">
        <f t="shared" si="51"/>
        <v>26.731408333333331</v>
      </c>
      <c r="L1111" s="14">
        <f t="shared" si="51"/>
        <v>27.39811666666667</v>
      </c>
      <c r="M1111" s="14">
        <f t="shared" si="51"/>
        <v>26.105400000000003</v>
      </c>
      <c r="N1111" s="14">
        <f t="shared" si="51"/>
        <v>26.122499999999999</v>
      </c>
      <c r="O1111" s="14">
        <f t="shared" si="51"/>
        <v>26.26946666666667</v>
      </c>
      <c r="P1111" s="14">
        <f t="shared" si="51"/>
        <v>26.193591666666666</v>
      </c>
      <c r="Q1111" s="14">
        <f t="shared" si="51"/>
        <v>26.864166666666666</v>
      </c>
      <c r="R1111" s="14">
        <f t="shared" si="51"/>
        <v>27.518333333333331</v>
      </c>
      <c r="S1111" s="14">
        <f t="shared" si="51"/>
        <v>25.571933333333334</v>
      </c>
      <c r="T1111" s="49">
        <f>SUM(T505:T516)</f>
        <v>357.24568100000005</v>
      </c>
      <c r="U1111" s="49">
        <f>SUM(U505:U516)</f>
        <v>142.03263249999998</v>
      </c>
      <c r="V1111" s="49">
        <f>SUM(V505:V516)</f>
        <v>50.187500000000007</v>
      </c>
      <c r="W1111" s="49">
        <f>SUM(W505:W516)</f>
        <v>5.0822234999999996</v>
      </c>
      <c r="X1111" s="49">
        <f>SUM(X505:X516)</f>
        <v>20.758966663999999</v>
      </c>
      <c r="Y1111" s="49"/>
      <c r="Z1111" s="52"/>
      <c r="AA1111" s="51"/>
      <c r="AB1111" s="50">
        <f>AVERAGE(AB505:AB516)</f>
        <v>26.671466481116855</v>
      </c>
      <c r="AC1111" s="45">
        <f>AVERAGE(AC505:AC516)</f>
        <v>26.172565707434057</v>
      </c>
    </row>
    <row r="1112" spans="1:29" ht="15.75" x14ac:dyDescent="0.25">
      <c r="A1112" s="10">
        <f t="shared" si="34"/>
        <v>2055</v>
      </c>
      <c r="B1112" s="14">
        <f t="shared" ref="B1112:S1112" si="52">AVERAGE(B517:B528)</f>
        <v>27.655075</v>
      </c>
      <c r="C1112" s="14">
        <f t="shared" si="52"/>
        <v>27.661358333333336</v>
      </c>
      <c r="D1112" s="14">
        <f t="shared" si="52"/>
        <v>27.822275000000001</v>
      </c>
      <c r="E1112" s="14">
        <f t="shared" si="52"/>
        <v>27.854700000000005</v>
      </c>
      <c r="F1112" s="14">
        <f t="shared" si="52"/>
        <v>27.683308333333333</v>
      </c>
      <c r="G1112" s="14">
        <f t="shared" si="52"/>
        <v>27.700791666666664</v>
      </c>
      <c r="H1112" s="14">
        <f t="shared" si="52"/>
        <v>27.843816666666669</v>
      </c>
      <c r="I1112" s="14">
        <f t="shared" si="52"/>
        <v>27.771241666666668</v>
      </c>
      <c r="J1112" s="14">
        <f t="shared" si="52"/>
        <v>27.676308333333338</v>
      </c>
      <c r="K1112" s="53">
        <f t="shared" si="52"/>
        <v>27.767341666666667</v>
      </c>
      <c r="L1112" s="14">
        <f t="shared" si="52"/>
        <v>28.430816666666662</v>
      </c>
      <c r="M1112" s="14">
        <f t="shared" si="52"/>
        <v>27.116933333333332</v>
      </c>
      <c r="N1112" s="14">
        <f t="shared" si="52"/>
        <v>27.134049999999998</v>
      </c>
      <c r="O1112" s="14">
        <f t="shared" si="52"/>
        <v>27.280991666666665</v>
      </c>
      <c r="P1112" s="14">
        <f t="shared" si="52"/>
        <v>27.208233333333336</v>
      </c>
      <c r="Q1112" s="14">
        <f t="shared" si="52"/>
        <v>27.875691666666665</v>
      </c>
      <c r="R1112" s="14">
        <f t="shared" si="52"/>
        <v>28.532399999999999</v>
      </c>
      <c r="S1112" s="14">
        <f t="shared" si="52"/>
        <v>26.564249999999998</v>
      </c>
      <c r="T1112" s="49">
        <f>SUM(T517:T528)</f>
        <v>357.24568100000005</v>
      </c>
      <c r="U1112" s="49">
        <f>SUM(U517:U528)</f>
        <v>142.03263249999998</v>
      </c>
      <c r="V1112" s="49">
        <f>SUM(V517:V528)</f>
        <v>50.187500000000007</v>
      </c>
      <c r="W1112" s="49">
        <f>SUM(W517:W528)</f>
        <v>5.0822234999999996</v>
      </c>
      <c r="X1112" s="49">
        <f>SUM(X517:X528)</f>
        <v>20.758966663999999</v>
      </c>
      <c r="Y1112" s="49"/>
      <c r="Z1112" s="52"/>
      <c r="AA1112" s="51"/>
      <c r="AB1112" s="50">
        <f>AVERAGE(AB517:AB528)</f>
        <v>27.704440407986542</v>
      </c>
      <c r="AC1112" s="45">
        <f>AVERAGE(AC517:AC528)</f>
        <v>27.184543465227819</v>
      </c>
    </row>
    <row r="1113" spans="1:29" ht="15.75" x14ac:dyDescent="0.25">
      <c r="A1113" s="10">
        <f t="shared" si="34"/>
        <v>2056</v>
      </c>
      <c r="B1113" s="14">
        <f t="shared" ref="B1113:S1113" si="53">AVERAGE(B529:B540)</f>
        <v>28.727875000000001</v>
      </c>
      <c r="C1113" s="14">
        <f t="shared" si="53"/>
        <v>28.73414166666667</v>
      </c>
      <c r="D1113" s="14">
        <f t="shared" si="53"/>
        <v>28.895075000000006</v>
      </c>
      <c r="E1113" s="14">
        <f t="shared" si="53"/>
        <v>28.927475000000001</v>
      </c>
      <c r="F1113" s="14">
        <f t="shared" si="53"/>
        <v>28.756083333333336</v>
      </c>
      <c r="G1113" s="14">
        <f t="shared" si="53"/>
        <v>28.773566666666664</v>
      </c>
      <c r="H1113" s="14">
        <f t="shared" si="53"/>
        <v>28.916616666666673</v>
      </c>
      <c r="I1113" s="14">
        <f t="shared" si="53"/>
        <v>28.84738333333333</v>
      </c>
      <c r="J1113" s="14">
        <f t="shared" si="53"/>
        <v>28.749083333333331</v>
      </c>
      <c r="K1113" s="53">
        <f t="shared" si="53"/>
        <v>28.843483333333328</v>
      </c>
      <c r="L1113" s="14">
        <f t="shared" si="53"/>
        <v>29.503616666666669</v>
      </c>
      <c r="M1113" s="14">
        <f t="shared" si="53"/>
        <v>28.167733333333331</v>
      </c>
      <c r="N1113" s="14">
        <f t="shared" si="53"/>
        <v>28.184850000000001</v>
      </c>
      <c r="O1113" s="14">
        <f t="shared" si="53"/>
        <v>28.331808333333331</v>
      </c>
      <c r="P1113" s="14">
        <f t="shared" si="53"/>
        <v>28.262266666666665</v>
      </c>
      <c r="Q1113" s="14">
        <f t="shared" si="53"/>
        <v>28.926508333333334</v>
      </c>
      <c r="R1113" s="14">
        <f t="shared" si="53"/>
        <v>29.585816666666663</v>
      </c>
      <c r="S1113" s="14">
        <f t="shared" si="53"/>
        <v>27.595108333333332</v>
      </c>
      <c r="T1113" s="49">
        <f>SUM(T529:T540)</f>
        <v>358.17703550000004</v>
      </c>
      <c r="U1113" s="49">
        <f>SUM(U529:U540)</f>
        <v>142.42176299999997</v>
      </c>
      <c r="V1113" s="49">
        <f>SUM(V529:V540)</f>
        <v>50.325000000000003</v>
      </c>
      <c r="W1113" s="49">
        <f>SUM(W529:W540)</f>
        <v>5.0961473999999995</v>
      </c>
      <c r="X1113" s="49">
        <f>SUM(X529:X540)</f>
        <v>20.800615543999996</v>
      </c>
      <c r="Y1113" s="49"/>
      <c r="Z1113" s="52"/>
      <c r="AA1113" s="51"/>
      <c r="AB1113" s="50">
        <f>AVERAGE(AB529:AB540)</f>
        <v>28.77749982828449</v>
      </c>
      <c r="AC1113" s="45">
        <f>AVERAGE(AC529:AC540)</f>
        <v>28.23581768585132</v>
      </c>
    </row>
    <row r="1114" spans="1:29" ht="15.75" x14ac:dyDescent="0.25">
      <c r="A1114" s="10">
        <f t="shared" si="34"/>
        <v>2057</v>
      </c>
      <c r="B1114" s="14">
        <f t="shared" ref="B1114:S1114" si="54">AVERAGE(B541:B552)</f>
        <v>29.842283333333327</v>
      </c>
      <c r="C1114" s="14">
        <f t="shared" si="54"/>
        <v>29.848541666666666</v>
      </c>
      <c r="D1114" s="14">
        <f t="shared" si="54"/>
        <v>30.009491666666666</v>
      </c>
      <c r="E1114" s="14">
        <f t="shared" si="54"/>
        <v>30.041891666666668</v>
      </c>
      <c r="F1114" s="14">
        <f t="shared" si="54"/>
        <v>29.87049166666667</v>
      </c>
      <c r="G1114" s="14">
        <f t="shared" si="54"/>
        <v>29.887983333333334</v>
      </c>
      <c r="H1114" s="14">
        <f t="shared" si="54"/>
        <v>30.031025</v>
      </c>
      <c r="I1114" s="14">
        <f t="shared" si="54"/>
        <v>29.965275000000002</v>
      </c>
      <c r="J1114" s="14">
        <f t="shared" si="54"/>
        <v>29.863491666666665</v>
      </c>
      <c r="K1114" s="53">
        <f t="shared" si="54"/>
        <v>29.96139166666666</v>
      </c>
      <c r="L1114" s="14">
        <f t="shared" si="54"/>
        <v>30.618024999999999</v>
      </c>
      <c r="M1114" s="14">
        <f t="shared" si="54"/>
        <v>29.259308333333333</v>
      </c>
      <c r="N1114" s="14">
        <f t="shared" si="54"/>
        <v>29.276424999999993</v>
      </c>
      <c r="O1114" s="14">
        <f t="shared" si="54"/>
        <v>29.423375000000004</v>
      </c>
      <c r="P1114" s="14">
        <f t="shared" si="54"/>
        <v>29.357199999999995</v>
      </c>
      <c r="Q1114" s="14">
        <f t="shared" si="54"/>
        <v>30.018075</v>
      </c>
      <c r="R1114" s="14">
        <f t="shared" si="54"/>
        <v>30.68013333333333</v>
      </c>
      <c r="S1114" s="14">
        <f t="shared" si="54"/>
        <v>28.665925000000001</v>
      </c>
      <c r="T1114" s="49">
        <f>SUM(T541:T552)</f>
        <v>357.24568100000005</v>
      </c>
      <c r="U1114" s="49">
        <f>SUM(U541:U552)</f>
        <v>142.03263249999998</v>
      </c>
      <c r="V1114" s="49">
        <f>SUM(V541:V552)</f>
        <v>50.187500000000007</v>
      </c>
      <c r="W1114" s="49">
        <f>SUM(W541:W552)</f>
        <v>5.0822234999999996</v>
      </c>
      <c r="X1114" s="49">
        <f>SUM(X541:X552)</f>
        <v>20.758966663999999</v>
      </c>
      <c r="Y1114" s="49"/>
      <c r="Z1114" s="52"/>
      <c r="AA1114" s="51"/>
      <c r="AB1114" s="50">
        <f>AVERAGE(AB541:AB552)</f>
        <v>29.892195633922181</v>
      </c>
      <c r="AC1114" s="45">
        <f>AVERAGE(AC541:AC552)</f>
        <v>29.327870683453241</v>
      </c>
    </row>
    <row r="1115" spans="1:29" ht="15.75" x14ac:dyDescent="0.25">
      <c r="A1115" s="10">
        <f t="shared" si="34"/>
        <v>2058</v>
      </c>
      <c r="B1115" s="14">
        <f t="shared" ref="B1115:S1115" si="55">AVERAGE(B553:B564)</f>
        <v>30.999925000000001</v>
      </c>
      <c r="C1115" s="14">
        <f t="shared" si="55"/>
        <v>31.006200000000003</v>
      </c>
      <c r="D1115" s="14">
        <f t="shared" si="55"/>
        <v>31.167133333333336</v>
      </c>
      <c r="E1115" s="14">
        <f t="shared" si="55"/>
        <v>31.199558333333332</v>
      </c>
      <c r="F1115" s="14">
        <f t="shared" si="55"/>
        <v>31.028158333333334</v>
      </c>
      <c r="G1115" s="14">
        <f t="shared" si="55"/>
        <v>31.045633333333331</v>
      </c>
      <c r="H1115" s="14">
        <f t="shared" si="55"/>
        <v>31.188666666666666</v>
      </c>
      <c r="I1115" s="14">
        <f t="shared" si="55"/>
        <v>31.126558333333339</v>
      </c>
      <c r="J1115" s="14">
        <f t="shared" si="55"/>
        <v>31.021158333333332</v>
      </c>
      <c r="K1115" s="53">
        <f t="shared" si="55"/>
        <v>31.122666666666664</v>
      </c>
      <c r="L1115" s="14">
        <f t="shared" si="55"/>
        <v>31.775666666666666</v>
      </c>
      <c r="M1115" s="14">
        <f t="shared" si="55"/>
        <v>30.393249999999998</v>
      </c>
      <c r="N1115" s="14">
        <f t="shared" si="55"/>
        <v>30.410375000000002</v>
      </c>
      <c r="O1115" s="14">
        <f t="shared" si="55"/>
        <v>30.557333333333332</v>
      </c>
      <c r="P1115" s="14">
        <f t="shared" si="55"/>
        <v>30.494608333333336</v>
      </c>
      <c r="Q1115" s="14">
        <f t="shared" si="55"/>
        <v>31.152033333333332</v>
      </c>
      <c r="R1115" s="14">
        <f t="shared" si="55"/>
        <v>31.816916666666661</v>
      </c>
      <c r="S1115" s="14">
        <f t="shared" si="55"/>
        <v>29.778325000000006</v>
      </c>
      <c r="T1115" s="49">
        <f>SUM(T553:T564)</f>
        <v>357.24568100000005</v>
      </c>
      <c r="U1115" s="49">
        <f>SUM(U553:U564)</f>
        <v>142.03263249999998</v>
      </c>
      <c r="V1115" s="49">
        <f>SUM(V553:V564)</f>
        <v>50.187500000000007</v>
      </c>
      <c r="W1115" s="49">
        <f>SUM(W553:W564)</f>
        <v>5.0822234999999996</v>
      </c>
      <c r="X1115" s="49">
        <f>SUM(X553:X564)</f>
        <v>20.758966663999999</v>
      </c>
      <c r="Y1115" s="49"/>
      <c r="Z1115" s="52"/>
      <c r="AA1115" s="51"/>
      <c r="AB1115" s="50">
        <f>AVERAGE(AB553:AB564)</f>
        <v>31.050150895845338</v>
      </c>
      <c r="AC1115" s="45">
        <f>AVERAGE(AC553:AC564)</f>
        <v>30.462316306954435</v>
      </c>
    </row>
    <row r="1116" spans="1:29" ht="15.75" x14ac:dyDescent="0.25">
      <c r="A1116" s="10">
        <f t="shared" si="34"/>
        <v>2059</v>
      </c>
      <c r="B1116" s="14">
        <f t="shared" ref="B1116:S1116" si="56">AVERAGE(B565:B576)</f>
        <v>32.202525000000001</v>
      </c>
      <c r="C1116" s="14">
        <f t="shared" si="56"/>
        <v>32.208775000000003</v>
      </c>
      <c r="D1116" s="14">
        <f t="shared" si="56"/>
        <v>32.369716666666669</v>
      </c>
      <c r="E1116" s="14">
        <f t="shared" si="56"/>
        <v>32.402141666666665</v>
      </c>
      <c r="F1116" s="14">
        <f t="shared" si="56"/>
        <v>32.23073333333334</v>
      </c>
      <c r="G1116" s="14">
        <f t="shared" si="56"/>
        <v>32.248224999999991</v>
      </c>
      <c r="H1116" s="14">
        <f t="shared" si="56"/>
        <v>32.391258333333333</v>
      </c>
      <c r="I1116" s="14">
        <f t="shared" si="56"/>
        <v>32.332908333333336</v>
      </c>
      <c r="J1116" s="14">
        <f t="shared" si="56"/>
        <v>32.223733333333335</v>
      </c>
      <c r="K1116" s="53">
        <f t="shared" si="56"/>
        <v>32.329008333333334</v>
      </c>
      <c r="L1116" s="14">
        <f t="shared" si="56"/>
        <v>32.978258333333336</v>
      </c>
      <c r="M1116" s="14">
        <f t="shared" si="56"/>
        <v>31.571191666666667</v>
      </c>
      <c r="N1116" s="14">
        <f t="shared" si="56"/>
        <v>31.588316666666667</v>
      </c>
      <c r="O1116" s="14">
        <f t="shared" si="56"/>
        <v>31.735266666666664</v>
      </c>
      <c r="P1116" s="14">
        <f t="shared" si="56"/>
        <v>31.676158333333337</v>
      </c>
      <c r="Q1116" s="14">
        <f t="shared" si="56"/>
        <v>32.329966666666671</v>
      </c>
      <c r="R1116" s="14">
        <f t="shared" si="56"/>
        <v>32.997791666666664</v>
      </c>
      <c r="S1116" s="14">
        <f t="shared" si="56"/>
        <v>30.933883333333331</v>
      </c>
      <c r="T1116" s="49">
        <f>SUM(T565:T576)</f>
        <v>357.24568100000005</v>
      </c>
      <c r="U1116" s="49">
        <f>SUM(U565:U576)</f>
        <v>142.03263249999998</v>
      </c>
      <c r="V1116" s="49">
        <f>SUM(V565:V576)</f>
        <v>50.187500000000007</v>
      </c>
      <c r="W1116" s="49">
        <f>SUM(W565:W576)</f>
        <v>5.0822234999999996</v>
      </c>
      <c r="X1116" s="49">
        <f>SUM(X565:X576)</f>
        <v>20.758966663999999</v>
      </c>
      <c r="Y1116" s="49"/>
      <c r="Z1116" s="14"/>
      <c r="AA1116" s="14"/>
      <c r="AB1116" s="50">
        <f>AVERAGE(AB565:AB576)</f>
        <v>32.253042601265598</v>
      </c>
      <c r="AC1116" s="45">
        <f>AVERAGE(AC565:AC576)</f>
        <v>31.640776258992805</v>
      </c>
    </row>
    <row r="1117" spans="1:29" ht="15.75" x14ac:dyDescent="0.25">
      <c r="A1117" s="10">
        <f t="shared" si="34"/>
        <v>2060</v>
      </c>
      <c r="B1117" s="14">
        <f t="shared" ref="B1117:S1117" si="57">AVERAGE(B577:B588)</f>
        <v>33.451758333333331</v>
      </c>
      <c r="C1117" s="14">
        <f t="shared" si="57"/>
        <v>33.458033333333333</v>
      </c>
      <c r="D1117" s="14">
        <f t="shared" si="57"/>
        <v>33.618949999999998</v>
      </c>
      <c r="E1117" s="14">
        <f t="shared" si="57"/>
        <v>33.651391666666669</v>
      </c>
      <c r="F1117" s="14">
        <f t="shared" si="57"/>
        <v>33.47999166666667</v>
      </c>
      <c r="G1117" s="14">
        <f t="shared" si="57"/>
        <v>33.497483333333335</v>
      </c>
      <c r="H1117" s="14">
        <f t="shared" si="57"/>
        <v>33.640499999999996</v>
      </c>
      <c r="I1117" s="14">
        <f t="shared" si="57"/>
        <v>33.586066666666667</v>
      </c>
      <c r="J1117" s="14">
        <f t="shared" si="57"/>
        <v>33.472991666666665</v>
      </c>
      <c r="K1117" s="53">
        <f t="shared" si="57"/>
        <v>33.582174999999999</v>
      </c>
      <c r="L1117" s="14">
        <f t="shared" si="57"/>
        <v>34.227499999999999</v>
      </c>
      <c r="M1117" s="14">
        <f t="shared" si="57"/>
        <v>32.794841666666663</v>
      </c>
      <c r="N1117" s="14">
        <f t="shared" si="57"/>
        <v>32.811950000000003</v>
      </c>
      <c r="O1117" s="14">
        <f t="shared" si="57"/>
        <v>32.95891666666666</v>
      </c>
      <c r="P1117" s="14">
        <f t="shared" si="57"/>
        <v>32.903574999999996</v>
      </c>
      <c r="Q1117" s="14">
        <f t="shared" si="57"/>
        <v>33.553616666666663</v>
      </c>
      <c r="R1117" s="14">
        <f t="shared" si="57"/>
        <v>34.224516666666673</v>
      </c>
      <c r="S1117" s="14">
        <f t="shared" si="57"/>
        <v>32.134291666666662</v>
      </c>
      <c r="T1117" s="49">
        <f>SUM(T577:T588)</f>
        <v>358.17703550000004</v>
      </c>
      <c r="U1117" s="49">
        <f>SUM(U577:U588)</f>
        <v>142.42176299999997</v>
      </c>
      <c r="V1117" s="49">
        <f>SUM(V577:V588)</f>
        <v>50.325000000000003</v>
      </c>
      <c r="W1117" s="49">
        <f>SUM(W577:W588)</f>
        <v>5.0961473999999995</v>
      </c>
      <c r="X1117" s="49">
        <f>SUM(X577:X588)</f>
        <v>20.800615543999996</v>
      </c>
      <c r="Y1117" s="49"/>
      <c r="Z1117" s="52"/>
      <c r="AA1117" s="51"/>
      <c r="AB1117" s="50">
        <f>AVERAGE(AB577:AB588)</f>
        <v>33.502616173278888</v>
      </c>
      <c r="AC1117" s="45">
        <f>AVERAGE(AC577:AC588)</f>
        <v>32.864965827338132</v>
      </c>
    </row>
    <row r="1118" spans="1:29" ht="15.75" x14ac:dyDescent="0.25">
      <c r="A1118" s="10">
        <f t="shared" si="34"/>
        <v>2061</v>
      </c>
      <c r="B1118" s="14">
        <f t="shared" ref="B1118:S1118" si="58">AVERAGE(B589:B600)</f>
        <v>34.749500000000005</v>
      </c>
      <c r="C1118" s="14">
        <f t="shared" si="58"/>
        <v>34.755750000000006</v>
      </c>
      <c r="D1118" s="14">
        <f t="shared" si="58"/>
        <v>34.916691666666672</v>
      </c>
      <c r="E1118" s="14">
        <f t="shared" si="58"/>
        <v>34.949125000000002</v>
      </c>
      <c r="F1118" s="14">
        <f t="shared" si="58"/>
        <v>34.777725000000004</v>
      </c>
      <c r="G1118" s="14">
        <f t="shared" si="58"/>
        <v>34.795208333333335</v>
      </c>
      <c r="H1118" s="14">
        <f t="shared" si="58"/>
        <v>34.938233333333336</v>
      </c>
      <c r="I1118" s="14">
        <f t="shared" si="58"/>
        <v>34.887858333333334</v>
      </c>
      <c r="J1118" s="14">
        <f t="shared" si="58"/>
        <v>34.770724999999999</v>
      </c>
      <c r="K1118" s="53">
        <f t="shared" si="58"/>
        <v>34.883975</v>
      </c>
      <c r="L1118" s="14">
        <f t="shared" si="58"/>
        <v>35.52523333333334</v>
      </c>
      <c r="M1118" s="14">
        <f t="shared" si="58"/>
        <v>34.065974999999995</v>
      </c>
      <c r="N1118" s="14">
        <f t="shared" si="58"/>
        <v>34.083100000000002</v>
      </c>
      <c r="O1118" s="14">
        <f t="shared" si="58"/>
        <v>34.230058333333332</v>
      </c>
      <c r="P1118" s="14">
        <f t="shared" si="58"/>
        <v>34.178608333333329</v>
      </c>
      <c r="Q1118" s="14">
        <f t="shared" si="58"/>
        <v>34.824758333333328</v>
      </c>
      <c r="R1118" s="14">
        <f t="shared" si="58"/>
        <v>35.498825000000004</v>
      </c>
      <c r="S1118" s="14">
        <f t="shared" si="58"/>
        <v>33.381283333333329</v>
      </c>
      <c r="T1118" s="49">
        <f>SUM(T589:T600)</f>
        <v>357.24568100000005</v>
      </c>
      <c r="U1118" s="49">
        <f>SUM(U589:U600)</f>
        <v>142.03263249999998</v>
      </c>
      <c r="V1118" s="49">
        <f>SUM(V589:V600)</f>
        <v>50.187500000000007</v>
      </c>
      <c r="W1118" s="49">
        <f>SUM(W589:W600)</f>
        <v>5.0822234999999996</v>
      </c>
      <c r="X1118" s="49">
        <f>SUM(X589:X600)</f>
        <v>20.758966663999999</v>
      </c>
      <c r="Y1118" s="49"/>
      <c r="Z1118" s="52"/>
      <c r="AA1118" s="51"/>
      <c r="AB1118" s="50">
        <f>AVERAGE(AB589:AB600)</f>
        <v>34.800682172334184</v>
      </c>
      <c r="AC1118" s="45">
        <f>AVERAGE(AC589:AC600)</f>
        <v>34.136663609112709</v>
      </c>
    </row>
    <row r="1119" spans="1:29" ht="15" x14ac:dyDescent="0.2">
      <c r="A1119" s="10">
        <f t="shared" si="34"/>
        <v>2062</v>
      </c>
      <c r="B1119" s="14">
        <f t="shared" ref="B1119:K1128" ca="1" si="59">AVERAGE(OFFSET(B$601,($A1119-$A$1119)*12,0,12,1))</f>
        <v>36.097591666666666</v>
      </c>
      <c r="C1119" s="14">
        <f t="shared" ca="1" si="59"/>
        <v>36.103858333333342</v>
      </c>
      <c r="D1119" s="14">
        <f t="shared" ca="1" si="59"/>
        <v>36.26479166666666</v>
      </c>
      <c r="E1119" s="14">
        <f t="shared" ca="1" si="59"/>
        <v>36.297200000000004</v>
      </c>
      <c r="F1119" s="14">
        <f t="shared" ca="1" si="59"/>
        <v>36.125816666666672</v>
      </c>
      <c r="G1119" s="14">
        <f t="shared" ca="1" si="59"/>
        <v>36.143300000000004</v>
      </c>
      <c r="H1119" s="14">
        <f t="shared" ca="1" si="59"/>
        <v>36.286324999999998</v>
      </c>
      <c r="I1119" s="14">
        <f t="shared" ca="1" si="59"/>
        <v>36.240174999999994</v>
      </c>
      <c r="J1119" s="14">
        <f t="shared" ca="1" si="59"/>
        <v>36.118816666666667</v>
      </c>
      <c r="K1119" s="14">
        <f t="shared" ca="1" si="59"/>
        <v>36.236291666666666</v>
      </c>
      <c r="L1119" s="14">
        <f t="shared" ref="L1119:S1128" ca="1" si="60">AVERAGE(OFFSET(L$601,($A1119-$A$1119)*12,0,12,1))</f>
        <v>36.873324999999994</v>
      </c>
      <c r="M1119" s="14">
        <f t="shared" ca="1" si="60"/>
        <v>35.386441666666663</v>
      </c>
      <c r="N1119" s="14">
        <f t="shared" ca="1" si="60"/>
        <v>35.403574999999996</v>
      </c>
      <c r="O1119" s="14">
        <f t="shared" ca="1" si="60"/>
        <v>35.550525</v>
      </c>
      <c r="P1119" s="14">
        <f t="shared" ca="1" si="60"/>
        <v>35.50310833333333</v>
      </c>
      <c r="Q1119" s="14">
        <f t="shared" ca="1" si="60"/>
        <v>36.145224999999996</v>
      </c>
      <c r="R1119" s="14">
        <f t="shared" ca="1" si="60"/>
        <v>36.822599999999994</v>
      </c>
      <c r="S1119" s="14">
        <f t="shared" ca="1" si="60"/>
        <v>34.676658333333336</v>
      </c>
      <c r="T1119" s="49">
        <f t="shared" ref="T1119:X1128" ca="1" si="61">SUM(OFFSET(T$601,($A1119-$A$1119)*12,0,12,1))</f>
        <v>357.24568100000005</v>
      </c>
      <c r="U1119" s="49">
        <f t="shared" ca="1" si="61"/>
        <v>142.03263249999998</v>
      </c>
      <c r="V1119" s="49">
        <f t="shared" ca="1" si="61"/>
        <v>50.187500000000007</v>
      </c>
      <c r="W1119" s="49">
        <f t="shared" ca="1" si="61"/>
        <v>5.0822234999999996</v>
      </c>
      <c r="X1119" s="49">
        <f t="shared" ca="1" si="61"/>
        <v>20.758966663999999</v>
      </c>
      <c r="Y1119" s="14"/>
      <c r="Z1119" s="14"/>
      <c r="AA1119" s="14"/>
      <c r="AB1119" s="14">
        <f t="shared" ref="AB1119:AC1138" ca="1" si="62">AVERAGE(OFFSET(AB$601,($A1119-$A$1119)*12,0,12,1))</f>
        <v>36.149125530456423</v>
      </c>
      <c r="AC1119" s="14">
        <f t="shared" ca="1" si="62"/>
        <v>35.478583033573138</v>
      </c>
    </row>
    <row r="1120" spans="1:29" ht="15" x14ac:dyDescent="0.2">
      <c r="A1120" s="10">
        <f t="shared" si="34"/>
        <v>2063</v>
      </c>
      <c r="B1120" s="14">
        <f t="shared" ca="1" si="59"/>
        <v>37.497991666666671</v>
      </c>
      <c r="C1120" s="14">
        <f t="shared" ca="1" si="59"/>
        <v>37.50425833333334</v>
      </c>
      <c r="D1120" s="14">
        <f t="shared" ca="1" si="59"/>
        <v>37.665183333333331</v>
      </c>
      <c r="E1120" s="14">
        <f t="shared" ca="1" si="59"/>
        <v>37.697608333333335</v>
      </c>
      <c r="F1120" s="14">
        <f t="shared" ca="1" si="59"/>
        <v>37.526208333333329</v>
      </c>
      <c r="G1120" s="14">
        <f t="shared" ca="1" si="59"/>
        <v>37.54369166666666</v>
      </c>
      <c r="H1120" s="14">
        <f t="shared" ca="1" si="59"/>
        <v>37.686733333333336</v>
      </c>
      <c r="I1120" s="14">
        <f t="shared" ca="1" si="59"/>
        <v>37.644958333333335</v>
      </c>
      <c r="J1120" s="14">
        <f t="shared" ca="1" si="59"/>
        <v>37.519208333333331</v>
      </c>
      <c r="K1120" s="14">
        <f t="shared" ca="1" si="59"/>
        <v>37.641074999999994</v>
      </c>
      <c r="L1120" s="14">
        <f t="shared" ca="1" si="60"/>
        <v>38.273733333333332</v>
      </c>
      <c r="M1120" s="14">
        <f t="shared" ca="1" si="60"/>
        <v>36.758158333333334</v>
      </c>
      <c r="N1120" s="14">
        <f t="shared" ca="1" si="60"/>
        <v>36.775283333333334</v>
      </c>
      <c r="O1120" s="14">
        <f t="shared" ca="1" si="60"/>
        <v>36.922241666666665</v>
      </c>
      <c r="P1120" s="14">
        <f t="shared" ca="1" si="60"/>
        <v>36.879049999999999</v>
      </c>
      <c r="Q1120" s="14">
        <f t="shared" ca="1" si="60"/>
        <v>37.516941666666675</v>
      </c>
      <c r="R1120" s="14">
        <f t="shared" ca="1" si="60"/>
        <v>38.197724999999998</v>
      </c>
      <c r="S1120" s="14">
        <f t="shared" ca="1" si="60"/>
        <v>36.022308333333335</v>
      </c>
      <c r="T1120" s="49">
        <f t="shared" ca="1" si="61"/>
        <v>357.24568100000005</v>
      </c>
      <c r="U1120" s="49">
        <f t="shared" ca="1" si="61"/>
        <v>142.03263249999998</v>
      </c>
      <c r="V1120" s="49">
        <f t="shared" ca="1" si="61"/>
        <v>50.187500000000007</v>
      </c>
      <c r="W1120" s="49">
        <f t="shared" ca="1" si="61"/>
        <v>5.0822234999999996</v>
      </c>
      <c r="X1120" s="49">
        <f t="shared" ca="1" si="61"/>
        <v>20.758966663999999</v>
      </c>
      <c r="Y1120" s="14"/>
      <c r="Z1120" s="14"/>
      <c r="AA1120" s="14"/>
      <c r="AB1120" s="14">
        <f t="shared" ca="1" si="62"/>
        <v>37.549882130167489</v>
      </c>
      <c r="AC1120" s="14">
        <f t="shared" ca="1" si="62"/>
        <v>36.850907134292562</v>
      </c>
    </row>
    <row r="1121" spans="1:29" ht="15" x14ac:dyDescent="0.2">
      <c r="A1121" s="10">
        <f t="shared" si="34"/>
        <v>2064</v>
      </c>
      <c r="B1121" s="14">
        <f t="shared" ca="1" si="59"/>
        <v>38.952758333333328</v>
      </c>
      <c r="C1121" s="14">
        <f t="shared" ca="1" si="59"/>
        <v>38.959008333333337</v>
      </c>
      <c r="D1121" s="14">
        <f t="shared" ca="1" si="59"/>
        <v>39.119925000000002</v>
      </c>
      <c r="E1121" s="14">
        <f t="shared" ca="1" si="59"/>
        <v>39.152358333333339</v>
      </c>
      <c r="F1121" s="14">
        <f t="shared" ca="1" si="59"/>
        <v>38.980958333333334</v>
      </c>
      <c r="G1121" s="14">
        <f t="shared" ca="1" si="59"/>
        <v>38.998449999999998</v>
      </c>
      <c r="H1121" s="14">
        <f t="shared" ca="1" si="59"/>
        <v>39.141466666666666</v>
      </c>
      <c r="I1121" s="14">
        <f t="shared" ca="1" si="59"/>
        <v>39.104283333333335</v>
      </c>
      <c r="J1121" s="14">
        <f t="shared" ca="1" si="59"/>
        <v>38.973958333333336</v>
      </c>
      <c r="K1121" s="14">
        <f t="shared" ca="1" si="59"/>
        <v>39.100391666666667</v>
      </c>
      <c r="L1121" s="14">
        <f t="shared" ca="1" si="60"/>
        <v>39.728466666666662</v>
      </c>
      <c r="M1121" s="14">
        <f t="shared" ca="1" si="60"/>
        <v>38.183116666666663</v>
      </c>
      <c r="N1121" s="14">
        <f t="shared" ca="1" si="60"/>
        <v>38.200225000000003</v>
      </c>
      <c r="O1121" s="14">
        <f t="shared" ca="1" si="60"/>
        <v>38.347175</v>
      </c>
      <c r="P1121" s="14">
        <f t="shared" ca="1" si="60"/>
        <v>38.308366666666664</v>
      </c>
      <c r="Q1121" s="14">
        <f t="shared" ca="1" si="60"/>
        <v>38.941874999999989</v>
      </c>
      <c r="R1121" s="14">
        <f t="shared" ca="1" si="60"/>
        <v>39.626241666666665</v>
      </c>
      <c r="S1121" s="14">
        <f t="shared" ca="1" si="60"/>
        <v>37.420166666666667</v>
      </c>
      <c r="T1121" s="49">
        <f t="shared" ca="1" si="61"/>
        <v>358.17703550000004</v>
      </c>
      <c r="U1121" s="49">
        <f t="shared" ca="1" si="61"/>
        <v>142.42176299999997</v>
      </c>
      <c r="V1121" s="49">
        <f t="shared" ca="1" si="61"/>
        <v>50.325000000000003</v>
      </c>
      <c r="W1121" s="49">
        <f t="shared" ca="1" si="61"/>
        <v>5.0961473999999995</v>
      </c>
      <c r="X1121" s="49">
        <f t="shared" ca="1" si="61"/>
        <v>20.800615543999996</v>
      </c>
      <c r="Y1121" s="14"/>
      <c r="Z1121" s="14"/>
      <c r="AA1121" s="14"/>
      <c r="AB1121" s="14">
        <f t="shared" ca="1" si="62"/>
        <v>39.005012246992941</v>
      </c>
      <c r="AC1121" s="14">
        <f t="shared" ca="1" si="62"/>
        <v>38.27648027577937</v>
      </c>
    </row>
    <row r="1122" spans="1:29" ht="15" x14ac:dyDescent="0.2">
      <c r="A1122" s="10">
        <f t="shared" si="34"/>
        <v>2065</v>
      </c>
      <c r="B1122" s="14">
        <f t="shared" ca="1" si="59"/>
        <v>40.463941666666663</v>
      </c>
      <c r="C1122" s="14">
        <f t="shared" ca="1" si="59"/>
        <v>40.470216666666666</v>
      </c>
      <c r="D1122" s="14">
        <f t="shared" ca="1" si="59"/>
        <v>40.631141666666664</v>
      </c>
      <c r="E1122" s="14">
        <f t="shared" ca="1" si="59"/>
        <v>40.663566666666675</v>
      </c>
      <c r="F1122" s="14">
        <f t="shared" ca="1" si="59"/>
        <v>40.492175000000003</v>
      </c>
      <c r="G1122" s="14">
        <f t="shared" ca="1" si="59"/>
        <v>40.50964166666666</v>
      </c>
      <c r="H1122" s="14">
        <f t="shared" ca="1" si="59"/>
        <v>40.652683333333336</v>
      </c>
      <c r="I1122" s="14">
        <f t="shared" ca="1" si="59"/>
        <v>40.620216666666671</v>
      </c>
      <c r="J1122" s="14">
        <f t="shared" ca="1" si="59"/>
        <v>40.485175000000005</v>
      </c>
      <c r="K1122" s="14">
        <f t="shared" ca="1" si="59"/>
        <v>40.61631666666667</v>
      </c>
      <c r="L1122" s="14">
        <f t="shared" ca="1" si="60"/>
        <v>41.239683333333339</v>
      </c>
      <c r="M1122" s="14">
        <f t="shared" ca="1" si="60"/>
        <v>39.663350000000001</v>
      </c>
      <c r="N1122" s="14">
        <f t="shared" ca="1" si="60"/>
        <v>39.680475000000001</v>
      </c>
      <c r="O1122" s="14">
        <f t="shared" ca="1" si="60"/>
        <v>39.827416666666664</v>
      </c>
      <c r="P1122" s="14">
        <f t="shared" ca="1" si="60"/>
        <v>39.793133333333337</v>
      </c>
      <c r="Q1122" s="14">
        <f t="shared" ca="1" si="60"/>
        <v>40.422116666666668</v>
      </c>
      <c r="R1122" s="14">
        <f t="shared" ca="1" si="60"/>
        <v>41.110183333333332</v>
      </c>
      <c r="S1122" s="14">
        <f t="shared" ca="1" si="60"/>
        <v>38.872275000000002</v>
      </c>
      <c r="T1122" s="49">
        <f t="shared" ca="1" si="61"/>
        <v>357.24568100000005</v>
      </c>
      <c r="U1122" s="49">
        <f t="shared" ca="1" si="61"/>
        <v>142.03263249999998</v>
      </c>
      <c r="V1122" s="49">
        <f t="shared" ca="1" si="61"/>
        <v>50.187500000000007</v>
      </c>
      <c r="W1122" s="49">
        <f t="shared" ca="1" si="61"/>
        <v>5.0822234999999996</v>
      </c>
      <c r="X1122" s="49">
        <f t="shared" ca="1" si="61"/>
        <v>20.758966663999999</v>
      </c>
      <c r="Y1122" s="14"/>
      <c r="Z1122" s="14"/>
      <c r="AA1122" s="14"/>
      <c r="AB1122" s="14">
        <f t="shared" ca="1" si="62"/>
        <v>40.516607283887801</v>
      </c>
      <c r="AC1122" s="14">
        <f t="shared" ca="1" si="62"/>
        <v>39.757370623501195</v>
      </c>
    </row>
    <row r="1123" spans="1:29" ht="15" x14ac:dyDescent="0.2">
      <c r="A1123" s="10">
        <f t="shared" si="34"/>
        <v>2066</v>
      </c>
      <c r="B1123" s="14">
        <f t="shared" ca="1" si="59"/>
        <v>42.033783333333332</v>
      </c>
      <c r="C1123" s="14">
        <f t="shared" ca="1" si="59"/>
        <v>42.040066666666661</v>
      </c>
      <c r="D1123" s="14">
        <f t="shared" ca="1" si="59"/>
        <v>42.201000000000001</v>
      </c>
      <c r="E1123" s="14">
        <f t="shared" ca="1" si="59"/>
        <v>42.233408333333337</v>
      </c>
      <c r="F1123" s="14">
        <f t="shared" ca="1" si="59"/>
        <v>42.062008333333331</v>
      </c>
      <c r="G1123" s="14">
        <f t="shared" ca="1" si="59"/>
        <v>42.079500000000003</v>
      </c>
      <c r="H1123" s="14">
        <f t="shared" ca="1" si="59"/>
        <v>42.222533333333331</v>
      </c>
      <c r="I1123" s="14">
        <f t="shared" ca="1" si="59"/>
        <v>42.194958333333339</v>
      </c>
      <c r="J1123" s="14">
        <f t="shared" ca="1" si="59"/>
        <v>42.055008333333326</v>
      </c>
      <c r="K1123" s="14">
        <f t="shared" ca="1" si="59"/>
        <v>42.191083333333331</v>
      </c>
      <c r="L1123" s="14">
        <f t="shared" ca="1" si="60"/>
        <v>42.809533333333341</v>
      </c>
      <c r="M1123" s="14">
        <f t="shared" ca="1" si="60"/>
        <v>41.201041666666669</v>
      </c>
      <c r="N1123" s="14">
        <f t="shared" ca="1" si="60"/>
        <v>41.218150000000001</v>
      </c>
      <c r="O1123" s="14">
        <f t="shared" ca="1" si="60"/>
        <v>41.365099999999998</v>
      </c>
      <c r="P1123" s="14">
        <f t="shared" ca="1" si="60"/>
        <v>41.335558333333331</v>
      </c>
      <c r="Q1123" s="14">
        <f t="shared" ca="1" si="60"/>
        <v>41.959800000000001</v>
      </c>
      <c r="R1123" s="14">
        <f t="shared" ca="1" si="60"/>
        <v>42.651708333333339</v>
      </c>
      <c r="S1123" s="14">
        <f t="shared" ca="1" si="60"/>
        <v>40.38075833333334</v>
      </c>
      <c r="T1123" s="49">
        <f t="shared" ca="1" si="61"/>
        <v>357.24568100000005</v>
      </c>
      <c r="U1123" s="49">
        <f t="shared" ca="1" si="61"/>
        <v>142.03263249999998</v>
      </c>
      <c r="V1123" s="49">
        <f t="shared" ca="1" si="61"/>
        <v>50.187500000000007</v>
      </c>
      <c r="W1123" s="49">
        <f t="shared" ca="1" si="61"/>
        <v>5.0822234999999996</v>
      </c>
      <c r="X1123" s="49">
        <f t="shared" ca="1" si="61"/>
        <v>20.758966663999999</v>
      </c>
      <c r="Y1123" s="14"/>
      <c r="Z1123" s="14"/>
      <c r="AA1123" s="14"/>
      <c r="AB1123" s="14">
        <f t="shared" ca="1" si="62"/>
        <v>42.086855480687213</v>
      </c>
      <c r="AC1123" s="14">
        <f t="shared" ca="1" si="62"/>
        <v>41.295738609112711</v>
      </c>
    </row>
    <row r="1124" spans="1:29" ht="15" x14ac:dyDescent="0.2">
      <c r="A1124" s="10">
        <f t="shared" si="34"/>
        <v>2067</v>
      </c>
      <c r="B1124" s="14">
        <f t="shared" ca="1" si="59"/>
        <v>43.664558333333332</v>
      </c>
      <c r="C1124" s="14">
        <f t="shared" ca="1" si="59"/>
        <v>43.670825000000008</v>
      </c>
      <c r="D1124" s="14">
        <f t="shared" ca="1" si="59"/>
        <v>43.83175833333334</v>
      </c>
      <c r="E1124" s="14">
        <f t="shared" ca="1" si="59"/>
        <v>43.86419166666667</v>
      </c>
      <c r="F1124" s="14">
        <f t="shared" ca="1" si="59"/>
        <v>43.692775000000005</v>
      </c>
      <c r="G1124" s="14">
        <f t="shared" ca="1" si="59"/>
        <v>43.710258333333336</v>
      </c>
      <c r="H1124" s="14">
        <f t="shared" ca="1" si="59"/>
        <v>43.853308333333331</v>
      </c>
      <c r="I1124" s="14">
        <f t="shared" ca="1" si="59"/>
        <v>43.830841666666664</v>
      </c>
      <c r="J1124" s="14">
        <f t="shared" ca="1" si="59"/>
        <v>43.685775</v>
      </c>
      <c r="K1124" s="14">
        <f t="shared" ca="1" si="59"/>
        <v>43.826958333333323</v>
      </c>
      <c r="L1124" s="14">
        <f t="shared" ca="1" si="60"/>
        <v>44.440308333333341</v>
      </c>
      <c r="M1124" s="14">
        <f t="shared" ca="1" si="60"/>
        <v>42.798391666666667</v>
      </c>
      <c r="N1124" s="14">
        <f t="shared" ca="1" si="60"/>
        <v>42.815491666666652</v>
      </c>
      <c r="O1124" s="14">
        <f t="shared" ca="1" si="60"/>
        <v>42.962475000000005</v>
      </c>
      <c r="P1124" s="14">
        <f t="shared" ca="1" si="60"/>
        <v>42.937800000000003</v>
      </c>
      <c r="Q1124" s="14">
        <f t="shared" ca="1" si="60"/>
        <v>43.557175000000001</v>
      </c>
      <c r="R1124" s="14">
        <f t="shared" ca="1" si="60"/>
        <v>44.253050000000002</v>
      </c>
      <c r="S1124" s="14">
        <f t="shared" ca="1" si="60"/>
        <v>41.947774999999993</v>
      </c>
      <c r="T1124" s="49">
        <f t="shared" ca="1" si="61"/>
        <v>357.24568100000005</v>
      </c>
      <c r="U1124" s="49">
        <f t="shared" ca="1" si="61"/>
        <v>142.03263249999998</v>
      </c>
      <c r="V1124" s="49">
        <f t="shared" ca="1" si="61"/>
        <v>50.187500000000007</v>
      </c>
      <c r="W1124" s="49">
        <f t="shared" ca="1" si="61"/>
        <v>5.0822234999999996</v>
      </c>
      <c r="X1124" s="49">
        <f t="shared" ca="1" si="61"/>
        <v>20.758966663999999</v>
      </c>
      <c r="Y1124" s="14"/>
      <c r="Z1124" s="14"/>
      <c r="AA1124" s="14"/>
      <c r="AB1124" s="14">
        <f t="shared" ca="1" si="62"/>
        <v>43.718042246361819</v>
      </c>
      <c r="AC1124" s="14">
        <f t="shared" ca="1" si="62"/>
        <v>42.893803297362105</v>
      </c>
    </row>
    <row r="1125" spans="1:29" ht="15" x14ac:dyDescent="0.2">
      <c r="A1125" s="10">
        <f t="shared" si="34"/>
        <v>2068</v>
      </c>
      <c r="B1125" s="14">
        <f t="shared" ca="1" si="59"/>
        <v>45.358616666666656</v>
      </c>
      <c r="C1125" s="14">
        <f t="shared" ca="1" si="59"/>
        <v>45.364875000000005</v>
      </c>
      <c r="D1125" s="14">
        <f t="shared" ca="1" si="59"/>
        <v>45.525816666666664</v>
      </c>
      <c r="E1125" s="14">
        <f t="shared" ca="1" si="59"/>
        <v>45.558233333333334</v>
      </c>
      <c r="F1125" s="14">
        <f t="shared" ca="1" si="59"/>
        <v>45.386824999999995</v>
      </c>
      <c r="G1125" s="14">
        <f t="shared" ca="1" si="59"/>
        <v>45.404325</v>
      </c>
      <c r="H1125" s="14">
        <f t="shared" ca="1" si="59"/>
        <v>45.547358333333335</v>
      </c>
      <c r="I1125" s="14">
        <f t="shared" ca="1" si="59"/>
        <v>45.530208333333327</v>
      </c>
      <c r="J1125" s="14">
        <f t="shared" ca="1" si="59"/>
        <v>45.379825000000004</v>
      </c>
      <c r="K1125" s="14">
        <f t="shared" ca="1" si="59"/>
        <v>45.526308333333333</v>
      </c>
      <c r="L1125" s="14">
        <f t="shared" ca="1" si="60"/>
        <v>46.134358333333331</v>
      </c>
      <c r="M1125" s="14">
        <f t="shared" ca="1" si="60"/>
        <v>44.457725000000011</v>
      </c>
      <c r="N1125" s="14">
        <f t="shared" ca="1" si="60"/>
        <v>44.474849999999996</v>
      </c>
      <c r="O1125" s="14">
        <f t="shared" ca="1" si="60"/>
        <v>44.621816666666668</v>
      </c>
      <c r="P1125" s="14">
        <f t="shared" ca="1" si="60"/>
        <v>44.602241666666664</v>
      </c>
      <c r="Q1125" s="14">
        <f t="shared" ca="1" si="60"/>
        <v>45.216516666666671</v>
      </c>
      <c r="R1125" s="14">
        <f t="shared" ca="1" si="60"/>
        <v>45.916541666666667</v>
      </c>
      <c r="S1125" s="14">
        <f t="shared" ca="1" si="60"/>
        <v>43.575583333333334</v>
      </c>
      <c r="T1125" s="49">
        <f t="shared" ca="1" si="61"/>
        <v>358.17703550000004</v>
      </c>
      <c r="U1125" s="49">
        <f t="shared" ca="1" si="61"/>
        <v>142.42176299999997</v>
      </c>
      <c r="V1125" s="49">
        <f t="shared" ca="1" si="61"/>
        <v>50.325000000000003</v>
      </c>
      <c r="W1125" s="49">
        <f t="shared" ca="1" si="61"/>
        <v>5.0961473999999995</v>
      </c>
      <c r="X1125" s="49">
        <f t="shared" ca="1" si="61"/>
        <v>20.800615543999996</v>
      </c>
      <c r="Y1125" s="14"/>
      <c r="Z1125" s="14"/>
      <c r="AA1125" s="14"/>
      <c r="AB1125" s="14">
        <f t="shared" ca="1" si="62"/>
        <v>45.412533639556948</v>
      </c>
      <c r="AC1125" s="14">
        <f t="shared" ca="1" si="62"/>
        <v>44.553876858513185</v>
      </c>
    </row>
    <row r="1126" spans="1:29" ht="15" x14ac:dyDescent="0.2">
      <c r="A1126" s="10">
        <f t="shared" si="34"/>
        <v>2069</v>
      </c>
      <c r="B1126" s="14">
        <f t="shared" ca="1" si="59"/>
        <v>47.118391666666668</v>
      </c>
      <c r="C1126" s="14">
        <f t="shared" ca="1" si="59"/>
        <v>47.124675000000003</v>
      </c>
      <c r="D1126" s="14">
        <f t="shared" ca="1" si="59"/>
        <v>47.285591666666676</v>
      </c>
      <c r="E1126" s="14">
        <f t="shared" ca="1" si="59"/>
        <v>47.318033333333339</v>
      </c>
      <c r="F1126" s="14">
        <f t="shared" ca="1" si="59"/>
        <v>47.146625000000007</v>
      </c>
      <c r="G1126" s="14">
        <f t="shared" ca="1" si="59"/>
        <v>47.164108333333338</v>
      </c>
      <c r="H1126" s="14">
        <f t="shared" ca="1" si="59"/>
        <v>47.307124999999992</v>
      </c>
      <c r="I1126" s="14">
        <f t="shared" ca="1" si="59"/>
        <v>47.295516666666678</v>
      </c>
      <c r="J1126" s="14">
        <f t="shared" ca="1" si="59"/>
        <v>47.139624999999995</v>
      </c>
      <c r="K1126" s="14">
        <f t="shared" ca="1" si="59"/>
        <v>47.291616666666663</v>
      </c>
      <c r="L1126" s="14">
        <f t="shared" ca="1" si="60"/>
        <v>47.894125000000003</v>
      </c>
      <c r="M1126" s="14">
        <f t="shared" ca="1" si="60"/>
        <v>46.181474999999999</v>
      </c>
      <c r="N1126" s="14">
        <f t="shared" ca="1" si="60"/>
        <v>46.19859166666668</v>
      </c>
      <c r="O1126" s="14">
        <f t="shared" ca="1" si="60"/>
        <v>46.345533333333329</v>
      </c>
      <c r="P1126" s="14">
        <f t="shared" ca="1" si="60"/>
        <v>46.33124999999999</v>
      </c>
      <c r="Q1126" s="14">
        <f t="shared" ca="1" si="60"/>
        <v>46.940233333333332</v>
      </c>
      <c r="R1126" s="14">
        <f t="shared" ca="1" si="60"/>
        <v>47.644599999999997</v>
      </c>
      <c r="S1126" s="14">
        <f t="shared" ca="1" si="60"/>
        <v>45.266566666666677</v>
      </c>
      <c r="T1126" s="49">
        <f t="shared" ca="1" si="61"/>
        <v>357.24568100000005</v>
      </c>
      <c r="U1126" s="49">
        <f t="shared" ca="1" si="61"/>
        <v>142.03263249999998</v>
      </c>
      <c r="V1126" s="49">
        <f t="shared" ca="1" si="61"/>
        <v>50.187500000000007</v>
      </c>
      <c r="W1126" s="49">
        <f t="shared" ca="1" si="61"/>
        <v>5.0822234999999996</v>
      </c>
      <c r="X1126" s="49">
        <f t="shared" ca="1" si="61"/>
        <v>20.758966663999999</v>
      </c>
      <c r="Y1126" s="14"/>
      <c r="Z1126" s="14"/>
      <c r="AA1126" s="14"/>
      <c r="AB1126" s="14">
        <f t="shared" ca="1" si="62"/>
        <v>47.17278152263745</v>
      </c>
      <c r="AC1126" s="14">
        <f t="shared" ca="1" si="62"/>
        <v>46.27836786570743</v>
      </c>
    </row>
    <row r="1127" spans="1:29" ht="15" x14ac:dyDescent="0.2">
      <c r="A1127" s="10">
        <f t="shared" ref="A1127:A1157" si="63">A1126+1</f>
        <v>2070</v>
      </c>
      <c r="B1127" s="14">
        <f t="shared" ca="1" si="59"/>
        <v>48.946491666666667</v>
      </c>
      <c r="C1127" s="14">
        <f t="shared" ca="1" si="59"/>
        <v>48.952750000000002</v>
      </c>
      <c r="D1127" s="14">
        <f t="shared" ca="1" si="59"/>
        <v>49.113675000000001</v>
      </c>
      <c r="E1127" s="14">
        <f t="shared" ca="1" si="59"/>
        <v>49.146116666666664</v>
      </c>
      <c r="F1127" s="14">
        <f t="shared" ca="1" si="59"/>
        <v>48.974700000000006</v>
      </c>
      <c r="G1127" s="14">
        <f t="shared" ca="1" si="59"/>
        <v>48.99220833333333</v>
      </c>
      <c r="H1127" s="14">
        <f t="shared" ca="1" si="59"/>
        <v>49.135216666666672</v>
      </c>
      <c r="I1127" s="14">
        <f t="shared" ca="1" si="59"/>
        <v>49.129308333333341</v>
      </c>
      <c r="J1127" s="14">
        <f t="shared" ca="1" si="59"/>
        <v>48.967700000000008</v>
      </c>
      <c r="K1127" s="14">
        <f t="shared" ca="1" si="59"/>
        <v>49.125416666666666</v>
      </c>
      <c r="L1127" s="14">
        <f t="shared" ca="1" si="60"/>
        <v>49.722216666666661</v>
      </c>
      <c r="M1127" s="14">
        <f t="shared" ca="1" si="60"/>
        <v>47.972091666666671</v>
      </c>
      <c r="N1127" s="14">
        <f t="shared" ca="1" si="60"/>
        <v>47.989216666666664</v>
      </c>
      <c r="O1127" s="14">
        <f t="shared" ca="1" si="60"/>
        <v>48.136166666666668</v>
      </c>
      <c r="P1127" s="14">
        <f t="shared" ca="1" si="60"/>
        <v>48.127366666666667</v>
      </c>
      <c r="Q1127" s="14">
        <f t="shared" ca="1" si="60"/>
        <v>48.730866666666664</v>
      </c>
      <c r="R1127" s="14">
        <f t="shared" ca="1" si="60"/>
        <v>49.439700000000009</v>
      </c>
      <c r="S1127" s="14">
        <f t="shared" ca="1" si="60"/>
        <v>47.023166666666668</v>
      </c>
      <c r="T1127" s="49">
        <f t="shared" ca="1" si="61"/>
        <v>357.24568100000005</v>
      </c>
      <c r="U1127" s="49">
        <f t="shared" ca="1" si="61"/>
        <v>142.03263249999998</v>
      </c>
      <c r="V1127" s="49">
        <f t="shared" ca="1" si="61"/>
        <v>50.187500000000007</v>
      </c>
      <c r="W1127" s="49">
        <f t="shared" ca="1" si="61"/>
        <v>5.0822234999999996</v>
      </c>
      <c r="X1127" s="49">
        <f t="shared" ca="1" si="61"/>
        <v>20.758966663999999</v>
      </c>
      <c r="Y1127" s="14"/>
      <c r="Z1127" s="14"/>
      <c r="AA1127" s="14"/>
      <c r="AB1127" s="14">
        <f t="shared" ca="1" si="62"/>
        <v>49.001334205911093</v>
      </c>
      <c r="AC1127" s="14">
        <f t="shared" ca="1" si="62"/>
        <v>48.06978393285371</v>
      </c>
    </row>
    <row r="1128" spans="1:29" ht="15" x14ac:dyDescent="0.2">
      <c r="A1128" s="10">
        <f t="shared" si="63"/>
        <v>2071</v>
      </c>
      <c r="B1128" s="14">
        <f t="shared" ca="1" si="59"/>
        <v>50.845499999999994</v>
      </c>
      <c r="C1128" s="14">
        <f t="shared" ca="1" si="59"/>
        <v>50.851783333333337</v>
      </c>
      <c r="D1128" s="14">
        <f t="shared" ca="1" si="59"/>
        <v>51.012691666666662</v>
      </c>
      <c r="E1128" s="14">
        <f t="shared" ca="1" si="59"/>
        <v>51.045125000000006</v>
      </c>
      <c r="F1128" s="14">
        <f t="shared" ca="1" si="59"/>
        <v>50.873749999999994</v>
      </c>
      <c r="G1128" s="14">
        <f t="shared" ca="1" si="59"/>
        <v>50.891224999999999</v>
      </c>
      <c r="H1128" s="14">
        <f t="shared" ca="1" si="59"/>
        <v>51.034233333333333</v>
      </c>
      <c r="I1128" s="14">
        <f t="shared" ca="1" si="59"/>
        <v>51.034283333333327</v>
      </c>
      <c r="J1128" s="14">
        <f t="shared" ca="1" si="59"/>
        <v>50.866750000000017</v>
      </c>
      <c r="K1128" s="14">
        <f t="shared" ca="1" si="59"/>
        <v>51.030391666666674</v>
      </c>
      <c r="L1128" s="14">
        <f t="shared" ca="1" si="60"/>
        <v>51.621233333333329</v>
      </c>
      <c r="M1128" s="14">
        <f t="shared" ca="1" si="60"/>
        <v>49.832191666666667</v>
      </c>
      <c r="N1128" s="14">
        <f t="shared" ca="1" si="60"/>
        <v>49.849325</v>
      </c>
      <c r="O1128" s="14">
        <f t="shared" ca="1" si="60"/>
        <v>49.996283333333331</v>
      </c>
      <c r="P1128" s="14">
        <f t="shared" ca="1" si="60"/>
        <v>49.993200000000009</v>
      </c>
      <c r="Q1128" s="14">
        <f t="shared" ca="1" si="60"/>
        <v>50.590983333333327</v>
      </c>
      <c r="R1128" s="14">
        <f t="shared" ca="1" si="60"/>
        <v>51.304450000000003</v>
      </c>
      <c r="S1128" s="14">
        <f t="shared" ca="1" si="60"/>
        <v>48.847924999999996</v>
      </c>
      <c r="T1128" s="49">
        <f t="shared" ca="1" si="61"/>
        <v>357.24568100000005</v>
      </c>
      <c r="U1128" s="49">
        <f t="shared" ca="1" si="61"/>
        <v>142.03263249999998</v>
      </c>
      <c r="V1128" s="49">
        <f t="shared" ca="1" si="61"/>
        <v>50.187500000000007</v>
      </c>
      <c r="W1128" s="49">
        <f t="shared" ca="1" si="61"/>
        <v>5.0822234999999996</v>
      </c>
      <c r="X1128" s="49">
        <f t="shared" ca="1" si="61"/>
        <v>20.758966663999999</v>
      </c>
      <c r="Y1128" s="14"/>
      <c r="Z1128" s="14"/>
      <c r="AA1128" s="14"/>
      <c r="AB1128" s="14">
        <f t="shared" ca="1" si="62"/>
        <v>50.900853319607258</v>
      </c>
      <c r="AC1128" s="14">
        <f t="shared" ca="1" si="62"/>
        <v>49.930716906474807</v>
      </c>
    </row>
    <row r="1129" spans="1:29" ht="15" x14ac:dyDescent="0.2">
      <c r="A1129" s="10">
        <f t="shared" si="63"/>
        <v>2072</v>
      </c>
      <c r="B1129" s="14">
        <f t="shared" ref="B1129:K1138" ca="1" si="64">AVERAGE(OFFSET(B$601,($A1129-$A$1119)*12,0,12,1))</f>
        <v>52.818241666666673</v>
      </c>
      <c r="C1129" s="14">
        <f t="shared" ca="1" si="64"/>
        <v>52.824508333333334</v>
      </c>
      <c r="D1129" s="14">
        <f t="shared" ca="1" si="64"/>
        <v>52.985441666666674</v>
      </c>
      <c r="E1129" s="14">
        <f t="shared" ca="1" si="64"/>
        <v>53.017858333333329</v>
      </c>
      <c r="F1129" s="14">
        <f t="shared" ca="1" si="64"/>
        <v>52.846458333333338</v>
      </c>
      <c r="G1129" s="14">
        <f t="shared" ca="1" si="64"/>
        <v>52.863941666666669</v>
      </c>
      <c r="H1129" s="14">
        <f t="shared" ca="1" si="64"/>
        <v>53.006991666666657</v>
      </c>
      <c r="I1129" s="14">
        <f t="shared" ca="1" si="64"/>
        <v>53.013200000000012</v>
      </c>
      <c r="J1129" s="14">
        <f t="shared" ca="1" si="64"/>
        <v>52.83945833333334</v>
      </c>
      <c r="K1129" s="14">
        <f t="shared" ca="1" si="64"/>
        <v>53.00930833333333</v>
      </c>
      <c r="L1129" s="14">
        <f t="shared" ref="L1129:S1138" ca="1" si="65">AVERAGE(OFFSET(L$601,($A1129-$A$1119)*12,0,12,1))</f>
        <v>53.59399166666666</v>
      </c>
      <c r="M1129" s="14">
        <f t="shared" ca="1" si="65"/>
        <v>51.764499999999998</v>
      </c>
      <c r="N1129" s="14">
        <f t="shared" ca="1" si="65"/>
        <v>51.781641666666665</v>
      </c>
      <c r="O1129" s="14">
        <f t="shared" ca="1" si="65"/>
        <v>51.928591666666669</v>
      </c>
      <c r="P1129" s="14">
        <f t="shared" ca="1" si="65"/>
        <v>51.931425000000011</v>
      </c>
      <c r="Q1129" s="14">
        <f t="shared" ca="1" si="65"/>
        <v>52.523291666666665</v>
      </c>
      <c r="R1129" s="14">
        <f t="shared" ca="1" si="65"/>
        <v>53.241591666666672</v>
      </c>
      <c r="S1129" s="14">
        <f t="shared" ca="1" si="65"/>
        <v>50.743541666666665</v>
      </c>
      <c r="T1129" s="49">
        <f t="shared" ref="T1129:X1138" ca="1" si="66">SUM(OFFSET(T$601,($A1129-$A$1119)*12,0,12,1))</f>
        <v>358.17703550000004</v>
      </c>
      <c r="U1129" s="49">
        <f t="shared" ca="1" si="66"/>
        <v>142.42176299999997</v>
      </c>
      <c r="V1129" s="49">
        <f t="shared" ca="1" si="66"/>
        <v>50.325000000000003</v>
      </c>
      <c r="W1129" s="49">
        <f t="shared" ca="1" si="66"/>
        <v>5.0961473999999995</v>
      </c>
      <c r="X1129" s="49">
        <f t="shared" ca="1" si="66"/>
        <v>20.800615543999996</v>
      </c>
      <c r="Y1129" s="14"/>
      <c r="Z1129" s="14"/>
      <c r="AA1129" s="14"/>
      <c r="AB1129" s="14">
        <f t="shared" ca="1" si="62"/>
        <v>52.874087827510145</v>
      </c>
      <c r="AC1129" s="14">
        <f t="shared" ca="1" si="62"/>
        <v>51.86387703836931</v>
      </c>
    </row>
    <row r="1130" spans="1:29" ht="15" x14ac:dyDescent="0.2">
      <c r="A1130" s="10">
        <f t="shared" si="63"/>
        <v>2073</v>
      </c>
      <c r="B1130" s="14">
        <f t="shared" ca="1" si="64"/>
        <v>54.867525000000008</v>
      </c>
      <c r="C1130" s="14">
        <f t="shared" ca="1" si="64"/>
        <v>54.873791666666655</v>
      </c>
      <c r="D1130" s="14">
        <f t="shared" ca="1" si="64"/>
        <v>55.034716666666668</v>
      </c>
      <c r="E1130" s="14">
        <f t="shared" ca="1" si="64"/>
        <v>55.067116666666664</v>
      </c>
      <c r="F1130" s="14">
        <f t="shared" ca="1" si="64"/>
        <v>54.895733333333332</v>
      </c>
      <c r="G1130" s="14">
        <f t="shared" ca="1" si="64"/>
        <v>54.913216666666663</v>
      </c>
      <c r="H1130" s="14">
        <f t="shared" ca="1" si="64"/>
        <v>55.056258333333325</v>
      </c>
      <c r="I1130" s="14">
        <f t="shared" ca="1" si="64"/>
        <v>55.068874999999998</v>
      </c>
      <c r="J1130" s="14">
        <f t="shared" ca="1" si="64"/>
        <v>54.888733333333327</v>
      </c>
      <c r="K1130" s="14">
        <f t="shared" ca="1" si="64"/>
        <v>55.064975000000004</v>
      </c>
      <c r="L1130" s="14">
        <f t="shared" ca="1" si="65"/>
        <v>55.643258333333343</v>
      </c>
      <c r="M1130" s="14">
        <f t="shared" ca="1" si="65"/>
        <v>53.771791666666672</v>
      </c>
      <c r="N1130" s="14">
        <f t="shared" ca="1" si="65"/>
        <v>53.788908333333332</v>
      </c>
      <c r="O1130" s="14">
        <f t="shared" ca="1" si="65"/>
        <v>53.935866666666662</v>
      </c>
      <c r="P1130" s="14">
        <f t="shared" ca="1" si="65"/>
        <v>53.944874999999996</v>
      </c>
      <c r="Q1130" s="14">
        <f t="shared" ca="1" si="65"/>
        <v>54.530566666666658</v>
      </c>
      <c r="R1130" s="14">
        <f t="shared" ca="1" si="65"/>
        <v>55.253891666666654</v>
      </c>
      <c r="S1130" s="14">
        <f t="shared" ca="1" si="65"/>
        <v>52.712683333333331</v>
      </c>
      <c r="T1130" s="49">
        <f t="shared" ca="1" si="66"/>
        <v>357.24568100000005</v>
      </c>
      <c r="U1130" s="49">
        <f t="shared" ca="1" si="66"/>
        <v>142.03263249999998</v>
      </c>
      <c r="V1130" s="49">
        <f t="shared" ca="1" si="66"/>
        <v>50.187500000000007</v>
      </c>
      <c r="W1130" s="49">
        <f t="shared" ca="1" si="66"/>
        <v>5.0822234999999996</v>
      </c>
      <c r="X1130" s="49">
        <f t="shared" ca="1" si="66"/>
        <v>20.758966663999999</v>
      </c>
      <c r="Y1130" s="14"/>
      <c r="Z1130" s="14"/>
      <c r="AA1130" s="14"/>
      <c r="AB1130" s="14">
        <f t="shared" ca="1" si="62"/>
        <v>54.923893262295216</v>
      </c>
      <c r="AC1130" s="14">
        <f t="shared" ca="1" si="62"/>
        <v>53.87204580335731</v>
      </c>
    </row>
    <row r="1131" spans="1:29" ht="15" x14ac:dyDescent="0.2">
      <c r="A1131" s="10">
        <f t="shared" si="63"/>
        <v>2074</v>
      </c>
      <c r="B1131" s="14">
        <f t="shared" ca="1" si="64"/>
        <v>56.996308333333339</v>
      </c>
      <c r="C1131" s="14">
        <f t="shared" ca="1" si="64"/>
        <v>57.002566666666667</v>
      </c>
      <c r="D1131" s="14">
        <f t="shared" ca="1" si="64"/>
        <v>57.163499999999999</v>
      </c>
      <c r="E1131" s="14">
        <f t="shared" ca="1" si="64"/>
        <v>57.195933333333329</v>
      </c>
      <c r="F1131" s="14">
        <f t="shared" ca="1" si="64"/>
        <v>57.024533333333331</v>
      </c>
      <c r="G1131" s="14">
        <f t="shared" ca="1" si="64"/>
        <v>57.042008333333342</v>
      </c>
      <c r="H1131" s="14">
        <f t="shared" ca="1" si="64"/>
        <v>57.185049999999997</v>
      </c>
      <c r="I1131" s="14">
        <f t="shared" ca="1" si="64"/>
        <v>57.204350000000005</v>
      </c>
      <c r="J1131" s="14">
        <f t="shared" ca="1" si="64"/>
        <v>57.01753333333334</v>
      </c>
      <c r="K1131" s="14">
        <f t="shared" ca="1" si="64"/>
        <v>57.20045833333333</v>
      </c>
      <c r="L1131" s="14">
        <f t="shared" ca="1" si="65"/>
        <v>57.77205</v>
      </c>
      <c r="M1131" s="14">
        <f t="shared" ca="1" si="65"/>
        <v>55.856991666666666</v>
      </c>
      <c r="N1131" s="14">
        <f t="shared" ca="1" si="65"/>
        <v>55.874083333333324</v>
      </c>
      <c r="O1131" s="14">
        <f t="shared" ca="1" si="65"/>
        <v>56.021050000000002</v>
      </c>
      <c r="P1131" s="14">
        <f t="shared" ca="1" si="65"/>
        <v>56.036449999999995</v>
      </c>
      <c r="Q1131" s="14">
        <f t="shared" ca="1" si="65"/>
        <v>56.615749999999998</v>
      </c>
      <c r="R1131" s="14">
        <f t="shared" ca="1" si="65"/>
        <v>57.344291666666663</v>
      </c>
      <c r="S1131" s="14">
        <f t="shared" ca="1" si="65"/>
        <v>54.758249999999983</v>
      </c>
      <c r="T1131" s="49">
        <f t="shared" ca="1" si="66"/>
        <v>357.24568100000005</v>
      </c>
      <c r="U1131" s="49">
        <f t="shared" ca="1" si="66"/>
        <v>142.03263249999998</v>
      </c>
      <c r="V1131" s="49">
        <f t="shared" ca="1" si="66"/>
        <v>50.187500000000007</v>
      </c>
      <c r="W1131" s="49">
        <f t="shared" ca="1" si="66"/>
        <v>5.0822234999999996</v>
      </c>
      <c r="X1131" s="49">
        <f t="shared" ca="1" si="66"/>
        <v>20.758966663999999</v>
      </c>
      <c r="Y1131" s="14"/>
      <c r="Z1131" s="14"/>
      <c r="AA1131" s="14"/>
      <c r="AB1131" s="14">
        <f t="shared" ca="1" si="62"/>
        <v>57.053232118298503</v>
      </c>
      <c r="AC1131" s="14">
        <f t="shared" ca="1" si="62"/>
        <v>55.958154076738602</v>
      </c>
    </row>
    <row r="1132" spans="1:29" ht="15" x14ac:dyDescent="0.2">
      <c r="A1132" s="10">
        <f t="shared" si="63"/>
        <v>2075</v>
      </c>
      <c r="B1132" s="14">
        <f t="shared" ca="1" si="64"/>
        <v>59.207725000000011</v>
      </c>
      <c r="C1132" s="14">
        <f t="shared" ca="1" si="64"/>
        <v>59.213999999999999</v>
      </c>
      <c r="D1132" s="14">
        <f t="shared" ca="1" si="64"/>
        <v>59.374908333333337</v>
      </c>
      <c r="E1132" s="14">
        <f t="shared" ca="1" si="64"/>
        <v>59.407333333333334</v>
      </c>
      <c r="F1132" s="14">
        <f t="shared" ca="1" si="64"/>
        <v>59.235941666666669</v>
      </c>
      <c r="G1132" s="14">
        <f t="shared" ca="1" si="64"/>
        <v>59.253441666666667</v>
      </c>
      <c r="H1132" s="14">
        <f t="shared" ca="1" si="64"/>
        <v>59.396449999999994</v>
      </c>
      <c r="I1132" s="14">
        <f t="shared" ca="1" si="64"/>
        <v>59.422683333333339</v>
      </c>
      <c r="J1132" s="14">
        <f t="shared" ca="1" si="64"/>
        <v>59.228941666666664</v>
      </c>
      <c r="K1132" s="14">
        <f t="shared" ca="1" si="64"/>
        <v>59.41878333333333</v>
      </c>
      <c r="L1132" s="14">
        <f t="shared" ca="1" si="65"/>
        <v>59.983450000000005</v>
      </c>
      <c r="M1132" s="14">
        <f t="shared" ca="1" si="65"/>
        <v>58.023083333333339</v>
      </c>
      <c r="N1132" s="14">
        <f t="shared" ca="1" si="65"/>
        <v>58.040199999999992</v>
      </c>
      <c r="O1132" s="14">
        <f t="shared" ca="1" si="65"/>
        <v>58.187149999999995</v>
      </c>
      <c r="P1132" s="14">
        <f t="shared" ca="1" si="65"/>
        <v>58.209200000000003</v>
      </c>
      <c r="Q1132" s="14">
        <f t="shared" ca="1" si="65"/>
        <v>58.781849999999999</v>
      </c>
      <c r="R1132" s="14">
        <f t="shared" ca="1" si="65"/>
        <v>59.515799999999992</v>
      </c>
      <c r="S1132" s="14">
        <f t="shared" ca="1" si="65"/>
        <v>56.883183333333335</v>
      </c>
      <c r="T1132" s="49">
        <f t="shared" ca="1" si="66"/>
        <v>357.24568100000005</v>
      </c>
      <c r="U1132" s="49">
        <f t="shared" ca="1" si="66"/>
        <v>142.03263249999998</v>
      </c>
      <c r="V1132" s="49">
        <f t="shared" ca="1" si="66"/>
        <v>50.187500000000007</v>
      </c>
      <c r="W1132" s="49">
        <f t="shared" ca="1" si="66"/>
        <v>5.0822234999999996</v>
      </c>
      <c r="X1132" s="49">
        <f t="shared" ca="1" si="66"/>
        <v>20.758966663999999</v>
      </c>
      <c r="Y1132" s="14"/>
      <c r="Z1132" s="14"/>
      <c r="AA1132" s="14"/>
      <c r="AB1132" s="14">
        <f t="shared" ca="1" si="62"/>
        <v>59.265221570803938</v>
      </c>
      <c r="AC1132" s="14">
        <f t="shared" ca="1" si="62"/>
        <v>58.12520899280576</v>
      </c>
    </row>
    <row r="1133" spans="1:29" ht="15" x14ac:dyDescent="0.2">
      <c r="A1133" s="10">
        <f t="shared" si="63"/>
        <v>2076</v>
      </c>
      <c r="B1133" s="14">
        <f t="shared" ca="1" si="64"/>
        <v>61.504950000000001</v>
      </c>
      <c r="C1133" s="14">
        <f t="shared" ca="1" si="64"/>
        <v>61.51124166666667</v>
      </c>
      <c r="D1133" s="14">
        <f t="shared" ca="1" si="64"/>
        <v>61.672150000000009</v>
      </c>
      <c r="E1133" s="14">
        <f t="shared" ca="1" si="64"/>
        <v>61.704550000000005</v>
      </c>
      <c r="F1133" s="14">
        <f t="shared" ca="1" si="64"/>
        <v>61.533175</v>
      </c>
      <c r="G1133" s="14">
        <f t="shared" ca="1" si="64"/>
        <v>61.550641666666671</v>
      </c>
      <c r="H1133" s="14">
        <f t="shared" ca="1" si="64"/>
        <v>61.693691666666666</v>
      </c>
      <c r="I1133" s="14">
        <f t="shared" ca="1" si="64"/>
        <v>61.727116666666667</v>
      </c>
      <c r="J1133" s="14">
        <f t="shared" ca="1" si="64"/>
        <v>61.526174999999995</v>
      </c>
      <c r="K1133" s="14">
        <f t="shared" ca="1" si="64"/>
        <v>61.723216666666666</v>
      </c>
      <c r="L1133" s="14">
        <f t="shared" ca="1" si="65"/>
        <v>62.280691666666677</v>
      </c>
      <c r="M1133" s="14">
        <f t="shared" ca="1" si="65"/>
        <v>60.273225000000004</v>
      </c>
      <c r="N1133" s="14">
        <f t="shared" ca="1" si="65"/>
        <v>60.290349999999997</v>
      </c>
      <c r="O1133" s="14">
        <f t="shared" ca="1" si="65"/>
        <v>60.437308333333334</v>
      </c>
      <c r="P1133" s="14">
        <f t="shared" ca="1" si="65"/>
        <v>60.466266666666662</v>
      </c>
      <c r="Q1133" s="14">
        <f t="shared" ca="1" si="65"/>
        <v>61.032008333333323</v>
      </c>
      <c r="R1133" s="14">
        <f t="shared" ca="1" si="65"/>
        <v>61.771599999999999</v>
      </c>
      <c r="S1133" s="14">
        <f t="shared" ca="1" si="65"/>
        <v>59.090591666666661</v>
      </c>
      <c r="T1133" s="49">
        <f t="shared" ca="1" si="66"/>
        <v>358.17703550000004</v>
      </c>
      <c r="U1133" s="49">
        <f t="shared" ca="1" si="66"/>
        <v>142.42176299999997</v>
      </c>
      <c r="V1133" s="49">
        <f t="shared" ca="1" si="66"/>
        <v>50.325000000000003</v>
      </c>
      <c r="W1133" s="49">
        <f t="shared" ca="1" si="66"/>
        <v>5.0961473999999995</v>
      </c>
      <c r="X1133" s="49">
        <f t="shared" ca="1" si="66"/>
        <v>20.800615543999996</v>
      </c>
      <c r="Y1133" s="14"/>
      <c r="Z1133" s="14"/>
      <c r="AA1133" s="14"/>
      <c r="AB1133" s="14">
        <f t="shared" ca="1" si="62"/>
        <v>61.563044533968871</v>
      </c>
      <c r="AC1133" s="14">
        <f t="shared" ca="1" si="62"/>
        <v>60.376355095923266</v>
      </c>
    </row>
    <row r="1134" spans="1:29" ht="15" x14ac:dyDescent="0.2">
      <c r="A1134" s="10">
        <f t="shared" si="63"/>
        <v>2077</v>
      </c>
      <c r="B1134" s="14">
        <f t="shared" ca="1" si="64"/>
        <v>63.891316666666661</v>
      </c>
      <c r="C1134" s="14">
        <f t="shared" ca="1" si="64"/>
        <v>63.89758333333333</v>
      </c>
      <c r="D1134" s="14">
        <f t="shared" ca="1" si="64"/>
        <v>64.058524999999989</v>
      </c>
      <c r="E1134" s="14">
        <f t="shared" ca="1" si="64"/>
        <v>64.090958333333319</v>
      </c>
      <c r="F1134" s="14">
        <f t="shared" ca="1" si="64"/>
        <v>63.919541666666674</v>
      </c>
      <c r="G1134" s="14">
        <f t="shared" ca="1" si="64"/>
        <v>63.937033333333325</v>
      </c>
      <c r="H1134" s="14">
        <f t="shared" ca="1" si="64"/>
        <v>64.080058333333326</v>
      </c>
      <c r="I1134" s="14">
        <f t="shared" ca="1" si="64"/>
        <v>64.120958333333334</v>
      </c>
      <c r="J1134" s="14">
        <f t="shared" ca="1" si="64"/>
        <v>63.912541666666662</v>
      </c>
      <c r="K1134" s="14">
        <f t="shared" ca="1" si="64"/>
        <v>64.117075</v>
      </c>
      <c r="L1134" s="14">
        <f t="shared" ca="1" si="65"/>
        <v>64.66705833333333</v>
      </c>
      <c r="M1134" s="14">
        <f t="shared" ca="1" si="65"/>
        <v>62.610725000000009</v>
      </c>
      <c r="N1134" s="14">
        <f t="shared" ca="1" si="65"/>
        <v>62.627849999999995</v>
      </c>
      <c r="O1134" s="14">
        <f t="shared" ca="1" si="65"/>
        <v>62.774791666666665</v>
      </c>
      <c r="P1134" s="14">
        <f t="shared" ca="1" si="65"/>
        <v>62.810908333333337</v>
      </c>
      <c r="Q1134" s="14">
        <f t="shared" ca="1" si="65"/>
        <v>63.369491666666676</v>
      </c>
      <c r="R1134" s="14">
        <f t="shared" ca="1" si="65"/>
        <v>64.114908333333332</v>
      </c>
      <c r="S1134" s="14">
        <f t="shared" ca="1" si="65"/>
        <v>61.383675000000004</v>
      </c>
      <c r="T1134" s="49">
        <f t="shared" ca="1" si="66"/>
        <v>357.24568100000005</v>
      </c>
      <c r="U1134" s="49">
        <f t="shared" ca="1" si="66"/>
        <v>142.03263249999998</v>
      </c>
      <c r="V1134" s="49">
        <f t="shared" ca="1" si="66"/>
        <v>50.187500000000007</v>
      </c>
      <c r="W1134" s="49">
        <f t="shared" ca="1" si="66"/>
        <v>5.0822234999999996</v>
      </c>
      <c r="X1134" s="49">
        <f t="shared" ca="1" si="66"/>
        <v>20.758966663999999</v>
      </c>
      <c r="Y1134" s="14"/>
      <c r="Z1134" s="14"/>
      <c r="AA1134" s="14"/>
      <c r="AB1134" s="14">
        <f t="shared" ca="1" si="62"/>
        <v>63.950028183298087</v>
      </c>
      <c r="AC1134" s="14">
        <f t="shared" ca="1" si="62"/>
        <v>62.714875119904065</v>
      </c>
    </row>
    <row r="1135" spans="1:29" ht="15" x14ac:dyDescent="0.2">
      <c r="A1135" s="10">
        <f t="shared" si="63"/>
        <v>2078</v>
      </c>
      <c r="B1135" s="14">
        <f t="shared" ca="1" si="64"/>
        <v>66.370308333333327</v>
      </c>
      <c r="C1135" s="14">
        <f t="shared" ca="1" si="64"/>
        <v>66.376583333333329</v>
      </c>
      <c r="D1135" s="14">
        <f t="shared" ca="1" si="64"/>
        <v>66.537508333333335</v>
      </c>
      <c r="E1135" s="14">
        <f t="shared" ca="1" si="64"/>
        <v>66.569924999999998</v>
      </c>
      <c r="F1135" s="14">
        <f t="shared" ca="1" si="64"/>
        <v>66.398524999999992</v>
      </c>
      <c r="G1135" s="14">
        <f t="shared" ca="1" si="64"/>
        <v>66.416016666666664</v>
      </c>
      <c r="H1135" s="14">
        <f t="shared" ca="1" si="64"/>
        <v>66.559049999999999</v>
      </c>
      <c r="I1135" s="14">
        <f t="shared" ca="1" si="64"/>
        <v>66.607700000000008</v>
      </c>
      <c r="J1135" s="14">
        <f t="shared" ca="1" si="64"/>
        <v>66.391525000000001</v>
      </c>
      <c r="K1135" s="14">
        <f t="shared" ca="1" si="64"/>
        <v>66.603816666666674</v>
      </c>
      <c r="L1135" s="14">
        <f t="shared" ca="1" si="65"/>
        <v>67.146050000000002</v>
      </c>
      <c r="M1135" s="14">
        <f t="shared" ca="1" si="65"/>
        <v>65.038916666666665</v>
      </c>
      <c r="N1135" s="14">
        <f t="shared" ca="1" si="65"/>
        <v>65.056025000000005</v>
      </c>
      <c r="O1135" s="14">
        <f t="shared" ca="1" si="65"/>
        <v>65.202983333333336</v>
      </c>
      <c r="P1135" s="14">
        <f t="shared" ca="1" si="65"/>
        <v>65.246549999999999</v>
      </c>
      <c r="Q1135" s="14">
        <f t="shared" ca="1" si="65"/>
        <v>65.797683333333325</v>
      </c>
      <c r="R1135" s="14">
        <f t="shared" ca="1" si="65"/>
        <v>66.549175000000005</v>
      </c>
      <c r="S1135" s="14">
        <f t="shared" ca="1" si="65"/>
        <v>63.765716666666663</v>
      </c>
      <c r="T1135" s="49">
        <f t="shared" ca="1" si="66"/>
        <v>357.24568100000005</v>
      </c>
      <c r="U1135" s="49">
        <f t="shared" ca="1" si="66"/>
        <v>142.03263249999998</v>
      </c>
      <c r="V1135" s="49">
        <f t="shared" ca="1" si="66"/>
        <v>50.187500000000007</v>
      </c>
      <c r="W1135" s="49">
        <f t="shared" ca="1" si="66"/>
        <v>5.0822234999999996</v>
      </c>
      <c r="X1135" s="49">
        <f t="shared" ca="1" si="66"/>
        <v>20.758966663999999</v>
      </c>
      <c r="Y1135" s="14"/>
      <c r="Z1135" s="14"/>
      <c r="AA1135" s="14"/>
      <c r="AB1135" s="14">
        <f t="shared" ca="1" si="62"/>
        <v>66.429654709908348</v>
      </c>
      <c r="AC1135" s="14">
        <f t="shared" ca="1" si="62"/>
        <v>65.144137769784166</v>
      </c>
    </row>
    <row r="1136" spans="1:29" ht="15" x14ac:dyDescent="0.2">
      <c r="A1136" s="10">
        <f t="shared" si="63"/>
        <v>2079</v>
      </c>
      <c r="B1136" s="14">
        <f t="shared" ca="1" si="64"/>
        <v>68.945483333333328</v>
      </c>
      <c r="C1136" s="14">
        <f t="shared" ca="1" si="64"/>
        <v>68.95174999999999</v>
      </c>
      <c r="D1136" s="14">
        <f t="shared" ca="1" si="64"/>
        <v>69.112674999999982</v>
      </c>
      <c r="E1136" s="14">
        <f t="shared" ca="1" si="64"/>
        <v>69.145099999999999</v>
      </c>
      <c r="F1136" s="14">
        <f t="shared" ca="1" si="64"/>
        <v>68.973708333333335</v>
      </c>
      <c r="G1136" s="14">
        <f t="shared" ca="1" si="64"/>
        <v>68.991199999999992</v>
      </c>
      <c r="H1136" s="14">
        <f t="shared" ca="1" si="64"/>
        <v>69.13421666666666</v>
      </c>
      <c r="I1136" s="14">
        <f t="shared" ca="1" si="64"/>
        <v>69.190950000000001</v>
      </c>
      <c r="J1136" s="14">
        <f t="shared" ca="1" si="64"/>
        <v>68.96670833333333</v>
      </c>
      <c r="K1136" s="14">
        <f t="shared" ca="1" si="64"/>
        <v>69.187066666666652</v>
      </c>
      <c r="L1136" s="14">
        <f t="shared" ca="1" si="65"/>
        <v>69.721216666666663</v>
      </c>
      <c r="M1136" s="14">
        <f t="shared" ca="1" si="65"/>
        <v>67.56131666666667</v>
      </c>
      <c r="N1136" s="14">
        <f t="shared" ca="1" si="65"/>
        <v>67.578450000000004</v>
      </c>
      <c r="O1136" s="14">
        <f t="shared" ca="1" si="65"/>
        <v>67.725416666666675</v>
      </c>
      <c r="P1136" s="14">
        <f t="shared" ca="1" si="65"/>
        <v>67.776716666666672</v>
      </c>
      <c r="Q1136" s="14">
        <f t="shared" ca="1" si="65"/>
        <v>68.320116666666664</v>
      </c>
      <c r="R1136" s="14">
        <f t="shared" ca="1" si="65"/>
        <v>69.077899999999985</v>
      </c>
      <c r="S1136" s="14">
        <f t="shared" ca="1" si="65"/>
        <v>66.240208333333314</v>
      </c>
      <c r="T1136" s="49">
        <f t="shared" ca="1" si="66"/>
        <v>357.24568100000005</v>
      </c>
      <c r="U1136" s="49">
        <f t="shared" ca="1" si="66"/>
        <v>142.03263249999998</v>
      </c>
      <c r="V1136" s="49">
        <f t="shared" ca="1" si="66"/>
        <v>50.187500000000007</v>
      </c>
      <c r="W1136" s="49">
        <f t="shared" ca="1" si="66"/>
        <v>5.0822234999999996</v>
      </c>
      <c r="X1136" s="49">
        <f t="shared" ca="1" si="66"/>
        <v>20.758966663999999</v>
      </c>
      <c r="Y1136" s="14"/>
      <c r="Z1136" s="14"/>
      <c r="AA1136" s="14"/>
      <c r="AB1136" s="14">
        <f t="shared" ca="1" si="62"/>
        <v>69.005495631212071</v>
      </c>
      <c r="AC1136" s="14">
        <f t="shared" ca="1" si="62"/>
        <v>67.667671822541962</v>
      </c>
    </row>
    <row r="1137" spans="1:29" ht="15" x14ac:dyDescent="0.2">
      <c r="A1137" s="10">
        <f t="shared" si="63"/>
        <v>2080</v>
      </c>
      <c r="B1137" s="14">
        <f t="shared" ca="1" si="64"/>
        <v>71.620599999999996</v>
      </c>
      <c r="C1137" s="14">
        <f t="shared" ca="1" si="64"/>
        <v>71.626883333333325</v>
      </c>
      <c r="D1137" s="14">
        <f t="shared" ca="1" si="64"/>
        <v>71.78779999999999</v>
      </c>
      <c r="E1137" s="14">
        <f t="shared" ca="1" si="64"/>
        <v>71.820224999999994</v>
      </c>
      <c r="F1137" s="14">
        <f t="shared" ca="1" si="64"/>
        <v>71.648833333333343</v>
      </c>
      <c r="G1137" s="14">
        <f t="shared" ca="1" si="64"/>
        <v>71.666308333333333</v>
      </c>
      <c r="H1137" s="14">
        <f t="shared" ca="1" si="64"/>
        <v>71.809341666666668</v>
      </c>
      <c r="I1137" s="14">
        <f t="shared" ca="1" si="64"/>
        <v>71.874441666666669</v>
      </c>
      <c r="J1137" s="14">
        <f t="shared" ca="1" si="64"/>
        <v>71.641833333333338</v>
      </c>
      <c r="K1137" s="14">
        <f t="shared" ca="1" si="64"/>
        <v>71.870558333333335</v>
      </c>
      <c r="L1137" s="14">
        <f t="shared" ca="1" si="65"/>
        <v>72.396341666666657</v>
      </c>
      <c r="M1137" s="14">
        <f t="shared" ca="1" si="65"/>
        <v>70.181633333333338</v>
      </c>
      <c r="N1137" s="14">
        <f t="shared" ca="1" si="65"/>
        <v>70.19875833333333</v>
      </c>
      <c r="O1137" s="14">
        <f t="shared" ca="1" si="65"/>
        <v>70.34570833333332</v>
      </c>
      <c r="P1137" s="14">
        <f t="shared" ca="1" si="65"/>
        <v>70.405033333333321</v>
      </c>
      <c r="Q1137" s="14">
        <f t="shared" ca="1" si="65"/>
        <v>70.940408333333323</v>
      </c>
      <c r="R1137" s="14">
        <f t="shared" ca="1" si="65"/>
        <v>71.704766666666657</v>
      </c>
      <c r="S1137" s="14">
        <f t="shared" ca="1" si="65"/>
        <v>68.810716666666664</v>
      </c>
      <c r="T1137" s="49">
        <f t="shared" ca="1" si="66"/>
        <v>358.17703550000004</v>
      </c>
      <c r="U1137" s="49">
        <f t="shared" ca="1" si="66"/>
        <v>142.42176299999997</v>
      </c>
      <c r="V1137" s="49">
        <f t="shared" ca="1" si="66"/>
        <v>50.325000000000003</v>
      </c>
      <c r="W1137" s="49">
        <f t="shared" ca="1" si="66"/>
        <v>5.0961473999999995</v>
      </c>
      <c r="X1137" s="49">
        <f t="shared" ca="1" si="66"/>
        <v>20.800615543999996</v>
      </c>
      <c r="Y1137" s="14"/>
      <c r="Z1137" s="14"/>
      <c r="AA1137" s="14"/>
      <c r="AB1137" s="14">
        <f t="shared" ca="1" si="62"/>
        <v>71.681308099477405</v>
      </c>
      <c r="AC1137" s="14">
        <f t="shared" ca="1" si="62"/>
        <v>70.289127757793764</v>
      </c>
    </row>
    <row r="1138" spans="1:29" ht="15" x14ac:dyDescent="0.2">
      <c r="A1138" s="10">
        <f t="shared" si="63"/>
        <v>2081</v>
      </c>
      <c r="B1138" s="14">
        <f t="shared" ca="1" si="64"/>
        <v>74.399516666666671</v>
      </c>
      <c r="C1138" s="14">
        <f t="shared" ca="1" si="64"/>
        <v>74.40580833333334</v>
      </c>
      <c r="D1138" s="14">
        <f t="shared" ca="1" si="64"/>
        <v>74.566716666666665</v>
      </c>
      <c r="E1138" s="14">
        <f t="shared" ca="1" si="64"/>
        <v>74.599149999999995</v>
      </c>
      <c r="F1138" s="14">
        <f t="shared" ca="1" si="64"/>
        <v>74.42776666666667</v>
      </c>
      <c r="G1138" s="14">
        <f t="shared" ca="1" si="64"/>
        <v>74.445233333333348</v>
      </c>
      <c r="H1138" s="14">
        <f t="shared" ca="1" si="64"/>
        <v>74.588258333333343</v>
      </c>
      <c r="I1138" s="14">
        <f t="shared" ca="1" si="64"/>
        <v>74.662066666666647</v>
      </c>
      <c r="J1138" s="14">
        <f t="shared" ca="1" si="64"/>
        <v>74.420766666666665</v>
      </c>
      <c r="K1138" s="14">
        <f t="shared" ca="1" si="64"/>
        <v>74.658191666666667</v>
      </c>
      <c r="L1138" s="14">
        <f t="shared" ca="1" si="65"/>
        <v>75.175258333333332</v>
      </c>
      <c r="M1138" s="14">
        <f t="shared" ca="1" si="65"/>
        <v>72.903624999999991</v>
      </c>
      <c r="N1138" s="14">
        <f t="shared" ca="1" si="65"/>
        <v>72.920741666666672</v>
      </c>
      <c r="O1138" s="14">
        <f t="shared" ca="1" si="65"/>
        <v>73.067708333333329</v>
      </c>
      <c r="P1138" s="14">
        <f t="shared" ca="1" si="65"/>
        <v>73.135383333333337</v>
      </c>
      <c r="Q1138" s="14">
        <f t="shared" ca="1" si="65"/>
        <v>73.662408333333318</v>
      </c>
      <c r="R1138" s="14">
        <f t="shared" ca="1" si="65"/>
        <v>74.433558333333337</v>
      </c>
      <c r="S1138" s="14">
        <f t="shared" ca="1" si="65"/>
        <v>71.481016666666662</v>
      </c>
      <c r="T1138" s="49">
        <f t="shared" ca="1" si="66"/>
        <v>357.24568100000005</v>
      </c>
      <c r="U1138" s="49">
        <f t="shared" ca="1" si="66"/>
        <v>142.03263249999998</v>
      </c>
      <c r="V1138" s="49">
        <f t="shared" ca="1" si="66"/>
        <v>50.187500000000007</v>
      </c>
      <c r="W1138" s="49">
        <f t="shared" ca="1" si="66"/>
        <v>5.0822234999999996</v>
      </c>
      <c r="X1138" s="49">
        <f t="shared" ca="1" si="66"/>
        <v>20.758966663999999</v>
      </c>
      <c r="Y1138" s="14"/>
      <c r="Z1138" s="14"/>
      <c r="AA1138" s="14"/>
      <c r="AB1138" s="14">
        <f t="shared" ca="1" si="62"/>
        <v>74.460951240923919</v>
      </c>
      <c r="AC1138" s="14">
        <f t="shared" ca="1" si="62"/>
        <v>73.01232535971225</v>
      </c>
    </row>
    <row r="1139" spans="1:29" ht="15" x14ac:dyDescent="0.2">
      <c r="A1139" s="10">
        <f t="shared" si="63"/>
        <v>2082</v>
      </c>
      <c r="B1139" s="14">
        <f t="shared" ref="B1139:K1148" ca="1" si="67">AVERAGE(OFFSET(B$601,($A1139-$A$1119)*12,0,12,1))</f>
        <v>77.286299999999997</v>
      </c>
      <c r="C1139" s="14">
        <f t="shared" ca="1" si="67"/>
        <v>77.292583333333326</v>
      </c>
      <c r="D1139" s="14">
        <f t="shared" ca="1" si="67"/>
        <v>77.453500000000005</v>
      </c>
      <c r="E1139" s="14">
        <f t="shared" ca="1" si="67"/>
        <v>77.485924999999995</v>
      </c>
      <c r="F1139" s="14">
        <f t="shared" ca="1" si="67"/>
        <v>77.314524999999989</v>
      </c>
      <c r="G1139" s="14">
        <f t="shared" ca="1" si="67"/>
        <v>77.332016666666661</v>
      </c>
      <c r="H1139" s="14">
        <f t="shared" ca="1" si="67"/>
        <v>77.475025000000002</v>
      </c>
      <c r="I1139" s="14">
        <f t="shared" ca="1" si="67"/>
        <v>77.557891666666691</v>
      </c>
      <c r="J1139" s="14">
        <f t="shared" ca="1" si="67"/>
        <v>77.307524999999984</v>
      </c>
      <c r="K1139" s="14">
        <f t="shared" ca="1" si="67"/>
        <v>77.553991666666661</v>
      </c>
      <c r="L1139" s="14">
        <f t="shared" ref="L1139:S1148" ca="1" si="68">AVERAGE(OFFSET(L$601,($A1139-$A$1119)*12,0,12,1))</f>
        <v>78.062025000000006</v>
      </c>
      <c r="M1139" s="14">
        <f t="shared" ca="1" si="68"/>
        <v>75.731250000000003</v>
      </c>
      <c r="N1139" s="14">
        <f t="shared" ca="1" si="68"/>
        <v>75.748366666666655</v>
      </c>
      <c r="O1139" s="14">
        <f t="shared" ca="1" si="68"/>
        <v>75.895316666666659</v>
      </c>
      <c r="P1139" s="14">
        <f t="shared" ca="1" si="68"/>
        <v>75.971674999999991</v>
      </c>
      <c r="Q1139" s="14">
        <f t="shared" ca="1" si="68"/>
        <v>76.490016666666676</v>
      </c>
      <c r="R1139" s="14">
        <f t="shared" ca="1" si="68"/>
        <v>77.268249999999995</v>
      </c>
      <c r="S1139" s="14">
        <f t="shared" ca="1" si="68"/>
        <v>74.254900000000006</v>
      </c>
      <c r="T1139" s="49">
        <f t="shared" ref="T1139:X1148" ca="1" si="69">SUM(OFFSET(T$601,($A1139-$A$1119)*12,0,12,1))</f>
        <v>357.24568100000005</v>
      </c>
      <c r="U1139" s="49">
        <f t="shared" ca="1" si="69"/>
        <v>142.03263249999998</v>
      </c>
      <c r="V1139" s="49">
        <f t="shared" ca="1" si="69"/>
        <v>50.187500000000007</v>
      </c>
      <c r="W1139" s="49">
        <f t="shared" ca="1" si="69"/>
        <v>5.0822234999999996</v>
      </c>
      <c r="X1139" s="49">
        <f t="shared" ca="1" si="69"/>
        <v>20.758966663999999</v>
      </c>
      <c r="Y1139" s="14"/>
      <c r="Z1139" s="14"/>
      <c r="AA1139" s="14"/>
      <c r="AB1139" s="14">
        <f t="shared" ref="AB1139:AC1157" ca="1" si="70">AVERAGE(OFFSET(AB$601,($A1139-$A$1119)*12,0,12,1))</f>
        <v>77.348469675205749</v>
      </c>
      <c r="AC1139" s="14">
        <f t="shared" ca="1" si="70"/>
        <v>75.841189808153487</v>
      </c>
    </row>
    <row r="1140" spans="1:29" ht="15" x14ac:dyDescent="0.2">
      <c r="A1140" s="10">
        <f t="shared" si="63"/>
        <v>2083</v>
      </c>
      <c r="B1140" s="14">
        <f t="shared" ca="1" si="67"/>
        <v>80.2851</v>
      </c>
      <c r="C1140" s="14">
        <f t="shared" ca="1" si="67"/>
        <v>80.291366666666661</v>
      </c>
      <c r="D1140" s="14">
        <f t="shared" ca="1" si="67"/>
        <v>80.452283333333327</v>
      </c>
      <c r="E1140" s="14">
        <f t="shared" ca="1" si="67"/>
        <v>80.484716666666671</v>
      </c>
      <c r="F1140" s="14">
        <f t="shared" ca="1" si="67"/>
        <v>80.313316666666665</v>
      </c>
      <c r="G1140" s="14">
        <f t="shared" ca="1" si="67"/>
        <v>80.330799999999996</v>
      </c>
      <c r="H1140" s="14">
        <f t="shared" ca="1" si="67"/>
        <v>80.473824999999991</v>
      </c>
      <c r="I1140" s="14">
        <f t="shared" ca="1" si="67"/>
        <v>80.566058333333345</v>
      </c>
      <c r="J1140" s="14">
        <f t="shared" ca="1" si="67"/>
        <v>80.30631666666666</v>
      </c>
      <c r="K1140" s="14">
        <f t="shared" ca="1" si="67"/>
        <v>80.562183333333323</v>
      </c>
      <c r="L1140" s="14">
        <f t="shared" ca="1" si="68"/>
        <v>81.060824999999994</v>
      </c>
      <c r="M1140" s="14">
        <f t="shared" ca="1" si="68"/>
        <v>78.668599999999984</v>
      </c>
      <c r="N1140" s="14">
        <f t="shared" ca="1" si="68"/>
        <v>78.685724999999991</v>
      </c>
      <c r="O1140" s="14">
        <f t="shared" ca="1" si="68"/>
        <v>78.832666666666654</v>
      </c>
      <c r="P1140" s="14">
        <f t="shared" ca="1" si="68"/>
        <v>78.918058333333335</v>
      </c>
      <c r="Q1140" s="14">
        <f t="shared" ca="1" si="68"/>
        <v>79.427366666666657</v>
      </c>
      <c r="R1140" s="14">
        <f t="shared" ca="1" si="68"/>
        <v>80.212941666666666</v>
      </c>
      <c r="S1140" s="14">
        <f t="shared" ca="1" si="68"/>
        <v>77.136433333333329</v>
      </c>
      <c r="T1140" s="49">
        <f t="shared" ca="1" si="69"/>
        <v>357.24568100000005</v>
      </c>
      <c r="U1140" s="49">
        <f t="shared" ca="1" si="69"/>
        <v>142.03263249999998</v>
      </c>
      <c r="V1140" s="49">
        <f t="shared" ca="1" si="69"/>
        <v>50.187500000000007</v>
      </c>
      <c r="W1140" s="49">
        <f t="shared" ca="1" si="69"/>
        <v>5.0822234999999996</v>
      </c>
      <c r="X1140" s="49">
        <f t="shared" ca="1" si="69"/>
        <v>20.758966663999999</v>
      </c>
      <c r="Y1140" s="14"/>
      <c r="Z1140" s="14"/>
      <c r="AA1140" s="14"/>
      <c r="AB1140" s="14">
        <f t="shared" ca="1" si="70"/>
        <v>80.348031393904563</v>
      </c>
      <c r="AC1140" s="14">
        <f t="shared" ca="1" si="70"/>
        <v>78.779840047961628</v>
      </c>
    </row>
    <row r="1141" spans="1:29" ht="15" x14ac:dyDescent="0.2">
      <c r="A1141" s="10">
        <f t="shared" si="63"/>
        <v>2084</v>
      </c>
      <c r="B1141" s="14">
        <f t="shared" ca="1" si="67"/>
        <v>83.400258333333326</v>
      </c>
      <c r="C1141" s="14">
        <f t="shared" ca="1" si="67"/>
        <v>83.406533333333329</v>
      </c>
      <c r="D1141" s="14">
        <f t="shared" ca="1" si="67"/>
        <v>83.567449999999994</v>
      </c>
      <c r="E1141" s="14">
        <f t="shared" ca="1" si="67"/>
        <v>83.599874999999997</v>
      </c>
      <c r="F1141" s="14">
        <f t="shared" ca="1" si="67"/>
        <v>83.4285</v>
      </c>
      <c r="G1141" s="14">
        <f t="shared" ca="1" si="67"/>
        <v>83.445958333333323</v>
      </c>
      <c r="H1141" s="14">
        <f t="shared" ca="1" si="67"/>
        <v>83.588991666666672</v>
      </c>
      <c r="I1141" s="14">
        <f t="shared" ca="1" si="67"/>
        <v>83.690991666666662</v>
      </c>
      <c r="J1141" s="14">
        <f t="shared" ca="1" si="67"/>
        <v>83.421499999999995</v>
      </c>
      <c r="K1141" s="14">
        <f t="shared" ca="1" si="67"/>
        <v>83.687100000000001</v>
      </c>
      <c r="L1141" s="14">
        <f t="shared" ca="1" si="68"/>
        <v>84.175991666666675</v>
      </c>
      <c r="M1141" s="14">
        <f t="shared" ca="1" si="68"/>
        <v>81.719933333333316</v>
      </c>
      <c r="N1141" s="14">
        <f t="shared" ca="1" si="68"/>
        <v>81.737041666666656</v>
      </c>
      <c r="O1141" s="14">
        <f t="shared" ca="1" si="68"/>
        <v>81.884016666666653</v>
      </c>
      <c r="P1141" s="14">
        <f t="shared" ca="1" si="68"/>
        <v>81.978733333333324</v>
      </c>
      <c r="Q1141" s="14">
        <f t="shared" ca="1" si="68"/>
        <v>82.478716666666656</v>
      </c>
      <c r="R1141" s="14">
        <f t="shared" ca="1" si="68"/>
        <v>83.271916666666655</v>
      </c>
      <c r="S1141" s="14">
        <f t="shared" ca="1" si="68"/>
        <v>80.129799999999989</v>
      </c>
      <c r="T1141" s="49">
        <f t="shared" ca="1" si="69"/>
        <v>358.17703550000004</v>
      </c>
      <c r="U1141" s="49">
        <f t="shared" ca="1" si="69"/>
        <v>142.42176299999997</v>
      </c>
      <c r="V1141" s="49">
        <f t="shared" ca="1" si="69"/>
        <v>50.325000000000003</v>
      </c>
      <c r="W1141" s="49">
        <f t="shared" ca="1" si="69"/>
        <v>5.0961473999999995</v>
      </c>
      <c r="X1141" s="49">
        <f t="shared" ca="1" si="69"/>
        <v>20.800615543999996</v>
      </c>
      <c r="Y1141" s="14"/>
      <c r="Z1141" s="14"/>
      <c r="AA1141" s="14"/>
      <c r="AB1141" s="14">
        <f t="shared" ca="1" si="70"/>
        <v>83.464005168936993</v>
      </c>
      <c r="AC1141" s="14">
        <f t="shared" ca="1" si="70"/>
        <v>81.832524100719425</v>
      </c>
    </row>
    <row r="1142" spans="1:29" ht="15" x14ac:dyDescent="0.2">
      <c r="A1142" s="10">
        <f t="shared" si="63"/>
        <v>2085</v>
      </c>
      <c r="B1142" s="14">
        <f t="shared" ca="1" si="67"/>
        <v>86.636324999999999</v>
      </c>
      <c r="C1142" s="14">
        <f t="shared" ca="1" si="67"/>
        <v>86.642583333333334</v>
      </c>
      <c r="D1142" s="14">
        <f t="shared" ca="1" si="67"/>
        <v>86.803516666666667</v>
      </c>
      <c r="E1142" s="14">
        <f t="shared" ca="1" si="67"/>
        <v>86.83593333333333</v>
      </c>
      <c r="F1142" s="14">
        <f t="shared" ca="1" si="67"/>
        <v>86.664541666666651</v>
      </c>
      <c r="G1142" s="14">
        <f t="shared" ca="1" si="67"/>
        <v>86.682016666666655</v>
      </c>
      <c r="H1142" s="14">
        <f t="shared" ca="1" si="67"/>
        <v>86.82504999999999</v>
      </c>
      <c r="I1142" s="14">
        <f t="shared" ca="1" si="67"/>
        <v>86.937183333333337</v>
      </c>
      <c r="J1142" s="14">
        <f t="shared" ca="1" si="67"/>
        <v>86.65754166666666</v>
      </c>
      <c r="K1142" s="14">
        <f t="shared" ca="1" si="67"/>
        <v>86.933291666666662</v>
      </c>
      <c r="L1142" s="14">
        <f t="shared" ca="1" si="68"/>
        <v>87.412050000000008</v>
      </c>
      <c r="M1142" s="14">
        <f t="shared" ca="1" si="68"/>
        <v>84.889674999999997</v>
      </c>
      <c r="N1142" s="14">
        <f t="shared" ca="1" si="68"/>
        <v>84.906824999999998</v>
      </c>
      <c r="O1142" s="14">
        <f t="shared" ca="1" si="68"/>
        <v>85.053775000000016</v>
      </c>
      <c r="P1142" s="14">
        <f t="shared" ca="1" si="68"/>
        <v>85.158208333333334</v>
      </c>
      <c r="Q1142" s="14">
        <f t="shared" ca="1" si="68"/>
        <v>85.648475000000005</v>
      </c>
      <c r="R1142" s="14">
        <f t="shared" ca="1" si="68"/>
        <v>86.449583333333337</v>
      </c>
      <c r="S1142" s="14">
        <f t="shared" ca="1" si="68"/>
        <v>83.239325000000008</v>
      </c>
      <c r="T1142" s="49">
        <f t="shared" ca="1" si="69"/>
        <v>357.24568100000005</v>
      </c>
      <c r="U1142" s="49">
        <f t="shared" ca="1" si="69"/>
        <v>142.03263249999998</v>
      </c>
      <c r="V1142" s="49">
        <f t="shared" ca="1" si="69"/>
        <v>50.187500000000007</v>
      </c>
      <c r="W1142" s="49">
        <f t="shared" ca="1" si="69"/>
        <v>5.0822234999999996</v>
      </c>
      <c r="X1142" s="49">
        <f t="shared" ca="1" si="69"/>
        <v>20.758966663999999</v>
      </c>
      <c r="Y1142" s="14"/>
      <c r="Z1142" s="14"/>
      <c r="AA1142" s="14"/>
      <c r="AB1142" s="14">
        <f t="shared" ca="1" si="70"/>
        <v>86.700893242891723</v>
      </c>
      <c r="AC1142" s="14">
        <f t="shared" ca="1" si="70"/>
        <v>85.003676199040783</v>
      </c>
    </row>
    <row r="1143" spans="1:29" ht="15" x14ac:dyDescent="0.2">
      <c r="A1143" s="10">
        <f t="shared" si="63"/>
        <v>2086</v>
      </c>
      <c r="B1143" s="14">
        <f t="shared" ca="1" si="67"/>
        <v>89.997941666666676</v>
      </c>
      <c r="C1143" s="14">
        <f t="shared" ca="1" si="67"/>
        <v>90.004216666666665</v>
      </c>
      <c r="D1143" s="14">
        <f t="shared" ca="1" si="67"/>
        <v>90.165141666666671</v>
      </c>
      <c r="E1143" s="14">
        <f t="shared" ca="1" si="67"/>
        <v>90.197574999999986</v>
      </c>
      <c r="F1143" s="14">
        <f t="shared" ca="1" si="67"/>
        <v>90.026175000000009</v>
      </c>
      <c r="G1143" s="14">
        <f t="shared" ca="1" si="67"/>
        <v>90.04365</v>
      </c>
      <c r="H1143" s="14">
        <f t="shared" ca="1" si="67"/>
        <v>90.186683333333335</v>
      </c>
      <c r="I1143" s="14">
        <f t="shared" ca="1" si="67"/>
        <v>90.309366666666676</v>
      </c>
      <c r="J1143" s="14">
        <f t="shared" ca="1" si="67"/>
        <v>90.019175000000018</v>
      </c>
      <c r="K1143" s="14">
        <f t="shared" ca="1" si="67"/>
        <v>90.305474999999987</v>
      </c>
      <c r="L1143" s="14">
        <f t="shared" ca="1" si="68"/>
        <v>90.773683333333324</v>
      </c>
      <c r="M1143" s="14">
        <f t="shared" ca="1" si="68"/>
        <v>88.182441666666662</v>
      </c>
      <c r="N1143" s="14">
        <f t="shared" ca="1" si="68"/>
        <v>88.199558333333314</v>
      </c>
      <c r="O1143" s="14">
        <f t="shared" ca="1" si="68"/>
        <v>88.346525</v>
      </c>
      <c r="P1143" s="14">
        <f t="shared" ca="1" si="68"/>
        <v>88.461066666666667</v>
      </c>
      <c r="Q1143" s="14">
        <f t="shared" ca="1" si="68"/>
        <v>88.941224999999989</v>
      </c>
      <c r="R1143" s="14">
        <f t="shared" ca="1" si="68"/>
        <v>89.750574999999984</v>
      </c>
      <c r="S1143" s="14">
        <f t="shared" ca="1" si="68"/>
        <v>86.46952499999999</v>
      </c>
      <c r="T1143" s="49">
        <f t="shared" ca="1" si="69"/>
        <v>357.24568100000005</v>
      </c>
      <c r="U1143" s="49">
        <f t="shared" ca="1" si="69"/>
        <v>142.03263249999998</v>
      </c>
      <c r="V1143" s="49">
        <f t="shared" ca="1" si="69"/>
        <v>50.187500000000007</v>
      </c>
      <c r="W1143" s="49">
        <f t="shared" ca="1" si="69"/>
        <v>5.0822234999999996</v>
      </c>
      <c r="X1143" s="49">
        <f t="shared" ca="1" si="69"/>
        <v>20.758966663999999</v>
      </c>
      <c r="Y1143" s="14"/>
      <c r="Z1143" s="14"/>
      <c r="AA1143" s="14"/>
      <c r="AB1143" s="14">
        <f t="shared" ca="1" si="70"/>
        <v>90.06339323618694</v>
      </c>
      <c r="AC1143" s="14">
        <f t="shared" ca="1" si="70"/>
        <v>88.297885431654677</v>
      </c>
    </row>
    <row r="1144" spans="1:29" ht="15" x14ac:dyDescent="0.2">
      <c r="A1144" s="10">
        <f t="shared" si="63"/>
        <v>2087</v>
      </c>
      <c r="B1144" s="14">
        <f t="shared" ca="1" si="67"/>
        <v>93.490041666666642</v>
      </c>
      <c r="C1144" s="14">
        <f t="shared" ca="1" si="67"/>
        <v>93.496308333333332</v>
      </c>
      <c r="D1144" s="14">
        <f t="shared" ca="1" si="67"/>
        <v>93.657241666666664</v>
      </c>
      <c r="E1144" s="14">
        <f t="shared" ca="1" si="67"/>
        <v>93.689675000000008</v>
      </c>
      <c r="F1144" s="14">
        <f t="shared" ca="1" si="67"/>
        <v>93.518275000000017</v>
      </c>
      <c r="G1144" s="14">
        <f t="shared" ca="1" si="67"/>
        <v>93.535749999999993</v>
      </c>
      <c r="H1144" s="14">
        <f t="shared" ca="1" si="67"/>
        <v>93.678774999999987</v>
      </c>
      <c r="I1144" s="14">
        <f t="shared" ca="1" si="67"/>
        <v>93.812383333333329</v>
      </c>
      <c r="J1144" s="14">
        <f t="shared" ca="1" si="67"/>
        <v>93.511274999999998</v>
      </c>
      <c r="K1144" s="14">
        <f t="shared" ca="1" si="67"/>
        <v>93.808491666666669</v>
      </c>
      <c r="L1144" s="14">
        <f t="shared" ca="1" si="68"/>
        <v>94.265775000000005</v>
      </c>
      <c r="M1144" s="14">
        <f t="shared" ca="1" si="68"/>
        <v>91.602983333333327</v>
      </c>
      <c r="N1144" s="14">
        <f t="shared" ca="1" si="68"/>
        <v>91.620108333333349</v>
      </c>
      <c r="O1144" s="14">
        <f t="shared" ca="1" si="68"/>
        <v>91.767058333333338</v>
      </c>
      <c r="P1144" s="14">
        <f t="shared" ca="1" si="68"/>
        <v>91.89210833333334</v>
      </c>
      <c r="Q1144" s="14">
        <f t="shared" ca="1" si="68"/>
        <v>92.361758333333341</v>
      </c>
      <c r="R1144" s="14">
        <f t="shared" ca="1" si="68"/>
        <v>93.179666666666662</v>
      </c>
      <c r="S1144" s="14">
        <f t="shared" ca="1" si="68"/>
        <v>89.825066666666672</v>
      </c>
      <c r="T1144" s="49">
        <f t="shared" ca="1" si="69"/>
        <v>357.24568100000005</v>
      </c>
      <c r="U1144" s="49">
        <f t="shared" ca="1" si="69"/>
        <v>142.03263249999998</v>
      </c>
      <c r="V1144" s="49">
        <f t="shared" ca="1" si="69"/>
        <v>50.187500000000007</v>
      </c>
      <c r="W1144" s="49">
        <f t="shared" ca="1" si="69"/>
        <v>5.0822234999999996</v>
      </c>
      <c r="X1144" s="49">
        <f t="shared" ca="1" si="69"/>
        <v>20.758966663999999</v>
      </c>
      <c r="Y1144" s="14"/>
      <c r="Z1144" s="14"/>
      <c r="AA1144" s="14"/>
      <c r="AB1144" s="14">
        <f t="shared" ca="1" si="70"/>
        <v>93.556390757063298</v>
      </c>
      <c r="AC1144" s="14">
        <f t="shared" ca="1" si="70"/>
        <v>91.719934592326126</v>
      </c>
    </row>
    <row r="1145" spans="1:29" ht="15" x14ac:dyDescent="0.2">
      <c r="A1145" s="10">
        <f t="shared" si="63"/>
        <v>2088</v>
      </c>
      <c r="B1145" s="14">
        <f t="shared" ca="1" si="67"/>
        <v>97.117641666666671</v>
      </c>
      <c r="C1145" s="14">
        <f t="shared" ca="1" si="67"/>
        <v>97.123925</v>
      </c>
      <c r="D1145" s="14">
        <f t="shared" ca="1" si="67"/>
        <v>97.284833333333339</v>
      </c>
      <c r="E1145" s="14">
        <f t="shared" ca="1" si="67"/>
        <v>97.317274999999995</v>
      </c>
      <c r="F1145" s="14">
        <f t="shared" ca="1" si="67"/>
        <v>97.145891666666657</v>
      </c>
      <c r="G1145" s="14">
        <f t="shared" ca="1" si="67"/>
        <v>97.163349999999994</v>
      </c>
      <c r="H1145" s="14">
        <f t="shared" ca="1" si="67"/>
        <v>97.306383333333329</v>
      </c>
      <c r="I1145" s="14">
        <f t="shared" ca="1" si="67"/>
        <v>97.451350000000005</v>
      </c>
      <c r="J1145" s="14">
        <f t="shared" ca="1" si="67"/>
        <v>97.13889166666668</v>
      </c>
      <c r="K1145" s="14">
        <f t="shared" ca="1" si="67"/>
        <v>97.447466666666671</v>
      </c>
      <c r="L1145" s="14">
        <f t="shared" ca="1" si="68"/>
        <v>97.893383333333347</v>
      </c>
      <c r="M1145" s="14">
        <f t="shared" ca="1" si="68"/>
        <v>95.156258333333327</v>
      </c>
      <c r="N1145" s="14">
        <f t="shared" ca="1" si="68"/>
        <v>95.173383333333334</v>
      </c>
      <c r="O1145" s="14">
        <f t="shared" ca="1" si="68"/>
        <v>95.320333333333323</v>
      </c>
      <c r="P1145" s="14">
        <f t="shared" ca="1" si="68"/>
        <v>95.456283333333332</v>
      </c>
      <c r="Q1145" s="14">
        <f t="shared" ca="1" si="68"/>
        <v>95.915033333333326</v>
      </c>
      <c r="R1145" s="14">
        <f t="shared" ca="1" si="68"/>
        <v>96.741824999999992</v>
      </c>
      <c r="S1145" s="14">
        <f t="shared" ca="1" si="68"/>
        <v>93.310841666666661</v>
      </c>
      <c r="T1145" s="49">
        <f t="shared" ca="1" si="69"/>
        <v>358.17703550000004</v>
      </c>
      <c r="U1145" s="49">
        <f t="shared" ca="1" si="69"/>
        <v>142.42176299999997</v>
      </c>
      <c r="V1145" s="49">
        <f t="shared" ca="1" si="69"/>
        <v>50.325000000000003</v>
      </c>
      <c r="W1145" s="49">
        <f t="shared" ca="1" si="69"/>
        <v>5.0961473999999995</v>
      </c>
      <c r="X1145" s="49">
        <f t="shared" ca="1" si="69"/>
        <v>20.800615543999996</v>
      </c>
      <c r="Y1145" s="14"/>
      <c r="Z1145" s="14"/>
      <c r="AA1145" s="14"/>
      <c r="AB1145" s="14">
        <f t="shared" ca="1" si="70"/>
        <v>97.18493527426439</v>
      </c>
      <c r="AC1145" s="14">
        <f t="shared" ca="1" si="70"/>
        <v>95.274777937649887</v>
      </c>
    </row>
    <row r="1146" spans="1:29" ht="15" x14ac:dyDescent="0.2">
      <c r="A1146" s="10">
        <f t="shared" si="63"/>
        <v>2089</v>
      </c>
      <c r="B1146" s="14">
        <f t="shared" ca="1" si="67"/>
        <v>100.88604166666666</v>
      </c>
      <c r="C1146" s="14">
        <f t="shared" ca="1" si="67"/>
        <v>100.89230833333333</v>
      </c>
      <c r="D1146" s="14">
        <f t="shared" ca="1" si="67"/>
        <v>101.05324166666668</v>
      </c>
      <c r="E1146" s="14">
        <f t="shared" ca="1" si="67"/>
        <v>101.08564166666666</v>
      </c>
      <c r="F1146" s="14">
        <f t="shared" ca="1" si="67"/>
        <v>100.91425833333335</v>
      </c>
      <c r="G1146" s="14">
        <f t="shared" ca="1" si="67"/>
        <v>100.93174166666667</v>
      </c>
      <c r="H1146" s="14">
        <f t="shared" ca="1" si="67"/>
        <v>101.074775</v>
      </c>
      <c r="I1146" s="14">
        <f t="shared" ca="1" si="67"/>
        <v>101.23152499999999</v>
      </c>
      <c r="J1146" s="14">
        <f t="shared" ca="1" si="67"/>
        <v>100.90725833333335</v>
      </c>
      <c r="K1146" s="14">
        <f t="shared" ca="1" si="67"/>
        <v>101.22764166666667</v>
      </c>
      <c r="L1146" s="14">
        <f t="shared" ca="1" si="68"/>
        <v>101.66177499999999</v>
      </c>
      <c r="M1146" s="14">
        <f t="shared" ca="1" si="68"/>
        <v>98.847433333333342</v>
      </c>
      <c r="N1146" s="14">
        <f t="shared" ca="1" si="68"/>
        <v>98.864550000000008</v>
      </c>
      <c r="O1146" s="14">
        <f t="shared" ca="1" si="68"/>
        <v>99.011516666666679</v>
      </c>
      <c r="P1146" s="14">
        <f t="shared" ca="1" si="68"/>
        <v>99.158758333333353</v>
      </c>
      <c r="Q1146" s="14">
        <f t="shared" ca="1" si="68"/>
        <v>99.606216666666668</v>
      </c>
      <c r="R1146" s="14">
        <f t="shared" ca="1" si="68"/>
        <v>100.44221666666668</v>
      </c>
      <c r="S1146" s="14">
        <f t="shared" ca="1" si="68"/>
        <v>96.931891666666672</v>
      </c>
      <c r="T1146" s="49">
        <f t="shared" ca="1" si="69"/>
        <v>357.24568100000005</v>
      </c>
      <c r="U1146" s="49">
        <f t="shared" ca="1" si="69"/>
        <v>142.03263249999998</v>
      </c>
      <c r="V1146" s="49">
        <f t="shared" ca="1" si="69"/>
        <v>50.187500000000007</v>
      </c>
      <c r="W1146" s="49">
        <f t="shared" ca="1" si="69"/>
        <v>5.0822234999999996</v>
      </c>
      <c r="X1146" s="49">
        <f t="shared" ca="1" si="69"/>
        <v>20.758966663999999</v>
      </c>
      <c r="Y1146" s="14"/>
      <c r="Z1146" s="14"/>
      <c r="AA1146" s="14"/>
      <c r="AB1146" s="14">
        <f t="shared" ca="1" si="70"/>
        <v>100.95428982193253</v>
      </c>
      <c r="AC1146" s="14">
        <f t="shared" ca="1" si="70"/>
        <v>98.96758213429257</v>
      </c>
    </row>
    <row r="1147" spans="1:29" ht="15" x14ac:dyDescent="0.2">
      <c r="A1147" s="10">
        <f t="shared" si="63"/>
        <v>2090</v>
      </c>
      <c r="B1147" s="14">
        <f t="shared" ca="1" si="67"/>
        <v>104.80065833333333</v>
      </c>
      <c r="C1147" s="14">
        <f t="shared" ca="1" si="67"/>
        <v>104.80692499999999</v>
      </c>
      <c r="D1147" s="14">
        <f t="shared" ca="1" si="67"/>
        <v>104.96784999999998</v>
      </c>
      <c r="E1147" s="14">
        <f t="shared" ca="1" si="67"/>
        <v>105.00025833333335</v>
      </c>
      <c r="F1147" s="14">
        <f t="shared" ca="1" si="67"/>
        <v>104.82886666666667</v>
      </c>
      <c r="G1147" s="14">
        <f t="shared" ca="1" si="67"/>
        <v>104.84634166666666</v>
      </c>
      <c r="H1147" s="14">
        <f t="shared" ca="1" si="67"/>
        <v>104.98939166666669</v>
      </c>
      <c r="I1147" s="14">
        <f t="shared" ca="1" si="67"/>
        <v>105.15840833333334</v>
      </c>
      <c r="J1147" s="14">
        <f t="shared" ca="1" si="67"/>
        <v>104.82186666666666</v>
      </c>
      <c r="K1147" s="14">
        <f t="shared" ca="1" si="67"/>
        <v>105.15451666666665</v>
      </c>
      <c r="L1147" s="14">
        <f t="shared" ca="1" si="68"/>
        <v>105.57639166666668</v>
      </c>
      <c r="M1147" s="14">
        <f t="shared" ca="1" si="68"/>
        <v>102.681825</v>
      </c>
      <c r="N1147" s="14">
        <f t="shared" ca="1" si="68"/>
        <v>102.69895833333334</v>
      </c>
      <c r="O1147" s="14">
        <f t="shared" ca="1" si="68"/>
        <v>102.84591666666667</v>
      </c>
      <c r="P1147" s="14">
        <f t="shared" ca="1" si="68"/>
        <v>103.00494166666665</v>
      </c>
      <c r="Q1147" s="14">
        <f t="shared" ca="1" si="68"/>
        <v>103.44061666666666</v>
      </c>
      <c r="R1147" s="14">
        <f t="shared" ca="1" si="68"/>
        <v>104.28620833333333</v>
      </c>
      <c r="S1147" s="14">
        <f t="shared" ca="1" si="68"/>
        <v>100.69342499999999</v>
      </c>
      <c r="T1147" s="49">
        <f t="shared" ca="1" si="69"/>
        <v>357.24568100000005</v>
      </c>
      <c r="U1147" s="49">
        <f t="shared" ca="1" si="69"/>
        <v>142.03263249999998</v>
      </c>
      <c r="V1147" s="49">
        <f t="shared" ca="1" si="69"/>
        <v>50.187500000000007</v>
      </c>
      <c r="W1147" s="49">
        <f t="shared" ca="1" si="69"/>
        <v>5.0822234999999996</v>
      </c>
      <c r="X1147" s="49">
        <f t="shared" ca="1" si="69"/>
        <v>20.758966663999999</v>
      </c>
      <c r="Y1147" s="14"/>
      <c r="Z1147" s="14"/>
      <c r="AA1147" s="14"/>
      <c r="AB1147" s="14">
        <f t="shared" ca="1" si="70"/>
        <v>104.86991278067758</v>
      </c>
      <c r="AC1147" s="14">
        <f t="shared" ca="1" si="70"/>
        <v>102.80367517985611</v>
      </c>
    </row>
    <row r="1148" spans="1:29" ht="15" x14ac:dyDescent="0.2">
      <c r="A1148" s="10">
        <f t="shared" si="63"/>
        <v>2091</v>
      </c>
      <c r="B1148" s="14">
        <f t="shared" ca="1" si="67"/>
        <v>108.86716666666668</v>
      </c>
      <c r="C1148" s="14">
        <f t="shared" ca="1" si="67"/>
        <v>108.87344166666664</v>
      </c>
      <c r="D1148" s="14">
        <f t="shared" ca="1" si="67"/>
        <v>109.03436666666664</v>
      </c>
      <c r="E1148" s="14">
        <f t="shared" ca="1" si="67"/>
        <v>109.06679166666667</v>
      </c>
      <c r="F1148" s="14">
        <f t="shared" ca="1" si="67"/>
        <v>108.89540833333335</v>
      </c>
      <c r="G1148" s="14">
        <f t="shared" ca="1" si="67"/>
        <v>108.91288333333331</v>
      </c>
      <c r="H1148" s="14">
        <f t="shared" ca="1" si="67"/>
        <v>109.05590833333333</v>
      </c>
      <c r="I1148" s="14">
        <f t="shared" ca="1" si="67"/>
        <v>109.23766666666667</v>
      </c>
      <c r="J1148" s="14">
        <f t="shared" ca="1" si="67"/>
        <v>108.88840833333332</v>
      </c>
      <c r="K1148" s="14">
        <f t="shared" ca="1" si="67"/>
        <v>109.23376666666668</v>
      </c>
      <c r="L1148" s="14">
        <f t="shared" ca="1" si="68"/>
        <v>109.64290833333332</v>
      </c>
      <c r="M1148" s="14">
        <f t="shared" ca="1" si="68"/>
        <v>106.66504166666668</v>
      </c>
      <c r="N1148" s="14">
        <f t="shared" ca="1" si="68"/>
        <v>106.68215833333333</v>
      </c>
      <c r="O1148" s="14">
        <f t="shared" ca="1" si="68"/>
        <v>106.82913333333335</v>
      </c>
      <c r="P1148" s="14">
        <f t="shared" ca="1" si="68"/>
        <v>107.00037500000001</v>
      </c>
      <c r="Q1148" s="14">
        <f t="shared" ca="1" si="68"/>
        <v>107.42383333333332</v>
      </c>
      <c r="R1148" s="14">
        <f t="shared" ca="1" si="68"/>
        <v>108.27938333333334</v>
      </c>
      <c r="S1148" s="14">
        <f t="shared" ca="1" si="68"/>
        <v>104.60095000000001</v>
      </c>
      <c r="T1148" s="49">
        <f t="shared" ca="1" si="69"/>
        <v>357.24568100000005</v>
      </c>
      <c r="U1148" s="49">
        <f t="shared" ca="1" si="69"/>
        <v>142.03263249999998</v>
      </c>
      <c r="V1148" s="49">
        <f t="shared" ca="1" si="69"/>
        <v>50.187500000000007</v>
      </c>
      <c r="W1148" s="49">
        <f t="shared" ca="1" si="69"/>
        <v>5.0822234999999996</v>
      </c>
      <c r="X1148" s="49">
        <f t="shared" ca="1" si="69"/>
        <v>20.758966663999999</v>
      </c>
      <c r="Y1148" s="14"/>
      <c r="Z1148" s="14"/>
      <c r="AA1148" s="14"/>
      <c r="AB1148" s="14">
        <f t="shared" ca="1" si="70"/>
        <v>108.93748980272568</v>
      </c>
      <c r="AC1148" s="14">
        <f t="shared" ca="1" si="70"/>
        <v>106.78864868105514</v>
      </c>
    </row>
    <row r="1149" spans="1:29" ht="15" x14ac:dyDescent="0.2">
      <c r="A1149" s="10">
        <f t="shared" si="63"/>
        <v>2092</v>
      </c>
      <c r="B1149" s="14">
        <f t="shared" ref="B1149:K1157" ca="1" si="71">AVERAGE(OFFSET(B$601,($A1149-$A$1119)*12,0,12,1))</f>
        <v>113.09150833333335</v>
      </c>
      <c r="C1149" s="14">
        <f t="shared" ca="1" si="71"/>
        <v>113.09779166666668</v>
      </c>
      <c r="D1149" s="14">
        <f t="shared" ca="1" si="71"/>
        <v>113.25870000000002</v>
      </c>
      <c r="E1149" s="14">
        <f t="shared" ca="1" si="71"/>
        <v>113.29113333333333</v>
      </c>
      <c r="F1149" s="14">
        <f t="shared" ca="1" si="71"/>
        <v>113.11974166666666</v>
      </c>
      <c r="G1149" s="14">
        <f t="shared" ca="1" si="71"/>
        <v>113.13723333333331</v>
      </c>
      <c r="H1149" s="14">
        <f t="shared" ca="1" si="71"/>
        <v>113.28024166666665</v>
      </c>
      <c r="I1149" s="14">
        <f t="shared" ca="1" si="71"/>
        <v>113.47524166666666</v>
      </c>
      <c r="J1149" s="14">
        <f t="shared" ca="1" si="71"/>
        <v>113.11274166666664</v>
      </c>
      <c r="K1149" s="14">
        <f t="shared" ca="1" si="71"/>
        <v>113.47136666666667</v>
      </c>
      <c r="L1149" s="14">
        <f t="shared" ref="L1149:S1157" ca="1" si="72">AVERAGE(OFFSET(L$601,($A1149-$A$1119)*12,0,12,1))</f>
        <v>113.86724166666666</v>
      </c>
      <c r="M1149" s="14">
        <f t="shared" ca="1" si="72"/>
        <v>110.80281666666667</v>
      </c>
      <c r="N1149" s="14">
        <f t="shared" ca="1" si="72"/>
        <v>110.81995833333333</v>
      </c>
      <c r="O1149" s="14">
        <f t="shared" ca="1" si="72"/>
        <v>110.96691666666665</v>
      </c>
      <c r="P1149" s="14">
        <f t="shared" ca="1" si="72"/>
        <v>111.15083333333332</v>
      </c>
      <c r="Q1149" s="14">
        <f t="shared" ca="1" si="72"/>
        <v>111.56161666666667</v>
      </c>
      <c r="R1149" s="14">
        <f t="shared" ca="1" si="72"/>
        <v>112.42751666666668</v>
      </c>
      <c r="S1149" s="14">
        <f t="shared" ca="1" si="72"/>
        <v>108.66013333333335</v>
      </c>
      <c r="T1149" s="49">
        <f t="shared" ref="T1149:X1157" ca="1" si="73">SUM(OFFSET(T$601,($A1149-$A$1119)*12,0,12,1))</f>
        <v>358.17703550000004</v>
      </c>
      <c r="U1149" s="49">
        <f t="shared" ca="1" si="73"/>
        <v>142.42176299999997</v>
      </c>
      <c r="V1149" s="49">
        <f t="shared" ca="1" si="73"/>
        <v>50.325000000000003</v>
      </c>
      <c r="W1149" s="49">
        <f t="shared" ca="1" si="73"/>
        <v>5.0961473999999995</v>
      </c>
      <c r="X1149" s="49">
        <f t="shared" ca="1" si="73"/>
        <v>20.800615543999996</v>
      </c>
      <c r="Y1149" s="14"/>
      <c r="Z1149" s="14"/>
      <c r="AA1149" s="14"/>
      <c r="AB1149" s="14">
        <f t="shared" ca="1" si="70"/>
        <v>113.16292135401658</v>
      </c>
      <c r="AC1149" s="14">
        <f t="shared" ca="1" si="70"/>
        <v>110.92825383693047</v>
      </c>
    </row>
    <row r="1150" spans="1:29" ht="15" x14ac:dyDescent="0.2">
      <c r="A1150" s="10">
        <f t="shared" si="63"/>
        <v>2093</v>
      </c>
      <c r="B1150" s="14">
        <f t="shared" ca="1" si="71"/>
        <v>117.47979166666669</v>
      </c>
      <c r="C1150" s="14">
        <f t="shared" ca="1" si="71"/>
        <v>117.48604166666665</v>
      </c>
      <c r="D1150" s="14">
        <f t="shared" ca="1" si="71"/>
        <v>117.646975</v>
      </c>
      <c r="E1150" s="14">
        <f t="shared" ca="1" si="71"/>
        <v>117.67939166666667</v>
      </c>
      <c r="F1150" s="14">
        <f t="shared" ca="1" si="71"/>
        <v>117.50800000000002</v>
      </c>
      <c r="G1150" s="14">
        <f t="shared" ca="1" si="71"/>
        <v>117.52549166666667</v>
      </c>
      <c r="H1150" s="14">
        <f t="shared" ca="1" si="71"/>
        <v>117.66851666666668</v>
      </c>
      <c r="I1150" s="14">
        <f t="shared" ca="1" si="71"/>
        <v>117.87723333333332</v>
      </c>
      <c r="J1150" s="14">
        <f t="shared" ca="1" si="71"/>
        <v>117.50099999999999</v>
      </c>
      <c r="K1150" s="14">
        <f t="shared" ca="1" si="71"/>
        <v>117.87335</v>
      </c>
      <c r="L1150" s="14">
        <f t="shared" ca="1" si="72"/>
        <v>118.25551666666667</v>
      </c>
      <c r="M1150" s="14">
        <f t="shared" ca="1" si="72"/>
        <v>115.10118333333332</v>
      </c>
      <c r="N1150" s="14">
        <f t="shared" ca="1" si="72"/>
        <v>115.11830833333335</v>
      </c>
      <c r="O1150" s="14">
        <f t="shared" ca="1" si="72"/>
        <v>115.26525833333335</v>
      </c>
      <c r="P1150" s="14">
        <f t="shared" ca="1" si="72"/>
        <v>115.46239166666668</v>
      </c>
      <c r="Q1150" s="14">
        <f t="shared" ca="1" si="72"/>
        <v>115.85995833333334</v>
      </c>
      <c r="R1150" s="14">
        <f t="shared" ca="1" si="72"/>
        <v>116.73662500000002</v>
      </c>
      <c r="S1150" s="14">
        <f t="shared" ca="1" si="72"/>
        <v>112.87682499999998</v>
      </c>
      <c r="T1150" s="49">
        <f t="shared" ca="1" si="73"/>
        <v>357.24568100000005</v>
      </c>
      <c r="U1150" s="49">
        <f t="shared" ca="1" si="73"/>
        <v>142.03263249999998</v>
      </c>
      <c r="V1150" s="49">
        <f t="shared" ca="1" si="73"/>
        <v>50.187500000000007</v>
      </c>
      <c r="W1150" s="49">
        <f t="shared" ca="1" si="73"/>
        <v>5.0822234999999996</v>
      </c>
      <c r="X1150" s="49">
        <f t="shared" ca="1" si="73"/>
        <v>20.758966663999999</v>
      </c>
      <c r="Y1150" s="14"/>
      <c r="Z1150" s="14"/>
      <c r="AA1150" s="14"/>
      <c r="AB1150" s="14">
        <f t="shared" ca="1" si="70"/>
        <v>117.55231382439148</v>
      </c>
      <c r="AC1150" s="14">
        <f t="shared" ca="1" si="70"/>
        <v>115.22850629496402</v>
      </c>
    </row>
    <row r="1151" spans="1:29" ht="15" x14ac:dyDescent="0.2">
      <c r="A1151" s="10">
        <f t="shared" si="63"/>
        <v>2094</v>
      </c>
      <c r="B1151" s="14">
        <f t="shared" ca="1" si="71"/>
        <v>122.03835833333333</v>
      </c>
      <c r="C1151" s="14">
        <f t="shared" ca="1" si="71"/>
        <v>122.04461666666664</v>
      </c>
      <c r="D1151" s="14">
        <f t="shared" ca="1" si="71"/>
        <v>122.20554166666666</v>
      </c>
      <c r="E1151" s="14">
        <f t="shared" ca="1" si="71"/>
        <v>122.23798333333332</v>
      </c>
      <c r="F1151" s="14">
        <f t="shared" ca="1" si="71"/>
        <v>122.06657499999999</v>
      </c>
      <c r="G1151" s="14">
        <f t="shared" ca="1" si="71"/>
        <v>122.08405</v>
      </c>
      <c r="H1151" s="14">
        <f t="shared" ca="1" si="71"/>
        <v>122.22709166666665</v>
      </c>
      <c r="I1151" s="14">
        <f t="shared" ca="1" si="71"/>
        <v>122.45009166666667</v>
      </c>
      <c r="J1151" s="14">
        <f t="shared" ca="1" si="71"/>
        <v>122.059575</v>
      </c>
      <c r="K1151" s="14">
        <f t="shared" ca="1" si="71"/>
        <v>122.44619999999999</v>
      </c>
      <c r="L1151" s="14">
        <f t="shared" ca="1" si="72"/>
        <v>122.8140916666667</v>
      </c>
      <c r="M1151" s="14">
        <f t="shared" ca="1" si="72"/>
        <v>119.56634166666664</v>
      </c>
      <c r="N1151" s="14">
        <f t="shared" ca="1" si="72"/>
        <v>119.58347500000002</v>
      </c>
      <c r="O1151" s="14">
        <f t="shared" ca="1" si="72"/>
        <v>119.73043333333334</v>
      </c>
      <c r="P1151" s="14">
        <f t="shared" ca="1" si="72"/>
        <v>119.94125000000003</v>
      </c>
      <c r="Q1151" s="14">
        <f t="shared" ca="1" si="72"/>
        <v>120.32513333333337</v>
      </c>
      <c r="R1151" s="14">
        <f t="shared" ca="1" si="72"/>
        <v>121.21294166666667</v>
      </c>
      <c r="S1151" s="14">
        <f t="shared" ca="1" si="72"/>
        <v>117.25712500000002</v>
      </c>
      <c r="T1151" s="49">
        <f t="shared" ca="1" si="73"/>
        <v>357.24568100000005</v>
      </c>
      <c r="U1151" s="49">
        <f t="shared" ca="1" si="73"/>
        <v>142.03263249999998</v>
      </c>
      <c r="V1151" s="49">
        <f t="shared" ca="1" si="73"/>
        <v>50.187500000000007</v>
      </c>
      <c r="W1151" s="49">
        <f t="shared" ca="1" si="73"/>
        <v>5.0822234999999996</v>
      </c>
      <c r="X1151" s="49">
        <f t="shared" ca="1" si="73"/>
        <v>20.758966663999999</v>
      </c>
      <c r="Y1151" s="14"/>
      <c r="Z1151" s="14"/>
      <c r="AA1151" s="14"/>
      <c r="AB1151" s="14">
        <f t="shared" ca="1" si="70"/>
        <v>122.11206300841859</v>
      </c>
      <c r="AC1151" s="14">
        <f t="shared" ca="1" si="70"/>
        <v>119.69564388489208</v>
      </c>
    </row>
    <row r="1152" spans="1:29" ht="15" x14ac:dyDescent="0.2">
      <c r="A1152" s="10">
        <f t="shared" si="63"/>
        <v>2095</v>
      </c>
      <c r="B1152" s="14">
        <f t="shared" ca="1" si="71"/>
        <v>126.77380833333332</v>
      </c>
      <c r="C1152" s="14">
        <f t="shared" ca="1" si="71"/>
        <v>126.78009166666668</v>
      </c>
      <c r="D1152" s="14">
        <f t="shared" ca="1" si="71"/>
        <v>126.94100833333334</v>
      </c>
      <c r="E1152" s="14">
        <f t="shared" ca="1" si="71"/>
        <v>126.97341666666664</v>
      </c>
      <c r="F1152" s="14">
        <f t="shared" ca="1" si="71"/>
        <v>126.80205000000001</v>
      </c>
      <c r="G1152" s="14">
        <f t="shared" ca="1" si="71"/>
        <v>126.81952500000001</v>
      </c>
      <c r="H1152" s="14">
        <f t="shared" ca="1" si="71"/>
        <v>126.96254999999998</v>
      </c>
      <c r="I1152" s="14">
        <f t="shared" ca="1" si="71"/>
        <v>127.20039166666665</v>
      </c>
      <c r="J1152" s="14">
        <f t="shared" ca="1" si="71"/>
        <v>126.79505</v>
      </c>
      <c r="K1152" s="14">
        <f t="shared" ca="1" si="71"/>
        <v>127.19650000000001</v>
      </c>
      <c r="L1152" s="14">
        <f t="shared" ca="1" si="72"/>
        <v>127.54955000000002</v>
      </c>
      <c r="M1152" s="14">
        <f t="shared" ca="1" si="72"/>
        <v>124.20479166666667</v>
      </c>
      <c r="N1152" s="14">
        <f t="shared" ca="1" si="72"/>
        <v>124.22190833333333</v>
      </c>
      <c r="O1152" s="14">
        <f t="shared" ca="1" si="72"/>
        <v>124.36887500000002</v>
      </c>
      <c r="P1152" s="14">
        <f t="shared" ca="1" si="72"/>
        <v>124.59391666666669</v>
      </c>
      <c r="Q1152" s="14">
        <f t="shared" ca="1" si="72"/>
        <v>124.96357500000001</v>
      </c>
      <c r="R1152" s="14">
        <f t="shared" ca="1" si="72"/>
        <v>125.86299166666667</v>
      </c>
      <c r="S1152" s="14">
        <f t="shared" ca="1" si="72"/>
        <v>121.80744166666669</v>
      </c>
      <c r="T1152" s="49">
        <f t="shared" ca="1" si="73"/>
        <v>357.24568100000005</v>
      </c>
      <c r="U1152" s="49">
        <f t="shared" ca="1" si="73"/>
        <v>142.03263249999998</v>
      </c>
      <c r="V1152" s="49">
        <f t="shared" ca="1" si="73"/>
        <v>50.187500000000007</v>
      </c>
      <c r="W1152" s="49">
        <f t="shared" ca="1" si="73"/>
        <v>5.0822234999999996</v>
      </c>
      <c r="X1152" s="49">
        <f t="shared" ca="1" si="73"/>
        <v>20.758966663999999</v>
      </c>
      <c r="Y1152" s="14"/>
      <c r="Z1152" s="14"/>
      <c r="AA1152" s="14"/>
      <c r="AB1152" s="14">
        <f t="shared" ca="1" si="70"/>
        <v>126.848754162315</v>
      </c>
      <c r="AC1152" s="14">
        <f t="shared" ca="1" si="70"/>
        <v>124.33613471223022</v>
      </c>
    </row>
    <row r="1153" spans="1:29" ht="15" x14ac:dyDescent="0.2">
      <c r="A1153" s="10">
        <f t="shared" si="63"/>
        <v>2096</v>
      </c>
      <c r="B1153" s="14">
        <f t="shared" ca="1" si="71"/>
        <v>131.69305</v>
      </c>
      <c r="C1153" s="14">
        <f t="shared" ca="1" si="71"/>
        <v>131.69929999999999</v>
      </c>
      <c r="D1153" s="14">
        <f t="shared" ca="1" si="71"/>
        <v>131.86023333333333</v>
      </c>
      <c r="E1153" s="14">
        <f t="shared" ca="1" si="71"/>
        <v>131.89268333333334</v>
      </c>
      <c r="F1153" s="14">
        <f t="shared" ca="1" si="71"/>
        <v>131.72126666666665</v>
      </c>
      <c r="G1153" s="14">
        <f t="shared" ca="1" si="71"/>
        <v>131.73875000000001</v>
      </c>
      <c r="H1153" s="14">
        <f t="shared" ca="1" si="71"/>
        <v>131.881775</v>
      </c>
      <c r="I1153" s="14">
        <f t="shared" ca="1" si="71"/>
        <v>132.13502499999998</v>
      </c>
      <c r="J1153" s="14">
        <f t="shared" ca="1" si="71"/>
        <v>131.71426666666667</v>
      </c>
      <c r="K1153" s="14">
        <f t="shared" ca="1" si="71"/>
        <v>132.13113333333334</v>
      </c>
      <c r="L1153" s="14">
        <f t="shared" ca="1" si="72"/>
        <v>132.46877499999999</v>
      </c>
      <c r="M1153" s="14">
        <f t="shared" ca="1" si="72"/>
        <v>129.023225</v>
      </c>
      <c r="N1153" s="14">
        <f t="shared" ca="1" si="72"/>
        <v>129.04034166666665</v>
      </c>
      <c r="O1153" s="14">
        <f t="shared" ca="1" si="72"/>
        <v>129.18730833333333</v>
      </c>
      <c r="P1153" s="14">
        <f t="shared" ca="1" si="72"/>
        <v>129.42714166666667</v>
      </c>
      <c r="Q1153" s="14">
        <f t="shared" ca="1" si="72"/>
        <v>129.78200833333335</v>
      </c>
      <c r="R1153" s="14">
        <f t="shared" ca="1" si="72"/>
        <v>130.69346666666669</v>
      </c>
      <c r="S1153" s="14">
        <f t="shared" ca="1" si="72"/>
        <v>126.53432500000001</v>
      </c>
      <c r="T1153" s="49">
        <f t="shared" ca="1" si="73"/>
        <v>358.17703550000004</v>
      </c>
      <c r="U1153" s="49">
        <f t="shared" ca="1" si="73"/>
        <v>142.42176299999997</v>
      </c>
      <c r="V1153" s="49">
        <f t="shared" ca="1" si="73"/>
        <v>50.325000000000003</v>
      </c>
      <c r="W1153" s="49">
        <f t="shared" ca="1" si="73"/>
        <v>5.0961473999999995</v>
      </c>
      <c r="X1153" s="49">
        <f t="shared" ca="1" si="73"/>
        <v>20.800615543999996</v>
      </c>
      <c r="Y1153" s="14"/>
      <c r="Z1153" s="14"/>
      <c r="AA1153" s="14"/>
      <c r="AB1153" s="14">
        <f t="shared" ca="1" si="70"/>
        <v>131.76924556239211</v>
      </c>
      <c r="AC1153" s="14">
        <f t="shared" ca="1" si="70"/>
        <v>129.15669634292567</v>
      </c>
    </row>
    <row r="1154" spans="1:29" ht="15" x14ac:dyDescent="0.2">
      <c r="A1154" s="10">
        <f t="shared" si="63"/>
        <v>2097</v>
      </c>
      <c r="B1154" s="14">
        <f t="shared" ca="1" si="71"/>
        <v>136.80317499999998</v>
      </c>
      <c r="C1154" s="14">
        <f t="shared" ca="1" si="71"/>
        <v>136.80945</v>
      </c>
      <c r="D1154" s="14">
        <f t="shared" ca="1" si="71"/>
        <v>136.9703833333333</v>
      </c>
      <c r="E1154" s="14">
        <f t="shared" ca="1" si="71"/>
        <v>137.00278333333333</v>
      </c>
      <c r="F1154" s="14">
        <f t="shared" ca="1" si="71"/>
        <v>136.8314</v>
      </c>
      <c r="G1154" s="14">
        <f t="shared" ca="1" si="71"/>
        <v>136.84887499999999</v>
      </c>
      <c r="H1154" s="14">
        <f t="shared" ca="1" si="71"/>
        <v>136.9919166666667</v>
      </c>
      <c r="I1154" s="14">
        <f t="shared" ca="1" si="71"/>
        <v>137.26114999999999</v>
      </c>
      <c r="J1154" s="14">
        <f t="shared" ca="1" si="71"/>
        <v>136.8244</v>
      </c>
      <c r="K1154" s="14">
        <f t="shared" ca="1" si="71"/>
        <v>137.25726666666665</v>
      </c>
      <c r="L1154" s="14">
        <f t="shared" ca="1" si="72"/>
        <v>137.57891666666669</v>
      </c>
      <c r="M1154" s="14">
        <f t="shared" ca="1" si="72"/>
        <v>134.02864166666669</v>
      </c>
      <c r="N1154" s="14">
        <f t="shared" ca="1" si="72"/>
        <v>134.04578333333333</v>
      </c>
      <c r="O1154" s="14">
        <f t="shared" ca="1" si="72"/>
        <v>134.19275000000002</v>
      </c>
      <c r="P1154" s="14">
        <f t="shared" ca="1" si="72"/>
        <v>134.447925</v>
      </c>
      <c r="Q1154" s="14">
        <f t="shared" ca="1" si="72"/>
        <v>134.78745000000001</v>
      </c>
      <c r="R1154" s="14">
        <f t="shared" ca="1" si="72"/>
        <v>135.7114</v>
      </c>
      <c r="S1154" s="14">
        <f t="shared" ca="1" si="72"/>
        <v>131.44465833333331</v>
      </c>
      <c r="T1154" s="49">
        <f t="shared" ca="1" si="73"/>
        <v>357.24568100000005</v>
      </c>
      <c r="U1154" s="49">
        <f t="shared" ca="1" si="73"/>
        <v>142.03263249999998</v>
      </c>
      <c r="V1154" s="49">
        <f t="shared" ca="1" si="73"/>
        <v>50.187500000000007</v>
      </c>
      <c r="W1154" s="49">
        <f t="shared" ca="1" si="73"/>
        <v>5.0822234999999996</v>
      </c>
      <c r="X1154" s="49">
        <f t="shared" ca="1" si="73"/>
        <v>20.758966663999999</v>
      </c>
      <c r="Y1154" s="14"/>
      <c r="Z1154" s="14"/>
      <c r="AA1154" s="14"/>
      <c r="AB1154" s="14">
        <f t="shared" ca="1" si="70"/>
        <v>136.88069961074305</v>
      </c>
      <c r="AC1154" s="14">
        <f t="shared" ca="1" si="70"/>
        <v>134.16433681055159</v>
      </c>
    </row>
    <row r="1155" spans="1:29" ht="15" x14ac:dyDescent="0.2">
      <c r="A1155" s="10">
        <f t="shared" si="63"/>
        <v>2098</v>
      </c>
      <c r="B1155" s="14">
        <f t="shared" ca="1" si="71"/>
        <v>142.11160833333329</v>
      </c>
      <c r="C1155" s="14">
        <f t="shared" ca="1" si="71"/>
        <v>142.117875</v>
      </c>
      <c r="D1155" s="14">
        <f t="shared" ca="1" si="71"/>
        <v>142.27879999999999</v>
      </c>
      <c r="E1155" s="14">
        <f t="shared" ca="1" si="71"/>
        <v>142.31122500000001</v>
      </c>
      <c r="F1155" s="14">
        <f t="shared" ca="1" si="71"/>
        <v>142.13983333333331</v>
      </c>
      <c r="G1155" s="14">
        <f t="shared" ca="1" si="71"/>
        <v>142.15731666666667</v>
      </c>
      <c r="H1155" s="14">
        <f t="shared" ca="1" si="71"/>
        <v>142.3003416666667</v>
      </c>
      <c r="I1155" s="14">
        <f t="shared" ca="1" si="71"/>
        <v>142.58621666666664</v>
      </c>
      <c r="J1155" s="14">
        <f t="shared" ca="1" si="71"/>
        <v>142.13283333333331</v>
      </c>
      <c r="K1155" s="14">
        <f t="shared" ca="1" si="71"/>
        <v>142.582325</v>
      </c>
      <c r="L1155" s="14">
        <f t="shared" ca="1" si="72"/>
        <v>142.88734166666669</v>
      </c>
      <c r="M1155" s="14">
        <f t="shared" ca="1" si="72"/>
        <v>139.22830833333333</v>
      </c>
      <c r="N1155" s="14">
        <f t="shared" ca="1" si="72"/>
        <v>139.24545000000001</v>
      </c>
      <c r="O1155" s="14">
        <f t="shared" ca="1" si="72"/>
        <v>139.39240833333335</v>
      </c>
      <c r="P1155" s="14">
        <f t="shared" ca="1" si="72"/>
        <v>139.66354166666667</v>
      </c>
      <c r="Q1155" s="14">
        <f t="shared" ca="1" si="72"/>
        <v>139.98710833333334</v>
      </c>
      <c r="R1155" s="14">
        <f t="shared" ca="1" si="72"/>
        <v>140.92406666666668</v>
      </c>
      <c r="S1155" s="14">
        <f t="shared" ca="1" si="72"/>
        <v>136.54553333333334</v>
      </c>
      <c r="T1155" s="49">
        <f t="shared" ca="1" si="73"/>
        <v>357.24568100000005</v>
      </c>
      <c r="U1155" s="49">
        <f t="shared" ca="1" si="73"/>
        <v>142.03263249999998</v>
      </c>
      <c r="V1155" s="49">
        <f t="shared" ca="1" si="73"/>
        <v>50.187500000000007</v>
      </c>
      <c r="W1155" s="49">
        <f t="shared" ca="1" si="73"/>
        <v>5.0822234999999996</v>
      </c>
      <c r="X1155" s="49">
        <f t="shared" ca="1" si="73"/>
        <v>20.758966663999999</v>
      </c>
      <c r="Y1155" s="14"/>
      <c r="Z1155" s="14"/>
      <c r="AA1155" s="14"/>
      <c r="AB1155" s="14">
        <f t="shared" ca="1" si="70"/>
        <v>142.19050113070006</v>
      </c>
      <c r="AC1155" s="14">
        <f t="shared" ca="1" si="70"/>
        <v>139.36629466426862</v>
      </c>
    </row>
    <row r="1156" spans="1:29" ht="15" x14ac:dyDescent="0.2">
      <c r="A1156" s="10">
        <f t="shared" si="63"/>
        <v>2099</v>
      </c>
      <c r="B1156" s="14">
        <f t="shared" ca="1" si="71"/>
        <v>147.62605000000002</v>
      </c>
      <c r="C1156" s="14">
        <f t="shared" ca="1" si="71"/>
        <v>147.63232499999998</v>
      </c>
      <c r="D1156" s="14">
        <f t="shared" ca="1" si="71"/>
        <v>147.79324999999997</v>
      </c>
      <c r="E1156" s="14">
        <f t="shared" ca="1" si="71"/>
        <v>147.82567500000002</v>
      </c>
      <c r="F1156" s="14">
        <f t="shared" ca="1" si="71"/>
        <v>147.65426666666667</v>
      </c>
      <c r="G1156" s="14">
        <f t="shared" ca="1" si="71"/>
        <v>147.67175833333332</v>
      </c>
      <c r="H1156" s="14">
        <f t="shared" ca="1" si="71"/>
        <v>147.81478333333334</v>
      </c>
      <c r="I1156" s="14">
        <f t="shared" ca="1" si="71"/>
        <v>148.11794166666667</v>
      </c>
      <c r="J1156" s="14">
        <f t="shared" ca="1" si="71"/>
        <v>147.64726666666664</v>
      </c>
      <c r="K1156" s="14">
        <f t="shared" ca="1" si="71"/>
        <v>148.11404166666665</v>
      </c>
      <c r="L1156" s="14">
        <f t="shared" ca="1" si="72"/>
        <v>148.40178333333333</v>
      </c>
      <c r="M1156" s="14">
        <f t="shared" ca="1" si="72"/>
        <v>144.62975833333334</v>
      </c>
      <c r="N1156" s="14">
        <f t="shared" ca="1" si="72"/>
        <v>144.64690000000002</v>
      </c>
      <c r="O1156" s="14">
        <f t="shared" ca="1" si="72"/>
        <v>144.79384999999999</v>
      </c>
      <c r="P1156" s="14">
        <f t="shared" ca="1" si="72"/>
        <v>145.08154999999999</v>
      </c>
      <c r="Q1156" s="14">
        <f t="shared" ca="1" si="72"/>
        <v>145.38854999999998</v>
      </c>
      <c r="R1156" s="14">
        <f t="shared" ca="1" si="72"/>
        <v>146.33901666666671</v>
      </c>
      <c r="S1156" s="14">
        <f t="shared" ca="1" si="72"/>
        <v>141.84436666666667</v>
      </c>
      <c r="T1156" s="49">
        <f t="shared" ca="1" si="73"/>
        <v>357.24568100000005</v>
      </c>
      <c r="U1156" s="49">
        <f t="shared" ca="1" si="73"/>
        <v>142.03263249999998</v>
      </c>
      <c r="V1156" s="49">
        <f t="shared" ca="1" si="73"/>
        <v>50.187500000000007</v>
      </c>
      <c r="W1156" s="49">
        <f t="shared" ca="1" si="73"/>
        <v>5.0822234999999996</v>
      </c>
      <c r="X1156" s="49">
        <f t="shared" ca="1" si="73"/>
        <v>20.758966663999999</v>
      </c>
      <c r="Y1156" s="14"/>
      <c r="Z1156" s="14"/>
      <c r="AA1156" s="14"/>
      <c r="AB1156" s="14">
        <f t="shared" ca="1" si="70"/>
        <v>147.70636834507241</v>
      </c>
      <c r="AC1156" s="14">
        <f t="shared" ca="1" si="70"/>
        <v>144.77012338129495</v>
      </c>
    </row>
    <row r="1157" spans="1:29" ht="15" x14ac:dyDescent="0.2">
      <c r="A1157" s="10">
        <f t="shared" si="63"/>
        <v>2100</v>
      </c>
      <c r="B1157" s="14">
        <f t="shared" ca="1" si="71"/>
        <v>153.35443333333333</v>
      </c>
      <c r="C1157" s="14">
        <f t="shared" ca="1" si="71"/>
        <v>153.36067499999999</v>
      </c>
      <c r="D1157" s="14">
        <f t="shared" ca="1" si="71"/>
        <v>153.521625</v>
      </c>
      <c r="E1157" s="14">
        <f t="shared" ca="1" si="71"/>
        <v>153.55405833333333</v>
      </c>
      <c r="F1157" s="14">
        <f t="shared" ca="1" si="71"/>
        <v>153.38264166666667</v>
      </c>
      <c r="G1157" s="14">
        <f t="shared" ca="1" si="71"/>
        <v>153.40014166666666</v>
      </c>
      <c r="H1157" s="14">
        <f t="shared" ca="1" si="71"/>
        <v>153.54316666666665</v>
      </c>
      <c r="I1157" s="14">
        <f t="shared" ca="1" si="71"/>
        <v>153.86423333333335</v>
      </c>
      <c r="J1157" s="14">
        <f t="shared" ca="1" si="71"/>
        <v>153.37564166666667</v>
      </c>
      <c r="K1157" s="14">
        <f t="shared" ca="1" si="71"/>
        <v>153.86035000000001</v>
      </c>
      <c r="L1157" s="14">
        <f t="shared" ca="1" si="72"/>
        <v>154.13016666666667</v>
      </c>
      <c r="M1157" s="14">
        <f t="shared" ca="1" si="72"/>
        <v>150.24078333333333</v>
      </c>
      <c r="N1157" s="14">
        <f t="shared" ca="1" si="72"/>
        <v>150.25789166666667</v>
      </c>
      <c r="O1157" s="14">
        <f t="shared" ca="1" si="72"/>
        <v>150.40486666666666</v>
      </c>
      <c r="P1157" s="14">
        <f t="shared" ca="1" si="72"/>
        <v>150.70977500000001</v>
      </c>
      <c r="Q1157" s="14">
        <f t="shared" ca="1" si="72"/>
        <v>150.99956666666665</v>
      </c>
      <c r="R1157" s="14">
        <f t="shared" ca="1" si="72"/>
        <v>151.9640583333333</v>
      </c>
      <c r="S1157" s="14">
        <f t="shared" ca="1" si="72"/>
        <v>147.34875</v>
      </c>
      <c r="T1157" s="49">
        <f t="shared" ca="1" si="73"/>
        <v>358.17703550000004</v>
      </c>
      <c r="U1157" s="49">
        <f t="shared" ca="1" si="73"/>
        <v>142.42176299999997</v>
      </c>
      <c r="V1157" s="49">
        <f t="shared" ca="1" si="73"/>
        <v>50.325000000000003</v>
      </c>
      <c r="W1157" s="49">
        <f t="shared" ca="1" si="73"/>
        <v>5.0961473999999995</v>
      </c>
      <c r="X1157" s="49">
        <f t="shared" ca="1" si="73"/>
        <v>20.758966663999999</v>
      </c>
      <c r="Y1157" s="14"/>
      <c r="Z1157" s="14"/>
      <c r="AA1157" s="14"/>
      <c r="AB1157" s="14">
        <f t="shared" ca="1" si="70"/>
        <v>153.43621460765453</v>
      </c>
      <c r="AC1157" s="14">
        <f t="shared" ca="1" si="70"/>
        <v>150.3836175059952</v>
      </c>
    </row>
    <row r="1158" spans="1:29" ht="15" x14ac:dyDescent="0.2">
      <c r="A1158" s="10"/>
    </row>
    <row r="1159" spans="1:29" ht="15" x14ac:dyDescent="0.2">
      <c r="A1159" s="10"/>
    </row>
    <row r="1160" spans="1:29" ht="15" x14ac:dyDescent="0.2">
      <c r="A1160" s="10"/>
    </row>
    <row r="1161" spans="1:29" ht="15" x14ac:dyDescent="0.2">
      <c r="A1161" s="10"/>
    </row>
    <row r="1162" spans="1:29" ht="15" x14ac:dyDescent="0.2">
      <c r="A1162" s="10"/>
    </row>
    <row r="1163" spans="1:29" ht="15" x14ac:dyDescent="0.2">
      <c r="A1163" s="10"/>
    </row>
    <row r="1164" spans="1:29" ht="15" x14ac:dyDescent="0.2">
      <c r="A1164" s="10"/>
    </row>
    <row r="1165" spans="1:29" ht="15" x14ac:dyDescent="0.2">
      <c r="A1165" s="10"/>
    </row>
    <row r="1166" spans="1:29" ht="15" x14ac:dyDescent="0.2">
      <c r="A1166" s="10"/>
    </row>
    <row r="1167" spans="1:29" ht="15" x14ac:dyDescent="0.2">
      <c r="A1167" s="10"/>
    </row>
    <row r="1168" spans="1:29" ht="15" x14ac:dyDescent="0.2">
      <c r="A1168" s="10"/>
    </row>
    <row r="1169" spans="1:1" ht="15" x14ac:dyDescent="0.2">
      <c r="A1169" s="10"/>
    </row>
    <row r="1170" spans="1:1" ht="15" x14ac:dyDescent="0.2">
      <c r="A1170" s="10"/>
    </row>
    <row r="1171" spans="1:1" ht="15" x14ac:dyDescent="0.2">
      <c r="A1171" s="10"/>
    </row>
    <row r="1172" spans="1:1" ht="15" x14ac:dyDescent="0.2">
      <c r="A1172" s="10"/>
    </row>
  </sheetData>
  <mergeCells count="4">
    <mergeCell ref="Z9:AA9"/>
    <mergeCell ref="T9:Y9"/>
    <mergeCell ref="T10:Y10"/>
    <mergeCell ref="T8:Y8"/>
  </mergeCells>
  <pageMargins left="0.25" right="0.25" top="0.5" bottom="0.5" header="0.25" footer="0.25"/>
  <pageSetup paperSize="17" scale="3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7</xdr:col>
                    <xdr:colOff>295275</xdr:colOff>
                    <xdr:row>7</xdr:row>
                    <xdr:rowOff>47625</xdr:rowOff>
                  </from>
                  <to>
                    <xdr:col>8</xdr:col>
                    <xdr:colOff>561975</xdr:colOff>
                    <xdr:row>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11</xdr:col>
                    <xdr:colOff>0</xdr:colOff>
                    <xdr:row>7</xdr:row>
                    <xdr:rowOff>142875</xdr:rowOff>
                  </from>
                  <to>
                    <xdr:col>12</xdr:col>
                    <xdr:colOff>266700</xdr:colOff>
                    <xdr:row>9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D1176"/>
  <sheetViews>
    <sheetView zoomScale="75" zoomScaleNormal="75" workbookViewId="0">
      <pane xSplit="1" ySplit="11" topLeftCell="B12" activePane="bottomRight" state="frozen"/>
      <selection activeCell="B7" sqref="B7"/>
      <selection pane="topRight" activeCell="B7" sqref="B7"/>
      <selection pane="bottomLeft" activeCell="B7" sqref="B7"/>
      <selection pane="bottomRight" activeCell="A7" sqref="A7"/>
    </sheetView>
  </sheetViews>
  <sheetFormatPr defaultColWidth="7.109375" defaultRowHeight="12.75" x14ac:dyDescent="0.2"/>
  <cols>
    <col min="1" max="1" width="19.21875" style="31" customWidth="1"/>
    <col min="2" max="2" width="7.88671875" style="31" customWidth="1"/>
    <col min="3" max="14" width="13" style="8" customWidth="1"/>
    <col min="15" max="19" width="20.6640625" style="8" customWidth="1"/>
    <col min="20" max="20" width="15.44140625" style="8" customWidth="1"/>
    <col min="21" max="21" width="7.77734375" style="8" customWidth="1"/>
    <col min="22" max="16384" width="7.109375" style="8"/>
  </cols>
  <sheetData>
    <row r="1" spans="1:30" ht="15.75" x14ac:dyDescent="0.25">
      <c r="A1" s="102" t="s">
        <v>90</v>
      </c>
    </row>
    <row r="2" spans="1:30" ht="15.75" x14ac:dyDescent="0.25">
      <c r="A2" s="102" t="s">
        <v>91</v>
      </c>
    </row>
    <row r="3" spans="1:30" ht="15.75" x14ac:dyDescent="0.25">
      <c r="A3" s="102" t="s">
        <v>92</v>
      </c>
    </row>
    <row r="4" spans="1:30" ht="15.75" x14ac:dyDescent="0.25">
      <c r="A4" s="102" t="s">
        <v>93</v>
      </c>
    </row>
    <row r="5" spans="1:30" s="22" customFormat="1" ht="15.75" x14ac:dyDescent="0.25">
      <c r="A5" s="102" t="s">
        <v>95</v>
      </c>
      <c r="B5" s="48"/>
    </row>
    <row r="6" spans="1:30" s="22" customFormat="1" ht="15.75" x14ac:dyDescent="0.25">
      <c r="A6" s="102" t="s">
        <v>100</v>
      </c>
      <c r="B6" s="48"/>
    </row>
    <row r="8" spans="1:30" ht="15.75" x14ac:dyDescent="0.25">
      <c r="A8" s="43" t="s">
        <v>27</v>
      </c>
      <c r="B8" s="43"/>
      <c r="C8" s="100"/>
      <c r="O8" s="72"/>
      <c r="P8" s="72"/>
      <c r="Q8" s="72"/>
      <c r="R8" s="72"/>
      <c r="S8" s="72"/>
    </row>
    <row r="9" spans="1:30" ht="15.75" x14ac:dyDescent="0.25">
      <c r="A9" s="43"/>
      <c r="C9" s="111" t="s">
        <v>89</v>
      </c>
      <c r="D9" s="111"/>
      <c r="E9" s="111"/>
      <c r="F9" s="111"/>
      <c r="G9" s="99"/>
      <c r="H9" s="99"/>
      <c r="I9" s="116" t="s">
        <v>88</v>
      </c>
      <c r="J9" s="117"/>
      <c r="K9" s="117"/>
      <c r="L9" s="98"/>
      <c r="M9" s="74"/>
      <c r="N9" s="97"/>
      <c r="O9" s="115"/>
      <c r="P9" s="115"/>
      <c r="Q9" s="115"/>
      <c r="R9" s="96"/>
      <c r="S9" s="96"/>
    </row>
    <row r="10" spans="1:30" ht="97.9" customHeight="1" x14ac:dyDescent="0.25">
      <c r="A10" s="95"/>
      <c r="B10" s="95"/>
      <c r="C10" s="67" t="s">
        <v>76</v>
      </c>
      <c r="D10" s="71" t="s">
        <v>75</v>
      </c>
      <c r="E10" s="67" t="s">
        <v>74</v>
      </c>
      <c r="F10" s="67" t="s">
        <v>73</v>
      </c>
      <c r="G10" s="71" t="s">
        <v>72</v>
      </c>
      <c r="H10" s="71" t="s">
        <v>71</v>
      </c>
      <c r="I10" s="71" t="s">
        <v>70</v>
      </c>
      <c r="J10" s="71" t="s">
        <v>69</v>
      </c>
      <c r="K10" s="71" t="s">
        <v>68</v>
      </c>
      <c r="L10" s="67" t="s">
        <v>87</v>
      </c>
      <c r="M10" s="68" t="s">
        <v>67</v>
      </c>
      <c r="N10" s="37" t="s">
        <v>66</v>
      </c>
      <c r="O10" s="70" t="s">
        <v>86</v>
      </c>
      <c r="P10" s="70" t="s">
        <v>85</v>
      </c>
      <c r="Q10" s="70" t="s">
        <v>84</v>
      </c>
      <c r="R10" s="70" t="s">
        <v>62</v>
      </c>
      <c r="S10" s="94" t="s">
        <v>83</v>
      </c>
      <c r="T10" s="39" t="s">
        <v>82</v>
      </c>
    </row>
    <row r="11" spans="1:30" ht="15.75" x14ac:dyDescent="0.25">
      <c r="A11" s="38" t="s">
        <v>15</v>
      </c>
      <c r="B11" s="38" t="s">
        <v>81</v>
      </c>
      <c r="C11" s="38" t="s">
        <v>80</v>
      </c>
      <c r="D11" s="38" t="s">
        <v>80</v>
      </c>
      <c r="E11" s="38" t="s">
        <v>80</v>
      </c>
      <c r="F11" s="38" t="s">
        <v>80</v>
      </c>
      <c r="G11" s="38" t="s">
        <v>80</v>
      </c>
      <c r="H11" s="38" t="s">
        <v>80</v>
      </c>
      <c r="I11" s="38" t="s">
        <v>80</v>
      </c>
      <c r="J11" s="38" t="s">
        <v>80</v>
      </c>
      <c r="K11" s="38" t="s">
        <v>80</v>
      </c>
      <c r="L11" s="38" t="s">
        <v>80</v>
      </c>
      <c r="M11" s="93" t="s">
        <v>80</v>
      </c>
      <c r="N11" s="38" t="s">
        <v>80</v>
      </c>
      <c r="O11" s="38" t="s">
        <v>80</v>
      </c>
      <c r="P11" s="38" t="s">
        <v>80</v>
      </c>
      <c r="Q11" s="38" t="s">
        <v>80</v>
      </c>
      <c r="R11" s="38" t="s">
        <v>80</v>
      </c>
      <c r="S11" s="38" t="s">
        <v>80</v>
      </c>
      <c r="T11" s="38" t="s">
        <v>80</v>
      </c>
    </row>
    <row r="12" spans="1:30" ht="15" x14ac:dyDescent="0.2">
      <c r="A12" s="13">
        <v>41275</v>
      </c>
      <c r="B12" s="91">
        <v>31</v>
      </c>
      <c r="C12" s="77">
        <v>122.58</v>
      </c>
      <c r="D12" s="77">
        <v>297.94099999999997</v>
      </c>
      <c r="E12" s="86">
        <v>89.177000000000007</v>
      </c>
      <c r="F12" s="77">
        <v>200.30199999999999</v>
      </c>
      <c r="G12" s="80">
        <v>40</v>
      </c>
      <c r="H12" s="77">
        <v>0</v>
      </c>
      <c r="I12" s="77">
        <v>0</v>
      </c>
      <c r="J12" s="80">
        <v>100</v>
      </c>
      <c r="K12" s="80">
        <v>300</v>
      </c>
      <c r="L12" s="77">
        <v>1150</v>
      </c>
      <c r="M12" s="92"/>
      <c r="N12" s="77">
        <v>125</v>
      </c>
      <c r="O12" s="80">
        <v>240</v>
      </c>
      <c r="P12" s="80">
        <v>0</v>
      </c>
      <c r="Q12" s="80">
        <v>355</v>
      </c>
      <c r="R12" s="80">
        <v>100</v>
      </c>
      <c r="S12" s="77">
        <v>695</v>
      </c>
      <c r="T12" s="77">
        <v>50</v>
      </c>
      <c r="U12" s="78"/>
      <c r="V12" s="78"/>
      <c r="W12" s="78"/>
      <c r="X12" s="78"/>
      <c r="Y12" s="78"/>
      <c r="Z12" s="78"/>
      <c r="AA12" s="78"/>
      <c r="AB12" s="78"/>
      <c r="AC12" s="78"/>
      <c r="AD12" s="78"/>
    </row>
    <row r="13" spans="1:30" ht="15" x14ac:dyDescent="0.2">
      <c r="A13" s="13">
        <v>41306</v>
      </c>
      <c r="B13" s="91">
        <v>28</v>
      </c>
      <c r="C13" s="77">
        <v>122.58</v>
      </c>
      <c r="D13" s="77">
        <v>297.94099999999997</v>
      </c>
      <c r="E13" s="86">
        <v>89.177000000000007</v>
      </c>
      <c r="F13" s="77">
        <v>200.30199999999999</v>
      </c>
      <c r="G13" s="80">
        <v>40</v>
      </c>
      <c r="H13" s="77">
        <v>0</v>
      </c>
      <c r="I13" s="77">
        <v>0</v>
      </c>
      <c r="J13" s="80">
        <v>100</v>
      </c>
      <c r="K13" s="80">
        <v>300</v>
      </c>
      <c r="L13" s="77">
        <v>1150</v>
      </c>
      <c r="M13" s="92"/>
      <c r="N13" s="77">
        <v>125</v>
      </c>
      <c r="O13" s="80">
        <v>240</v>
      </c>
      <c r="P13" s="80">
        <v>0</v>
      </c>
      <c r="Q13" s="80">
        <v>355</v>
      </c>
      <c r="R13" s="80">
        <v>100</v>
      </c>
      <c r="S13" s="77">
        <v>695</v>
      </c>
      <c r="T13" s="77">
        <v>50</v>
      </c>
      <c r="U13" s="78"/>
      <c r="V13" s="78"/>
      <c r="W13" s="78"/>
      <c r="X13" s="78"/>
      <c r="Y13" s="78"/>
      <c r="Z13" s="78"/>
      <c r="AA13" s="78"/>
      <c r="AB13" s="78"/>
      <c r="AC13" s="78"/>
      <c r="AD13" s="78"/>
    </row>
    <row r="14" spans="1:30" ht="15" x14ac:dyDescent="0.2">
      <c r="A14" s="13">
        <v>41334</v>
      </c>
      <c r="B14" s="91">
        <v>31</v>
      </c>
      <c r="C14" s="77">
        <v>122.58</v>
      </c>
      <c r="D14" s="77">
        <v>297.94099999999997</v>
      </c>
      <c r="E14" s="86">
        <v>89.177000000000007</v>
      </c>
      <c r="F14" s="77">
        <v>200.30199999999999</v>
      </c>
      <c r="G14" s="80">
        <v>40</v>
      </c>
      <c r="H14" s="77">
        <v>0</v>
      </c>
      <c r="I14" s="77">
        <v>0</v>
      </c>
      <c r="J14" s="80">
        <v>100</v>
      </c>
      <c r="K14" s="80">
        <v>300</v>
      </c>
      <c r="L14" s="77">
        <v>1150</v>
      </c>
      <c r="M14" s="92"/>
      <c r="N14" s="77">
        <v>125</v>
      </c>
      <c r="O14" s="80">
        <v>240</v>
      </c>
      <c r="P14" s="80">
        <v>0</v>
      </c>
      <c r="Q14" s="80">
        <v>355</v>
      </c>
      <c r="R14" s="80">
        <v>100</v>
      </c>
      <c r="S14" s="77">
        <v>695</v>
      </c>
      <c r="T14" s="77">
        <v>50</v>
      </c>
      <c r="U14" s="78"/>
      <c r="V14" s="78"/>
      <c r="W14" s="78"/>
      <c r="X14" s="78"/>
      <c r="Y14" s="78"/>
      <c r="Z14" s="78"/>
      <c r="AA14" s="78"/>
      <c r="AB14" s="78"/>
      <c r="AC14" s="78"/>
      <c r="AD14" s="78"/>
    </row>
    <row r="15" spans="1:30" ht="15" x14ac:dyDescent="0.2">
      <c r="A15" s="13">
        <v>41365</v>
      </c>
      <c r="B15" s="91">
        <v>30</v>
      </c>
      <c r="C15" s="77">
        <v>141.29300000000001</v>
      </c>
      <c r="D15" s="77">
        <v>267.99299999999999</v>
      </c>
      <c r="E15" s="86">
        <v>115.01600000000001</v>
      </c>
      <c r="F15" s="77">
        <v>249.69800000000001</v>
      </c>
      <c r="G15" s="80">
        <v>40</v>
      </c>
      <c r="H15" s="77">
        <v>25</v>
      </c>
      <c r="I15" s="77">
        <v>0</v>
      </c>
      <c r="J15" s="80">
        <v>100</v>
      </c>
      <c r="K15" s="80">
        <v>300</v>
      </c>
      <c r="L15" s="77">
        <v>1239</v>
      </c>
      <c r="M15" s="92"/>
      <c r="N15" s="77">
        <v>125</v>
      </c>
      <c r="O15" s="80">
        <v>240</v>
      </c>
      <c r="P15" s="80">
        <v>120</v>
      </c>
      <c r="Q15" s="80">
        <v>235</v>
      </c>
      <c r="R15" s="80">
        <v>100</v>
      </c>
      <c r="S15" s="77">
        <v>695</v>
      </c>
      <c r="T15" s="77">
        <v>50</v>
      </c>
      <c r="U15" s="78"/>
      <c r="V15" s="78"/>
      <c r="W15" s="78"/>
      <c r="X15" s="78"/>
      <c r="Y15" s="78"/>
      <c r="Z15" s="78"/>
      <c r="AA15" s="78"/>
      <c r="AB15" s="78"/>
      <c r="AC15" s="78"/>
      <c r="AD15" s="78"/>
    </row>
    <row r="16" spans="1:30" ht="15" x14ac:dyDescent="0.2">
      <c r="A16" s="13">
        <v>41395</v>
      </c>
      <c r="B16" s="91">
        <v>31</v>
      </c>
      <c r="C16" s="77">
        <v>194.20500000000001</v>
      </c>
      <c r="D16" s="77">
        <v>267.46600000000001</v>
      </c>
      <c r="E16" s="86">
        <v>133.845</v>
      </c>
      <c r="F16" s="77">
        <v>213.48400000000001</v>
      </c>
      <c r="G16" s="80">
        <v>40</v>
      </c>
      <c r="H16" s="77">
        <v>25</v>
      </c>
      <c r="I16" s="92">
        <v>30</v>
      </c>
      <c r="J16" s="80">
        <v>100</v>
      </c>
      <c r="K16" s="80">
        <v>300</v>
      </c>
      <c r="L16" s="77">
        <v>1304</v>
      </c>
      <c r="M16" s="92"/>
      <c r="N16" s="77">
        <v>100</v>
      </c>
      <c r="O16" s="80">
        <v>240</v>
      </c>
      <c r="P16" s="80">
        <v>120</v>
      </c>
      <c r="Q16" s="80">
        <v>235</v>
      </c>
      <c r="R16" s="80">
        <v>100</v>
      </c>
      <c r="S16" s="77">
        <v>695</v>
      </c>
      <c r="T16" s="77">
        <v>50</v>
      </c>
      <c r="U16" s="78"/>
      <c r="V16" s="78"/>
      <c r="W16" s="78"/>
      <c r="X16" s="78"/>
      <c r="Y16" s="78"/>
      <c r="Z16" s="78"/>
      <c r="AA16" s="78"/>
      <c r="AB16" s="78"/>
      <c r="AC16" s="78"/>
      <c r="AD16" s="78"/>
    </row>
    <row r="17" spans="1:30" ht="15" x14ac:dyDescent="0.2">
      <c r="A17" s="13">
        <v>41426</v>
      </c>
      <c r="B17" s="91">
        <v>30</v>
      </c>
      <c r="C17" s="77">
        <f>194.205</f>
        <v>194.20500000000001</v>
      </c>
      <c r="D17" s="77">
        <f>267.466</f>
        <v>267.46600000000001</v>
      </c>
      <c r="E17" s="86">
        <f>133.845</f>
        <v>133.845</v>
      </c>
      <c r="F17" s="77">
        <f>278.484-40-25</f>
        <v>213.48399999999998</v>
      </c>
      <c r="G17" s="80">
        <v>40</v>
      </c>
      <c r="H17" s="77">
        <v>25</v>
      </c>
      <c r="I17" s="92">
        <v>30</v>
      </c>
      <c r="J17" s="80">
        <v>100</v>
      </c>
      <c r="K17" s="80">
        <v>300</v>
      </c>
      <c r="L17" s="77">
        <f t="shared" ref="L17:L80" si="0">SUM(C17:K17)</f>
        <v>1304</v>
      </c>
      <c r="M17" s="92"/>
      <c r="N17" s="77">
        <f>55</f>
        <v>55</v>
      </c>
      <c r="O17" s="80">
        <v>240</v>
      </c>
      <c r="P17" s="80">
        <f>145-H17</f>
        <v>120</v>
      </c>
      <c r="Q17" s="80">
        <f t="shared" ref="Q17:Q80" si="1">695-R17-O17-P17</f>
        <v>235</v>
      </c>
      <c r="R17" s="80">
        <f t="shared" ref="R17:R80" si="2">200-J17</f>
        <v>100</v>
      </c>
      <c r="S17" s="77">
        <f t="shared" ref="S17:S80" si="3">SUM(O17:R17)</f>
        <v>695</v>
      </c>
      <c r="T17" s="77">
        <f>50</f>
        <v>50</v>
      </c>
      <c r="U17" s="78"/>
      <c r="V17" s="78"/>
      <c r="W17" s="78"/>
      <c r="X17" s="78"/>
      <c r="Y17" s="78"/>
      <c r="Z17" s="78"/>
      <c r="AA17" s="78"/>
      <c r="AB17" s="78"/>
      <c r="AC17" s="78"/>
      <c r="AD17" s="78"/>
    </row>
    <row r="18" spans="1:30" ht="15" x14ac:dyDescent="0.2">
      <c r="A18" s="13">
        <v>41456</v>
      </c>
      <c r="B18" s="91">
        <v>31</v>
      </c>
      <c r="C18" s="77">
        <f>194.205</f>
        <v>194.20500000000001</v>
      </c>
      <c r="D18" s="77">
        <f>267.466</f>
        <v>267.46600000000001</v>
      </c>
      <c r="E18" s="86">
        <f>133.845</f>
        <v>133.845</v>
      </c>
      <c r="F18" s="77">
        <f>278.484-40-25</f>
        <v>213.48399999999998</v>
      </c>
      <c r="G18" s="80">
        <v>40</v>
      </c>
      <c r="H18" s="77">
        <v>25</v>
      </c>
      <c r="I18" s="92">
        <v>30</v>
      </c>
      <c r="J18" s="80">
        <v>100</v>
      </c>
      <c r="K18" s="80">
        <v>300</v>
      </c>
      <c r="L18" s="77">
        <f t="shared" si="0"/>
        <v>1304</v>
      </c>
      <c r="M18" s="92"/>
      <c r="N18" s="77">
        <f>55</f>
        <v>55</v>
      </c>
      <c r="O18" s="80">
        <v>240</v>
      </c>
      <c r="P18" s="80">
        <f>145-H18</f>
        <v>120</v>
      </c>
      <c r="Q18" s="80">
        <f t="shared" si="1"/>
        <v>235</v>
      </c>
      <c r="R18" s="80">
        <f t="shared" si="2"/>
        <v>100</v>
      </c>
      <c r="S18" s="77">
        <f t="shared" si="3"/>
        <v>695</v>
      </c>
      <c r="T18" s="77">
        <f>0</f>
        <v>0</v>
      </c>
      <c r="U18" s="78"/>
      <c r="V18" s="78"/>
      <c r="W18" s="78"/>
      <c r="X18" s="78"/>
      <c r="Y18" s="78"/>
      <c r="Z18" s="78"/>
      <c r="AA18" s="78"/>
      <c r="AB18" s="78"/>
      <c r="AC18" s="78"/>
      <c r="AD18" s="78"/>
    </row>
    <row r="19" spans="1:30" ht="15" x14ac:dyDescent="0.2">
      <c r="A19" s="13">
        <v>41487</v>
      </c>
      <c r="B19" s="91">
        <v>31</v>
      </c>
      <c r="C19" s="77">
        <f>194.205</f>
        <v>194.20500000000001</v>
      </c>
      <c r="D19" s="77">
        <f>267.466</f>
        <v>267.46600000000001</v>
      </c>
      <c r="E19" s="86">
        <f>133.845</f>
        <v>133.845</v>
      </c>
      <c r="F19" s="77">
        <f>278.484-40-25</f>
        <v>213.48399999999998</v>
      </c>
      <c r="G19" s="80">
        <v>40</v>
      </c>
      <c r="H19" s="77">
        <v>25</v>
      </c>
      <c r="I19" s="92">
        <v>30</v>
      </c>
      <c r="J19" s="80">
        <v>100</v>
      </c>
      <c r="K19" s="80">
        <v>300</v>
      </c>
      <c r="L19" s="77">
        <f t="shared" si="0"/>
        <v>1304</v>
      </c>
      <c r="M19" s="92"/>
      <c r="N19" s="77">
        <f>55</f>
        <v>55</v>
      </c>
      <c r="O19" s="80">
        <v>240</v>
      </c>
      <c r="P19" s="80">
        <f>145-H19</f>
        <v>120</v>
      </c>
      <c r="Q19" s="80">
        <f t="shared" si="1"/>
        <v>235</v>
      </c>
      <c r="R19" s="80">
        <f t="shared" si="2"/>
        <v>100</v>
      </c>
      <c r="S19" s="77">
        <f t="shared" si="3"/>
        <v>695</v>
      </c>
      <c r="T19" s="77">
        <f>0</f>
        <v>0</v>
      </c>
      <c r="U19" s="78"/>
      <c r="V19" s="78"/>
      <c r="W19" s="78"/>
      <c r="X19" s="78"/>
      <c r="Y19" s="78"/>
      <c r="Z19" s="78"/>
      <c r="AA19" s="78"/>
      <c r="AB19" s="78"/>
      <c r="AC19" s="78"/>
      <c r="AD19" s="78"/>
    </row>
    <row r="20" spans="1:30" ht="15" x14ac:dyDescent="0.2">
      <c r="A20" s="13">
        <v>41518</v>
      </c>
      <c r="B20" s="91">
        <v>30</v>
      </c>
      <c r="C20" s="77">
        <f>194.205</f>
        <v>194.20500000000001</v>
      </c>
      <c r="D20" s="77">
        <f>267.466</f>
        <v>267.46600000000001</v>
      </c>
      <c r="E20" s="86">
        <f>133.845</f>
        <v>133.845</v>
      </c>
      <c r="F20" s="77">
        <f>278.484-40-25</f>
        <v>213.48399999999998</v>
      </c>
      <c r="G20" s="80">
        <v>40</v>
      </c>
      <c r="H20" s="77">
        <v>25</v>
      </c>
      <c r="I20" s="92">
        <v>30</v>
      </c>
      <c r="J20" s="80">
        <v>100</v>
      </c>
      <c r="K20" s="80">
        <v>300</v>
      </c>
      <c r="L20" s="77">
        <f t="shared" si="0"/>
        <v>1304</v>
      </c>
      <c r="M20" s="92"/>
      <c r="N20" s="77">
        <f>55</f>
        <v>55</v>
      </c>
      <c r="O20" s="80">
        <v>240</v>
      </c>
      <c r="P20" s="80">
        <f>145-H20</f>
        <v>120</v>
      </c>
      <c r="Q20" s="80">
        <f t="shared" si="1"/>
        <v>235</v>
      </c>
      <c r="R20" s="80">
        <f t="shared" si="2"/>
        <v>100</v>
      </c>
      <c r="S20" s="77">
        <f t="shared" si="3"/>
        <v>695</v>
      </c>
      <c r="T20" s="77">
        <f>0</f>
        <v>0</v>
      </c>
      <c r="U20" s="78"/>
      <c r="V20" s="78"/>
      <c r="W20" s="78"/>
      <c r="X20" s="78"/>
      <c r="Y20" s="78"/>
      <c r="Z20" s="78"/>
      <c r="AA20" s="78"/>
      <c r="AB20" s="78"/>
      <c r="AC20" s="78"/>
      <c r="AD20" s="78"/>
    </row>
    <row r="21" spans="1:30" ht="15" x14ac:dyDescent="0.2">
      <c r="A21" s="13">
        <v>41548</v>
      </c>
      <c r="B21" s="91">
        <v>31</v>
      </c>
      <c r="C21" s="77">
        <f>131.881</f>
        <v>131.881</v>
      </c>
      <c r="D21" s="77">
        <f>277.167</f>
        <v>277.16699999999997</v>
      </c>
      <c r="E21" s="86">
        <f>79.08</f>
        <v>79.08</v>
      </c>
      <c r="F21" s="77">
        <f>350.872-40-25</f>
        <v>285.87200000000001</v>
      </c>
      <c r="G21" s="80">
        <v>40</v>
      </c>
      <c r="H21" s="77">
        <v>25</v>
      </c>
      <c r="I21" s="77">
        <v>0</v>
      </c>
      <c r="J21" s="80">
        <v>100</v>
      </c>
      <c r="K21" s="80">
        <v>300</v>
      </c>
      <c r="L21" s="77">
        <f t="shared" si="0"/>
        <v>1239</v>
      </c>
      <c r="M21" s="92"/>
      <c r="N21" s="77">
        <f>100</f>
        <v>100</v>
      </c>
      <c r="O21" s="80">
        <v>240</v>
      </c>
      <c r="P21" s="80">
        <f>145-H21</f>
        <v>120</v>
      </c>
      <c r="Q21" s="80">
        <f t="shared" si="1"/>
        <v>235</v>
      </c>
      <c r="R21" s="80">
        <f t="shared" si="2"/>
        <v>100</v>
      </c>
      <c r="S21" s="77">
        <f t="shared" si="3"/>
        <v>695</v>
      </c>
      <c r="T21" s="77">
        <f>0</f>
        <v>0</v>
      </c>
      <c r="U21" s="78"/>
      <c r="V21" s="78"/>
      <c r="W21" s="78"/>
      <c r="X21" s="78"/>
      <c r="Y21" s="78"/>
      <c r="Z21" s="78"/>
      <c r="AA21" s="78"/>
      <c r="AB21" s="78"/>
      <c r="AC21" s="78"/>
      <c r="AD21" s="78"/>
    </row>
    <row r="22" spans="1:30" ht="15" x14ac:dyDescent="0.2">
      <c r="A22" s="13">
        <v>41579</v>
      </c>
      <c r="B22" s="91">
        <v>30</v>
      </c>
      <c r="C22" s="77">
        <f>122.58</f>
        <v>122.58</v>
      </c>
      <c r="D22" s="77">
        <f>297.941</f>
        <v>297.94099999999997</v>
      </c>
      <c r="E22" s="86">
        <f>89.177</f>
        <v>89.177000000000007</v>
      </c>
      <c r="F22" s="77">
        <f>240.302-40</f>
        <v>200.30199999999999</v>
      </c>
      <c r="G22" s="80">
        <v>40</v>
      </c>
      <c r="H22" s="77">
        <v>0</v>
      </c>
      <c r="I22" s="77">
        <v>0</v>
      </c>
      <c r="J22" s="80">
        <v>100</v>
      </c>
      <c r="K22" s="80">
        <v>300</v>
      </c>
      <c r="L22" s="77">
        <f t="shared" si="0"/>
        <v>1150</v>
      </c>
      <c r="M22" s="92"/>
      <c r="N22" s="77">
        <f>125</f>
        <v>125</v>
      </c>
      <c r="O22" s="80">
        <v>240</v>
      </c>
      <c r="P22" s="80">
        <v>0</v>
      </c>
      <c r="Q22" s="80">
        <f t="shared" si="1"/>
        <v>355</v>
      </c>
      <c r="R22" s="80">
        <f t="shared" si="2"/>
        <v>100</v>
      </c>
      <c r="S22" s="77">
        <f t="shared" si="3"/>
        <v>695</v>
      </c>
      <c r="T22" s="77">
        <f>50</f>
        <v>50</v>
      </c>
      <c r="U22" s="78"/>
      <c r="V22" s="78"/>
      <c r="W22" s="78"/>
      <c r="X22" s="78"/>
      <c r="Y22" s="78"/>
      <c r="Z22" s="78"/>
      <c r="AA22" s="78"/>
      <c r="AB22" s="78"/>
      <c r="AC22" s="78"/>
      <c r="AD22" s="78"/>
    </row>
    <row r="23" spans="1:30" ht="15" x14ac:dyDescent="0.2">
      <c r="A23" s="13">
        <v>41609</v>
      </c>
      <c r="B23" s="91">
        <v>31</v>
      </c>
      <c r="C23" s="77">
        <f>122.58</f>
        <v>122.58</v>
      </c>
      <c r="D23" s="77">
        <f>297.941</f>
        <v>297.94099999999997</v>
      </c>
      <c r="E23" s="86">
        <f>89.177</f>
        <v>89.177000000000007</v>
      </c>
      <c r="F23" s="77">
        <f>240.302-40</f>
        <v>200.30199999999999</v>
      </c>
      <c r="G23" s="80">
        <v>40</v>
      </c>
      <c r="H23" s="77">
        <v>0</v>
      </c>
      <c r="I23" s="77">
        <v>0</v>
      </c>
      <c r="J23" s="80">
        <v>100</v>
      </c>
      <c r="K23" s="80">
        <v>300</v>
      </c>
      <c r="L23" s="77">
        <f t="shared" si="0"/>
        <v>1150</v>
      </c>
      <c r="M23" s="92"/>
      <c r="N23" s="77">
        <f>125</f>
        <v>125</v>
      </c>
      <c r="O23" s="80">
        <v>240</v>
      </c>
      <c r="P23" s="80">
        <v>0</v>
      </c>
      <c r="Q23" s="80">
        <f t="shared" si="1"/>
        <v>355</v>
      </c>
      <c r="R23" s="80">
        <f t="shared" si="2"/>
        <v>100</v>
      </c>
      <c r="S23" s="77">
        <f t="shared" si="3"/>
        <v>695</v>
      </c>
      <c r="T23" s="77">
        <f>50</f>
        <v>50</v>
      </c>
      <c r="U23" s="78"/>
      <c r="V23" s="78"/>
      <c r="W23" s="78"/>
      <c r="X23" s="78"/>
      <c r="Y23" s="78"/>
      <c r="Z23" s="78"/>
      <c r="AA23" s="78"/>
      <c r="AB23" s="78"/>
      <c r="AC23" s="78"/>
      <c r="AD23" s="78"/>
    </row>
    <row r="24" spans="1:30" ht="15.75" x14ac:dyDescent="0.25">
      <c r="A24" s="13">
        <v>41640</v>
      </c>
      <c r="B24" s="91">
        <v>31</v>
      </c>
      <c r="C24" s="77">
        <f>122.58</f>
        <v>122.58</v>
      </c>
      <c r="D24" s="77">
        <f>297.941</f>
        <v>297.94099999999997</v>
      </c>
      <c r="E24" s="86">
        <f>89.177</f>
        <v>89.177000000000007</v>
      </c>
      <c r="F24" s="77">
        <f>240.302-40</f>
        <v>200.30199999999999</v>
      </c>
      <c r="G24" s="80">
        <v>40</v>
      </c>
      <c r="H24" s="77">
        <v>0</v>
      </c>
      <c r="I24" s="77">
        <v>0</v>
      </c>
      <c r="J24" s="80">
        <v>100</v>
      </c>
      <c r="K24" s="80">
        <v>300</v>
      </c>
      <c r="L24" s="77">
        <f t="shared" si="0"/>
        <v>1150</v>
      </c>
      <c r="M24" s="88"/>
      <c r="N24" s="77">
        <f>100</f>
        <v>100</v>
      </c>
      <c r="O24" s="80">
        <v>240</v>
      </c>
      <c r="P24" s="80">
        <v>0</v>
      </c>
      <c r="Q24" s="80">
        <f t="shared" si="1"/>
        <v>355</v>
      </c>
      <c r="R24" s="80">
        <f t="shared" si="2"/>
        <v>100</v>
      </c>
      <c r="S24" s="77">
        <f t="shared" si="3"/>
        <v>695</v>
      </c>
      <c r="T24" s="77">
        <f>50</f>
        <v>50</v>
      </c>
      <c r="U24" s="78"/>
      <c r="V24" s="78"/>
      <c r="W24" s="78"/>
      <c r="X24" s="78"/>
      <c r="Y24" s="78"/>
      <c r="Z24" s="78"/>
      <c r="AA24" s="78"/>
      <c r="AB24" s="78"/>
      <c r="AC24" s="78"/>
      <c r="AD24" s="78"/>
    </row>
    <row r="25" spans="1:30" ht="15.75" x14ac:dyDescent="0.25">
      <c r="A25" s="13">
        <v>41671</v>
      </c>
      <c r="B25" s="91">
        <v>28</v>
      </c>
      <c r="C25" s="77">
        <f>122.58</f>
        <v>122.58</v>
      </c>
      <c r="D25" s="77">
        <f>297.941</f>
        <v>297.94099999999997</v>
      </c>
      <c r="E25" s="86">
        <f>89.177</f>
        <v>89.177000000000007</v>
      </c>
      <c r="F25" s="77">
        <f>240.302-40</f>
        <v>200.30199999999999</v>
      </c>
      <c r="G25" s="80">
        <v>40</v>
      </c>
      <c r="H25" s="77">
        <v>0</v>
      </c>
      <c r="I25" s="77">
        <v>0</v>
      </c>
      <c r="J25" s="80">
        <v>100</v>
      </c>
      <c r="K25" s="80">
        <v>300</v>
      </c>
      <c r="L25" s="77">
        <f t="shared" si="0"/>
        <v>1150</v>
      </c>
      <c r="M25" s="88"/>
      <c r="N25" s="77">
        <f>100</f>
        <v>100</v>
      </c>
      <c r="O25" s="80">
        <v>240</v>
      </c>
      <c r="P25" s="80">
        <v>0</v>
      </c>
      <c r="Q25" s="80">
        <f t="shared" si="1"/>
        <v>355</v>
      </c>
      <c r="R25" s="80">
        <f t="shared" si="2"/>
        <v>100</v>
      </c>
      <c r="S25" s="77">
        <f t="shared" si="3"/>
        <v>695</v>
      </c>
      <c r="T25" s="77">
        <f>50</f>
        <v>50</v>
      </c>
      <c r="U25" s="78"/>
      <c r="V25" s="78"/>
      <c r="W25" s="78"/>
      <c r="X25" s="78"/>
      <c r="Y25" s="78"/>
      <c r="Z25" s="78"/>
      <c r="AA25" s="78"/>
      <c r="AB25" s="78"/>
      <c r="AC25" s="78"/>
      <c r="AD25" s="78"/>
    </row>
    <row r="26" spans="1:30" ht="15.75" x14ac:dyDescent="0.25">
      <c r="A26" s="13">
        <v>41699</v>
      </c>
      <c r="B26" s="91">
        <v>31</v>
      </c>
      <c r="C26" s="77">
        <f>122.58</f>
        <v>122.58</v>
      </c>
      <c r="D26" s="77">
        <f>297.941</f>
        <v>297.94099999999997</v>
      </c>
      <c r="E26" s="86">
        <f>89.177</f>
        <v>89.177000000000007</v>
      </c>
      <c r="F26" s="77">
        <f>240.302-40</f>
        <v>200.30199999999999</v>
      </c>
      <c r="G26" s="80">
        <v>40</v>
      </c>
      <c r="H26" s="77">
        <v>0</v>
      </c>
      <c r="I26" s="77">
        <v>0</v>
      </c>
      <c r="J26" s="80">
        <v>100</v>
      </c>
      <c r="K26" s="80">
        <v>300</v>
      </c>
      <c r="L26" s="77">
        <f t="shared" si="0"/>
        <v>1150</v>
      </c>
      <c r="M26" s="88"/>
      <c r="N26" s="77">
        <f>100</f>
        <v>100</v>
      </c>
      <c r="O26" s="80">
        <v>240</v>
      </c>
      <c r="P26" s="80">
        <v>0</v>
      </c>
      <c r="Q26" s="80">
        <f t="shared" si="1"/>
        <v>355</v>
      </c>
      <c r="R26" s="80">
        <f t="shared" si="2"/>
        <v>100</v>
      </c>
      <c r="S26" s="77">
        <f t="shared" si="3"/>
        <v>695</v>
      </c>
      <c r="T26" s="77">
        <f>50</f>
        <v>50</v>
      </c>
      <c r="U26" s="78"/>
      <c r="V26" s="78"/>
      <c r="W26" s="78"/>
      <c r="X26" s="78"/>
      <c r="Y26" s="78"/>
      <c r="Z26" s="78"/>
      <c r="AA26" s="78"/>
      <c r="AB26" s="78"/>
      <c r="AC26" s="78"/>
      <c r="AD26" s="78"/>
    </row>
    <row r="27" spans="1:30" ht="15.75" x14ac:dyDescent="0.25">
      <c r="A27" s="13">
        <v>41730</v>
      </c>
      <c r="B27" s="91">
        <v>30</v>
      </c>
      <c r="C27" s="77">
        <f>141.293</f>
        <v>141.29300000000001</v>
      </c>
      <c r="D27" s="77">
        <f>267.993</f>
        <v>267.99299999999999</v>
      </c>
      <c r="E27" s="86">
        <f>115.016</f>
        <v>115.01600000000001</v>
      </c>
      <c r="F27" s="77">
        <f>314.698-40-25</f>
        <v>249.69799999999998</v>
      </c>
      <c r="G27" s="80">
        <v>40</v>
      </c>
      <c r="H27" s="77">
        <v>25</v>
      </c>
      <c r="I27" s="77">
        <v>0</v>
      </c>
      <c r="J27" s="80">
        <v>100</v>
      </c>
      <c r="K27" s="80">
        <v>300</v>
      </c>
      <c r="L27" s="77">
        <f t="shared" si="0"/>
        <v>1239</v>
      </c>
      <c r="M27" s="88"/>
      <c r="N27" s="77">
        <f>100</f>
        <v>100</v>
      </c>
      <c r="O27" s="80">
        <v>240</v>
      </c>
      <c r="P27" s="80">
        <f t="shared" ref="P27:P33" si="4">145-H27</f>
        <v>120</v>
      </c>
      <c r="Q27" s="80">
        <f t="shared" si="1"/>
        <v>235</v>
      </c>
      <c r="R27" s="80">
        <f t="shared" si="2"/>
        <v>100</v>
      </c>
      <c r="S27" s="77">
        <f t="shared" si="3"/>
        <v>695</v>
      </c>
      <c r="T27" s="77">
        <f>50</f>
        <v>50</v>
      </c>
      <c r="U27" s="78"/>
      <c r="V27" s="78"/>
      <c r="W27" s="78"/>
      <c r="X27" s="78"/>
      <c r="Y27" s="78"/>
      <c r="Z27" s="78"/>
      <c r="AA27" s="78"/>
      <c r="AB27" s="78"/>
      <c r="AC27" s="78"/>
      <c r="AD27" s="78"/>
    </row>
    <row r="28" spans="1:30" ht="15.75" x14ac:dyDescent="0.25">
      <c r="A28" s="13">
        <v>41760</v>
      </c>
      <c r="B28" s="91">
        <v>31</v>
      </c>
      <c r="C28" s="77">
        <f>194.205</f>
        <v>194.20500000000001</v>
      </c>
      <c r="D28" s="77">
        <f>267.466</f>
        <v>267.46600000000001</v>
      </c>
      <c r="E28" s="86">
        <f>133.845</f>
        <v>133.845</v>
      </c>
      <c r="F28" s="77">
        <f>278.484-40-25</f>
        <v>213.48399999999998</v>
      </c>
      <c r="G28" s="80">
        <v>40</v>
      </c>
      <c r="H28" s="77">
        <v>25</v>
      </c>
      <c r="I28" s="92">
        <v>50</v>
      </c>
      <c r="J28" s="80">
        <v>100</v>
      </c>
      <c r="K28" s="80">
        <v>300</v>
      </c>
      <c r="L28" s="77">
        <f t="shared" si="0"/>
        <v>1324</v>
      </c>
      <c r="M28" s="88"/>
      <c r="N28" s="77">
        <f>75</f>
        <v>75</v>
      </c>
      <c r="O28" s="80">
        <v>240</v>
      </c>
      <c r="P28" s="80">
        <f t="shared" si="4"/>
        <v>120</v>
      </c>
      <c r="Q28" s="80">
        <f t="shared" si="1"/>
        <v>235</v>
      </c>
      <c r="R28" s="80">
        <f t="shared" si="2"/>
        <v>100</v>
      </c>
      <c r="S28" s="77">
        <f t="shared" si="3"/>
        <v>695</v>
      </c>
      <c r="T28" s="77">
        <f>50</f>
        <v>50</v>
      </c>
      <c r="U28" s="78"/>
      <c r="V28" s="78"/>
      <c r="W28" s="78"/>
      <c r="X28" s="78"/>
      <c r="Y28" s="78"/>
      <c r="Z28" s="78"/>
      <c r="AA28" s="78"/>
      <c r="AB28" s="78"/>
      <c r="AC28" s="78"/>
      <c r="AD28" s="78"/>
    </row>
    <row r="29" spans="1:30" ht="15.75" x14ac:dyDescent="0.25">
      <c r="A29" s="13">
        <v>41791</v>
      </c>
      <c r="B29" s="91">
        <v>30</v>
      </c>
      <c r="C29" s="77">
        <f>194.205</f>
        <v>194.20500000000001</v>
      </c>
      <c r="D29" s="77">
        <f>267.466</f>
        <v>267.46600000000001</v>
      </c>
      <c r="E29" s="86">
        <f>133.845</f>
        <v>133.845</v>
      </c>
      <c r="F29" s="77">
        <f>278.484-40-25</f>
        <v>213.48399999999998</v>
      </c>
      <c r="G29" s="80">
        <v>40</v>
      </c>
      <c r="H29" s="77">
        <v>25</v>
      </c>
      <c r="I29" s="92">
        <v>50</v>
      </c>
      <c r="J29" s="80">
        <v>100</v>
      </c>
      <c r="K29" s="80">
        <v>300</v>
      </c>
      <c r="L29" s="77">
        <f t="shared" si="0"/>
        <v>1324</v>
      </c>
      <c r="M29" s="88"/>
      <c r="N29" s="77">
        <f>30</f>
        <v>30</v>
      </c>
      <c r="O29" s="80">
        <v>240</v>
      </c>
      <c r="P29" s="80">
        <f t="shared" si="4"/>
        <v>120</v>
      </c>
      <c r="Q29" s="80">
        <f t="shared" si="1"/>
        <v>235</v>
      </c>
      <c r="R29" s="80">
        <f t="shared" si="2"/>
        <v>100</v>
      </c>
      <c r="S29" s="77">
        <f t="shared" si="3"/>
        <v>695</v>
      </c>
      <c r="T29" s="77">
        <f>50</f>
        <v>50</v>
      </c>
      <c r="U29" s="78"/>
      <c r="V29" s="78"/>
      <c r="W29" s="78"/>
      <c r="X29" s="78"/>
      <c r="Y29" s="78"/>
      <c r="Z29" s="78"/>
      <c r="AA29" s="78"/>
      <c r="AB29" s="78"/>
      <c r="AC29" s="78"/>
      <c r="AD29" s="78"/>
    </row>
    <row r="30" spans="1:30" ht="15.75" x14ac:dyDescent="0.25">
      <c r="A30" s="13">
        <v>41821</v>
      </c>
      <c r="B30" s="91">
        <v>31</v>
      </c>
      <c r="C30" s="77">
        <f>194.205</f>
        <v>194.20500000000001</v>
      </c>
      <c r="D30" s="77">
        <f>267.466</f>
        <v>267.46600000000001</v>
      </c>
      <c r="E30" s="86">
        <f>133.845</f>
        <v>133.845</v>
      </c>
      <c r="F30" s="77">
        <f>278.484-40-25</f>
        <v>213.48399999999998</v>
      </c>
      <c r="G30" s="80">
        <v>40</v>
      </c>
      <c r="H30" s="77">
        <v>25</v>
      </c>
      <c r="I30" s="92">
        <v>50</v>
      </c>
      <c r="J30" s="80">
        <v>100</v>
      </c>
      <c r="K30" s="80">
        <v>300</v>
      </c>
      <c r="L30" s="77">
        <f t="shared" si="0"/>
        <v>1324</v>
      </c>
      <c r="M30" s="88"/>
      <c r="N30" s="77">
        <f>30</f>
        <v>30</v>
      </c>
      <c r="O30" s="80">
        <v>240</v>
      </c>
      <c r="P30" s="80">
        <f t="shared" si="4"/>
        <v>120</v>
      </c>
      <c r="Q30" s="80">
        <f t="shared" si="1"/>
        <v>235</v>
      </c>
      <c r="R30" s="80">
        <f t="shared" si="2"/>
        <v>100</v>
      </c>
      <c r="S30" s="77">
        <f t="shared" si="3"/>
        <v>695</v>
      </c>
      <c r="T30" s="77">
        <f>0</f>
        <v>0</v>
      </c>
      <c r="U30" s="78"/>
      <c r="V30" s="78"/>
      <c r="W30" s="78"/>
      <c r="X30" s="78"/>
      <c r="Y30" s="78"/>
      <c r="Z30" s="78"/>
      <c r="AA30" s="78"/>
      <c r="AB30" s="78"/>
      <c r="AC30" s="78"/>
      <c r="AD30" s="78"/>
    </row>
    <row r="31" spans="1:30" ht="15.75" x14ac:dyDescent="0.25">
      <c r="A31" s="13">
        <v>41852</v>
      </c>
      <c r="B31" s="91">
        <v>31</v>
      </c>
      <c r="C31" s="77">
        <f>194.205</f>
        <v>194.20500000000001</v>
      </c>
      <c r="D31" s="77">
        <f>267.466</f>
        <v>267.46600000000001</v>
      </c>
      <c r="E31" s="86">
        <f>133.845</f>
        <v>133.845</v>
      </c>
      <c r="F31" s="77">
        <f>278.484-40-25</f>
        <v>213.48399999999998</v>
      </c>
      <c r="G31" s="80">
        <v>40</v>
      </c>
      <c r="H31" s="77">
        <v>25</v>
      </c>
      <c r="I31" s="92">
        <v>50</v>
      </c>
      <c r="J31" s="80">
        <v>100</v>
      </c>
      <c r="K31" s="80">
        <v>300</v>
      </c>
      <c r="L31" s="77">
        <f t="shared" si="0"/>
        <v>1324</v>
      </c>
      <c r="M31" s="88"/>
      <c r="N31" s="77">
        <f>30</f>
        <v>30</v>
      </c>
      <c r="O31" s="80">
        <v>240</v>
      </c>
      <c r="P31" s="80">
        <f t="shared" si="4"/>
        <v>120</v>
      </c>
      <c r="Q31" s="80">
        <f t="shared" si="1"/>
        <v>235</v>
      </c>
      <c r="R31" s="80">
        <f t="shared" si="2"/>
        <v>100</v>
      </c>
      <c r="S31" s="77">
        <f t="shared" si="3"/>
        <v>695</v>
      </c>
      <c r="T31" s="77">
        <f>0</f>
        <v>0</v>
      </c>
      <c r="U31" s="78"/>
      <c r="V31" s="78"/>
      <c r="W31" s="78"/>
      <c r="X31" s="78"/>
      <c r="Y31" s="78"/>
      <c r="Z31" s="78"/>
      <c r="AA31" s="78"/>
      <c r="AB31" s="78"/>
      <c r="AC31" s="78"/>
      <c r="AD31" s="78"/>
    </row>
    <row r="32" spans="1:30" ht="15.75" x14ac:dyDescent="0.25">
      <c r="A32" s="13">
        <v>41883</v>
      </c>
      <c r="B32" s="91">
        <v>30</v>
      </c>
      <c r="C32" s="77">
        <f>194.205</f>
        <v>194.20500000000001</v>
      </c>
      <c r="D32" s="77">
        <f>267.466</f>
        <v>267.46600000000001</v>
      </c>
      <c r="E32" s="86">
        <f>133.845</f>
        <v>133.845</v>
      </c>
      <c r="F32" s="77">
        <f>278.484-40-25</f>
        <v>213.48399999999998</v>
      </c>
      <c r="G32" s="80">
        <v>40</v>
      </c>
      <c r="H32" s="77">
        <v>25</v>
      </c>
      <c r="I32" s="92">
        <v>50</v>
      </c>
      <c r="J32" s="80">
        <v>100</v>
      </c>
      <c r="K32" s="80">
        <v>300</v>
      </c>
      <c r="L32" s="77">
        <f t="shared" si="0"/>
        <v>1324</v>
      </c>
      <c r="M32" s="88"/>
      <c r="N32" s="77">
        <f>30</f>
        <v>30</v>
      </c>
      <c r="O32" s="80">
        <v>240</v>
      </c>
      <c r="P32" s="80">
        <f t="shared" si="4"/>
        <v>120</v>
      </c>
      <c r="Q32" s="80">
        <f t="shared" si="1"/>
        <v>235</v>
      </c>
      <c r="R32" s="80">
        <f t="shared" si="2"/>
        <v>100</v>
      </c>
      <c r="S32" s="77">
        <f t="shared" si="3"/>
        <v>695</v>
      </c>
      <c r="T32" s="77">
        <f>0</f>
        <v>0</v>
      </c>
      <c r="U32" s="78"/>
      <c r="V32" s="78"/>
      <c r="W32" s="78"/>
      <c r="X32" s="78"/>
      <c r="Y32" s="78"/>
      <c r="Z32" s="78"/>
      <c r="AA32" s="78"/>
      <c r="AB32" s="78"/>
      <c r="AC32" s="78"/>
      <c r="AD32" s="78"/>
    </row>
    <row r="33" spans="1:30" ht="15.75" x14ac:dyDescent="0.25">
      <c r="A33" s="13">
        <v>41913</v>
      </c>
      <c r="B33" s="91">
        <v>31</v>
      </c>
      <c r="C33" s="77">
        <f>131.881</f>
        <v>131.881</v>
      </c>
      <c r="D33" s="77">
        <f>277.167</f>
        <v>277.16699999999997</v>
      </c>
      <c r="E33" s="86">
        <f>79.08</f>
        <v>79.08</v>
      </c>
      <c r="F33" s="77">
        <f>350.872-40-25</f>
        <v>285.87200000000001</v>
      </c>
      <c r="G33" s="80">
        <v>40</v>
      </c>
      <c r="H33" s="77">
        <v>25</v>
      </c>
      <c r="I33" s="77">
        <v>0</v>
      </c>
      <c r="J33" s="80">
        <v>100</v>
      </c>
      <c r="K33" s="80">
        <v>300</v>
      </c>
      <c r="L33" s="77">
        <f t="shared" si="0"/>
        <v>1239</v>
      </c>
      <c r="M33" s="88"/>
      <c r="N33" s="77">
        <f>75</f>
        <v>75</v>
      </c>
      <c r="O33" s="80">
        <v>240</v>
      </c>
      <c r="P33" s="80">
        <f t="shared" si="4"/>
        <v>120</v>
      </c>
      <c r="Q33" s="80">
        <f t="shared" si="1"/>
        <v>235</v>
      </c>
      <c r="R33" s="80">
        <f t="shared" si="2"/>
        <v>100</v>
      </c>
      <c r="S33" s="77">
        <f t="shared" si="3"/>
        <v>695</v>
      </c>
      <c r="T33" s="77">
        <f>0</f>
        <v>0</v>
      </c>
      <c r="U33" s="78"/>
      <c r="V33" s="78"/>
      <c r="W33" s="78"/>
      <c r="X33" s="78"/>
      <c r="Y33" s="78"/>
      <c r="Z33" s="78"/>
      <c r="AA33" s="78"/>
      <c r="AB33" s="78"/>
      <c r="AC33" s="78"/>
      <c r="AD33" s="78"/>
    </row>
    <row r="34" spans="1:30" ht="15.75" x14ac:dyDescent="0.25">
      <c r="A34" s="13">
        <v>41944</v>
      </c>
      <c r="B34" s="91">
        <v>30</v>
      </c>
      <c r="C34" s="77">
        <f>122.58</f>
        <v>122.58</v>
      </c>
      <c r="D34" s="77">
        <f>297.941</f>
        <v>297.94099999999997</v>
      </c>
      <c r="E34" s="86">
        <f>89.177</f>
        <v>89.177000000000007</v>
      </c>
      <c r="F34" s="77">
        <f>240.302-40</f>
        <v>200.30199999999999</v>
      </c>
      <c r="G34" s="80">
        <v>40</v>
      </c>
      <c r="H34" s="77">
        <v>0</v>
      </c>
      <c r="I34" s="77">
        <v>0</v>
      </c>
      <c r="J34" s="80">
        <v>100</v>
      </c>
      <c r="K34" s="80">
        <v>300</v>
      </c>
      <c r="L34" s="77">
        <f t="shared" si="0"/>
        <v>1150</v>
      </c>
      <c r="M34" s="88"/>
      <c r="N34" s="77">
        <f>100</f>
        <v>100</v>
      </c>
      <c r="O34" s="80">
        <v>240</v>
      </c>
      <c r="P34" s="80">
        <v>0</v>
      </c>
      <c r="Q34" s="80">
        <f t="shared" si="1"/>
        <v>355</v>
      </c>
      <c r="R34" s="80">
        <f t="shared" si="2"/>
        <v>100</v>
      </c>
      <c r="S34" s="77">
        <f t="shared" si="3"/>
        <v>695</v>
      </c>
      <c r="T34" s="77">
        <f>50</f>
        <v>50</v>
      </c>
      <c r="U34" s="78"/>
      <c r="V34" s="78"/>
      <c r="W34" s="78"/>
      <c r="X34" s="78"/>
      <c r="Y34" s="78"/>
      <c r="Z34" s="78"/>
      <c r="AA34" s="78"/>
      <c r="AB34" s="78"/>
      <c r="AC34" s="78"/>
      <c r="AD34" s="78"/>
    </row>
    <row r="35" spans="1:30" ht="15.75" x14ac:dyDescent="0.25">
      <c r="A35" s="13">
        <v>41974</v>
      </c>
      <c r="B35" s="91">
        <v>31</v>
      </c>
      <c r="C35" s="77">
        <f>122.58</f>
        <v>122.58</v>
      </c>
      <c r="D35" s="77">
        <f>297.941</f>
        <v>297.94099999999997</v>
      </c>
      <c r="E35" s="86">
        <f>89.177</f>
        <v>89.177000000000007</v>
      </c>
      <c r="F35" s="77">
        <f>240.302-40</f>
        <v>200.30199999999999</v>
      </c>
      <c r="G35" s="80">
        <v>40</v>
      </c>
      <c r="H35" s="77">
        <v>0</v>
      </c>
      <c r="I35" s="77">
        <v>0</v>
      </c>
      <c r="J35" s="80">
        <v>100</v>
      </c>
      <c r="K35" s="80">
        <v>300</v>
      </c>
      <c r="L35" s="77">
        <f t="shared" si="0"/>
        <v>1150</v>
      </c>
      <c r="M35" s="88"/>
      <c r="N35" s="77">
        <f>100</f>
        <v>100</v>
      </c>
      <c r="O35" s="80">
        <v>240</v>
      </c>
      <c r="P35" s="80">
        <v>0</v>
      </c>
      <c r="Q35" s="80">
        <f t="shared" si="1"/>
        <v>355</v>
      </c>
      <c r="R35" s="80">
        <f t="shared" si="2"/>
        <v>100</v>
      </c>
      <c r="S35" s="77">
        <f t="shared" si="3"/>
        <v>695</v>
      </c>
      <c r="T35" s="77">
        <f>50</f>
        <v>50</v>
      </c>
      <c r="U35" s="78"/>
      <c r="V35" s="78"/>
      <c r="W35" s="78"/>
      <c r="X35" s="78"/>
      <c r="Y35" s="78"/>
      <c r="Z35" s="78"/>
      <c r="AA35" s="78"/>
      <c r="AB35" s="78"/>
      <c r="AC35" s="78"/>
      <c r="AD35" s="78"/>
    </row>
    <row r="36" spans="1:30" ht="15.75" x14ac:dyDescent="0.25">
      <c r="A36" s="13">
        <v>42005</v>
      </c>
      <c r="B36" s="91">
        <v>31</v>
      </c>
      <c r="C36" s="77">
        <f>122.58</f>
        <v>122.58</v>
      </c>
      <c r="D36" s="77">
        <f>297.941</f>
        <v>297.94099999999997</v>
      </c>
      <c r="E36" s="86">
        <f>89.177</f>
        <v>89.177000000000007</v>
      </c>
      <c r="F36" s="77">
        <f>240.302-40</f>
        <v>200.30199999999999</v>
      </c>
      <c r="G36" s="80">
        <v>40</v>
      </c>
      <c r="H36" s="77">
        <v>0</v>
      </c>
      <c r="I36" s="77">
        <v>0</v>
      </c>
      <c r="J36" s="80">
        <v>100</v>
      </c>
      <c r="K36" s="80">
        <v>300</v>
      </c>
      <c r="L36" s="77">
        <f t="shared" si="0"/>
        <v>1150</v>
      </c>
      <c r="M36" s="88"/>
      <c r="N36" s="77">
        <f>100</f>
        <v>100</v>
      </c>
      <c r="O36" s="80">
        <v>240</v>
      </c>
      <c r="P36" s="80">
        <v>0</v>
      </c>
      <c r="Q36" s="80">
        <f t="shared" si="1"/>
        <v>355</v>
      </c>
      <c r="R36" s="80">
        <f t="shared" si="2"/>
        <v>100</v>
      </c>
      <c r="S36" s="77">
        <f t="shared" si="3"/>
        <v>695</v>
      </c>
      <c r="T36" s="77">
        <f>50</f>
        <v>50</v>
      </c>
      <c r="U36" s="78"/>
      <c r="V36" s="78"/>
      <c r="W36" s="78"/>
      <c r="X36" s="78"/>
      <c r="Y36" s="78"/>
      <c r="Z36" s="78"/>
      <c r="AA36" s="78"/>
      <c r="AB36" s="78"/>
      <c r="AC36" s="78"/>
      <c r="AD36" s="78"/>
    </row>
    <row r="37" spans="1:30" ht="15.75" x14ac:dyDescent="0.25">
      <c r="A37" s="13">
        <v>42036</v>
      </c>
      <c r="B37" s="91">
        <v>28</v>
      </c>
      <c r="C37" s="77">
        <f>122.58</f>
        <v>122.58</v>
      </c>
      <c r="D37" s="77">
        <f>297.941</f>
        <v>297.94099999999997</v>
      </c>
      <c r="E37" s="86">
        <f>89.177</f>
        <v>89.177000000000007</v>
      </c>
      <c r="F37" s="77">
        <f>240.302-40</f>
        <v>200.30199999999999</v>
      </c>
      <c r="G37" s="80">
        <v>40</v>
      </c>
      <c r="H37" s="77">
        <v>0</v>
      </c>
      <c r="I37" s="77">
        <v>0</v>
      </c>
      <c r="J37" s="80">
        <v>100</v>
      </c>
      <c r="K37" s="80">
        <v>300</v>
      </c>
      <c r="L37" s="77">
        <f t="shared" si="0"/>
        <v>1150</v>
      </c>
      <c r="M37" s="88"/>
      <c r="N37" s="77">
        <f>100</f>
        <v>100</v>
      </c>
      <c r="O37" s="80">
        <v>240</v>
      </c>
      <c r="P37" s="80">
        <v>0</v>
      </c>
      <c r="Q37" s="80">
        <f t="shared" si="1"/>
        <v>355</v>
      </c>
      <c r="R37" s="80">
        <f t="shared" si="2"/>
        <v>100</v>
      </c>
      <c r="S37" s="77">
        <f t="shared" si="3"/>
        <v>695</v>
      </c>
      <c r="T37" s="77">
        <f>50</f>
        <v>50</v>
      </c>
      <c r="U37" s="78"/>
      <c r="V37" s="78"/>
      <c r="W37" s="78"/>
      <c r="X37" s="78"/>
      <c r="Y37" s="78"/>
      <c r="Z37" s="78"/>
      <c r="AA37" s="78"/>
      <c r="AB37" s="78"/>
      <c r="AC37" s="78"/>
      <c r="AD37" s="78"/>
    </row>
    <row r="38" spans="1:30" ht="15.75" x14ac:dyDescent="0.25">
      <c r="A38" s="13">
        <v>42064</v>
      </c>
      <c r="B38" s="91">
        <v>31</v>
      </c>
      <c r="C38" s="77">
        <f>122.58</f>
        <v>122.58</v>
      </c>
      <c r="D38" s="77">
        <f>297.941</f>
        <v>297.94099999999997</v>
      </c>
      <c r="E38" s="86">
        <f>89.177</f>
        <v>89.177000000000007</v>
      </c>
      <c r="F38" s="77">
        <f>240.302-40</f>
        <v>200.30199999999999</v>
      </c>
      <c r="G38" s="80">
        <v>40</v>
      </c>
      <c r="H38" s="77">
        <v>0</v>
      </c>
      <c r="I38" s="77">
        <v>0</v>
      </c>
      <c r="J38" s="80">
        <v>100</v>
      </c>
      <c r="K38" s="80">
        <v>300</v>
      </c>
      <c r="L38" s="77">
        <f t="shared" si="0"/>
        <v>1150</v>
      </c>
      <c r="M38" s="88"/>
      <c r="N38" s="77">
        <f>100</f>
        <v>100</v>
      </c>
      <c r="O38" s="80">
        <v>240</v>
      </c>
      <c r="P38" s="80">
        <v>0</v>
      </c>
      <c r="Q38" s="80">
        <f t="shared" si="1"/>
        <v>355</v>
      </c>
      <c r="R38" s="80">
        <f t="shared" si="2"/>
        <v>100</v>
      </c>
      <c r="S38" s="77">
        <f t="shared" si="3"/>
        <v>695</v>
      </c>
      <c r="T38" s="77">
        <f>50</f>
        <v>50</v>
      </c>
      <c r="U38" s="78"/>
      <c r="V38" s="78"/>
      <c r="W38" s="78"/>
      <c r="X38" s="78"/>
      <c r="Y38" s="78"/>
      <c r="Z38" s="78"/>
      <c r="AA38" s="78"/>
      <c r="AB38" s="78"/>
      <c r="AC38" s="78"/>
      <c r="AD38" s="78"/>
    </row>
    <row r="39" spans="1:30" ht="15.75" x14ac:dyDescent="0.25">
      <c r="A39" s="13">
        <v>42095</v>
      </c>
      <c r="B39" s="91">
        <v>30</v>
      </c>
      <c r="C39" s="77">
        <f>141.293</f>
        <v>141.29300000000001</v>
      </c>
      <c r="D39" s="77">
        <f>267.993</f>
        <v>267.99299999999999</v>
      </c>
      <c r="E39" s="86">
        <f>115.016</f>
        <v>115.01600000000001</v>
      </c>
      <c r="F39" s="77">
        <f>314.698-40-25-60-100</f>
        <v>89.697999999999979</v>
      </c>
      <c r="G39" s="80">
        <v>40</v>
      </c>
      <c r="H39" s="77">
        <f t="shared" ref="H39:H45" si="5">25+60+100</f>
        <v>185</v>
      </c>
      <c r="I39" s="77">
        <v>0</v>
      </c>
      <c r="J39" s="80">
        <v>100</v>
      </c>
      <c r="K39" s="80">
        <v>300</v>
      </c>
      <c r="L39" s="77">
        <f t="shared" si="0"/>
        <v>1239</v>
      </c>
      <c r="M39" s="88"/>
      <c r="N39" s="77">
        <f>100</f>
        <v>100</v>
      </c>
      <c r="O39" s="80">
        <v>240</v>
      </c>
      <c r="P39" s="80">
        <f t="shared" ref="P39:P45" si="6">120+40</f>
        <v>160</v>
      </c>
      <c r="Q39" s="80">
        <f t="shared" si="1"/>
        <v>195</v>
      </c>
      <c r="R39" s="80">
        <f t="shared" si="2"/>
        <v>100</v>
      </c>
      <c r="S39" s="77">
        <f t="shared" si="3"/>
        <v>695</v>
      </c>
      <c r="T39" s="77">
        <f>50</f>
        <v>50</v>
      </c>
      <c r="U39" s="78"/>
      <c r="V39" s="78"/>
      <c r="W39" s="78"/>
      <c r="X39" s="78"/>
      <c r="Y39" s="78"/>
      <c r="Z39" s="78"/>
      <c r="AA39" s="78"/>
      <c r="AB39" s="78"/>
      <c r="AC39" s="78"/>
      <c r="AD39" s="78"/>
    </row>
    <row r="40" spans="1:30" ht="15.75" x14ac:dyDescent="0.25">
      <c r="A40" s="13">
        <v>42125</v>
      </c>
      <c r="B40" s="91">
        <v>31</v>
      </c>
      <c r="C40" s="77">
        <f>194.205</f>
        <v>194.20500000000001</v>
      </c>
      <c r="D40" s="77">
        <f>267.466</f>
        <v>267.46600000000001</v>
      </c>
      <c r="E40" s="86">
        <f>133.845</f>
        <v>133.845</v>
      </c>
      <c r="F40" s="77">
        <f>278.484-40-25-60-100</f>
        <v>53.48399999999998</v>
      </c>
      <c r="G40" s="80">
        <v>40</v>
      </c>
      <c r="H40" s="77">
        <f t="shared" si="5"/>
        <v>185</v>
      </c>
      <c r="I40" s="92">
        <v>50</v>
      </c>
      <c r="J40" s="80">
        <v>100</v>
      </c>
      <c r="K40" s="80">
        <v>300</v>
      </c>
      <c r="L40" s="77">
        <f t="shared" si="0"/>
        <v>1324</v>
      </c>
      <c r="M40" s="88"/>
      <c r="N40" s="77">
        <f>75</f>
        <v>75</v>
      </c>
      <c r="O40" s="80">
        <v>240</v>
      </c>
      <c r="P40" s="80">
        <f t="shared" si="6"/>
        <v>160</v>
      </c>
      <c r="Q40" s="80">
        <f t="shared" si="1"/>
        <v>195</v>
      </c>
      <c r="R40" s="80">
        <f t="shared" si="2"/>
        <v>100</v>
      </c>
      <c r="S40" s="77">
        <f t="shared" si="3"/>
        <v>695</v>
      </c>
      <c r="T40" s="77">
        <f>50</f>
        <v>50</v>
      </c>
      <c r="U40" s="78"/>
      <c r="V40" s="78"/>
      <c r="W40" s="78"/>
      <c r="X40" s="78"/>
      <c r="Y40" s="78"/>
      <c r="Z40" s="78"/>
      <c r="AA40" s="78"/>
      <c r="AB40" s="78"/>
      <c r="AC40" s="78"/>
      <c r="AD40" s="78"/>
    </row>
    <row r="41" spans="1:30" ht="15.75" x14ac:dyDescent="0.25">
      <c r="A41" s="13">
        <v>42156</v>
      </c>
      <c r="B41" s="91">
        <v>30</v>
      </c>
      <c r="C41" s="77">
        <f>194.205</f>
        <v>194.20500000000001</v>
      </c>
      <c r="D41" s="77">
        <f>267.466</f>
        <v>267.46600000000001</v>
      </c>
      <c r="E41" s="86">
        <f>133.845</f>
        <v>133.845</v>
      </c>
      <c r="F41" s="77">
        <f>278.484-40-25-60-100</f>
        <v>53.48399999999998</v>
      </c>
      <c r="G41" s="80">
        <v>40</v>
      </c>
      <c r="H41" s="77">
        <f t="shared" si="5"/>
        <v>185</v>
      </c>
      <c r="I41" s="92">
        <v>50</v>
      </c>
      <c r="J41" s="80">
        <v>100</v>
      </c>
      <c r="K41" s="80">
        <v>300</v>
      </c>
      <c r="L41" s="77">
        <f t="shared" si="0"/>
        <v>1324</v>
      </c>
      <c r="M41" s="88"/>
      <c r="N41" s="77">
        <f>30</f>
        <v>30</v>
      </c>
      <c r="O41" s="80">
        <v>240</v>
      </c>
      <c r="P41" s="80">
        <f t="shared" si="6"/>
        <v>160</v>
      </c>
      <c r="Q41" s="80">
        <f t="shared" si="1"/>
        <v>195</v>
      </c>
      <c r="R41" s="80">
        <f t="shared" si="2"/>
        <v>100</v>
      </c>
      <c r="S41" s="77">
        <f t="shared" si="3"/>
        <v>695</v>
      </c>
      <c r="T41" s="77">
        <f>50</f>
        <v>50</v>
      </c>
      <c r="U41" s="78"/>
      <c r="V41" s="78"/>
      <c r="W41" s="78"/>
      <c r="X41" s="78"/>
      <c r="Y41" s="78"/>
      <c r="Z41" s="78"/>
      <c r="AA41" s="78"/>
      <c r="AB41" s="78"/>
      <c r="AC41" s="78"/>
      <c r="AD41" s="78"/>
    </row>
    <row r="42" spans="1:30" ht="15.75" x14ac:dyDescent="0.25">
      <c r="A42" s="13">
        <v>42186</v>
      </c>
      <c r="B42" s="91">
        <v>31</v>
      </c>
      <c r="C42" s="77">
        <f>194.205</f>
        <v>194.20500000000001</v>
      </c>
      <c r="D42" s="77">
        <f>267.466</f>
        <v>267.46600000000001</v>
      </c>
      <c r="E42" s="86">
        <f>133.845</f>
        <v>133.845</v>
      </c>
      <c r="F42" s="77">
        <f>278.484-40-25-60-100</f>
        <v>53.48399999999998</v>
      </c>
      <c r="G42" s="80">
        <v>40</v>
      </c>
      <c r="H42" s="77">
        <f t="shared" si="5"/>
        <v>185</v>
      </c>
      <c r="I42" s="92">
        <v>50</v>
      </c>
      <c r="J42" s="80">
        <v>100</v>
      </c>
      <c r="K42" s="80">
        <v>300</v>
      </c>
      <c r="L42" s="77">
        <f t="shared" si="0"/>
        <v>1324</v>
      </c>
      <c r="M42" s="88"/>
      <c r="N42" s="77">
        <f>30</f>
        <v>30</v>
      </c>
      <c r="O42" s="80">
        <v>240</v>
      </c>
      <c r="P42" s="80">
        <f t="shared" si="6"/>
        <v>160</v>
      </c>
      <c r="Q42" s="80">
        <f t="shared" si="1"/>
        <v>195</v>
      </c>
      <c r="R42" s="80">
        <f t="shared" si="2"/>
        <v>100</v>
      </c>
      <c r="S42" s="77">
        <f t="shared" si="3"/>
        <v>695</v>
      </c>
      <c r="T42" s="77">
        <f>0</f>
        <v>0</v>
      </c>
      <c r="U42" s="78"/>
      <c r="V42" s="78"/>
      <c r="W42" s="78"/>
      <c r="X42" s="78"/>
      <c r="Y42" s="78"/>
      <c r="Z42" s="78"/>
      <c r="AA42" s="78"/>
      <c r="AB42" s="78"/>
      <c r="AC42" s="78"/>
      <c r="AD42" s="78"/>
    </row>
    <row r="43" spans="1:30" ht="15.75" x14ac:dyDescent="0.25">
      <c r="A43" s="13">
        <v>42217</v>
      </c>
      <c r="B43" s="91">
        <v>31</v>
      </c>
      <c r="C43" s="77">
        <f>194.205</f>
        <v>194.20500000000001</v>
      </c>
      <c r="D43" s="77">
        <f>267.466</f>
        <v>267.46600000000001</v>
      </c>
      <c r="E43" s="86">
        <f>133.845</f>
        <v>133.845</v>
      </c>
      <c r="F43" s="77">
        <f>278.484-40-25-60-100</f>
        <v>53.48399999999998</v>
      </c>
      <c r="G43" s="80">
        <v>40</v>
      </c>
      <c r="H43" s="77">
        <f t="shared" si="5"/>
        <v>185</v>
      </c>
      <c r="I43" s="92">
        <v>50</v>
      </c>
      <c r="J43" s="80">
        <v>100</v>
      </c>
      <c r="K43" s="80">
        <v>300</v>
      </c>
      <c r="L43" s="77">
        <f t="shared" si="0"/>
        <v>1324</v>
      </c>
      <c r="M43" s="88"/>
      <c r="N43" s="77">
        <f>30</f>
        <v>30</v>
      </c>
      <c r="O43" s="80">
        <v>240</v>
      </c>
      <c r="P43" s="80">
        <f t="shared" si="6"/>
        <v>160</v>
      </c>
      <c r="Q43" s="80">
        <f t="shared" si="1"/>
        <v>195</v>
      </c>
      <c r="R43" s="80">
        <f t="shared" si="2"/>
        <v>100</v>
      </c>
      <c r="S43" s="77">
        <f t="shared" si="3"/>
        <v>695</v>
      </c>
      <c r="T43" s="77">
        <f>0</f>
        <v>0</v>
      </c>
      <c r="U43" s="78"/>
      <c r="V43" s="78"/>
      <c r="W43" s="78"/>
      <c r="X43" s="78"/>
      <c r="Y43" s="78"/>
      <c r="Z43" s="78"/>
      <c r="AA43" s="78"/>
      <c r="AB43" s="78"/>
      <c r="AC43" s="78"/>
      <c r="AD43" s="78"/>
    </row>
    <row r="44" spans="1:30" ht="15.75" x14ac:dyDescent="0.25">
      <c r="A44" s="13">
        <v>42248</v>
      </c>
      <c r="B44" s="91">
        <v>30</v>
      </c>
      <c r="C44" s="77">
        <f>194.205</f>
        <v>194.20500000000001</v>
      </c>
      <c r="D44" s="77">
        <f>267.466</f>
        <v>267.46600000000001</v>
      </c>
      <c r="E44" s="86">
        <f>133.845</f>
        <v>133.845</v>
      </c>
      <c r="F44" s="77">
        <f>278.484-40-25-60-100</f>
        <v>53.48399999999998</v>
      </c>
      <c r="G44" s="80">
        <v>40</v>
      </c>
      <c r="H44" s="77">
        <f t="shared" si="5"/>
        <v>185</v>
      </c>
      <c r="I44" s="92">
        <v>50</v>
      </c>
      <c r="J44" s="80">
        <v>100</v>
      </c>
      <c r="K44" s="80">
        <v>300</v>
      </c>
      <c r="L44" s="77">
        <f t="shared" si="0"/>
        <v>1324</v>
      </c>
      <c r="M44" s="88"/>
      <c r="N44" s="77">
        <f>30</f>
        <v>30</v>
      </c>
      <c r="O44" s="80">
        <v>240</v>
      </c>
      <c r="P44" s="80">
        <f t="shared" si="6"/>
        <v>160</v>
      </c>
      <c r="Q44" s="80">
        <f t="shared" si="1"/>
        <v>195</v>
      </c>
      <c r="R44" s="80">
        <f t="shared" si="2"/>
        <v>100</v>
      </c>
      <c r="S44" s="77">
        <f t="shared" si="3"/>
        <v>695</v>
      </c>
      <c r="T44" s="77">
        <f>0</f>
        <v>0</v>
      </c>
      <c r="U44" s="78"/>
      <c r="V44" s="78"/>
      <c r="W44" s="78"/>
      <c r="X44" s="78"/>
      <c r="Y44" s="78"/>
      <c r="Z44" s="78"/>
      <c r="AA44" s="78"/>
      <c r="AB44" s="78"/>
      <c r="AC44" s="78"/>
      <c r="AD44" s="78"/>
    </row>
    <row r="45" spans="1:30" ht="15.75" x14ac:dyDescent="0.25">
      <c r="A45" s="13">
        <v>42278</v>
      </c>
      <c r="B45" s="91">
        <v>31</v>
      </c>
      <c r="C45" s="77">
        <f>131.881</f>
        <v>131.881</v>
      </c>
      <c r="D45" s="77">
        <f>277.167</f>
        <v>277.16699999999997</v>
      </c>
      <c r="E45" s="86">
        <f>79.08</f>
        <v>79.08</v>
      </c>
      <c r="F45" s="77">
        <f>350.872-40-25-60-100</f>
        <v>125.87200000000001</v>
      </c>
      <c r="G45" s="80">
        <v>40</v>
      </c>
      <c r="H45" s="77">
        <f t="shared" si="5"/>
        <v>185</v>
      </c>
      <c r="I45" s="77">
        <v>0</v>
      </c>
      <c r="J45" s="80">
        <v>100</v>
      </c>
      <c r="K45" s="80">
        <v>300</v>
      </c>
      <c r="L45" s="77">
        <f t="shared" si="0"/>
        <v>1239</v>
      </c>
      <c r="M45" s="88"/>
      <c r="N45" s="77">
        <f>75</f>
        <v>75</v>
      </c>
      <c r="O45" s="80">
        <v>240</v>
      </c>
      <c r="P45" s="80">
        <f t="shared" si="6"/>
        <v>160</v>
      </c>
      <c r="Q45" s="80">
        <f t="shared" si="1"/>
        <v>195</v>
      </c>
      <c r="R45" s="80">
        <f t="shared" si="2"/>
        <v>100</v>
      </c>
      <c r="S45" s="77">
        <f t="shared" si="3"/>
        <v>695</v>
      </c>
      <c r="T45" s="77">
        <f>0</f>
        <v>0</v>
      </c>
      <c r="U45" s="78"/>
      <c r="V45" s="78"/>
      <c r="W45" s="78"/>
      <c r="X45" s="78"/>
      <c r="Y45" s="78"/>
      <c r="Z45" s="78"/>
      <c r="AA45" s="78"/>
      <c r="AB45" s="78"/>
      <c r="AC45" s="78"/>
      <c r="AD45" s="78"/>
    </row>
    <row r="46" spans="1:30" ht="15.75" x14ac:dyDescent="0.25">
      <c r="A46" s="13">
        <v>42309</v>
      </c>
      <c r="B46" s="91">
        <v>30</v>
      </c>
      <c r="C46" s="77">
        <f>122.58</f>
        <v>122.58</v>
      </c>
      <c r="D46" s="77">
        <f>297.941</f>
        <v>297.94099999999997</v>
      </c>
      <c r="E46" s="86">
        <f>89.177</f>
        <v>89.177000000000007</v>
      </c>
      <c r="F46" s="77">
        <f>240.302-40-60-100</f>
        <v>40.301999999999992</v>
      </c>
      <c r="G46" s="80">
        <v>40</v>
      </c>
      <c r="H46" s="77">
        <f>60+100</f>
        <v>160</v>
      </c>
      <c r="I46" s="77">
        <v>0</v>
      </c>
      <c r="J46" s="80">
        <v>100</v>
      </c>
      <c r="K46" s="80">
        <v>300</v>
      </c>
      <c r="L46" s="77">
        <f t="shared" si="0"/>
        <v>1150</v>
      </c>
      <c r="M46" s="88"/>
      <c r="N46" s="77">
        <f>100</f>
        <v>100</v>
      </c>
      <c r="O46" s="80">
        <v>240</v>
      </c>
      <c r="P46" s="80">
        <v>40</v>
      </c>
      <c r="Q46" s="80">
        <f t="shared" si="1"/>
        <v>315</v>
      </c>
      <c r="R46" s="80">
        <f t="shared" si="2"/>
        <v>100</v>
      </c>
      <c r="S46" s="77">
        <f t="shared" si="3"/>
        <v>695</v>
      </c>
      <c r="T46" s="77">
        <f>50</f>
        <v>50</v>
      </c>
      <c r="U46" s="78"/>
      <c r="V46" s="78"/>
      <c r="W46" s="78"/>
      <c r="X46" s="78"/>
      <c r="Y46" s="78"/>
      <c r="Z46" s="78"/>
      <c r="AA46" s="78"/>
      <c r="AB46" s="78"/>
      <c r="AC46" s="78"/>
      <c r="AD46" s="78"/>
    </row>
    <row r="47" spans="1:30" ht="15.75" x14ac:dyDescent="0.25">
      <c r="A47" s="13">
        <v>42339</v>
      </c>
      <c r="B47" s="91">
        <v>31</v>
      </c>
      <c r="C47" s="77">
        <f>122.58</f>
        <v>122.58</v>
      </c>
      <c r="D47" s="77">
        <f>297.941</f>
        <v>297.94099999999997</v>
      </c>
      <c r="E47" s="86">
        <f>89.177</f>
        <v>89.177000000000007</v>
      </c>
      <c r="F47" s="77">
        <f>240.302-40-60-100</f>
        <v>40.301999999999992</v>
      </c>
      <c r="G47" s="80">
        <v>40</v>
      </c>
      <c r="H47" s="77">
        <f>60+100</f>
        <v>160</v>
      </c>
      <c r="I47" s="77">
        <v>0</v>
      </c>
      <c r="J47" s="80">
        <v>100</v>
      </c>
      <c r="K47" s="80">
        <v>300</v>
      </c>
      <c r="L47" s="77">
        <f t="shared" si="0"/>
        <v>1150</v>
      </c>
      <c r="M47" s="88"/>
      <c r="N47" s="77">
        <f>100</f>
        <v>100</v>
      </c>
      <c r="O47" s="80">
        <v>240</v>
      </c>
      <c r="P47" s="80">
        <v>40</v>
      </c>
      <c r="Q47" s="80">
        <f t="shared" si="1"/>
        <v>315</v>
      </c>
      <c r="R47" s="80">
        <f t="shared" si="2"/>
        <v>100</v>
      </c>
      <c r="S47" s="77">
        <f t="shared" si="3"/>
        <v>695</v>
      </c>
      <c r="T47" s="77">
        <f>50</f>
        <v>50</v>
      </c>
      <c r="U47" s="78"/>
      <c r="V47" s="78"/>
      <c r="W47" s="78"/>
      <c r="X47" s="78"/>
      <c r="Y47" s="78"/>
      <c r="Z47" s="78"/>
      <c r="AA47" s="78"/>
      <c r="AB47" s="78"/>
      <c r="AC47" s="78"/>
      <c r="AD47" s="78"/>
    </row>
    <row r="48" spans="1:30" ht="15.75" x14ac:dyDescent="0.25">
      <c r="A48" s="13">
        <v>42370</v>
      </c>
      <c r="B48" s="91">
        <v>31</v>
      </c>
      <c r="C48" s="77">
        <f>122.58</f>
        <v>122.58</v>
      </c>
      <c r="D48" s="77">
        <f>297.941</f>
        <v>297.94099999999997</v>
      </c>
      <c r="E48" s="86">
        <f>89.177</f>
        <v>89.177000000000007</v>
      </c>
      <c r="F48" s="77">
        <f>240.302-40-60-100</f>
        <v>40.301999999999992</v>
      </c>
      <c r="G48" s="80">
        <v>40</v>
      </c>
      <c r="H48" s="77">
        <f>60+100</f>
        <v>160</v>
      </c>
      <c r="I48" s="77">
        <v>0</v>
      </c>
      <c r="J48" s="80">
        <v>100</v>
      </c>
      <c r="K48" s="80">
        <v>300</v>
      </c>
      <c r="L48" s="77">
        <f t="shared" si="0"/>
        <v>1150</v>
      </c>
      <c r="M48" s="88"/>
      <c r="N48" s="77">
        <f>100</f>
        <v>100</v>
      </c>
      <c r="O48" s="80">
        <v>240</v>
      </c>
      <c r="P48" s="80">
        <v>40</v>
      </c>
      <c r="Q48" s="80">
        <f t="shared" si="1"/>
        <v>315</v>
      </c>
      <c r="R48" s="80">
        <f t="shared" si="2"/>
        <v>100</v>
      </c>
      <c r="S48" s="77">
        <f t="shared" si="3"/>
        <v>695</v>
      </c>
      <c r="T48" s="77">
        <f>50</f>
        <v>50</v>
      </c>
      <c r="U48" s="78"/>
      <c r="V48" s="78"/>
      <c r="W48" s="78"/>
      <c r="X48" s="78"/>
      <c r="Y48" s="78"/>
      <c r="Z48" s="78"/>
      <c r="AA48" s="78"/>
      <c r="AB48" s="78"/>
      <c r="AC48" s="78"/>
      <c r="AD48" s="78"/>
    </row>
    <row r="49" spans="1:30" ht="15.75" x14ac:dyDescent="0.25">
      <c r="A49" s="13">
        <v>42401</v>
      </c>
      <c r="B49" s="91">
        <v>29</v>
      </c>
      <c r="C49" s="77">
        <f>122.58</f>
        <v>122.58</v>
      </c>
      <c r="D49" s="77">
        <f>297.941</f>
        <v>297.94099999999997</v>
      </c>
      <c r="E49" s="86">
        <f>89.177</f>
        <v>89.177000000000007</v>
      </c>
      <c r="F49" s="77">
        <f>240.302-40-60-100</f>
        <v>40.301999999999992</v>
      </c>
      <c r="G49" s="80">
        <v>40</v>
      </c>
      <c r="H49" s="77">
        <f>60+100</f>
        <v>160</v>
      </c>
      <c r="I49" s="77">
        <v>0</v>
      </c>
      <c r="J49" s="80">
        <v>100</v>
      </c>
      <c r="K49" s="80">
        <v>300</v>
      </c>
      <c r="L49" s="77">
        <f t="shared" si="0"/>
        <v>1150</v>
      </c>
      <c r="M49" s="88"/>
      <c r="N49" s="77">
        <f>100</f>
        <v>100</v>
      </c>
      <c r="O49" s="80">
        <v>240</v>
      </c>
      <c r="P49" s="80">
        <v>40</v>
      </c>
      <c r="Q49" s="80">
        <f t="shared" si="1"/>
        <v>315</v>
      </c>
      <c r="R49" s="80">
        <f t="shared" si="2"/>
        <v>100</v>
      </c>
      <c r="S49" s="77">
        <f t="shared" si="3"/>
        <v>695</v>
      </c>
      <c r="T49" s="77">
        <f>50</f>
        <v>50</v>
      </c>
      <c r="U49" s="78"/>
      <c r="V49" s="78"/>
      <c r="W49" s="78"/>
      <c r="X49" s="78"/>
      <c r="Y49" s="78"/>
      <c r="Z49" s="78"/>
      <c r="AA49" s="78"/>
      <c r="AB49" s="78"/>
      <c r="AC49" s="78"/>
      <c r="AD49" s="78"/>
    </row>
    <row r="50" spans="1:30" ht="15.75" x14ac:dyDescent="0.25">
      <c r="A50" s="13">
        <v>42430</v>
      </c>
      <c r="B50" s="91">
        <v>31</v>
      </c>
      <c r="C50" s="77">
        <f>122.58</f>
        <v>122.58</v>
      </c>
      <c r="D50" s="77">
        <f>297.941</f>
        <v>297.94099999999997</v>
      </c>
      <c r="E50" s="86">
        <f>89.177</f>
        <v>89.177000000000007</v>
      </c>
      <c r="F50" s="77">
        <f>240.302-40-60-100</f>
        <v>40.301999999999992</v>
      </c>
      <c r="G50" s="80">
        <v>40</v>
      </c>
      <c r="H50" s="77">
        <f>60+100</f>
        <v>160</v>
      </c>
      <c r="I50" s="77">
        <v>0</v>
      </c>
      <c r="J50" s="80">
        <v>100</v>
      </c>
      <c r="K50" s="80">
        <v>300</v>
      </c>
      <c r="L50" s="77">
        <f t="shared" si="0"/>
        <v>1150</v>
      </c>
      <c r="M50" s="88"/>
      <c r="N50" s="77">
        <f>100</f>
        <v>100</v>
      </c>
      <c r="O50" s="80">
        <v>240</v>
      </c>
      <c r="P50" s="80">
        <v>40</v>
      </c>
      <c r="Q50" s="80">
        <f t="shared" si="1"/>
        <v>315</v>
      </c>
      <c r="R50" s="80">
        <f t="shared" si="2"/>
        <v>100</v>
      </c>
      <c r="S50" s="77">
        <f t="shared" si="3"/>
        <v>695</v>
      </c>
      <c r="T50" s="77">
        <f>50</f>
        <v>50</v>
      </c>
      <c r="U50" s="78"/>
      <c r="V50" s="78"/>
      <c r="W50" s="78"/>
      <c r="X50" s="78"/>
      <c r="Y50" s="78"/>
      <c r="Z50" s="78"/>
      <c r="AA50" s="78"/>
      <c r="AB50" s="78"/>
      <c r="AC50" s="78"/>
      <c r="AD50" s="78"/>
    </row>
    <row r="51" spans="1:30" ht="15.75" x14ac:dyDescent="0.25">
      <c r="A51" s="13">
        <v>42461</v>
      </c>
      <c r="B51" s="91">
        <v>30</v>
      </c>
      <c r="C51" s="77">
        <f>141.293</f>
        <v>141.29300000000001</v>
      </c>
      <c r="D51" s="77">
        <f>267.993</f>
        <v>267.99299999999999</v>
      </c>
      <c r="E51" s="86">
        <f>115.016</f>
        <v>115.01600000000001</v>
      </c>
      <c r="F51" s="77">
        <f>314.698-40-25-60-100</f>
        <v>89.697999999999979</v>
      </c>
      <c r="G51" s="80">
        <v>40</v>
      </c>
      <c r="H51" s="77">
        <f t="shared" ref="H51:H57" si="7">25+60+100</f>
        <v>185</v>
      </c>
      <c r="I51" s="77">
        <v>0</v>
      </c>
      <c r="J51" s="80">
        <v>100</v>
      </c>
      <c r="K51" s="80">
        <v>300</v>
      </c>
      <c r="L51" s="77">
        <f t="shared" si="0"/>
        <v>1239</v>
      </c>
      <c r="M51" s="88"/>
      <c r="N51" s="77">
        <f>100</f>
        <v>100</v>
      </c>
      <c r="O51" s="80">
        <v>240</v>
      </c>
      <c r="P51" s="80">
        <v>160</v>
      </c>
      <c r="Q51" s="80">
        <f t="shared" si="1"/>
        <v>195</v>
      </c>
      <c r="R51" s="80">
        <f t="shared" si="2"/>
        <v>100</v>
      </c>
      <c r="S51" s="77">
        <f t="shared" si="3"/>
        <v>695</v>
      </c>
      <c r="T51" s="77">
        <f>50</f>
        <v>50</v>
      </c>
      <c r="U51" s="78"/>
      <c r="V51" s="78"/>
      <c r="W51" s="78"/>
      <c r="X51" s="78"/>
      <c r="Y51" s="78"/>
      <c r="Z51" s="78"/>
      <c r="AA51" s="78"/>
      <c r="AB51" s="78"/>
      <c r="AC51" s="78"/>
      <c r="AD51" s="78"/>
    </row>
    <row r="52" spans="1:30" ht="15.75" x14ac:dyDescent="0.25">
      <c r="A52" s="13">
        <v>42491</v>
      </c>
      <c r="B52" s="91">
        <v>31</v>
      </c>
      <c r="C52" s="77">
        <f>194.205</f>
        <v>194.20500000000001</v>
      </c>
      <c r="D52" s="77">
        <f>267.466</f>
        <v>267.46600000000001</v>
      </c>
      <c r="E52" s="86">
        <f>133.845</f>
        <v>133.845</v>
      </c>
      <c r="F52" s="77">
        <f>278.484-40-25-60-100</f>
        <v>53.48399999999998</v>
      </c>
      <c r="G52" s="80">
        <v>40</v>
      </c>
      <c r="H52" s="77">
        <f t="shared" si="7"/>
        <v>185</v>
      </c>
      <c r="I52" s="77">
        <f t="shared" ref="I52:I115" si="8">400-J52-K52</f>
        <v>0</v>
      </c>
      <c r="J52" s="80">
        <v>100</v>
      </c>
      <c r="K52" s="80">
        <v>300</v>
      </c>
      <c r="L52" s="77">
        <f t="shared" si="0"/>
        <v>1274</v>
      </c>
      <c r="M52" s="88"/>
      <c r="N52" s="77">
        <f>75</f>
        <v>75</v>
      </c>
      <c r="O52" s="80">
        <v>240</v>
      </c>
      <c r="P52" s="80">
        <v>160</v>
      </c>
      <c r="Q52" s="80">
        <f t="shared" si="1"/>
        <v>195</v>
      </c>
      <c r="R52" s="80">
        <f t="shared" si="2"/>
        <v>100</v>
      </c>
      <c r="S52" s="77">
        <f t="shared" si="3"/>
        <v>695</v>
      </c>
      <c r="T52" s="77">
        <f>50</f>
        <v>50</v>
      </c>
      <c r="U52" s="78"/>
      <c r="V52" s="78"/>
      <c r="W52" s="78"/>
      <c r="X52" s="78"/>
      <c r="Y52" s="78"/>
      <c r="Z52" s="78"/>
      <c r="AA52" s="78"/>
      <c r="AB52" s="78"/>
      <c r="AC52" s="78"/>
      <c r="AD52" s="78"/>
    </row>
    <row r="53" spans="1:30" ht="15.75" x14ac:dyDescent="0.25">
      <c r="A53" s="13">
        <v>42522</v>
      </c>
      <c r="B53" s="91">
        <v>30</v>
      </c>
      <c r="C53" s="77">
        <f>194.205</f>
        <v>194.20500000000001</v>
      </c>
      <c r="D53" s="77">
        <f>267.466</f>
        <v>267.46600000000001</v>
      </c>
      <c r="E53" s="86">
        <f>133.845</f>
        <v>133.845</v>
      </c>
      <c r="F53" s="77">
        <f>278.484-40-25-60-100</f>
        <v>53.48399999999998</v>
      </c>
      <c r="G53" s="80">
        <v>40</v>
      </c>
      <c r="H53" s="77">
        <f t="shared" si="7"/>
        <v>185</v>
      </c>
      <c r="I53" s="77">
        <f t="shared" si="8"/>
        <v>0</v>
      </c>
      <c r="J53" s="80">
        <v>100</v>
      </c>
      <c r="K53" s="80">
        <v>300</v>
      </c>
      <c r="L53" s="77">
        <f t="shared" si="0"/>
        <v>1274</v>
      </c>
      <c r="M53" s="88"/>
      <c r="N53" s="77">
        <f>30</f>
        <v>30</v>
      </c>
      <c r="O53" s="80">
        <v>240</v>
      </c>
      <c r="P53" s="80">
        <v>160</v>
      </c>
      <c r="Q53" s="80">
        <f t="shared" si="1"/>
        <v>195</v>
      </c>
      <c r="R53" s="80">
        <f t="shared" si="2"/>
        <v>100</v>
      </c>
      <c r="S53" s="77">
        <f t="shared" si="3"/>
        <v>695</v>
      </c>
      <c r="T53" s="77">
        <f>50</f>
        <v>50</v>
      </c>
      <c r="U53" s="78"/>
      <c r="V53" s="78"/>
      <c r="W53" s="78"/>
      <c r="X53" s="78"/>
      <c r="Y53" s="78"/>
      <c r="Z53" s="78"/>
      <c r="AA53" s="78"/>
      <c r="AB53" s="78"/>
      <c r="AC53" s="78"/>
      <c r="AD53" s="78"/>
    </row>
    <row r="54" spans="1:30" ht="15.75" x14ac:dyDescent="0.25">
      <c r="A54" s="13">
        <v>42552</v>
      </c>
      <c r="B54" s="91">
        <v>31</v>
      </c>
      <c r="C54" s="77">
        <f>194.205</f>
        <v>194.20500000000001</v>
      </c>
      <c r="D54" s="77">
        <f>267.466</f>
        <v>267.46600000000001</v>
      </c>
      <c r="E54" s="86">
        <f>133.845</f>
        <v>133.845</v>
      </c>
      <c r="F54" s="77">
        <f>278.484-40-25-60-100</f>
        <v>53.48399999999998</v>
      </c>
      <c r="G54" s="80">
        <v>40</v>
      </c>
      <c r="H54" s="77">
        <f t="shared" si="7"/>
        <v>185</v>
      </c>
      <c r="I54" s="77">
        <f t="shared" si="8"/>
        <v>0</v>
      </c>
      <c r="J54" s="80">
        <v>100</v>
      </c>
      <c r="K54" s="80">
        <v>300</v>
      </c>
      <c r="L54" s="77">
        <f t="shared" si="0"/>
        <v>1274</v>
      </c>
      <c r="M54" s="88"/>
      <c r="N54" s="77">
        <f>30</f>
        <v>30</v>
      </c>
      <c r="O54" s="80">
        <v>240</v>
      </c>
      <c r="P54" s="80">
        <v>160</v>
      </c>
      <c r="Q54" s="80">
        <f t="shared" si="1"/>
        <v>195</v>
      </c>
      <c r="R54" s="80">
        <f t="shared" si="2"/>
        <v>100</v>
      </c>
      <c r="S54" s="77">
        <f t="shared" si="3"/>
        <v>695</v>
      </c>
      <c r="T54" s="77">
        <f>0</f>
        <v>0</v>
      </c>
      <c r="U54" s="78"/>
      <c r="V54" s="78"/>
      <c r="W54" s="78"/>
      <c r="X54" s="78"/>
      <c r="Y54" s="78"/>
      <c r="Z54" s="78"/>
      <c r="AA54" s="78"/>
      <c r="AB54" s="78"/>
      <c r="AC54" s="78"/>
      <c r="AD54" s="78"/>
    </row>
    <row r="55" spans="1:30" ht="15.75" x14ac:dyDescent="0.25">
      <c r="A55" s="13">
        <v>42583</v>
      </c>
      <c r="B55" s="91">
        <v>31</v>
      </c>
      <c r="C55" s="77">
        <f>194.205</f>
        <v>194.20500000000001</v>
      </c>
      <c r="D55" s="77">
        <f>267.466</f>
        <v>267.46600000000001</v>
      </c>
      <c r="E55" s="86">
        <f>133.845</f>
        <v>133.845</v>
      </c>
      <c r="F55" s="77">
        <f>278.484-40-25-60-100</f>
        <v>53.48399999999998</v>
      </c>
      <c r="G55" s="80">
        <v>40</v>
      </c>
      <c r="H55" s="77">
        <f t="shared" si="7"/>
        <v>185</v>
      </c>
      <c r="I55" s="77">
        <f t="shared" si="8"/>
        <v>0</v>
      </c>
      <c r="J55" s="80">
        <v>100</v>
      </c>
      <c r="K55" s="80">
        <v>300</v>
      </c>
      <c r="L55" s="77">
        <f t="shared" si="0"/>
        <v>1274</v>
      </c>
      <c r="M55" s="88"/>
      <c r="N55" s="77">
        <f>30</f>
        <v>30</v>
      </c>
      <c r="O55" s="80">
        <v>240</v>
      </c>
      <c r="P55" s="80">
        <v>160</v>
      </c>
      <c r="Q55" s="80">
        <f t="shared" si="1"/>
        <v>195</v>
      </c>
      <c r="R55" s="80">
        <f t="shared" si="2"/>
        <v>100</v>
      </c>
      <c r="S55" s="77">
        <f t="shared" si="3"/>
        <v>695</v>
      </c>
      <c r="T55" s="77">
        <f>0</f>
        <v>0</v>
      </c>
      <c r="U55" s="78"/>
      <c r="V55" s="78"/>
      <c r="W55" s="78"/>
      <c r="X55" s="78"/>
      <c r="Y55" s="78"/>
      <c r="Z55" s="78"/>
      <c r="AA55" s="78"/>
      <c r="AB55" s="78"/>
      <c r="AC55" s="78"/>
      <c r="AD55" s="78"/>
    </row>
    <row r="56" spans="1:30" ht="15.75" x14ac:dyDescent="0.25">
      <c r="A56" s="13">
        <v>42614</v>
      </c>
      <c r="B56" s="91">
        <v>30</v>
      </c>
      <c r="C56" s="77">
        <f>194.205</f>
        <v>194.20500000000001</v>
      </c>
      <c r="D56" s="77">
        <f>267.466</f>
        <v>267.46600000000001</v>
      </c>
      <c r="E56" s="86">
        <f>133.845</f>
        <v>133.845</v>
      </c>
      <c r="F56" s="77">
        <f>278.484-40-25-60-100</f>
        <v>53.48399999999998</v>
      </c>
      <c r="G56" s="80">
        <v>40</v>
      </c>
      <c r="H56" s="77">
        <f t="shared" si="7"/>
        <v>185</v>
      </c>
      <c r="I56" s="77">
        <f t="shared" si="8"/>
        <v>0</v>
      </c>
      <c r="J56" s="80">
        <v>100</v>
      </c>
      <c r="K56" s="80">
        <v>300</v>
      </c>
      <c r="L56" s="77">
        <f t="shared" si="0"/>
        <v>1274</v>
      </c>
      <c r="M56" s="88"/>
      <c r="N56" s="77">
        <f>30</f>
        <v>30</v>
      </c>
      <c r="O56" s="80">
        <v>240</v>
      </c>
      <c r="P56" s="80">
        <v>160</v>
      </c>
      <c r="Q56" s="80">
        <f t="shared" si="1"/>
        <v>195</v>
      </c>
      <c r="R56" s="80">
        <f t="shared" si="2"/>
        <v>100</v>
      </c>
      <c r="S56" s="77">
        <f t="shared" si="3"/>
        <v>695</v>
      </c>
      <c r="T56" s="77">
        <f>0</f>
        <v>0</v>
      </c>
      <c r="U56" s="78"/>
      <c r="V56" s="78"/>
      <c r="W56" s="78"/>
      <c r="X56" s="78"/>
      <c r="Y56" s="78"/>
      <c r="Z56" s="78"/>
      <c r="AA56" s="78"/>
      <c r="AB56" s="78"/>
      <c r="AC56" s="78"/>
      <c r="AD56" s="78"/>
    </row>
    <row r="57" spans="1:30" ht="15.75" x14ac:dyDescent="0.25">
      <c r="A57" s="13">
        <v>42644</v>
      </c>
      <c r="B57" s="91">
        <v>31</v>
      </c>
      <c r="C57" s="77">
        <f>131.881</f>
        <v>131.881</v>
      </c>
      <c r="D57" s="77">
        <f>277.167</f>
        <v>277.16699999999997</v>
      </c>
      <c r="E57" s="86">
        <f>79.08</f>
        <v>79.08</v>
      </c>
      <c r="F57" s="77">
        <f>350.872-40-25-60-100</f>
        <v>125.87200000000001</v>
      </c>
      <c r="G57" s="80">
        <v>40</v>
      </c>
      <c r="H57" s="77">
        <f t="shared" si="7"/>
        <v>185</v>
      </c>
      <c r="I57" s="77">
        <f t="shared" si="8"/>
        <v>0</v>
      </c>
      <c r="J57" s="80">
        <v>100</v>
      </c>
      <c r="K57" s="80">
        <v>300</v>
      </c>
      <c r="L57" s="77">
        <f t="shared" si="0"/>
        <v>1239</v>
      </c>
      <c r="M57" s="88"/>
      <c r="N57" s="77">
        <f>75</f>
        <v>75</v>
      </c>
      <c r="O57" s="80">
        <v>240</v>
      </c>
      <c r="P57" s="80">
        <v>160</v>
      </c>
      <c r="Q57" s="80">
        <f t="shared" si="1"/>
        <v>195</v>
      </c>
      <c r="R57" s="80">
        <f t="shared" si="2"/>
        <v>100</v>
      </c>
      <c r="S57" s="77">
        <f t="shared" si="3"/>
        <v>695</v>
      </c>
      <c r="T57" s="77">
        <f>0</f>
        <v>0</v>
      </c>
      <c r="U57" s="78"/>
      <c r="V57" s="78"/>
      <c r="W57" s="78"/>
      <c r="X57" s="78"/>
      <c r="Y57" s="78"/>
      <c r="Z57" s="78"/>
      <c r="AA57" s="78"/>
      <c r="AB57" s="78"/>
      <c r="AC57" s="78"/>
      <c r="AD57" s="78"/>
    </row>
    <row r="58" spans="1:30" ht="15.75" x14ac:dyDescent="0.25">
      <c r="A58" s="13">
        <v>42675</v>
      </c>
      <c r="B58" s="91">
        <v>30</v>
      </c>
      <c r="C58" s="77">
        <f>122.58</f>
        <v>122.58</v>
      </c>
      <c r="D58" s="77">
        <f>297.941</f>
        <v>297.94099999999997</v>
      </c>
      <c r="E58" s="86">
        <f>89.177</f>
        <v>89.177000000000007</v>
      </c>
      <c r="F58" s="77">
        <f>240.302-40-60-100</f>
        <v>40.301999999999992</v>
      </c>
      <c r="G58" s="80">
        <v>40</v>
      </c>
      <c r="H58" s="77">
        <f>60+100</f>
        <v>160</v>
      </c>
      <c r="I58" s="77">
        <f t="shared" si="8"/>
        <v>0</v>
      </c>
      <c r="J58" s="80">
        <v>100</v>
      </c>
      <c r="K58" s="80">
        <v>300</v>
      </c>
      <c r="L58" s="77">
        <f t="shared" si="0"/>
        <v>1150</v>
      </c>
      <c r="M58" s="88"/>
      <c r="N58" s="77">
        <f>100</f>
        <v>100</v>
      </c>
      <c r="O58" s="80">
        <v>240</v>
      </c>
      <c r="P58" s="80">
        <v>40</v>
      </c>
      <c r="Q58" s="80">
        <f t="shared" si="1"/>
        <v>315</v>
      </c>
      <c r="R58" s="80">
        <f t="shared" si="2"/>
        <v>100</v>
      </c>
      <c r="S58" s="77">
        <f t="shared" si="3"/>
        <v>695</v>
      </c>
      <c r="T58" s="77">
        <f>50</f>
        <v>50</v>
      </c>
      <c r="U58" s="78"/>
      <c r="V58" s="78"/>
      <c r="W58" s="78"/>
      <c r="X58" s="78"/>
      <c r="Y58" s="78"/>
      <c r="Z58" s="78"/>
      <c r="AA58" s="78"/>
      <c r="AB58" s="78"/>
      <c r="AC58" s="78"/>
      <c r="AD58" s="78"/>
    </row>
    <row r="59" spans="1:30" ht="15.75" x14ac:dyDescent="0.25">
      <c r="A59" s="13">
        <v>42705</v>
      </c>
      <c r="B59" s="91">
        <v>31</v>
      </c>
      <c r="C59" s="77">
        <f>122.58</f>
        <v>122.58</v>
      </c>
      <c r="D59" s="77">
        <f>297.941</f>
        <v>297.94099999999997</v>
      </c>
      <c r="E59" s="86">
        <f>89.177</f>
        <v>89.177000000000007</v>
      </c>
      <c r="F59" s="77">
        <f>240.302-40-60-100</f>
        <v>40.301999999999992</v>
      </c>
      <c r="G59" s="80">
        <v>40</v>
      </c>
      <c r="H59" s="77">
        <f>60+100</f>
        <v>160</v>
      </c>
      <c r="I59" s="77">
        <f t="shared" si="8"/>
        <v>0</v>
      </c>
      <c r="J59" s="80">
        <v>100</v>
      </c>
      <c r="K59" s="80">
        <v>300</v>
      </c>
      <c r="L59" s="77">
        <f t="shared" si="0"/>
        <v>1150</v>
      </c>
      <c r="M59" s="88"/>
      <c r="N59" s="77">
        <f>100</f>
        <v>100</v>
      </c>
      <c r="O59" s="80">
        <v>240</v>
      </c>
      <c r="P59" s="80">
        <v>40</v>
      </c>
      <c r="Q59" s="80">
        <f t="shared" si="1"/>
        <v>315</v>
      </c>
      <c r="R59" s="80">
        <f t="shared" si="2"/>
        <v>100</v>
      </c>
      <c r="S59" s="77">
        <f t="shared" si="3"/>
        <v>695</v>
      </c>
      <c r="T59" s="77">
        <f>50</f>
        <v>50</v>
      </c>
      <c r="U59" s="78"/>
      <c r="V59" s="78"/>
      <c r="W59" s="78"/>
      <c r="X59" s="78"/>
      <c r="Y59" s="78"/>
      <c r="Z59" s="78"/>
      <c r="AA59" s="78"/>
      <c r="AB59" s="78"/>
      <c r="AC59" s="78"/>
      <c r="AD59" s="78"/>
    </row>
    <row r="60" spans="1:30" ht="15.75" x14ac:dyDescent="0.25">
      <c r="A60" s="13">
        <v>42736</v>
      </c>
      <c r="B60" s="91">
        <v>31</v>
      </c>
      <c r="C60" s="77">
        <f>122.58</f>
        <v>122.58</v>
      </c>
      <c r="D60" s="77">
        <f>297.941</f>
        <v>297.94099999999997</v>
      </c>
      <c r="E60" s="86">
        <f>89.177</f>
        <v>89.177000000000007</v>
      </c>
      <c r="F60" s="77">
        <f>240.302-40-60-100</f>
        <v>40.301999999999992</v>
      </c>
      <c r="G60" s="80">
        <v>40</v>
      </c>
      <c r="H60" s="77">
        <f>60+100</f>
        <v>160</v>
      </c>
      <c r="I60" s="77">
        <f t="shared" si="8"/>
        <v>0</v>
      </c>
      <c r="J60" s="80">
        <v>100</v>
      </c>
      <c r="K60" s="80">
        <v>300</v>
      </c>
      <c r="L60" s="77">
        <f t="shared" si="0"/>
        <v>1150</v>
      </c>
      <c r="M60" s="88">
        <v>400</v>
      </c>
      <c r="N60" s="77">
        <f>100</f>
        <v>100</v>
      </c>
      <c r="O60" s="80">
        <v>240</v>
      </c>
      <c r="P60" s="80">
        <v>40</v>
      </c>
      <c r="Q60" s="80">
        <f t="shared" si="1"/>
        <v>315</v>
      </c>
      <c r="R60" s="80">
        <f t="shared" si="2"/>
        <v>100</v>
      </c>
      <c r="S60" s="77">
        <f t="shared" si="3"/>
        <v>695</v>
      </c>
      <c r="T60" s="77">
        <f>50</f>
        <v>50</v>
      </c>
      <c r="U60" s="78"/>
      <c r="V60" s="78"/>
      <c r="W60" s="78"/>
      <c r="X60" s="78"/>
      <c r="Y60" s="78"/>
      <c r="Z60" s="78"/>
      <c r="AA60" s="78"/>
      <c r="AB60" s="78"/>
      <c r="AC60" s="78"/>
      <c r="AD60" s="78"/>
    </row>
    <row r="61" spans="1:30" ht="15.75" x14ac:dyDescent="0.25">
      <c r="A61" s="13">
        <v>42767</v>
      </c>
      <c r="B61" s="91">
        <v>28</v>
      </c>
      <c r="C61" s="77">
        <f>122.58</f>
        <v>122.58</v>
      </c>
      <c r="D61" s="77">
        <f>297.941</f>
        <v>297.94099999999997</v>
      </c>
      <c r="E61" s="86">
        <f>89.177</f>
        <v>89.177000000000007</v>
      </c>
      <c r="F61" s="77">
        <f>240.302-40-60-100</f>
        <v>40.301999999999992</v>
      </c>
      <c r="G61" s="80">
        <v>40</v>
      </c>
      <c r="H61" s="77">
        <f>60+100</f>
        <v>160</v>
      </c>
      <c r="I61" s="77">
        <f t="shared" si="8"/>
        <v>0</v>
      </c>
      <c r="J61" s="80">
        <v>100</v>
      </c>
      <c r="K61" s="80">
        <v>300</v>
      </c>
      <c r="L61" s="77">
        <f t="shared" si="0"/>
        <v>1150</v>
      </c>
      <c r="M61" s="88">
        <v>400</v>
      </c>
      <c r="N61" s="77">
        <f>100</f>
        <v>100</v>
      </c>
      <c r="O61" s="80">
        <v>240</v>
      </c>
      <c r="P61" s="80">
        <v>40</v>
      </c>
      <c r="Q61" s="80">
        <f t="shared" si="1"/>
        <v>315</v>
      </c>
      <c r="R61" s="80">
        <f t="shared" si="2"/>
        <v>100</v>
      </c>
      <c r="S61" s="77">
        <f t="shared" si="3"/>
        <v>695</v>
      </c>
      <c r="T61" s="77">
        <f>50</f>
        <v>50</v>
      </c>
      <c r="U61" s="78"/>
      <c r="V61" s="78"/>
      <c r="W61" s="78"/>
      <c r="X61" s="78"/>
      <c r="Y61" s="78"/>
      <c r="Z61" s="78"/>
      <c r="AA61" s="78"/>
      <c r="AB61" s="78"/>
      <c r="AC61" s="78"/>
      <c r="AD61" s="78"/>
    </row>
    <row r="62" spans="1:30" ht="15.75" x14ac:dyDescent="0.25">
      <c r="A62" s="13">
        <v>42795</v>
      </c>
      <c r="B62" s="91">
        <v>31</v>
      </c>
      <c r="C62" s="77">
        <f>122.58</f>
        <v>122.58</v>
      </c>
      <c r="D62" s="77">
        <f>297.941</f>
        <v>297.94099999999997</v>
      </c>
      <c r="E62" s="86">
        <f>89.177</f>
        <v>89.177000000000007</v>
      </c>
      <c r="F62" s="77">
        <f>240.302-40-60-100</f>
        <v>40.301999999999992</v>
      </c>
      <c r="G62" s="80">
        <v>40</v>
      </c>
      <c r="H62" s="77">
        <f>60+100</f>
        <v>160</v>
      </c>
      <c r="I62" s="77">
        <f t="shared" si="8"/>
        <v>0</v>
      </c>
      <c r="J62" s="80">
        <v>100</v>
      </c>
      <c r="K62" s="80">
        <v>300</v>
      </c>
      <c r="L62" s="77">
        <f t="shared" si="0"/>
        <v>1150</v>
      </c>
      <c r="M62" s="88">
        <v>400</v>
      </c>
      <c r="N62" s="77">
        <f>100</f>
        <v>100</v>
      </c>
      <c r="O62" s="80">
        <v>240</v>
      </c>
      <c r="P62" s="80">
        <v>40</v>
      </c>
      <c r="Q62" s="80">
        <f t="shared" si="1"/>
        <v>315</v>
      </c>
      <c r="R62" s="80">
        <f t="shared" si="2"/>
        <v>100</v>
      </c>
      <c r="S62" s="77">
        <f t="shared" si="3"/>
        <v>695</v>
      </c>
      <c r="T62" s="77">
        <f>50</f>
        <v>50</v>
      </c>
      <c r="U62" s="78"/>
      <c r="V62" s="78"/>
      <c r="W62" s="78"/>
      <c r="X62" s="78"/>
      <c r="Y62" s="78"/>
      <c r="Z62" s="78"/>
      <c r="AA62" s="78"/>
      <c r="AB62" s="78"/>
      <c r="AC62" s="78"/>
      <c r="AD62" s="78"/>
    </row>
    <row r="63" spans="1:30" ht="15.75" x14ac:dyDescent="0.25">
      <c r="A63" s="13">
        <v>42826</v>
      </c>
      <c r="B63" s="91">
        <v>30</v>
      </c>
      <c r="C63" s="77">
        <f>141.293</f>
        <v>141.29300000000001</v>
      </c>
      <c r="D63" s="77">
        <f>267.993</f>
        <v>267.99299999999999</v>
      </c>
      <c r="E63" s="86">
        <f>115.016</f>
        <v>115.01600000000001</v>
      </c>
      <c r="F63" s="77">
        <f>314.698-40-25-60-100</f>
        <v>89.697999999999979</v>
      </c>
      <c r="G63" s="80">
        <v>40</v>
      </c>
      <c r="H63" s="77">
        <f t="shared" ref="H63:H69" si="9">25+60+100</f>
        <v>185</v>
      </c>
      <c r="I63" s="77">
        <f t="shared" si="8"/>
        <v>0</v>
      </c>
      <c r="J63" s="80">
        <v>100</v>
      </c>
      <c r="K63" s="80">
        <v>300</v>
      </c>
      <c r="L63" s="77">
        <f t="shared" si="0"/>
        <v>1239</v>
      </c>
      <c r="M63" s="88">
        <v>400</v>
      </c>
      <c r="N63" s="77">
        <f>100</f>
        <v>100</v>
      </c>
      <c r="O63" s="80">
        <v>240</v>
      </c>
      <c r="P63" s="80">
        <v>160</v>
      </c>
      <c r="Q63" s="80">
        <f t="shared" si="1"/>
        <v>195</v>
      </c>
      <c r="R63" s="80">
        <f t="shared" si="2"/>
        <v>100</v>
      </c>
      <c r="S63" s="77">
        <f t="shared" si="3"/>
        <v>695</v>
      </c>
      <c r="T63" s="77">
        <f>50</f>
        <v>50</v>
      </c>
      <c r="U63" s="78"/>
      <c r="V63" s="78"/>
      <c r="W63" s="78"/>
      <c r="X63" s="78"/>
      <c r="Y63" s="78"/>
      <c r="Z63" s="78"/>
      <c r="AA63" s="78"/>
      <c r="AB63" s="78"/>
      <c r="AC63" s="78"/>
      <c r="AD63" s="78"/>
    </row>
    <row r="64" spans="1:30" ht="15.75" x14ac:dyDescent="0.25">
      <c r="A64" s="13">
        <v>42856</v>
      </c>
      <c r="B64" s="91">
        <v>31</v>
      </c>
      <c r="C64" s="77">
        <f>194.205</f>
        <v>194.20500000000001</v>
      </c>
      <c r="D64" s="77">
        <f>267.466</f>
        <v>267.46600000000001</v>
      </c>
      <c r="E64" s="86">
        <f>133.845</f>
        <v>133.845</v>
      </c>
      <c r="F64" s="77">
        <f>278.484-40-25-60-100</f>
        <v>53.48399999999998</v>
      </c>
      <c r="G64" s="80">
        <v>40</v>
      </c>
      <c r="H64" s="77">
        <f t="shared" si="9"/>
        <v>185</v>
      </c>
      <c r="I64" s="77">
        <f t="shared" si="8"/>
        <v>0</v>
      </c>
      <c r="J64" s="80">
        <v>100</v>
      </c>
      <c r="K64" s="80">
        <v>300</v>
      </c>
      <c r="L64" s="77">
        <f t="shared" si="0"/>
        <v>1274</v>
      </c>
      <c r="M64" s="88">
        <v>400</v>
      </c>
      <c r="N64" s="77">
        <f>75</f>
        <v>75</v>
      </c>
      <c r="O64" s="80">
        <v>240</v>
      </c>
      <c r="P64" s="80">
        <v>160</v>
      </c>
      <c r="Q64" s="80">
        <f t="shared" si="1"/>
        <v>195</v>
      </c>
      <c r="R64" s="80">
        <f t="shared" si="2"/>
        <v>100</v>
      </c>
      <c r="S64" s="77">
        <f t="shared" si="3"/>
        <v>695</v>
      </c>
      <c r="T64" s="77">
        <f>50</f>
        <v>50</v>
      </c>
      <c r="U64" s="78"/>
      <c r="V64" s="78"/>
      <c r="W64" s="78"/>
      <c r="X64" s="78"/>
      <c r="Y64" s="78"/>
      <c r="Z64" s="78"/>
      <c r="AA64" s="78"/>
      <c r="AB64" s="78"/>
      <c r="AC64" s="78"/>
      <c r="AD64" s="78"/>
    </row>
    <row r="65" spans="1:30" ht="15.75" x14ac:dyDescent="0.25">
      <c r="A65" s="13">
        <v>42887</v>
      </c>
      <c r="B65" s="91">
        <v>30</v>
      </c>
      <c r="C65" s="77">
        <f>194.205</f>
        <v>194.20500000000001</v>
      </c>
      <c r="D65" s="77">
        <f>267.466</f>
        <v>267.46600000000001</v>
      </c>
      <c r="E65" s="86">
        <f>133.845</f>
        <v>133.845</v>
      </c>
      <c r="F65" s="77">
        <f>278.484-40-25-60-100</f>
        <v>53.48399999999998</v>
      </c>
      <c r="G65" s="80">
        <v>40</v>
      </c>
      <c r="H65" s="77">
        <f t="shared" si="9"/>
        <v>185</v>
      </c>
      <c r="I65" s="77">
        <f t="shared" si="8"/>
        <v>0</v>
      </c>
      <c r="J65" s="80">
        <v>100</v>
      </c>
      <c r="K65" s="80">
        <v>300</v>
      </c>
      <c r="L65" s="77">
        <f t="shared" si="0"/>
        <v>1274</v>
      </c>
      <c r="M65" s="88">
        <v>400</v>
      </c>
      <c r="N65" s="77">
        <f>30</f>
        <v>30</v>
      </c>
      <c r="O65" s="80">
        <v>240</v>
      </c>
      <c r="P65" s="80">
        <v>160</v>
      </c>
      <c r="Q65" s="80">
        <f t="shared" si="1"/>
        <v>195</v>
      </c>
      <c r="R65" s="80">
        <f t="shared" si="2"/>
        <v>100</v>
      </c>
      <c r="S65" s="77">
        <f t="shared" si="3"/>
        <v>695</v>
      </c>
      <c r="T65" s="77">
        <f>50</f>
        <v>50</v>
      </c>
      <c r="U65" s="78"/>
      <c r="V65" s="78"/>
      <c r="W65" s="78"/>
      <c r="X65" s="78"/>
      <c r="Y65" s="78"/>
      <c r="Z65" s="78"/>
      <c r="AA65" s="78"/>
      <c r="AB65" s="78"/>
      <c r="AC65" s="78"/>
      <c r="AD65" s="78"/>
    </row>
    <row r="66" spans="1:30" ht="15.75" x14ac:dyDescent="0.25">
      <c r="A66" s="13">
        <v>42917</v>
      </c>
      <c r="B66" s="91">
        <v>31</v>
      </c>
      <c r="C66" s="77">
        <f>194.205</f>
        <v>194.20500000000001</v>
      </c>
      <c r="D66" s="77">
        <f>267.466</f>
        <v>267.46600000000001</v>
      </c>
      <c r="E66" s="86">
        <f>133.845</f>
        <v>133.845</v>
      </c>
      <c r="F66" s="77">
        <f>278.484-40-25-60-100</f>
        <v>53.48399999999998</v>
      </c>
      <c r="G66" s="80">
        <v>40</v>
      </c>
      <c r="H66" s="77">
        <f t="shared" si="9"/>
        <v>185</v>
      </c>
      <c r="I66" s="77">
        <f t="shared" si="8"/>
        <v>0</v>
      </c>
      <c r="J66" s="80">
        <v>100</v>
      </c>
      <c r="K66" s="80">
        <v>300</v>
      </c>
      <c r="L66" s="77">
        <f t="shared" si="0"/>
        <v>1274</v>
      </c>
      <c r="M66" s="88">
        <v>400</v>
      </c>
      <c r="N66" s="77">
        <f>30</f>
        <v>30</v>
      </c>
      <c r="O66" s="80">
        <v>240</v>
      </c>
      <c r="P66" s="80">
        <v>160</v>
      </c>
      <c r="Q66" s="80">
        <f t="shared" si="1"/>
        <v>195</v>
      </c>
      <c r="R66" s="80">
        <f t="shared" si="2"/>
        <v>100</v>
      </c>
      <c r="S66" s="77">
        <f t="shared" si="3"/>
        <v>695</v>
      </c>
      <c r="T66" s="77">
        <f>0</f>
        <v>0</v>
      </c>
      <c r="U66" s="78"/>
      <c r="V66" s="78"/>
      <c r="W66" s="78"/>
      <c r="X66" s="78"/>
      <c r="Y66" s="78"/>
      <c r="Z66" s="78"/>
      <c r="AA66" s="78"/>
      <c r="AB66" s="78"/>
      <c r="AC66" s="78"/>
      <c r="AD66" s="78"/>
    </row>
    <row r="67" spans="1:30" ht="15.75" x14ac:dyDescent="0.25">
      <c r="A67" s="13">
        <v>42948</v>
      </c>
      <c r="B67" s="91">
        <v>31</v>
      </c>
      <c r="C67" s="77">
        <f>194.205</f>
        <v>194.20500000000001</v>
      </c>
      <c r="D67" s="77">
        <f>267.466</f>
        <v>267.46600000000001</v>
      </c>
      <c r="E67" s="86">
        <f>133.845</f>
        <v>133.845</v>
      </c>
      <c r="F67" s="77">
        <f>278.484-40-25-60-100</f>
        <v>53.48399999999998</v>
      </c>
      <c r="G67" s="80">
        <v>40</v>
      </c>
      <c r="H67" s="77">
        <f t="shared" si="9"/>
        <v>185</v>
      </c>
      <c r="I67" s="77">
        <f t="shared" si="8"/>
        <v>0</v>
      </c>
      <c r="J67" s="80">
        <v>100</v>
      </c>
      <c r="K67" s="80">
        <v>300</v>
      </c>
      <c r="L67" s="77">
        <f t="shared" si="0"/>
        <v>1274</v>
      </c>
      <c r="M67" s="88">
        <v>400</v>
      </c>
      <c r="N67" s="77">
        <f>30</f>
        <v>30</v>
      </c>
      <c r="O67" s="80">
        <v>240</v>
      </c>
      <c r="P67" s="80">
        <v>160</v>
      </c>
      <c r="Q67" s="80">
        <f t="shared" si="1"/>
        <v>195</v>
      </c>
      <c r="R67" s="80">
        <f t="shared" si="2"/>
        <v>100</v>
      </c>
      <c r="S67" s="77">
        <f t="shared" si="3"/>
        <v>695</v>
      </c>
      <c r="T67" s="77">
        <f>0</f>
        <v>0</v>
      </c>
      <c r="U67" s="78"/>
      <c r="V67" s="78"/>
      <c r="W67" s="78"/>
      <c r="X67" s="78"/>
      <c r="Y67" s="78"/>
      <c r="Z67" s="78"/>
      <c r="AA67" s="78"/>
      <c r="AB67" s="78"/>
      <c r="AC67" s="78"/>
      <c r="AD67" s="78"/>
    </row>
    <row r="68" spans="1:30" ht="15.75" x14ac:dyDescent="0.25">
      <c r="A68" s="13">
        <v>42979</v>
      </c>
      <c r="B68" s="91">
        <v>30</v>
      </c>
      <c r="C68" s="77">
        <f>194.205</f>
        <v>194.20500000000001</v>
      </c>
      <c r="D68" s="77">
        <f>267.466</f>
        <v>267.46600000000001</v>
      </c>
      <c r="E68" s="86">
        <f>133.845</f>
        <v>133.845</v>
      </c>
      <c r="F68" s="77">
        <f>278.484-40-25-60-100</f>
        <v>53.48399999999998</v>
      </c>
      <c r="G68" s="80">
        <v>40</v>
      </c>
      <c r="H68" s="77">
        <f t="shared" si="9"/>
        <v>185</v>
      </c>
      <c r="I68" s="77">
        <f t="shared" si="8"/>
        <v>0</v>
      </c>
      <c r="J68" s="80">
        <v>100</v>
      </c>
      <c r="K68" s="80">
        <v>300</v>
      </c>
      <c r="L68" s="77">
        <f t="shared" si="0"/>
        <v>1274</v>
      </c>
      <c r="M68" s="88">
        <v>400</v>
      </c>
      <c r="N68" s="77">
        <f>30</f>
        <v>30</v>
      </c>
      <c r="O68" s="80">
        <v>240</v>
      </c>
      <c r="P68" s="80">
        <v>160</v>
      </c>
      <c r="Q68" s="80">
        <f t="shared" si="1"/>
        <v>195</v>
      </c>
      <c r="R68" s="80">
        <f t="shared" si="2"/>
        <v>100</v>
      </c>
      <c r="S68" s="77">
        <f t="shared" si="3"/>
        <v>695</v>
      </c>
      <c r="T68" s="77">
        <f>0</f>
        <v>0</v>
      </c>
      <c r="U68" s="78"/>
      <c r="V68" s="78"/>
      <c r="W68" s="78"/>
      <c r="X68" s="78"/>
      <c r="Y68" s="78"/>
      <c r="Z68" s="78"/>
      <c r="AA68" s="78"/>
      <c r="AB68" s="78"/>
      <c r="AC68" s="78"/>
      <c r="AD68" s="78"/>
    </row>
    <row r="69" spans="1:30" ht="15.75" x14ac:dyDescent="0.25">
      <c r="A69" s="13">
        <v>43009</v>
      </c>
      <c r="B69" s="91">
        <v>31</v>
      </c>
      <c r="C69" s="77">
        <f>131.881</f>
        <v>131.881</v>
      </c>
      <c r="D69" s="77">
        <f>277.167</f>
        <v>277.16699999999997</v>
      </c>
      <c r="E69" s="86">
        <f>79.08</f>
        <v>79.08</v>
      </c>
      <c r="F69" s="77">
        <f>350.872-40-25-60-100</f>
        <v>125.87200000000001</v>
      </c>
      <c r="G69" s="80">
        <v>40</v>
      </c>
      <c r="H69" s="77">
        <f t="shared" si="9"/>
        <v>185</v>
      </c>
      <c r="I69" s="77">
        <f t="shared" si="8"/>
        <v>0</v>
      </c>
      <c r="J69" s="80">
        <v>100</v>
      </c>
      <c r="K69" s="80">
        <v>300</v>
      </c>
      <c r="L69" s="77">
        <f t="shared" si="0"/>
        <v>1239</v>
      </c>
      <c r="M69" s="88">
        <v>400</v>
      </c>
      <c r="N69" s="77">
        <f>75</f>
        <v>75</v>
      </c>
      <c r="O69" s="80">
        <v>240</v>
      </c>
      <c r="P69" s="80">
        <v>160</v>
      </c>
      <c r="Q69" s="80">
        <f t="shared" si="1"/>
        <v>195</v>
      </c>
      <c r="R69" s="80">
        <f t="shared" si="2"/>
        <v>100</v>
      </c>
      <c r="S69" s="77">
        <f t="shared" si="3"/>
        <v>695</v>
      </c>
      <c r="T69" s="77">
        <f>0</f>
        <v>0</v>
      </c>
      <c r="U69" s="78"/>
      <c r="V69" s="78"/>
      <c r="W69" s="78"/>
      <c r="X69" s="78"/>
      <c r="Y69" s="78"/>
      <c r="Z69" s="78"/>
      <c r="AA69" s="78"/>
      <c r="AB69" s="78"/>
      <c r="AC69" s="78"/>
      <c r="AD69" s="78"/>
    </row>
    <row r="70" spans="1:30" ht="15.75" x14ac:dyDescent="0.25">
      <c r="A70" s="13">
        <v>43040</v>
      </c>
      <c r="B70" s="91">
        <v>30</v>
      </c>
      <c r="C70" s="77">
        <f>122.58</f>
        <v>122.58</v>
      </c>
      <c r="D70" s="77">
        <f>297.941</f>
        <v>297.94099999999997</v>
      </c>
      <c r="E70" s="86">
        <f>89.177</f>
        <v>89.177000000000007</v>
      </c>
      <c r="F70" s="77">
        <f>240.302-40-60-100</f>
        <v>40.301999999999992</v>
      </c>
      <c r="G70" s="80">
        <v>40</v>
      </c>
      <c r="H70" s="77">
        <f>60+100</f>
        <v>160</v>
      </c>
      <c r="I70" s="77">
        <f t="shared" si="8"/>
        <v>0</v>
      </c>
      <c r="J70" s="80">
        <v>100</v>
      </c>
      <c r="K70" s="80">
        <v>300</v>
      </c>
      <c r="L70" s="77">
        <f t="shared" si="0"/>
        <v>1150</v>
      </c>
      <c r="M70" s="88">
        <v>400</v>
      </c>
      <c r="N70" s="77">
        <f>100</f>
        <v>100</v>
      </c>
      <c r="O70" s="80">
        <v>240</v>
      </c>
      <c r="P70" s="80">
        <v>40</v>
      </c>
      <c r="Q70" s="80">
        <f t="shared" si="1"/>
        <v>315</v>
      </c>
      <c r="R70" s="80">
        <f t="shared" si="2"/>
        <v>100</v>
      </c>
      <c r="S70" s="77">
        <f t="shared" si="3"/>
        <v>695</v>
      </c>
      <c r="T70" s="77">
        <f>50</f>
        <v>50</v>
      </c>
      <c r="U70" s="78"/>
      <c r="V70" s="78"/>
      <c r="W70" s="78"/>
      <c r="X70" s="78"/>
      <c r="Y70" s="78"/>
      <c r="Z70" s="78"/>
      <c r="AA70" s="78"/>
      <c r="AB70" s="78"/>
      <c r="AC70" s="78"/>
      <c r="AD70" s="78"/>
    </row>
    <row r="71" spans="1:30" ht="15.75" x14ac:dyDescent="0.25">
      <c r="A71" s="13">
        <v>43070</v>
      </c>
      <c r="B71" s="91">
        <v>31</v>
      </c>
      <c r="C71" s="77">
        <f>122.58</f>
        <v>122.58</v>
      </c>
      <c r="D71" s="77">
        <f>297.941</f>
        <v>297.94099999999997</v>
      </c>
      <c r="E71" s="86">
        <f>89.177</f>
        <v>89.177000000000007</v>
      </c>
      <c r="F71" s="77">
        <f>240.302-40-60-100</f>
        <v>40.301999999999992</v>
      </c>
      <c r="G71" s="80">
        <v>40</v>
      </c>
      <c r="H71" s="77">
        <f>60+100</f>
        <v>160</v>
      </c>
      <c r="I71" s="77">
        <f t="shared" si="8"/>
        <v>0</v>
      </c>
      <c r="J71" s="80">
        <v>100</v>
      </c>
      <c r="K71" s="80">
        <v>300</v>
      </c>
      <c r="L71" s="77">
        <f t="shared" si="0"/>
        <v>1150</v>
      </c>
      <c r="M71" s="88">
        <v>400</v>
      </c>
      <c r="N71" s="77">
        <f>100</f>
        <v>100</v>
      </c>
      <c r="O71" s="80">
        <v>240</v>
      </c>
      <c r="P71" s="80">
        <v>40</v>
      </c>
      <c r="Q71" s="80">
        <f t="shared" si="1"/>
        <v>315</v>
      </c>
      <c r="R71" s="80">
        <f t="shared" si="2"/>
        <v>100</v>
      </c>
      <c r="S71" s="77">
        <f t="shared" si="3"/>
        <v>695</v>
      </c>
      <c r="T71" s="77">
        <f>50</f>
        <v>50</v>
      </c>
      <c r="U71" s="78"/>
      <c r="V71" s="78"/>
      <c r="W71" s="78"/>
      <c r="X71" s="78"/>
      <c r="Y71" s="78"/>
      <c r="Z71" s="78"/>
      <c r="AA71" s="78"/>
      <c r="AB71" s="78"/>
      <c r="AC71" s="78"/>
      <c r="AD71" s="78"/>
    </row>
    <row r="72" spans="1:30" ht="15.75" x14ac:dyDescent="0.25">
      <c r="A72" s="13">
        <v>43101</v>
      </c>
      <c r="B72" s="91">
        <v>31</v>
      </c>
      <c r="C72" s="77">
        <f>122.58</f>
        <v>122.58</v>
      </c>
      <c r="D72" s="77">
        <f>297.941</f>
        <v>297.94099999999997</v>
      </c>
      <c r="E72" s="86">
        <f>89.177</f>
        <v>89.177000000000007</v>
      </c>
      <c r="F72" s="77">
        <f>240.302-40-60-100</f>
        <v>40.301999999999992</v>
      </c>
      <c r="G72" s="80">
        <v>40</v>
      </c>
      <c r="H72" s="77">
        <f>60+100</f>
        <v>160</v>
      </c>
      <c r="I72" s="77">
        <f t="shared" si="8"/>
        <v>0</v>
      </c>
      <c r="J72" s="80">
        <v>100</v>
      </c>
      <c r="K72" s="80">
        <v>300</v>
      </c>
      <c r="L72" s="77">
        <f t="shared" si="0"/>
        <v>1150</v>
      </c>
      <c r="M72" s="88">
        <v>400</v>
      </c>
      <c r="N72" s="77">
        <f>100</f>
        <v>100</v>
      </c>
      <c r="O72" s="80">
        <v>240</v>
      </c>
      <c r="P72" s="80">
        <v>40</v>
      </c>
      <c r="Q72" s="80">
        <f t="shared" si="1"/>
        <v>315</v>
      </c>
      <c r="R72" s="80">
        <f t="shared" si="2"/>
        <v>100</v>
      </c>
      <c r="S72" s="77">
        <f t="shared" si="3"/>
        <v>695</v>
      </c>
      <c r="T72" s="77">
        <f>50</f>
        <v>50</v>
      </c>
      <c r="U72" s="78"/>
      <c r="V72" s="78"/>
      <c r="W72" s="78"/>
      <c r="X72" s="78"/>
      <c r="Y72" s="78"/>
      <c r="Z72" s="78"/>
      <c r="AA72" s="78"/>
      <c r="AB72" s="78"/>
      <c r="AC72" s="78"/>
      <c r="AD72" s="78"/>
    </row>
    <row r="73" spans="1:30" ht="15.75" x14ac:dyDescent="0.25">
      <c r="A73" s="13">
        <v>43132</v>
      </c>
      <c r="B73" s="91">
        <v>28</v>
      </c>
      <c r="C73" s="77">
        <f>122.58</f>
        <v>122.58</v>
      </c>
      <c r="D73" s="77">
        <f>297.941</f>
        <v>297.94099999999997</v>
      </c>
      <c r="E73" s="86">
        <f>89.177</f>
        <v>89.177000000000007</v>
      </c>
      <c r="F73" s="77">
        <f>240.302-40-60-100</f>
        <v>40.301999999999992</v>
      </c>
      <c r="G73" s="80">
        <v>40</v>
      </c>
      <c r="H73" s="77">
        <f>60+100</f>
        <v>160</v>
      </c>
      <c r="I73" s="77">
        <f t="shared" si="8"/>
        <v>0</v>
      </c>
      <c r="J73" s="80">
        <v>100</v>
      </c>
      <c r="K73" s="80">
        <v>300</v>
      </c>
      <c r="L73" s="77">
        <f t="shared" si="0"/>
        <v>1150</v>
      </c>
      <c r="M73" s="88">
        <v>400</v>
      </c>
      <c r="N73" s="77">
        <f>100</f>
        <v>100</v>
      </c>
      <c r="O73" s="80">
        <v>240</v>
      </c>
      <c r="P73" s="80">
        <v>40</v>
      </c>
      <c r="Q73" s="80">
        <f t="shared" si="1"/>
        <v>315</v>
      </c>
      <c r="R73" s="80">
        <f t="shared" si="2"/>
        <v>100</v>
      </c>
      <c r="S73" s="77">
        <f t="shared" si="3"/>
        <v>695</v>
      </c>
      <c r="T73" s="77">
        <f>50</f>
        <v>50</v>
      </c>
      <c r="U73" s="78"/>
      <c r="V73" s="78"/>
      <c r="W73" s="78"/>
      <c r="X73" s="78"/>
      <c r="Y73" s="78"/>
      <c r="Z73" s="78"/>
      <c r="AA73" s="78"/>
      <c r="AB73" s="78"/>
      <c r="AC73" s="78"/>
      <c r="AD73" s="78"/>
    </row>
    <row r="74" spans="1:30" ht="15.75" x14ac:dyDescent="0.25">
      <c r="A74" s="13">
        <v>43160</v>
      </c>
      <c r="B74" s="91">
        <v>31</v>
      </c>
      <c r="C74" s="77">
        <f>122.58</f>
        <v>122.58</v>
      </c>
      <c r="D74" s="77">
        <f>297.941</f>
        <v>297.94099999999997</v>
      </c>
      <c r="E74" s="86">
        <f>89.177</f>
        <v>89.177000000000007</v>
      </c>
      <c r="F74" s="77">
        <f>240.302-40-60-100</f>
        <v>40.301999999999992</v>
      </c>
      <c r="G74" s="80">
        <v>40</v>
      </c>
      <c r="H74" s="77">
        <f>60+100</f>
        <v>160</v>
      </c>
      <c r="I74" s="77">
        <f t="shared" si="8"/>
        <v>0</v>
      </c>
      <c r="J74" s="80">
        <v>100</v>
      </c>
      <c r="K74" s="80">
        <v>300</v>
      </c>
      <c r="L74" s="77">
        <f t="shared" si="0"/>
        <v>1150</v>
      </c>
      <c r="M74" s="88">
        <v>400</v>
      </c>
      <c r="N74" s="77">
        <f>100</f>
        <v>100</v>
      </c>
      <c r="O74" s="80">
        <v>240</v>
      </c>
      <c r="P74" s="80">
        <v>40</v>
      </c>
      <c r="Q74" s="80">
        <f t="shared" si="1"/>
        <v>315</v>
      </c>
      <c r="R74" s="80">
        <f t="shared" si="2"/>
        <v>100</v>
      </c>
      <c r="S74" s="77">
        <f t="shared" si="3"/>
        <v>695</v>
      </c>
      <c r="T74" s="77">
        <f>50</f>
        <v>50</v>
      </c>
      <c r="U74" s="78"/>
      <c r="V74" s="78"/>
      <c r="W74" s="78"/>
      <c r="X74" s="78"/>
      <c r="Y74" s="78"/>
      <c r="Z74" s="78"/>
      <c r="AA74" s="78"/>
      <c r="AB74" s="78"/>
      <c r="AC74" s="78"/>
      <c r="AD74" s="78"/>
    </row>
    <row r="75" spans="1:30" ht="15.75" x14ac:dyDescent="0.25">
      <c r="A75" s="13">
        <v>43191</v>
      </c>
      <c r="B75" s="91">
        <v>30</v>
      </c>
      <c r="C75" s="77">
        <f>141.293</f>
        <v>141.29300000000001</v>
      </c>
      <c r="D75" s="77">
        <f>267.993</f>
        <v>267.99299999999999</v>
      </c>
      <c r="E75" s="86">
        <f>115.016</f>
        <v>115.01600000000001</v>
      </c>
      <c r="F75" s="77">
        <f>314.698-40-25-60-100</f>
        <v>89.697999999999979</v>
      </c>
      <c r="G75" s="80">
        <v>40</v>
      </c>
      <c r="H75" s="77">
        <f t="shared" ref="H75:H81" si="10">25+60+100</f>
        <v>185</v>
      </c>
      <c r="I75" s="77">
        <f t="shared" si="8"/>
        <v>0</v>
      </c>
      <c r="J75" s="80">
        <v>100</v>
      </c>
      <c r="K75" s="80">
        <v>300</v>
      </c>
      <c r="L75" s="77">
        <f t="shared" si="0"/>
        <v>1239</v>
      </c>
      <c r="M75" s="88">
        <v>400</v>
      </c>
      <c r="N75" s="77">
        <f>100</f>
        <v>100</v>
      </c>
      <c r="O75" s="80">
        <v>240</v>
      </c>
      <c r="P75" s="80">
        <v>160</v>
      </c>
      <c r="Q75" s="80">
        <f t="shared" si="1"/>
        <v>195</v>
      </c>
      <c r="R75" s="80">
        <f t="shared" si="2"/>
        <v>100</v>
      </c>
      <c r="S75" s="77">
        <f t="shared" si="3"/>
        <v>695</v>
      </c>
      <c r="T75" s="77">
        <f>50</f>
        <v>50</v>
      </c>
      <c r="U75" s="78"/>
      <c r="V75" s="78"/>
      <c r="W75" s="78"/>
      <c r="X75" s="78"/>
      <c r="Y75" s="78"/>
      <c r="Z75" s="78"/>
      <c r="AA75" s="78"/>
      <c r="AB75" s="78"/>
      <c r="AC75" s="78"/>
      <c r="AD75" s="78"/>
    </row>
    <row r="76" spans="1:30" ht="15.75" x14ac:dyDescent="0.25">
      <c r="A76" s="13">
        <v>43221</v>
      </c>
      <c r="B76" s="91">
        <v>31</v>
      </c>
      <c r="C76" s="77">
        <f>194.205</f>
        <v>194.20500000000001</v>
      </c>
      <c r="D76" s="77">
        <f>267.466</f>
        <v>267.46600000000001</v>
      </c>
      <c r="E76" s="86">
        <f>133.845</f>
        <v>133.845</v>
      </c>
      <c r="F76" s="77">
        <f>278.484-40-25-60-100</f>
        <v>53.48399999999998</v>
      </c>
      <c r="G76" s="80">
        <v>40</v>
      </c>
      <c r="H76" s="77">
        <f t="shared" si="10"/>
        <v>185</v>
      </c>
      <c r="I76" s="77">
        <f t="shared" si="8"/>
        <v>0</v>
      </c>
      <c r="J76" s="80">
        <v>100</v>
      </c>
      <c r="K76" s="80">
        <v>300</v>
      </c>
      <c r="L76" s="77">
        <f t="shared" si="0"/>
        <v>1274</v>
      </c>
      <c r="M76" s="88">
        <v>400</v>
      </c>
      <c r="N76" s="77">
        <f>75</f>
        <v>75</v>
      </c>
      <c r="O76" s="80">
        <v>240</v>
      </c>
      <c r="P76" s="80">
        <v>160</v>
      </c>
      <c r="Q76" s="80">
        <f t="shared" si="1"/>
        <v>195</v>
      </c>
      <c r="R76" s="80">
        <f t="shared" si="2"/>
        <v>100</v>
      </c>
      <c r="S76" s="77">
        <f t="shared" si="3"/>
        <v>695</v>
      </c>
      <c r="T76" s="77">
        <f>50</f>
        <v>50</v>
      </c>
      <c r="U76" s="78"/>
      <c r="V76" s="78"/>
      <c r="W76" s="78"/>
      <c r="X76" s="78"/>
      <c r="Y76" s="78"/>
      <c r="Z76" s="78"/>
      <c r="AA76" s="78"/>
      <c r="AB76" s="78"/>
      <c r="AC76" s="78"/>
      <c r="AD76" s="78"/>
    </row>
    <row r="77" spans="1:30" ht="15.75" x14ac:dyDescent="0.25">
      <c r="A77" s="13">
        <v>43252</v>
      </c>
      <c r="B77" s="91">
        <v>30</v>
      </c>
      <c r="C77" s="77">
        <f>194.205</f>
        <v>194.20500000000001</v>
      </c>
      <c r="D77" s="77">
        <f>267.466</f>
        <v>267.46600000000001</v>
      </c>
      <c r="E77" s="86">
        <f>133.845</f>
        <v>133.845</v>
      </c>
      <c r="F77" s="77">
        <f>278.484-40-25-60-100</f>
        <v>53.48399999999998</v>
      </c>
      <c r="G77" s="80">
        <v>40</v>
      </c>
      <c r="H77" s="77">
        <f t="shared" si="10"/>
        <v>185</v>
      </c>
      <c r="I77" s="77">
        <f t="shared" si="8"/>
        <v>0</v>
      </c>
      <c r="J77" s="80">
        <v>100</v>
      </c>
      <c r="K77" s="80">
        <v>300</v>
      </c>
      <c r="L77" s="77">
        <f t="shared" si="0"/>
        <v>1274</v>
      </c>
      <c r="M77" s="88">
        <v>400</v>
      </c>
      <c r="N77" s="77">
        <f>30</f>
        <v>30</v>
      </c>
      <c r="O77" s="80">
        <v>240</v>
      </c>
      <c r="P77" s="80">
        <v>160</v>
      </c>
      <c r="Q77" s="80">
        <f t="shared" si="1"/>
        <v>195</v>
      </c>
      <c r="R77" s="80">
        <f t="shared" si="2"/>
        <v>100</v>
      </c>
      <c r="S77" s="77">
        <f t="shared" si="3"/>
        <v>695</v>
      </c>
      <c r="T77" s="77">
        <f>50</f>
        <v>50</v>
      </c>
      <c r="U77" s="78"/>
      <c r="V77" s="78"/>
      <c r="W77" s="78"/>
      <c r="X77" s="78"/>
      <c r="Y77" s="78"/>
      <c r="Z77" s="78"/>
      <c r="AA77" s="78"/>
      <c r="AB77" s="78"/>
      <c r="AC77" s="78"/>
      <c r="AD77" s="78"/>
    </row>
    <row r="78" spans="1:30" ht="15.75" x14ac:dyDescent="0.25">
      <c r="A78" s="13">
        <v>43282</v>
      </c>
      <c r="B78" s="91">
        <v>31</v>
      </c>
      <c r="C78" s="77">
        <f>194.205</f>
        <v>194.20500000000001</v>
      </c>
      <c r="D78" s="77">
        <f>267.466</f>
        <v>267.46600000000001</v>
      </c>
      <c r="E78" s="86">
        <f>133.845</f>
        <v>133.845</v>
      </c>
      <c r="F78" s="77">
        <f>278.484-40-25-60-100</f>
        <v>53.48399999999998</v>
      </c>
      <c r="G78" s="80">
        <v>40</v>
      </c>
      <c r="H78" s="77">
        <f t="shared" si="10"/>
        <v>185</v>
      </c>
      <c r="I78" s="77">
        <f t="shared" si="8"/>
        <v>0</v>
      </c>
      <c r="J78" s="80">
        <v>100</v>
      </c>
      <c r="K78" s="80">
        <v>300</v>
      </c>
      <c r="L78" s="77">
        <f t="shared" si="0"/>
        <v>1274</v>
      </c>
      <c r="M78" s="88">
        <v>400</v>
      </c>
      <c r="N78" s="77">
        <f>30</f>
        <v>30</v>
      </c>
      <c r="O78" s="80">
        <v>240</v>
      </c>
      <c r="P78" s="80">
        <v>160</v>
      </c>
      <c r="Q78" s="80">
        <f t="shared" si="1"/>
        <v>195</v>
      </c>
      <c r="R78" s="80">
        <f t="shared" si="2"/>
        <v>100</v>
      </c>
      <c r="S78" s="77">
        <f t="shared" si="3"/>
        <v>695</v>
      </c>
      <c r="T78" s="77">
        <f>0</f>
        <v>0</v>
      </c>
      <c r="U78" s="78"/>
      <c r="V78" s="78"/>
      <c r="W78" s="78"/>
      <c r="X78" s="78"/>
      <c r="Y78" s="78"/>
      <c r="Z78" s="78"/>
      <c r="AA78" s="78"/>
      <c r="AB78" s="78"/>
      <c r="AC78" s="78"/>
      <c r="AD78" s="78"/>
    </row>
    <row r="79" spans="1:30" ht="15.75" x14ac:dyDescent="0.25">
      <c r="A79" s="13">
        <v>43313</v>
      </c>
      <c r="B79" s="91">
        <v>31</v>
      </c>
      <c r="C79" s="77">
        <f>194.205</f>
        <v>194.20500000000001</v>
      </c>
      <c r="D79" s="77">
        <f>267.466</f>
        <v>267.46600000000001</v>
      </c>
      <c r="E79" s="86">
        <f>133.845</f>
        <v>133.845</v>
      </c>
      <c r="F79" s="77">
        <f>278.484-40-25-60-100</f>
        <v>53.48399999999998</v>
      </c>
      <c r="G79" s="80">
        <v>40</v>
      </c>
      <c r="H79" s="77">
        <f t="shared" si="10"/>
        <v>185</v>
      </c>
      <c r="I79" s="77">
        <f t="shared" si="8"/>
        <v>0</v>
      </c>
      <c r="J79" s="80">
        <v>100</v>
      </c>
      <c r="K79" s="80">
        <v>300</v>
      </c>
      <c r="L79" s="77">
        <f t="shared" si="0"/>
        <v>1274</v>
      </c>
      <c r="M79" s="88">
        <v>400</v>
      </c>
      <c r="N79" s="77">
        <f>30</f>
        <v>30</v>
      </c>
      <c r="O79" s="80">
        <v>240</v>
      </c>
      <c r="P79" s="80">
        <v>160</v>
      </c>
      <c r="Q79" s="80">
        <f t="shared" si="1"/>
        <v>195</v>
      </c>
      <c r="R79" s="80">
        <f t="shared" si="2"/>
        <v>100</v>
      </c>
      <c r="S79" s="77">
        <f t="shared" si="3"/>
        <v>695</v>
      </c>
      <c r="T79" s="77">
        <f>0</f>
        <v>0</v>
      </c>
      <c r="U79" s="78"/>
      <c r="V79" s="78"/>
      <c r="W79" s="78"/>
      <c r="X79" s="78"/>
      <c r="Y79" s="78"/>
      <c r="Z79" s="78"/>
      <c r="AA79" s="78"/>
      <c r="AB79" s="78"/>
      <c r="AC79" s="78"/>
      <c r="AD79" s="78"/>
    </row>
    <row r="80" spans="1:30" ht="15.75" x14ac:dyDescent="0.25">
      <c r="A80" s="13">
        <v>43344</v>
      </c>
      <c r="B80" s="91">
        <v>30</v>
      </c>
      <c r="C80" s="77">
        <f>194.205</f>
        <v>194.20500000000001</v>
      </c>
      <c r="D80" s="77">
        <f>267.466</f>
        <v>267.46600000000001</v>
      </c>
      <c r="E80" s="86">
        <f>133.845</f>
        <v>133.845</v>
      </c>
      <c r="F80" s="77">
        <f>278.484-40-25-60-100</f>
        <v>53.48399999999998</v>
      </c>
      <c r="G80" s="80">
        <v>40</v>
      </c>
      <c r="H80" s="77">
        <f t="shared" si="10"/>
        <v>185</v>
      </c>
      <c r="I80" s="77">
        <f t="shared" si="8"/>
        <v>0</v>
      </c>
      <c r="J80" s="80">
        <v>100</v>
      </c>
      <c r="K80" s="80">
        <v>300</v>
      </c>
      <c r="L80" s="77">
        <f t="shared" si="0"/>
        <v>1274</v>
      </c>
      <c r="M80" s="88">
        <v>400</v>
      </c>
      <c r="N80" s="77">
        <f>30</f>
        <v>30</v>
      </c>
      <c r="O80" s="80">
        <v>240</v>
      </c>
      <c r="P80" s="80">
        <v>160</v>
      </c>
      <c r="Q80" s="80">
        <f t="shared" si="1"/>
        <v>195</v>
      </c>
      <c r="R80" s="80">
        <f t="shared" si="2"/>
        <v>100</v>
      </c>
      <c r="S80" s="77">
        <f t="shared" si="3"/>
        <v>695</v>
      </c>
      <c r="T80" s="77">
        <f>0</f>
        <v>0</v>
      </c>
      <c r="U80" s="78"/>
      <c r="V80" s="78"/>
      <c r="W80" s="78"/>
      <c r="X80" s="78"/>
      <c r="Y80" s="78"/>
      <c r="Z80" s="78"/>
      <c r="AA80" s="78"/>
      <c r="AB80" s="78"/>
      <c r="AC80" s="78"/>
      <c r="AD80" s="78"/>
    </row>
    <row r="81" spans="1:30" ht="15.75" x14ac:dyDescent="0.25">
      <c r="A81" s="13">
        <v>43374</v>
      </c>
      <c r="B81" s="91">
        <v>31</v>
      </c>
      <c r="C81" s="77">
        <f>131.881</f>
        <v>131.881</v>
      </c>
      <c r="D81" s="77">
        <f>277.167</f>
        <v>277.16699999999997</v>
      </c>
      <c r="E81" s="86">
        <f>79.08</f>
        <v>79.08</v>
      </c>
      <c r="F81" s="77">
        <f>350.872-40-25-60-100</f>
        <v>125.87200000000001</v>
      </c>
      <c r="G81" s="80">
        <v>40</v>
      </c>
      <c r="H81" s="77">
        <f t="shared" si="10"/>
        <v>185</v>
      </c>
      <c r="I81" s="77">
        <f t="shared" si="8"/>
        <v>0</v>
      </c>
      <c r="J81" s="80">
        <v>100</v>
      </c>
      <c r="K81" s="80">
        <v>300</v>
      </c>
      <c r="L81" s="77">
        <f t="shared" ref="L81:L144" si="11">SUM(C81:K81)</f>
        <v>1239</v>
      </c>
      <c r="M81" s="88">
        <v>400</v>
      </c>
      <c r="N81" s="77">
        <f>75</f>
        <v>75</v>
      </c>
      <c r="O81" s="80">
        <v>240</v>
      </c>
      <c r="P81" s="80">
        <v>160</v>
      </c>
      <c r="Q81" s="80">
        <f t="shared" ref="Q81:Q144" si="12">695-R81-O81-P81</f>
        <v>195</v>
      </c>
      <c r="R81" s="80">
        <f t="shared" ref="R81:R144" si="13">200-J81</f>
        <v>100</v>
      </c>
      <c r="S81" s="77">
        <f t="shared" ref="S81:S144" si="14">SUM(O81:R81)</f>
        <v>695</v>
      </c>
      <c r="T81" s="77">
        <f>0</f>
        <v>0</v>
      </c>
      <c r="U81" s="78"/>
      <c r="V81" s="78"/>
      <c r="W81" s="78"/>
      <c r="X81" s="78"/>
      <c r="Y81" s="78"/>
      <c r="Z81" s="78"/>
      <c r="AA81" s="78"/>
      <c r="AB81" s="78"/>
      <c r="AC81" s="78"/>
      <c r="AD81" s="78"/>
    </row>
    <row r="82" spans="1:30" ht="15.75" x14ac:dyDescent="0.25">
      <c r="A82" s="13">
        <v>43405</v>
      </c>
      <c r="B82" s="91">
        <v>30</v>
      </c>
      <c r="C82" s="77">
        <f>122.58</f>
        <v>122.58</v>
      </c>
      <c r="D82" s="77">
        <f>297.941</f>
        <v>297.94099999999997</v>
      </c>
      <c r="E82" s="86">
        <f>89.177</f>
        <v>89.177000000000007</v>
      </c>
      <c r="F82" s="77">
        <f>240.302-40-60-100</f>
        <v>40.301999999999992</v>
      </c>
      <c r="G82" s="80">
        <v>40</v>
      </c>
      <c r="H82" s="77">
        <f>60+100</f>
        <v>160</v>
      </c>
      <c r="I82" s="77">
        <f t="shared" si="8"/>
        <v>0</v>
      </c>
      <c r="J82" s="80">
        <v>100</v>
      </c>
      <c r="K82" s="80">
        <v>300</v>
      </c>
      <c r="L82" s="77">
        <f t="shared" si="11"/>
        <v>1150</v>
      </c>
      <c r="M82" s="88">
        <v>400</v>
      </c>
      <c r="N82" s="77">
        <f>100</f>
        <v>100</v>
      </c>
      <c r="O82" s="80">
        <v>240</v>
      </c>
      <c r="P82" s="80">
        <v>40</v>
      </c>
      <c r="Q82" s="80">
        <f t="shared" si="12"/>
        <v>315</v>
      </c>
      <c r="R82" s="80">
        <f t="shared" si="13"/>
        <v>100</v>
      </c>
      <c r="S82" s="77">
        <f t="shared" si="14"/>
        <v>695</v>
      </c>
      <c r="T82" s="77">
        <f>50</f>
        <v>50</v>
      </c>
      <c r="U82" s="78"/>
      <c r="V82" s="78"/>
      <c r="W82" s="78"/>
      <c r="X82" s="78"/>
      <c r="Y82" s="78"/>
      <c r="Z82" s="78"/>
      <c r="AA82" s="78"/>
      <c r="AB82" s="78"/>
      <c r="AC82" s="78"/>
      <c r="AD82" s="78"/>
    </row>
    <row r="83" spans="1:30" ht="15.75" x14ac:dyDescent="0.25">
      <c r="A83" s="13">
        <v>43435</v>
      </c>
      <c r="B83" s="91">
        <v>31</v>
      </c>
      <c r="C83" s="77">
        <f>122.58</f>
        <v>122.58</v>
      </c>
      <c r="D83" s="77">
        <f>297.941</f>
        <v>297.94099999999997</v>
      </c>
      <c r="E83" s="86">
        <f>89.177</f>
        <v>89.177000000000007</v>
      </c>
      <c r="F83" s="77">
        <f>240.302-40-60-100</f>
        <v>40.301999999999992</v>
      </c>
      <c r="G83" s="80">
        <v>40</v>
      </c>
      <c r="H83" s="77">
        <f>60+100</f>
        <v>160</v>
      </c>
      <c r="I83" s="77">
        <f t="shared" si="8"/>
        <v>0</v>
      </c>
      <c r="J83" s="80">
        <v>100</v>
      </c>
      <c r="K83" s="80">
        <v>300</v>
      </c>
      <c r="L83" s="77">
        <f t="shared" si="11"/>
        <v>1150</v>
      </c>
      <c r="M83" s="88">
        <v>400</v>
      </c>
      <c r="N83" s="77">
        <f>100</f>
        <v>100</v>
      </c>
      <c r="O83" s="80">
        <v>240</v>
      </c>
      <c r="P83" s="80">
        <v>40</v>
      </c>
      <c r="Q83" s="80">
        <f t="shared" si="12"/>
        <v>315</v>
      </c>
      <c r="R83" s="80">
        <f t="shared" si="13"/>
        <v>100</v>
      </c>
      <c r="S83" s="77">
        <f t="shared" si="14"/>
        <v>695</v>
      </c>
      <c r="T83" s="77">
        <f>50</f>
        <v>50</v>
      </c>
      <c r="U83" s="78"/>
      <c r="V83" s="78"/>
      <c r="W83" s="78"/>
      <c r="X83" s="78"/>
      <c r="Y83" s="78"/>
      <c r="Z83" s="78"/>
      <c r="AA83" s="78"/>
      <c r="AB83" s="78"/>
      <c r="AC83" s="78"/>
      <c r="AD83" s="78"/>
    </row>
    <row r="84" spans="1:30" ht="15.75" x14ac:dyDescent="0.25">
      <c r="A84" s="13">
        <v>43466</v>
      </c>
      <c r="B84" s="91">
        <v>31</v>
      </c>
      <c r="C84" s="77">
        <f>122.58</f>
        <v>122.58</v>
      </c>
      <c r="D84" s="77">
        <f>297.941</f>
        <v>297.94099999999997</v>
      </c>
      <c r="E84" s="86">
        <f>89.177</f>
        <v>89.177000000000007</v>
      </c>
      <c r="F84" s="77">
        <f>240.302-40-60-100</f>
        <v>40.301999999999992</v>
      </c>
      <c r="G84" s="80">
        <v>40</v>
      </c>
      <c r="H84" s="77">
        <f>60+100</f>
        <v>160</v>
      </c>
      <c r="I84" s="77">
        <f t="shared" si="8"/>
        <v>0</v>
      </c>
      <c r="J84" s="80">
        <v>100</v>
      </c>
      <c r="K84" s="80">
        <v>300</v>
      </c>
      <c r="L84" s="77">
        <f t="shared" si="11"/>
        <v>1150</v>
      </c>
      <c r="M84" s="88">
        <v>400</v>
      </c>
      <c r="N84" s="77">
        <f>100</f>
        <v>100</v>
      </c>
      <c r="O84" s="80">
        <v>240</v>
      </c>
      <c r="P84" s="80">
        <v>40</v>
      </c>
      <c r="Q84" s="80">
        <f t="shared" si="12"/>
        <v>315</v>
      </c>
      <c r="R84" s="80">
        <f t="shared" si="13"/>
        <v>100</v>
      </c>
      <c r="S84" s="77">
        <f t="shared" si="14"/>
        <v>695</v>
      </c>
      <c r="T84" s="77">
        <f>50</f>
        <v>50</v>
      </c>
      <c r="U84" s="78"/>
      <c r="V84" s="78"/>
      <c r="W84" s="78"/>
      <c r="X84" s="78"/>
      <c r="Y84" s="78"/>
      <c r="Z84" s="78"/>
      <c r="AA84" s="78"/>
      <c r="AB84" s="78"/>
      <c r="AC84" s="78"/>
      <c r="AD84" s="78"/>
    </row>
    <row r="85" spans="1:30" ht="15.75" x14ac:dyDescent="0.25">
      <c r="A85" s="13">
        <v>43497</v>
      </c>
      <c r="B85" s="91">
        <v>28</v>
      </c>
      <c r="C85" s="77">
        <f>122.58</f>
        <v>122.58</v>
      </c>
      <c r="D85" s="77">
        <f>297.941</f>
        <v>297.94099999999997</v>
      </c>
      <c r="E85" s="86">
        <f>89.177</f>
        <v>89.177000000000007</v>
      </c>
      <c r="F85" s="77">
        <f>240.302-40-60-100</f>
        <v>40.301999999999992</v>
      </c>
      <c r="G85" s="80">
        <v>40</v>
      </c>
      <c r="H85" s="77">
        <f>60+100</f>
        <v>160</v>
      </c>
      <c r="I85" s="77">
        <f t="shared" si="8"/>
        <v>0</v>
      </c>
      <c r="J85" s="80">
        <v>100</v>
      </c>
      <c r="K85" s="80">
        <v>300</v>
      </c>
      <c r="L85" s="77">
        <f t="shared" si="11"/>
        <v>1150</v>
      </c>
      <c r="M85" s="88">
        <v>400</v>
      </c>
      <c r="N85" s="77">
        <f>100</f>
        <v>100</v>
      </c>
      <c r="O85" s="80">
        <v>240</v>
      </c>
      <c r="P85" s="80">
        <v>40</v>
      </c>
      <c r="Q85" s="80">
        <f t="shared" si="12"/>
        <v>315</v>
      </c>
      <c r="R85" s="80">
        <f t="shared" si="13"/>
        <v>100</v>
      </c>
      <c r="S85" s="77">
        <f t="shared" si="14"/>
        <v>695</v>
      </c>
      <c r="T85" s="77">
        <f>50</f>
        <v>50</v>
      </c>
      <c r="U85" s="78"/>
      <c r="V85" s="78"/>
      <c r="W85" s="78"/>
      <c r="X85" s="78"/>
      <c r="Y85" s="78"/>
      <c r="Z85" s="78"/>
      <c r="AA85" s="78"/>
      <c r="AB85" s="78"/>
      <c r="AC85" s="78"/>
      <c r="AD85" s="78"/>
    </row>
    <row r="86" spans="1:30" ht="15.75" x14ac:dyDescent="0.25">
      <c r="A86" s="13">
        <v>43525</v>
      </c>
      <c r="B86" s="91">
        <v>31</v>
      </c>
      <c r="C86" s="77">
        <f>122.58</f>
        <v>122.58</v>
      </c>
      <c r="D86" s="77">
        <f>297.941</f>
        <v>297.94099999999997</v>
      </c>
      <c r="E86" s="86">
        <f>89.177</f>
        <v>89.177000000000007</v>
      </c>
      <c r="F86" s="77">
        <f>240.302-40-60-100</f>
        <v>40.301999999999992</v>
      </c>
      <c r="G86" s="80">
        <v>40</v>
      </c>
      <c r="H86" s="77">
        <f>60+100</f>
        <v>160</v>
      </c>
      <c r="I86" s="77">
        <f t="shared" si="8"/>
        <v>0</v>
      </c>
      <c r="J86" s="80">
        <v>100</v>
      </c>
      <c r="K86" s="80">
        <v>300</v>
      </c>
      <c r="L86" s="77">
        <f t="shared" si="11"/>
        <v>1150</v>
      </c>
      <c r="M86" s="88">
        <v>400</v>
      </c>
      <c r="N86" s="77">
        <f>100</f>
        <v>100</v>
      </c>
      <c r="O86" s="80">
        <v>240</v>
      </c>
      <c r="P86" s="80">
        <v>40</v>
      </c>
      <c r="Q86" s="80">
        <f t="shared" si="12"/>
        <v>315</v>
      </c>
      <c r="R86" s="80">
        <f t="shared" si="13"/>
        <v>100</v>
      </c>
      <c r="S86" s="77">
        <f t="shared" si="14"/>
        <v>695</v>
      </c>
      <c r="T86" s="77">
        <f>50</f>
        <v>50</v>
      </c>
      <c r="U86" s="78"/>
      <c r="V86" s="78"/>
      <c r="W86" s="78"/>
      <c r="X86" s="78"/>
      <c r="Y86" s="78"/>
      <c r="Z86" s="78"/>
      <c r="AA86" s="78"/>
      <c r="AB86" s="78"/>
      <c r="AC86" s="78"/>
      <c r="AD86" s="78"/>
    </row>
    <row r="87" spans="1:30" ht="15.75" x14ac:dyDescent="0.25">
      <c r="A87" s="13">
        <v>43556</v>
      </c>
      <c r="B87" s="91">
        <v>30</v>
      </c>
      <c r="C87" s="77">
        <f>141.293</f>
        <v>141.29300000000001</v>
      </c>
      <c r="D87" s="77">
        <f>267.993</f>
        <v>267.99299999999999</v>
      </c>
      <c r="E87" s="86">
        <f>115.016</f>
        <v>115.01600000000001</v>
      </c>
      <c r="F87" s="77">
        <f>314.698-40-25-60-100</f>
        <v>89.697999999999979</v>
      </c>
      <c r="G87" s="80">
        <v>40</v>
      </c>
      <c r="H87" s="77">
        <f t="shared" ref="H87:H93" si="15">25+60+100</f>
        <v>185</v>
      </c>
      <c r="I87" s="77">
        <f t="shared" si="8"/>
        <v>0</v>
      </c>
      <c r="J87" s="80">
        <v>100</v>
      </c>
      <c r="K87" s="80">
        <v>300</v>
      </c>
      <c r="L87" s="77">
        <f t="shared" si="11"/>
        <v>1239</v>
      </c>
      <c r="M87" s="88">
        <v>400</v>
      </c>
      <c r="N87" s="77">
        <f>100</f>
        <v>100</v>
      </c>
      <c r="O87" s="80">
        <v>240</v>
      </c>
      <c r="P87" s="80">
        <v>160</v>
      </c>
      <c r="Q87" s="80">
        <f t="shared" si="12"/>
        <v>195</v>
      </c>
      <c r="R87" s="80">
        <f t="shared" si="13"/>
        <v>100</v>
      </c>
      <c r="S87" s="77">
        <f t="shared" si="14"/>
        <v>695</v>
      </c>
      <c r="T87" s="77">
        <f>50</f>
        <v>50</v>
      </c>
      <c r="U87" s="78"/>
      <c r="V87" s="78"/>
      <c r="W87" s="78"/>
      <c r="X87" s="78"/>
      <c r="Y87" s="78"/>
      <c r="Z87" s="78"/>
      <c r="AA87" s="78"/>
      <c r="AB87" s="78"/>
      <c r="AC87" s="78"/>
      <c r="AD87" s="78"/>
    </row>
    <row r="88" spans="1:30" ht="15.75" x14ac:dyDescent="0.25">
      <c r="A88" s="13">
        <v>43586</v>
      </c>
      <c r="B88" s="91">
        <v>31</v>
      </c>
      <c r="C88" s="77">
        <f>194.205</f>
        <v>194.20500000000001</v>
      </c>
      <c r="D88" s="77">
        <f>267.466</f>
        <v>267.46600000000001</v>
      </c>
      <c r="E88" s="86">
        <f>133.845</f>
        <v>133.845</v>
      </c>
      <c r="F88" s="77">
        <f>278.484-40-25-60-100</f>
        <v>53.48399999999998</v>
      </c>
      <c r="G88" s="80">
        <v>40</v>
      </c>
      <c r="H88" s="77">
        <f t="shared" si="15"/>
        <v>185</v>
      </c>
      <c r="I88" s="77">
        <f t="shared" si="8"/>
        <v>0</v>
      </c>
      <c r="J88" s="80">
        <v>100</v>
      </c>
      <c r="K88" s="80">
        <v>300</v>
      </c>
      <c r="L88" s="77">
        <f t="shared" si="11"/>
        <v>1274</v>
      </c>
      <c r="M88" s="88">
        <v>400</v>
      </c>
      <c r="N88" s="77">
        <f>75</f>
        <v>75</v>
      </c>
      <c r="O88" s="80">
        <v>240</v>
      </c>
      <c r="P88" s="80">
        <v>160</v>
      </c>
      <c r="Q88" s="80">
        <f t="shared" si="12"/>
        <v>195</v>
      </c>
      <c r="R88" s="80">
        <f t="shared" si="13"/>
        <v>100</v>
      </c>
      <c r="S88" s="77">
        <f t="shared" si="14"/>
        <v>695</v>
      </c>
      <c r="T88" s="77">
        <f>50</f>
        <v>50</v>
      </c>
      <c r="U88" s="78"/>
      <c r="V88" s="78"/>
      <c r="W88" s="78"/>
      <c r="X88" s="78"/>
      <c r="Y88" s="78"/>
      <c r="Z88" s="78"/>
      <c r="AA88" s="78"/>
      <c r="AB88" s="78"/>
      <c r="AC88" s="78"/>
      <c r="AD88" s="78"/>
    </row>
    <row r="89" spans="1:30" ht="15.75" x14ac:dyDescent="0.25">
      <c r="A89" s="13">
        <v>43617</v>
      </c>
      <c r="B89" s="91">
        <v>30</v>
      </c>
      <c r="C89" s="77">
        <f>194.205</f>
        <v>194.20500000000001</v>
      </c>
      <c r="D89" s="77">
        <f>267.466</f>
        <v>267.46600000000001</v>
      </c>
      <c r="E89" s="86">
        <f>133.845</f>
        <v>133.845</v>
      </c>
      <c r="F89" s="77">
        <f>278.484-40-25-60-100</f>
        <v>53.48399999999998</v>
      </c>
      <c r="G89" s="80">
        <v>40</v>
      </c>
      <c r="H89" s="77">
        <f t="shared" si="15"/>
        <v>185</v>
      </c>
      <c r="I89" s="77">
        <f t="shared" si="8"/>
        <v>0</v>
      </c>
      <c r="J89" s="80">
        <v>100</v>
      </c>
      <c r="K89" s="80">
        <v>300</v>
      </c>
      <c r="L89" s="77">
        <f t="shared" si="11"/>
        <v>1274</v>
      </c>
      <c r="M89" s="88">
        <v>400</v>
      </c>
      <c r="N89" s="77">
        <f>30</f>
        <v>30</v>
      </c>
      <c r="O89" s="80">
        <v>240</v>
      </c>
      <c r="P89" s="80">
        <v>160</v>
      </c>
      <c r="Q89" s="80">
        <f t="shared" si="12"/>
        <v>195</v>
      </c>
      <c r="R89" s="80">
        <f t="shared" si="13"/>
        <v>100</v>
      </c>
      <c r="S89" s="77">
        <f t="shared" si="14"/>
        <v>695</v>
      </c>
      <c r="T89" s="77">
        <f>50</f>
        <v>50</v>
      </c>
      <c r="U89" s="78"/>
      <c r="V89" s="78"/>
      <c r="W89" s="78"/>
      <c r="X89" s="78"/>
      <c r="Y89" s="78"/>
      <c r="Z89" s="78"/>
      <c r="AA89" s="78"/>
      <c r="AB89" s="78"/>
      <c r="AC89" s="78"/>
      <c r="AD89" s="78"/>
    </row>
    <row r="90" spans="1:30" ht="15.75" x14ac:dyDescent="0.25">
      <c r="A90" s="13">
        <v>43647</v>
      </c>
      <c r="B90" s="91">
        <v>31</v>
      </c>
      <c r="C90" s="77">
        <f>194.205</f>
        <v>194.20500000000001</v>
      </c>
      <c r="D90" s="77">
        <f>267.466</f>
        <v>267.46600000000001</v>
      </c>
      <c r="E90" s="86">
        <f>133.845</f>
        <v>133.845</v>
      </c>
      <c r="F90" s="77">
        <f>278.484-40-25-60-100</f>
        <v>53.48399999999998</v>
      </c>
      <c r="G90" s="80">
        <v>40</v>
      </c>
      <c r="H90" s="77">
        <f t="shared" si="15"/>
        <v>185</v>
      </c>
      <c r="I90" s="77">
        <f t="shared" si="8"/>
        <v>0</v>
      </c>
      <c r="J90" s="80">
        <v>100</v>
      </c>
      <c r="K90" s="80">
        <v>300</v>
      </c>
      <c r="L90" s="77">
        <f t="shared" si="11"/>
        <v>1274</v>
      </c>
      <c r="M90" s="88">
        <v>400</v>
      </c>
      <c r="N90" s="77">
        <f>30</f>
        <v>30</v>
      </c>
      <c r="O90" s="80">
        <v>240</v>
      </c>
      <c r="P90" s="80">
        <v>160</v>
      </c>
      <c r="Q90" s="80">
        <f t="shared" si="12"/>
        <v>195</v>
      </c>
      <c r="R90" s="80">
        <f t="shared" si="13"/>
        <v>100</v>
      </c>
      <c r="S90" s="77">
        <f t="shared" si="14"/>
        <v>695</v>
      </c>
      <c r="T90" s="77">
        <f>0</f>
        <v>0</v>
      </c>
      <c r="U90" s="78"/>
      <c r="V90" s="78"/>
      <c r="W90" s="78"/>
      <c r="X90" s="78"/>
      <c r="Y90" s="78"/>
      <c r="Z90" s="78"/>
      <c r="AA90" s="78"/>
      <c r="AB90" s="78"/>
      <c r="AC90" s="78"/>
      <c r="AD90" s="78"/>
    </row>
    <row r="91" spans="1:30" ht="15.75" x14ac:dyDescent="0.25">
      <c r="A91" s="13">
        <v>43678</v>
      </c>
      <c r="B91" s="91">
        <v>31</v>
      </c>
      <c r="C91" s="77">
        <f>194.205</f>
        <v>194.20500000000001</v>
      </c>
      <c r="D91" s="77">
        <f>267.466</f>
        <v>267.46600000000001</v>
      </c>
      <c r="E91" s="86">
        <f>133.845</f>
        <v>133.845</v>
      </c>
      <c r="F91" s="77">
        <f>278.484-40-25-60-100</f>
        <v>53.48399999999998</v>
      </c>
      <c r="G91" s="80">
        <v>40</v>
      </c>
      <c r="H91" s="77">
        <f t="shared" si="15"/>
        <v>185</v>
      </c>
      <c r="I91" s="77">
        <f t="shared" si="8"/>
        <v>0</v>
      </c>
      <c r="J91" s="80">
        <v>100</v>
      </c>
      <c r="K91" s="80">
        <v>300</v>
      </c>
      <c r="L91" s="77">
        <f t="shared" si="11"/>
        <v>1274</v>
      </c>
      <c r="M91" s="88">
        <v>400</v>
      </c>
      <c r="N91" s="77">
        <f>30</f>
        <v>30</v>
      </c>
      <c r="O91" s="80">
        <v>240</v>
      </c>
      <c r="P91" s="80">
        <v>160</v>
      </c>
      <c r="Q91" s="80">
        <f t="shared" si="12"/>
        <v>195</v>
      </c>
      <c r="R91" s="80">
        <f t="shared" si="13"/>
        <v>100</v>
      </c>
      <c r="S91" s="77">
        <f t="shared" si="14"/>
        <v>695</v>
      </c>
      <c r="T91" s="77">
        <f>0</f>
        <v>0</v>
      </c>
      <c r="U91" s="78"/>
      <c r="V91" s="78"/>
      <c r="W91" s="78"/>
      <c r="X91" s="78"/>
      <c r="Y91" s="78"/>
      <c r="Z91" s="78"/>
      <c r="AA91" s="78"/>
      <c r="AB91" s="78"/>
      <c r="AC91" s="78"/>
      <c r="AD91" s="78"/>
    </row>
    <row r="92" spans="1:30" ht="15.75" x14ac:dyDescent="0.25">
      <c r="A92" s="13">
        <v>43709</v>
      </c>
      <c r="B92" s="91">
        <v>30</v>
      </c>
      <c r="C92" s="77">
        <f>194.205</f>
        <v>194.20500000000001</v>
      </c>
      <c r="D92" s="77">
        <f>267.466</f>
        <v>267.46600000000001</v>
      </c>
      <c r="E92" s="86">
        <f>133.845</f>
        <v>133.845</v>
      </c>
      <c r="F92" s="77">
        <f>278.484-40-25-60-100</f>
        <v>53.48399999999998</v>
      </c>
      <c r="G92" s="80">
        <v>40</v>
      </c>
      <c r="H92" s="77">
        <f t="shared" si="15"/>
        <v>185</v>
      </c>
      <c r="I92" s="77">
        <f t="shared" si="8"/>
        <v>0</v>
      </c>
      <c r="J92" s="80">
        <v>100</v>
      </c>
      <c r="K92" s="80">
        <v>300</v>
      </c>
      <c r="L92" s="77">
        <f t="shared" si="11"/>
        <v>1274</v>
      </c>
      <c r="M92" s="88">
        <v>400</v>
      </c>
      <c r="N92" s="77">
        <f>30</f>
        <v>30</v>
      </c>
      <c r="O92" s="80">
        <v>240</v>
      </c>
      <c r="P92" s="80">
        <v>160</v>
      </c>
      <c r="Q92" s="80">
        <f t="shared" si="12"/>
        <v>195</v>
      </c>
      <c r="R92" s="80">
        <f t="shared" si="13"/>
        <v>100</v>
      </c>
      <c r="S92" s="77">
        <f t="shared" si="14"/>
        <v>695</v>
      </c>
      <c r="T92" s="77">
        <f>0</f>
        <v>0</v>
      </c>
      <c r="U92" s="78"/>
      <c r="V92" s="78"/>
      <c r="W92" s="78"/>
      <c r="X92" s="78"/>
      <c r="Y92" s="78"/>
      <c r="Z92" s="78"/>
      <c r="AA92" s="78"/>
      <c r="AB92" s="78"/>
      <c r="AC92" s="78"/>
      <c r="AD92" s="78"/>
    </row>
    <row r="93" spans="1:30" ht="15.75" x14ac:dyDescent="0.25">
      <c r="A93" s="13">
        <v>43739</v>
      </c>
      <c r="B93" s="91">
        <v>31</v>
      </c>
      <c r="C93" s="77">
        <f>131.881</f>
        <v>131.881</v>
      </c>
      <c r="D93" s="77">
        <f>277.167</f>
        <v>277.16699999999997</v>
      </c>
      <c r="E93" s="86">
        <f>79.08</f>
        <v>79.08</v>
      </c>
      <c r="F93" s="77">
        <f>350.872-40-25-60-100</f>
        <v>125.87200000000001</v>
      </c>
      <c r="G93" s="80">
        <v>40</v>
      </c>
      <c r="H93" s="77">
        <f t="shared" si="15"/>
        <v>185</v>
      </c>
      <c r="I93" s="77">
        <f t="shared" si="8"/>
        <v>0</v>
      </c>
      <c r="J93" s="80">
        <v>100</v>
      </c>
      <c r="K93" s="80">
        <v>300</v>
      </c>
      <c r="L93" s="77">
        <f t="shared" si="11"/>
        <v>1239</v>
      </c>
      <c r="M93" s="88">
        <v>400</v>
      </c>
      <c r="N93" s="77">
        <f>75</f>
        <v>75</v>
      </c>
      <c r="O93" s="80">
        <v>240</v>
      </c>
      <c r="P93" s="80">
        <v>160</v>
      </c>
      <c r="Q93" s="80">
        <f t="shared" si="12"/>
        <v>195</v>
      </c>
      <c r="R93" s="80">
        <f t="shared" si="13"/>
        <v>100</v>
      </c>
      <c r="S93" s="77">
        <f t="shared" si="14"/>
        <v>695</v>
      </c>
      <c r="T93" s="77">
        <f>0</f>
        <v>0</v>
      </c>
      <c r="U93" s="78"/>
      <c r="V93" s="78"/>
      <c r="W93" s="78"/>
      <c r="X93" s="78"/>
      <c r="Y93" s="78"/>
      <c r="Z93" s="78"/>
      <c r="AA93" s="78"/>
      <c r="AB93" s="78"/>
      <c r="AC93" s="78"/>
      <c r="AD93" s="78"/>
    </row>
    <row r="94" spans="1:30" ht="15.75" x14ac:dyDescent="0.25">
      <c r="A94" s="13">
        <v>43770</v>
      </c>
      <c r="B94" s="91">
        <v>30</v>
      </c>
      <c r="C94" s="77">
        <f>122.58</f>
        <v>122.58</v>
      </c>
      <c r="D94" s="77">
        <f>297.941</f>
        <v>297.94099999999997</v>
      </c>
      <c r="E94" s="86">
        <f>89.177</f>
        <v>89.177000000000007</v>
      </c>
      <c r="F94" s="77">
        <f>240.302-40-60-100</f>
        <v>40.301999999999992</v>
      </c>
      <c r="G94" s="80">
        <v>40</v>
      </c>
      <c r="H94" s="77">
        <f>60+100</f>
        <v>160</v>
      </c>
      <c r="I94" s="77">
        <f t="shared" si="8"/>
        <v>0</v>
      </c>
      <c r="J94" s="80">
        <v>100</v>
      </c>
      <c r="K94" s="80">
        <v>300</v>
      </c>
      <c r="L94" s="77">
        <f t="shared" si="11"/>
        <v>1150</v>
      </c>
      <c r="M94" s="88">
        <v>400</v>
      </c>
      <c r="N94" s="77">
        <f>100</f>
        <v>100</v>
      </c>
      <c r="O94" s="80">
        <v>240</v>
      </c>
      <c r="P94" s="80">
        <v>40</v>
      </c>
      <c r="Q94" s="80">
        <f t="shared" si="12"/>
        <v>315</v>
      </c>
      <c r="R94" s="80">
        <f t="shared" si="13"/>
        <v>100</v>
      </c>
      <c r="S94" s="77">
        <f t="shared" si="14"/>
        <v>695</v>
      </c>
      <c r="T94" s="77">
        <f>50</f>
        <v>50</v>
      </c>
      <c r="U94" s="78"/>
      <c r="V94" s="78"/>
      <c r="W94" s="78"/>
      <c r="X94" s="78"/>
      <c r="Y94" s="78"/>
      <c r="Z94" s="78"/>
      <c r="AA94" s="78"/>
      <c r="AB94" s="78"/>
      <c r="AC94" s="78"/>
      <c r="AD94" s="78"/>
    </row>
    <row r="95" spans="1:30" ht="15.75" x14ac:dyDescent="0.25">
      <c r="A95" s="13">
        <v>43800</v>
      </c>
      <c r="B95" s="91">
        <v>31</v>
      </c>
      <c r="C95" s="77">
        <f>122.58</f>
        <v>122.58</v>
      </c>
      <c r="D95" s="77">
        <f>297.941</f>
        <v>297.94099999999997</v>
      </c>
      <c r="E95" s="86">
        <f>89.177</f>
        <v>89.177000000000007</v>
      </c>
      <c r="F95" s="77">
        <f>240.302-40-60-100</f>
        <v>40.301999999999992</v>
      </c>
      <c r="G95" s="80">
        <v>40</v>
      </c>
      <c r="H95" s="77">
        <f>60+100</f>
        <v>160</v>
      </c>
      <c r="I95" s="77">
        <f t="shared" si="8"/>
        <v>0</v>
      </c>
      <c r="J95" s="80">
        <v>100</v>
      </c>
      <c r="K95" s="80">
        <v>300</v>
      </c>
      <c r="L95" s="77">
        <f t="shared" si="11"/>
        <v>1150</v>
      </c>
      <c r="M95" s="88">
        <v>400</v>
      </c>
      <c r="N95" s="77">
        <f>100</f>
        <v>100</v>
      </c>
      <c r="O95" s="80">
        <v>240</v>
      </c>
      <c r="P95" s="80">
        <v>40</v>
      </c>
      <c r="Q95" s="80">
        <f t="shared" si="12"/>
        <v>315</v>
      </c>
      <c r="R95" s="80">
        <f t="shared" si="13"/>
        <v>100</v>
      </c>
      <c r="S95" s="77">
        <f t="shared" si="14"/>
        <v>695</v>
      </c>
      <c r="T95" s="77">
        <f>50</f>
        <v>50</v>
      </c>
      <c r="U95" s="78"/>
      <c r="V95" s="78"/>
      <c r="W95" s="78"/>
      <c r="X95" s="78"/>
      <c r="Y95" s="78"/>
      <c r="Z95" s="78"/>
      <c r="AA95" s="78"/>
      <c r="AB95" s="78"/>
      <c r="AC95" s="78"/>
      <c r="AD95" s="78"/>
    </row>
    <row r="96" spans="1:30" ht="15.75" x14ac:dyDescent="0.25">
      <c r="A96" s="13">
        <v>43831</v>
      </c>
      <c r="B96" s="91">
        <v>31</v>
      </c>
      <c r="C96" s="77">
        <f>122.58</f>
        <v>122.58</v>
      </c>
      <c r="D96" s="77">
        <f>297.941</f>
        <v>297.94099999999997</v>
      </c>
      <c r="E96" s="86">
        <f>89.177</f>
        <v>89.177000000000007</v>
      </c>
      <c r="F96" s="77">
        <f>240.302-40-60-100</f>
        <v>40.301999999999992</v>
      </c>
      <c r="G96" s="80">
        <v>40</v>
      </c>
      <c r="H96" s="77">
        <f>60+100</f>
        <v>160</v>
      </c>
      <c r="I96" s="77">
        <f t="shared" si="8"/>
        <v>0</v>
      </c>
      <c r="J96" s="80">
        <v>100</v>
      </c>
      <c r="K96" s="80">
        <v>300</v>
      </c>
      <c r="L96" s="77">
        <f t="shared" si="11"/>
        <v>1150</v>
      </c>
      <c r="M96" s="88">
        <v>400</v>
      </c>
      <c r="N96" s="77">
        <f>100</f>
        <v>100</v>
      </c>
      <c r="O96" s="80">
        <v>240</v>
      </c>
      <c r="P96" s="80">
        <v>40</v>
      </c>
      <c r="Q96" s="80">
        <f t="shared" si="12"/>
        <v>315</v>
      </c>
      <c r="R96" s="80">
        <f t="shared" si="13"/>
        <v>100</v>
      </c>
      <c r="S96" s="77">
        <f t="shared" si="14"/>
        <v>695</v>
      </c>
      <c r="T96" s="77">
        <f>50</f>
        <v>50</v>
      </c>
      <c r="U96" s="78"/>
      <c r="V96" s="78"/>
      <c r="W96" s="78"/>
      <c r="X96" s="78"/>
      <c r="Y96" s="78"/>
      <c r="Z96" s="78"/>
      <c r="AA96" s="78"/>
      <c r="AB96" s="78"/>
      <c r="AC96" s="78"/>
      <c r="AD96" s="78"/>
    </row>
    <row r="97" spans="1:30" ht="15.75" x14ac:dyDescent="0.25">
      <c r="A97" s="13">
        <v>43862</v>
      </c>
      <c r="B97" s="91">
        <v>29</v>
      </c>
      <c r="C97" s="77">
        <f>122.58</f>
        <v>122.58</v>
      </c>
      <c r="D97" s="77">
        <f>297.941</f>
        <v>297.94099999999997</v>
      </c>
      <c r="E97" s="86">
        <f>89.177</f>
        <v>89.177000000000007</v>
      </c>
      <c r="F97" s="77">
        <f>240.302-40-60-100</f>
        <v>40.301999999999992</v>
      </c>
      <c r="G97" s="80">
        <v>40</v>
      </c>
      <c r="H97" s="77">
        <f>60+100</f>
        <v>160</v>
      </c>
      <c r="I97" s="77">
        <f t="shared" si="8"/>
        <v>0</v>
      </c>
      <c r="J97" s="80">
        <v>100</v>
      </c>
      <c r="K97" s="80">
        <v>300</v>
      </c>
      <c r="L97" s="77">
        <f t="shared" si="11"/>
        <v>1150</v>
      </c>
      <c r="M97" s="88">
        <v>400</v>
      </c>
      <c r="N97" s="77">
        <f>100</f>
        <v>100</v>
      </c>
      <c r="O97" s="80">
        <v>240</v>
      </c>
      <c r="P97" s="80">
        <v>40</v>
      </c>
      <c r="Q97" s="80">
        <f t="shared" si="12"/>
        <v>315</v>
      </c>
      <c r="R97" s="80">
        <f t="shared" si="13"/>
        <v>100</v>
      </c>
      <c r="S97" s="77">
        <f t="shared" si="14"/>
        <v>695</v>
      </c>
      <c r="T97" s="77">
        <f>50</f>
        <v>50</v>
      </c>
      <c r="U97" s="78"/>
      <c r="V97" s="78"/>
      <c r="W97" s="78"/>
      <c r="X97" s="78"/>
      <c r="Y97" s="78"/>
      <c r="Z97" s="78"/>
      <c r="AA97" s="78"/>
      <c r="AB97" s="78"/>
      <c r="AC97" s="78"/>
      <c r="AD97" s="78"/>
    </row>
    <row r="98" spans="1:30" ht="15.75" x14ac:dyDescent="0.25">
      <c r="A98" s="13">
        <v>43891</v>
      </c>
      <c r="B98" s="91">
        <v>31</v>
      </c>
      <c r="C98" s="77">
        <f>122.58</f>
        <v>122.58</v>
      </c>
      <c r="D98" s="77">
        <f>297.941</f>
        <v>297.94099999999997</v>
      </c>
      <c r="E98" s="86">
        <f>89.177</f>
        <v>89.177000000000007</v>
      </c>
      <c r="F98" s="77">
        <f>240.302-40-60-100</f>
        <v>40.301999999999992</v>
      </c>
      <c r="G98" s="80">
        <v>40</v>
      </c>
      <c r="H98" s="77">
        <f>60+100</f>
        <v>160</v>
      </c>
      <c r="I98" s="77">
        <f t="shared" si="8"/>
        <v>0</v>
      </c>
      <c r="J98" s="80">
        <v>100</v>
      </c>
      <c r="K98" s="80">
        <v>300</v>
      </c>
      <c r="L98" s="77">
        <f t="shared" si="11"/>
        <v>1150</v>
      </c>
      <c r="M98" s="88">
        <v>400</v>
      </c>
      <c r="N98" s="77">
        <f>100</f>
        <v>100</v>
      </c>
      <c r="O98" s="80">
        <v>240</v>
      </c>
      <c r="P98" s="80">
        <v>40</v>
      </c>
      <c r="Q98" s="80">
        <f t="shared" si="12"/>
        <v>315</v>
      </c>
      <c r="R98" s="80">
        <f t="shared" si="13"/>
        <v>100</v>
      </c>
      <c r="S98" s="77">
        <f t="shared" si="14"/>
        <v>695</v>
      </c>
      <c r="T98" s="77">
        <f>50</f>
        <v>50</v>
      </c>
      <c r="U98" s="78"/>
      <c r="V98" s="78"/>
      <c r="W98" s="78"/>
      <c r="X98" s="78"/>
      <c r="Y98" s="78"/>
      <c r="Z98" s="78"/>
      <c r="AA98" s="78"/>
      <c r="AB98" s="78"/>
      <c r="AC98" s="78"/>
      <c r="AD98" s="78"/>
    </row>
    <row r="99" spans="1:30" ht="15.75" x14ac:dyDescent="0.25">
      <c r="A99" s="13">
        <v>43922</v>
      </c>
      <c r="B99" s="91">
        <v>30</v>
      </c>
      <c r="C99" s="77">
        <f>141.293</f>
        <v>141.29300000000001</v>
      </c>
      <c r="D99" s="77">
        <f>267.993</f>
        <v>267.99299999999999</v>
      </c>
      <c r="E99" s="86">
        <f>115.016</f>
        <v>115.01600000000001</v>
      </c>
      <c r="F99" s="77">
        <f>314.698-40-25-60-100</f>
        <v>89.697999999999979</v>
      </c>
      <c r="G99" s="80">
        <v>40</v>
      </c>
      <c r="H99" s="77">
        <f t="shared" ref="H99:H105" si="16">25+60+100</f>
        <v>185</v>
      </c>
      <c r="I99" s="77">
        <f t="shared" si="8"/>
        <v>0</v>
      </c>
      <c r="J99" s="80">
        <v>100</v>
      </c>
      <c r="K99" s="80">
        <v>300</v>
      </c>
      <c r="L99" s="77">
        <f t="shared" si="11"/>
        <v>1239</v>
      </c>
      <c r="M99" s="88">
        <v>400</v>
      </c>
      <c r="N99" s="77">
        <f>100</f>
        <v>100</v>
      </c>
      <c r="O99" s="80">
        <v>240</v>
      </c>
      <c r="P99" s="80">
        <v>160</v>
      </c>
      <c r="Q99" s="80">
        <f t="shared" si="12"/>
        <v>195</v>
      </c>
      <c r="R99" s="80">
        <f t="shared" si="13"/>
        <v>100</v>
      </c>
      <c r="S99" s="77">
        <f t="shared" si="14"/>
        <v>695</v>
      </c>
      <c r="T99" s="77">
        <f>50</f>
        <v>50</v>
      </c>
      <c r="U99" s="78"/>
      <c r="V99" s="78"/>
      <c r="W99" s="78"/>
      <c r="X99" s="78"/>
      <c r="Y99" s="78"/>
      <c r="Z99" s="78"/>
      <c r="AA99" s="78"/>
      <c r="AB99" s="78"/>
      <c r="AC99" s="78"/>
      <c r="AD99" s="78"/>
    </row>
    <row r="100" spans="1:30" ht="15.75" x14ac:dyDescent="0.25">
      <c r="A100" s="13">
        <v>43952</v>
      </c>
      <c r="B100" s="91">
        <v>31</v>
      </c>
      <c r="C100" s="77">
        <f>194.205</f>
        <v>194.20500000000001</v>
      </c>
      <c r="D100" s="77">
        <f>267.466</f>
        <v>267.46600000000001</v>
      </c>
      <c r="E100" s="86">
        <f>133.845</f>
        <v>133.845</v>
      </c>
      <c r="F100" s="77">
        <f>278.484-40-25-60-100</f>
        <v>53.48399999999998</v>
      </c>
      <c r="G100" s="80">
        <v>40</v>
      </c>
      <c r="H100" s="77">
        <f t="shared" si="16"/>
        <v>185</v>
      </c>
      <c r="I100" s="77">
        <f t="shared" si="8"/>
        <v>0</v>
      </c>
      <c r="J100" s="80">
        <v>100</v>
      </c>
      <c r="K100" s="80">
        <v>300</v>
      </c>
      <c r="L100" s="77">
        <f t="shared" si="11"/>
        <v>1274</v>
      </c>
      <c r="M100" s="88">
        <v>600</v>
      </c>
      <c r="N100" s="77">
        <f>75</f>
        <v>75</v>
      </c>
      <c r="O100" s="80">
        <v>240</v>
      </c>
      <c r="P100" s="80">
        <v>160</v>
      </c>
      <c r="Q100" s="80">
        <f t="shared" si="12"/>
        <v>195</v>
      </c>
      <c r="R100" s="80">
        <f t="shared" si="13"/>
        <v>100</v>
      </c>
      <c r="S100" s="77">
        <f t="shared" si="14"/>
        <v>695</v>
      </c>
      <c r="T100" s="77">
        <f>50</f>
        <v>50</v>
      </c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</row>
    <row r="101" spans="1:30" ht="15.75" x14ac:dyDescent="0.25">
      <c r="A101" s="13">
        <v>43983</v>
      </c>
      <c r="B101" s="91">
        <v>30</v>
      </c>
      <c r="C101" s="77">
        <f>194.205</f>
        <v>194.20500000000001</v>
      </c>
      <c r="D101" s="77">
        <f>267.466</f>
        <v>267.46600000000001</v>
      </c>
      <c r="E101" s="86">
        <f>133.845</f>
        <v>133.845</v>
      </c>
      <c r="F101" s="77">
        <f>278.484-40-25-60-100</f>
        <v>53.48399999999998</v>
      </c>
      <c r="G101" s="80">
        <v>40</v>
      </c>
      <c r="H101" s="77">
        <f t="shared" si="16"/>
        <v>185</v>
      </c>
      <c r="I101" s="77">
        <f t="shared" si="8"/>
        <v>0</v>
      </c>
      <c r="J101" s="80">
        <v>100</v>
      </c>
      <c r="K101" s="80">
        <v>300</v>
      </c>
      <c r="L101" s="77">
        <f t="shared" si="11"/>
        <v>1274</v>
      </c>
      <c r="M101" s="88">
        <v>600</v>
      </c>
      <c r="N101" s="77">
        <f>30</f>
        <v>30</v>
      </c>
      <c r="O101" s="80">
        <v>240</v>
      </c>
      <c r="P101" s="80">
        <v>160</v>
      </c>
      <c r="Q101" s="80">
        <f t="shared" si="12"/>
        <v>195</v>
      </c>
      <c r="R101" s="80">
        <f t="shared" si="13"/>
        <v>100</v>
      </c>
      <c r="S101" s="77">
        <f t="shared" si="14"/>
        <v>695</v>
      </c>
      <c r="T101" s="77">
        <f>50</f>
        <v>50</v>
      </c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</row>
    <row r="102" spans="1:30" ht="15.75" x14ac:dyDescent="0.25">
      <c r="A102" s="13">
        <v>44013</v>
      </c>
      <c r="B102" s="91">
        <v>31</v>
      </c>
      <c r="C102" s="77">
        <f>194.205</f>
        <v>194.20500000000001</v>
      </c>
      <c r="D102" s="77">
        <f>267.466</f>
        <v>267.46600000000001</v>
      </c>
      <c r="E102" s="86">
        <f>133.845</f>
        <v>133.845</v>
      </c>
      <c r="F102" s="77">
        <f>278.484-40-25-60-100</f>
        <v>53.48399999999998</v>
      </c>
      <c r="G102" s="80">
        <v>40</v>
      </c>
      <c r="H102" s="77">
        <f t="shared" si="16"/>
        <v>185</v>
      </c>
      <c r="I102" s="77">
        <f t="shared" si="8"/>
        <v>0</v>
      </c>
      <c r="J102" s="80">
        <v>100</v>
      </c>
      <c r="K102" s="80">
        <v>300</v>
      </c>
      <c r="L102" s="77">
        <f t="shared" si="11"/>
        <v>1274</v>
      </c>
      <c r="M102" s="88">
        <v>600</v>
      </c>
      <c r="N102" s="77">
        <f>30</f>
        <v>30</v>
      </c>
      <c r="O102" s="80">
        <v>240</v>
      </c>
      <c r="P102" s="80">
        <v>160</v>
      </c>
      <c r="Q102" s="80">
        <f t="shared" si="12"/>
        <v>195</v>
      </c>
      <c r="R102" s="80">
        <f t="shared" si="13"/>
        <v>100</v>
      </c>
      <c r="S102" s="77">
        <f t="shared" si="14"/>
        <v>695</v>
      </c>
      <c r="T102" s="77">
        <f>0</f>
        <v>0</v>
      </c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</row>
    <row r="103" spans="1:30" ht="15.75" x14ac:dyDescent="0.25">
      <c r="A103" s="13">
        <v>44044</v>
      </c>
      <c r="B103" s="91">
        <v>31</v>
      </c>
      <c r="C103" s="77">
        <f>194.205</f>
        <v>194.20500000000001</v>
      </c>
      <c r="D103" s="77">
        <f>267.466</f>
        <v>267.46600000000001</v>
      </c>
      <c r="E103" s="86">
        <f>133.845</f>
        <v>133.845</v>
      </c>
      <c r="F103" s="77">
        <f>278.484-40-25-60-100</f>
        <v>53.48399999999998</v>
      </c>
      <c r="G103" s="80">
        <v>40</v>
      </c>
      <c r="H103" s="77">
        <f t="shared" si="16"/>
        <v>185</v>
      </c>
      <c r="I103" s="77">
        <f t="shared" si="8"/>
        <v>0</v>
      </c>
      <c r="J103" s="80">
        <v>100</v>
      </c>
      <c r="K103" s="80">
        <v>300</v>
      </c>
      <c r="L103" s="77">
        <f t="shared" si="11"/>
        <v>1274</v>
      </c>
      <c r="M103" s="88">
        <v>600</v>
      </c>
      <c r="N103" s="77">
        <f>30</f>
        <v>30</v>
      </c>
      <c r="O103" s="80">
        <v>240</v>
      </c>
      <c r="P103" s="80">
        <v>160</v>
      </c>
      <c r="Q103" s="80">
        <f t="shared" si="12"/>
        <v>195</v>
      </c>
      <c r="R103" s="80">
        <f t="shared" si="13"/>
        <v>100</v>
      </c>
      <c r="S103" s="77">
        <f t="shared" si="14"/>
        <v>695</v>
      </c>
      <c r="T103" s="77">
        <f>0</f>
        <v>0</v>
      </c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</row>
    <row r="104" spans="1:30" ht="15.75" x14ac:dyDescent="0.25">
      <c r="A104" s="13">
        <v>44075</v>
      </c>
      <c r="B104" s="91">
        <v>30</v>
      </c>
      <c r="C104" s="77">
        <f>194.205</f>
        <v>194.20500000000001</v>
      </c>
      <c r="D104" s="77">
        <f>267.466</f>
        <v>267.46600000000001</v>
      </c>
      <c r="E104" s="86">
        <f>133.845</f>
        <v>133.845</v>
      </c>
      <c r="F104" s="77">
        <f>278.484-40-25-60-100</f>
        <v>53.48399999999998</v>
      </c>
      <c r="G104" s="80">
        <v>40</v>
      </c>
      <c r="H104" s="77">
        <f t="shared" si="16"/>
        <v>185</v>
      </c>
      <c r="I104" s="77">
        <f t="shared" si="8"/>
        <v>0</v>
      </c>
      <c r="J104" s="80">
        <v>100</v>
      </c>
      <c r="K104" s="80">
        <v>300</v>
      </c>
      <c r="L104" s="77">
        <f t="shared" si="11"/>
        <v>1274</v>
      </c>
      <c r="M104" s="88">
        <v>600</v>
      </c>
      <c r="N104" s="77">
        <f>30</f>
        <v>30</v>
      </c>
      <c r="O104" s="80">
        <v>240</v>
      </c>
      <c r="P104" s="80">
        <v>160</v>
      </c>
      <c r="Q104" s="80">
        <f t="shared" si="12"/>
        <v>195</v>
      </c>
      <c r="R104" s="80">
        <f t="shared" si="13"/>
        <v>100</v>
      </c>
      <c r="S104" s="77">
        <f t="shared" si="14"/>
        <v>695</v>
      </c>
      <c r="T104" s="77">
        <f>0</f>
        <v>0</v>
      </c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</row>
    <row r="105" spans="1:30" ht="15.75" x14ac:dyDescent="0.25">
      <c r="A105" s="13">
        <v>44105</v>
      </c>
      <c r="B105" s="91">
        <v>31</v>
      </c>
      <c r="C105" s="77">
        <f>131.881</f>
        <v>131.881</v>
      </c>
      <c r="D105" s="77">
        <f>277.167</f>
        <v>277.16699999999997</v>
      </c>
      <c r="E105" s="86">
        <f>79.08</f>
        <v>79.08</v>
      </c>
      <c r="F105" s="77">
        <f>350.872-40-25-60-100</f>
        <v>125.87200000000001</v>
      </c>
      <c r="G105" s="80">
        <v>40</v>
      </c>
      <c r="H105" s="77">
        <f t="shared" si="16"/>
        <v>185</v>
      </c>
      <c r="I105" s="77">
        <f t="shared" si="8"/>
        <v>0</v>
      </c>
      <c r="J105" s="80">
        <v>100</v>
      </c>
      <c r="K105" s="80">
        <v>300</v>
      </c>
      <c r="L105" s="77">
        <f t="shared" si="11"/>
        <v>1239</v>
      </c>
      <c r="M105" s="88">
        <v>600</v>
      </c>
      <c r="N105" s="77">
        <f>75</f>
        <v>75</v>
      </c>
      <c r="O105" s="80">
        <v>240</v>
      </c>
      <c r="P105" s="80">
        <v>160</v>
      </c>
      <c r="Q105" s="80">
        <f t="shared" si="12"/>
        <v>195</v>
      </c>
      <c r="R105" s="80">
        <f t="shared" si="13"/>
        <v>100</v>
      </c>
      <c r="S105" s="77">
        <f t="shared" si="14"/>
        <v>695</v>
      </c>
      <c r="T105" s="77">
        <f>0</f>
        <v>0</v>
      </c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</row>
    <row r="106" spans="1:30" ht="15.75" x14ac:dyDescent="0.25">
      <c r="A106" s="13">
        <v>44136</v>
      </c>
      <c r="B106" s="91">
        <v>30</v>
      </c>
      <c r="C106" s="77">
        <f>122.58</f>
        <v>122.58</v>
      </c>
      <c r="D106" s="77">
        <f>297.941</f>
        <v>297.94099999999997</v>
      </c>
      <c r="E106" s="86">
        <f>89.177</f>
        <v>89.177000000000007</v>
      </c>
      <c r="F106" s="77">
        <f>240.302-40-60-100</f>
        <v>40.301999999999992</v>
      </c>
      <c r="G106" s="80">
        <v>40</v>
      </c>
      <c r="H106" s="77">
        <f>60+100</f>
        <v>160</v>
      </c>
      <c r="I106" s="77">
        <f t="shared" si="8"/>
        <v>0</v>
      </c>
      <c r="J106" s="80">
        <v>100</v>
      </c>
      <c r="K106" s="80">
        <v>300</v>
      </c>
      <c r="L106" s="77">
        <f t="shared" si="11"/>
        <v>1150</v>
      </c>
      <c r="M106" s="88">
        <v>600</v>
      </c>
      <c r="N106" s="77">
        <f>100</f>
        <v>100</v>
      </c>
      <c r="O106" s="80">
        <v>240</v>
      </c>
      <c r="P106" s="80">
        <v>40</v>
      </c>
      <c r="Q106" s="80">
        <f t="shared" si="12"/>
        <v>315</v>
      </c>
      <c r="R106" s="80">
        <f t="shared" si="13"/>
        <v>100</v>
      </c>
      <c r="S106" s="77">
        <f t="shared" si="14"/>
        <v>695</v>
      </c>
      <c r="T106" s="77">
        <f>50</f>
        <v>50</v>
      </c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</row>
    <row r="107" spans="1:30" ht="15.75" x14ac:dyDescent="0.25">
      <c r="A107" s="13">
        <v>44166</v>
      </c>
      <c r="B107" s="91">
        <v>31</v>
      </c>
      <c r="C107" s="77">
        <f>122.58</f>
        <v>122.58</v>
      </c>
      <c r="D107" s="77">
        <f>297.941</f>
        <v>297.94099999999997</v>
      </c>
      <c r="E107" s="86">
        <f>89.177</f>
        <v>89.177000000000007</v>
      </c>
      <c r="F107" s="77">
        <f>240.302-40-60-100</f>
        <v>40.301999999999992</v>
      </c>
      <c r="G107" s="80">
        <v>40</v>
      </c>
      <c r="H107" s="77">
        <f>60+100</f>
        <v>160</v>
      </c>
      <c r="I107" s="77">
        <f t="shared" si="8"/>
        <v>0</v>
      </c>
      <c r="J107" s="80">
        <v>100</v>
      </c>
      <c r="K107" s="80">
        <v>300</v>
      </c>
      <c r="L107" s="77">
        <f t="shared" si="11"/>
        <v>1150</v>
      </c>
      <c r="M107" s="88">
        <v>600</v>
      </c>
      <c r="N107" s="77">
        <f>100</f>
        <v>100</v>
      </c>
      <c r="O107" s="80">
        <v>240</v>
      </c>
      <c r="P107" s="80">
        <v>40</v>
      </c>
      <c r="Q107" s="80">
        <f t="shared" si="12"/>
        <v>315</v>
      </c>
      <c r="R107" s="80">
        <f t="shared" si="13"/>
        <v>100</v>
      </c>
      <c r="S107" s="77">
        <f t="shared" si="14"/>
        <v>695</v>
      </c>
      <c r="T107" s="77">
        <f>50</f>
        <v>50</v>
      </c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</row>
    <row r="108" spans="1:30" ht="15.75" x14ac:dyDescent="0.25">
      <c r="A108" s="13">
        <v>44197</v>
      </c>
      <c r="B108" s="91">
        <v>31</v>
      </c>
      <c r="C108" s="77">
        <f>122.58</f>
        <v>122.58</v>
      </c>
      <c r="D108" s="77">
        <f>297.941</f>
        <v>297.94099999999997</v>
      </c>
      <c r="E108" s="86">
        <f>89.177</f>
        <v>89.177000000000007</v>
      </c>
      <c r="F108" s="77">
        <f>240.302-40-60-100</f>
        <v>40.301999999999992</v>
      </c>
      <c r="G108" s="80">
        <v>40</v>
      </c>
      <c r="H108" s="77">
        <f>60+100</f>
        <v>160</v>
      </c>
      <c r="I108" s="77">
        <f t="shared" si="8"/>
        <v>0</v>
      </c>
      <c r="J108" s="80">
        <v>100</v>
      </c>
      <c r="K108" s="80">
        <v>300</v>
      </c>
      <c r="L108" s="77">
        <f t="shared" si="11"/>
        <v>1150</v>
      </c>
      <c r="M108" s="88">
        <v>600</v>
      </c>
      <c r="N108" s="77">
        <f>100</f>
        <v>100</v>
      </c>
      <c r="O108" s="80">
        <v>240</v>
      </c>
      <c r="P108" s="80">
        <v>40</v>
      </c>
      <c r="Q108" s="80">
        <f t="shared" si="12"/>
        <v>315</v>
      </c>
      <c r="R108" s="80">
        <f t="shared" si="13"/>
        <v>100</v>
      </c>
      <c r="S108" s="77">
        <f t="shared" si="14"/>
        <v>695</v>
      </c>
      <c r="T108" s="77">
        <f>50</f>
        <v>50</v>
      </c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</row>
    <row r="109" spans="1:30" ht="15.75" x14ac:dyDescent="0.25">
      <c r="A109" s="13">
        <v>44228</v>
      </c>
      <c r="B109" s="91">
        <v>28</v>
      </c>
      <c r="C109" s="77">
        <f>122.58</f>
        <v>122.58</v>
      </c>
      <c r="D109" s="77">
        <f>297.941</f>
        <v>297.94099999999997</v>
      </c>
      <c r="E109" s="86">
        <f>89.177</f>
        <v>89.177000000000007</v>
      </c>
      <c r="F109" s="77">
        <f>240.302-40-60-100</f>
        <v>40.301999999999992</v>
      </c>
      <c r="G109" s="80">
        <v>40</v>
      </c>
      <c r="H109" s="77">
        <f>60+100</f>
        <v>160</v>
      </c>
      <c r="I109" s="77">
        <f t="shared" si="8"/>
        <v>0</v>
      </c>
      <c r="J109" s="80">
        <v>100</v>
      </c>
      <c r="K109" s="80">
        <v>300</v>
      </c>
      <c r="L109" s="77">
        <f t="shared" si="11"/>
        <v>1150</v>
      </c>
      <c r="M109" s="88">
        <v>600</v>
      </c>
      <c r="N109" s="77">
        <f>100</f>
        <v>100</v>
      </c>
      <c r="O109" s="80">
        <v>240</v>
      </c>
      <c r="P109" s="80">
        <v>40</v>
      </c>
      <c r="Q109" s="80">
        <f t="shared" si="12"/>
        <v>315</v>
      </c>
      <c r="R109" s="80">
        <f t="shared" si="13"/>
        <v>100</v>
      </c>
      <c r="S109" s="77">
        <f t="shared" si="14"/>
        <v>695</v>
      </c>
      <c r="T109" s="77">
        <f>50</f>
        <v>50</v>
      </c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</row>
    <row r="110" spans="1:30" ht="15.75" x14ac:dyDescent="0.25">
      <c r="A110" s="13">
        <v>44256</v>
      </c>
      <c r="B110" s="91">
        <v>31</v>
      </c>
      <c r="C110" s="77">
        <f>122.58</f>
        <v>122.58</v>
      </c>
      <c r="D110" s="77">
        <f>297.941</f>
        <v>297.94099999999997</v>
      </c>
      <c r="E110" s="86">
        <f>89.177</f>
        <v>89.177000000000007</v>
      </c>
      <c r="F110" s="77">
        <f>240.302-40-60-100</f>
        <v>40.301999999999992</v>
      </c>
      <c r="G110" s="80">
        <v>40</v>
      </c>
      <c r="H110" s="77">
        <f>60+100</f>
        <v>160</v>
      </c>
      <c r="I110" s="77">
        <f t="shared" si="8"/>
        <v>0</v>
      </c>
      <c r="J110" s="80">
        <v>100</v>
      </c>
      <c r="K110" s="80">
        <v>300</v>
      </c>
      <c r="L110" s="77">
        <f t="shared" si="11"/>
        <v>1150</v>
      </c>
      <c r="M110" s="88">
        <v>600</v>
      </c>
      <c r="N110" s="77">
        <f>100</f>
        <v>100</v>
      </c>
      <c r="O110" s="80">
        <v>240</v>
      </c>
      <c r="P110" s="80">
        <v>40</v>
      </c>
      <c r="Q110" s="80">
        <f t="shared" si="12"/>
        <v>315</v>
      </c>
      <c r="R110" s="80">
        <f t="shared" si="13"/>
        <v>100</v>
      </c>
      <c r="S110" s="77">
        <f t="shared" si="14"/>
        <v>695</v>
      </c>
      <c r="T110" s="77">
        <f>50</f>
        <v>50</v>
      </c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</row>
    <row r="111" spans="1:30" ht="15.75" x14ac:dyDescent="0.25">
      <c r="A111" s="13">
        <v>44287</v>
      </c>
      <c r="B111" s="91">
        <v>30</v>
      </c>
      <c r="C111" s="77">
        <f>141.293</f>
        <v>141.29300000000001</v>
      </c>
      <c r="D111" s="77">
        <f>267.993</f>
        <v>267.99299999999999</v>
      </c>
      <c r="E111" s="86">
        <f>115.016</f>
        <v>115.01600000000001</v>
      </c>
      <c r="F111" s="77">
        <f>314.698-40-25-60-100</f>
        <v>89.697999999999979</v>
      </c>
      <c r="G111" s="80">
        <v>40</v>
      </c>
      <c r="H111" s="77">
        <f t="shared" ref="H111:H117" si="17">25+60+100</f>
        <v>185</v>
      </c>
      <c r="I111" s="77">
        <f t="shared" si="8"/>
        <v>0</v>
      </c>
      <c r="J111" s="80">
        <v>100</v>
      </c>
      <c r="K111" s="80">
        <v>300</v>
      </c>
      <c r="L111" s="77">
        <f t="shared" si="11"/>
        <v>1239</v>
      </c>
      <c r="M111" s="88">
        <v>600</v>
      </c>
      <c r="N111" s="77">
        <f>100</f>
        <v>100</v>
      </c>
      <c r="O111" s="80">
        <v>240</v>
      </c>
      <c r="P111" s="80">
        <v>160</v>
      </c>
      <c r="Q111" s="80">
        <f t="shared" si="12"/>
        <v>195</v>
      </c>
      <c r="R111" s="80">
        <f t="shared" si="13"/>
        <v>100</v>
      </c>
      <c r="S111" s="77">
        <f t="shared" si="14"/>
        <v>695</v>
      </c>
      <c r="T111" s="77">
        <f>50</f>
        <v>50</v>
      </c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</row>
    <row r="112" spans="1:30" ht="15.75" x14ac:dyDescent="0.25">
      <c r="A112" s="13">
        <v>44317</v>
      </c>
      <c r="B112" s="91">
        <v>31</v>
      </c>
      <c r="C112" s="77">
        <f>194.205</f>
        <v>194.20500000000001</v>
      </c>
      <c r="D112" s="77">
        <f>267.466</f>
        <v>267.46600000000001</v>
      </c>
      <c r="E112" s="86">
        <f>133.845</f>
        <v>133.845</v>
      </c>
      <c r="F112" s="77">
        <f>278.484-40-25-60-100</f>
        <v>53.48399999999998</v>
      </c>
      <c r="G112" s="80">
        <v>40</v>
      </c>
      <c r="H112" s="77">
        <f t="shared" si="17"/>
        <v>185</v>
      </c>
      <c r="I112" s="77">
        <f t="shared" si="8"/>
        <v>0</v>
      </c>
      <c r="J112" s="80">
        <v>100</v>
      </c>
      <c r="K112" s="80">
        <v>300</v>
      </c>
      <c r="L112" s="77">
        <f t="shared" si="11"/>
        <v>1274</v>
      </c>
      <c r="M112" s="88">
        <v>600</v>
      </c>
      <c r="N112" s="77">
        <f>75</f>
        <v>75</v>
      </c>
      <c r="O112" s="80">
        <v>240</v>
      </c>
      <c r="P112" s="80">
        <v>160</v>
      </c>
      <c r="Q112" s="80">
        <f t="shared" si="12"/>
        <v>195</v>
      </c>
      <c r="R112" s="80">
        <f t="shared" si="13"/>
        <v>100</v>
      </c>
      <c r="S112" s="77">
        <f t="shared" si="14"/>
        <v>695</v>
      </c>
      <c r="T112" s="77">
        <f>50</f>
        <v>50</v>
      </c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</row>
    <row r="113" spans="1:30" ht="15.75" x14ac:dyDescent="0.25">
      <c r="A113" s="13">
        <v>44348</v>
      </c>
      <c r="B113" s="91">
        <v>30</v>
      </c>
      <c r="C113" s="77">
        <f>194.205</f>
        <v>194.20500000000001</v>
      </c>
      <c r="D113" s="77">
        <f>267.466</f>
        <v>267.46600000000001</v>
      </c>
      <c r="E113" s="86">
        <f>133.845</f>
        <v>133.845</v>
      </c>
      <c r="F113" s="77">
        <f>278.484-40-25-60-100</f>
        <v>53.48399999999998</v>
      </c>
      <c r="G113" s="80">
        <v>40</v>
      </c>
      <c r="H113" s="77">
        <f t="shared" si="17"/>
        <v>185</v>
      </c>
      <c r="I113" s="77">
        <f t="shared" si="8"/>
        <v>0</v>
      </c>
      <c r="J113" s="80">
        <v>100</v>
      </c>
      <c r="K113" s="80">
        <v>300</v>
      </c>
      <c r="L113" s="77">
        <f t="shared" si="11"/>
        <v>1274</v>
      </c>
      <c r="M113" s="88">
        <v>600</v>
      </c>
      <c r="N113" s="77">
        <f>30</f>
        <v>30</v>
      </c>
      <c r="O113" s="80">
        <v>240</v>
      </c>
      <c r="P113" s="80">
        <v>160</v>
      </c>
      <c r="Q113" s="80">
        <f t="shared" si="12"/>
        <v>195</v>
      </c>
      <c r="R113" s="80">
        <f t="shared" si="13"/>
        <v>100</v>
      </c>
      <c r="S113" s="77">
        <f t="shared" si="14"/>
        <v>695</v>
      </c>
      <c r="T113" s="77">
        <f>50</f>
        <v>50</v>
      </c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</row>
    <row r="114" spans="1:30" ht="15.75" x14ac:dyDescent="0.25">
      <c r="A114" s="13">
        <v>44378</v>
      </c>
      <c r="B114" s="91">
        <v>31</v>
      </c>
      <c r="C114" s="77">
        <f>194.205</f>
        <v>194.20500000000001</v>
      </c>
      <c r="D114" s="77">
        <f>267.466</f>
        <v>267.46600000000001</v>
      </c>
      <c r="E114" s="86">
        <f>133.845</f>
        <v>133.845</v>
      </c>
      <c r="F114" s="77">
        <f>278.484-40-25-60-100</f>
        <v>53.48399999999998</v>
      </c>
      <c r="G114" s="80">
        <v>40</v>
      </c>
      <c r="H114" s="77">
        <f t="shared" si="17"/>
        <v>185</v>
      </c>
      <c r="I114" s="77">
        <f t="shared" si="8"/>
        <v>0</v>
      </c>
      <c r="J114" s="80">
        <v>100</v>
      </c>
      <c r="K114" s="80">
        <v>300</v>
      </c>
      <c r="L114" s="77">
        <f t="shared" si="11"/>
        <v>1274</v>
      </c>
      <c r="M114" s="88">
        <v>600</v>
      </c>
      <c r="N114" s="77">
        <f>30</f>
        <v>30</v>
      </c>
      <c r="O114" s="80">
        <v>240</v>
      </c>
      <c r="P114" s="80">
        <v>160</v>
      </c>
      <c r="Q114" s="80">
        <f t="shared" si="12"/>
        <v>195</v>
      </c>
      <c r="R114" s="80">
        <f t="shared" si="13"/>
        <v>100</v>
      </c>
      <c r="S114" s="77">
        <f t="shared" si="14"/>
        <v>695</v>
      </c>
      <c r="T114" s="77">
        <f>0</f>
        <v>0</v>
      </c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</row>
    <row r="115" spans="1:30" ht="15.75" x14ac:dyDescent="0.25">
      <c r="A115" s="13">
        <v>44409</v>
      </c>
      <c r="B115" s="91">
        <v>31</v>
      </c>
      <c r="C115" s="77">
        <f>194.205</f>
        <v>194.20500000000001</v>
      </c>
      <c r="D115" s="77">
        <f>267.466</f>
        <v>267.46600000000001</v>
      </c>
      <c r="E115" s="86">
        <f>133.845</f>
        <v>133.845</v>
      </c>
      <c r="F115" s="77">
        <f>278.484-40-25-60-100</f>
        <v>53.48399999999998</v>
      </c>
      <c r="G115" s="80">
        <v>40</v>
      </c>
      <c r="H115" s="77">
        <f t="shared" si="17"/>
        <v>185</v>
      </c>
      <c r="I115" s="77">
        <f t="shared" si="8"/>
        <v>0</v>
      </c>
      <c r="J115" s="80">
        <v>100</v>
      </c>
      <c r="K115" s="80">
        <v>300</v>
      </c>
      <c r="L115" s="77">
        <f t="shared" si="11"/>
        <v>1274</v>
      </c>
      <c r="M115" s="88">
        <v>600</v>
      </c>
      <c r="N115" s="77">
        <f>30</f>
        <v>30</v>
      </c>
      <c r="O115" s="80">
        <v>240</v>
      </c>
      <c r="P115" s="80">
        <v>160</v>
      </c>
      <c r="Q115" s="80">
        <f t="shared" si="12"/>
        <v>195</v>
      </c>
      <c r="R115" s="80">
        <f t="shared" si="13"/>
        <v>100</v>
      </c>
      <c r="S115" s="77">
        <f t="shared" si="14"/>
        <v>695</v>
      </c>
      <c r="T115" s="77">
        <f>0</f>
        <v>0</v>
      </c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</row>
    <row r="116" spans="1:30" ht="15.75" x14ac:dyDescent="0.25">
      <c r="A116" s="13">
        <v>44440</v>
      </c>
      <c r="B116" s="91">
        <v>30</v>
      </c>
      <c r="C116" s="77">
        <f>194.205</f>
        <v>194.20500000000001</v>
      </c>
      <c r="D116" s="77">
        <f>267.466</f>
        <v>267.46600000000001</v>
      </c>
      <c r="E116" s="86">
        <f>133.845</f>
        <v>133.845</v>
      </c>
      <c r="F116" s="77">
        <f>278.484-40-25-60-100</f>
        <v>53.48399999999998</v>
      </c>
      <c r="G116" s="80">
        <v>40</v>
      </c>
      <c r="H116" s="77">
        <f t="shared" si="17"/>
        <v>185</v>
      </c>
      <c r="I116" s="77">
        <f t="shared" ref="I116:I179" si="18">400-J116-K116</f>
        <v>0</v>
      </c>
      <c r="J116" s="80">
        <v>100</v>
      </c>
      <c r="K116" s="80">
        <v>300</v>
      </c>
      <c r="L116" s="77">
        <f t="shared" si="11"/>
        <v>1274</v>
      </c>
      <c r="M116" s="88">
        <v>600</v>
      </c>
      <c r="N116" s="77">
        <f>30</f>
        <v>30</v>
      </c>
      <c r="O116" s="80">
        <v>240</v>
      </c>
      <c r="P116" s="80">
        <v>160</v>
      </c>
      <c r="Q116" s="80">
        <f t="shared" si="12"/>
        <v>195</v>
      </c>
      <c r="R116" s="80">
        <f t="shared" si="13"/>
        <v>100</v>
      </c>
      <c r="S116" s="77">
        <f t="shared" si="14"/>
        <v>695</v>
      </c>
      <c r="T116" s="77">
        <f>0</f>
        <v>0</v>
      </c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</row>
    <row r="117" spans="1:30" ht="15.75" x14ac:dyDescent="0.25">
      <c r="A117" s="13">
        <v>44470</v>
      </c>
      <c r="B117" s="91">
        <v>31</v>
      </c>
      <c r="C117" s="77">
        <f>131.881</f>
        <v>131.881</v>
      </c>
      <c r="D117" s="77">
        <f>277.167</f>
        <v>277.16699999999997</v>
      </c>
      <c r="E117" s="86">
        <f>79.08</f>
        <v>79.08</v>
      </c>
      <c r="F117" s="77">
        <f>350.872-40-25-60-100</f>
        <v>125.87200000000001</v>
      </c>
      <c r="G117" s="80">
        <v>40</v>
      </c>
      <c r="H117" s="77">
        <f t="shared" si="17"/>
        <v>185</v>
      </c>
      <c r="I117" s="77">
        <f t="shared" si="18"/>
        <v>0</v>
      </c>
      <c r="J117" s="80">
        <v>100</v>
      </c>
      <c r="K117" s="80">
        <v>300</v>
      </c>
      <c r="L117" s="77">
        <f t="shared" si="11"/>
        <v>1239</v>
      </c>
      <c r="M117" s="88">
        <v>600</v>
      </c>
      <c r="N117" s="77">
        <f>75</f>
        <v>75</v>
      </c>
      <c r="O117" s="80">
        <v>240</v>
      </c>
      <c r="P117" s="80">
        <v>160</v>
      </c>
      <c r="Q117" s="80">
        <f t="shared" si="12"/>
        <v>195</v>
      </c>
      <c r="R117" s="80">
        <f t="shared" si="13"/>
        <v>100</v>
      </c>
      <c r="S117" s="77">
        <f t="shared" si="14"/>
        <v>695</v>
      </c>
      <c r="T117" s="77">
        <f>0</f>
        <v>0</v>
      </c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</row>
    <row r="118" spans="1:30" ht="15.75" x14ac:dyDescent="0.25">
      <c r="A118" s="13">
        <v>44501</v>
      </c>
      <c r="B118" s="91">
        <v>30</v>
      </c>
      <c r="C118" s="77">
        <f>122.58</f>
        <v>122.58</v>
      </c>
      <c r="D118" s="77">
        <f>297.941</f>
        <v>297.94099999999997</v>
      </c>
      <c r="E118" s="86">
        <f>89.177</f>
        <v>89.177000000000007</v>
      </c>
      <c r="F118" s="77">
        <f>240.302-40-60-100</f>
        <v>40.301999999999992</v>
      </c>
      <c r="G118" s="80">
        <v>40</v>
      </c>
      <c r="H118" s="77">
        <f>60+100</f>
        <v>160</v>
      </c>
      <c r="I118" s="77">
        <f t="shared" si="18"/>
        <v>0</v>
      </c>
      <c r="J118" s="80">
        <v>100</v>
      </c>
      <c r="K118" s="80">
        <v>300</v>
      </c>
      <c r="L118" s="77">
        <f t="shared" si="11"/>
        <v>1150</v>
      </c>
      <c r="M118" s="88">
        <v>600</v>
      </c>
      <c r="N118" s="77">
        <f>100</f>
        <v>100</v>
      </c>
      <c r="O118" s="80">
        <v>240</v>
      </c>
      <c r="P118" s="80">
        <v>40</v>
      </c>
      <c r="Q118" s="80">
        <f t="shared" si="12"/>
        <v>315</v>
      </c>
      <c r="R118" s="80">
        <f t="shared" si="13"/>
        <v>100</v>
      </c>
      <c r="S118" s="77">
        <f t="shared" si="14"/>
        <v>695</v>
      </c>
      <c r="T118" s="77">
        <f>50</f>
        <v>50</v>
      </c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</row>
    <row r="119" spans="1:30" ht="15.75" x14ac:dyDescent="0.25">
      <c r="A119" s="13">
        <v>44531</v>
      </c>
      <c r="B119" s="91">
        <v>31</v>
      </c>
      <c r="C119" s="77">
        <f>122.58</f>
        <v>122.58</v>
      </c>
      <c r="D119" s="77">
        <f>297.941</f>
        <v>297.94099999999997</v>
      </c>
      <c r="E119" s="86">
        <f>89.177</f>
        <v>89.177000000000007</v>
      </c>
      <c r="F119" s="77">
        <f>240.302-40-60-100</f>
        <v>40.301999999999992</v>
      </c>
      <c r="G119" s="80">
        <v>40</v>
      </c>
      <c r="H119" s="77">
        <f>60+100</f>
        <v>160</v>
      </c>
      <c r="I119" s="77">
        <f t="shared" si="18"/>
        <v>0</v>
      </c>
      <c r="J119" s="80">
        <v>100</v>
      </c>
      <c r="K119" s="80">
        <v>300</v>
      </c>
      <c r="L119" s="77">
        <f t="shared" si="11"/>
        <v>1150</v>
      </c>
      <c r="M119" s="88">
        <v>600</v>
      </c>
      <c r="N119" s="77">
        <f>100</f>
        <v>100</v>
      </c>
      <c r="O119" s="80">
        <v>240</v>
      </c>
      <c r="P119" s="80">
        <v>40</v>
      </c>
      <c r="Q119" s="80">
        <f t="shared" si="12"/>
        <v>315</v>
      </c>
      <c r="R119" s="80">
        <f t="shared" si="13"/>
        <v>100</v>
      </c>
      <c r="S119" s="77">
        <f t="shared" si="14"/>
        <v>695</v>
      </c>
      <c r="T119" s="77">
        <f>50</f>
        <v>50</v>
      </c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</row>
    <row r="120" spans="1:30" ht="15.75" x14ac:dyDescent="0.25">
      <c r="A120" s="13">
        <v>44562</v>
      </c>
      <c r="B120" s="91">
        <v>31</v>
      </c>
      <c r="C120" s="77">
        <f>122.58</f>
        <v>122.58</v>
      </c>
      <c r="D120" s="77">
        <f>297.941</f>
        <v>297.94099999999997</v>
      </c>
      <c r="E120" s="86">
        <f>89.177</f>
        <v>89.177000000000007</v>
      </c>
      <c r="F120" s="77">
        <f>240.302-40-60-100</f>
        <v>40.301999999999992</v>
      </c>
      <c r="G120" s="80">
        <v>40</v>
      </c>
      <c r="H120" s="77">
        <f>60+100</f>
        <v>160</v>
      </c>
      <c r="I120" s="77">
        <f t="shared" si="18"/>
        <v>0</v>
      </c>
      <c r="J120" s="80">
        <v>100</v>
      </c>
      <c r="K120" s="80">
        <v>300</v>
      </c>
      <c r="L120" s="77">
        <f t="shared" si="11"/>
        <v>1150</v>
      </c>
      <c r="M120" s="88">
        <v>600</v>
      </c>
      <c r="N120" s="77">
        <f>100</f>
        <v>100</v>
      </c>
      <c r="O120" s="80">
        <v>240</v>
      </c>
      <c r="P120" s="80">
        <v>40</v>
      </c>
      <c r="Q120" s="80">
        <f t="shared" si="12"/>
        <v>315</v>
      </c>
      <c r="R120" s="80">
        <f t="shared" si="13"/>
        <v>100</v>
      </c>
      <c r="S120" s="77">
        <f t="shared" si="14"/>
        <v>695</v>
      </c>
      <c r="T120" s="77">
        <f>50</f>
        <v>50</v>
      </c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</row>
    <row r="121" spans="1:30" ht="15.75" x14ac:dyDescent="0.25">
      <c r="A121" s="13">
        <v>44593</v>
      </c>
      <c r="B121" s="91">
        <v>28</v>
      </c>
      <c r="C121" s="77">
        <f>122.58</f>
        <v>122.58</v>
      </c>
      <c r="D121" s="77">
        <f>297.941</f>
        <v>297.94099999999997</v>
      </c>
      <c r="E121" s="86">
        <f>89.177</f>
        <v>89.177000000000007</v>
      </c>
      <c r="F121" s="77">
        <f>240.302-40-60-100</f>
        <v>40.301999999999992</v>
      </c>
      <c r="G121" s="80">
        <v>40</v>
      </c>
      <c r="H121" s="77">
        <f>60+100</f>
        <v>160</v>
      </c>
      <c r="I121" s="77">
        <f t="shared" si="18"/>
        <v>0</v>
      </c>
      <c r="J121" s="80">
        <v>100</v>
      </c>
      <c r="K121" s="80">
        <v>300</v>
      </c>
      <c r="L121" s="77">
        <f t="shared" si="11"/>
        <v>1150</v>
      </c>
      <c r="M121" s="88">
        <v>600</v>
      </c>
      <c r="N121" s="77">
        <f>100</f>
        <v>100</v>
      </c>
      <c r="O121" s="80">
        <v>240</v>
      </c>
      <c r="P121" s="80">
        <v>40</v>
      </c>
      <c r="Q121" s="80">
        <f t="shared" si="12"/>
        <v>315</v>
      </c>
      <c r="R121" s="80">
        <f t="shared" si="13"/>
        <v>100</v>
      </c>
      <c r="S121" s="77">
        <f t="shared" si="14"/>
        <v>695</v>
      </c>
      <c r="T121" s="77">
        <f>50</f>
        <v>50</v>
      </c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</row>
    <row r="122" spans="1:30" ht="15.75" x14ac:dyDescent="0.25">
      <c r="A122" s="13">
        <v>44621</v>
      </c>
      <c r="B122" s="91">
        <v>31</v>
      </c>
      <c r="C122" s="77">
        <f>122.58</f>
        <v>122.58</v>
      </c>
      <c r="D122" s="77">
        <f>297.941</f>
        <v>297.94099999999997</v>
      </c>
      <c r="E122" s="86">
        <f>89.177</f>
        <v>89.177000000000007</v>
      </c>
      <c r="F122" s="77">
        <f>240.302-40-60-100</f>
        <v>40.301999999999992</v>
      </c>
      <c r="G122" s="80">
        <v>40</v>
      </c>
      <c r="H122" s="77">
        <f>60+100</f>
        <v>160</v>
      </c>
      <c r="I122" s="77">
        <f t="shared" si="18"/>
        <v>0</v>
      </c>
      <c r="J122" s="80">
        <v>100</v>
      </c>
      <c r="K122" s="80">
        <v>300</v>
      </c>
      <c r="L122" s="77">
        <f t="shared" si="11"/>
        <v>1150</v>
      </c>
      <c r="M122" s="88">
        <v>600</v>
      </c>
      <c r="N122" s="77">
        <f>100</f>
        <v>100</v>
      </c>
      <c r="O122" s="80">
        <v>240</v>
      </c>
      <c r="P122" s="80">
        <v>40</v>
      </c>
      <c r="Q122" s="80">
        <f t="shared" si="12"/>
        <v>315</v>
      </c>
      <c r="R122" s="80">
        <f t="shared" si="13"/>
        <v>100</v>
      </c>
      <c r="S122" s="77">
        <f t="shared" si="14"/>
        <v>695</v>
      </c>
      <c r="T122" s="77">
        <f>50</f>
        <v>50</v>
      </c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</row>
    <row r="123" spans="1:30" ht="15.75" x14ac:dyDescent="0.25">
      <c r="A123" s="13">
        <v>44652</v>
      </c>
      <c r="B123" s="91">
        <v>30</v>
      </c>
      <c r="C123" s="77">
        <f>141.293</f>
        <v>141.29300000000001</v>
      </c>
      <c r="D123" s="77">
        <f>267.993</f>
        <v>267.99299999999999</v>
      </c>
      <c r="E123" s="86">
        <f>115.016</f>
        <v>115.01600000000001</v>
      </c>
      <c r="F123" s="77">
        <f>314.698-40-25-60-100</f>
        <v>89.697999999999979</v>
      </c>
      <c r="G123" s="80">
        <v>40</v>
      </c>
      <c r="H123" s="77">
        <f t="shared" ref="H123:H129" si="19">25+60+100</f>
        <v>185</v>
      </c>
      <c r="I123" s="77">
        <f t="shared" si="18"/>
        <v>0</v>
      </c>
      <c r="J123" s="80">
        <v>100</v>
      </c>
      <c r="K123" s="80">
        <v>300</v>
      </c>
      <c r="L123" s="77">
        <f t="shared" si="11"/>
        <v>1239</v>
      </c>
      <c r="M123" s="88">
        <v>600</v>
      </c>
      <c r="N123" s="77">
        <f>100</f>
        <v>100</v>
      </c>
      <c r="O123" s="80">
        <v>240</v>
      </c>
      <c r="P123" s="80">
        <v>160</v>
      </c>
      <c r="Q123" s="80">
        <f t="shared" si="12"/>
        <v>195</v>
      </c>
      <c r="R123" s="80">
        <f t="shared" si="13"/>
        <v>100</v>
      </c>
      <c r="S123" s="77">
        <f t="shared" si="14"/>
        <v>695</v>
      </c>
      <c r="T123" s="77">
        <f>50</f>
        <v>50</v>
      </c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</row>
    <row r="124" spans="1:30" ht="15.75" x14ac:dyDescent="0.25">
      <c r="A124" s="13">
        <v>44682</v>
      </c>
      <c r="B124" s="91">
        <v>31</v>
      </c>
      <c r="C124" s="77">
        <f>194.205</f>
        <v>194.20500000000001</v>
      </c>
      <c r="D124" s="77">
        <f>267.466</f>
        <v>267.46600000000001</v>
      </c>
      <c r="E124" s="86">
        <f>133.845</f>
        <v>133.845</v>
      </c>
      <c r="F124" s="77">
        <f>278.484-40-25-60-100</f>
        <v>53.48399999999998</v>
      </c>
      <c r="G124" s="80">
        <v>40</v>
      </c>
      <c r="H124" s="77">
        <f t="shared" si="19"/>
        <v>185</v>
      </c>
      <c r="I124" s="77">
        <f t="shared" si="18"/>
        <v>0</v>
      </c>
      <c r="J124" s="80">
        <v>100</v>
      </c>
      <c r="K124" s="80">
        <v>300</v>
      </c>
      <c r="L124" s="77">
        <f t="shared" si="11"/>
        <v>1274</v>
      </c>
      <c r="M124" s="88">
        <v>600</v>
      </c>
      <c r="N124" s="77">
        <f>75</f>
        <v>75</v>
      </c>
      <c r="O124" s="80">
        <v>240</v>
      </c>
      <c r="P124" s="80">
        <v>160</v>
      </c>
      <c r="Q124" s="80">
        <f t="shared" si="12"/>
        <v>195</v>
      </c>
      <c r="R124" s="80">
        <f t="shared" si="13"/>
        <v>100</v>
      </c>
      <c r="S124" s="77">
        <f t="shared" si="14"/>
        <v>695</v>
      </c>
      <c r="T124" s="77">
        <f>50</f>
        <v>50</v>
      </c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</row>
    <row r="125" spans="1:30" ht="15.75" x14ac:dyDescent="0.25">
      <c r="A125" s="13">
        <v>44713</v>
      </c>
      <c r="B125" s="91">
        <v>30</v>
      </c>
      <c r="C125" s="77">
        <f>194.205</f>
        <v>194.20500000000001</v>
      </c>
      <c r="D125" s="77">
        <f>267.466</f>
        <v>267.46600000000001</v>
      </c>
      <c r="E125" s="86">
        <f>133.845</f>
        <v>133.845</v>
      </c>
      <c r="F125" s="77">
        <f>278.484-40-25-60-100</f>
        <v>53.48399999999998</v>
      </c>
      <c r="G125" s="80">
        <v>40</v>
      </c>
      <c r="H125" s="77">
        <f t="shared" si="19"/>
        <v>185</v>
      </c>
      <c r="I125" s="77">
        <f t="shared" si="18"/>
        <v>0</v>
      </c>
      <c r="J125" s="80">
        <v>100</v>
      </c>
      <c r="K125" s="80">
        <v>300</v>
      </c>
      <c r="L125" s="77">
        <f t="shared" si="11"/>
        <v>1274</v>
      </c>
      <c r="M125" s="88">
        <v>600</v>
      </c>
      <c r="N125" s="77">
        <f>30</f>
        <v>30</v>
      </c>
      <c r="O125" s="80">
        <v>240</v>
      </c>
      <c r="P125" s="80">
        <v>160</v>
      </c>
      <c r="Q125" s="80">
        <f t="shared" si="12"/>
        <v>195</v>
      </c>
      <c r="R125" s="80">
        <f t="shared" si="13"/>
        <v>100</v>
      </c>
      <c r="S125" s="77">
        <f t="shared" si="14"/>
        <v>695</v>
      </c>
      <c r="T125" s="77">
        <f>50</f>
        <v>50</v>
      </c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</row>
    <row r="126" spans="1:30" ht="15.75" x14ac:dyDescent="0.25">
      <c r="A126" s="13">
        <v>44743</v>
      </c>
      <c r="B126" s="91">
        <v>31</v>
      </c>
      <c r="C126" s="77">
        <f>194.205</f>
        <v>194.20500000000001</v>
      </c>
      <c r="D126" s="77">
        <f>267.466</f>
        <v>267.46600000000001</v>
      </c>
      <c r="E126" s="86">
        <f>133.845</f>
        <v>133.845</v>
      </c>
      <c r="F126" s="77">
        <f>278.484-40-25-60-100</f>
        <v>53.48399999999998</v>
      </c>
      <c r="G126" s="80">
        <v>40</v>
      </c>
      <c r="H126" s="77">
        <f t="shared" si="19"/>
        <v>185</v>
      </c>
      <c r="I126" s="77">
        <f t="shared" si="18"/>
        <v>0</v>
      </c>
      <c r="J126" s="80">
        <v>100</v>
      </c>
      <c r="K126" s="80">
        <v>300</v>
      </c>
      <c r="L126" s="77">
        <f t="shared" si="11"/>
        <v>1274</v>
      </c>
      <c r="M126" s="88">
        <v>600</v>
      </c>
      <c r="N126" s="77">
        <f>30</f>
        <v>30</v>
      </c>
      <c r="O126" s="80">
        <v>240</v>
      </c>
      <c r="P126" s="80">
        <v>160</v>
      </c>
      <c r="Q126" s="80">
        <f t="shared" si="12"/>
        <v>195</v>
      </c>
      <c r="R126" s="80">
        <f t="shared" si="13"/>
        <v>100</v>
      </c>
      <c r="S126" s="77">
        <f t="shared" si="14"/>
        <v>695</v>
      </c>
      <c r="T126" s="77">
        <f>0</f>
        <v>0</v>
      </c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</row>
    <row r="127" spans="1:30" ht="15.75" x14ac:dyDescent="0.25">
      <c r="A127" s="13">
        <v>44774</v>
      </c>
      <c r="B127" s="91">
        <v>31</v>
      </c>
      <c r="C127" s="77">
        <f>194.205</f>
        <v>194.20500000000001</v>
      </c>
      <c r="D127" s="77">
        <f>267.466</f>
        <v>267.46600000000001</v>
      </c>
      <c r="E127" s="86">
        <f>133.845</f>
        <v>133.845</v>
      </c>
      <c r="F127" s="77">
        <f>278.484-40-25-60-100</f>
        <v>53.48399999999998</v>
      </c>
      <c r="G127" s="80">
        <v>40</v>
      </c>
      <c r="H127" s="77">
        <f t="shared" si="19"/>
        <v>185</v>
      </c>
      <c r="I127" s="77">
        <f t="shared" si="18"/>
        <v>0</v>
      </c>
      <c r="J127" s="80">
        <v>100</v>
      </c>
      <c r="K127" s="80">
        <v>300</v>
      </c>
      <c r="L127" s="77">
        <f t="shared" si="11"/>
        <v>1274</v>
      </c>
      <c r="M127" s="88">
        <v>600</v>
      </c>
      <c r="N127" s="77">
        <f>30</f>
        <v>30</v>
      </c>
      <c r="O127" s="80">
        <v>240</v>
      </c>
      <c r="P127" s="80">
        <v>160</v>
      </c>
      <c r="Q127" s="80">
        <f t="shared" si="12"/>
        <v>195</v>
      </c>
      <c r="R127" s="80">
        <f t="shared" si="13"/>
        <v>100</v>
      </c>
      <c r="S127" s="77">
        <f t="shared" si="14"/>
        <v>695</v>
      </c>
      <c r="T127" s="77">
        <f>0</f>
        <v>0</v>
      </c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</row>
    <row r="128" spans="1:30" ht="15.75" x14ac:dyDescent="0.25">
      <c r="A128" s="13">
        <v>44805</v>
      </c>
      <c r="B128" s="91">
        <v>30</v>
      </c>
      <c r="C128" s="77">
        <f>194.205</f>
        <v>194.20500000000001</v>
      </c>
      <c r="D128" s="77">
        <f>267.466</f>
        <v>267.46600000000001</v>
      </c>
      <c r="E128" s="86">
        <f>133.845</f>
        <v>133.845</v>
      </c>
      <c r="F128" s="77">
        <f>278.484-40-25-60-100</f>
        <v>53.48399999999998</v>
      </c>
      <c r="G128" s="80">
        <v>40</v>
      </c>
      <c r="H128" s="77">
        <f t="shared" si="19"/>
        <v>185</v>
      </c>
      <c r="I128" s="77">
        <f t="shared" si="18"/>
        <v>0</v>
      </c>
      <c r="J128" s="80">
        <v>100</v>
      </c>
      <c r="K128" s="80">
        <v>300</v>
      </c>
      <c r="L128" s="77">
        <f t="shared" si="11"/>
        <v>1274</v>
      </c>
      <c r="M128" s="88">
        <v>600</v>
      </c>
      <c r="N128" s="77">
        <f>30</f>
        <v>30</v>
      </c>
      <c r="O128" s="80">
        <v>240</v>
      </c>
      <c r="P128" s="80">
        <v>160</v>
      </c>
      <c r="Q128" s="80">
        <f t="shared" si="12"/>
        <v>195</v>
      </c>
      <c r="R128" s="80">
        <f t="shared" si="13"/>
        <v>100</v>
      </c>
      <c r="S128" s="77">
        <f t="shared" si="14"/>
        <v>695</v>
      </c>
      <c r="T128" s="77">
        <f>0</f>
        <v>0</v>
      </c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</row>
    <row r="129" spans="1:30" ht="15.75" x14ac:dyDescent="0.25">
      <c r="A129" s="13">
        <v>44835</v>
      </c>
      <c r="B129" s="91">
        <v>31</v>
      </c>
      <c r="C129" s="77">
        <f>131.881</f>
        <v>131.881</v>
      </c>
      <c r="D129" s="77">
        <f>277.167</f>
        <v>277.16699999999997</v>
      </c>
      <c r="E129" s="86">
        <f>79.08</f>
        <v>79.08</v>
      </c>
      <c r="F129" s="77">
        <f>350.872-40-25-60-100</f>
        <v>125.87200000000001</v>
      </c>
      <c r="G129" s="80">
        <v>40</v>
      </c>
      <c r="H129" s="77">
        <f t="shared" si="19"/>
        <v>185</v>
      </c>
      <c r="I129" s="77">
        <f t="shared" si="18"/>
        <v>0</v>
      </c>
      <c r="J129" s="80">
        <v>100</v>
      </c>
      <c r="K129" s="80">
        <v>300</v>
      </c>
      <c r="L129" s="77">
        <f t="shared" si="11"/>
        <v>1239</v>
      </c>
      <c r="M129" s="88">
        <v>600</v>
      </c>
      <c r="N129" s="77">
        <f>75</f>
        <v>75</v>
      </c>
      <c r="O129" s="80">
        <v>240</v>
      </c>
      <c r="P129" s="80">
        <v>160</v>
      </c>
      <c r="Q129" s="80">
        <f t="shared" si="12"/>
        <v>195</v>
      </c>
      <c r="R129" s="80">
        <f t="shared" si="13"/>
        <v>100</v>
      </c>
      <c r="S129" s="77">
        <f t="shared" si="14"/>
        <v>695</v>
      </c>
      <c r="T129" s="77">
        <f>0</f>
        <v>0</v>
      </c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</row>
    <row r="130" spans="1:30" ht="15.75" x14ac:dyDescent="0.25">
      <c r="A130" s="13">
        <v>44866</v>
      </c>
      <c r="B130" s="91">
        <v>30</v>
      </c>
      <c r="C130" s="77">
        <f>122.58</f>
        <v>122.58</v>
      </c>
      <c r="D130" s="77">
        <f>297.941</f>
        <v>297.94099999999997</v>
      </c>
      <c r="E130" s="86">
        <f>89.177</f>
        <v>89.177000000000007</v>
      </c>
      <c r="F130" s="77">
        <f>240.302-40-60-100</f>
        <v>40.301999999999992</v>
      </c>
      <c r="G130" s="80">
        <v>40</v>
      </c>
      <c r="H130" s="77">
        <f>60+100</f>
        <v>160</v>
      </c>
      <c r="I130" s="77">
        <f t="shared" si="18"/>
        <v>0</v>
      </c>
      <c r="J130" s="80">
        <v>100</v>
      </c>
      <c r="K130" s="80">
        <v>300</v>
      </c>
      <c r="L130" s="77">
        <f t="shared" si="11"/>
        <v>1150</v>
      </c>
      <c r="M130" s="88">
        <v>600</v>
      </c>
      <c r="N130" s="77">
        <f>100</f>
        <v>100</v>
      </c>
      <c r="O130" s="80">
        <v>240</v>
      </c>
      <c r="P130" s="80">
        <v>40</v>
      </c>
      <c r="Q130" s="80">
        <f t="shared" si="12"/>
        <v>315</v>
      </c>
      <c r="R130" s="80">
        <f t="shared" si="13"/>
        <v>100</v>
      </c>
      <c r="S130" s="77">
        <f t="shared" si="14"/>
        <v>695</v>
      </c>
      <c r="T130" s="77">
        <f>50</f>
        <v>50</v>
      </c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</row>
    <row r="131" spans="1:30" ht="15.75" x14ac:dyDescent="0.25">
      <c r="A131" s="13">
        <v>44896</v>
      </c>
      <c r="B131" s="91">
        <v>31</v>
      </c>
      <c r="C131" s="77">
        <f>122.58</f>
        <v>122.58</v>
      </c>
      <c r="D131" s="77">
        <f>297.941</f>
        <v>297.94099999999997</v>
      </c>
      <c r="E131" s="86">
        <f>89.177</f>
        <v>89.177000000000007</v>
      </c>
      <c r="F131" s="77">
        <f>240.302-40-60-100</f>
        <v>40.301999999999992</v>
      </c>
      <c r="G131" s="80">
        <v>40</v>
      </c>
      <c r="H131" s="77">
        <f>60+100</f>
        <v>160</v>
      </c>
      <c r="I131" s="77">
        <f t="shared" si="18"/>
        <v>0</v>
      </c>
      <c r="J131" s="80">
        <v>100</v>
      </c>
      <c r="K131" s="80">
        <v>300</v>
      </c>
      <c r="L131" s="77">
        <f t="shared" si="11"/>
        <v>1150</v>
      </c>
      <c r="M131" s="88">
        <v>600</v>
      </c>
      <c r="N131" s="77">
        <f>100</f>
        <v>100</v>
      </c>
      <c r="O131" s="80">
        <v>240</v>
      </c>
      <c r="P131" s="80">
        <v>40</v>
      </c>
      <c r="Q131" s="80">
        <f t="shared" si="12"/>
        <v>315</v>
      </c>
      <c r="R131" s="80">
        <f t="shared" si="13"/>
        <v>100</v>
      </c>
      <c r="S131" s="77">
        <f t="shared" si="14"/>
        <v>695</v>
      </c>
      <c r="T131" s="77">
        <f>50</f>
        <v>50</v>
      </c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</row>
    <row r="132" spans="1:30" ht="15.75" x14ac:dyDescent="0.25">
      <c r="A132" s="13">
        <v>44927</v>
      </c>
      <c r="B132" s="91">
        <v>31</v>
      </c>
      <c r="C132" s="77">
        <f>122.58</f>
        <v>122.58</v>
      </c>
      <c r="D132" s="77">
        <f>297.941</f>
        <v>297.94099999999997</v>
      </c>
      <c r="E132" s="86">
        <f>89.177</f>
        <v>89.177000000000007</v>
      </c>
      <c r="F132" s="77">
        <f>240.302-40-60-100</f>
        <v>40.301999999999992</v>
      </c>
      <c r="G132" s="80">
        <v>40</v>
      </c>
      <c r="H132" s="77">
        <f>60+100</f>
        <v>160</v>
      </c>
      <c r="I132" s="77">
        <f t="shared" si="18"/>
        <v>0</v>
      </c>
      <c r="J132" s="80">
        <v>100</v>
      </c>
      <c r="K132" s="80">
        <v>300</v>
      </c>
      <c r="L132" s="77">
        <f t="shared" si="11"/>
        <v>1150</v>
      </c>
      <c r="M132" s="88">
        <v>600</v>
      </c>
      <c r="N132" s="77">
        <f>100</f>
        <v>100</v>
      </c>
      <c r="O132" s="80">
        <v>240</v>
      </c>
      <c r="P132" s="80">
        <v>40</v>
      </c>
      <c r="Q132" s="80">
        <f t="shared" si="12"/>
        <v>315</v>
      </c>
      <c r="R132" s="80">
        <f t="shared" si="13"/>
        <v>100</v>
      </c>
      <c r="S132" s="77">
        <f t="shared" si="14"/>
        <v>695</v>
      </c>
      <c r="T132" s="77">
        <f>50</f>
        <v>50</v>
      </c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</row>
    <row r="133" spans="1:30" ht="15.75" x14ac:dyDescent="0.25">
      <c r="A133" s="13">
        <v>44958</v>
      </c>
      <c r="B133" s="91">
        <v>28</v>
      </c>
      <c r="C133" s="77">
        <f>122.58</f>
        <v>122.58</v>
      </c>
      <c r="D133" s="77">
        <f>297.941</f>
        <v>297.94099999999997</v>
      </c>
      <c r="E133" s="86">
        <f>89.177</f>
        <v>89.177000000000007</v>
      </c>
      <c r="F133" s="77">
        <f>240.302-40-60-100</f>
        <v>40.301999999999992</v>
      </c>
      <c r="G133" s="80">
        <v>40</v>
      </c>
      <c r="H133" s="77">
        <f>60+100</f>
        <v>160</v>
      </c>
      <c r="I133" s="77">
        <f t="shared" si="18"/>
        <v>0</v>
      </c>
      <c r="J133" s="80">
        <v>100</v>
      </c>
      <c r="K133" s="80">
        <v>300</v>
      </c>
      <c r="L133" s="77">
        <f t="shared" si="11"/>
        <v>1150</v>
      </c>
      <c r="M133" s="88">
        <v>600</v>
      </c>
      <c r="N133" s="77">
        <f>100</f>
        <v>100</v>
      </c>
      <c r="O133" s="80">
        <v>240</v>
      </c>
      <c r="P133" s="80">
        <v>40</v>
      </c>
      <c r="Q133" s="80">
        <f t="shared" si="12"/>
        <v>315</v>
      </c>
      <c r="R133" s="80">
        <f t="shared" si="13"/>
        <v>100</v>
      </c>
      <c r="S133" s="77">
        <f t="shared" si="14"/>
        <v>695</v>
      </c>
      <c r="T133" s="77">
        <f>50</f>
        <v>50</v>
      </c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</row>
    <row r="134" spans="1:30" ht="15.75" x14ac:dyDescent="0.25">
      <c r="A134" s="13">
        <v>44986</v>
      </c>
      <c r="B134" s="91">
        <v>31</v>
      </c>
      <c r="C134" s="77">
        <f>122.58</f>
        <v>122.58</v>
      </c>
      <c r="D134" s="77">
        <f>297.941</f>
        <v>297.94099999999997</v>
      </c>
      <c r="E134" s="86">
        <f>89.177</f>
        <v>89.177000000000007</v>
      </c>
      <c r="F134" s="77">
        <f>240.302-40-60-100</f>
        <v>40.301999999999992</v>
      </c>
      <c r="G134" s="80">
        <v>40</v>
      </c>
      <c r="H134" s="77">
        <f>60+100</f>
        <v>160</v>
      </c>
      <c r="I134" s="77">
        <f t="shared" si="18"/>
        <v>0</v>
      </c>
      <c r="J134" s="80">
        <v>100</v>
      </c>
      <c r="K134" s="80">
        <v>300</v>
      </c>
      <c r="L134" s="77">
        <f t="shared" si="11"/>
        <v>1150</v>
      </c>
      <c r="M134" s="88">
        <v>600</v>
      </c>
      <c r="N134" s="77">
        <f>100</f>
        <v>100</v>
      </c>
      <c r="O134" s="80">
        <v>240</v>
      </c>
      <c r="P134" s="80">
        <v>40</v>
      </c>
      <c r="Q134" s="80">
        <f t="shared" si="12"/>
        <v>315</v>
      </c>
      <c r="R134" s="80">
        <f t="shared" si="13"/>
        <v>100</v>
      </c>
      <c r="S134" s="77">
        <f t="shared" si="14"/>
        <v>695</v>
      </c>
      <c r="T134" s="77">
        <f>50</f>
        <v>50</v>
      </c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</row>
    <row r="135" spans="1:30" ht="15.75" x14ac:dyDescent="0.25">
      <c r="A135" s="13">
        <v>45017</v>
      </c>
      <c r="B135" s="91">
        <v>30</v>
      </c>
      <c r="C135" s="77">
        <f>141.293</f>
        <v>141.29300000000001</v>
      </c>
      <c r="D135" s="77">
        <f>267.993</f>
        <v>267.99299999999999</v>
      </c>
      <c r="E135" s="86">
        <f>115.016</f>
        <v>115.01600000000001</v>
      </c>
      <c r="F135" s="77">
        <f>314.698-40-25-60-100</f>
        <v>89.697999999999979</v>
      </c>
      <c r="G135" s="80">
        <v>40</v>
      </c>
      <c r="H135" s="77">
        <f t="shared" ref="H135:H141" si="20">25+60+100</f>
        <v>185</v>
      </c>
      <c r="I135" s="77">
        <f t="shared" si="18"/>
        <v>0</v>
      </c>
      <c r="J135" s="80">
        <v>100</v>
      </c>
      <c r="K135" s="80">
        <v>300</v>
      </c>
      <c r="L135" s="77">
        <f t="shared" si="11"/>
        <v>1239</v>
      </c>
      <c r="M135" s="88">
        <v>600</v>
      </c>
      <c r="N135" s="77">
        <f>100</f>
        <v>100</v>
      </c>
      <c r="O135" s="80">
        <v>240</v>
      </c>
      <c r="P135" s="80">
        <v>160</v>
      </c>
      <c r="Q135" s="80">
        <f t="shared" si="12"/>
        <v>195</v>
      </c>
      <c r="R135" s="80">
        <f t="shared" si="13"/>
        <v>100</v>
      </c>
      <c r="S135" s="77">
        <f t="shared" si="14"/>
        <v>695</v>
      </c>
      <c r="T135" s="77">
        <f>50</f>
        <v>50</v>
      </c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</row>
    <row r="136" spans="1:30" ht="15.75" x14ac:dyDescent="0.25">
      <c r="A136" s="13">
        <v>45047</v>
      </c>
      <c r="B136" s="91">
        <v>31</v>
      </c>
      <c r="C136" s="77">
        <f>194.205</f>
        <v>194.20500000000001</v>
      </c>
      <c r="D136" s="77">
        <f>267.466</f>
        <v>267.46600000000001</v>
      </c>
      <c r="E136" s="86">
        <f>133.845</f>
        <v>133.845</v>
      </c>
      <c r="F136" s="77">
        <f>278.484-40-25-60-100</f>
        <v>53.48399999999998</v>
      </c>
      <c r="G136" s="80">
        <v>40</v>
      </c>
      <c r="H136" s="77">
        <f t="shared" si="20"/>
        <v>185</v>
      </c>
      <c r="I136" s="77">
        <f t="shared" si="18"/>
        <v>0</v>
      </c>
      <c r="J136" s="80">
        <v>100</v>
      </c>
      <c r="K136" s="80">
        <v>300</v>
      </c>
      <c r="L136" s="77">
        <f t="shared" si="11"/>
        <v>1274</v>
      </c>
      <c r="M136" s="88">
        <v>600</v>
      </c>
      <c r="N136" s="77">
        <f>75</f>
        <v>75</v>
      </c>
      <c r="O136" s="80">
        <v>240</v>
      </c>
      <c r="P136" s="80">
        <v>160</v>
      </c>
      <c r="Q136" s="80">
        <f t="shared" si="12"/>
        <v>195</v>
      </c>
      <c r="R136" s="80">
        <f t="shared" si="13"/>
        <v>100</v>
      </c>
      <c r="S136" s="77">
        <f t="shared" si="14"/>
        <v>695</v>
      </c>
      <c r="T136" s="77">
        <f>50</f>
        <v>50</v>
      </c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</row>
    <row r="137" spans="1:30" ht="15.75" x14ac:dyDescent="0.25">
      <c r="A137" s="13">
        <v>45078</v>
      </c>
      <c r="B137" s="91">
        <v>30</v>
      </c>
      <c r="C137" s="77">
        <f>194.205</f>
        <v>194.20500000000001</v>
      </c>
      <c r="D137" s="77">
        <f>267.466</f>
        <v>267.46600000000001</v>
      </c>
      <c r="E137" s="86">
        <f>133.845</f>
        <v>133.845</v>
      </c>
      <c r="F137" s="77">
        <f>278.484-40-25-60-100</f>
        <v>53.48399999999998</v>
      </c>
      <c r="G137" s="80">
        <v>40</v>
      </c>
      <c r="H137" s="77">
        <f t="shared" si="20"/>
        <v>185</v>
      </c>
      <c r="I137" s="77">
        <f t="shared" si="18"/>
        <v>0</v>
      </c>
      <c r="J137" s="80">
        <v>100</v>
      </c>
      <c r="K137" s="80">
        <v>300</v>
      </c>
      <c r="L137" s="77">
        <f t="shared" si="11"/>
        <v>1274</v>
      </c>
      <c r="M137" s="88">
        <v>600</v>
      </c>
      <c r="N137" s="77">
        <f>30</f>
        <v>30</v>
      </c>
      <c r="O137" s="80">
        <v>240</v>
      </c>
      <c r="P137" s="80">
        <v>160</v>
      </c>
      <c r="Q137" s="80">
        <f t="shared" si="12"/>
        <v>195</v>
      </c>
      <c r="R137" s="80">
        <f t="shared" si="13"/>
        <v>100</v>
      </c>
      <c r="S137" s="77">
        <f t="shared" si="14"/>
        <v>695</v>
      </c>
      <c r="T137" s="77">
        <f>50</f>
        <v>50</v>
      </c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</row>
    <row r="138" spans="1:30" ht="15.75" x14ac:dyDescent="0.25">
      <c r="A138" s="13">
        <v>45108</v>
      </c>
      <c r="B138" s="91">
        <v>31</v>
      </c>
      <c r="C138" s="77">
        <f>194.205</f>
        <v>194.20500000000001</v>
      </c>
      <c r="D138" s="77">
        <f>267.466</f>
        <v>267.46600000000001</v>
      </c>
      <c r="E138" s="86">
        <f>133.845</f>
        <v>133.845</v>
      </c>
      <c r="F138" s="77">
        <f>278.484-40-25-60-100</f>
        <v>53.48399999999998</v>
      </c>
      <c r="G138" s="80">
        <v>40</v>
      </c>
      <c r="H138" s="77">
        <f t="shared" si="20"/>
        <v>185</v>
      </c>
      <c r="I138" s="77">
        <f t="shared" si="18"/>
        <v>0</v>
      </c>
      <c r="J138" s="80">
        <v>100</v>
      </c>
      <c r="K138" s="80">
        <v>300</v>
      </c>
      <c r="L138" s="77">
        <f t="shared" si="11"/>
        <v>1274</v>
      </c>
      <c r="M138" s="88">
        <v>600</v>
      </c>
      <c r="N138" s="77">
        <f>30</f>
        <v>30</v>
      </c>
      <c r="O138" s="80">
        <v>240</v>
      </c>
      <c r="P138" s="80">
        <v>160</v>
      </c>
      <c r="Q138" s="80">
        <f t="shared" si="12"/>
        <v>195</v>
      </c>
      <c r="R138" s="80">
        <f t="shared" si="13"/>
        <v>100</v>
      </c>
      <c r="S138" s="77">
        <f t="shared" si="14"/>
        <v>695</v>
      </c>
      <c r="T138" s="77">
        <f>0</f>
        <v>0</v>
      </c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</row>
    <row r="139" spans="1:30" ht="15.75" x14ac:dyDescent="0.25">
      <c r="A139" s="13">
        <v>45139</v>
      </c>
      <c r="B139" s="91">
        <v>31</v>
      </c>
      <c r="C139" s="77">
        <f>194.205</f>
        <v>194.20500000000001</v>
      </c>
      <c r="D139" s="77">
        <f>267.466</f>
        <v>267.46600000000001</v>
      </c>
      <c r="E139" s="86">
        <f>133.845</f>
        <v>133.845</v>
      </c>
      <c r="F139" s="77">
        <f>278.484-40-25-60-100</f>
        <v>53.48399999999998</v>
      </c>
      <c r="G139" s="80">
        <v>40</v>
      </c>
      <c r="H139" s="77">
        <f t="shared" si="20"/>
        <v>185</v>
      </c>
      <c r="I139" s="77">
        <f t="shared" si="18"/>
        <v>0</v>
      </c>
      <c r="J139" s="80">
        <v>100</v>
      </c>
      <c r="K139" s="80">
        <v>300</v>
      </c>
      <c r="L139" s="77">
        <f t="shared" si="11"/>
        <v>1274</v>
      </c>
      <c r="M139" s="88">
        <v>600</v>
      </c>
      <c r="N139" s="77">
        <f>30</f>
        <v>30</v>
      </c>
      <c r="O139" s="80">
        <v>240</v>
      </c>
      <c r="P139" s="80">
        <v>160</v>
      </c>
      <c r="Q139" s="80">
        <f t="shared" si="12"/>
        <v>195</v>
      </c>
      <c r="R139" s="80">
        <f t="shared" si="13"/>
        <v>100</v>
      </c>
      <c r="S139" s="77">
        <f t="shared" si="14"/>
        <v>695</v>
      </c>
      <c r="T139" s="77">
        <f>0</f>
        <v>0</v>
      </c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</row>
    <row r="140" spans="1:30" ht="15.75" x14ac:dyDescent="0.25">
      <c r="A140" s="13">
        <v>45170</v>
      </c>
      <c r="B140" s="91">
        <v>30</v>
      </c>
      <c r="C140" s="77">
        <f>194.205</f>
        <v>194.20500000000001</v>
      </c>
      <c r="D140" s="77">
        <f>267.466</f>
        <v>267.46600000000001</v>
      </c>
      <c r="E140" s="86">
        <f>133.845</f>
        <v>133.845</v>
      </c>
      <c r="F140" s="77">
        <f>278.484-40-25-60-100</f>
        <v>53.48399999999998</v>
      </c>
      <c r="G140" s="80">
        <v>40</v>
      </c>
      <c r="H140" s="77">
        <f t="shared" si="20"/>
        <v>185</v>
      </c>
      <c r="I140" s="77">
        <f t="shared" si="18"/>
        <v>0</v>
      </c>
      <c r="J140" s="80">
        <v>100</v>
      </c>
      <c r="K140" s="80">
        <v>300</v>
      </c>
      <c r="L140" s="77">
        <f t="shared" si="11"/>
        <v>1274</v>
      </c>
      <c r="M140" s="88">
        <v>600</v>
      </c>
      <c r="N140" s="77">
        <f>30</f>
        <v>30</v>
      </c>
      <c r="O140" s="80">
        <v>240</v>
      </c>
      <c r="P140" s="80">
        <v>160</v>
      </c>
      <c r="Q140" s="80">
        <f t="shared" si="12"/>
        <v>195</v>
      </c>
      <c r="R140" s="80">
        <f t="shared" si="13"/>
        <v>100</v>
      </c>
      <c r="S140" s="77">
        <f t="shared" si="14"/>
        <v>695</v>
      </c>
      <c r="T140" s="77">
        <f>0</f>
        <v>0</v>
      </c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</row>
    <row r="141" spans="1:30" ht="15.75" x14ac:dyDescent="0.25">
      <c r="A141" s="13">
        <v>45200</v>
      </c>
      <c r="B141" s="91">
        <v>31</v>
      </c>
      <c r="C141" s="77">
        <f>131.881</f>
        <v>131.881</v>
      </c>
      <c r="D141" s="77">
        <f>277.167</f>
        <v>277.16699999999997</v>
      </c>
      <c r="E141" s="86">
        <f>79.08</f>
        <v>79.08</v>
      </c>
      <c r="F141" s="77">
        <f>350.872-40-25-60-100</f>
        <v>125.87200000000001</v>
      </c>
      <c r="G141" s="80">
        <v>40</v>
      </c>
      <c r="H141" s="77">
        <f t="shared" si="20"/>
        <v>185</v>
      </c>
      <c r="I141" s="77">
        <f t="shared" si="18"/>
        <v>0</v>
      </c>
      <c r="J141" s="80">
        <v>100</v>
      </c>
      <c r="K141" s="80">
        <v>300</v>
      </c>
      <c r="L141" s="77">
        <f t="shared" si="11"/>
        <v>1239</v>
      </c>
      <c r="M141" s="88">
        <v>600</v>
      </c>
      <c r="N141" s="77">
        <f>75</f>
        <v>75</v>
      </c>
      <c r="O141" s="80">
        <v>240</v>
      </c>
      <c r="P141" s="80">
        <v>160</v>
      </c>
      <c r="Q141" s="80">
        <f t="shared" si="12"/>
        <v>195</v>
      </c>
      <c r="R141" s="80">
        <f t="shared" si="13"/>
        <v>100</v>
      </c>
      <c r="S141" s="77">
        <f t="shared" si="14"/>
        <v>695</v>
      </c>
      <c r="T141" s="77">
        <f>0</f>
        <v>0</v>
      </c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</row>
    <row r="142" spans="1:30" ht="15.75" x14ac:dyDescent="0.25">
      <c r="A142" s="13">
        <v>45231</v>
      </c>
      <c r="B142" s="91">
        <v>30</v>
      </c>
      <c r="C142" s="77">
        <f>122.58</f>
        <v>122.58</v>
      </c>
      <c r="D142" s="77">
        <f>297.941</f>
        <v>297.94099999999997</v>
      </c>
      <c r="E142" s="86">
        <f>89.177</f>
        <v>89.177000000000007</v>
      </c>
      <c r="F142" s="77">
        <f>240.302-40-60-100</f>
        <v>40.301999999999992</v>
      </c>
      <c r="G142" s="80">
        <v>40</v>
      </c>
      <c r="H142" s="77">
        <f>60+100</f>
        <v>160</v>
      </c>
      <c r="I142" s="77">
        <f t="shared" si="18"/>
        <v>0</v>
      </c>
      <c r="J142" s="80">
        <v>100</v>
      </c>
      <c r="K142" s="80">
        <v>300</v>
      </c>
      <c r="L142" s="77">
        <f t="shared" si="11"/>
        <v>1150</v>
      </c>
      <c r="M142" s="88">
        <v>600</v>
      </c>
      <c r="N142" s="77">
        <f>100</f>
        <v>100</v>
      </c>
      <c r="O142" s="80">
        <v>240</v>
      </c>
      <c r="P142" s="80">
        <v>40</v>
      </c>
      <c r="Q142" s="80">
        <f t="shared" si="12"/>
        <v>315</v>
      </c>
      <c r="R142" s="80">
        <f t="shared" si="13"/>
        <v>100</v>
      </c>
      <c r="S142" s="77">
        <f t="shared" si="14"/>
        <v>695</v>
      </c>
      <c r="T142" s="77">
        <f>50</f>
        <v>50</v>
      </c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</row>
    <row r="143" spans="1:30" ht="15.75" x14ac:dyDescent="0.25">
      <c r="A143" s="13">
        <v>45261</v>
      </c>
      <c r="B143" s="91">
        <v>31</v>
      </c>
      <c r="C143" s="77">
        <f>122.58</f>
        <v>122.58</v>
      </c>
      <c r="D143" s="77">
        <f>297.941</f>
        <v>297.94099999999997</v>
      </c>
      <c r="E143" s="86">
        <f>89.177</f>
        <v>89.177000000000007</v>
      </c>
      <c r="F143" s="77">
        <f>240.302-40-60-100</f>
        <v>40.301999999999992</v>
      </c>
      <c r="G143" s="80">
        <v>40</v>
      </c>
      <c r="H143" s="77">
        <f>60+100</f>
        <v>160</v>
      </c>
      <c r="I143" s="77">
        <f t="shared" si="18"/>
        <v>0</v>
      </c>
      <c r="J143" s="80">
        <v>100</v>
      </c>
      <c r="K143" s="80">
        <v>300</v>
      </c>
      <c r="L143" s="77">
        <f t="shared" si="11"/>
        <v>1150</v>
      </c>
      <c r="M143" s="88">
        <v>600</v>
      </c>
      <c r="N143" s="77">
        <f>100</f>
        <v>100</v>
      </c>
      <c r="O143" s="80">
        <v>240</v>
      </c>
      <c r="P143" s="80">
        <v>40</v>
      </c>
      <c r="Q143" s="80">
        <f t="shared" si="12"/>
        <v>315</v>
      </c>
      <c r="R143" s="80">
        <f t="shared" si="13"/>
        <v>100</v>
      </c>
      <c r="S143" s="77">
        <f t="shared" si="14"/>
        <v>695</v>
      </c>
      <c r="T143" s="77">
        <f>50</f>
        <v>50</v>
      </c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</row>
    <row r="144" spans="1:30" ht="15.75" x14ac:dyDescent="0.25">
      <c r="A144" s="13">
        <v>45292</v>
      </c>
      <c r="B144" s="91">
        <v>31</v>
      </c>
      <c r="C144" s="77">
        <f>122.58</f>
        <v>122.58</v>
      </c>
      <c r="D144" s="77">
        <f>297.941</f>
        <v>297.94099999999997</v>
      </c>
      <c r="E144" s="86">
        <f>89.177</f>
        <v>89.177000000000007</v>
      </c>
      <c r="F144" s="77">
        <f>240.302-40-60-100</f>
        <v>40.301999999999992</v>
      </c>
      <c r="G144" s="80">
        <v>40</v>
      </c>
      <c r="H144" s="77">
        <f>60+100</f>
        <v>160</v>
      </c>
      <c r="I144" s="77">
        <f t="shared" si="18"/>
        <v>0</v>
      </c>
      <c r="J144" s="80">
        <v>100</v>
      </c>
      <c r="K144" s="80">
        <v>300</v>
      </c>
      <c r="L144" s="77">
        <f t="shared" si="11"/>
        <v>1150</v>
      </c>
      <c r="M144" s="88">
        <v>600</v>
      </c>
      <c r="N144" s="77">
        <f>100</f>
        <v>100</v>
      </c>
      <c r="O144" s="80">
        <v>240</v>
      </c>
      <c r="P144" s="80">
        <v>40</v>
      </c>
      <c r="Q144" s="80">
        <f t="shared" si="12"/>
        <v>315</v>
      </c>
      <c r="R144" s="80">
        <f t="shared" si="13"/>
        <v>100</v>
      </c>
      <c r="S144" s="77">
        <f t="shared" si="14"/>
        <v>695</v>
      </c>
      <c r="T144" s="77">
        <f>50</f>
        <v>50</v>
      </c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</row>
    <row r="145" spans="1:30" ht="15.75" x14ac:dyDescent="0.25">
      <c r="A145" s="13">
        <v>45323</v>
      </c>
      <c r="B145" s="91">
        <v>29</v>
      </c>
      <c r="C145" s="77">
        <f>122.58</f>
        <v>122.58</v>
      </c>
      <c r="D145" s="77">
        <f>297.941</f>
        <v>297.94099999999997</v>
      </c>
      <c r="E145" s="86">
        <f>89.177</f>
        <v>89.177000000000007</v>
      </c>
      <c r="F145" s="77">
        <f>240.302-40-60-100</f>
        <v>40.301999999999992</v>
      </c>
      <c r="G145" s="80">
        <v>40</v>
      </c>
      <c r="H145" s="77">
        <f>60+100</f>
        <v>160</v>
      </c>
      <c r="I145" s="77">
        <f t="shared" si="18"/>
        <v>0</v>
      </c>
      <c r="J145" s="80">
        <v>100</v>
      </c>
      <c r="K145" s="80">
        <v>300</v>
      </c>
      <c r="L145" s="77">
        <f t="shared" ref="L145:L208" si="21">SUM(C145:K145)</f>
        <v>1150</v>
      </c>
      <c r="M145" s="88">
        <v>600</v>
      </c>
      <c r="N145" s="77">
        <f>100</f>
        <v>100</v>
      </c>
      <c r="O145" s="80">
        <v>240</v>
      </c>
      <c r="P145" s="80">
        <v>40</v>
      </c>
      <c r="Q145" s="80">
        <f t="shared" ref="Q145:Q208" si="22">695-R145-O145-P145</f>
        <v>315</v>
      </c>
      <c r="R145" s="80">
        <f t="shared" ref="R145:R208" si="23">200-J145</f>
        <v>100</v>
      </c>
      <c r="S145" s="77">
        <f t="shared" ref="S145:S208" si="24">SUM(O145:R145)</f>
        <v>695</v>
      </c>
      <c r="T145" s="77">
        <f>50</f>
        <v>50</v>
      </c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</row>
    <row r="146" spans="1:30" ht="15.75" x14ac:dyDescent="0.25">
      <c r="A146" s="13">
        <v>45352</v>
      </c>
      <c r="B146" s="91">
        <v>31</v>
      </c>
      <c r="C146" s="77">
        <f>122.58</f>
        <v>122.58</v>
      </c>
      <c r="D146" s="77">
        <f>297.941</f>
        <v>297.94099999999997</v>
      </c>
      <c r="E146" s="86">
        <f>89.177</f>
        <v>89.177000000000007</v>
      </c>
      <c r="F146" s="77">
        <f>240.302-40-60-100</f>
        <v>40.301999999999992</v>
      </c>
      <c r="G146" s="80">
        <v>40</v>
      </c>
      <c r="H146" s="77">
        <f>60+100</f>
        <v>160</v>
      </c>
      <c r="I146" s="77">
        <f t="shared" si="18"/>
        <v>0</v>
      </c>
      <c r="J146" s="80">
        <v>100</v>
      </c>
      <c r="K146" s="80">
        <v>300</v>
      </c>
      <c r="L146" s="77">
        <f t="shared" si="21"/>
        <v>1150</v>
      </c>
      <c r="M146" s="88">
        <v>600</v>
      </c>
      <c r="N146" s="77">
        <f>100</f>
        <v>100</v>
      </c>
      <c r="O146" s="80">
        <v>240</v>
      </c>
      <c r="P146" s="80">
        <v>40</v>
      </c>
      <c r="Q146" s="80">
        <f t="shared" si="22"/>
        <v>315</v>
      </c>
      <c r="R146" s="80">
        <f t="shared" si="23"/>
        <v>100</v>
      </c>
      <c r="S146" s="77">
        <f t="shared" si="24"/>
        <v>695</v>
      </c>
      <c r="T146" s="77">
        <f>50</f>
        <v>50</v>
      </c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</row>
    <row r="147" spans="1:30" ht="15.75" x14ac:dyDescent="0.25">
      <c r="A147" s="13">
        <v>45383</v>
      </c>
      <c r="B147" s="91">
        <v>30</v>
      </c>
      <c r="C147" s="77">
        <f>141.293</f>
        <v>141.29300000000001</v>
      </c>
      <c r="D147" s="77">
        <f>267.993</f>
        <v>267.99299999999999</v>
      </c>
      <c r="E147" s="86">
        <f>115.016</f>
        <v>115.01600000000001</v>
      </c>
      <c r="F147" s="77">
        <f>314.698-40-25-60-100</f>
        <v>89.697999999999979</v>
      </c>
      <c r="G147" s="80">
        <v>40</v>
      </c>
      <c r="H147" s="77">
        <f t="shared" ref="H147:H153" si="25">25+60+100</f>
        <v>185</v>
      </c>
      <c r="I147" s="77">
        <f t="shared" si="18"/>
        <v>0</v>
      </c>
      <c r="J147" s="80">
        <v>100</v>
      </c>
      <c r="K147" s="80">
        <v>300</v>
      </c>
      <c r="L147" s="77">
        <f t="shared" si="21"/>
        <v>1239</v>
      </c>
      <c r="M147" s="88">
        <v>600</v>
      </c>
      <c r="N147" s="77">
        <f>100</f>
        <v>100</v>
      </c>
      <c r="O147" s="80">
        <v>240</v>
      </c>
      <c r="P147" s="80">
        <v>160</v>
      </c>
      <c r="Q147" s="80">
        <f t="shared" si="22"/>
        <v>195</v>
      </c>
      <c r="R147" s="80">
        <f t="shared" si="23"/>
        <v>100</v>
      </c>
      <c r="S147" s="77">
        <f t="shared" si="24"/>
        <v>695</v>
      </c>
      <c r="T147" s="77">
        <f>50</f>
        <v>50</v>
      </c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</row>
    <row r="148" spans="1:30" ht="15.75" x14ac:dyDescent="0.25">
      <c r="A148" s="13">
        <v>45413</v>
      </c>
      <c r="B148" s="91">
        <v>31</v>
      </c>
      <c r="C148" s="77">
        <f>194.205</f>
        <v>194.20500000000001</v>
      </c>
      <c r="D148" s="77">
        <f>267.466</f>
        <v>267.46600000000001</v>
      </c>
      <c r="E148" s="86">
        <f>133.845</f>
        <v>133.845</v>
      </c>
      <c r="F148" s="77">
        <f>278.484-40-25-60-100</f>
        <v>53.48399999999998</v>
      </c>
      <c r="G148" s="80">
        <v>40</v>
      </c>
      <c r="H148" s="77">
        <f t="shared" si="25"/>
        <v>185</v>
      </c>
      <c r="I148" s="77">
        <f t="shared" si="18"/>
        <v>0</v>
      </c>
      <c r="J148" s="80">
        <v>100</v>
      </c>
      <c r="K148" s="80">
        <v>300</v>
      </c>
      <c r="L148" s="77">
        <f t="shared" si="21"/>
        <v>1274</v>
      </c>
      <c r="M148" s="88">
        <v>600</v>
      </c>
      <c r="N148" s="77">
        <f>75</f>
        <v>75</v>
      </c>
      <c r="O148" s="80">
        <v>240</v>
      </c>
      <c r="P148" s="80">
        <v>160</v>
      </c>
      <c r="Q148" s="80">
        <f t="shared" si="22"/>
        <v>195</v>
      </c>
      <c r="R148" s="80">
        <f t="shared" si="23"/>
        <v>100</v>
      </c>
      <c r="S148" s="77">
        <f t="shared" si="24"/>
        <v>695</v>
      </c>
      <c r="T148" s="77">
        <f>50</f>
        <v>50</v>
      </c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</row>
    <row r="149" spans="1:30" ht="15.75" x14ac:dyDescent="0.25">
      <c r="A149" s="13">
        <v>45444</v>
      </c>
      <c r="B149" s="91">
        <v>30</v>
      </c>
      <c r="C149" s="77">
        <f>194.205</f>
        <v>194.20500000000001</v>
      </c>
      <c r="D149" s="77">
        <f>267.466</f>
        <v>267.46600000000001</v>
      </c>
      <c r="E149" s="86">
        <f>133.845</f>
        <v>133.845</v>
      </c>
      <c r="F149" s="77">
        <f>278.484-40-25-60-100</f>
        <v>53.48399999999998</v>
      </c>
      <c r="G149" s="80">
        <v>40</v>
      </c>
      <c r="H149" s="77">
        <f t="shared" si="25"/>
        <v>185</v>
      </c>
      <c r="I149" s="77">
        <f t="shared" si="18"/>
        <v>0</v>
      </c>
      <c r="J149" s="80">
        <v>100</v>
      </c>
      <c r="K149" s="80">
        <v>300</v>
      </c>
      <c r="L149" s="77">
        <f t="shared" si="21"/>
        <v>1274</v>
      </c>
      <c r="M149" s="88">
        <v>600</v>
      </c>
      <c r="N149" s="77">
        <f>30</f>
        <v>30</v>
      </c>
      <c r="O149" s="80">
        <v>240</v>
      </c>
      <c r="P149" s="80">
        <v>160</v>
      </c>
      <c r="Q149" s="80">
        <f t="shared" si="22"/>
        <v>195</v>
      </c>
      <c r="R149" s="80">
        <f t="shared" si="23"/>
        <v>100</v>
      </c>
      <c r="S149" s="77">
        <f t="shared" si="24"/>
        <v>695</v>
      </c>
      <c r="T149" s="77">
        <f>50</f>
        <v>50</v>
      </c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</row>
    <row r="150" spans="1:30" ht="15.75" x14ac:dyDescent="0.25">
      <c r="A150" s="13">
        <v>45474</v>
      </c>
      <c r="B150" s="91">
        <v>31</v>
      </c>
      <c r="C150" s="77">
        <f>194.205</f>
        <v>194.20500000000001</v>
      </c>
      <c r="D150" s="77">
        <f>267.466</f>
        <v>267.46600000000001</v>
      </c>
      <c r="E150" s="86">
        <f>133.845</f>
        <v>133.845</v>
      </c>
      <c r="F150" s="77">
        <f>278.484-40-25-60-100</f>
        <v>53.48399999999998</v>
      </c>
      <c r="G150" s="80">
        <v>40</v>
      </c>
      <c r="H150" s="77">
        <f t="shared" si="25"/>
        <v>185</v>
      </c>
      <c r="I150" s="77">
        <f t="shared" si="18"/>
        <v>0</v>
      </c>
      <c r="J150" s="80">
        <v>100</v>
      </c>
      <c r="K150" s="80">
        <v>300</v>
      </c>
      <c r="L150" s="77">
        <f t="shared" si="21"/>
        <v>1274</v>
      </c>
      <c r="M150" s="88">
        <v>600</v>
      </c>
      <c r="N150" s="77">
        <f>30</f>
        <v>30</v>
      </c>
      <c r="O150" s="80">
        <v>240</v>
      </c>
      <c r="P150" s="80">
        <v>160</v>
      </c>
      <c r="Q150" s="80">
        <f t="shared" si="22"/>
        <v>195</v>
      </c>
      <c r="R150" s="80">
        <f t="shared" si="23"/>
        <v>100</v>
      </c>
      <c r="S150" s="77">
        <f t="shared" si="24"/>
        <v>695</v>
      </c>
      <c r="T150" s="77">
        <f>0</f>
        <v>0</v>
      </c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</row>
    <row r="151" spans="1:30" ht="15.75" x14ac:dyDescent="0.25">
      <c r="A151" s="13">
        <v>45505</v>
      </c>
      <c r="B151" s="91">
        <v>31</v>
      </c>
      <c r="C151" s="77">
        <f>194.205</f>
        <v>194.20500000000001</v>
      </c>
      <c r="D151" s="77">
        <f>267.466</f>
        <v>267.46600000000001</v>
      </c>
      <c r="E151" s="86">
        <f>133.845</f>
        <v>133.845</v>
      </c>
      <c r="F151" s="77">
        <f>278.484-40-25-60-100</f>
        <v>53.48399999999998</v>
      </c>
      <c r="G151" s="80">
        <v>40</v>
      </c>
      <c r="H151" s="77">
        <f t="shared" si="25"/>
        <v>185</v>
      </c>
      <c r="I151" s="77">
        <f t="shared" si="18"/>
        <v>0</v>
      </c>
      <c r="J151" s="80">
        <v>100</v>
      </c>
      <c r="K151" s="80">
        <v>300</v>
      </c>
      <c r="L151" s="77">
        <f t="shared" si="21"/>
        <v>1274</v>
      </c>
      <c r="M151" s="88">
        <v>600</v>
      </c>
      <c r="N151" s="77">
        <f>30</f>
        <v>30</v>
      </c>
      <c r="O151" s="80">
        <v>240</v>
      </c>
      <c r="P151" s="80">
        <v>160</v>
      </c>
      <c r="Q151" s="80">
        <f t="shared" si="22"/>
        <v>195</v>
      </c>
      <c r="R151" s="80">
        <f t="shared" si="23"/>
        <v>100</v>
      </c>
      <c r="S151" s="77">
        <f t="shared" si="24"/>
        <v>695</v>
      </c>
      <c r="T151" s="77">
        <f>0</f>
        <v>0</v>
      </c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</row>
    <row r="152" spans="1:30" ht="15.75" x14ac:dyDescent="0.25">
      <c r="A152" s="13">
        <v>45536</v>
      </c>
      <c r="B152" s="91">
        <v>30</v>
      </c>
      <c r="C152" s="77">
        <f>194.205</f>
        <v>194.20500000000001</v>
      </c>
      <c r="D152" s="77">
        <f>267.466</f>
        <v>267.46600000000001</v>
      </c>
      <c r="E152" s="86">
        <f>133.845</f>
        <v>133.845</v>
      </c>
      <c r="F152" s="77">
        <f>278.484-40-25-60-100</f>
        <v>53.48399999999998</v>
      </c>
      <c r="G152" s="80">
        <v>40</v>
      </c>
      <c r="H152" s="77">
        <f t="shared" si="25"/>
        <v>185</v>
      </c>
      <c r="I152" s="77">
        <f t="shared" si="18"/>
        <v>0</v>
      </c>
      <c r="J152" s="80">
        <v>100</v>
      </c>
      <c r="K152" s="80">
        <v>300</v>
      </c>
      <c r="L152" s="77">
        <f t="shared" si="21"/>
        <v>1274</v>
      </c>
      <c r="M152" s="88">
        <v>600</v>
      </c>
      <c r="N152" s="77">
        <f>30</f>
        <v>30</v>
      </c>
      <c r="O152" s="80">
        <v>240</v>
      </c>
      <c r="P152" s="80">
        <v>160</v>
      </c>
      <c r="Q152" s="80">
        <f t="shared" si="22"/>
        <v>195</v>
      </c>
      <c r="R152" s="80">
        <f t="shared" si="23"/>
        <v>100</v>
      </c>
      <c r="S152" s="77">
        <f t="shared" si="24"/>
        <v>695</v>
      </c>
      <c r="T152" s="77">
        <f>0</f>
        <v>0</v>
      </c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</row>
    <row r="153" spans="1:30" ht="15.75" x14ac:dyDescent="0.25">
      <c r="A153" s="13">
        <v>45566</v>
      </c>
      <c r="B153" s="91">
        <v>31</v>
      </c>
      <c r="C153" s="77">
        <f>131.881</f>
        <v>131.881</v>
      </c>
      <c r="D153" s="77">
        <f>277.167</f>
        <v>277.16699999999997</v>
      </c>
      <c r="E153" s="86">
        <f>79.08</f>
        <v>79.08</v>
      </c>
      <c r="F153" s="77">
        <f>350.872-40-25-60-100</f>
        <v>125.87200000000001</v>
      </c>
      <c r="G153" s="80">
        <v>40</v>
      </c>
      <c r="H153" s="77">
        <f t="shared" si="25"/>
        <v>185</v>
      </c>
      <c r="I153" s="77">
        <f t="shared" si="18"/>
        <v>0</v>
      </c>
      <c r="J153" s="80">
        <v>100</v>
      </c>
      <c r="K153" s="80">
        <v>300</v>
      </c>
      <c r="L153" s="77">
        <f t="shared" si="21"/>
        <v>1239</v>
      </c>
      <c r="M153" s="88">
        <v>600</v>
      </c>
      <c r="N153" s="77">
        <f>75</f>
        <v>75</v>
      </c>
      <c r="O153" s="80">
        <v>240</v>
      </c>
      <c r="P153" s="80">
        <v>160</v>
      </c>
      <c r="Q153" s="80">
        <f t="shared" si="22"/>
        <v>195</v>
      </c>
      <c r="R153" s="80">
        <f t="shared" si="23"/>
        <v>100</v>
      </c>
      <c r="S153" s="77">
        <f t="shared" si="24"/>
        <v>695</v>
      </c>
      <c r="T153" s="77">
        <f>0</f>
        <v>0</v>
      </c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</row>
    <row r="154" spans="1:30" ht="15.75" x14ac:dyDescent="0.25">
      <c r="A154" s="13">
        <v>45597</v>
      </c>
      <c r="B154" s="91">
        <v>30</v>
      </c>
      <c r="C154" s="77">
        <f>122.58</f>
        <v>122.58</v>
      </c>
      <c r="D154" s="77">
        <f>297.941</f>
        <v>297.94099999999997</v>
      </c>
      <c r="E154" s="86">
        <f>89.177</f>
        <v>89.177000000000007</v>
      </c>
      <c r="F154" s="77">
        <f>240.302-40-60-100</f>
        <v>40.301999999999992</v>
      </c>
      <c r="G154" s="80">
        <v>40</v>
      </c>
      <c r="H154" s="77">
        <f>60+100</f>
        <v>160</v>
      </c>
      <c r="I154" s="77">
        <f t="shared" si="18"/>
        <v>0</v>
      </c>
      <c r="J154" s="80">
        <v>100</v>
      </c>
      <c r="K154" s="80">
        <v>300</v>
      </c>
      <c r="L154" s="77">
        <f t="shared" si="21"/>
        <v>1150</v>
      </c>
      <c r="M154" s="88">
        <v>600</v>
      </c>
      <c r="N154" s="77">
        <f>100</f>
        <v>100</v>
      </c>
      <c r="O154" s="80">
        <v>240</v>
      </c>
      <c r="P154" s="80">
        <v>40</v>
      </c>
      <c r="Q154" s="80">
        <f t="shared" si="22"/>
        <v>315</v>
      </c>
      <c r="R154" s="80">
        <f t="shared" si="23"/>
        <v>100</v>
      </c>
      <c r="S154" s="77">
        <f t="shared" si="24"/>
        <v>695</v>
      </c>
      <c r="T154" s="77">
        <f>50</f>
        <v>50</v>
      </c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</row>
    <row r="155" spans="1:30" ht="15.75" x14ac:dyDescent="0.25">
      <c r="A155" s="13">
        <v>45627</v>
      </c>
      <c r="B155" s="91">
        <v>31</v>
      </c>
      <c r="C155" s="77">
        <f>122.58</f>
        <v>122.58</v>
      </c>
      <c r="D155" s="77">
        <f>297.941</f>
        <v>297.94099999999997</v>
      </c>
      <c r="E155" s="86">
        <f>89.177</f>
        <v>89.177000000000007</v>
      </c>
      <c r="F155" s="77">
        <f>240.302-40-60-100</f>
        <v>40.301999999999992</v>
      </c>
      <c r="G155" s="80">
        <v>40</v>
      </c>
      <c r="H155" s="77">
        <f>60+100</f>
        <v>160</v>
      </c>
      <c r="I155" s="77">
        <f t="shared" si="18"/>
        <v>0</v>
      </c>
      <c r="J155" s="80">
        <v>100</v>
      </c>
      <c r="K155" s="80">
        <v>300</v>
      </c>
      <c r="L155" s="77">
        <f t="shared" si="21"/>
        <v>1150</v>
      </c>
      <c r="M155" s="88">
        <v>600</v>
      </c>
      <c r="N155" s="77">
        <f>100</f>
        <v>100</v>
      </c>
      <c r="O155" s="80">
        <v>240</v>
      </c>
      <c r="P155" s="80">
        <v>40</v>
      </c>
      <c r="Q155" s="80">
        <f t="shared" si="22"/>
        <v>315</v>
      </c>
      <c r="R155" s="80">
        <f t="shared" si="23"/>
        <v>100</v>
      </c>
      <c r="S155" s="77">
        <f t="shared" si="24"/>
        <v>695</v>
      </c>
      <c r="T155" s="77">
        <f>50</f>
        <v>50</v>
      </c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</row>
    <row r="156" spans="1:30" ht="15.75" x14ac:dyDescent="0.25">
      <c r="A156" s="13">
        <v>45658</v>
      </c>
      <c r="B156" s="91">
        <v>31</v>
      </c>
      <c r="C156" s="77">
        <f>122.58</f>
        <v>122.58</v>
      </c>
      <c r="D156" s="77">
        <f>297.941</f>
        <v>297.94099999999997</v>
      </c>
      <c r="E156" s="86">
        <f>89.177</f>
        <v>89.177000000000007</v>
      </c>
      <c r="F156" s="77">
        <f>240.302-40-60-100</f>
        <v>40.301999999999992</v>
      </c>
      <c r="G156" s="80">
        <v>40</v>
      </c>
      <c r="H156" s="77">
        <f>60+100</f>
        <v>160</v>
      </c>
      <c r="I156" s="77">
        <f t="shared" si="18"/>
        <v>0</v>
      </c>
      <c r="J156" s="80">
        <v>100</v>
      </c>
      <c r="K156" s="80">
        <v>300</v>
      </c>
      <c r="L156" s="77">
        <f t="shared" si="21"/>
        <v>1150</v>
      </c>
      <c r="M156" s="88">
        <v>600</v>
      </c>
      <c r="N156" s="77">
        <f>100</f>
        <v>100</v>
      </c>
      <c r="O156" s="80">
        <v>240</v>
      </c>
      <c r="P156" s="80">
        <v>40</v>
      </c>
      <c r="Q156" s="80">
        <f t="shared" si="22"/>
        <v>315</v>
      </c>
      <c r="R156" s="80">
        <f t="shared" si="23"/>
        <v>100</v>
      </c>
      <c r="S156" s="77">
        <f t="shared" si="24"/>
        <v>695</v>
      </c>
      <c r="T156" s="77">
        <f>50</f>
        <v>50</v>
      </c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</row>
    <row r="157" spans="1:30" ht="15.75" x14ac:dyDescent="0.25">
      <c r="A157" s="13">
        <v>45689</v>
      </c>
      <c r="B157" s="91">
        <v>28</v>
      </c>
      <c r="C157" s="77">
        <f>122.58</f>
        <v>122.58</v>
      </c>
      <c r="D157" s="77">
        <f>297.941</f>
        <v>297.94099999999997</v>
      </c>
      <c r="E157" s="86">
        <f>89.177</f>
        <v>89.177000000000007</v>
      </c>
      <c r="F157" s="77">
        <f>240.302-40-60-100</f>
        <v>40.301999999999992</v>
      </c>
      <c r="G157" s="80">
        <v>40</v>
      </c>
      <c r="H157" s="77">
        <f>60+100</f>
        <v>160</v>
      </c>
      <c r="I157" s="77">
        <f t="shared" si="18"/>
        <v>0</v>
      </c>
      <c r="J157" s="80">
        <v>100</v>
      </c>
      <c r="K157" s="80">
        <v>300</v>
      </c>
      <c r="L157" s="77">
        <f t="shared" si="21"/>
        <v>1150</v>
      </c>
      <c r="M157" s="88">
        <v>600</v>
      </c>
      <c r="N157" s="77">
        <f>100</f>
        <v>100</v>
      </c>
      <c r="O157" s="80">
        <v>240</v>
      </c>
      <c r="P157" s="80">
        <v>40</v>
      </c>
      <c r="Q157" s="80">
        <f t="shared" si="22"/>
        <v>315</v>
      </c>
      <c r="R157" s="80">
        <f t="shared" si="23"/>
        <v>100</v>
      </c>
      <c r="S157" s="77">
        <f t="shared" si="24"/>
        <v>695</v>
      </c>
      <c r="T157" s="77">
        <f>50</f>
        <v>50</v>
      </c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</row>
    <row r="158" spans="1:30" ht="15.75" x14ac:dyDescent="0.25">
      <c r="A158" s="13">
        <v>45717</v>
      </c>
      <c r="B158" s="91">
        <v>31</v>
      </c>
      <c r="C158" s="77">
        <f>122.58</f>
        <v>122.58</v>
      </c>
      <c r="D158" s="77">
        <f>297.941</f>
        <v>297.94099999999997</v>
      </c>
      <c r="E158" s="86">
        <f>89.177</f>
        <v>89.177000000000007</v>
      </c>
      <c r="F158" s="77">
        <f>240.302-40-60-100</f>
        <v>40.301999999999992</v>
      </c>
      <c r="G158" s="80">
        <v>40</v>
      </c>
      <c r="H158" s="77">
        <f>60+100</f>
        <v>160</v>
      </c>
      <c r="I158" s="77">
        <f t="shared" si="18"/>
        <v>0</v>
      </c>
      <c r="J158" s="80">
        <v>100</v>
      </c>
      <c r="K158" s="80">
        <v>300</v>
      </c>
      <c r="L158" s="77">
        <f t="shared" si="21"/>
        <v>1150</v>
      </c>
      <c r="M158" s="88">
        <v>600</v>
      </c>
      <c r="N158" s="77">
        <f>100</f>
        <v>100</v>
      </c>
      <c r="O158" s="80">
        <v>240</v>
      </c>
      <c r="P158" s="80">
        <v>40</v>
      </c>
      <c r="Q158" s="80">
        <f t="shared" si="22"/>
        <v>315</v>
      </c>
      <c r="R158" s="80">
        <f t="shared" si="23"/>
        <v>100</v>
      </c>
      <c r="S158" s="77">
        <f t="shared" si="24"/>
        <v>695</v>
      </c>
      <c r="T158" s="77">
        <f>50</f>
        <v>50</v>
      </c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</row>
    <row r="159" spans="1:30" ht="15.75" x14ac:dyDescent="0.25">
      <c r="A159" s="13">
        <v>45748</v>
      </c>
      <c r="B159" s="91">
        <v>30</v>
      </c>
      <c r="C159" s="77">
        <f>141.293</f>
        <v>141.29300000000001</v>
      </c>
      <c r="D159" s="77">
        <f>267.993</f>
        <v>267.99299999999999</v>
      </c>
      <c r="E159" s="86">
        <f>115.016</f>
        <v>115.01600000000001</v>
      </c>
      <c r="F159" s="77">
        <f>314.698-40-25-60-100</f>
        <v>89.697999999999979</v>
      </c>
      <c r="G159" s="80">
        <v>40</v>
      </c>
      <c r="H159" s="77">
        <f t="shared" ref="H159:H165" si="26">25+60+100</f>
        <v>185</v>
      </c>
      <c r="I159" s="77">
        <f t="shared" si="18"/>
        <v>0</v>
      </c>
      <c r="J159" s="80">
        <v>100</v>
      </c>
      <c r="K159" s="80">
        <v>300</v>
      </c>
      <c r="L159" s="77">
        <f t="shared" si="21"/>
        <v>1239</v>
      </c>
      <c r="M159" s="88">
        <v>600</v>
      </c>
      <c r="N159" s="77">
        <f>100</f>
        <v>100</v>
      </c>
      <c r="O159" s="80">
        <v>240</v>
      </c>
      <c r="P159" s="80">
        <v>160</v>
      </c>
      <c r="Q159" s="80">
        <f t="shared" si="22"/>
        <v>195</v>
      </c>
      <c r="R159" s="80">
        <f t="shared" si="23"/>
        <v>100</v>
      </c>
      <c r="S159" s="77">
        <f t="shared" si="24"/>
        <v>695</v>
      </c>
      <c r="T159" s="77">
        <f>50</f>
        <v>50</v>
      </c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</row>
    <row r="160" spans="1:30" ht="15.75" x14ac:dyDescent="0.25">
      <c r="A160" s="13">
        <v>45778</v>
      </c>
      <c r="B160" s="91">
        <v>31</v>
      </c>
      <c r="C160" s="77">
        <f>194.205</f>
        <v>194.20500000000001</v>
      </c>
      <c r="D160" s="77">
        <f>267.466</f>
        <v>267.46600000000001</v>
      </c>
      <c r="E160" s="86">
        <f>133.845</f>
        <v>133.845</v>
      </c>
      <c r="F160" s="77">
        <f>278.484-40-25-60-100</f>
        <v>53.48399999999998</v>
      </c>
      <c r="G160" s="80">
        <v>40</v>
      </c>
      <c r="H160" s="77">
        <f t="shared" si="26"/>
        <v>185</v>
      </c>
      <c r="I160" s="77">
        <f t="shared" si="18"/>
        <v>0</v>
      </c>
      <c r="J160" s="80">
        <v>100</v>
      </c>
      <c r="K160" s="80">
        <v>300</v>
      </c>
      <c r="L160" s="77">
        <f t="shared" si="21"/>
        <v>1274</v>
      </c>
      <c r="M160" s="88">
        <v>600</v>
      </c>
      <c r="N160" s="77">
        <f>75</f>
        <v>75</v>
      </c>
      <c r="O160" s="80">
        <v>240</v>
      </c>
      <c r="P160" s="80">
        <v>160</v>
      </c>
      <c r="Q160" s="80">
        <f t="shared" si="22"/>
        <v>195</v>
      </c>
      <c r="R160" s="80">
        <f t="shared" si="23"/>
        <v>100</v>
      </c>
      <c r="S160" s="77">
        <f t="shared" si="24"/>
        <v>695</v>
      </c>
      <c r="T160" s="77">
        <f>50</f>
        <v>50</v>
      </c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</row>
    <row r="161" spans="1:30" ht="15.75" x14ac:dyDescent="0.25">
      <c r="A161" s="13">
        <v>45809</v>
      </c>
      <c r="B161" s="91">
        <v>30</v>
      </c>
      <c r="C161" s="77">
        <f>194.205</f>
        <v>194.20500000000001</v>
      </c>
      <c r="D161" s="77">
        <f>267.466</f>
        <v>267.46600000000001</v>
      </c>
      <c r="E161" s="86">
        <f>133.845</f>
        <v>133.845</v>
      </c>
      <c r="F161" s="77">
        <f>278.484-40-25-60-100</f>
        <v>53.48399999999998</v>
      </c>
      <c r="G161" s="80">
        <v>40</v>
      </c>
      <c r="H161" s="77">
        <f t="shared" si="26"/>
        <v>185</v>
      </c>
      <c r="I161" s="77">
        <f t="shared" si="18"/>
        <v>0</v>
      </c>
      <c r="J161" s="80">
        <v>100</v>
      </c>
      <c r="K161" s="80">
        <v>300</v>
      </c>
      <c r="L161" s="77">
        <f t="shared" si="21"/>
        <v>1274</v>
      </c>
      <c r="M161" s="88">
        <v>600</v>
      </c>
      <c r="N161" s="77">
        <f>30</f>
        <v>30</v>
      </c>
      <c r="O161" s="80">
        <v>240</v>
      </c>
      <c r="P161" s="80">
        <v>160</v>
      </c>
      <c r="Q161" s="80">
        <f t="shared" si="22"/>
        <v>195</v>
      </c>
      <c r="R161" s="80">
        <f t="shared" si="23"/>
        <v>100</v>
      </c>
      <c r="S161" s="77">
        <f t="shared" si="24"/>
        <v>695</v>
      </c>
      <c r="T161" s="77">
        <f>50</f>
        <v>50</v>
      </c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</row>
    <row r="162" spans="1:30" ht="15.75" x14ac:dyDescent="0.25">
      <c r="A162" s="13">
        <v>45839</v>
      </c>
      <c r="B162" s="91">
        <v>31</v>
      </c>
      <c r="C162" s="77">
        <f>194.205</f>
        <v>194.20500000000001</v>
      </c>
      <c r="D162" s="77">
        <f>267.466</f>
        <v>267.46600000000001</v>
      </c>
      <c r="E162" s="86">
        <f>133.845</f>
        <v>133.845</v>
      </c>
      <c r="F162" s="77">
        <f>278.484-40-25-60-100</f>
        <v>53.48399999999998</v>
      </c>
      <c r="G162" s="80">
        <v>40</v>
      </c>
      <c r="H162" s="77">
        <f t="shared" si="26"/>
        <v>185</v>
      </c>
      <c r="I162" s="77">
        <f t="shared" si="18"/>
        <v>0</v>
      </c>
      <c r="J162" s="80">
        <v>100</v>
      </c>
      <c r="K162" s="80">
        <v>300</v>
      </c>
      <c r="L162" s="77">
        <f t="shared" si="21"/>
        <v>1274</v>
      </c>
      <c r="M162" s="88">
        <v>600</v>
      </c>
      <c r="N162" s="77">
        <f>30</f>
        <v>30</v>
      </c>
      <c r="O162" s="80">
        <v>240</v>
      </c>
      <c r="P162" s="80">
        <v>160</v>
      </c>
      <c r="Q162" s="80">
        <f t="shared" si="22"/>
        <v>195</v>
      </c>
      <c r="R162" s="80">
        <f t="shared" si="23"/>
        <v>100</v>
      </c>
      <c r="S162" s="77">
        <f t="shared" si="24"/>
        <v>695</v>
      </c>
      <c r="T162" s="77">
        <f>0</f>
        <v>0</v>
      </c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</row>
    <row r="163" spans="1:30" ht="15.75" x14ac:dyDescent="0.25">
      <c r="A163" s="13">
        <v>45870</v>
      </c>
      <c r="B163" s="91">
        <v>31</v>
      </c>
      <c r="C163" s="77">
        <f>194.205</f>
        <v>194.20500000000001</v>
      </c>
      <c r="D163" s="77">
        <f>267.466</f>
        <v>267.46600000000001</v>
      </c>
      <c r="E163" s="86">
        <f>133.845</f>
        <v>133.845</v>
      </c>
      <c r="F163" s="77">
        <f>278.484-40-25-60-100</f>
        <v>53.48399999999998</v>
      </c>
      <c r="G163" s="80">
        <v>40</v>
      </c>
      <c r="H163" s="77">
        <f t="shared" si="26"/>
        <v>185</v>
      </c>
      <c r="I163" s="77">
        <f t="shared" si="18"/>
        <v>0</v>
      </c>
      <c r="J163" s="80">
        <v>100</v>
      </c>
      <c r="K163" s="80">
        <v>300</v>
      </c>
      <c r="L163" s="77">
        <f t="shared" si="21"/>
        <v>1274</v>
      </c>
      <c r="M163" s="88">
        <v>600</v>
      </c>
      <c r="N163" s="77">
        <f>30</f>
        <v>30</v>
      </c>
      <c r="O163" s="80">
        <v>240</v>
      </c>
      <c r="P163" s="80">
        <v>160</v>
      </c>
      <c r="Q163" s="80">
        <f t="shared" si="22"/>
        <v>195</v>
      </c>
      <c r="R163" s="80">
        <f t="shared" si="23"/>
        <v>100</v>
      </c>
      <c r="S163" s="77">
        <f t="shared" si="24"/>
        <v>695</v>
      </c>
      <c r="T163" s="77">
        <f>0</f>
        <v>0</v>
      </c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</row>
    <row r="164" spans="1:30" ht="15.75" x14ac:dyDescent="0.25">
      <c r="A164" s="13">
        <v>45901</v>
      </c>
      <c r="B164" s="91">
        <v>30</v>
      </c>
      <c r="C164" s="77">
        <f>194.205</f>
        <v>194.20500000000001</v>
      </c>
      <c r="D164" s="77">
        <f>267.466</f>
        <v>267.46600000000001</v>
      </c>
      <c r="E164" s="86">
        <f>133.845</f>
        <v>133.845</v>
      </c>
      <c r="F164" s="77">
        <f>278.484-40-25-60-100</f>
        <v>53.48399999999998</v>
      </c>
      <c r="G164" s="80">
        <v>40</v>
      </c>
      <c r="H164" s="77">
        <f t="shared" si="26"/>
        <v>185</v>
      </c>
      <c r="I164" s="77">
        <f t="shared" si="18"/>
        <v>0</v>
      </c>
      <c r="J164" s="80">
        <v>100</v>
      </c>
      <c r="K164" s="80">
        <v>300</v>
      </c>
      <c r="L164" s="77">
        <f t="shared" si="21"/>
        <v>1274</v>
      </c>
      <c r="M164" s="88">
        <v>600</v>
      </c>
      <c r="N164" s="77">
        <f>30</f>
        <v>30</v>
      </c>
      <c r="O164" s="80">
        <v>240</v>
      </c>
      <c r="P164" s="80">
        <v>160</v>
      </c>
      <c r="Q164" s="80">
        <f t="shared" si="22"/>
        <v>195</v>
      </c>
      <c r="R164" s="80">
        <f t="shared" si="23"/>
        <v>100</v>
      </c>
      <c r="S164" s="77">
        <f t="shared" si="24"/>
        <v>695</v>
      </c>
      <c r="T164" s="77">
        <f>0</f>
        <v>0</v>
      </c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</row>
    <row r="165" spans="1:30" ht="15.75" x14ac:dyDescent="0.25">
      <c r="A165" s="13">
        <v>45931</v>
      </c>
      <c r="B165" s="91">
        <v>31</v>
      </c>
      <c r="C165" s="77">
        <f>131.881</f>
        <v>131.881</v>
      </c>
      <c r="D165" s="77">
        <f>277.167</f>
        <v>277.16699999999997</v>
      </c>
      <c r="E165" s="86">
        <f>79.08</f>
        <v>79.08</v>
      </c>
      <c r="F165" s="77">
        <f>350.872-40-25-60-100</f>
        <v>125.87200000000001</v>
      </c>
      <c r="G165" s="80">
        <v>40</v>
      </c>
      <c r="H165" s="77">
        <f t="shared" si="26"/>
        <v>185</v>
      </c>
      <c r="I165" s="77">
        <f t="shared" si="18"/>
        <v>0</v>
      </c>
      <c r="J165" s="80">
        <v>100</v>
      </c>
      <c r="K165" s="80">
        <v>300</v>
      </c>
      <c r="L165" s="77">
        <f t="shared" si="21"/>
        <v>1239</v>
      </c>
      <c r="M165" s="88">
        <v>600</v>
      </c>
      <c r="N165" s="77">
        <f>75</f>
        <v>75</v>
      </c>
      <c r="O165" s="80">
        <v>240</v>
      </c>
      <c r="P165" s="80">
        <v>160</v>
      </c>
      <c r="Q165" s="80">
        <f t="shared" si="22"/>
        <v>195</v>
      </c>
      <c r="R165" s="80">
        <f t="shared" si="23"/>
        <v>100</v>
      </c>
      <c r="S165" s="77">
        <f t="shared" si="24"/>
        <v>695</v>
      </c>
      <c r="T165" s="77">
        <f>0</f>
        <v>0</v>
      </c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</row>
    <row r="166" spans="1:30" ht="15.75" x14ac:dyDescent="0.25">
      <c r="A166" s="13">
        <v>45962</v>
      </c>
      <c r="B166" s="91">
        <v>30</v>
      </c>
      <c r="C166" s="77">
        <f>122.58</f>
        <v>122.58</v>
      </c>
      <c r="D166" s="77">
        <f>297.941</f>
        <v>297.94099999999997</v>
      </c>
      <c r="E166" s="86">
        <f>89.177</f>
        <v>89.177000000000007</v>
      </c>
      <c r="F166" s="77">
        <f>240.302-40-60-100</f>
        <v>40.301999999999992</v>
      </c>
      <c r="G166" s="80">
        <v>40</v>
      </c>
      <c r="H166" s="77">
        <f>60+100</f>
        <v>160</v>
      </c>
      <c r="I166" s="77">
        <f t="shared" si="18"/>
        <v>0</v>
      </c>
      <c r="J166" s="80">
        <v>100</v>
      </c>
      <c r="K166" s="80">
        <v>300</v>
      </c>
      <c r="L166" s="77">
        <f t="shared" si="21"/>
        <v>1150</v>
      </c>
      <c r="M166" s="88">
        <v>600</v>
      </c>
      <c r="N166" s="77">
        <f>100</f>
        <v>100</v>
      </c>
      <c r="O166" s="80">
        <v>240</v>
      </c>
      <c r="P166" s="80">
        <v>40</v>
      </c>
      <c r="Q166" s="80">
        <f t="shared" si="22"/>
        <v>315</v>
      </c>
      <c r="R166" s="80">
        <f t="shared" si="23"/>
        <v>100</v>
      </c>
      <c r="S166" s="77">
        <f t="shared" si="24"/>
        <v>695</v>
      </c>
      <c r="T166" s="77">
        <f>50</f>
        <v>50</v>
      </c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</row>
    <row r="167" spans="1:30" ht="15.75" x14ac:dyDescent="0.25">
      <c r="A167" s="13">
        <v>45992</v>
      </c>
      <c r="B167" s="91">
        <v>31</v>
      </c>
      <c r="C167" s="77">
        <f>122.58</f>
        <v>122.58</v>
      </c>
      <c r="D167" s="77">
        <f>297.941</f>
        <v>297.94099999999997</v>
      </c>
      <c r="E167" s="86">
        <f>89.177</f>
        <v>89.177000000000007</v>
      </c>
      <c r="F167" s="77">
        <f>240.302-40-60-100</f>
        <v>40.301999999999992</v>
      </c>
      <c r="G167" s="80">
        <v>40</v>
      </c>
      <c r="H167" s="77">
        <f>60+100</f>
        <v>160</v>
      </c>
      <c r="I167" s="77">
        <f t="shared" si="18"/>
        <v>0</v>
      </c>
      <c r="J167" s="80">
        <v>100</v>
      </c>
      <c r="K167" s="80">
        <v>300</v>
      </c>
      <c r="L167" s="77">
        <f t="shared" si="21"/>
        <v>1150</v>
      </c>
      <c r="M167" s="88">
        <v>600</v>
      </c>
      <c r="N167" s="77">
        <f>100</f>
        <v>100</v>
      </c>
      <c r="O167" s="80">
        <v>240</v>
      </c>
      <c r="P167" s="80">
        <v>40</v>
      </c>
      <c r="Q167" s="80">
        <f t="shared" si="22"/>
        <v>315</v>
      </c>
      <c r="R167" s="80">
        <f t="shared" si="23"/>
        <v>100</v>
      </c>
      <c r="S167" s="77">
        <f t="shared" si="24"/>
        <v>695</v>
      </c>
      <c r="T167" s="77">
        <f>50</f>
        <v>50</v>
      </c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</row>
    <row r="168" spans="1:30" ht="15.75" x14ac:dyDescent="0.25">
      <c r="A168" s="13">
        <v>46023</v>
      </c>
      <c r="B168" s="91">
        <v>31</v>
      </c>
      <c r="C168" s="77">
        <f>122.58</f>
        <v>122.58</v>
      </c>
      <c r="D168" s="77">
        <f>297.941</f>
        <v>297.94099999999997</v>
      </c>
      <c r="E168" s="86">
        <f>89.177</f>
        <v>89.177000000000007</v>
      </c>
      <c r="F168" s="77">
        <f>240.302-40-60-100</f>
        <v>40.301999999999992</v>
      </c>
      <c r="G168" s="80">
        <v>40</v>
      </c>
      <c r="H168" s="77">
        <f>60+100</f>
        <v>160</v>
      </c>
      <c r="I168" s="77">
        <f t="shared" si="18"/>
        <v>0</v>
      </c>
      <c r="J168" s="80">
        <v>100</v>
      </c>
      <c r="K168" s="80">
        <v>300</v>
      </c>
      <c r="L168" s="77">
        <f t="shared" si="21"/>
        <v>1150</v>
      </c>
      <c r="M168" s="88">
        <v>600</v>
      </c>
      <c r="N168" s="77">
        <f>100</f>
        <v>100</v>
      </c>
      <c r="O168" s="80">
        <v>240</v>
      </c>
      <c r="P168" s="80">
        <v>40</v>
      </c>
      <c r="Q168" s="80">
        <f t="shared" si="22"/>
        <v>315</v>
      </c>
      <c r="R168" s="80">
        <f t="shared" si="23"/>
        <v>100</v>
      </c>
      <c r="S168" s="77">
        <f t="shared" si="24"/>
        <v>695</v>
      </c>
      <c r="T168" s="77">
        <f>50</f>
        <v>50</v>
      </c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</row>
    <row r="169" spans="1:30" ht="15.75" x14ac:dyDescent="0.25">
      <c r="A169" s="13">
        <v>46054</v>
      </c>
      <c r="B169" s="91">
        <v>28</v>
      </c>
      <c r="C169" s="77">
        <f>122.58</f>
        <v>122.58</v>
      </c>
      <c r="D169" s="77">
        <f>297.941</f>
        <v>297.94099999999997</v>
      </c>
      <c r="E169" s="86">
        <f>89.177</f>
        <v>89.177000000000007</v>
      </c>
      <c r="F169" s="77">
        <f>240.302-40-60-100</f>
        <v>40.301999999999992</v>
      </c>
      <c r="G169" s="80">
        <v>40</v>
      </c>
      <c r="H169" s="77">
        <f>60+100</f>
        <v>160</v>
      </c>
      <c r="I169" s="77">
        <f t="shared" si="18"/>
        <v>0</v>
      </c>
      <c r="J169" s="80">
        <v>100</v>
      </c>
      <c r="K169" s="80">
        <v>300</v>
      </c>
      <c r="L169" s="77">
        <f t="shared" si="21"/>
        <v>1150</v>
      </c>
      <c r="M169" s="88">
        <v>600</v>
      </c>
      <c r="N169" s="77">
        <f>100</f>
        <v>100</v>
      </c>
      <c r="O169" s="80">
        <v>240</v>
      </c>
      <c r="P169" s="80">
        <v>40</v>
      </c>
      <c r="Q169" s="80">
        <f t="shared" si="22"/>
        <v>315</v>
      </c>
      <c r="R169" s="80">
        <f t="shared" si="23"/>
        <v>100</v>
      </c>
      <c r="S169" s="77">
        <f t="shared" si="24"/>
        <v>695</v>
      </c>
      <c r="T169" s="77">
        <f>50</f>
        <v>50</v>
      </c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</row>
    <row r="170" spans="1:30" ht="15.75" x14ac:dyDescent="0.25">
      <c r="A170" s="13">
        <v>46082</v>
      </c>
      <c r="B170" s="91">
        <v>31</v>
      </c>
      <c r="C170" s="77">
        <f>122.58</f>
        <v>122.58</v>
      </c>
      <c r="D170" s="77">
        <f>297.941</f>
        <v>297.94099999999997</v>
      </c>
      <c r="E170" s="86">
        <f>89.177</f>
        <v>89.177000000000007</v>
      </c>
      <c r="F170" s="77">
        <f>240.302-40-60-100</f>
        <v>40.301999999999992</v>
      </c>
      <c r="G170" s="80">
        <v>40</v>
      </c>
      <c r="H170" s="77">
        <f>60+100</f>
        <v>160</v>
      </c>
      <c r="I170" s="77">
        <f t="shared" si="18"/>
        <v>0</v>
      </c>
      <c r="J170" s="80">
        <v>100</v>
      </c>
      <c r="K170" s="80">
        <v>300</v>
      </c>
      <c r="L170" s="77">
        <f t="shared" si="21"/>
        <v>1150</v>
      </c>
      <c r="M170" s="88">
        <v>600</v>
      </c>
      <c r="N170" s="77">
        <f>100</f>
        <v>100</v>
      </c>
      <c r="O170" s="80">
        <v>240</v>
      </c>
      <c r="P170" s="80">
        <v>40</v>
      </c>
      <c r="Q170" s="80">
        <f t="shared" si="22"/>
        <v>315</v>
      </c>
      <c r="R170" s="80">
        <f t="shared" si="23"/>
        <v>100</v>
      </c>
      <c r="S170" s="77">
        <f t="shared" si="24"/>
        <v>695</v>
      </c>
      <c r="T170" s="77">
        <f>50</f>
        <v>50</v>
      </c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</row>
    <row r="171" spans="1:30" ht="15.75" x14ac:dyDescent="0.25">
      <c r="A171" s="13">
        <v>46113</v>
      </c>
      <c r="B171" s="91">
        <v>30</v>
      </c>
      <c r="C171" s="77">
        <f>141.293</f>
        <v>141.29300000000001</v>
      </c>
      <c r="D171" s="77">
        <f>267.993</f>
        <v>267.99299999999999</v>
      </c>
      <c r="E171" s="86">
        <f>115.016</f>
        <v>115.01600000000001</v>
      </c>
      <c r="F171" s="77">
        <f>314.698-40-25-60-100</f>
        <v>89.697999999999979</v>
      </c>
      <c r="G171" s="80">
        <v>40</v>
      </c>
      <c r="H171" s="77">
        <f t="shared" ref="H171:H177" si="27">25+60+100</f>
        <v>185</v>
      </c>
      <c r="I171" s="77">
        <f t="shared" si="18"/>
        <v>0</v>
      </c>
      <c r="J171" s="80">
        <v>100</v>
      </c>
      <c r="K171" s="80">
        <v>300</v>
      </c>
      <c r="L171" s="77">
        <f t="shared" si="21"/>
        <v>1239</v>
      </c>
      <c r="M171" s="88">
        <v>600</v>
      </c>
      <c r="N171" s="77">
        <f>100</f>
        <v>100</v>
      </c>
      <c r="O171" s="80">
        <v>240</v>
      </c>
      <c r="P171" s="80">
        <v>160</v>
      </c>
      <c r="Q171" s="80">
        <f t="shared" si="22"/>
        <v>195</v>
      </c>
      <c r="R171" s="80">
        <f t="shared" si="23"/>
        <v>100</v>
      </c>
      <c r="S171" s="77">
        <f t="shared" si="24"/>
        <v>695</v>
      </c>
      <c r="T171" s="77">
        <f>50</f>
        <v>50</v>
      </c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</row>
    <row r="172" spans="1:30" ht="15.75" x14ac:dyDescent="0.25">
      <c r="A172" s="13">
        <v>46143</v>
      </c>
      <c r="B172" s="91">
        <v>31</v>
      </c>
      <c r="C172" s="77">
        <f>194.205</f>
        <v>194.20500000000001</v>
      </c>
      <c r="D172" s="77">
        <f>267.466</f>
        <v>267.46600000000001</v>
      </c>
      <c r="E172" s="86">
        <f>133.845</f>
        <v>133.845</v>
      </c>
      <c r="F172" s="77">
        <f>278.484-40-25-60-100</f>
        <v>53.48399999999998</v>
      </c>
      <c r="G172" s="80">
        <v>40</v>
      </c>
      <c r="H172" s="77">
        <f t="shared" si="27"/>
        <v>185</v>
      </c>
      <c r="I172" s="77">
        <f t="shared" si="18"/>
        <v>0</v>
      </c>
      <c r="J172" s="80">
        <v>100</v>
      </c>
      <c r="K172" s="80">
        <v>300</v>
      </c>
      <c r="L172" s="77">
        <f t="shared" si="21"/>
        <v>1274</v>
      </c>
      <c r="M172" s="88">
        <v>600</v>
      </c>
      <c r="N172" s="77">
        <f>75</f>
        <v>75</v>
      </c>
      <c r="O172" s="80">
        <v>240</v>
      </c>
      <c r="P172" s="80">
        <v>160</v>
      </c>
      <c r="Q172" s="80">
        <f t="shared" si="22"/>
        <v>195</v>
      </c>
      <c r="R172" s="80">
        <f t="shared" si="23"/>
        <v>100</v>
      </c>
      <c r="S172" s="77">
        <f t="shared" si="24"/>
        <v>695</v>
      </c>
      <c r="T172" s="77">
        <f>50</f>
        <v>50</v>
      </c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</row>
    <row r="173" spans="1:30" ht="15.75" x14ac:dyDescent="0.25">
      <c r="A173" s="13">
        <v>46174</v>
      </c>
      <c r="B173" s="91">
        <v>30</v>
      </c>
      <c r="C173" s="77">
        <f>194.205</f>
        <v>194.20500000000001</v>
      </c>
      <c r="D173" s="77">
        <f>267.466</f>
        <v>267.46600000000001</v>
      </c>
      <c r="E173" s="86">
        <f>133.845</f>
        <v>133.845</v>
      </c>
      <c r="F173" s="77">
        <f>278.484-40-25-60-100</f>
        <v>53.48399999999998</v>
      </c>
      <c r="G173" s="80">
        <v>40</v>
      </c>
      <c r="H173" s="77">
        <f t="shared" si="27"/>
        <v>185</v>
      </c>
      <c r="I173" s="77">
        <f t="shared" si="18"/>
        <v>0</v>
      </c>
      <c r="J173" s="80">
        <v>100</v>
      </c>
      <c r="K173" s="80">
        <v>300</v>
      </c>
      <c r="L173" s="77">
        <f t="shared" si="21"/>
        <v>1274</v>
      </c>
      <c r="M173" s="88">
        <v>600</v>
      </c>
      <c r="N173" s="77">
        <f>30</f>
        <v>30</v>
      </c>
      <c r="O173" s="80">
        <v>240</v>
      </c>
      <c r="P173" s="80">
        <v>160</v>
      </c>
      <c r="Q173" s="80">
        <f t="shared" si="22"/>
        <v>195</v>
      </c>
      <c r="R173" s="80">
        <f t="shared" si="23"/>
        <v>100</v>
      </c>
      <c r="S173" s="77">
        <f t="shared" si="24"/>
        <v>695</v>
      </c>
      <c r="T173" s="77">
        <f>50</f>
        <v>50</v>
      </c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</row>
    <row r="174" spans="1:30" ht="15.75" x14ac:dyDescent="0.25">
      <c r="A174" s="13">
        <v>46204</v>
      </c>
      <c r="B174" s="91">
        <v>31</v>
      </c>
      <c r="C174" s="77">
        <f>194.205</f>
        <v>194.20500000000001</v>
      </c>
      <c r="D174" s="77">
        <f>267.466</f>
        <v>267.46600000000001</v>
      </c>
      <c r="E174" s="86">
        <f>133.845</f>
        <v>133.845</v>
      </c>
      <c r="F174" s="77">
        <f>278.484-40-25-60-100</f>
        <v>53.48399999999998</v>
      </c>
      <c r="G174" s="80">
        <v>40</v>
      </c>
      <c r="H174" s="77">
        <f t="shared" si="27"/>
        <v>185</v>
      </c>
      <c r="I174" s="77">
        <f t="shared" si="18"/>
        <v>0</v>
      </c>
      <c r="J174" s="80">
        <v>100</v>
      </c>
      <c r="K174" s="80">
        <v>300</v>
      </c>
      <c r="L174" s="77">
        <f t="shared" si="21"/>
        <v>1274</v>
      </c>
      <c r="M174" s="88">
        <v>600</v>
      </c>
      <c r="N174" s="77">
        <f>30</f>
        <v>30</v>
      </c>
      <c r="O174" s="80">
        <v>240</v>
      </c>
      <c r="P174" s="80">
        <v>160</v>
      </c>
      <c r="Q174" s="80">
        <f t="shared" si="22"/>
        <v>195</v>
      </c>
      <c r="R174" s="80">
        <f t="shared" si="23"/>
        <v>100</v>
      </c>
      <c r="S174" s="77">
        <f t="shared" si="24"/>
        <v>695</v>
      </c>
      <c r="T174" s="77">
        <f>0</f>
        <v>0</v>
      </c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</row>
    <row r="175" spans="1:30" ht="15.75" x14ac:dyDescent="0.25">
      <c r="A175" s="13">
        <v>46235</v>
      </c>
      <c r="B175" s="91">
        <v>31</v>
      </c>
      <c r="C175" s="77">
        <f>194.205</f>
        <v>194.20500000000001</v>
      </c>
      <c r="D175" s="77">
        <f>267.466</f>
        <v>267.46600000000001</v>
      </c>
      <c r="E175" s="86">
        <f>133.845</f>
        <v>133.845</v>
      </c>
      <c r="F175" s="77">
        <f>278.484-40-25-60-100</f>
        <v>53.48399999999998</v>
      </c>
      <c r="G175" s="80">
        <v>40</v>
      </c>
      <c r="H175" s="77">
        <f t="shared" si="27"/>
        <v>185</v>
      </c>
      <c r="I175" s="77">
        <f t="shared" si="18"/>
        <v>0</v>
      </c>
      <c r="J175" s="80">
        <v>100</v>
      </c>
      <c r="K175" s="80">
        <v>300</v>
      </c>
      <c r="L175" s="77">
        <f t="shared" si="21"/>
        <v>1274</v>
      </c>
      <c r="M175" s="88">
        <v>600</v>
      </c>
      <c r="N175" s="77">
        <f>30</f>
        <v>30</v>
      </c>
      <c r="O175" s="80">
        <v>240</v>
      </c>
      <c r="P175" s="80">
        <v>160</v>
      </c>
      <c r="Q175" s="80">
        <f t="shared" si="22"/>
        <v>195</v>
      </c>
      <c r="R175" s="80">
        <f t="shared" si="23"/>
        <v>100</v>
      </c>
      <c r="S175" s="77">
        <f t="shared" si="24"/>
        <v>695</v>
      </c>
      <c r="T175" s="77">
        <f>0</f>
        <v>0</v>
      </c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</row>
    <row r="176" spans="1:30" ht="15.75" x14ac:dyDescent="0.25">
      <c r="A176" s="13">
        <v>46266</v>
      </c>
      <c r="B176" s="91">
        <v>30</v>
      </c>
      <c r="C176" s="77">
        <f>194.205</f>
        <v>194.20500000000001</v>
      </c>
      <c r="D176" s="77">
        <f>267.466</f>
        <v>267.46600000000001</v>
      </c>
      <c r="E176" s="86">
        <f>133.845</f>
        <v>133.845</v>
      </c>
      <c r="F176" s="77">
        <f>278.484-40-25-60-100</f>
        <v>53.48399999999998</v>
      </c>
      <c r="G176" s="80">
        <v>40</v>
      </c>
      <c r="H176" s="77">
        <f t="shared" si="27"/>
        <v>185</v>
      </c>
      <c r="I176" s="77">
        <f t="shared" si="18"/>
        <v>0</v>
      </c>
      <c r="J176" s="80">
        <v>100</v>
      </c>
      <c r="K176" s="80">
        <v>300</v>
      </c>
      <c r="L176" s="77">
        <f t="shared" si="21"/>
        <v>1274</v>
      </c>
      <c r="M176" s="88">
        <v>600</v>
      </c>
      <c r="N176" s="77">
        <f>30</f>
        <v>30</v>
      </c>
      <c r="O176" s="80">
        <v>240</v>
      </c>
      <c r="P176" s="80">
        <v>160</v>
      </c>
      <c r="Q176" s="80">
        <f t="shared" si="22"/>
        <v>195</v>
      </c>
      <c r="R176" s="80">
        <f t="shared" si="23"/>
        <v>100</v>
      </c>
      <c r="S176" s="77">
        <f t="shared" si="24"/>
        <v>695</v>
      </c>
      <c r="T176" s="77">
        <f>0</f>
        <v>0</v>
      </c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</row>
    <row r="177" spans="1:30" ht="15.75" x14ac:dyDescent="0.25">
      <c r="A177" s="13">
        <v>46296</v>
      </c>
      <c r="B177" s="91">
        <v>31</v>
      </c>
      <c r="C177" s="77">
        <f>131.881</f>
        <v>131.881</v>
      </c>
      <c r="D177" s="77">
        <f>277.167</f>
        <v>277.16699999999997</v>
      </c>
      <c r="E177" s="86">
        <f>79.08</f>
        <v>79.08</v>
      </c>
      <c r="F177" s="77">
        <f>350.872-40-25-60-100</f>
        <v>125.87200000000001</v>
      </c>
      <c r="G177" s="80">
        <v>40</v>
      </c>
      <c r="H177" s="77">
        <f t="shared" si="27"/>
        <v>185</v>
      </c>
      <c r="I177" s="77">
        <f t="shared" si="18"/>
        <v>0</v>
      </c>
      <c r="J177" s="80">
        <v>100</v>
      </c>
      <c r="K177" s="80">
        <v>300</v>
      </c>
      <c r="L177" s="77">
        <f t="shared" si="21"/>
        <v>1239</v>
      </c>
      <c r="M177" s="88">
        <v>600</v>
      </c>
      <c r="N177" s="77">
        <f>75</f>
        <v>75</v>
      </c>
      <c r="O177" s="80">
        <v>240</v>
      </c>
      <c r="P177" s="80">
        <v>160</v>
      </c>
      <c r="Q177" s="80">
        <f t="shared" si="22"/>
        <v>195</v>
      </c>
      <c r="R177" s="80">
        <f t="shared" si="23"/>
        <v>100</v>
      </c>
      <c r="S177" s="77">
        <f t="shared" si="24"/>
        <v>695</v>
      </c>
      <c r="T177" s="77">
        <f>0</f>
        <v>0</v>
      </c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</row>
    <row r="178" spans="1:30" ht="15.75" x14ac:dyDescent="0.25">
      <c r="A178" s="13">
        <v>46327</v>
      </c>
      <c r="B178" s="91">
        <v>30</v>
      </c>
      <c r="C178" s="77">
        <f>122.58</f>
        <v>122.58</v>
      </c>
      <c r="D178" s="77">
        <f>297.941</f>
        <v>297.94099999999997</v>
      </c>
      <c r="E178" s="86">
        <f>89.177</f>
        <v>89.177000000000007</v>
      </c>
      <c r="F178" s="77">
        <f>240.302-40-60-100</f>
        <v>40.301999999999992</v>
      </c>
      <c r="G178" s="80">
        <v>40</v>
      </c>
      <c r="H178" s="77">
        <f>60+100</f>
        <v>160</v>
      </c>
      <c r="I178" s="77">
        <f t="shared" si="18"/>
        <v>0</v>
      </c>
      <c r="J178" s="80">
        <v>100</v>
      </c>
      <c r="K178" s="80">
        <v>300</v>
      </c>
      <c r="L178" s="77">
        <f t="shared" si="21"/>
        <v>1150</v>
      </c>
      <c r="M178" s="88">
        <v>600</v>
      </c>
      <c r="N178" s="77">
        <f>100</f>
        <v>100</v>
      </c>
      <c r="O178" s="80">
        <v>240</v>
      </c>
      <c r="P178" s="80">
        <v>40</v>
      </c>
      <c r="Q178" s="80">
        <f t="shared" si="22"/>
        <v>315</v>
      </c>
      <c r="R178" s="80">
        <f t="shared" si="23"/>
        <v>100</v>
      </c>
      <c r="S178" s="77">
        <f t="shared" si="24"/>
        <v>695</v>
      </c>
      <c r="T178" s="77">
        <f>50</f>
        <v>50</v>
      </c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</row>
    <row r="179" spans="1:30" ht="15.75" x14ac:dyDescent="0.25">
      <c r="A179" s="13">
        <v>46357</v>
      </c>
      <c r="B179" s="91">
        <v>31</v>
      </c>
      <c r="C179" s="77">
        <f>122.58</f>
        <v>122.58</v>
      </c>
      <c r="D179" s="77">
        <f>297.941</f>
        <v>297.94099999999997</v>
      </c>
      <c r="E179" s="86">
        <f>89.177</f>
        <v>89.177000000000007</v>
      </c>
      <c r="F179" s="77">
        <f>240.302-40-60-100</f>
        <v>40.301999999999992</v>
      </c>
      <c r="G179" s="80">
        <v>40</v>
      </c>
      <c r="H179" s="77">
        <f>60+100</f>
        <v>160</v>
      </c>
      <c r="I179" s="77">
        <f t="shared" si="18"/>
        <v>0</v>
      </c>
      <c r="J179" s="80">
        <v>100</v>
      </c>
      <c r="K179" s="80">
        <v>300</v>
      </c>
      <c r="L179" s="77">
        <f t="shared" si="21"/>
        <v>1150</v>
      </c>
      <c r="M179" s="88">
        <v>600</v>
      </c>
      <c r="N179" s="77">
        <f>100</f>
        <v>100</v>
      </c>
      <c r="O179" s="80">
        <v>240</v>
      </c>
      <c r="P179" s="80">
        <v>40</v>
      </c>
      <c r="Q179" s="80">
        <f t="shared" si="22"/>
        <v>315</v>
      </c>
      <c r="R179" s="80">
        <f t="shared" si="23"/>
        <v>100</v>
      </c>
      <c r="S179" s="77">
        <f t="shared" si="24"/>
        <v>695</v>
      </c>
      <c r="T179" s="77">
        <f>50</f>
        <v>50</v>
      </c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</row>
    <row r="180" spans="1:30" ht="15.75" x14ac:dyDescent="0.25">
      <c r="A180" s="13">
        <v>46388</v>
      </c>
      <c r="B180" s="91">
        <v>31</v>
      </c>
      <c r="C180" s="77">
        <f>122.58</f>
        <v>122.58</v>
      </c>
      <c r="D180" s="77">
        <f>297.941</f>
        <v>297.94099999999997</v>
      </c>
      <c r="E180" s="86">
        <f>89.177</f>
        <v>89.177000000000007</v>
      </c>
      <c r="F180" s="77">
        <f>240.302-40-60-100</f>
        <v>40.301999999999992</v>
      </c>
      <c r="G180" s="80">
        <v>40</v>
      </c>
      <c r="H180" s="77">
        <f>60+100</f>
        <v>160</v>
      </c>
      <c r="I180" s="77">
        <f t="shared" ref="I180:I243" si="28">400-J180-K180</f>
        <v>0</v>
      </c>
      <c r="J180" s="80">
        <v>100</v>
      </c>
      <c r="K180" s="80">
        <v>300</v>
      </c>
      <c r="L180" s="77">
        <f t="shared" si="21"/>
        <v>1150</v>
      </c>
      <c r="M180" s="88">
        <v>600</v>
      </c>
      <c r="N180" s="77">
        <f>100</f>
        <v>100</v>
      </c>
      <c r="O180" s="80">
        <v>240</v>
      </c>
      <c r="P180" s="80">
        <v>40</v>
      </c>
      <c r="Q180" s="80">
        <f t="shared" si="22"/>
        <v>315</v>
      </c>
      <c r="R180" s="80">
        <f t="shared" si="23"/>
        <v>100</v>
      </c>
      <c r="S180" s="77">
        <f t="shared" si="24"/>
        <v>695</v>
      </c>
      <c r="T180" s="77">
        <f>50</f>
        <v>50</v>
      </c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</row>
    <row r="181" spans="1:30" ht="15.75" x14ac:dyDescent="0.25">
      <c r="A181" s="13">
        <v>46419</v>
      </c>
      <c r="B181" s="91">
        <v>28</v>
      </c>
      <c r="C181" s="77">
        <f>122.58</f>
        <v>122.58</v>
      </c>
      <c r="D181" s="77">
        <f>297.941</f>
        <v>297.94099999999997</v>
      </c>
      <c r="E181" s="86">
        <f>89.177</f>
        <v>89.177000000000007</v>
      </c>
      <c r="F181" s="77">
        <f>240.302-40-60-100</f>
        <v>40.301999999999992</v>
      </c>
      <c r="G181" s="80">
        <v>40</v>
      </c>
      <c r="H181" s="77">
        <f>60+100</f>
        <v>160</v>
      </c>
      <c r="I181" s="77">
        <f t="shared" si="28"/>
        <v>0</v>
      </c>
      <c r="J181" s="80">
        <v>100</v>
      </c>
      <c r="K181" s="80">
        <v>300</v>
      </c>
      <c r="L181" s="77">
        <f t="shared" si="21"/>
        <v>1150</v>
      </c>
      <c r="M181" s="88">
        <v>600</v>
      </c>
      <c r="N181" s="77">
        <f>100</f>
        <v>100</v>
      </c>
      <c r="O181" s="80">
        <v>240</v>
      </c>
      <c r="P181" s="80">
        <v>40</v>
      </c>
      <c r="Q181" s="80">
        <f t="shared" si="22"/>
        <v>315</v>
      </c>
      <c r="R181" s="80">
        <f t="shared" si="23"/>
        <v>100</v>
      </c>
      <c r="S181" s="77">
        <f t="shared" si="24"/>
        <v>695</v>
      </c>
      <c r="T181" s="77">
        <f>50</f>
        <v>50</v>
      </c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</row>
    <row r="182" spans="1:30" ht="15.75" x14ac:dyDescent="0.25">
      <c r="A182" s="13">
        <v>46447</v>
      </c>
      <c r="B182" s="91">
        <v>31</v>
      </c>
      <c r="C182" s="77">
        <f>122.58</f>
        <v>122.58</v>
      </c>
      <c r="D182" s="77">
        <f>297.941</f>
        <v>297.94099999999997</v>
      </c>
      <c r="E182" s="86">
        <f>89.177</f>
        <v>89.177000000000007</v>
      </c>
      <c r="F182" s="77">
        <f>240.302-40-60-100</f>
        <v>40.301999999999992</v>
      </c>
      <c r="G182" s="80">
        <v>40</v>
      </c>
      <c r="H182" s="77">
        <f>60+100</f>
        <v>160</v>
      </c>
      <c r="I182" s="77">
        <f t="shared" si="28"/>
        <v>0</v>
      </c>
      <c r="J182" s="80">
        <v>100</v>
      </c>
      <c r="K182" s="80">
        <v>300</v>
      </c>
      <c r="L182" s="77">
        <f t="shared" si="21"/>
        <v>1150</v>
      </c>
      <c r="M182" s="88">
        <v>600</v>
      </c>
      <c r="N182" s="77">
        <f>100</f>
        <v>100</v>
      </c>
      <c r="O182" s="80">
        <v>240</v>
      </c>
      <c r="P182" s="80">
        <v>40</v>
      </c>
      <c r="Q182" s="80">
        <f t="shared" si="22"/>
        <v>315</v>
      </c>
      <c r="R182" s="80">
        <f t="shared" si="23"/>
        <v>100</v>
      </c>
      <c r="S182" s="77">
        <f t="shared" si="24"/>
        <v>695</v>
      </c>
      <c r="T182" s="77">
        <f>50</f>
        <v>50</v>
      </c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</row>
    <row r="183" spans="1:30" ht="15.75" x14ac:dyDescent="0.25">
      <c r="A183" s="13">
        <v>46478</v>
      </c>
      <c r="B183" s="91">
        <v>30</v>
      </c>
      <c r="C183" s="77">
        <f>141.293</f>
        <v>141.29300000000001</v>
      </c>
      <c r="D183" s="77">
        <f>267.993</f>
        <v>267.99299999999999</v>
      </c>
      <c r="E183" s="86">
        <f>115.016</f>
        <v>115.01600000000001</v>
      </c>
      <c r="F183" s="77">
        <f>314.698-40-25-60-100</f>
        <v>89.697999999999979</v>
      </c>
      <c r="G183" s="80">
        <v>40</v>
      </c>
      <c r="H183" s="77">
        <f t="shared" ref="H183:H189" si="29">25+60+100</f>
        <v>185</v>
      </c>
      <c r="I183" s="77">
        <f t="shared" si="28"/>
        <v>0</v>
      </c>
      <c r="J183" s="80">
        <v>100</v>
      </c>
      <c r="K183" s="80">
        <v>300</v>
      </c>
      <c r="L183" s="77">
        <f t="shared" si="21"/>
        <v>1239</v>
      </c>
      <c r="M183" s="88">
        <v>600</v>
      </c>
      <c r="N183" s="77">
        <f>100</f>
        <v>100</v>
      </c>
      <c r="O183" s="80">
        <v>240</v>
      </c>
      <c r="P183" s="80">
        <v>160</v>
      </c>
      <c r="Q183" s="80">
        <f t="shared" si="22"/>
        <v>195</v>
      </c>
      <c r="R183" s="80">
        <f t="shared" si="23"/>
        <v>100</v>
      </c>
      <c r="S183" s="77">
        <f t="shared" si="24"/>
        <v>695</v>
      </c>
      <c r="T183" s="77">
        <f>50</f>
        <v>50</v>
      </c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</row>
    <row r="184" spans="1:30" ht="15.75" x14ac:dyDescent="0.25">
      <c r="A184" s="13">
        <v>46508</v>
      </c>
      <c r="B184" s="91">
        <v>31</v>
      </c>
      <c r="C184" s="77">
        <f>194.205</f>
        <v>194.20500000000001</v>
      </c>
      <c r="D184" s="77">
        <f>267.466</f>
        <v>267.46600000000001</v>
      </c>
      <c r="E184" s="86">
        <f>133.845</f>
        <v>133.845</v>
      </c>
      <c r="F184" s="77">
        <f>278.484-40-25-60-100</f>
        <v>53.48399999999998</v>
      </c>
      <c r="G184" s="80">
        <v>40</v>
      </c>
      <c r="H184" s="77">
        <f t="shared" si="29"/>
        <v>185</v>
      </c>
      <c r="I184" s="77">
        <f t="shared" si="28"/>
        <v>0</v>
      </c>
      <c r="J184" s="80">
        <v>100</v>
      </c>
      <c r="K184" s="80">
        <v>300</v>
      </c>
      <c r="L184" s="77">
        <f t="shared" si="21"/>
        <v>1274</v>
      </c>
      <c r="M184" s="88">
        <v>600</v>
      </c>
      <c r="N184" s="77">
        <f>75</f>
        <v>75</v>
      </c>
      <c r="O184" s="80">
        <v>240</v>
      </c>
      <c r="P184" s="80">
        <v>160</v>
      </c>
      <c r="Q184" s="80">
        <f t="shared" si="22"/>
        <v>195</v>
      </c>
      <c r="R184" s="80">
        <f t="shared" si="23"/>
        <v>100</v>
      </c>
      <c r="S184" s="77">
        <f t="shared" si="24"/>
        <v>695</v>
      </c>
      <c r="T184" s="77">
        <f>50</f>
        <v>50</v>
      </c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</row>
    <row r="185" spans="1:30" ht="15.75" x14ac:dyDescent="0.25">
      <c r="A185" s="13">
        <v>46539</v>
      </c>
      <c r="B185" s="91">
        <v>30</v>
      </c>
      <c r="C185" s="77">
        <f>194.205</f>
        <v>194.20500000000001</v>
      </c>
      <c r="D185" s="77">
        <f>267.466</f>
        <v>267.46600000000001</v>
      </c>
      <c r="E185" s="86">
        <f>133.845</f>
        <v>133.845</v>
      </c>
      <c r="F185" s="77">
        <f>278.484-40-25-60-100</f>
        <v>53.48399999999998</v>
      </c>
      <c r="G185" s="80">
        <v>40</v>
      </c>
      <c r="H185" s="77">
        <f t="shared" si="29"/>
        <v>185</v>
      </c>
      <c r="I185" s="77">
        <f t="shared" si="28"/>
        <v>0</v>
      </c>
      <c r="J185" s="80">
        <v>100</v>
      </c>
      <c r="K185" s="80">
        <v>300</v>
      </c>
      <c r="L185" s="77">
        <f t="shared" si="21"/>
        <v>1274</v>
      </c>
      <c r="M185" s="88">
        <v>600</v>
      </c>
      <c r="N185" s="77">
        <f>30</f>
        <v>30</v>
      </c>
      <c r="O185" s="80">
        <v>240</v>
      </c>
      <c r="P185" s="80">
        <v>160</v>
      </c>
      <c r="Q185" s="80">
        <f t="shared" si="22"/>
        <v>195</v>
      </c>
      <c r="R185" s="80">
        <f t="shared" si="23"/>
        <v>100</v>
      </c>
      <c r="S185" s="77">
        <f t="shared" si="24"/>
        <v>695</v>
      </c>
      <c r="T185" s="77">
        <f>50</f>
        <v>50</v>
      </c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</row>
    <row r="186" spans="1:30" ht="15.75" x14ac:dyDescent="0.25">
      <c r="A186" s="13">
        <v>46569</v>
      </c>
      <c r="B186" s="91">
        <v>31</v>
      </c>
      <c r="C186" s="77">
        <f>194.205</f>
        <v>194.20500000000001</v>
      </c>
      <c r="D186" s="77">
        <f>267.466</f>
        <v>267.46600000000001</v>
      </c>
      <c r="E186" s="86">
        <f>133.845</f>
        <v>133.845</v>
      </c>
      <c r="F186" s="77">
        <f>278.484-40-25-60-100</f>
        <v>53.48399999999998</v>
      </c>
      <c r="G186" s="80">
        <v>40</v>
      </c>
      <c r="H186" s="77">
        <f t="shared" si="29"/>
        <v>185</v>
      </c>
      <c r="I186" s="77">
        <f t="shared" si="28"/>
        <v>0</v>
      </c>
      <c r="J186" s="80">
        <v>100</v>
      </c>
      <c r="K186" s="80">
        <v>300</v>
      </c>
      <c r="L186" s="77">
        <f t="shared" si="21"/>
        <v>1274</v>
      </c>
      <c r="M186" s="88">
        <v>600</v>
      </c>
      <c r="N186" s="77">
        <f>30</f>
        <v>30</v>
      </c>
      <c r="O186" s="80">
        <v>240</v>
      </c>
      <c r="P186" s="80">
        <v>160</v>
      </c>
      <c r="Q186" s="80">
        <f t="shared" si="22"/>
        <v>195</v>
      </c>
      <c r="R186" s="80">
        <f t="shared" si="23"/>
        <v>100</v>
      </c>
      <c r="S186" s="77">
        <f t="shared" si="24"/>
        <v>695</v>
      </c>
      <c r="T186" s="77">
        <f>0</f>
        <v>0</v>
      </c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</row>
    <row r="187" spans="1:30" ht="15.75" x14ac:dyDescent="0.25">
      <c r="A187" s="13">
        <v>46600</v>
      </c>
      <c r="B187" s="91">
        <v>31</v>
      </c>
      <c r="C187" s="77">
        <f>194.205</f>
        <v>194.20500000000001</v>
      </c>
      <c r="D187" s="77">
        <f>267.466</f>
        <v>267.46600000000001</v>
      </c>
      <c r="E187" s="86">
        <f>133.845</f>
        <v>133.845</v>
      </c>
      <c r="F187" s="77">
        <f>278.484-40-25-60-100</f>
        <v>53.48399999999998</v>
      </c>
      <c r="G187" s="80">
        <v>40</v>
      </c>
      <c r="H187" s="77">
        <f t="shared" si="29"/>
        <v>185</v>
      </c>
      <c r="I187" s="77">
        <f t="shared" si="28"/>
        <v>0</v>
      </c>
      <c r="J187" s="80">
        <v>100</v>
      </c>
      <c r="K187" s="80">
        <v>300</v>
      </c>
      <c r="L187" s="77">
        <f t="shared" si="21"/>
        <v>1274</v>
      </c>
      <c r="M187" s="88">
        <v>600</v>
      </c>
      <c r="N187" s="77">
        <f>30</f>
        <v>30</v>
      </c>
      <c r="O187" s="80">
        <v>240</v>
      </c>
      <c r="P187" s="80">
        <v>160</v>
      </c>
      <c r="Q187" s="80">
        <f t="shared" si="22"/>
        <v>195</v>
      </c>
      <c r="R187" s="80">
        <f t="shared" si="23"/>
        <v>100</v>
      </c>
      <c r="S187" s="77">
        <f t="shared" si="24"/>
        <v>695</v>
      </c>
      <c r="T187" s="77">
        <f>0</f>
        <v>0</v>
      </c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</row>
    <row r="188" spans="1:30" ht="15.75" x14ac:dyDescent="0.25">
      <c r="A188" s="13">
        <v>46631</v>
      </c>
      <c r="B188" s="91">
        <v>30</v>
      </c>
      <c r="C188" s="77">
        <f>194.205</f>
        <v>194.20500000000001</v>
      </c>
      <c r="D188" s="77">
        <f>267.466</f>
        <v>267.46600000000001</v>
      </c>
      <c r="E188" s="86">
        <f>133.845</f>
        <v>133.845</v>
      </c>
      <c r="F188" s="77">
        <f>278.484-40-25-60-100</f>
        <v>53.48399999999998</v>
      </c>
      <c r="G188" s="80">
        <v>40</v>
      </c>
      <c r="H188" s="77">
        <f t="shared" si="29"/>
        <v>185</v>
      </c>
      <c r="I188" s="77">
        <f t="shared" si="28"/>
        <v>0</v>
      </c>
      <c r="J188" s="80">
        <v>100</v>
      </c>
      <c r="K188" s="80">
        <v>300</v>
      </c>
      <c r="L188" s="77">
        <f t="shared" si="21"/>
        <v>1274</v>
      </c>
      <c r="M188" s="88">
        <v>600</v>
      </c>
      <c r="N188" s="77">
        <f>30</f>
        <v>30</v>
      </c>
      <c r="O188" s="80">
        <v>240</v>
      </c>
      <c r="P188" s="80">
        <v>160</v>
      </c>
      <c r="Q188" s="80">
        <f t="shared" si="22"/>
        <v>195</v>
      </c>
      <c r="R188" s="80">
        <f t="shared" si="23"/>
        <v>100</v>
      </c>
      <c r="S188" s="77">
        <f t="shared" si="24"/>
        <v>695</v>
      </c>
      <c r="T188" s="77">
        <f>0</f>
        <v>0</v>
      </c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</row>
    <row r="189" spans="1:30" ht="15.75" x14ac:dyDescent="0.25">
      <c r="A189" s="13">
        <v>46661</v>
      </c>
      <c r="B189" s="91">
        <v>31</v>
      </c>
      <c r="C189" s="77">
        <f>131.881</f>
        <v>131.881</v>
      </c>
      <c r="D189" s="77">
        <f>277.167</f>
        <v>277.16699999999997</v>
      </c>
      <c r="E189" s="86">
        <f>79.08</f>
        <v>79.08</v>
      </c>
      <c r="F189" s="77">
        <f>350.872-40-25-60-100</f>
        <v>125.87200000000001</v>
      </c>
      <c r="G189" s="80">
        <v>40</v>
      </c>
      <c r="H189" s="77">
        <f t="shared" si="29"/>
        <v>185</v>
      </c>
      <c r="I189" s="77">
        <f t="shared" si="28"/>
        <v>0</v>
      </c>
      <c r="J189" s="80">
        <v>100</v>
      </c>
      <c r="K189" s="80">
        <v>300</v>
      </c>
      <c r="L189" s="77">
        <f t="shared" si="21"/>
        <v>1239</v>
      </c>
      <c r="M189" s="88">
        <v>600</v>
      </c>
      <c r="N189" s="77">
        <f>75</f>
        <v>75</v>
      </c>
      <c r="O189" s="80">
        <v>240</v>
      </c>
      <c r="P189" s="80">
        <v>160</v>
      </c>
      <c r="Q189" s="80">
        <f t="shared" si="22"/>
        <v>195</v>
      </c>
      <c r="R189" s="80">
        <f t="shared" si="23"/>
        <v>100</v>
      </c>
      <c r="S189" s="77">
        <f t="shared" si="24"/>
        <v>695</v>
      </c>
      <c r="T189" s="77">
        <f>0</f>
        <v>0</v>
      </c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</row>
    <row r="190" spans="1:30" ht="15.75" x14ac:dyDescent="0.25">
      <c r="A190" s="13">
        <v>46692</v>
      </c>
      <c r="B190" s="91">
        <v>30</v>
      </c>
      <c r="C190" s="77">
        <f>122.58</f>
        <v>122.58</v>
      </c>
      <c r="D190" s="77">
        <f>297.941</f>
        <v>297.94099999999997</v>
      </c>
      <c r="E190" s="86">
        <f>89.177</f>
        <v>89.177000000000007</v>
      </c>
      <c r="F190" s="77">
        <f>240.302-40-60-100</f>
        <v>40.301999999999992</v>
      </c>
      <c r="G190" s="80">
        <v>40</v>
      </c>
      <c r="H190" s="77">
        <f>60+100</f>
        <v>160</v>
      </c>
      <c r="I190" s="77">
        <f t="shared" si="28"/>
        <v>0</v>
      </c>
      <c r="J190" s="80">
        <v>100</v>
      </c>
      <c r="K190" s="80">
        <v>300</v>
      </c>
      <c r="L190" s="77">
        <f t="shared" si="21"/>
        <v>1150</v>
      </c>
      <c r="M190" s="88">
        <v>600</v>
      </c>
      <c r="N190" s="77">
        <f>100</f>
        <v>100</v>
      </c>
      <c r="O190" s="80">
        <v>240</v>
      </c>
      <c r="P190" s="80">
        <v>40</v>
      </c>
      <c r="Q190" s="80">
        <f t="shared" si="22"/>
        <v>315</v>
      </c>
      <c r="R190" s="80">
        <f t="shared" si="23"/>
        <v>100</v>
      </c>
      <c r="S190" s="77">
        <f t="shared" si="24"/>
        <v>695</v>
      </c>
      <c r="T190" s="77">
        <f>50</f>
        <v>50</v>
      </c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</row>
    <row r="191" spans="1:30" ht="15.75" x14ac:dyDescent="0.25">
      <c r="A191" s="13">
        <v>46722</v>
      </c>
      <c r="B191" s="91">
        <v>31</v>
      </c>
      <c r="C191" s="77">
        <f>122.58</f>
        <v>122.58</v>
      </c>
      <c r="D191" s="77">
        <f>297.941</f>
        <v>297.94099999999997</v>
      </c>
      <c r="E191" s="86">
        <f>89.177</f>
        <v>89.177000000000007</v>
      </c>
      <c r="F191" s="77">
        <f>240.302-40-60-100</f>
        <v>40.301999999999992</v>
      </c>
      <c r="G191" s="80">
        <v>40</v>
      </c>
      <c r="H191" s="77">
        <f>60+100</f>
        <v>160</v>
      </c>
      <c r="I191" s="77">
        <f t="shared" si="28"/>
        <v>0</v>
      </c>
      <c r="J191" s="80">
        <v>100</v>
      </c>
      <c r="K191" s="80">
        <v>300</v>
      </c>
      <c r="L191" s="77">
        <f t="shared" si="21"/>
        <v>1150</v>
      </c>
      <c r="M191" s="88">
        <v>600</v>
      </c>
      <c r="N191" s="77">
        <f>100</f>
        <v>100</v>
      </c>
      <c r="O191" s="80">
        <v>240</v>
      </c>
      <c r="P191" s="80">
        <v>40</v>
      </c>
      <c r="Q191" s="80">
        <f t="shared" si="22"/>
        <v>315</v>
      </c>
      <c r="R191" s="80">
        <f t="shared" si="23"/>
        <v>100</v>
      </c>
      <c r="S191" s="77">
        <f t="shared" si="24"/>
        <v>695</v>
      </c>
      <c r="T191" s="77">
        <f>50</f>
        <v>50</v>
      </c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</row>
    <row r="192" spans="1:30" ht="15.75" x14ac:dyDescent="0.25">
      <c r="A192" s="13">
        <v>46753</v>
      </c>
      <c r="B192" s="91">
        <v>31</v>
      </c>
      <c r="C192" s="77">
        <f>122.58</f>
        <v>122.58</v>
      </c>
      <c r="D192" s="77">
        <f>297.941</f>
        <v>297.94099999999997</v>
      </c>
      <c r="E192" s="86">
        <f>89.177</f>
        <v>89.177000000000007</v>
      </c>
      <c r="F192" s="77">
        <f>240.302-40-60-100</f>
        <v>40.301999999999992</v>
      </c>
      <c r="G192" s="80">
        <v>40</v>
      </c>
      <c r="H192" s="77">
        <f>60+100</f>
        <v>160</v>
      </c>
      <c r="I192" s="77">
        <f t="shared" si="28"/>
        <v>0</v>
      </c>
      <c r="J192" s="80">
        <v>100</v>
      </c>
      <c r="K192" s="80">
        <v>300</v>
      </c>
      <c r="L192" s="77">
        <f t="shared" si="21"/>
        <v>1150</v>
      </c>
      <c r="M192" s="88">
        <v>600</v>
      </c>
      <c r="N192" s="77">
        <f>100</f>
        <v>100</v>
      </c>
      <c r="O192" s="80">
        <v>240</v>
      </c>
      <c r="P192" s="80">
        <v>40</v>
      </c>
      <c r="Q192" s="80">
        <f t="shared" si="22"/>
        <v>315</v>
      </c>
      <c r="R192" s="80">
        <f t="shared" si="23"/>
        <v>100</v>
      </c>
      <c r="S192" s="77">
        <f t="shared" si="24"/>
        <v>695</v>
      </c>
      <c r="T192" s="77">
        <f>50</f>
        <v>50</v>
      </c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</row>
    <row r="193" spans="1:30" ht="15.75" x14ac:dyDescent="0.25">
      <c r="A193" s="13">
        <v>46784</v>
      </c>
      <c r="B193" s="91">
        <v>29</v>
      </c>
      <c r="C193" s="77">
        <f>122.58</f>
        <v>122.58</v>
      </c>
      <c r="D193" s="77">
        <f>297.941</f>
        <v>297.94099999999997</v>
      </c>
      <c r="E193" s="86">
        <f>89.177</f>
        <v>89.177000000000007</v>
      </c>
      <c r="F193" s="77">
        <f>240.302-40-60-100</f>
        <v>40.301999999999992</v>
      </c>
      <c r="G193" s="80">
        <v>40</v>
      </c>
      <c r="H193" s="77">
        <f>60+100</f>
        <v>160</v>
      </c>
      <c r="I193" s="77">
        <f t="shared" si="28"/>
        <v>0</v>
      </c>
      <c r="J193" s="80">
        <v>100</v>
      </c>
      <c r="K193" s="80">
        <v>300</v>
      </c>
      <c r="L193" s="77">
        <f t="shared" si="21"/>
        <v>1150</v>
      </c>
      <c r="M193" s="88">
        <v>600</v>
      </c>
      <c r="N193" s="77">
        <f>100</f>
        <v>100</v>
      </c>
      <c r="O193" s="80">
        <v>240</v>
      </c>
      <c r="P193" s="80">
        <v>40</v>
      </c>
      <c r="Q193" s="80">
        <f t="shared" si="22"/>
        <v>315</v>
      </c>
      <c r="R193" s="80">
        <f t="shared" si="23"/>
        <v>100</v>
      </c>
      <c r="S193" s="77">
        <f t="shared" si="24"/>
        <v>695</v>
      </c>
      <c r="T193" s="77">
        <f>50</f>
        <v>50</v>
      </c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</row>
    <row r="194" spans="1:30" ht="15.75" x14ac:dyDescent="0.25">
      <c r="A194" s="13">
        <v>46813</v>
      </c>
      <c r="B194" s="91">
        <v>31</v>
      </c>
      <c r="C194" s="77">
        <f>122.58</f>
        <v>122.58</v>
      </c>
      <c r="D194" s="77">
        <f>297.941</f>
        <v>297.94099999999997</v>
      </c>
      <c r="E194" s="86">
        <f>89.177</f>
        <v>89.177000000000007</v>
      </c>
      <c r="F194" s="77">
        <f>240.302-40-60-100</f>
        <v>40.301999999999992</v>
      </c>
      <c r="G194" s="80">
        <v>40</v>
      </c>
      <c r="H194" s="77">
        <f>60+100</f>
        <v>160</v>
      </c>
      <c r="I194" s="77">
        <f t="shared" si="28"/>
        <v>0</v>
      </c>
      <c r="J194" s="80">
        <v>100</v>
      </c>
      <c r="K194" s="80">
        <v>300</v>
      </c>
      <c r="L194" s="77">
        <f t="shared" si="21"/>
        <v>1150</v>
      </c>
      <c r="M194" s="88">
        <v>600</v>
      </c>
      <c r="N194" s="77">
        <f>100</f>
        <v>100</v>
      </c>
      <c r="O194" s="80">
        <v>240</v>
      </c>
      <c r="P194" s="80">
        <v>40</v>
      </c>
      <c r="Q194" s="80">
        <f t="shared" si="22"/>
        <v>315</v>
      </c>
      <c r="R194" s="80">
        <f t="shared" si="23"/>
        <v>100</v>
      </c>
      <c r="S194" s="77">
        <f t="shared" si="24"/>
        <v>695</v>
      </c>
      <c r="T194" s="77">
        <f>50</f>
        <v>50</v>
      </c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</row>
    <row r="195" spans="1:30" ht="15.75" x14ac:dyDescent="0.25">
      <c r="A195" s="13">
        <v>46844</v>
      </c>
      <c r="B195" s="91">
        <v>30</v>
      </c>
      <c r="C195" s="77">
        <f>141.293</f>
        <v>141.29300000000001</v>
      </c>
      <c r="D195" s="77">
        <f>267.993</f>
        <v>267.99299999999999</v>
      </c>
      <c r="E195" s="86">
        <f>115.016</f>
        <v>115.01600000000001</v>
      </c>
      <c r="F195" s="77">
        <f>314.698-40-25-60-100</f>
        <v>89.697999999999979</v>
      </c>
      <c r="G195" s="80">
        <v>40</v>
      </c>
      <c r="H195" s="77">
        <f t="shared" ref="H195:H201" si="30">25+60+100</f>
        <v>185</v>
      </c>
      <c r="I195" s="77">
        <f t="shared" si="28"/>
        <v>0</v>
      </c>
      <c r="J195" s="80">
        <v>100</v>
      </c>
      <c r="K195" s="80">
        <v>300</v>
      </c>
      <c r="L195" s="77">
        <f t="shared" si="21"/>
        <v>1239</v>
      </c>
      <c r="M195" s="88">
        <v>600</v>
      </c>
      <c r="N195" s="77">
        <f>100</f>
        <v>100</v>
      </c>
      <c r="O195" s="80">
        <v>240</v>
      </c>
      <c r="P195" s="80">
        <v>160</v>
      </c>
      <c r="Q195" s="80">
        <f t="shared" si="22"/>
        <v>195</v>
      </c>
      <c r="R195" s="80">
        <f t="shared" si="23"/>
        <v>100</v>
      </c>
      <c r="S195" s="77">
        <f t="shared" si="24"/>
        <v>695</v>
      </c>
      <c r="T195" s="77">
        <f>50</f>
        <v>50</v>
      </c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</row>
    <row r="196" spans="1:30" ht="15.75" x14ac:dyDescent="0.25">
      <c r="A196" s="13">
        <v>46874</v>
      </c>
      <c r="B196" s="91">
        <v>31</v>
      </c>
      <c r="C196" s="77">
        <f>194.205</f>
        <v>194.20500000000001</v>
      </c>
      <c r="D196" s="77">
        <f>267.466</f>
        <v>267.46600000000001</v>
      </c>
      <c r="E196" s="86">
        <f>133.845</f>
        <v>133.845</v>
      </c>
      <c r="F196" s="77">
        <f>278.484-40-25-60-100</f>
        <v>53.48399999999998</v>
      </c>
      <c r="G196" s="80">
        <v>40</v>
      </c>
      <c r="H196" s="77">
        <f t="shared" si="30"/>
        <v>185</v>
      </c>
      <c r="I196" s="77">
        <f t="shared" si="28"/>
        <v>0</v>
      </c>
      <c r="J196" s="80">
        <v>100</v>
      </c>
      <c r="K196" s="80">
        <v>300</v>
      </c>
      <c r="L196" s="77">
        <f t="shared" si="21"/>
        <v>1274</v>
      </c>
      <c r="M196" s="88">
        <v>600</v>
      </c>
      <c r="N196" s="77">
        <f>75</f>
        <v>75</v>
      </c>
      <c r="O196" s="80">
        <v>240</v>
      </c>
      <c r="P196" s="80">
        <v>160</v>
      </c>
      <c r="Q196" s="80">
        <f t="shared" si="22"/>
        <v>195</v>
      </c>
      <c r="R196" s="80">
        <f t="shared" si="23"/>
        <v>100</v>
      </c>
      <c r="S196" s="77">
        <f t="shared" si="24"/>
        <v>695</v>
      </c>
      <c r="T196" s="77">
        <f>50</f>
        <v>50</v>
      </c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</row>
    <row r="197" spans="1:30" ht="15.75" x14ac:dyDescent="0.25">
      <c r="A197" s="13">
        <v>46905</v>
      </c>
      <c r="B197" s="91">
        <v>30</v>
      </c>
      <c r="C197" s="77">
        <f>194.205</f>
        <v>194.20500000000001</v>
      </c>
      <c r="D197" s="77">
        <f>267.466</f>
        <v>267.46600000000001</v>
      </c>
      <c r="E197" s="86">
        <f>133.845</f>
        <v>133.845</v>
      </c>
      <c r="F197" s="77">
        <f>278.484-40-25-60-100</f>
        <v>53.48399999999998</v>
      </c>
      <c r="G197" s="80">
        <v>40</v>
      </c>
      <c r="H197" s="77">
        <f t="shared" si="30"/>
        <v>185</v>
      </c>
      <c r="I197" s="77">
        <f t="shared" si="28"/>
        <v>0</v>
      </c>
      <c r="J197" s="80">
        <v>100</v>
      </c>
      <c r="K197" s="80">
        <v>300</v>
      </c>
      <c r="L197" s="77">
        <f t="shared" si="21"/>
        <v>1274</v>
      </c>
      <c r="M197" s="88">
        <v>600</v>
      </c>
      <c r="N197" s="77">
        <f>30</f>
        <v>30</v>
      </c>
      <c r="O197" s="80">
        <v>240</v>
      </c>
      <c r="P197" s="80">
        <v>160</v>
      </c>
      <c r="Q197" s="80">
        <f t="shared" si="22"/>
        <v>195</v>
      </c>
      <c r="R197" s="80">
        <f t="shared" si="23"/>
        <v>100</v>
      </c>
      <c r="S197" s="77">
        <f t="shared" si="24"/>
        <v>695</v>
      </c>
      <c r="T197" s="77">
        <f>50</f>
        <v>50</v>
      </c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</row>
    <row r="198" spans="1:30" ht="15.75" x14ac:dyDescent="0.25">
      <c r="A198" s="13">
        <v>46935</v>
      </c>
      <c r="B198" s="91">
        <v>31</v>
      </c>
      <c r="C198" s="77">
        <f>194.205</f>
        <v>194.20500000000001</v>
      </c>
      <c r="D198" s="77">
        <f>267.466</f>
        <v>267.46600000000001</v>
      </c>
      <c r="E198" s="86">
        <f>133.845</f>
        <v>133.845</v>
      </c>
      <c r="F198" s="77">
        <f>278.484-40-25-60-100</f>
        <v>53.48399999999998</v>
      </c>
      <c r="G198" s="80">
        <v>40</v>
      </c>
      <c r="H198" s="77">
        <f t="shared" si="30"/>
        <v>185</v>
      </c>
      <c r="I198" s="77">
        <f t="shared" si="28"/>
        <v>0</v>
      </c>
      <c r="J198" s="80">
        <v>100</v>
      </c>
      <c r="K198" s="80">
        <v>300</v>
      </c>
      <c r="L198" s="77">
        <f t="shared" si="21"/>
        <v>1274</v>
      </c>
      <c r="M198" s="88">
        <v>600</v>
      </c>
      <c r="N198" s="77">
        <f>30</f>
        <v>30</v>
      </c>
      <c r="O198" s="80">
        <v>240</v>
      </c>
      <c r="P198" s="80">
        <v>160</v>
      </c>
      <c r="Q198" s="80">
        <f t="shared" si="22"/>
        <v>195</v>
      </c>
      <c r="R198" s="80">
        <f t="shared" si="23"/>
        <v>100</v>
      </c>
      <c r="S198" s="77">
        <f t="shared" si="24"/>
        <v>695</v>
      </c>
      <c r="T198" s="77">
        <f>0</f>
        <v>0</v>
      </c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</row>
    <row r="199" spans="1:30" ht="15.75" x14ac:dyDescent="0.25">
      <c r="A199" s="13">
        <v>46966</v>
      </c>
      <c r="B199" s="91">
        <v>31</v>
      </c>
      <c r="C199" s="77">
        <f>194.205</f>
        <v>194.20500000000001</v>
      </c>
      <c r="D199" s="77">
        <f>267.466</f>
        <v>267.46600000000001</v>
      </c>
      <c r="E199" s="86">
        <f>133.845</f>
        <v>133.845</v>
      </c>
      <c r="F199" s="77">
        <f>278.484-40-25-60-100</f>
        <v>53.48399999999998</v>
      </c>
      <c r="G199" s="80">
        <v>40</v>
      </c>
      <c r="H199" s="77">
        <f t="shared" si="30"/>
        <v>185</v>
      </c>
      <c r="I199" s="77">
        <f t="shared" si="28"/>
        <v>0</v>
      </c>
      <c r="J199" s="80">
        <v>100</v>
      </c>
      <c r="K199" s="80">
        <v>300</v>
      </c>
      <c r="L199" s="77">
        <f t="shared" si="21"/>
        <v>1274</v>
      </c>
      <c r="M199" s="88">
        <v>600</v>
      </c>
      <c r="N199" s="77">
        <f>30</f>
        <v>30</v>
      </c>
      <c r="O199" s="80">
        <v>240</v>
      </c>
      <c r="P199" s="80">
        <v>160</v>
      </c>
      <c r="Q199" s="80">
        <f t="shared" si="22"/>
        <v>195</v>
      </c>
      <c r="R199" s="80">
        <f t="shared" si="23"/>
        <v>100</v>
      </c>
      <c r="S199" s="77">
        <f t="shared" si="24"/>
        <v>695</v>
      </c>
      <c r="T199" s="77">
        <f>0</f>
        <v>0</v>
      </c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</row>
    <row r="200" spans="1:30" ht="15.75" x14ac:dyDescent="0.25">
      <c r="A200" s="13">
        <v>46997</v>
      </c>
      <c r="B200" s="91">
        <v>30</v>
      </c>
      <c r="C200" s="77">
        <f>194.205</f>
        <v>194.20500000000001</v>
      </c>
      <c r="D200" s="77">
        <f>267.466</f>
        <v>267.46600000000001</v>
      </c>
      <c r="E200" s="86">
        <f>133.845</f>
        <v>133.845</v>
      </c>
      <c r="F200" s="77">
        <f>278.484-40-25-60-100</f>
        <v>53.48399999999998</v>
      </c>
      <c r="G200" s="80">
        <v>40</v>
      </c>
      <c r="H200" s="77">
        <f t="shared" si="30"/>
        <v>185</v>
      </c>
      <c r="I200" s="77">
        <f t="shared" si="28"/>
        <v>0</v>
      </c>
      <c r="J200" s="80">
        <v>100</v>
      </c>
      <c r="K200" s="80">
        <v>300</v>
      </c>
      <c r="L200" s="77">
        <f t="shared" si="21"/>
        <v>1274</v>
      </c>
      <c r="M200" s="88">
        <v>600</v>
      </c>
      <c r="N200" s="77">
        <f>30</f>
        <v>30</v>
      </c>
      <c r="O200" s="80">
        <v>240</v>
      </c>
      <c r="P200" s="80">
        <v>160</v>
      </c>
      <c r="Q200" s="80">
        <f t="shared" si="22"/>
        <v>195</v>
      </c>
      <c r="R200" s="80">
        <f t="shared" si="23"/>
        <v>100</v>
      </c>
      <c r="S200" s="77">
        <f t="shared" si="24"/>
        <v>695</v>
      </c>
      <c r="T200" s="77">
        <f>0</f>
        <v>0</v>
      </c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</row>
    <row r="201" spans="1:30" ht="15.75" x14ac:dyDescent="0.25">
      <c r="A201" s="13">
        <v>47027</v>
      </c>
      <c r="B201" s="91">
        <v>31</v>
      </c>
      <c r="C201" s="77">
        <f>131.881</f>
        <v>131.881</v>
      </c>
      <c r="D201" s="77">
        <f>277.167</f>
        <v>277.16699999999997</v>
      </c>
      <c r="E201" s="86">
        <f>79.08</f>
        <v>79.08</v>
      </c>
      <c r="F201" s="77">
        <f>350.872-40-25-60-100</f>
        <v>125.87200000000001</v>
      </c>
      <c r="G201" s="80">
        <v>40</v>
      </c>
      <c r="H201" s="77">
        <f t="shared" si="30"/>
        <v>185</v>
      </c>
      <c r="I201" s="77">
        <f t="shared" si="28"/>
        <v>0</v>
      </c>
      <c r="J201" s="80">
        <v>100</v>
      </c>
      <c r="K201" s="80">
        <v>300</v>
      </c>
      <c r="L201" s="77">
        <f t="shared" si="21"/>
        <v>1239</v>
      </c>
      <c r="M201" s="88">
        <v>600</v>
      </c>
      <c r="N201" s="77">
        <f>75</f>
        <v>75</v>
      </c>
      <c r="O201" s="80">
        <v>240</v>
      </c>
      <c r="P201" s="80">
        <v>160</v>
      </c>
      <c r="Q201" s="80">
        <f t="shared" si="22"/>
        <v>195</v>
      </c>
      <c r="R201" s="80">
        <f t="shared" si="23"/>
        <v>100</v>
      </c>
      <c r="S201" s="77">
        <f t="shared" si="24"/>
        <v>695</v>
      </c>
      <c r="T201" s="77">
        <f>0</f>
        <v>0</v>
      </c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</row>
    <row r="202" spans="1:30" ht="15.75" x14ac:dyDescent="0.25">
      <c r="A202" s="13">
        <v>47058</v>
      </c>
      <c r="B202" s="91">
        <v>30</v>
      </c>
      <c r="C202" s="77">
        <f>122.58</f>
        <v>122.58</v>
      </c>
      <c r="D202" s="77">
        <f>297.941</f>
        <v>297.94099999999997</v>
      </c>
      <c r="E202" s="86">
        <f>89.177</f>
        <v>89.177000000000007</v>
      </c>
      <c r="F202" s="77">
        <f>240.302-40-60-100</f>
        <v>40.301999999999992</v>
      </c>
      <c r="G202" s="80">
        <v>40</v>
      </c>
      <c r="H202" s="77">
        <f>60+100</f>
        <v>160</v>
      </c>
      <c r="I202" s="77">
        <f t="shared" si="28"/>
        <v>0</v>
      </c>
      <c r="J202" s="80">
        <v>100</v>
      </c>
      <c r="K202" s="80">
        <v>300</v>
      </c>
      <c r="L202" s="77">
        <f t="shared" si="21"/>
        <v>1150</v>
      </c>
      <c r="M202" s="88">
        <v>600</v>
      </c>
      <c r="N202" s="77">
        <f>100</f>
        <v>100</v>
      </c>
      <c r="O202" s="80">
        <v>240</v>
      </c>
      <c r="P202" s="80">
        <v>40</v>
      </c>
      <c r="Q202" s="80">
        <f t="shared" si="22"/>
        <v>315</v>
      </c>
      <c r="R202" s="80">
        <f t="shared" si="23"/>
        <v>100</v>
      </c>
      <c r="S202" s="77">
        <f t="shared" si="24"/>
        <v>695</v>
      </c>
      <c r="T202" s="77">
        <f>50</f>
        <v>50</v>
      </c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</row>
    <row r="203" spans="1:30" ht="15.75" x14ac:dyDescent="0.25">
      <c r="A203" s="13">
        <v>47088</v>
      </c>
      <c r="B203" s="91">
        <v>31</v>
      </c>
      <c r="C203" s="77">
        <f>122.58</f>
        <v>122.58</v>
      </c>
      <c r="D203" s="77">
        <f>297.941</f>
        <v>297.94099999999997</v>
      </c>
      <c r="E203" s="86">
        <f>89.177</f>
        <v>89.177000000000007</v>
      </c>
      <c r="F203" s="77">
        <f>240.302-40-60-100</f>
        <v>40.301999999999992</v>
      </c>
      <c r="G203" s="80">
        <v>40</v>
      </c>
      <c r="H203" s="77">
        <f>60+100</f>
        <v>160</v>
      </c>
      <c r="I203" s="77">
        <f t="shared" si="28"/>
        <v>0</v>
      </c>
      <c r="J203" s="80">
        <v>100</v>
      </c>
      <c r="K203" s="80">
        <v>300</v>
      </c>
      <c r="L203" s="77">
        <f t="shared" si="21"/>
        <v>1150</v>
      </c>
      <c r="M203" s="88">
        <v>600</v>
      </c>
      <c r="N203" s="77">
        <f>100</f>
        <v>100</v>
      </c>
      <c r="O203" s="80">
        <v>240</v>
      </c>
      <c r="P203" s="80">
        <v>40</v>
      </c>
      <c r="Q203" s="80">
        <f t="shared" si="22"/>
        <v>315</v>
      </c>
      <c r="R203" s="80">
        <f t="shared" si="23"/>
        <v>100</v>
      </c>
      <c r="S203" s="77">
        <f t="shared" si="24"/>
        <v>695</v>
      </c>
      <c r="T203" s="77">
        <f>50</f>
        <v>50</v>
      </c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</row>
    <row r="204" spans="1:30" ht="15.75" x14ac:dyDescent="0.25">
      <c r="A204" s="13">
        <v>47119</v>
      </c>
      <c r="B204" s="91">
        <v>31</v>
      </c>
      <c r="C204" s="77">
        <f>122.58</f>
        <v>122.58</v>
      </c>
      <c r="D204" s="77">
        <f>297.941</f>
        <v>297.94099999999997</v>
      </c>
      <c r="E204" s="86">
        <f>89.177</f>
        <v>89.177000000000007</v>
      </c>
      <c r="F204" s="77">
        <f>240.302-40-60-100</f>
        <v>40.301999999999992</v>
      </c>
      <c r="G204" s="80">
        <v>40</v>
      </c>
      <c r="H204" s="77">
        <f>60+100</f>
        <v>160</v>
      </c>
      <c r="I204" s="77">
        <f t="shared" si="28"/>
        <v>0</v>
      </c>
      <c r="J204" s="80">
        <v>100</v>
      </c>
      <c r="K204" s="80">
        <v>300</v>
      </c>
      <c r="L204" s="77">
        <f t="shared" si="21"/>
        <v>1150</v>
      </c>
      <c r="M204" s="88">
        <v>600</v>
      </c>
      <c r="N204" s="77">
        <f>100</f>
        <v>100</v>
      </c>
      <c r="O204" s="80">
        <v>240</v>
      </c>
      <c r="P204" s="80">
        <v>40</v>
      </c>
      <c r="Q204" s="80">
        <f t="shared" si="22"/>
        <v>315</v>
      </c>
      <c r="R204" s="80">
        <f t="shared" si="23"/>
        <v>100</v>
      </c>
      <c r="S204" s="77">
        <f t="shared" si="24"/>
        <v>695</v>
      </c>
      <c r="T204" s="77">
        <f>50</f>
        <v>50</v>
      </c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</row>
    <row r="205" spans="1:30" ht="15.75" x14ac:dyDescent="0.25">
      <c r="A205" s="13">
        <v>47150</v>
      </c>
      <c r="B205" s="91">
        <v>28</v>
      </c>
      <c r="C205" s="77">
        <f>122.58</f>
        <v>122.58</v>
      </c>
      <c r="D205" s="77">
        <f>297.941</f>
        <v>297.94099999999997</v>
      </c>
      <c r="E205" s="86">
        <f>89.177</f>
        <v>89.177000000000007</v>
      </c>
      <c r="F205" s="77">
        <f>240.302-40-60-100</f>
        <v>40.301999999999992</v>
      </c>
      <c r="G205" s="80">
        <v>40</v>
      </c>
      <c r="H205" s="77">
        <f>60+100</f>
        <v>160</v>
      </c>
      <c r="I205" s="77">
        <f t="shared" si="28"/>
        <v>0</v>
      </c>
      <c r="J205" s="80">
        <v>100</v>
      </c>
      <c r="K205" s="80">
        <v>300</v>
      </c>
      <c r="L205" s="77">
        <f t="shared" si="21"/>
        <v>1150</v>
      </c>
      <c r="M205" s="88">
        <v>600</v>
      </c>
      <c r="N205" s="77">
        <f>100</f>
        <v>100</v>
      </c>
      <c r="O205" s="80">
        <v>240</v>
      </c>
      <c r="P205" s="80">
        <v>40</v>
      </c>
      <c r="Q205" s="80">
        <f t="shared" si="22"/>
        <v>315</v>
      </c>
      <c r="R205" s="80">
        <f t="shared" si="23"/>
        <v>100</v>
      </c>
      <c r="S205" s="77">
        <f t="shared" si="24"/>
        <v>695</v>
      </c>
      <c r="T205" s="77">
        <f>50</f>
        <v>50</v>
      </c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</row>
    <row r="206" spans="1:30" ht="15.75" x14ac:dyDescent="0.25">
      <c r="A206" s="13">
        <v>47178</v>
      </c>
      <c r="B206" s="91">
        <v>31</v>
      </c>
      <c r="C206" s="77">
        <f>122.58</f>
        <v>122.58</v>
      </c>
      <c r="D206" s="77">
        <f>297.941</f>
        <v>297.94099999999997</v>
      </c>
      <c r="E206" s="86">
        <f>89.177</f>
        <v>89.177000000000007</v>
      </c>
      <c r="F206" s="77">
        <f>240.302-40-60-100</f>
        <v>40.301999999999992</v>
      </c>
      <c r="G206" s="80">
        <v>40</v>
      </c>
      <c r="H206" s="77">
        <f>60+100</f>
        <v>160</v>
      </c>
      <c r="I206" s="77">
        <f t="shared" si="28"/>
        <v>0</v>
      </c>
      <c r="J206" s="80">
        <v>100</v>
      </c>
      <c r="K206" s="80">
        <v>300</v>
      </c>
      <c r="L206" s="77">
        <f t="shared" si="21"/>
        <v>1150</v>
      </c>
      <c r="M206" s="88">
        <v>600</v>
      </c>
      <c r="N206" s="77">
        <f>100</f>
        <v>100</v>
      </c>
      <c r="O206" s="80">
        <v>240</v>
      </c>
      <c r="P206" s="80">
        <v>40</v>
      </c>
      <c r="Q206" s="80">
        <f t="shared" si="22"/>
        <v>315</v>
      </c>
      <c r="R206" s="80">
        <f t="shared" si="23"/>
        <v>100</v>
      </c>
      <c r="S206" s="77">
        <f t="shared" si="24"/>
        <v>695</v>
      </c>
      <c r="T206" s="77">
        <f>50</f>
        <v>50</v>
      </c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</row>
    <row r="207" spans="1:30" ht="15.75" x14ac:dyDescent="0.25">
      <c r="A207" s="13">
        <v>47209</v>
      </c>
      <c r="B207" s="91">
        <v>30</v>
      </c>
      <c r="C207" s="77">
        <f>141.293</f>
        <v>141.29300000000001</v>
      </c>
      <c r="D207" s="77">
        <f>267.993</f>
        <v>267.99299999999999</v>
      </c>
      <c r="E207" s="86">
        <f>115.016</f>
        <v>115.01600000000001</v>
      </c>
      <c r="F207" s="77">
        <f>314.698-40-25-60-100</f>
        <v>89.697999999999979</v>
      </c>
      <c r="G207" s="80">
        <v>40</v>
      </c>
      <c r="H207" s="77">
        <f t="shared" ref="H207:H213" si="31">25+60+100</f>
        <v>185</v>
      </c>
      <c r="I207" s="77">
        <f t="shared" si="28"/>
        <v>0</v>
      </c>
      <c r="J207" s="80">
        <v>100</v>
      </c>
      <c r="K207" s="80">
        <v>300</v>
      </c>
      <c r="L207" s="77">
        <f t="shared" si="21"/>
        <v>1239</v>
      </c>
      <c r="M207" s="88">
        <v>600</v>
      </c>
      <c r="N207" s="77">
        <f>100</f>
        <v>100</v>
      </c>
      <c r="O207" s="80">
        <v>240</v>
      </c>
      <c r="P207" s="80">
        <v>160</v>
      </c>
      <c r="Q207" s="80">
        <f t="shared" si="22"/>
        <v>195</v>
      </c>
      <c r="R207" s="80">
        <f t="shared" si="23"/>
        <v>100</v>
      </c>
      <c r="S207" s="77">
        <f t="shared" si="24"/>
        <v>695</v>
      </c>
      <c r="T207" s="77">
        <f>50</f>
        <v>50</v>
      </c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</row>
    <row r="208" spans="1:30" ht="15.75" x14ac:dyDescent="0.25">
      <c r="A208" s="13">
        <v>47239</v>
      </c>
      <c r="B208" s="91">
        <v>31</v>
      </c>
      <c r="C208" s="77">
        <f>194.205</f>
        <v>194.20500000000001</v>
      </c>
      <c r="D208" s="77">
        <f>267.466</f>
        <v>267.46600000000001</v>
      </c>
      <c r="E208" s="86">
        <f>133.845</f>
        <v>133.845</v>
      </c>
      <c r="F208" s="77">
        <f>278.484-40-25-60-100</f>
        <v>53.48399999999998</v>
      </c>
      <c r="G208" s="80">
        <v>40</v>
      </c>
      <c r="H208" s="77">
        <f t="shared" si="31"/>
        <v>185</v>
      </c>
      <c r="I208" s="77">
        <f t="shared" si="28"/>
        <v>0</v>
      </c>
      <c r="J208" s="80">
        <v>100</v>
      </c>
      <c r="K208" s="80">
        <v>300</v>
      </c>
      <c r="L208" s="77">
        <f t="shared" si="21"/>
        <v>1274</v>
      </c>
      <c r="M208" s="88">
        <v>600</v>
      </c>
      <c r="N208" s="77">
        <f>75</f>
        <v>75</v>
      </c>
      <c r="O208" s="80">
        <v>240</v>
      </c>
      <c r="P208" s="80">
        <v>160</v>
      </c>
      <c r="Q208" s="80">
        <f t="shared" si="22"/>
        <v>195</v>
      </c>
      <c r="R208" s="80">
        <f t="shared" si="23"/>
        <v>100</v>
      </c>
      <c r="S208" s="77">
        <f t="shared" si="24"/>
        <v>695</v>
      </c>
      <c r="T208" s="77">
        <f>50</f>
        <v>50</v>
      </c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</row>
    <row r="209" spans="1:30" ht="15.75" x14ac:dyDescent="0.25">
      <c r="A209" s="13">
        <v>47270</v>
      </c>
      <c r="B209" s="91">
        <v>30</v>
      </c>
      <c r="C209" s="77">
        <f>194.205</f>
        <v>194.20500000000001</v>
      </c>
      <c r="D209" s="77">
        <f>267.466</f>
        <v>267.46600000000001</v>
      </c>
      <c r="E209" s="86">
        <f>133.845</f>
        <v>133.845</v>
      </c>
      <c r="F209" s="77">
        <f>278.484-40-25-60-100</f>
        <v>53.48399999999998</v>
      </c>
      <c r="G209" s="80">
        <v>40</v>
      </c>
      <c r="H209" s="77">
        <f t="shared" si="31"/>
        <v>185</v>
      </c>
      <c r="I209" s="77">
        <f t="shared" si="28"/>
        <v>0</v>
      </c>
      <c r="J209" s="80">
        <v>100</v>
      </c>
      <c r="K209" s="80">
        <v>300</v>
      </c>
      <c r="L209" s="77">
        <f t="shared" ref="L209:L272" si="32">SUM(C209:K209)</f>
        <v>1274</v>
      </c>
      <c r="M209" s="88">
        <v>600</v>
      </c>
      <c r="N209" s="77">
        <f>30</f>
        <v>30</v>
      </c>
      <c r="O209" s="80">
        <v>240</v>
      </c>
      <c r="P209" s="80">
        <v>160</v>
      </c>
      <c r="Q209" s="80">
        <f t="shared" ref="Q209:Q272" si="33">695-R209-O209-P209</f>
        <v>195</v>
      </c>
      <c r="R209" s="80">
        <f t="shared" ref="R209:R272" si="34">200-J209</f>
        <v>100</v>
      </c>
      <c r="S209" s="77">
        <f t="shared" ref="S209:S272" si="35">SUM(O209:R209)</f>
        <v>695</v>
      </c>
      <c r="T209" s="77">
        <f>50</f>
        <v>50</v>
      </c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</row>
    <row r="210" spans="1:30" ht="15.75" x14ac:dyDescent="0.25">
      <c r="A210" s="13">
        <v>47300</v>
      </c>
      <c r="B210" s="91">
        <v>31</v>
      </c>
      <c r="C210" s="77">
        <f>194.205</f>
        <v>194.20500000000001</v>
      </c>
      <c r="D210" s="77">
        <f>267.466</f>
        <v>267.46600000000001</v>
      </c>
      <c r="E210" s="86">
        <f>133.845</f>
        <v>133.845</v>
      </c>
      <c r="F210" s="77">
        <f>278.484-40-25-60-100</f>
        <v>53.48399999999998</v>
      </c>
      <c r="G210" s="80">
        <v>40</v>
      </c>
      <c r="H210" s="77">
        <f t="shared" si="31"/>
        <v>185</v>
      </c>
      <c r="I210" s="77">
        <f t="shared" si="28"/>
        <v>0</v>
      </c>
      <c r="J210" s="80">
        <v>100</v>
      </c>
      <c r="K210" s="80">
        <v>300</v>
      </c>
      <c r="L210" s="77">
        <f t="shared" si="32"/>
        <v>1274</v>
      </c>
      <c r="M210" s="88">
        <v>600</v>
      </c>
      <c r="N210" s="77">
        <f>30</f>
        <v>30</v>
      </c>
      <c r="O210" s="80">
        <v>240</v>
      </c>
      <c r="P210" s="80">
        <v>160</v>
      </c>
      <c r="Q210" s="80">
        <f t="shared" si="33"/>
        <v>195</v>
      </c>
      <c r="R210" s="80">
        <f t="shared" si="34"/>
        <v>100</v>
      </c>
      <c r="S210" s="77">
        <f t="shared" si="35"/>
        <v>695</v>
      </c>
      <c r="T210" s="77">
        <f>0</f>
        <v>0</v>
      </c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</row>
    <row r="211" spans="1:30" ht="15.75" x14ac:dyDescent="0.25">
      <c r="A211" s="13">
        <v>47331</v>
      </c>
      <c r="B211" s="91">
        <v>31</v>
      </c>
      <c r="C211" s="77">
        <f>194.205</f>
        <v>194.20500000000001</v>
      </c>
      <c r="D211" s="77">
        <f>267.466</f>
        <v>267.46600000000001</v>
      </c>
      <c r="E211" s="86">
        <f>133.845</f>
        <v>133.845</v>
      </c>
      <c r="F211" s="77">
        <f>278.484-40-25-60-100</f>
        <v>53.48399999999998</v>
      </c>
      <c r="G211" s="80">
        <v>40</v>
      </c>
      <c r="H211" s="77">
        <f t="shared" si="31"/>
        <v>185</v>
      </c>
      <c r="I211" s="77">
        <f t="shared" si="28"/>
        <v>0</v>
      </c>
      <c r="J211" s="80">
        <v>100</v>
      </c>
      <c r="K211" s="80">
        <v>300</v>
      </c>
      <c r="L211" s="77">
        <f t="shared" si="32"/>
        <v>1274</v>
      </c>
      <c r="M211" s="88">
        <v>600</v>
      </c>
      <c r="N211" s="77">
        <f>30</f>
        <v>30</v>
      </c>
      <c r="O211" s="80">
        <v>240</v>
      </c>
      <c r="P211" s="80">
        <v>160</v>
      </c>
      <c r="Q211" s="80">
        <f t="shared" si="33"/>
        <v>195</v>
      </c>
      <c r="R211" s="80">
        <f t="shared" si="34"/>
        <v>100</v>
      </c>
      <c r="S211" s="77">
        <f t="shared" si="35"/>
        <v>695</v>
      </c>
      <c r="T211" s="77">
        <f>0</f>
        <v>0</v>
      </c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</row>
    <row r="212" spans="1:30" ht="15.75" x14ac:dyDescent="0.25">
      <c r="A212" s="13">
        <v>47362</v>
      </c>
      <c r="B212" s="91">
        <v>30</v>
      </c>
      <c r="C212" s="77">
        <f>194.205</f>
        <v>194.20500000000001</v>
      </c>
      <c r="D212" s="77">
        <f>267.466</f>
        <v>267.46600000000001</v>
      </c>
      <c r="E212" s="86">
        <f>133.845</f>
        <v>133.845</v>
      </c>
      <c r="F212" s="77">
        <f>278.484-40-25-60-100</f>
        <v>53.48399999999998</v>
      </c>
      <c r="G212" s="80">
        <v>40</v>
      </c>
      <c r="H212" s="77">
        <f t="shared" si="31"/>
        <v>185</v>
      </c>
      <c r="I212" s="77">
        <f t="shared" si="28"/>
        <v>0</v>
      </c>
      <c r="J212" s="80">
        <v>100</v>
      </c>
      <c r="K212" s="80">
        <v>300</v>
      </c>
      <c r="L212" s="77">
        <f t="shared" si="32"/>
        <v>1274</v>
      </c>
      <c r="M212" s="88">
        <v>600</v>
      </c>
      <c r="N212" s="77">
        <f>30</f>
        <v>30</v>
      </c>
      <c r="O212" s="80">
        <v>240</v>
      </c>
      <c r="P212" s="80">
        <v>160</v>
      </c>
      <c r="Q212" s="80">
        <f t="shared" si="33"/>
        <v>195</v>
      </c>
      <c r="R212" s="80">
        <f t="shared" si="34"/>
        <v>100</v>
      </c>
      <c r="S212" s="77">
        <f t="shared" si="35"/>
        <v>695</v>
      </c>
      <c r="T212" s="77">
        <f>0</f>
        <v>0</v>
      </c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</row>
    <row r="213" spans="1:30" ht="15.75" x14ac:dyDescent="0.25">
      <c r="A213" s="13">
        <v>47392</v>
      </c>
      <c r="B213" s="91">
        <v>31</v>
      </c>
      <c r="C213" s="77">
        <f>131.881</f>
        <v>131.881</v>
      </c>
      <c r="D213" s="77">
        <f>277.167</f>
        <v>277.16699999999997</v>
      </c>
      <c r="E213" s="86">
        <f>79.08</f>
        <v>79.08</v>
      </c>
      <c r="F213" s="77">
        <f>350.872-40-25-60-100</f>
        <v>125.87200000000001</v>
      </c>
      <c r="G213" s="80">
        <v>40</v>
      </c>
      <c r="H213" s="77">
        <f t="shared" si="31"/>
        <v>185</v>
      </c>
      <c r="I213" s="77">
        <f t="shared" si="28"/>
        <v>0</v>
      </c>
      <c r="J213" s="80">
        <v>100</v>
      </c>
      <c r="K213" s="80">
        <v>300</v>
      </c>
      <c r="L213" s="77">
        <f t="shared" si="32"/>
        <v>1239</v>
      </c>
      <c r="M213" s="88">
        <v>600</v>
      </c>
      <c r="N213" s="77">
        <f>75</f>
        <v>75</v>
      </c>
      <c r="O213" s="80">
        <v>240</v>
      </c>
      <c r="P213" s="80">
        <v>160</v>
      </c>
      <c r="Q213" s="80">
        <f t="shared" si="33"/>
        <v>195</v>
      </c>
      <c r="R213" s="80">
        <f t="shared" si="34"/>
        <v>100</v>
      </c>
      <c r="S213" s="77">
        <f t="shared" si="35"/>
        <v>695</v>
      </c>
      <c r="T213" s="77">
        <f>0</f>
        <v>0</v>
      </c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</row>
    <row r="214" spans="1:30" ht="15.75" x14ac:dyDescent="0.25">
      <c r="A214" s="13">
        <v>47423</v>
      </c>
      <c r="B214" s="91">
        <v>30</v>
      </c>
      <c r="C214" s="77">
        <f>122.58</f>
        <v>122.58</v>
      </c>
      <c r="D214" s="77">
        <f>297.941</f>
        <v>297.94099999999997</v>
      </c>
      <c r="E214" s="86">
        <f>89.177</f>
        <v>89.177000000000007</v>
      </c>
      <c r="F214" s="77">
        <f>240.302-40-60-100</f>
        <v>40.301999999999992</v>
      </c>
      <c r="G214" s="80">
        <v>40</v>
      </c>
      <c r="H214" s="77">
        <f>60+100</f>
        <v>160</v>
      </c>
      <c r="I214" s="77">
        <f t="shared" si="28"/>
        <v>0</v>
      </c>
      <c r="J214" s="80">
        <v>100</v>
      </c>
      <c r="K214" s="80">
        <v>300</v>
      </c>
      <c r="L214" s="77">
        <f t="shared" si="32"/>
        <v>1150</v>
      </c>
      <c r="M214" s="88">
        <v>600</v>
      </c>
      <c r="N214" s="77">
        <f>100</f>
        <v>100</v>
      </c>
      <c r="O214" s="80">
        <v>240</v>
      </c>
      <c r="P214" s="80">
        <v>40</v>
      </c>
      <c r="Q214" s="80">
        <f t="shared" si="33"/>
        <v>315</v>
      </c>
      <c r="R214" s="80">
        <f t="shared" si="34"/>
        <v>100</v>
      </c>
      <c r="S214" s="77">
        <f t="shared" si="35"/>
        <v>695</v>
      </c>
      <c r="T214" s="77">
        <f>50</f>
        <v>50</v>
      </c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</row>
    <row r="215" spans="1:30" ht="15.75" x14ac:dyDescent="0.25">
      <c r="A215" s="13">
        <v>47453</v>
      </c>
      <c r="B215" s="91">
        <v>31</v>
      </c>
      <c r="C215" s="77">
        <f>122.58</f>
        <v>122.58</v>
      </c>
      <c r="D215" s="77">
        <f>297.941</f>
        <v>297.94099999999997</v>
      </c>
      <c r="E215" s="86">
        <f>89.177</f>
        <v>89.177000000000007</v>
      </c>
      <c r="F215" s="77">
        <f>240.302-40-60-100</f>
        <v>40.301999999999992</v>
      </c>
      <c r="G215" s="80">
        <v>40</v>
      </c>
      <c r="H215" s="77">
        <f>60+100</f>
        <v>160</v>
      </c>
      <c r="I215" s="77">
        <f t="shared" si="28"/>
        <v>0</v>
      </c>
      <c r="J215" s="80">
        <v>100</v>
      </c>
      <c r="K215" s="80">
        <v>300</v>
      </c>
      <c r="L215" s="77">
        <f t="shared" si="32"/>
        <v>1150</v>
      </c>
      <c r="M215" s="88">
        <v>600</v>
      </c>
      <c r="N215" s="77">
        <f>100</f>
        <v>100</v>
      </c>
      <c r="O215" s="80">
        <v>240</v>
      </c>
      <c r="P215" s="80">
        <v>40</v>
      </c>
      <c r="Q215" s="80">
        <f t="shared" si="33"/>
        <v>315</v>
      </c>
      <c r="R215" s="80">
        <f t="shared" si="34"/>
        <v>100</v>
      </c>
      <c r="S215" s="77">
        <f t="shared" si="35"/>
        <v>695</v>
      </c>
      <c r="T215" s="77">
        <f>50</f>
        <v>50</v>
      </c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</row>
    <row r="216" spans="1:30" ht="15.75" x14ac:dyDescent="0.25">
      <c r="A216" s="13">
        <v>47484</v>
      </c>
      <c r="B216" s="91">
        <v>31</v>
      </c>
      <c r="C216" s="77">
        <f>122.58</f>
        <v>122.58</v>
      </c>
      <c r="D216" s="77">
        <f>297.941</f>
        <v>297.94099999999997</v>
      </c>
      <c r="E216" s="86">
        <f>89.177</f>
        <v>89.177000000000007</v>
      </c>
      <c r="F216" s="77">
        <f>240.302-40-60-100</f>
        <v>40.301999999999992</v>
      </c>
      <c r="G216" s="80">
        <v>40</v>
      </c>
      <c r="H216" s="77">
        <f>60+100</f>
        <v>160</v>
      </c>
      <c r="I216" s="77">
        <f t="shared" si="28"/>
        <v>0</v>
      </c>
      <c r="J216" s="80">
        <v>100</v>
      </c>
      <c r="K216" s="80">
        <v>300</v>
      </c>
      <c r="L216" s="77">
        <f t="shared" si="32"/>
        <v>1150</v>
      </c>
      <c r="M216" s="88">
        <v>600</v>
      </c>
      <c r="N216" s="77">
        <f>100</f>
        <v>100</v>
      </c>
      <c r="O216" s="80">
        <v>240</v>
      </c>
      <c r="P216" s="80">
        <v>40</v>
      </c>
      <c r="Q216" s="80">
        <f t="shared" si="33"/>
        <v>315</v>
      </c>
      <c r="R216" s="80">
        <f t="shared" si="34"/>
        <v>100</v>
      </c>
      <c r="S216" s="77">
        <f t="shared" si="35"/>
        <v>695</v>
      </c>
      <c r="T216" s="77">
        <f>50</f>
        <v>50</v>
      </c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</row>
    <row r="217" spans="1:30" ht="15.75" x14ac:dyDescent="0.25">
      <c r="A217" s="13">
        <v>47515</v>
      </c>
      <c r="B217" s="91">
        <v>28</v>
      </c>
      <c r="C217" s="77">
        <f>122.58</f>
        <v>122.58</v>
      </c>
      <c r="D217" s="77">
        <f>297.941</f>
        <v>297.94099999999997</v>
      </c>
      <c r="E217" s="86">
        <f>89.177</f>
        <v>89.177000000000007</v>
      </c>
      <c r="F217" s="77">
        <f>240.302-40-60-100</f>
        <v>40.301999999999992</v>
      </c>
      <c r="G217" s="80">
        <v>40</v>
      </c>
      <c r="H217" s="77">
        <f>60+100</f>
        <v>160</v>
      </c>
      <c r="I217" s="77">
        <f t="shared" si="28"/>
        <v>0</v>
      </c>
      <c r="J217" s="80">
        <v>100</v>
      </c>
      <c r="K217" s="80">
        <v>300</v>
      </c>
      <c r="L217" s="77">
        <f t="shared" si="32"/>
        <v>1150</v>
      </c>
      <c r="M217" s="88">
        <v>600</v>
      </c>
      <c r="N217" s="77">
        <f>100</f>
        <v>100</v>
      </c>
      <c r="O217" s="80">
        <v>240</v>
      </c>
      <c r="P217" s="80">
        <v>40</v>
      </c>
      <c r="Q217" s="80">
        <f t="shared" si="33"/>
        <v>315</v>
      </c>
      <c r="R217" s="80">
        <f t="shared" si="34"/>
        <v>100</v>
      </c>
      <c r="S217" s="77">
        <f t="shared" si="35"/>
        <v>695</v>
      </c>
      <c r="T217" s="77">
        <f>50</f>
        <v>50</v>
      </c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</row>
    <row r="218" spans="1:30" ht="15.75" x14ac:dyDescent="0.25">
      <c r="A218" s="13">
        <v>47543</v>
      </c>
      <c r="B218" s="91">
        <v>31</v>
      </c>
      <c r="C218" s="77">
        <f>122.58</f>
        <v>122.58</v>
      </c>
      <c r="D218" s="77">
        <f>297.941</f>
        <v>297.94099999999997</v>
      </c>
      <c r="E218" s="86">
        <f>89.177</f>
        <v>89.177000000000007</v>
      </c>
      <c r="F218" s="77">
        <f>240.302-40-60-100</f>
        <v>40.301999999999992</v>
      </c>
      <c r="G218" s="80">
        <v>40</v>
      </c>
      <c r="H218" s="77">
        <f>60+100</f>
        <v>160</v>
      </c>
      <c r="I218" s="77">
        <f t="shared" si="28"/>
        <v>0</v>
      </c>
      <c r="J218" s="80">
        <v>100</v>
      </c>
      <c r="K218" s="80">
        <v>300</v>
      </c>
      <c r="L218" s="77">
        <f t="shared" si="32"/>
        <v>1150</v>
      </c>
      <c r="M218" s="88">
        <v>600</v>
      </c>
      <c r="N218" s="77">
        <f>100</f>
        <v>100</v>
      </c>
      <c r="O218" s="80">
        <v>240</v>
      </c>
      <c r="P218" s="80">
        <v>40</v>
      </c>
      <c r="Q218" s="80">
        <f t="shared" si="33"/>
        <v>315</v>
      </c>
      <c r="R218" s="80">
        <f t="shared" si="34"/>
        <v>100</v>
      </c>
      <c r="S218" s="77">
        <f t="shared" si="35"/>
        <v>695</v>
      </c>
      <c r="T218" s="77">
        <f>50</f>
        <v>50</v>
      </c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</row>
    <row r="219" spans="1:30" ht="15.75" x14ac:dyDescent="0.25">
      <c r="A219" s="13">
        <v>47574</v>
      </c>
      <c r="B219" s="91">
        <v>30</v>
      </c>
      <c r="C219" s="77">
        <f>141.293</f>
        <v>141.29300000000001</v>
      </c>
      <c r="D219" s="77">
        <f>267.993</f>
        <v>267.99299999999999</v>
      </c>
      <c r="E219" s="86">
        <f>115.016</f>
        <v>115.01600000000001</v>
      </c>
      <c r="F219" s="77">
        <f>314.698-40-25-60-100</f>
        <v>89.697999999999979</v>
      </c>
      <c r="G219" s="80">
        <v>40</v>
      </c>
      <c r="H219" s="77">
        <f t="shared" ref="H219:H225" si="36">25+60+100</f>
        <v>185</v>
      </c>
      <c r="I219" s="77">
        <f t="shared" si="28"/>
        <v>0</v>
      </c>
      <c r="J219" s="80">
        <v>100</v>
      </c>
      <c r="K219" s="80">
        <v>300</v>
      </c>
      <c r="L219" s="77">
        <f t="shared" si="32"/>
        <v>1239</v>
      </c>
      <c r="M219" s="88">
        <v>600</v>
      </c>
      <c r="N219" s="77">
        <f>100</f>
        <v>100</v>
      </c>
      <c r="O219" s="80">
        <v>240</v>
      </c>
      <c r="P219" s="80">
        <v>160</v>
      </c>
      <c r="Q219" s="80">
        <f t="shared" si="33"/>
        <v>195</v>
      </c>
      <c r="R219" s="80">
        <f t="shared" si="34"/>
        <v>100</v>
      </c>
      <c r="S219" s="77">
        <f t="shared" si="35"/>
        <v>695</v>
      </c>
      <c r="T219" s="77">
        <f>50</f>
        <v>50</v>
      </c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</row>
    <row r="220" spans="1:30" ht="15.75" x14ac:dyDescent="0.25">
      <c r="A220" s="13">
        <v>47604</v>
      </c>
      <c r="B220" s="91">
        <v>31</v>
      </c>
      <c r="C220" s="77">
        <f>194.205</f>
        <v>194.20500000000001</v>
      </c>
      <c r="D220" s="77">
        <f>267.466</f>
        <v>267.46600000000001</v>
      </c>
      <c r="E220" s="86">
        <f>133.845</f>
        <v>133.845</v>
      </c>
      <c r="F220" s="77">
        <f>278.484-40-25-60-100</f>
        <v>53.48399999999998</v>
      </c>
      <c r="G220" s="80">
        <v>40</v>
      </c>
      <c r="H220" s="77">
        <f t="shared" si="36"/>
        <v>185</v>
      </c>
      <c r="I220" s="77">
        <f t="shared" si="28"/>
        <v>0</v>
      </c>
      <c r="J220" s="80">
        <v>100</v>
      </c>
      <c r="K220" s="80">
        <v>300</v>
      </c>
      <c r="L220" s="77">
        <f t="shared" si="32"/>
        <v>1274</v>
      </c>
      <c r="M220" s="88">
        <v>600</v>
      </c>
      <c r="N220" s="77">
        <f>75</f>
        <v>75</v>
      </c>
      <c r="O220" s="80">
        <v>240</v>
      </c>
      <c r="P220" s="80">
        <v>160</v>
      </c>
      <c r="Q220" s="80">
        <f t="shared" si="33"/>
        <v>195</v>
      </c>
      <c r="R220" s="80">
        <f t="shared" si="34"/>
        <v>100</v>
      </c>
      <c r="S220" s="77">
        <f t="shared" si="35"/>
        <v>695</v>
      </c>
      <c r="T220" s="77">
        <f>50</f>
        <v>50</v>
      </c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</row>
    <row r="221" spans="1:30" ht="15.75" x14ac:dyDescent="0.25">
      <c r="A221" s="13">
        <v>47635</v>
      </c>
      <c r="B221" s="91">
        <v>30</v>
      </c>
      <c r="C221" s="77">
        <f>194.205</f>
        <v>194.20500000000001</v>
      </c>
      <c r="D221" s="77">
        <f>267.466</f>
        <v>267.46600000000001</v>
      </c>
      <c r="E221" s="86">
        <f>133.845</f>
        <v>133.845</v>
      </c>
      <c r="F221" s="77">
        <f>278.484-40-25-60-100</f>
        <v>53.48399999999998</v>
      </c>
      <c r="G221" s="80">
        <v>40</v>
      </c>
      <c r="H221" s="77">
        <f t="shared" si="36"/>
        <v>185</v>
      </c>
      <c r="I221" s="77">
        <f t="shared" si="28"/>
        <v>0</v>
      </c>
      <c r="J221" s="80">
        <v>100</v>
      </c>
      <c r="K221" s="80">
        <v>300</v>
      </c>
      <c r="L221" s="77">
        <f t="shared" si="32"/>
        <v>1274</v>
      </c>
      <c r="M221" s="88">
        <v>600</v>
      </c>
      <c r="N221" s="77">
        <f>30</f>
        <v>30</v>
      </c>
      <c r="O221" s="80">
        <v>240</v>
      </c>
      <c r="P221" s="80">
        <v>160</v>
      </c>
      <c r="Q221" s="80">
        <f t="shared" si="33"/>
        <v>195</v>
      </c>
      <c r="R221" s="80">
        <f t="shared" si="34"/>
        <v>100</v>
      </c>
      <c r="S221" s="77">
        <f t="shared" si="35"/>
        <v>695</v>
      </c>
      <c r="T221" s="77">
        <f>50</f>
        <v>50</v>
      </c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</row>
    <row r="222" spans="1:30" ht="15.75" x14ac:dyDescent="0.25">
      <c r="A222" s="13">
        <v>47665</v>
      </c>
      <c r="B222" s="91">
        <v>31</v>
      </c>
      <c r="C222" s="77">
        <f>194.205</f>
        <v>194.20500000000001</v>
      </c>
      <c r="D222" s="77">
        <f>267.466</f>
        <v>267.46600000000001</v>
      </c>
      <c r="E222" s="86">
        <f>133.845</f>
        <v>133.845</v>
      </c>
      <c r="F222" s="77">
        <f>278.484-40-25-60-100</f>
        <v>53.48399999999998</v>
      </c>
      <c r="G222" s="80">
        <v>40</v>
      </c>
      <c r="H222" s="77">
        <f t="shared" si="36"/>
        <v>185</v>
      </c>
      <c r="I222" s="77">
        <f t="shared" si="28"/>
        <v>0</v>
      </c>
      <c r="J222" s="80">
        <v>100</v>
      </c>
      <c r="K222" s="80">
        <v>300</v>
      </c>
      <c r="L222" s="77">
        <f t="shared" si="32"/>
        <v>1274</v>
      </c>
      <c r="M222" s="88">
        <v>600</v>
      </c>
      <c r="N222" s="77">
        <f>30</f>
        <v>30</v>
      </c>
      <c r="O222" s="80">
        <v>240</v>
      </c>
      <c r="P222" s="80">
        <v>160</v>
      </c>
      <c r="Q222" s="80">
        <f t="shared" si="33"/>
        <v>195</v>
      </c>
      <c r="R222" s="80">
        <f t="shared" si="34"/>
        <v>100</v>
      </c>
      <c r="S222" s="77">
        <f t="shared" si="35"/>
        <v>695</v>
      </c>
      <c r="T222" s="77">
        <f>0</f>
        <v>0</v>
      </c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</row>
    <row r="223" spans="1:30" ht="15.75" x14ac:dyDescent="0.25">
      <c r="A223" s="13">
        <v>47696</v>
      </c>
      <c r="B223" s="91">
        <v>31</v>
      </c>
      <c r="C223" s="77">
        <f>194.205</f>
        <v>194.20500000000001</v>
      </c>
      <c r="D223" s="77">
        <f>267.466</f>
        <v>267.46600000000001</v>
      </c>
      <c r="E223" s="86">
        <f>133.845</f>
        <v>133.845</v>
      </c>
      <c r="F223" s="77">
        <f>278.484-40-25-60-100</f>
        <v>53.48399999999998</v>
      </c>
      <c r="G223" s="80">
        <v>40</v>
      </c>
      <c r="H223" s="77">
        <f t="shared" si="36"/>
        <v>185</v>
      </c>
      <c r="I223" s="77">
        <f t="shared" si="28"/>
        <v>0</v>
      </c>
      <c r="J223" s="80">
        <v>100</v>
      </c>
      <c r="K223" s="80">
        <v>300</v>
      </c>
      <c r="L223" s="77">
        <f t="shared" si="32"/>
        <v>1274</v>
      </c>
      <c r="M223" s="88">
        <v>600</v>
      </c>
      <c r="N223" s="77">
        <f>30</f>
        <v>30</v>
      </c>
      <c r="O223" s="80">
        <v>240</v>
      </c>
      <c r="P223" s="80">
        <v>160</v>
      </c>
      <c r="Q223" s="80">
        <f t="shared" si="33"/>
        <v>195</v>
      </c>
      <c r="R223" s="80">
        <f t="shared" si="34"/>
        <v>100</v>
      </c>
      <c r="S223" s="77">
        <f t="shared" si="35"/>
        <v>695</v>
      </c>
      <c r="T223" s="77">
        <f>0</f>
        <v>0</v>
      </c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</row>
    <row r="224" spans="1:30" ht="15.75" x14ac:dyDescent="0.25">
      <c r="A224" s="13">
        <v>47727</v>
      </c>
      <c r="B224" s="91">
        <v>30</v>
      </c>
      <c r="C224" s="77">
        <f>194.205</f>
        <v>194.20500000000001</v>
      </c>
      <c r="D224" s="77">
        <f>267.466</f>
        <v>267.46600000000001</v>
      </c>
      <c r="E224" s="86">
        <f>133.845</f>
        <v>133.845</v>
      </c>
      <c r="F224" s="77">
        <f>278.484-40-25-60-100</f>
        <v>53.48399999999998</v>
      </c>
      <c r="G224" s="80">
        <v>40</v>
      </c>
      <c r="H224" s="77">
        <f t="shared" si="36"/>
        <v>185</v>
      </c>
      <c r="I224" s="77">
        <f t="shared" si="28"/>
        <v>0</v>
      </c>
      <c r="J224" s="80">
        <v>100</v>
      </c>
      <c r="K224" s="80">
        <v>300</v>
      </c>
      <c r="L224" s="77">
        <f t="shared" si="32"/>
        <v>1274</v>
      </c>
      <c r="M224" s="88">
        <v>600</v>
      </c>
      <c r="N224" s="77">
        <f>30</f>
        <v>30</v>
      </c>
      <c r="O224" s="80">
        <v>240</v>
      </c>
      <c r="P224" s="80">
        <v>160</v>
      </c>
      <c r="Q224" s="80">
        <f t="shared" si="33"/>
        <v>195</v>
      </c>
      <c r="R224" s="80">
        <f t="shared" si="34"/>
        <v>100</v>
      </c>
      <c r="S224" s="77">
        <f t="shared" si="35"/>
        <v>695</v>
      </c>
      <c r="T224" s="77">
        <f>0</f>
        <v>0</v>
      </c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</row>
    <row r="225" spans="1:30" ht="15.75" x14ac:dyDescent="0.25">
      <c r="A225" s="13">
        <v>47757</v>
      </c>
      <c r="B225" s="91">
        <v>31</v>
      </c>
      <c r="C225" s="77">
        <f>131.881</f>
        <v>131.881</v>
      </c>
      <c r="D225" s="77">
        <f>277.167</f>
        <v>277.16699999999997</v>
      </c>
      <c r="E225" s="86">
        <f>79.08</f>
        <v>79.08</v>
      </c>
      <c r="F225" s="77">
        <f>350.872-40-25-60-100</f>
        <v>125.87200000000001</v>
      </c>
      <c r="G225" s="80">
        <v>40</v>
      </c>
      <c r="H225" s="77">
        <f t="shared" si="36"/>
        <v>185</v>
      </c>
      <c r="I225" s="77">
        <f t="shared" si="28"/>
        <v>0</v>
      </c>
      <c r="J225" s="80">
        <v>100</v>
      </c>
      <c r="K225" s="80">
        <v>300</v>
      </c>
      <c r="L225" s="77">
        <f t="shared" si="32"/>
        <v>1239</v>
      </c>
      <c r="M225" s="88">
        <v>600</v>
      </c>
      <c r="N225" s="77">
        <f>75</f>
        <v>75</v>
      </c>
      <c r="O225" s="80">
        <v>240</v>
      </c>
      <c r="P225" s="80">
        <v>160</v>
      </c>
      <c r="Q225" s="80">
        <f t="shared" si="33"/>
        <v>195</v>
      </c>
      <c r="R225" s="80">
        <f t="shared" si="34"/>
        <v>100</v>
      </c>
      <c r="S225" s="77">
        <f t="shared" si="35"/>
        <v>695</v>
      </c>
      <c r="T225" s="77">
        <f>0</f>
        <v>0</v>
      </c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</row>
    <row r="226" spans="1:30" ht="15.75" x14ac:dyDescent="0.25">
      <c r="A226" s="13">
        <v>47788</v>
      </c>
      <c r="B226" s="91">
        <v>30</v>
      </c>
      <c r="C226" s="77">
        <f>122.58</f>
        <v>122.58</v>
      </c>
      <c r="D226" s="77">
        <f>297.941</f>
        <v>297.94099999999997</v>
      </c>
      <c r="E226" s="86">
        <f>89.177</f>
        <v>89.177000000000007</v>
      </c>
      <c r="F226" s="77">
        <f>240.302-40-60-100</f>
        <v>40.301999999999992</v>
      </c>
      <c r="G226" s="80">
        <v>40</v>
      </c>
      <c r="H226" s="77">
        <f>60+100</f>
        <v>160</v>
      </c>
      <c r="I226" s="77">
        <f t="shared" si="28"/>
        <v>0</v>
      </c>
      <c r="J226" s="80">
        <v>100</v>
      </c>
      <c r="K226" s="80">
        <v>300</v>
      </c>
      <c r="L226" s="77">
        <f t="shared" si="32"/>
        <v>1150</v>
      </c>
      <c r="M226" s="88">
        <v>600</v>
      </c>
      <c r="N226" s="77">
        <f>100</f>
        <v>100</v>
      </c>
      <c r="O226" s="80">
        <v>240</v>
      </c>
      <c r="P226" s="80">
        <v>40</v>
      </c>
      <c r="Q226" s="80">
        <f t="shared" si="33"/>
        <v>315</v>
      </c>
      <c r="R226" s="80">
        <f t="shared" si="34"/>
        <v>100</v>
      </c>
      <c r="S226" s="77">
        <f t="shared" si="35"/>
        <v>695</v>
      </c>
      <c r="T226" s="77">
        <f>50</f>
        <v>50</v>
      </c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</row>
    <row r="227" spans="1:30" ht="15.75" x14ac:dyDescent="0.25">
      <c r="A227" s="13">
        <v>47818</v>
      </c>
      <c r="B227" s="91">
        <v>31</v>
      </c>
      <c r="C227" s="77">
        <f>122.58</f>
        <v>122.58</v>
      </c>
      <c r="D227" s="77">
        <f>297.941</f>
        <v>297.94099999999997</v>
      </c>
      <c r="E227" s="86">
        <f>89.177</f>
        <v>89.177000000000007</v>
      </c>
      <c r="F227" s="77">
        <f>240.302-40-60-100</f>
        <v>40.301999999999992</v>
      </c>
      <c r="G227" s="80">
        <v>40</v>
      </c>
      <c r="H227" s="77">
        <f>60+100</f>
        <v>160</v>
      </c>
      <c r="I227" s="77">
        <f t="shared" si="28"/>
        <v>0</v>
      </c>
      <c r="J227" s="80">
        <v>100</v>
      </c>
      <c r="K227" s="80">
        <v>300</v>
      </c>
      <c r="L227" s="77">
        <f t="shared" si="32"/>
        <v>1150</v>
      </c>
      <c r="M227" s="88">
        <v>600</v>
      </c>
      <c r="N227" s="77">
        <f>100</f>
        <v>100</v>
      </c>
      <c r="O227" s="80">
        <v>240</v>
      </c>
      <c r="P227" s="80">
        <v>40</v>
      </c>
      <c r="Q227" s="80">
        <f t="shared" si="33"/>
        <v>315</v>
      </c>
      <c r="R227" s="80">
        <f t="shared" si="34"/>
        <v>100</v>
      </c>
      <c r="S227" s="77">
        <f t="shared" si="35"/>
        <v>695</v>
      </c>
      <c r="T227" s="77">
        <f>50</f>
        <v>50</v>
      </c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</row>
    <row r="228" spans="1:30" ht="15.75" x14ac:dyDescent="0.25">
      <c r="A228" s="13">
        <v>47849</v>
      </c>
      <c r="B228" s="91">
        <v>31</v>
      </c>
      <c r="C228" s="77">
        <f>122.58</f>
        <v>122.58</v>
      </c>
      <c r="D228" s="77">
        <f>297.941</f>
        <v>297.94099999999997</v>
      </c>
      <c r="E228" s="86">
        <f>89.177</f>
        <v>89.177000000000007</v>
      </c>
      <c r="F228" s="77">
        <f>240.302-40-60-100</f>
        <v>40.301999999999992</v>
      </c>
      <c r="G228" s="80">
        <v>40</v>
      </c>
      <c r="H228" s="77">
        <f>60+100</f>
        <v>160</v>
      </c>
      <c r="I228" s="77">
        <f t="shared" si="28"/>
        <v>0</v>
      </c>
      <c r="J228" s="80">
        <v>100</v>
      </c>
      <c r="K228" s="80">
        <v>300</v>
      </c>
      <c r="L228" s="77">
        <f t="shared" si="32"/>
        <v>1150</v>
      </c>
      <c r="M228" s="88">
        <v>600</v>
      </c>
      <c r="N228" s="77">
        <f>100</f>
        <v>100</v>
      </c>
      <c r="O228" s="80">
        <v>240</v>
      </c>
      <c r="P228" s="80">
        <v>40</v>
      </c>
      <c r="Q228" s="80">
        <f t="shared" si="33"/>
        <v>315</v>
      </c>
      <c r="R228" s="80">
        <f t="shared" si="34"/>
        <v>100</v>
      </c>
      <c r="S228" s="77">
        <f t="shared" si="35"/>
        <v>695</v>
      </c>
      <c r="T228" s="77">
        <f>50</f>
        <v>50</v>
      </c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</row>
    <row r="229" spans="1:30" ht="15.75" x14ac:dyDescent="0.25">
      <c r="A229" s="13">
        <v>47880</v>
      </c>
      <c r="B229" s="91">
        <v>28</v>
      </c>
      <c r="C229" s="77">
        <f>122.58</f>
        <v>122.58</v>
      </c>
      <c r="D229" s="77">
        <f>297.941</f>
        <v>297.94099999999997</v>
      </c>
      <c r="E229" s="86">
        <f>89.177</f>
        <v>89.177000000000007</v>
      </c>
      <c r="F229" s="77">
        <f>240.302-40-60-100</f>
        <v>40.301999999999992</v>
      </c>
      <c r="G229" s="80">
        <v>40</v>
      </c>
      <c r="H229" s="77">
        <f>60+100</f>
        <v>160</v>
      </c>
      <c r="I229" s="77">
        <f t="shared" si="28"/>
        <v>0</v>
      </c>
      <c r="J229" s="80">
        <v>100</v>
      </c>
      <c r="K229" s="80">
        <v>300</v>
      </c>
      <c r="L229" s="77">
        <f t="shared" si="32"/>
        <v>1150</v>
      </c>
      <c r="M229" s="88">
        <v>600</v>
      </c>
      <c r="N229" s="77">
        <f>100</f>
        <v>100</v>
      </c>
      <c r="O229" s="80">
        <v>240</v>
      </c>
      <c r="P229" s="80">
        <v>40</v>
      </c>
      <c r="Q229" s="80">
        <f t="shared" si="33"/>
        <v>315</v>
      </c>
      <c r="R229" s="80">
        <f t="shared" si="34"/>
        <v>100</v>
      </c>
      <c r="S229" s="77">
        <f t="shared" si="35"/>
        <v>695</v>
      </c>
      <c r="T229" s="77">
        <f>50</f>
        <v>50</v>
      </c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</row>
    <row r="230" spans="1:30" ht="15.75" x14ac:dyDescent="0.25">
      <c r="A230" s="13">
        <v>47908</v>
      </c>
      <c r="B230" s="91">
        <v>31</v>
      </c>
      <c r="C230" s="77">
        <f>122.58</f>
        <v>122.58</v>
      </c>
      <c r="D230" s="77">
        <f>297.941</f>
        <v>297.94099999999997</v>
      </c>
      <c r="E230" s="86">
        <f>89.177</f>
        <v>89.177000000000007</v>
      </c>
      <c r="F230" s="77">
        <f>240.302-40-60-100</f>
        <v>40.301999999999992</v>
      </c>
      <c r="G230" s="80">
        <v>40</v>
      </c>
      <c r="H230" s="77">
        <f>60+100</f>
        <v>160</v>
      </c>
      <c r="I230" s="77">
        <f t="shared" si="28"/>
        <v>0</v>
      </c>
      <c r="J230" s="80">
        <v>100</v>
      </c>
      <c r="K230" s="80">
        <v>300</v>
      </c>
      <c r="L230" s="77">
        <f t="shared" si="32"/>
        <v>1150</v>
      </c>
      <c r="M230" s="88">
        <v>600</v>
      </c>
      <c r="N230" s="77">
        <f>100</f>
        <v>100</v>
      </c>
      <c r="O230" s="80">
        <v>240</v>
      </c>
      <c r="P230" s="80">
        <v>40</v>
      </c>
      <c r="Q230" s="80">
        <f t="shared" si="33"/>
        <v>315</v>
      </c>
      <c r="R230" s="80">
        <f t="shared" si="34"/>
        <v>100</v>
      </c>
      <c r="S230" s="77">
        <f t="shared" si="35"/>
        <v>695</v>
      </c>
      <c r="T230" s="77">
        <f>50</f>
        <v>50</v>
      </c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</row>
    <row r="231" spans="1:30" ht="15.75" x14ac:dyDescent="0.25">
      <c r="A231" s="13">
        <v>47939</v>
      </c>
      <c r="B231" s="91">
        <v>30</v>
      </c>
      <c r="C231" s="77">
        <f>141.293</f>
        <v>141.29300000000001</v>
      </c>
      <c r="D231" s="77">
        <f>267.993</f>
        <v>267.99299999999999</v>
      </c>
      <c r="E231" s="86">
        <f>115.016</f>
        <v>115.01600000000001</v>
      </c>
      <c r="F231" s="77">
        <f>314.698-40-25-60-100</f>
        <v>89.697999999999979</v>
      </c>
      <c r="G231" s="80">
        <v>40</v>
      </c>
      <c r="H231" s="77">
        <f t="shared" ref="H231:H237" si="37">25+60+100</f>
        <v>185</v>
      </c>
      <c r="I231" s="77">
        <f t="shared" si="28"/>
        <v>0</v>
      </c>
      <c r="J231" s="80">
        <v>100</v>
      </c>
      <c r="K231" s="80">
        <v>300</v>
      </c>
      <c r="L231" s="77">
        <f t="shared" si="32"/>
        <v>1239</v>
      </c>
      <c r="M231" s="88">
        <v>600</v>
      </c>
      <c r="N231" s="77">
        <f>100</f>
        <v>100</v>
      </c>
      <c r="O231" s="80">
        <v>240</v>
      </c>
      <c r="P231" s="80">
        <v>160</v>
      </c>
      <c r="Q231" s="80">
        <f t="shared" si="33"/>
        <v>195</v>
      </c>
      <c r="R231" s="80">
        <f t="shared" si="34"/>
        <v>100</v>
      </c>
      <c r="S231" s="77">
        <f t="shared" si="35"/>
        <v>695</v>
      </c>
      <c r="T231" s="77">
        <f>50</f>
        <v>50</v>
      </c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</row>
    <row r="232" spans="1:30" ht="15.75" x14ac:dyDescent="0.25">
      <c r="A232" s="13">
        <v>47969</v>
      </c>
      <c r="B232" s="91">
        <v>31</v>
      </c>
      <c r="C232" s="77">
        <f>194.205</f>
        <v>194.20500000000001</v>
      </c>
      <c r="D232" s="77">
        <f>267.466</f>
        <v>267.46600000000001</v>
      </c>
      <c r="E232" s="86">
        <f>133.845</f>
        <v>133.845</v>
      </c>
      <c r="F232" s="77">
        <f>278.484-40-25-60-100</f>
        <v>53.48399999999998</v>
      </c>
      <c r="G232" s="80">
        <v>40</v>
      </c>
      <c r="H232" s="77">
        <f t="shared" si="37"/>
        <v>185</v>
      </c>
      <c r="I232" s="77">
        <f t="shared" si="28"/>
        <v>0</v>
      </c>
      <c r="J232" s="80">
        <v>100</v>
      </c>
      <c r="K232" s="80">
        <v>300</v>
      </c>
      <c r="L232" s="77">
        <f t="shared" si="32"/>
        <v>1274</v>
      </c>
      <c r="M232" s="88">
        <v>600</v>
      </c>
      <c r="N232" s="77">
        <f>75</f>
        <v>75</v>
      </c>
      <c r="O232" s="80">
        <v>240</v>
      </c>
      <c r="P232" s="80">
        <v>160</v>
      </c>
      <c r="Q232" s="80">
        <f t="shared" si="33"/>
        <v>195</v>
      </c>
      <c r="R232" s="80">
        <f t="shared" si="34"/>
        <v>100</v>
      </c>
      <c r="S232" s="77">
        <f t="shared" si="35"/>
        <v>695</v>
      </c>
      <c r="T232" s="77">
        <f>50</f>
        <v>50</v>
      </c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</row>
    <row r="233" spans="1:30" ht="15.75" x14ac:dyDescent="0.25">
      <c r="A233" s="13">
        <v>48000</v>
      </c>
      <c r="B233" s="91">
        <v>30</v>
      </c>
      <c r="C233" s="77">
        <f>194.205</f>
        <v>194.20500000000001</v>
      </c>
      <c r="D233" s="77">
        <f>267.466</f>
        <v>267.46600000000001</v>
      </c>
      <c r="E233" s="86">
        <f>133.845</f>
        <v>133.845</v>
      </c>
      <c r="F233" s="77">
        <f>278.484-40-25-60-100</f>
        <v>53.48399999999998</v>
      </c>
      <c r="G233" s="80">
        <v>40</v>
      </c>
      <c r="H233" s="77">
        <f t="shared" si="37"/>
        <v>185</v>
      </c>
      <c r="I233" s="77">
        <f t="shared" si="28"/>
        <v>0</v>
      </c>
      <c r="J233" s="80">
        <v>100</v>
      </c>
      <c r="K233" s="80">
        <v>300</v>
      </c>
      <c r="L233" s="77">
        <f t="shared" si="32"/>
        <v>1274</v>
      </c>
      <c r="M233" s="88">
        <v>600</v>
      </c>
      <c r="N233" s="77">
        <f>30</f>
        <v>30</v>
      </c>
      <c r="O233" s="80">
        <v>240</v>
      </c>
      <c r="P233" s="80">
        <v>160</v>
      </c>
      <c r="Q233" s="80">
        <f t="shared" si="33"/>
        <v>195</v>
      </c>
      <c r="R233" s="80">
        <f t="shared" si="34"/>
        <v>100</v>
      </c>
      <c r="S233" s="77">
        <f t="shared" si="35"/>
        <v>695</v>
      </c>
      <c r="T233" s="77">
        <f>50</f>
        <v>50</v>
      </c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</row>
    <row r="234" spans="1:30" ht="15.75" x14ac:dyDescent="0.25">
      <c r="A234" s="13">
        <v>48030</v>
      </c>
      <c r="B234" s="91">
        <v>31</v>
      </c>
      <c r="C234" s="77">
        <f>194.205</f>
        <v>194.20500000000001</v>
      </c>
      <c r="D234" s="77">
        <f>267.466</f>
        <v>267.46600000000001</v>
      </c>
      <c r="E234" s="86">
        <f>133.845</f>
        <v>133.845</v>
      </c>
      <c r="F234" s="77">
        <f>278.484-40-25-60-100</f>
        <v>53.48399999999998</v>
      </c>
      <c r="G234" s="80">
        <v>40</v>
      </c>
      <c r="H234" s="77">
        <f t="shared" si="37"/>
        <v>185</v>
      </c>
      <c r="I234" s="77">
        <f t="shared" si="28"/>
        <v>0</v>
      </c>
      <c r="J234" s="80">
        <v>100</v>
      </c>
      <c r="K234" s="80">
        <v>300</v>
      </c>
      <c r="L234" s="77">
        <f t="shared" si="32"/>
        <v>1274</v>
      </c>
      <c r="M234" s="88">
        <v>600</v>
      </c>
      <c r="N234" s="77">
        <f>30</f>
        <v>30</v>
      </c>
      <c r="O234" s="80">
        <v>240</v>
      </c>
      <c r="P234" s="80">
        <v>160</v>
      </c>
      <c r="Q234" s="80">
        <f t="shared" si="33"/>
        <v>195</v>
      </c>
      <c r="R234" s="80">
        <f t="shared" si="34"/>
        <v>100</v>
      </c>
      <c r="S234" s="77">
        <f t="shared" si="35"/>
        <v>695</v>
      </c>
      <c r="T234" s="77">
        <f>0</f>
        <v>0</v>
      </c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</row>
    <row r="235" spans="1:30" ht="15.75" x14ac:dyDescent="0.25">
      <c r="A235" s="13">
        <v>48061</v>
      </c>
      <c r="B235" s="91">
        <v>31</v>
      </c>
      <c r="C235" s="77">
        <f>194.205</f>
        <v>194.20500000000001</v>
      </c>
      <c r="D235" s="77">
        <f>267.466</f>
        <v>267.46600000000001</v>
      </c>
      <c r="E235" s="86">
        <f>133.845</f>
        <v>133.845</v>
      </c>
      <c r="F235" s="77">
        <f>278.484-40-25-60-100</f>
        <v>53.48399999999998</v>
      </c>
      <c r="G235" s="80">
        <v>40</v>
      </c>
      <c r="H235" s="77">
        <f t="shared" si="37"/>
        <v>185</v>
      </c>
      <c r="I235" s="77">
        <f t="shared" si="28"/>
        <v>0</v>
      </c>
      <c r="J235" s="80">
        <v>100</v>
      </c>
      <c r="K235" s="80">
        <v>300</v>
      </c>
      <c r="L235" s="77">
        <f t="shared" si="32"/>
        <v>1274</v>
      </c>
      <c r="M235" s="88">
        <v>600</v>
      </c>
      <c r="N235" s="77">
        <f>30</f>
        <v>30</v>
      </c>
      <c r="O235" s="80">
        <v>240</v>
      </c>
      <c r="P235" s="80">
        <v>160</v>
      </c>
      <c r="Q235" s="80">
        <f t="shared" si="33"/>
        <v>195</v>
      </c>
      <c r="R235" s="80">
        <f t="shared" si="34"/>
        <v>100</v>
      </c>
      <c r="S235" s="77">
        <f t="shared" si="35"/>
        <v>695</v>
      </c>
      <c r="T235" s="77">
        <f>0</f>
        <v>0</v>
      </c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</row>
    <row r="236" spans="1:30" ht="15.75" x14ac:dyDescent="0.25">
      <c r="A236" s="13">
        <v>48092</v>
      </c>
      <c r="B236" s="91">
        <v>30</v>
      </c>
      <c r="C236" s="77">
        <f>194.205</f>
        <v>194.20500000000001</v>
      </c>
      <c r="D236" s="77">
        <f>267.466</f>
        <v>267.46600000000001</v>
      </c>
      <c r="E236" s="86">
        <f>133.845</f>
        <v>133.845</v>
      </c>
      <c r="F236" s="77">
        <f>278.484-40-25-60-100</f>
        <v>53.48399999999998</v>
      </c>
      <c r="G236" s="80">
        <v>40</v>
      </c>
      <c r="H236" s="77">
        <f t="shared" si="37"/>
        <v>185</v>
      </c>
      <c r="I236" s="77">
        <f t="shared" si="28"/>
        <v>0</v>
      </c>
      <c r="J236" s="80">
        <v>100</v>
      </c>
      <c r="K236" s="80">
        <v>300</v>
      </c>
      <c r="L236" s="77">
        <f t="shared" si="32"/>
        <v>1274</v>
      </c>
      <c r="M236" s="88">
        <v>600</v>
      </c>
      <c r="N236" s="77">
        <f>30</f>
        <v>30</v>
      </c>
      <c r="O236" s="80">
        <v>240</v>
      </c>
      <c r="P236" s="80">
        <v>160</v>
      </c>
      <c r="Q236" s="80">
        <f t="shared" si="33"/>
        <v>195</v>
      </c>
      <c r="R236" s="80">
        <f t="shared" si="34"/>
        <v>100</v>
      </c>
      <c r="S236" s="77">
        <f t="shared" si="35"/>
        <v>695</v>
      </c>
      <c r="T236" s="77">
        <f>0</f>
        <v>0</v>
      </c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</row>
    <row r="237" spans="1:30" ht="15.75" x14ac:dyDescent="0.25">
      <c r="A237" s="13">
        <v>48122</v>
      </c>
      <c r="B237" s="91">
        <v>31</v>
      </c>
      <c r="C237" s="77">
        <f>131.881</f>
        <v>131.881</v>
      </c>
      <c r="D237" s="77">
        <f>277.167</f>
        <v>277.16699999999997</v>
      </c>
      <c r="E237" s="86">
        <f>79.08</f>
        <v>79.08</v>
      </c>
      <c r="F237" s="77">
        <f>350.872-40-25-60-100</f>
        <v>125.87200000000001</v>
      </c>
      <c r="G237" s="80">
        <v>40</v>
      </c>
      <c r="H237" s="77">
        <f t="shared" si="37"/>
        <v>185</v>
      </c>
      <c r="I237" s="77">
        <f t="shared" si="28"/>
        <v>0</v>
      </c>
      <c r="J237" s="80">
        <v>100</v>
      </c>
      <c r="K237" s="80">
        <v>300</v>
      </c>
      <c r="L237" s="77">
        <f t="shared" si="32"/>
        <v>1239</v>
      </c>
      <c r="M237" s="88">
        <v>600</v>
      </c>
      <c r="N237" s="77">
        <f>75</f>
        <v>75</v>
      </c>
      <c r="O237" s="80">
        <v>240</v>
      </c>
      <c r="P237" s="80">
        <v>160</v>
      </c>
      <c r="Q237" s="80">
        <f t="shared" si="33"/>
        <v>195</v>
      </c>
      <c r="R237" s="80">
        <f t="shared" si="34"/>
        <v>100</v>
      </c>
      <c r="S237" s="77">
        <f t="shared" si="35"/>
        <v>695</v>
      </c>
      <c r="T237" s="77">
        <f>0</f>
        <v>0</v>
      </c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</row>
    <row r="238" spans="1:30" ht="15.75" x14ac:dyDescent="0.25">
      <c r="A238" s="13">
        <v>48153</v>
      </c>
      <c r="B238" s="91">
        <v>30</v>
      </c>
      <c r="C238" s="77">
        <f>122.58</f>
        <v>122.58</v>
      </c>
      <c r="D238" s="77">
        <f>297.941</f>
        <v>297.94099999999997</v>
      </c>
      <c r="E238" s="86">
        <f>89.177</f>
        <v>89.177000000000007</v>
      </c>
      <c r="F238" s="77">
        <f>240.302-40-60-100</f>
        <v>40.301999999999992</v>
      </c>
      <c r="G238" s="80">
        <v>40</v>
      </c>
      <c r="H238" s="77">
        <f>60+100</f>
        <v>160</v>
      </c>
      <c r="I238" s="77">
        <f t="shared" si="28"/>
        <v>0</v>
      </c>
      <c r="J238" s="80">
        <v>100</v>
      </c>
      <c r="K238" s="80">
        <v>300</v>
      </c>
      <c r="L238" s="77">
        <f t="shared" si="32"/>
        <v>1150</v>
      </c>
      <c r="M238" s="88">
        <v>600</v>
      </c>
      <c r="N238" s="77">
        <f>100</f>
        <v>100</v>
      </c>
      <c r="O238" s="80">
        <v>240</v>
      </c>
      <c r="P238" s="80">
        <v>40</v>
      </c>
      <c r="Q238" s="80">
        <f t="shared" si="33"/>
        <v>315</v>
      </c>
      <c r="R238" s="80">
        <f t="shared" si="34"/>
        <v>100</v>
      </c>
      <c r="S238" s="77">
        <f t="shared" si="35"/>
        <v>695</v>
      </c>
      <c r="T238" s="77">
        <f>50</f>
        <v>50</v>
      </c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</row>
    <row r="239" spans="1:30" ht="15.75" x14ac:dyDescent="0.25">
      <c r="A239" s="13">
        <v>48183</v>
      </c>
      <c r="B239" s="91">
        <v>31</v>
      </c>
      <c r="C239" s="77">
        <f>122.58</f>
        <v>122.58</v>
      </c>
      <c r="D239" s="77">
        <f>297.941</f>
        <v>297.94099999999997</v>
      </c>
      <c r="E239" s="86">
        <f>89.177</f>
        <v>89.177000000000007</v>
      </c>
      <c r="F239" s="77">
        <f>240.302-40-60-100</f>
        <v>40.301999999999992</v>
      </c>
      <c r="G239" s="80">
        <v>40</v>
      </c>
      <c r="H239" s="77">
        <f>60+100</f>
        <v>160</v>
      </c>
      <c r="I239" s="77">
        <f t="shared" si="28"/>
        <v>0</v>
      </c>
      <c r="J239" s="80">
        <v>100</v>
      </c>
      <c r="K239" s="80">
        <v>300</v>
      </c>
      <c r="L239" s="77">
        <f t="shared" si="32"/>
        <v>1150</v>
      </c>
      <c r="M239" s="88">
        <v>600</v>
      </c>
      <c r="N239" s="77">
        <f>100</f>
        <v>100</v>
      </c>
      <c r="O239" s="80">
        <v>240</v>
      </c>
      <c r="P239" s="80">
        <v>40</v>
      </c>
      <c r="Q239" s="80">
        <f t="shared" si="33"/>
        <v>315</v>
      </c>
      <c r="R239" s="80">
        <f t="shared" si="34"/>
        <v>100</v>
      </c>
      <c r="S239" s="77">
        <f t="shared" si="35"/>
        <v>695</v>
      </c>
      <c r="T239" s="77">
        <f>50</f>
        <v>50</v>
      </c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</row>
    <row r="240" spans="1:30" ht="15.75" x14ac:dyDescent="0.25">
      <c r="A240" s="13">
        <v>48214</v>
      </c>
      <c r="B240" s="91">
        <v>31</v>
      </c>
      <c r="C240" s="77">
        <f>122.58</f>
        <v>122.58</v>
      </c>
      <c r="D240" s="77">
        <f>297.941</f>
        <v>297.94099999999997</v>
      </c>
      <c r="E240" s="86">
        <f>89.177</f>
        <v>89.177000000000007</v>
      </c>
      <c r="F240" s="77">
        <f>240.302-40-60-100</f>
        <v>40.301999999999992</v>
      </c>
      <c r="G240" s="80">
        <v>40</v>
      </c>
      <c r="H240" s="77">
        <f>60+100</f>
        <v>160</v>
      </c>
      <c r="I240" s="77">
        <f t="shared" si="28"/>
        <v>0</v>
      </c>
      <c r="J240" s="80">
        <v>100</v>
      </c>
      <c r="K240" s="80">
        <v>300</v>
      </c>
      <c r="L240" s="77">
        <f t="shared" si="32"/>
        <v>1150</v>
      </c>
      <c r="M240" s="88">
        <v>600</v>
      </c>
      <c r="N240" s="77">
        <f>100</f>
        <v>100</v>
      </c>
      <c r="O240" s="80">
        <v>240</v>
      </c>
      <c r="P240" s="80">
        <v>40</v>
      </c>
      <c r="Q240" s="80">
        <f t="shared" si="33"/>
        <v>315</v>
      </c>
      <c r="R240" s="80">
        <f t="shared" si="34"/>
        <v>100</v>
      </c>
      <c r="S240" s="77">
        <f t="shared" si="35"/>
        <v>695</v>
      </c>
      <c r="T240" s="77">
        <f>50</f>
        <v>50</v>
      </c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</row>
    <row r="241" spans="1:30" ht="15.75" x14ac:dyDescent="0.25">
      <c r="A241" s="13">
        <v>48245</v>
      </c>
      <c r="B241" s="91">
        <v>29</v>
      </c>
      <c r="C241" s="77">
        <f>122.58</f>
        <v>122.58</v>
      </c>
      <c r="D241" s="77">
        <f>297.941</f>
        <v>297.94099999999997</v>
      </c>
      <c r="E241" s="86">
        <f>89.177</f>
        <v>89.177000000000007</v>
      </c>
      <c r="F241" s="77">
        <f>240.302-40-60-100</f>
        <v>40.301999999999992</v>
      </c>
      <c r="G241" s="80">
        <v>40</v>
      </c>
      <c r="H241" s="77">
        <f>60+100</f>
        <v>160</v>
      </c>
      <c r="I241" s="77">
        <f t="shared" si="28"/>
        <v>0</v>
      </c>
      <c r="J241" s="80">
        <v>100</v>
      </c>
      <c r="K241" s="80">
        <v>300</v>
      </c>
      <c r="L241" s="77">
        <f t="shared" si="32"/>
        <v>1150</v>
      </c>
      <c r="M241" s="88">
        <v>600</v>
      </c>
      <c r="N241" s="77">
        <f>100</f>
        <v>100</v>
      </c>
      <c r="O241" s="80">
        <v>240</v>
      </c>
      <c r="P241" s="80">
        <v>40</v>
      </c>
      <c r="Q241" s="80">
        <f t="shared" si="33"/>
        <v>315</v>
      </c>
      <c r="R241" s="80">
        <f t="shared" si="34"/>
        <v>100</v>
      </c>
      <c r="S241" s="77">
        <f t="shared" si="35"/>
        <v>695</v>
      </c>
      <c r="T241" s="77">
        <f>50</f>
        <v>50</v>
      </c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</row>
    <row r="242" spans="1:30" ht="15.75" x14ac:dyDescent="0.25">
      <c r="A242" s="13">
        <v>48274</v>
      </c>
      <c r="B242" s="91">
        <v>31</v>
      </c>
      <c r="C242" s="77">
        <f>122.58</f>
        <v>122.58</v>
      </c>
      <c r="D242" s="77">
        <f>297.941</f>
        <v>297.94099999999997</v>
      </c>
      <c r="E242" s="86">
        <f>89.177</f>
        <v>89.177000000000007</v>
      </c>
      <c r="F242" s="77">
        <f>240.302-40-60-100</f>
        <v>40.301999999999992</v>
      </c>
      <c r="G242" s="80">
        <v>40</v>
      </c>
      <c r="H242" s="77">
        <f>60+100</f>
        <v>160</v>
      </c>
      <c r="I242" s="77">
        <f t="shared" si="28"/>
        <v>0</v>
      </c>
      <c r="J242" s="80">
        <v>100</v>
      </c>
      <c r="K242" s="80">
        <v>300</v>
      </c>
      <c r="L242" s="77">
        <f t="shared" si="32"/>
        <v>1150</v>
      </c>
      <c r="M242" s="88">
        <v>600</v>
      </c>
      <c r="N242" s="77">
        <f>100</f>
        <v>100</v>
      </c>
      <c r="O242" s="80">
        <v>240</v>
      </c>
      <c r="P242" s="80">
        <v>40</v>
      </c>
      <c r="Q242" s="80">
        <f t="shared" si="33"/>
        <v>315</v>
      </c>
      <c r="R242" s="80">
        <f t="shared" si="34"/>
        <v>100</v>
      </c>
      <c r="S242" s="77">
        <f t="shared" si="35"/>
        <v>695</v>
      </c>
      <c r="T242" s="77">
        <f>50</f>
        <v>50</v>
      </c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</row>
    <row r="243" spans="1:30" ht="15.75" x14ac:dyDescent="0.25">
      <c r="A243" s="13">
        <v>48305</v>
      </c>
      <c r="B243" s="91">
        <v>30</v>
      </c>
      <c r="C243" s="77">
        <f>141.293</f>
        <v>141.29300000000001</v>
      </c>
      <c r="D243" s="77">
        <f>267.993</f>
        <v>267.99299999999999</v>
      </c>
      <c r="E243" s="86">
        <f>115.016</f>
        <v>115.01600000000001</v>
      </c>
      <c r="F243" s="77">
        <f>314.698-40-25-60-100</f>
        <v>89.697999999999979</v>
      </c>
      <c r="G243" s="80">
        <v>40</v>
      </c>
      <c r="H243" s="77">
        <f t="shared" ref="H243:H249" si="38">25+60+100</f>
        <v>185</v>
      </c>
      <c r="I243" s="77">
        <f t="shared" si="28"/>
        <v>0</v>
      </c>
      <c r="J243" s="80">
        <v>100</v>
      </c>
      <c r="K243" s="80">
        <v>300</v>
      </c>
      <c r="L243" s="77">
        <f t="shared" si="32"/>
        <v>1239</v>
      </c>
      <c r="M243" s="88">
        <v>600</v>
      </c>
      <c r="N243" s="77">
        <f>100</f>
        <v>100</v>
      </c>
      <c r="O243" s="80">
        <v>240</v>
      </c>
      <c r="P243" s="80">
        <v>160</v>
      </c>
      <c r="Q243" s="80">
        <f t="shared" si="33"/>
        <v>195</v>
      </c>
      <c r="R243" s="80">
        <f t="shared" si="34"/>
        <v>100</v>
      </c>
      <c r="S243" s="77">
        <f t="shared" si="35"/>
        <v>695</v>
      </c>
      <c r="T243" s="77">
        <f>50</f>
        <v>50</v>
      </c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</row>
    <row r="244" spans="1:30" ht="15.75" x14ac:dyDescent="0.25">
      <c r="A244" s="13">
        <v>48335</v>
      </c>
      <c r="B244" s="91">
        <v>31</v>
      </c>
      <c r="C244" s="77">
        <f>194.205</f>
        <v>194.20500000000001</v>
      </c>
      <c r="D244" s="77">
        <f>267.466</f>
        <v>267.46600000000001</v>
      </c>
      <c r="E244" s="86">
        <f>133.845</f>
        <v>133.845</v>
      </c>
      <c r="F244" s="77">
        <f>278.484-40-25-60-100</f>
        <v>53.48399999999998</v>
      </c>
      <c r="G244" s="80">
        <v>40</v>
      </c>
      <c r="H244" s="77">
        <f t="shared" si="38"/>
        <v>185</v>
      </c>
      <c r="I244" s="77">
        <f t="shared" ref="I244:I307" si="39">400-J244-K244</f>
        <v>0</v>
      </c>
      <c r="J244" s="80">
        <v>100</v>
      </c>
      <c r="K244" s="80">
        <v>300</v>
      </c>
      <c r="L244" s="77">
        <f t="shared" si="32"/>
        <v>1274</v>
      </c>
      <c r="M244" s="88">
        <v>600</v>
      </c>
      <c r="N244" s="77">
        <f>75</f>
        <v>75</v>
      </c>
      <c r="O244" s="80">
        <v>240</v>
      </c>
      <c r="P244" s="80">
        <v>160</v>
      </c>
      <c r="Q244" s="80">
        <f t="shared" si="33"/>
        <v>195</v>
      </c>
      <c r="R244" s="80">
        <f t="shared" si="34"/>
        <v>100</v>
      </c>
      <c r="S244" s="77">
        <f t="shared" si="35"/>
        <v>695</v>
      </c>
      <c r="T244" s="77">
        <f>50</f>
        <v>50</v>
      </c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</row>
    <row r="245" spans="1:30" ht="15.75" x14ac:dyDescent="0.25">
      <c r="A245" s="13">
        <v>48366</v>
      </c>
      <c r="B245" s="91">
        <v>30</v>
      </c>
      <c r="C245" s="77">
        <f>194.205</f>
        <v>194.20500000000001</v>
      </c>
      <c r="D245" s="77">
        <f>267.466</f>
        <v>267.46600000000001</v>
      </c>
      <c r="E245" s="86">
        <f>133.845</f>
        <v>133.845</v>
      </c>
      <c r="F245" s="77">
        <f>278.484-40-25-60-100</f>
        <v>53.48399999999998</v>
      </c>
      <c r="G245" s="80">
        <v>40</v>
      </c>
      <c r="H245" s="77">
        <f t="shared" si="38"/>
        <v>185</v>
      </c>
      <c r="I245" s="77">
        <f t="shared" si="39"/>
        <v>0</v>
      </c>
      <c r="J245" s="80">
        <v>100</v>
      </c>
      <c r="K245" s="80">
        <v>300</v>
      </c>
      <c r="L245" s="77">
        <f t="shared" si="32"/>
        <v>1274</v>
      </c>
      <c r="M245" s="88">
        <v>600</v>
      </c>
      <c r="N245" s="77">
        <f>30</f>
        <v>30</v>
      </c>
      <c r="O245" s="80">
        <v>240</v>
      </c>
      <c r="P245" s="80">
        <v>160</v>
      </c>
      <c r="Q245" s="80">
        <f t="shared" si="33"/>
        <v>195</v>
      </c>
      <c r="R245" s="80">
        <f t="shared" si="34"/>
        <v>100</v>
      </c>
      <c r="S245" s="77">
        <f t="shared" si="35"/>
        <v>695</v>
      </c>
      <c r="T245" s="77">
        <f>50</f>
        <v>50</v>
      </c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</row>
    <row r="246" spans="1:30" ht="15.75" x14ac:dyDescent="0.25">
      <c r="A246" s="13">
        <v>48396</v>
      </c>
      <c r="B246" s="91">
        <v>31</v>
      </c>
      <c r="C246" s="77">
        <f>194.205</f>
        <v>194.20500000000001</v>
      </c>
      <c r="D246" s="77">
        <f>267.466</f>
        <v>267.46600000000001</v>
      </c>
      <c r="E246" s="86">
        <f>133.845</f>
        <v>133.845</v>
      </c>
      <c r="F246" s="77">
        <f>278.484-40-25-60-100</f>
        <v>53.48399999999998</v>
      </c>
      <c r="G246" s="80">
        <v>40</v>
      </c>
      <c r="H246" s="77">
        <f t="shared" si="38"/>
        <v>185</v>
      </c>
      <c r="I246" s="77">
        <f t="shared" si="39"/>
        <v>0</v>
      </c>
      <c r="J246" s="80">
        <v>100</v>
      </c>
      <c r="K246" s="80">
        <v>300</v>
      </c>
      <c r="L246" s="77">
        <f t="shared" si="32"/>
        <v>1274</v>
      </c>
      <c r="M246" s="88">
        <v>600</v>
      </c>
      <c r="N246" s="77">
        <f>30</f>
        <v>30</v>
      </c>
      <c r="O246" s="80">
        <v>240</v>
      </c>
      <c r="P246" s="80">
        <v>160</v>
      </c>
      <c r="Q246" s="80">
        <f t="shared" si="33"/>
        <v>195</v>
      </c>
      <c r="R246" s="80">
        <f t="shared" si="34"/>
        <v>100</v>
      </c>
      <c r="S246" s="77">
        <f t="shared" si="35"/>
        <v>695</v>
      </c>
      <c r="T246" s="77">
        <f>0</f>
        <v>0</v>
      </c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</row>
    <row r="247" spans="1:30" ht="15.75" x14ac:dyDescent="0.25">
      <c r="A247" s="13">
        <v>48427</v>
      </c>
      <c r="B247" s="91">
        <v>31</v>
      </c>
      <c r="C247" s="77">
        <f>194.205</f>
        <v>194.20500000000001</v>
      </c>
      <c r="D247" s="77">
        <f>267.466</f>
        <v>267.46600000000001</v>
      </c>
      <c r="E247" s="86">
        <f>133.845</f>
        <v>133.845</v>
      </c>
      <c r="F247" s="77">
        <f>278.484-40-25-60-100</f>
        <v>53.48399999999998</v>
      </c>
      <c r="G247" s="80">
        <v>40</v>
      </c>
      <c r="H247" s="77">
        <f t="shared" si="38"/>
        <v>185</v>
      </c>
      <c r="I247" s="77">
        <f t="shared" si="39"/>
        <v>0</v>
      </c>
      <c r="J247" s="80">
        <v>100</v>
      </c>
      <c r="K247" s="80">
        <v>300</v>
      </c>
      <c r="L247" s="77">
        <f t="shared" si="32"/>
        <v>1274</v>
      </c>
      <c r="M247" s="88">
        <v>600</v>
      </c>
      <c r="N247" s="77">
        <f>30</f>
        <v>30</v>
      </c>
      <c r="O247" s="80">
        <v>240</v>
      </c>
      <c r="P247" s="80">
        <v>160</v>
      </c>
      <c r="Q247" s="80">
        <f t="shared" si="33"/>
        <v>195</v>
      </c>
      <c r="R247" s="80">
        <f t="shared" si="34"/>
        <v>100</v>
      </c>
      <c r="S247" s="77">
        <f t="shared" si="35"/>
        <v>695</v>
      </c>
      <c r="T247" s="77">
        <f>0</f>
        <v>0</v>
      </c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</row>
    <row r="248" spans="1:30" ht="15.75" x14ac:dyDescent="0.25">
      <c r="A248" s="13">
        <v>48458</v>
      </c>
      <c r="B248" s="91">
        <v>30</v>
      </c>
      <c r="C248" s="77">
        <f>194.205</f>
        <v>194.20500000000001</v>
      </c>
      <c r="D248" s="77">
        <f>267.466</f>
        <v>267.46600000000001</v>
      </c>
      <c r="E248" s="86">
        <f>133.845</f>
        <v>133.845</v>
      </c>
      <c r="F248" s="77">
        <f>278.484-40-25-60-100</f>
        <v>53.48399999999998</v>
      </c>
      <c r="G248" s="80">
        <v>40</v>
      </c>
      <c r="H248" s="77">
        <f t="shared" si="38"/>
        <v>185</v>
      </c>
      <c r="I248" s="77">
        <f t="shared" si="39"/>
        <v>0</v>
      </c>
      <c r="J248" s="80">
        <v>100</v>
      </c>
      <c r="K248" s="80">
        <v>300</v>
      </c>
      <c r="L248" s="77">
        <f t="shared" si="32"/>
        <v>1274</v>
      </c>
      <c r="M248" s="88">
        <v>600</v>
      </c>
      <c r="N248" s="77">
        <f>30</f>
        <v>30</v>
      </c>
      <c r="O248" s="80">
        <v>240</v>
      </c>
      <c r="P248" s="80">
        <v>160</v>
      </c>
      <c r="Q248" s="80">
        <f t="shared" si="33"/>
        <v>195</v>
      </c>
      <c r="R248" s="80">
        <f t="shared" si="34"/>
        <v>100</v>
      </c>
      <c r="S248" s="77">
        <f t="shared" si="35"/>
        <v>695</v>
      </c>
      <c r="T248" s="77">
        <f>0</f>
        <v>0</v>
      </c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</row>
    <row r="249" spans="1:30" ht="15.75" x14ac:dyDescent="0.25">
      <c r="A249" s="13">
        <v>48488</v>
      </c>
      <c r="B249" s="91">
        <v>31</v>
      </c>
      <c r="C249" s="77">
        <f>131.881</f>
        <v>131.881</v>
      </c>
      <c r="D249" s="77">
        <f>277.167</f>
        <v>277.16699999999997</v>
      </c>
      <c r="E249" s="86">
        <f>79.08</f>
        <v>79.08</v>
      </c>
      <c r="F249" s="77">
        <f>350.872-40-25-60-100</f>
        <v>125.87200000000001</v>
      </c>
      <c r="G249" s="80">
        <v>40</v>
      </c>
      <c r="H249" s="77">
        <f t="shared" si="38"/>
        <v>185</v>
      </c>
      <c r="I249" s="77">
        <f t="shared" si="39"/>
        <v>0</v>
      </c>
      <c r="J249" s="80">
        <v>100</v>
      </c>
      <c r="K249" s="80">
        <v>300</v>
      </c>
      <c r="L249" s="77">
        <f t="shared" si="32"/>
        <v>1239</v>
      </c>
      <c r="M249" s="88">
        <v>600</v>
      </c>
      <c r="N249" s="77">
        <f>75</f>
        <v>75</v>
      </c>
      <c r="O249" s="80">
        <v>240</v>
      </c>
      <c r="P249" s="80">
        <v>160</v>
      </c>
      <c r="Q249" s="80">
        <f t="shared" si="33"/>
        <v>195</v>
      </c>
      <c r="R249" s="80">
        <f t="shared" si="34"/>
        <v>100</v>
      </c>
      <c r="S249" s="77">
        <f t="shared" si="35"/>
        <v>695</v>
      </c>
      <c r="T249" s="77">
        <f>0</f>
        <v>0</v>
      </c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</row>
    <row r="250" spans="1:30" ht="15.75" x14ac:dyDescent="0.25">
      <c r="A250" s="13">
        <v>48519</v>
      </c>
      <c r="B250" s="91">
        <v>30</v>
      </c>
      <c r="C250" s="77">
        <f>122.58</f>
        <v>122.58</v>
      </c>
      <c r="D250" s="77">
        <f>297.941</f>
        <v>297.94099999999997</v>
      </c>
      <c r="E250" s="86">
        <f>89.177</f>
        <v>89.177000000000007</v>
      </c>
      <c r="F250" s="77">
        <f>240.302-40-60-100</f>
        <v>40.301999999999992</v>
      </c>
      <c r="G250" s="80">
        <v>40</v>
      </c>
      <c r="H250" s="77">
        <f>60+100</f>
        <v>160</v>
      </c>
      <c r="I250" s="77">
        <f t="shared" si="39"/>
        <v>0</v>
      </c>
      <c r="J250" s="80">
        <v>100</v>
      </c>
      <c r="K250" s="80">
        <v>300</v>
      </c>
      <c r="L250" s="77">
        <f t="shared" si="32"/>
        <v>1150</v>
      </c>
      <c r="M250" s="88">
        <v>600</v>
      </c>
      <c r="N250" s="77">
        <f>100</f>
        <v>100</v>
      </c>
      <c r="O250" s="80">
        <v>240</v>
      </c>
      <c r="P250" s="80">
        <v>40</v>
      </c>
      <c r="Q250" s="80">
        <f t="shared" si="33"/>
        <v>315</v>
      </c>
      <c r="R250" s="80">
        <f t="shared" si="34"/>
        <v>100</v>
      </c>
      <c r="S250" s="77">
        <f t="shared" si="35"/>
        <v>695</v>
      </c>
      <c r="T250" s="77">
        <f>50</f>
        <v>50</v>
      </c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</row>
    <row r="251" spans="1:30" ht="15.75" x14ac:dyDescent="0.25">
      <c r="A251" s="13">
        <v>48549</v>
      </c>
      <c r="B251" s="91">
        <v>31</v>
      </c>
      <c r="C251" s="77">
        <f>122.58</f>
        <v>122.58</v>
      </c>
      <c r="D251" s="77">
        <f>297.941</f>
        <v>297.94099999999997</v>
      </c>
      <c r="E251" s="86">
        <f>89.177</f>
        <v>89.177000000000007</v>
      </c>
      <c r="F251" s="77">
        <f>240.302-40-60-100</f>
        <v>40.301999999999992</v>
      </c>
      <c r="G251" s="80">
        <v>40</v>
      </c>
      <c r="H251" s="77">
        <f>60+100</f>
        <v>160</v>
      </c>
      <c r="I251" s="77">
        <f t="shared" si="39"/>
        <v>0</v>
      </c>
      <c r="J251" s="80">
        <v>100</v>
      </c>
      <c r="K251" s="80">
        <v>300</v>
      </c>
      <c r="L251" s="77">
        <f t="shared" si="32"/>
        <v>1150</v>
      </c>
      <c r="M251" s="88">
        <v>600</v>
      </c>
      <c r="N251" s="77">
        <f>100</f>
        <v>100</v>
      </c>
      <c r="O251" s="80">
        <v>240</v>
      </c>
      <c r="P251" s="80">
        <v>40</v>
      </c>
      <c r="Q251" s="80">
        <f t="shared" si="33"/>
        <v>315</v>
      </c>
      <c r="R251" s="80">
        <f t="shared" si="34"/>
        <v>100</v>
      </c>
      <c r="S251" s="77">
        <f t="shared" si="35"/>
        <v>695</v>
      </c>
      <c r="T251" s="77">
        <f>50</f>
        <v>50</v>
      </c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</row>
    <row r="252" spans="1:30" ht="15.75" x14ac:dyDescent="0.25">
      <c r="A252" s="13">
        <v>48580</v>
      </c>
      <c r="B252" s="91">
        <v>31</v>
      </c>
      <c r="C252" s="77">
        <f>122.58</f>
        <v>122.58</v>
      </c>
      <c r="D252" s="77">
        <f>297.941</f>
        <v>297.94099999999997</v>
      </c>
      <c r="E252" s="86">
        <f>89.177</f>
        <v>89.177000000000007</v>
      </c>
      <c r="F252" s="77">
        <f>240.302-40-60-100</f>
        <v>40.301999999999992</v>
      </c>
      <c r="G252" s="80">
        <v>40</v>
      </c>
      <c r="H252" s="77">
        <f>60+100</f>
        <v>160</v>
      </c>
      <c r="I252" s="77">
        <f t="shared" si="39"/>
        <v>0</v>
      </c>
      <c r="J252" s="80">
        <v>100</v>
      </c>
      <c r="K252" s="80">
        <v>300</v>
      </c>
      <c r="L252" s="77">
        <f t="shared" si="32"/>
        <v>1150</v>
      </c>
      <c r="M252" s="88">
        <v>600</v>
      </c>
      <c r="N252" s="77">
        <f>100</f>
        <v>100</v>
      </c>
      <c r="O252" s="80">
        <v>240</v>
      </c>
      <c r="P252" s="80">
        <v>40</v>
      </c>
      <c r="Q252" s="80">
        <f t="shared" si="33"/>
        <v>315</v>
      </c>
      <c r="R252" s="80">
        <f t="shared" si="34"/>
        <v>100</v>
      </c>
      <c r="S252" s="77">
        <f t="shared" si="35"/>
        <v>695</v>
      </c>
      <c r="T252" s="77">
        <f>50</f>
        <v>50</v>
      </c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</row>
    <row r="253" spans="1:30" ht="15.75" x14ac:dyDescent="0.25">
      <c r="A253" s="13">
        <v>48611</v>
      </c>
      <c r="B253" s="91">
        <v>28</v>
      </c>
      <c r="C253" s="77">
        <f>122.58</f>
        <v>122.58</v>
      </c>
      <c r="D253" s="77">
        <f>297.941</f>
        <v>297.94099999999997</v>
      </c>
      <c r="E253" s="86">
        <f>89.177</f>
        <v>89.177000000000007</v>
      </c>
      <c r="F253" s="77">
        <f>240.302-40-60-100</f>
        <v>40.301999999999992</v>
      </c>
      <c r="G253" s="80">
        <v>40</v>
      </c>
      <c r="H253" s="77">
        <f>60+100</f>
        <v>160</v>
      </c>
      <c r="I253" s="77">
        <f t="shared" si="39"/>
        <v>0</v>
      </c>
      <c r="J253" s="80">
        <v>100</v>
      </c>
      <c r="K253" s="80">
        <v>300</v>
      </c>
      <c r="L253" s="77">
        <f t="shared" si="32"/>
        <v>1150</v>
      </c>
      <c r="M253" s="88">
        <v>600</v>
      </c>
      <c r="N253" s="77">
        <f>100</f>
        <v>100</v>
      </c>
      <c r="O253" s="80">
        <v>240</v>
      </c>
      <c r="P253" s="80">
        <v>40</v>
      </c>
      <c r="Q253" s="80">
        <f t="shared" si="33"/>
        <v>315</v>
      </c>
      <c r="R253" s="80">
        <f t="shared" si="34"/>
        <v>100</v>
      </c>
      <c r="S253" s="77">
        <f t="shared" si="35"/>
        <v>695</v>
      </c>
      <c r="T253" s="77">
        <f>50</f>
        <v>50</v>
      </c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</row>
    <row r="254" spans="1:30" ht="15.75" x14ac:dyDescent="0.25">
      <c r="A254" s="13">
        <v>48639</v>
      </c>
      <c r="B254" s="91">
        <v>31</v>
      </c>
      <c r="C254" s="77">
        <f>122.58</f>
        <v>122.58</v>
      </c>
      <c r="D254" s="77">
        <f>297.941</f>
        <v>297.94099999999997</v>
      </c>
      <c r="E254" s="86">
        <f>89.177</f>
        <v>89.177000000000007</v>
      </c>
      <c r="F254" s="77">
        <f>240.302-40-60-100</f>
        <v>40.301999999999992</v>
      </c>
      <c r="G254" s="80">
        <v>40</v>
      </c>
      <c r="H254" s="77">
        <f>60+100</f>
        <v>160</v>
      </c>
      <c r="I254" s="77">
        <f t="shared" si="39"/>
        <v>0</v>
      </c>
      <c r="J254" s="80">
        <v>100</v>
      </c>
      <c r="K254" s="80">
        <v>300</v>
      </c>
      <c r="L254" s="77">
        <f t="shared" si="32"/>
        <v>1150</v>
      </c>
      <c r="M254" s="88">
        <v>600</v>
      </c>
      <c r="N254" s="77">
        <f>100</f>
        <v>100</v>
      </c>
      <c r="O254" s="80">
        <v>240</v>
      </c>
      <c r="P254" s="80">
        <v>40</v>
      </c>
      <c r="Q254" s="80">
        <f t="shared" si="33"/>
        <v>315</v>
      </c>
      <c r="R254" s="80">
        <f t="shared" si="34"/>
        <v>100</v>
      </c>
      <c r="S254" s="77">
        <f t="shared" si="35"/>
        <v>695</v>
      </c>
      <c r="T254" s="77">
        <f>50</f>
        <v>50</v>
      </c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</row>
    <row r="255" spans="1:30" ht="15.75" x14ac:dyDescent="0.25">
      <c r="A255" s="13">
        <v>48670</v>
      </c>
      <c r="B255" s="91">
        <v>30</v>
      </c>
      <c r="C255" s="77">
        <f>141.293</f>
        <v>141.29300000000001</v>
      </c>
      <c r="D255" s="77">
        <f>267.993</f>
        <v>267.99299999999999</v>
      </c>
      <c r="E255" s="86">
        <f>115.016</f>
        <v>115.01600000000001</v>
      </c>
      <c r="F255" s="77">
        <f>314.698-40-25-60-100</f>
        <v>89.697999999999979</v>
      </c>
      <c r="G255" s="80">
        <v>40</v>
      </c>
      <c r="H255" s="77">
        <f t="shared" ref="H255:H261" si="40">25+60+100</f>
        <v>185</v>
      </c>
      <c r="I255" s="77">
        <f t="shared" si="39"/>
        <v>0</v>
      </c>
      <c r="J255" s="80">
        <v>100</v>
      </c>
      <c r="K255" s="80">
        <v>300</v>
      </c>
      <c r="L255" s="77">
        <f t="shared" si="32"/>
        <v>1239</v>
      </c>
      <c r="M255" s="88">
        <v>600</v>
      </c>
      <c r="N255" s="77">
        <f>100</f>
        <v>100</v>
      </c>
      <c r="O255" s="80">
        <v>240</v>
      </c>
      <c r="P255" s="80">
        <v>160</v>
      </c>
      <c r="Q255" s="80">
        <f t="shared" si="33"/>
        <v>195</v>
      </c>
      <c r="R255" s="80">
        <f t="shared" si="34"/>
        <v>100</v>
      </c>
      <c r="S255" s="77">
        <f t="shared" si="35"/>
        <v>695</v>
      </c>
      <c r="T255" s="77">
        <f>50</f>
        <v>50</v>
      </c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</row>
    <row r="256" spans="1:30" ht="15.75" x14ac:dyDescent="0.25">
      <c r="A256" s="13">
        <v>48700</v>
      </c>
      <c r="B256" s="91">
        <v>31</v>
      </c>
      <c r="C256" s="77">
        <f>194.205</f>
        <v>194.20500000000001</v>
      </c>
      <c r="D256" s="77">
        <f>267.466</f>
        <v>267.46600000000001</v>
      </c>
      <c r="E256" s="86">
        <f>133.845</f>
        <v>133.845</v>
      </c>
      <c r="F256" s="77">
        <f>278.484-40-25-60-100</f>
        <v>53.48399999999998</v>
      </c>
      <c r="G256" s="80">
        <v>40</v>
      </c>
      <c r="H256" s="77">
        <f t="shared" si="40"/>
        <v>185</v>
      </c>
      <c r="I256" s="77">
        <f t="shared" si="39"/>
        <v>0</v>
      </c>
      <c r="J256" s="80">
        <v>100</v>
      </c>
      <c r="K256" s="80">
        <v>300</v>
      </c>
      <c r="L256" s="77">
        <f t="shared" si="32"/>
        <v>1274</v>
      </c>
      <c r="M256" s="88">
        <v>600</v>
      </c>
      <c r="N256" s="77">
        <f>75</f>
        <v>75</v>
      </c>
      <c r="O256" s="80">
        <v>240</v>
      </c>
      <c r="P256" s="80">
        <v>160</v>
      </c>
      <c r="Q256" s="80">
        <f t="shared" si="33"/>
        <v>195</v>
      </c>
      <c r="R256" s="80">
        <f t="shared" si="34"/>
        <v>100</v>
      </c>
      <c r="S256" s="77">
        <f t="shared" si="35"/>
        <v>695</v>
      </c>
      <c r="T256" s="77">
        <f>50</f>
        <v>50</v>
      </c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</row>
    <row r="257" spans="1:30" ht="15.75" x14ac:dyDescent="0.25">
      <c r="A257" s="13">
        <v>48731</v>
      </c>
      <c r="B257" s="91">
        <v>30</v>
      </c>
      <c r="C257" s="77">
        <f>194.205</f>
        <v>194.20500000000001</v>
      </c>
      <c r="D257" s="77">
        <f>267.466</f>
        <v>267.46600000000001</v>
      </c>
      <c r="E257" s="86">
        <f>133.845</f>
        <v>133.845</v>
      </c>
      <c r="F257" s="77">
        <f>278.484-40-25-60-100</f>
        <v>53.48399999999998</v>
      </c>
      <c r="G257" s="80">
        <v>40</v>
      </c>
      <c r="H257" s="77">
        <f t="shared" si="40"/>
        <v>185</v>
      </c>
      <c r="I257" s="77">
        <f t="shared" si="39"/>
        <v>0</v>
      </c>
      <c r="J257" s="80">
        <v>100</v>
      </c>
      <c r="K257" s="80">
        <v>300</v>
      </c>
      <c r="L257" s="77">
        <f t="shared" si="32"/>
        <v>1274</v>
      </c>
      <c r="M257" s="88">
        <v>600</v>
      </c>
      <c r="N257" s="77">
        <f>30</f>
        <v>30</v>
      </c>
      <c r="O257" s="80">
        <v>240</v>
      </c>
      <c r="P257" s="80">
        <v>160</v>
      </c>
      <c r="Q257" s="80">
        <f t="shared" si="33"/>
        <v>195</v>
      </c>
      <c r="R257" s="80">
        <f t="shared" si="34"/>
        <v>100</v>
      </c>
      <c r="S257" s="77">
        <f t="shared" si="35"/>
        <v>695</v>
      </c>
      <c r="T257" s="77">
        <f>50</f>
        <v>50</v>
      </c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</row>
    <row r="258" spans="1:30" ht="15.75" x14ac:dyDescent="0.25">
      <c r="A258" s="13">
        <v>48761</v>
      </c>
      <c r="B258" s="91">
        <v>31</v>
      </c>
      <c r="C258" s="77">
        <f>194.205</f>
        <v>194.20500000000001</v>
      </c>
      <c r="D258" s="77">
        <f>267.466</f>
        <v>267.46600000000001</v>
      </c>
      <c r="E258" s="86">
        <f>133.845</f>
        <v>133.845</v>
      </c>
      <c r="F258" s="77">
        <f>278.484-40-25-60-100</f>
        <v>53.48399999999998</v>
      </c>
      <c r="G258" s="80">
        <v>40</v>
      </c>
      <c r="H258" s="77">
        <f t="shared" si="40"/>
        <v>185</v>
      </c>
      <c r="I258" s="77">
        <f t="shared" si="39"/>
        <v>0</v>
      </c>
      <c r="J258" s="80">
        <v>100</v>
      </c>
      <c r="K258" s="80">
        <v>300</v>
      </c>
      <c r="L258" s="77">
        <f t="shared" si="32"/>
        <v>1274</v>
      </c>
      <c r="M258" s="88">
        <v>600</v>
      </c>
      <c r="N258" s="77">
        <f>30</f>
        <v>30</v>
      </c>
      <c r="O258" s="80">
        <v>240</v>
      </c>
      <c r="P258" s="80">
        <v>160</v>
      </c>
      <c r="Q258" s="80">
        <f t="shared" si="33"/>
        <v>195</v>
      </c>
      <c r="R258" s="80">
        <f t="shared" si="34"/>
        <v>100</v>
      </c>
      <c r="S258" s="77">
        <f t="shared" si="35"/>
        <v>695</v>
      </c>
      <c r="T258" s="77">
        <f>0</f>
        <v>0</v>
      </c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</row>
    <row r="259" spans="1:30" ht="15.75" x14ac:dyDescent="0.25">
      <c r="A259" s="13">
        <v>48792</v>
      </c>
      <c r="B259" s="91">
        <v>31</v>
      </c>
      <c r="C259" s="77">
        <f>194.205</f>
        <v>194.20500000000001</v>
      </c>
      <c r="D259" s="77">
        <f>267.466</f>
        <v>267.46600000000001</v>
      </c>
      <c r="E259" s="86">
        <f>133.845</f>
        <v>133.845</v>
      </c>
      <c r="F259" s="77">
        <f>278.484-40-25-60-100</f>
        <v>53.48399999999998</v>
      </c>
      <c r="G259" s="80">
        <v>40</v>
      </c>
      <c r="H259" s="77">
        <f t="shared" si="40"/>
        <v>185</v>
      </c>
      <c r="I259" s="77">
        <f t="shared" si="39"/>
        <v>0</v>
      </c>
      <c r="J259" s="80">
        <v>100</v>
      </c>
      <c r="K259" s="80">
        <v>300</v>
      </c>
      <c r="L259" s="77">
        <f t="shared" si="32"/>
        <v>1274</v>
      </c>
      <c r="M259" s="88">
        <v>600</v>
      </c>
      <c r="N259" s="77">
        <f>30</f>
        <v>30</v>
      </c>
      <c r="O259" s="80">
        <v>240</v>
      </c>
      <c r="P259" s="80">
        <v>160</v>
      </c>
      <c r="Q259" s="80">
        <f t="shared" si="33"/>
        <v>195</v>
      </c>
      <c r="R259" s="80">
        <f t="shared" si="34"/>
        <v>100</v>
      </c>
      <c r="S259" s="77">
        <f t="shared" si="35"/>
        <v>695</v>
      </c>
      <c r="T259" s="77">
        <f>0</f>
        <v>0</v>
      </c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</row>
    <row r="260" spans="1:30" ht="15.75" x14ac:dyDescent="0.25">
      <c r="A260" s="13">
        <v>48823</v>
      </c>
      <c r="B260" s="91">
        <v>30</v>
      </c>
      <c r="C260" s="77">
        <f>194.205</f>
        <v>194.20500000000001</v>
      </c>
      <c r="D260" s="77">
        <f>267.466</f>
        <v>267.46600000000001</v>
      </c>
      <c r="E260" s="86">
        <f>133.845</f>
        <v>133.845</v>
      </c>
      <c r="F260" s="77">
        <f>278.484-40-25-60-100</f>
        <v>53.48399999999998</v>
      </c>
      <c r="G260" s="80">
        <v>40</v>
      </c>
      <c r="H260" s="77">
        <f t="shared" si="40"/>
        <v>185</v>
      </c>
      <c r="I260" s="77">
        <f t="shared" si="39"/>
        <v>0</v>
      </c>
      <c r="J260" s="80">
        <v>100</v>
      </c>
      <c r="K260" s="80">
        <v>300</v>
      </c>
      <c r="L260" s="77">
        <f t="shared" si="32"/>
        <v>1274</v>
      </c>
      <c r="M260" s="88">
        <v>600</v>
      </c>
      <c r="N260" s="77">
        <f>30</f>
        <v>30</v>
      </c>
      <c r="O260" s="80">
        <v>240</v>
      </c>
      <c r="P260" s="80">
        <v>160</v>
      </c>
      <c r="Q260" s="80">
        <f t="shared" si="33"/>
        <v>195</v>
      </c>
      <c r="R260" s="80">
        <f t="shared" si="34"/>
        <v>100</v>
      </c>
      <c r="S260" s="77">
        <f t="shared" si="35"/>
        <v>695</v>
      </c>
      <c r="T260" s="77">
        <f>0</f>
        <v>0</v>
      </c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</row>
    <row r="261" spans="1:30" ht="15.75" x14ac:dyDescent="0.25">
      <c r="A261" s="13">
        <v>48853</v>
      </c>
      <c r="B261" s="91">
        <v>31</v>
      </c>
      <c r="C261" s="77">
        <f>131.881</f>
        <v>131.881</v>
      </c>
      <c r="D261" s="77">
        <f>277.167</f>
        <v>277.16699999999997</v>
      </c>
      <c r="E261" s="86">
        <f>79.08</f>
        <v>79.08</v>
      </c>
      <c r="F261" s="77">
        <f>350.872-40-25-60-100</f>
        <v>125.87200000000001</v>
      </c>
      <c r="G261" s="80">
        <v>40</v>
      </c>
      <c r="H261" s="77">
        <f t="shared" si="40"/>
        <v>185</v>
      </c>
      <c r="I261" s="77">
        <f t="shared" si="39"/>
        <v>0</v>
      </c>
      <c r="J261" s="80">
        <v>100</v>
      </c>
      <c r="K261" s="80">
        <v>300</v>
      </c>
      <c r="L261" s="77">
        <f t="shared" si="32"/>
        <v>1239</v>
      </c>
      <c r="M261" s="88">
        <v>600</v>
      </c>
      <c r="N261" s="77">
        <f>75</f>
        <v>75</v>
      </c>
      <c r="O261" s="80">
        <v>240</v>
      </c>
      <c r="P261" s="80">
        <v>160</v>
      </c>
      <c r="Q261" s="80">
        <f t="shared" si="33"/>
        <v>195</v>
      </c>
      <c r="R261" s="80">
        <f t="shared" si="34"/>
        <v>100</v>
      </c>
      <c r="S261" s="77">
        <f t="shared" si="35"/>
        <v>695</v>
      </c>
      <c r="T261" s="77">
        <f>0</f>
        <v>0</v>
      </c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</row>
    <row r="262" spans="1:30" ht="15.75" x14ac:dyDescent="0.25">
      <c r="A262" s="13">
        <v>48884</v>
      </c>
      <c r="B262" s="91">
        <v>30</v>
      </c>
      <c r="C262" s="77">
        <f>122.58</f>
        <v>122.58</v>
      </c>
      <c r="D262" s="77">
        <f>297.941</f>
        <v>297.94099999999997</v>
      </c>
      <c r="E262" s="86">
        <f>89.177</f>
        <v>89.177000000000007</v>
      </c>
      <c r="F262" s="77">
        <f>240.302-40-60-100</f>
        <v>40.301999999999992</v>
      </c>
      <c r="G262" s="80">
        <v>40</v>
      </c>
      <c r="H262" s="77">
        <f>60+100</f>
        <v>160</v>
      </c>
      <c r="I262" s="77">
        <f t="shared" si="39"/>
        <v>0</v>
      </c>
      <c r="J262" s="80">
        <v>100</v>
      </c>
      <c r="K262" s="80">
        <v>300</v>
      </c>
      <c r="L262" s="77">
        <f t="shared" si="32"/>
        <v>1150</v>
      </c>
      <c r="M262" s="88">
        <v>600</v>
      </c>
      <c r="N262" s="77">
        <f>100</f>
        <v>100</v>
      </c>
      <c r="O262" s="80">
        <v>240</v>
      </c>
      <c r="P262" s="80">
        <v>40</v>
      </c>
      <c r="Q262" s="80">
        <f t="shared" si="33"/>
        <v>315</v>
      </c>
      <c r="R262" s="80">
        <f t="shared" si="34"/>
        <v>100</v>
      </c>
      <c r="S262" s="77">
        <f t="shared" si="35"/>
        <v>695</v>
      </c>
      <c r="T262" s="77">
        <f>50</f>
        <v>50</v>
      </c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</row>
    <row r="263" spans="1:30" ht="15.75" x14ac:dyDescent="0.25">
      <c r="A263" s="13">
        <v>48914</v>
      </c>
      <c r="B263" s="91">
        <v>31</v>
      </c>
      <c r="C263" s="77">
        <f>122.58</f>
        <v>122.58</v>
      </c>
      <c r="D263" s="77">
        <f>297.941</f>
        <v>297.94099999999997</v>
      </c>
      <c r="E263" s="86">
        <f>89.177</f>
        <v>89.177000000000007</v>
      </c>
      <c r="F263" s="77">
        <f>240.302-40-60-100</f>
        <v>40.301999999999992</v>
      </c>
      <c r="G263" s="80">
        <v>40</v>
      </c>
      <c r="H263" s="77">
        <f>60+100</f>
        <v>160</v>
      </c>
      <c r="I263" s="77">
        <f t="shared" si="39"/>
        <v>0</v>
      </c>
      <c r="J263" s="80">
        <v>100</v>
      </c>
      <c r="K263" s="80">
        <v>300</v>
      </c>
      <c r="L263" s="77">
        <f t="shared" si="32"/>
        <v>1150</v>
      </c>
      <c r="M263" s="88">
        <v>600</v>
      </c>
      <c r="N263" s="77">
        <f>100</f>
        <v>100</v>
      </c>
      <c r="O263" s="80">
        <v>240</v>
      </c>
      <c r="P263" s="80">
        <v>40</v>
      </c>
      <c r="Q263" s="80">
        <f t="shared" si="33"/>
        <v>315</v>
      </c>
      <c r="R263" s="80">
        <f t="shared" si="34"/>
        <v>100</v>
      </c>
      <c r="S263" s="77">
        <f t="shared" si="35"/>
        <v>695</v>
      </c>
      <c r="T263" s="77">
        <f>50</f>
        <v>50</v>
      </c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</row>
    <row r="264" spans="1:30" ht="15.75" x14ac:dyDescent="0.25">
      <c r="A264" s="13">
        <v>48945</v>
      </c>
      <c r="B264" s="91">
        <v>31</v>
      </c>
      <c r="C264" s="77">
        <f>122.58</f>
        <v>122.58</v>
      </c>
      <c r="D264" s="77">
        <f>297.941</f>
        <v>297.94099999999997</v>
      </c>
      <c r="E264" s="86">
        <f>89.177</f>
        <v>89.177000000000007</v>
      </c>
      <c r="F264" s="77">
        <f>240.302-40-60-100</f>
        <v>40.301999999999992</v>
      </c>
      <c r="G264" s="80">
        <v>40</v>
      </c>
      <c r="H264" s="77">
        <f>60+100</f>
        <v>160</v>
      </c>
      <c r="I264" s="77">
        <f t="shared" si="39"/>
        <v>0</v>
      </c>
      <c r="J264" s="80">
        <v>100</v>
      </c>
      <c r="K264" s="80">
        <v>300</v>
      </c>
      <c r="L264" s="77">
        <f t="shared" si="32"/>
        <v>1150</v>
      </c>
      <c r="M264" s="88">
        <v>600</v>
      </c>
      <c r="N264" s="77">
        <f>100</f>
        <v>100</v>
      </c>
      <c r="O264" s="80">
        <v>240</v>
      </c>
      <c r="P264" s="80">
        <v>40</v>
      </c>
      <c r="Q264" s="80">
        <f t="shared" si="33"/>
        <v>315</v>
      </c>
      <c r="R264" s="80">
        <f t="shared" si="34"/>
        <v>100</v>
      </c>
      <c r="S264" s="77">
        <f t="shared" si="35"/>
        <v>695</v>
      </c>
      <c r="T264" s="77">
        <f>50</f>
        <v>50</v>
      </c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</row>
    <row r="265" spans="1:30" ht="15.75" x14ac:dyDescent="0.25">
      <c r="A265" s="13">
        <v>48976</v>
      </c>
      <c r="B265" s="91">
        <v>28</v>
      </c>
      <c r="C265" s="77">
        <f>122.58</f>
        <v>122.58</v>
      </c>
      <c r="D265" s="77">
        <f>297.941</f>
        <v>297.94099999999997</v>
      </c>
      <c r="E265" s="86">
        <f>89.177</f>
        <v>89.177000000000007</v>
      </c>
      <c r="F265" s="77">
        <f>240.302-40-60-100</f>
        <v>40.301999999999992</v>
      </c>
      <c r="G265" s="80">
        <v>40</v>
      </c>
      <c r="H265" s="77">
        <f>60+100</f>
        <v>160</v>
      </c>
      <c r="I265" s="77">
        <f t="shared" si="39"/>
        <v>0</v>
      </c>
      <c r="J265" s="80">
        <v>100</v>
      </c>
      <c r="K265" s="80">
        <v>300</v>
      </c>
      <c r="L265" s="77">
        <f t="shared" si="32"/>
        <v>1150</v>
      </c>
      <c r="M265" s="88">
        <v>600</v>
      </c>
      <c r="N265" s="77">
        <f>100</f>
        <v>100</v>
      </c>
      <c r="O265" s="80">
        <v>240</v>
      </c>
      <c r="P265" s="80">
        <v>40</v>
      </c>
      <c r="Q265" s="80">
        <f t="shared" si="33"/>
        <v>315</v>
      </c>
      <c r="R265" s="80">
        <f t="shared" si="34"/>
        <v>100</v>
      </c>
      <c r="S265" s="77">
        <f t="shared" si="35"/>
        <v>695</v>
      </c>
      <c r="T265" s="77">
        <f>50</f>
        <v>50</v>
      </c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</row>
    <row r="266" spans="1:30" ht="15.75" x14ac:dyDescent="0.25">
      <c r="A266" s="13">
        <v>49004</v>
      </c>
      <c r="B266" s="91">
        <v>31</v>
      </c>
      <c r="C266" s="77">
        <f>122.58</f>
        <v>122.58</v>
      </c>
      <c r="D266" s="77">
        <f>297.941</f>
        <v>297.94099999999997</v>
      </c>
      <c r="E266" s="86">
        <f>89.177</f>
        <v>89.177000000000007</v>
      </c>
      <c r="F266" s="77">
        <f>240.302-40-60-100</f>
        <v>40.301999999999992</v>
      </c>
      <c r="G266" s="80">
        <v>40</v>
      </c>
      <c r="H266" s="77">
        <f>60+100</f>
        <v>160</v>
      </c>
      <c r="I266" s="77">
        <f t="shared" si="39"/>
        <v>0</v>
      </c>
      <c r="J266" s="80">
        <v>100</v>
      </c>
      <c r="K266" s="80">
        <v>300</v>
      </c>
      <c r="L266" s="77">
        <f t="shared" si="32"/>
        <v>1150</v>
      </c>
      <c r="M266" s="88">
        <v>600</v>
      </c>
      <c r="N266" s="77">
        <f>100</f>
        <v>100</v>
      </c>
      <c r="O266" s="80">
        <v>240</v>
      </c>
      <c r="P266" s="80">
        <v>40</v>
      </c>
      <c r="Q266" s="80">
        <f t="shared" si="33"/>
        <v>315</v>
      </c>
      <c r="R266" s="80">
        <f t="shared" si="34"/>
        <v>100</v>
      </c>
      <c r="S266" s="77">
        <f t="shared" si="35"/>
        <v>695</v>
      </c>
      <c r="T266" s="77">
        <f>50</f>
        <v>50</v>
      </c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</row>
    <row r="267" spans="1:30" ht="15.75" x14ac:dyDescent="0.25">
      <c r="A267" s="13">
        <v>49035</v>
      </c>
      <c r="B267" s="91">
        <v>30</v>
      </c>
      <c r="C267" s="77">
        <f>141.293</f>
        <v>141.29300000000001</v>
      </c>
      <c r="D267" s="77">
        <f>267.993</f>
        <v>267.99299999999999</v>
      </c>
      <c r="E267" s="86">
        <f>115.016</f>
        <v>115.01600000000001</v>
      </c>
      <c r="F267" s="77">
        <f>314.698-40-25-60-100</f>
        <v>89.697999999999979</v>
      </c>
      <c r="G267" s="80">
        <v>40</v>
      </c>
      <c r="H267" s="77">
        <f t="shared" ref="H267:H273" si="41">25+60+100</f>
        <v>185</v>
      </c>
      <c r="I267" s="77">
        <f t="shared" si="39"/>
        <v>0</v>
      </c>
      <c r="J267" s="80">
        <v>100</v>
      </c>
      <c r="K267" s="80">
        <v>300</v>
      </c>
      <c r="L267" s="77">
        <f t="shared" si="32"/>
        <v>1239</v>
      </c>
      <c r="M267" s="88">
        <v>600</v>
      </c>
      <c r="N267" s="77">
        <f>100</f>
        <v>100</v>
      </c>
      <c r="O267" s="80">
        <v>240</v>
      </c>
      <c r="P267" s="80">
        <v>160</v>
      </c>
      <c r="Q267" s="80">
        <f t="shared" si="33"/>
        <v>195</v>
      </c>
      <c r="R267" s="80">
        <f t="shared" si="34"/>
        <v>100</v>
      </c>
      <c r="S267" s="77">
        <f t="shared" si="35"/>
        <v>695</v>
      </c>
      <c r="T267" s="77">
        <f>50</f>
        <v>50</v>
      </c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</row>
    <row r="268" spans="1:30" ht="15.75" x14ac:dyDescent="0.25">
      <c r="A268" s="13">
        <v>49065</v>
      </c>
      <c r="B268" s="91">
        <v>31</v>
      </c>
      <c r="C268" s="77">
        <f>194.205</f>
        <v>194.20500000000001</v>
      </c>
      <c r="D268" s="77">
        <f>267.466</f>
        <v>267.46600000000001</v>
      </c>
      <c r="E268" s="86">
        <f>133.845</f>
        <v>133.845</v>
      </c>
      <c r="F268" s="77">
        <f>278.484-40-25-60-100</f>
        <v>53.48399999999998</v>
      </c>
      <c r="G268" s="80">
        <v>40</v>
      </c>
      <c r="H268" s="77">
        <f t="shared" si="41"/>
        <v>185</v>
      </c>
      <c r="I268" s="77">
        <f t="shared" si="39"/>
        <v>0</v>
      </c>
      <c r="J268" s="80">
        <v>100</v>
      </c>
      <c r="K268" s="80">
        <v>300</v>
      </c>
      <c r="L268" s="77">
        <f t="shared" si="32"/>
        <v>1274</v>
      </c>
      <c r="M268" s="88">
        <v>600</v>
      </c>
      <c r="N268" s="77">
        <f>75</f>
        <v>75</v>
      </c>
      <c r="O268" s="80">
        <v>240</v>
      </c>
      <c r="P268" s="80">
        <v>160</v>
      </c>
      <c r="Q268" s="80">
        <f t="shared" si="33"/>
        <v>195</v>
      </c>
      <c r="R268" s="80">
        <f t="shared" si="34"/>
        <v>100</v>
      </c>
      <c r="S268" s="77">
        <f t="shared" si="35"/>
        <v>695</v>
      </c>
      <c r="T268" s="77">
        <f>50</f>
        <v>50</v>
      </c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</row>
    <row r="269" spans="1:30" ht="15.75" x14ac:dyDescent="0.25">
      <c r="A269" s="13">
        <v>49096</v>
      </c>
      <c r="B269" s="91">
        <v>30</v>
      </c>
      <c r="C269" s="77">
        <f>194.205</f>
        <v>194.20500000000001</v>
      </c>
      <c r="D269" s="77">
        <f>267.466</f>
        <v>267.46600000000001</v>
      </c>
      <c r="E269" s="86">
        <f>133.845</f>
        <v>133.845</v>
      </c>
      <c r="F269" s="77">
        <f>278.484-40-25-60-100</f>
        <v>53.48399999999998</v>
      </c>
      <c r="G269" s="80">
        <v>40</v>
      </c>
      <c r="H269" s="77">
        <f t="shared" si="41"/>
        <v>185</v>
      </c>
      <c r="I269" s="77">
        <f t="shared" si="39"/>
        <v>0</v>
      </c>
      <c r="J269" s="80">
        <v>100</v>
      </c>
      <c r="K269" s="80">
        <v>300</v>
      </c>
      <c r="L269" s="77">
        <f t="shared" si="32"/>
        <v>1274</v>
      </c>
      <c r="M269" s="88">
        <v>600</v>
      </c>
      <c r="N269" s="77">
        <f>30</f>
        <v>30</v>
      </c>
      <c r="O269" s="80">
        <v>240</v>
      </c>
      <c r="P269" s="80">
        <v>160</v>
      </c>
      <c r="Q269" s="80">
        <f t="shared" si="33"/>
        <v>195</v>
      </c>
      <c r="R269" s="80">
        <f t="shared" si="34"/>
        <v>100</v>
      </c>
      <c r="S269" s="77">
        <f t="shared" si="35"/>
        <v>695</v>
      </c>
      <c r="T269" s="77">
        <f>50</f>
        <v>50</v>
      </c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</row>
    <row r="270" spans="1:30" ht="15.75" x14ac:dyDescent="0.25">
      <c r="A270" s="13">
        <v>49126</v>
      </c>
      <c r="B270" s="91">
        <v>31</v>
      </c>
      <c r="C270" s="77">
        <f>194.205</f>
        <v>194.20500000000001</v>
      </c>
      <c r="D270" s="77">
        <f>267.466</f>
        <v>267.46600000000001</v>
      </c>
      <c r="E270" s="86">
        <f>133.845</f>
        <v>133.845</v>
      </c>
      <c r="F270" s="77">
        <f>278.484-40-25-60-100</f>
        <v>53.48399999999998</v>
      </c>
      <c r="G270" s="80">
        <v>40</v>
      </c>
      <c r="H270" s="77">
        <f t="shared" si="41"/>
        <v>185</v>
      </c>
      <c r="I270" s="77">
        <f t="shared" si="39"/>
        <v>0</v>
      </c>
      <c r="J270" s="80">
        <v>100</v>
      </c>
      <c r="K270" s="80">
        <v>300</v>
      </c>
      <c r="L270" s="77">
        <f t="shared" si="32"/>
        <v>1274</v>
      </c>
      <c r="M270" s="88">
        <v>600</v>
      </c>
      <c r="N270" s="77">
        <f>30</f>
        <v>30</v>
      </c>
      <c r="O270" s="80">
        <v>240</v>
      </c>
      <c r="P270" s="80">
        <v>160</v>
      </c>
      <c r="Q270" s="80">
        <f t="shared" si="33"/>
        <v>195</v>
      </c>
      <c r="R270" s="80">
        <f t="shared" si="34"/>
        <v>100</v>
      </c>
      <c r="S270" s="77">
        <f t="shared" si="35"/>
        <v>695</v>
      </c>
      <c r="T270" s="77">
        <f>0</f>
        <v>0</v>
      </c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</row>
    <row r="271" spans="1:30" ht="15.75" x14ac:dyDescent="0.25">
      <c r="A271" s="13">
        <v>49157</v>
      </c>
      <c r="B271" s="91">
        <v>31</v>
      </c>
      <c r="C271" s="77">
        <f>194.205</f>
        <v>194.20500000000001</v>
      </c>
      <c r="D271" s="77">
        <f>267.466</f>
        <v>267.46600000000001</v>
      </c>
      <c r="E271" s="86">
        <f>133.845</f>
        <v>133.845</v>
      </c>
      <c r="F271" s="77">
        <f>278.484-40-25-60-100</f>
        <v>53.48399999999998</v>
      </c>
      <c r="G271" s="80">
        <v>40</v>
      </c>
      <c r="H271" s="77">
        <f t="shared" si="41"/>
        <v>185</v>
      </c>
      <c r="I271" s="77">
        <f t="shared" si="39"/>
        <v>0</v>
      </c>
      <c r="J271" s="80">
        <v>100</v>
      </c>
      <c r="K271" s="80">
        <v>300</v>
      </c>
      <c r="L271" s="77">
        <f t="shared" si="32"/>
        <v>1274</v>
      </c>
      <c r="M271" s="88">
        <v>600</v>
      </c>
      <c r="N271" s="77">
        <f>30</f>
        <v>30</v>
      </c>
      <c r="O271" s="80">
        <v>240</v>
      </c>
      <c r="P271" s="80">
        <v>160</v>
      </c>
      <c r="Q271" s="80">
        <f t="shared" si="33"/>
        <v>195</v>
      </c>
      <c r="R271" s="80">
        <f t="shared" si="34"/>
        <v>100</v>
      </c>
      <c r="S271" s="77">
        <f t="shared" si="35"/>
        <v>695</v>
      </c>
      <c r="T271" s="77">
        <f>0</f>
        <v>0</v>
      </c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</row>
    <row r="272" spans="1:30" ht="15.75" x14ac:dyDescent="0.25">
      <c r="A272" s="13">
        <v>49188</v>
      </c>
      <c r="B272" s="91">
        <v>30</v>
      </c>
      <c r="C272" s="77">
        <f>194.205</f>
        <v>194.20500000000001</v>
      </c>
      <c r="D272" s="77">
        <f>267.466</f>
        <v>267.46600000000001</v>
      </c>
      <c r="E272" s="86">
        <f>133.845</f>
        <v>133.845</v>
      </c>
      <c r="F272" s="77">
        <f>278.484-40-25-60-100</f>
        <v>53.48399999999998</v>
      </c>
      <c r="G272" s="80">
        <v>40</v>
      </c>
      <c r="H272" s="77">
        <f t="shared" si="41"/>
        <v>185</v>
      </c>
      <c r="I272" s="77">
        <f t="shared" si="39"/>
        <v>0</v>
      </c>
      <c r="J272" s="80">
        <v>100</v>
      </c>
      <c r="K272" s="80">
        <v>300</v>
      </c>
      <c r="L272" s="77">
        <f t="shared" si="32"/>
        <v>1274</v>
      </c>
      <c r="M272" s="88">
        <v>600</v>
      </c>
      <c r="N272" s="77">
        <f>30</f>
        <v>30</v>
      </c>
      <c r="O272" s="80">
        <v>240</v>
      </c>
      <c r="P272" s="80">
        <v>160</v>
      </c>
      <c r="Q272" s="80">
        <f t="shared" si="33"/>
        <v>195</v>
      </c>
      <c r="R272" s="80">
        <f t="shared" si="34"/>
        <v>100</v>
      </c>
      <c r="S272" s="77">
        <f t="shared" si="35"/>
        <v>695</v>
      </c>
      <c r="T272" s="77">
        <f>0</f>
        <v>0</v>
      </c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</row>
    <row r="273" spans="1:30" ht="15.75" x14ac:dyDescent="0.25">
      <c r="A273" s="13">
        <v>49218</v>
      </c>
      <c r="B273" s="91">
        <v>31</v>
      </c>
      <c r="C273" s="77">
        <f>131.881</f>
        <v>131.881</v>
      </c>
      <c r="D273" s="77">
        <f>277.167</f>
        <v>277.16699999999997</v>
      </c>
      <c r="E273" s="86">
        <f>79.08</f>
        <v>79.08</v>
      </c>
      <c r="F273" s="77">
        <f>350.872-40-25-60-100</f>
        <v>125.87200000000001</v>
      </c>
      <c r="G273" s="80">
        <v>40</v>
      </c>
      <c r="H273" s="77">
        <f t="shared" si="41"/>
        <v>185</v>
      </c>
      <c r="I273" s="77">
        <f t="shared" si="39"/>
        <v>0</v>
      </c>
      <c r="J273" s="80">
        <v>100</v>
      </c>
      <c r="K273" s="80">
        <v>300</v>
      </c>
      <c r="L273" s="77">
        <f t="shared" ref="L273:L336" si="42">SUM(C273:K273)</f>
        <v>1239</v>
      </c>
      <c r="M273" s="88">
        <v>600</v>
      </c>
      <c r="N273" s="77">
        <f>75</f>
        <v>75</v>
      </c>
      <c r="O273" s="80">
        <v>240</v>
      </c>
      <c r="P273" s="80">
        <v>160</v>
      </c>
      <c r="Q273" s="80">
        <f t="shared" ref="Q273:Q336" si="43">695-R273-O273-P273</f>
        <v>195</v>
      </c>
      <c r="R273" s="80">
        <f t="shared" ref="R273:R336" si="44">200-J273</f>
        <v>100</v>
      </c>
      <c r="S273" s="77">
        <f t="shared" ref="S273:S336" si="45">SUM(O273:R273)</f>
        <v>695</v>
      </c>
      <c r="T273" s="77">
        <f>0</f>
        <v>0</v>
      </c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</row>
    <row r="274" spans="1:30" ht="15.75" x14ac:dyDescent="0.25">
      <c r="A274" s="13">
        <v>49249</v>
      </c>
      <c r="B274" s="91">
        <v>30</v>
      </c>
      <c r="C274" s="77">
        <f>122.58</f>
        <v>122.58</v>
      </c>
      <c r="D274" s="77">
        <f>297.941</f>
        <v>297.94099999999997</v>
      </c>
      <c r="E274" s="86">
        <f>89.177</f>
        <v>89.177000000000007</v>
      </c>
      <c r="F274" s="77">
        <f>240.302-40-60-100</f>
        <v>40.301999999999992</v>
      </c>
      <c r="G274" s="80">
        <v>40</v>
      </c>
      <c r="H274" s="77">
        <f>60+100</f>
        <v>160</v>
      </c>
      <c r="I274" s="77">
        <f t="shared" si="39"/>
        <v>0</v>
      </c>
      <c r="J274" s="80">
        <v>100</v>
      </c>
      <c r="K274" s="80">
        <v>300</v>
      </c>
      <c r="L274" s="77">
        <f t="shared" si="42"/>
        <v>1150</v>
      </c>
      <c r="M274" s="88">
        <v>600</v>
      </c>
      <c r="N274" s="77">
        <f>100</f>
        <v>100</v>
      </c>
      <c r="O274" s="80">
        <v>240</v>
      </c>
      <c r="P274" s="80">
        <v>40</v>
      </c>
      <c r="Q274" s="80">
        <f t="shared" si="43"/>
        <v>315</v>
      </c>
      <c r="R274" s="80">
        <f t="shared" si="44"/>
        <v>100</v>
      </c>
      <c r="S274" s="77">
        <f t="shared" si="45"/>
        <v>695</v>
      </c>
      <c r="T274" s="77">
        <f>50</f>
        <v>50</v>
      </c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</row>
    <row r="275" spans="1:30" ht="15.75" x14ac:dyDescent="0.25">
      <c r="A275" s="13">
        <v>49279</v>
      </c>
      <c r="B275" s="91">
        <v>31</v>
      </c>
      <c r="C275" s="77">
        <f>122.58</f>
        <v>122.58</v>
      </c>
      <c r="D275" s="77">
        <f>297.941</f>
        <v>297.94099999999997</v>
      </c>
      <c r="E275" s="86">
        <f>89.177</f>
        <v>89.177000000000007</v>
      </c>
      <c r="F275" s="77">
        <f>240.302-40-60-100</f>
        <v>40.301999999999992</v>
      </c>
      <c r="G275" s="80">
        <v>40</v>
      </c>
      <c r="H275" s="77">
        <f>60+100</f>
        <v>160</v>
      </c>
      <c r="I275" s="77">
        <f t="shared" si="39"/>
        <v>0</v>
      </c>
      <c r="J275" s="80">
        <v>100</v>
      </c>
      <c r="K275" s="80">
        <v>300</v>
      </c>
      <c r="L275" s="77">
        <f t="shared" si="42"/>
        <v>1150</v>
      </c>
      <c r="M275" s="88">
        <v>600</v>
      </c>
      <c r="N275" s="77">
        <f>100</f>
        <v>100</v>
      </c>
      <c r="O275" s="80">
        <v>240</v>
      </c>
      <c r="P275" s="80">
        <v>40</v>
      </c>
      <c r="Q275" s="80">
        <f t="shared" si="43"/>
        <v>315</v>
      </c>
      <c r="R275" s="80">
        <f t="shared" si="44"/>
        <v>100</v>
      </c>
      <c r="S275" s="77">
        <f t="shared" si="45"/>
        <v>695</v>
      </c>
      <c r="T275" s="77">
        <f>50</f>
        <v>50</v>
      </c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</row>
    <row r="276" spans="1:30" ht="15.75" x14ac:dyDescent="0.25">
      <c r="A276" s="13">
        <v>49310</v>
      </c>
      <c r="B276" s="91">
        <v>31</v>
      </c>
      <c r="C276" s="77">
        <f>122.58</f>
        <v>122.58</v>
      </c>
      <c r="D276" s="77">
        <f>297.941</f>
        <v>297.94099999999997</v>
      </c>
      <c r="E276" s="86">
        <f>89.177</f>
        <v>89.177000000000007</v>
      </c>
      <c r="F276" s="77">
        <f>240.302-40-60-100</f>
        <v>40.301999999999992</v>
      </c>
      <c r="G276" s="80">
        <v>40</v>
      </c>
      <c r="H276" s="77">
        <f>60+100</f>
        <v>160</v>
      </c>
      <c r="I276" s="77">
        <f t="shared" si="39"/>
        <v>0</v>
      </c>
      <c r="J276" s="80">
        <v>100</v>
      </c>
      <c r="K276" s="80">
        <v>300</v>
      </c>
      <c r="L276" s="77">
        <f t="shared" si="42"/>
        <v>1150</v>
      </c>
      <c r="M276" s="88">
        <v>600</v>
      </c>
      <c r="N276" s="77">
        <f>100</f>
        <v>100</v>
      </c>
      <c r="O276" s="80">
        <v>240</v>
      </c>
      <c r="P276" s="80">
        <v>40</v>
      </c>
      <c r="Q276" s="80">
        <f t="shared" si="43"/>
        <v>315</v>
      </c>
      <c r="R276" s="80">
        <f t="shared" si="44"/>
        <v>100</v>
      </c>
      <c r="S276" s="77">
        <f t="shared" si="45"/>
        <v>695</v>
      </c>
      <c r="T276" s="77">
        <f>50</f>
        <v>50</v>
      </c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</row>
    <row r="277" spans="1:30" ht="15.75" x14ac:dyDescent="0.25">
      <c r="A277" s="13">
        <v>49341</v>
      </c>
      <c r="B277" s="91">
        <v>28</v>
      </c>
      <c r="C277" s="77">
        <f>122.58</f>
        <v>122.58</v>
      </c>
      <c r="D277" s="77">
        <f>297.941</f>
        <v>297.94099999999997</v>
      </c>
      <c r="E277" s="86">
        <f>89.177</f>
        <v>89.177000000000007</v>
      </c>
      <c r="F277" s="77">
        <f>240.302-40-60-100</f>
        <v>40.301999999999992</v>
      </c>
      <c r="G277" s="80">
        <v>40</v>
      </c>
      <c r="H277" s="77">
        <f>60+100</f>
        <v>160</v>
      </c>
      <c r="I277" s="77">
        <f t="shared" si="39"/>
        <v>0</v>
      </c>
      <c r="J277" s="80">
        <v>100</v>
      </c>
      <c r="K277" s="80">
        <v>300</v>
      </c>
      <c r="L277" s="77">
        <f t="shared" si="42"/>
        <v>1150</v>
      </c>
      <c r="M277" s="88">
        <v>600</v>
      </c>
      <c r="N277" s="77">
        <f>100</f>
        <v>100</v>
      </c>
      <c r="O277" s="80">
        <v>240</v>
      </c>
      <c r="P277" s="80">
        <v>40</v>
      </c>
      <c r="Q277" s="80">
        <f t="shared" si="43"/>
        <v>315</v>
      </c>
      <c r="R277" s="80">
        <f t="shared" si="44"/>
        <v>100</v>
      </c>
      <c r="S277" s="77">
        <f t="shared" si="45"/>
        <v>695</v>
      </c>
      <c r="T277" s="77">
        <f>50</f>
        <v>50</v>
      </c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</row>
    <row r="278" spans="1:30" ht="15.75" x14ac:dyDescent="0.25">
      <c r="A278" s="13">
        <v>49369</v>
      </c>
      <c r="B278" s="91">
        <v>31</v>
      </c>
      <c r="C278" s="77">
        <f>122.58</f>
        <v>122.58</v>
      </c>
      <c r="D278" s="77">
        <f>297.941</f>
        <v>297.94099999999997</v>
      </c>
      <c r="E278" s="86">
        <f>89.177</f>
        <v>89.177000000000007</v>
      </c>
      <c r="F278" s="77">
        <f>240.302-40-60-100</f>
        <v>40.301999999999992</v>
      </c>
      <c r="G278" s="80">
        <v>40</v>
      </c>
      <c r="H278" s="77">
        <f>60+100</f>
        <v>160</v>
      </c>
      <c r="I278" s="77">
        <f t="shared" si="39"/>
        <v>0</v>
      </c>
      <c r="J278" s="80">
        <v>100</v>
      </c>
      <c r="K278" s="80">
        <v>300</v>
      </c>
      <c r="L278" s="77">
        <f t="shared" si="42"/>
        <v>1150</v>
      </c>
      <c r="M278" s="88">
        <v>600</v>
      </c>
      <c r="N278" s="77">
        <f>100</f>
        <v>100</v>
      </c>
      <c r="O278" s="80">
        <v>240</v>
      </c>
      <c r="P278" s="80">
        <v>40</v>
      </c>
      <c r="Q278" s="80">
        <f t="shared" si="43"/>
        <v>315</v>
      </c>
      <c r="R278" s="80">
        <f t="shared" si="44"/>
        <v>100</v>
      </c>
      <c r="S278" s="77">
        <f t="shared" si="45"/>
        <v>695</v>
      </c>
      <c r="T278" s="77">
        <f>50</f>
        <v>50</v>
      </c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</row>
    <row r="279" spans="1:30" ht="15.75" x14ac:dyDescent="0.25">
      <c r="A279" s="13">
        <v>49400</v>
      </c>
      <c r="B279" s="91">
        <v>30</v>
      </c>
      <c r="C279" s="77">
        <f>141.293</f>
        <v>141.29300000000001</v>
      </c>
      <c r="D279" s="77">
        <f>267.993</f>
        <v>267.99299999999999</v>
      </c>
      <c r="E279" s="86">
        <f>115.016</f>
        <v>115.01600000000001</v>
      </c>
      <c r="F279" s="77">
        <f>314.698-40-25-60-100</f>
        <v>89.697999999999979</v>
      </c>
      <c r="G279" s="80">
        <v>40</v>
      </c>
      <c r="H279" s="77">
        <f t="shared" ref="H279:H285" si="46">25+60+100</f>
        <v>185</v>
      </c>
      <c r="I279" s="77">
        <f t="shared" si="39"/>
        <v>0</v>
      </c>
      <c r="J279" s="80">
        <v>100</v>
      </c>
      <c r="K279" s="80">
        <v>300</v>
      </c>
      <c r="L279" s="77">
        <f t="shared" si="42"/>
        <v>1239</v>
      </c>
      <c r="M279" s="88">
        <v>600</v>
      </c>
      <c r="N279" s="77">
        <f>100</f>
        <v>100</v>
      </c>
      <c r="O279" s="80">
        <v>240</v>
      </c>
      <c r="P279" s="80">
        <v>160</v>
      </c>
      <c r="Q279" s="80">
        <f t="shared" si="43"/>
        <v>195</v>
      </c>
      <c r="R279" s="80">
        <f t="shared" si="44"/>
        <v>100</v>
      </c>
      <c r="S279" s="77">
        <f t="shared" si="45"/>
        <v>695</v>
      </c>
      <c r="T279" s="77">
        <f>50</f>
        <v>50</v>
      </c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</row>
    <row r="280" spans="1:30" ht="15.75" x14ac:dyDescent="0.25">
      <c r="A280" s="13">
        <v>49430</v>
      </c>
      <c r="B280" s="91">
        <v>31</v>
      </c>
      <c r="C280" s="77">
        <f>194.205</f>
        <v>194.20500000000001</v>
      </c>
      <c r="D280" s="77">
        <f>267.466</f>
        <v>267.46600000000001</v>
      </c>
      <c r="E280" s="86">
        <f>133.845</f>
        <v>133.845</v>
      </c>
      <c r="F280" s="77">
        <f>278.484-40-25-60-100</f>
        <v>53.48399999999998</v>
      </c>
      <c r="G280" s="80">
        <v>40</v>
      </c>
      <c r="H280" s="77">
        <f t="shared" si="46"/>
        <v>185</v>
      </c>
      <c r="I280" s="77">
        <f t="shared" si="39"/>
        <v>0</v>
      </c>
      <c r="J280" s="80">
        <v>100</v>
      </c>
      <c r="K280" s="80">
        <v>300</v>
      </c>
      <c r="L280" s="77">
        <f t="shared" si="42"/>
        <v>1274</v>
      </c>
      <c r="M280" s="88">
        <v>600</v>
      </c>
      <c r="N280" s="77">
        <f>75</f>
        <v>75</v>
      </c>
      <c r="O280" s="80">
        <v>240</v>
      </c>
      <c r="P280" s="80">
        <v>160</v>
      </c>
      <c r="Q280" s="80">
        <f t="shared" si="43"/>
        <v>195</v>
      </c>
      <c r="R280" s="80">
        <f t="shared" si="44"/>
        <v>100</v>
      </c>
      <c r="S280" s="77">
        <f t="shared" si="45"/>
        <v>695</v>
      </c>
      <c r="T280" s="77">
        <f>50</f>
        <v>50</v>
      </c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</row>
    <row r="281" spans="1:30" ht="15.75" x14ac:dyDescent="0.25">
      <c r="A281" s="34">
        <v>49461</v>
      </c>
      <c r="B281" s="91">
        <v>30</v>
      </c>
      <c r="C281" s="77">
        <f>194.205</f>
        <v>194.20500000000001</v>
      </c>
      <c r="D281" s="77">
        <f>267.466</f>
        <v>267.46600000000001</v>
      </c>
      <c r="E281" s="86">
        <f>133.845</f>
        <v>133.845</v>
      </c>
      <c r="F281" s="77">
        <f>278.484-40-25-60-100</f>
        <v>53.48399999999998</v>
      </c>
      <c r="G281" s="80">
        <v>40</v>
      </c>
      <c r="H281" s="77">
        <f t="shared" si="46"/>
        <v>185</v>
      </c>
      <c r="I281" s="77">
        <f t="shared" si="39"/>
        <v>0</v>
      </c>
      <c r="J281" s="80">
        <v>100</v>
      </c>
      <c r="K281" s="80">
        <v>300</v>
      </c>
      <c r="L281" s="77">
        <f t="shared" si="42"/>
        <v>1274</v>
      </c>
      <c r="M281" s="88">
        <v>600</v>
      </c>
      <c r="N281" s="77">
        <f>30</f>
        <v>30</v>
      </c>
      <c r="O281" s="80">
        <v>240</v>
      </c>
      <c r="P281" s="80">
        <v>160</v>
      </c>
      <c r="Q281" s="80">
        <f t="shared" si="43"/>
        <v>195</v>
      </c>
      <c r="R281" s="80">
        <f t="shared" si="44"/>
        <v>100</v>
      </c>
      <c r="S281" s="77">
        <f t="shared" si="45"/>
        <v>695</v>
      </c>
      <c r="T281" s="77">
        <f>50</f>
        <v>50</v>
      </c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</row>
    <row r="282" spans="1:30" ht="15.75" x14ac:dyDescent="0.25">
      <c r="A282" s="34">
        <v>49491</v>
      </c>
      <c r="B282" s="91">
        <v>31</v>
      </c>
      <c r="C282" s="77">
        <f>194.205</f>
        <v>194.20500000000001</v>
      </c>
      <c r="D282" s="77">
        <f>267.466</f>
        <v>267.46600000000001</v>
      </c>
      <c r="E282" s="86">
        <f>133.845</f>
        <v>133.845</v>
      </c>
      <c r="F282" s="77">
        <f>278.484-40-25-60-100</f>
        <v>53.48399999999998</v>
      </c>
      <c r="G282" s="80">
        <v>40</v>
      </c>
      <c r="H282" s="77">
        <f t="shared" si="46"/>
        <v>185</v>
      </c>
      <c r="I282" s="77">
        <f t="shared" si="39"/>
        <v>0</v>
      </c>
      <c r="J282" s="80">
        <v>100</v>
      </c>
      <c r="K282" s="80">
        <v>300</v>
      </c>
      <c r="L282" s="77">
        <f t="shared" si="42"/>
        <v>1274</v>
      </c>
      <c r="M282" s="88">
        <v>600</v>
      </c>
      <c r="N282" s="77">
        <f>30</f>
        <v>30</v>
      </c>
      <c r="O282" s="80">
        <v>240</v>
      </c>
      <c r="P282" s="80">
        <v>160</v>
      </c>
      <c r="Q282" s="80">
        <f t="shared" si="43"/>
        <v>195</v>
      </c>
      <c r="R282" s="80">
        <f t="shared" si="44"/>
        <v>100</v>
      </c>
      <c r="S282" s="77">
        <f t="shared" si="45"/>
        <v>695</v>
      </c>
      <c r="T282" s="77">
        <f>0</f>
        <v>0</v>
      </c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</row>
    <row r="283" spans="1:30" ht="15.75" x14ac:dyDescent="0.25">
      <c r="A283" s="34">
        <v>49522</v>
      </c>
      <c r="B283" s="91">
        <v>31</v>
      </c>
      <c r="C283" s="77">
        <f>194.205</f>
        <v>194.20500000000001</v>
      </c>
      <c r="D283" s="77">
        <f>267.466</f>
        <v>267.46600000000001</v>
      </c>
      <c r="E283" s="86">
        <f>133.845</f>
        <v>133.845</v>
      </c>
      <c r="F283" s="77">
        <f>278.484-40-25-60-100</f>
        <v>53.48399999999998</v>
      </c>
      <c r="G283" s="80">
        <v>40</v>
      </c>
      <c r="H283" s="77">
        <f t="shared" si="46"/>
        <v>185</v>
      </c>
      <c r="I283" s="77">
        <f t="shared" si="39"/>
        <v>0</v>
      </c>
      <c r="J283" s="80">
        <v>100</v>
      </c>
      <c r="K283" s="80">
        <v>300</v>
      </c>
      <c r="L283" s="77">
        <f t="shared" si="42"/>
        <v>1274</v>
      </c>
      <c r="M283" s="88">
        <v>600</v>
      </c>
      <c r="N283" s="77">
        <f>30</f>
        <v>30</v>
      </c>
      <c r="O283" s="80">
        <v>240</v>
      </c>
      <c r="P283" s="80">
        <v>160</v>
      </c>
      <c r="Q283" s="80">
        <f t="shared" si="43"/>
        <v>195</v>
      </c>
      <c r="R283" s="80">
        <f t="shared" si="44"/>
        <v>100</v>
      </c>
      <c r="S283" s="77">
        <f t="shared" si="45"/>
        <v>695</v>
      </c>
      <c r="T283" s="77">
        <f>0</f>
        <v>0</v>
      </c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</row>
    <row r="284" spans="1:30" ht="15.75" x14ac:dyDescent="0.25">
      <c r="A284" s="34">
        <v>49553</v>
      </c>
      <c r="B284" s="91">
        <v>30</v>
      </c>
      <c r="C284" s="77">
        <f>194.205</f>
        <v>194.20500000000001</v>
      </c>
      <c r="D284" s="77">
        <f>267.466</f>
        <v>267.46600000000001</v>
      </c>
      <c r="E284" s="86">
        <f>133.845</f>
        <v>133.845</v>
      </c>
      <c r="F284" s="77">
        <f>278.484-40-25-60-100</f>
        <v>53.48399999999998</v>
      </c>
      <c r="G284" s="80">
        <v>40</v>
      </c>
      <c r="H284" s="77">
        <f t="shared" si="46"/>
        <v>185</v>
      </c>
      <c r="I284" s="77">
        <f t="shared" si="39"/>
        <v>0</v>
      </c>
      <c r="J284" s="80">
        <v>100</v>
      </c>
      <c r="K284" s="80">
        <v>300</v>
      </c>
      <c r="L284" s="77">
        <f t="shared" si="42"/>
        <v>1274</v>
      </c>
      <c r="M284" s="88">
        <v>600</v>
      </c>
      <c r="N284" s="77">
        <f>30</f>
        <v>30</v>
      </c>
      <c r="O284" s="80">
        <v>240</v>
      </c>
      <c r="P284" s="80">
        <v>160</v>
      </c>
      <c r="Q284" s="80">
        <f t="shared" si="43"/>
        <v>195</v>
      </c>
      <c r="R284" s="80">
        <f t="shared" si="44"/>
        <v>100</v>
      </c>
      <c r="S284" s="77">
        <f t="shared" si="45"/>
        <v>695</v>
      </c>
      <c r="T284" s="77">
        <f>0</f>
        <v>0</v>
      </c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</row>
    <row r="285" spans="1:30" ht="15.75" x14ac:dyDescent="0.25">
      <c r="A285" s="34">
        <v>49583</v>
      </c>
      <c r="B285" s="91">
        <v>31</v>
      </c>
      <c r="C285" s="77">
        <f>131.881</f>
        <v>131.881</v>
      </c>
      <c r="D285" s="77">
        <f>277.167</f>
        <v>277.16699999999997</v>
      </c>
      <c r="E285" s="86">
        <f>79.08</f>
        <v>79.08</v>
      </c>
      <c r="F285" s="77">
        <f>350.872-40-25-60-100</f>
        <v>125.87200000000001</v>
      </c>
      <c r="G285" s="80">
        <v>40</v>
      </c>
      <c r="H285" s="77">
        <f t="shared" si="46"/>
        <v>185</v>
      </c>
      <c r="I285" s="77">
        <f t="shared" si="39"/>
        <v>0</v>
      </c>
      <c r="J285" s="80">
        <v>100</v>
      </c>
      <c r="K285" s="80">
        <v>300</v>
      </c>
      <c r="L285" s="77">
        <f t="shared" si="42"/>
        <v>1239</v>
      </c>
      <c r="M285" s="88">
        <v>600</v>
      </c>
      <c r="N285" s="77">
        <f>75</f>
        <v>75</v>
      </c>
      <c r="O285" s="80">
        <v>240</v>
      </c>
      <c r="P285" s="80">
        <v>160</v>
      </c>
      <c r="Q285" s="80">
        <f t="shared" si="43"/>
        <v>195</v>
      </c>
      <c r="R285" s="80">
        <f t="shared" si="44"/>
        <v>100</v>
      </c>
      <c r="S285" s="77">
        <f t="shared" si="45"/>
        <v>695</v>
      </c>
      <c r="T285" s="77">
        <f>0</f>
        <v>0</v>
      </c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</row>
    <row r="286" spans="1:30" ht="15.75" x14ac:dyDescent="0.25">
      <c r="A286" s="34">
        <v>49614</v>
      </c>
      <c r="B286" s="91">
        <v>30</v>
      </c>
      <c r="C286" s="77">
        <f>122.58</f>
        <v>122.58</v>
      </c>
      <c r="D286" s="77">
        <f>297.941</f>
        <v>297.94099999999997</v>
      </c>
      <c r="E286" s="86">
        <f>89.177</f>
        <v>89.177000000000007</v>
      </c>
      <c r="F286" s="77">
        <f>240.302-40-60-100</f>
        <v>40.301999999999992</v>
      </c>
      <c r="G286" s="80">
        <v>40</v>
      </c>
      <c r="H286" s="77">
        <f>60+100</f>
        <v>160</v>
      </c>
      <c r="I286" s="77">
        <f t="shared" si="39"/>
        <v>0</v>
      </c>
      <c r="J286" s="80">
        <v>100</v>
      </c>
      <c r="K286" s="80">
        <v>300</v>
      </c>
      <c r="L286" s="77">
        <f t="shared" si="42"/>
        <v>1150</v>
      </c>
      <c r="M286" s="88">
        <v>600</v>
      </c>
      <c r="N286" s="77">
        <f>100</f>
        <v>100</v>
      </c>
      <c r="O286" s="80">
        <v>240</v>
      </c>
      <c r="P286" s="80">
        <v>40</v>
      </c>
      <c r="Q286" s="80">
        <f t="shared" si="43"/>
        <v>315</v>
      </c>
      <c r="R286" s="80">
        <f t="shared" si="44"/>
        <v>100</v>
      </c>
      <c r="S286" s="77">
        <f t="shared" si="45"/>
        <v>695</v>
      </c>
      <c r="T286" s="77">
        <f>50</f>
        <v>50</v>
      </c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</row>
    <row r="287" spans="1:30" ht="15.75" x14ac:dyDescent="0.25">
      <c r="A287" s="34">
        <v>49644</v>
      </c>
      <c r="B287" s="91">
        <v>31</v>
      </c>
      <c r="C287" s="77">
        <f>122.58</f>
        <v>122.58</v>
      </c>
      <c r="D287" s="77">
        <f>297.941</f>
        <v>297.94099999999997</v>
      </c>
      <c r="E287" s="86">
        <f>89.177</f>
        <v>89.177000000000007</v>
      </c>
      <c r="F287" s="77">
        <f>240.302-40-60-100</f>
        <v>40.301999999999992</v>
      </c>
      <c r="G287" s="80">
        <v>40</v>
      </c>
      <c r="H287" s="77">
        <f>60+100</f>
        <v>160</v>
      </c>
      <c r="I287" s="77">
        <f t="shared" si="39"/>
        <v>0</v>
      </c>
      <c r="J287" s="80">
        <v>100</v>
      </c>
      <c r="K287" s="80">
        <v>300</v>
      </c>
      <c r="L287" s="77">
        <f t="shared" si="42"/>
        <v>1150</v>
      </c>
      <c r="M287" s="88">
        <v>600</v>
      </c>
      <c r="N287" s="77">
        <f>100</f>
        <v>100</v>
      </c>
      <c r="O287" s="80">
        <v>240</v>
      </c>
      <c r="P287" s="80">
        <v>40</v>
      </c>
      <c r="Q287" s="80">
        <f t="shared" si="43"/>
        <v>315</v>
      </c>
      <c r="R287" s="80">
        <f t="shared" si="44"/>
        <v>100</v>
      </c>
      <c r="S287" s="77">
        <f t="shared" si="45"/>
        <v>695</v>
      </c>
      <c r="T287" s="77">
        <f>50</f>
        <v>50</v>
      </c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</row>
    <row r="288" spans="1:30" ht="15.75" x14ac:dyDescent="0.25">
      <c r="A288" s="34">
        <v>49675</v>
      </c>
      <c r="B288" s="91">
        <v>31</v>
      </c>
      <c r="C288" s="77">
        <f>122.58</f>
        <v>122.58</v>
      </c>
      <c r="D288" s="77">
        <f>297.941</f>
        <v>297.94099999999997</v>
      </c>
      <c r="E288" s="86">
        <f>89.177</f>
        <v>89.177000000000007</v>
      </c>
      <c r="F288" s="77">
        <f>240.302-40-60-100</f>
        <v>40.301999999999992</v>
      </c>
      <c r="G288" s="80">
        <v>40</v>
      </c>
      <c r="H288" s="77">
        <f>60+100</f>
        <v>160</v>
      </c>
      <c r="I288" s="77">
        <f t="shared" si="39"/>
        <v>0</v>
      </c>
      <c r="J288" s="80">
        <v>100</v>
      </c>
      <c r="K288" s="80">
        <v>300</v>
      </c>
      <c r="L288" s="77">
        <f t="shared" si="42"/>
        <v>1150</v>
      </c>
      <c r="M288" s="88">
        <v>600</v>
      </c>
      <c r="N288" s="77">
        <f>100</f>
        <v>100</v>
      </c>
      <c r="O288" s="80">
        <v>240</v>
      </c>
      <c r="P288" s="80">
        <v>40</v>
      </c>
      <c r="Q288" s="80">
        <f t="shared" si="43"/>
        <v>315</v>
      </c>
      <c r="R288" s="80">
        <f t="shared" si="44"/>
        <v>100</v>
      </c>
      <c r="S288" s="77">
        <f t="shared" si="45"/>
        <v>695</v>
      </c>
      <c r="T288" s="77">
        <f>50</f>
        <v>50</v>
      </c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</row>
    <row r="289" spans="1:30" ht="15.75" x14ac:dyDescent="0.25">
      <c r="A289" s="34">
        <v>49706</v>
      </c>
      <c r="B289" s="91">
        <v>29</v>
      </c>
      <c r="C289" s="77">
        <f>122.58</f>
        <v>122.58</v>
      </c>
      <c r="D289" s="77">
        <f>297.941</f>
        <v>297.94099999999997</v>
      </c>
      <c r="E289" s="86">
        <f>89.177</f>
        <v>89.177000000000007</v>
      </c>
      <c r="F289" s="77">
        <f>240.302-40-60-100</f>
        <v>40.301999999999992</v>
      </c>
      <c r="G289" s="80">
        <v>40</v>
      </c>
      <c r="H289" s="77">
        <f>60+100</f>
        <v>160</v>
      </c>
      <c r="I289" s="77">
        <f t="shared" si="39"/>
        <v>0</v>
      </c>
      <c r="J289" s="80">
        <v>100</v>
      </c>
      <c r="K289" s="80">
        <v>300</v>
      </c>
      <c r="L289" s="77">
        <f t="shared" si="42"/>
        <v>1150</v>
      </c>
      <c r="M289" s="88">
        <v>600</v>
      </c>
      <c r="N289" s="77">
        <f>100</f>
        <v>100</v>
      </c>
      <c r="O289" s="80">
        <v>240</v>
      </c>
      <c r="P289" s="80">
        <v>40</v>
      </c>
      <c r="Q289" s="80">
        <f t="shared" si="43"/>
        <v>315</v>
      </c>
      <c r="R289" s="80">
        <f t="shared" si="44"/>
        <v>100</v>
      </c>
      <c r="S289" s="77">
        <f t="shared" si="45"/>
        <v>695</v>
      </c>
      <c r="T289" s="77">
        <f>50</f>
        <v>50</v>
      </c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</row>
    <row r="290" spans="1:30" ht="15.75" x14ac:dyDescent="0.25">
      <c r="A290" s="34">
        <v>49735</v>
      </c>
      <c r="B290" s="91">
        <v>31</v>
      </c>
      <c r="C290" s="77">
        <f>122.58</f>
        <v>122.58</v>
      </c>
      <c r="D290" s="77">
        <f>297.941</f>
        <v>297.94099999999997</v>
      </c>
      <c r="E290" s="86">
        <f>89.177</f>
        <v>89.177000000000007</v>
      </c>
      <c r="F290" s="77">
        <f>240.302-40-60-100</f>
        <v>40.301999999999992</v>
      </c>
      <c r="G290" s="80">
        <v>40</v>
      </c>
      <c r="H290" s="77">
        <f>60+100</f>
        <v>160</v>
      </c>
      <c r="I290" s="77">
        <f t="shared" si="39"/>
        <v>0</v>
      </c>
      <c r="J290" s="80">
        <v>100</v>
      </c>
      <c r="K290" s="80">
        <v>300</v>
      </c>
      <c r="L290" s="77">
        <f t="shared" si="42"/>
        <v>1150</v>
      </c>
      <c r="M290" s="88">
        <v>600</v>
      </c>
      <c r="N290" s="77">
        <f>100</f>
        <v>100</v>
      </c>
      <c r="O290" s="80">
        <v>240</v>
      </c>
      <c r="P290" s="80">
        <v>40</v>
      </c>
      <c r="Q290" s="80">
        <f t="shared" si="43"/>
        <v>315</v>
      </c>
      <c r="R290" s="80">
        <f t="shared" si="44"/>
        <v>100</v>
      </c>
      <c r="S290" s="77">
        <f t="shared" si="45"/>
        <v>695</v>
      </c>
      <c r="T290" s="77">
        <f>50</f>
        <v>50</v>
      </c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</row>
    <row r="291" spans="1:30" ht="15.75" x14ac:dyDescent="0.25">
      <c r="A291" s="34">
        <v>49766</v>
      </c>
      <c r="B291" s="91">
        <v>30</v>
      </c>
      <c r="C291" s="77">
        <f>141.293</f>
        <v>141.29300000000001</v>
      </c>
      <c r="D291" s="77">
        <f>267.993</f>
        <v>267.99299999999999</v>
      </c>
      <c r="E291" s="86">
        <f>115.016</f>
        <v>115.01600000000001</v>
      </c>
      <c r="F291" s="77">
        <f>314.698-40-25-60-100</f>
        <v>89.697999999999979</v>
      </c>
      <c r="G291" s="80">
        <v>40</v>
      </c>
      <c r="H291" s="77">
        <f t="shared" ref="H291:H297" si="47">25+60+100</f>
        <v>185</v>
      </c>
      <c r="I291" s="77">
        <f t="shared" si="39"/>
        <v>0</v>
      </c>
      <c r="J291" s="80">
        <v>100</v>
      </c>
      <c r="K291" s="80">
        <v>300</v>
      </c>
      <c r="L291" s="77">
        <f t="shared" si="42"/>
        <v>1239</v>
      </c>
      <c r="M291" s="88">
        <v>600</v>
      </c>
      <c r="N291" s="77">
        <f>100</f>
        <v>100</v>
      </c>
      <c r="O291" s="80">
        <v>240</v>
      </c>
      <c r="P291" s="80">
        <v>160</v>
      </c>
      <c r="Q291" s="80">
        <f t="shared" si="43"/>
        <v>195</v>
      </c>
      <c r="R291" s="80">
        <f t="shared" si="44"/>
        <v>100</v>
      </c>
      <c r="S291" s="77">
        <f t="shared" si="45"/>
        <v>695</v>
      </c>
      <c r="T291" s="77">
        <f>50</f>
        <v>50</v>
      </c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</row>
    <row r="292" spans="1:30" ht="15.75" x14ac:dyDescent="0.25">
      <c r="A292" s="34">
        <v>49796</v>
      </c>
      <c r="B292" s="91">
        <v>31</v>
      </c>
      <c r="C292" s="77">
        <f>194.205</f>
        <v>194.20500000000001</v>
      </c>
      <c r="D292" s="77">
        <f>267.466</f>
        <v>267.46600000000001</v>
      </c>
      <c r="E292" s="86">
        <f>133.845</f>
        <v>133.845</v>
      </c>
      <c r="F292" s="77">
        <f>278.484-40-25-60-100</f>
        <v>53.48399999999998</v>
      </c>
      <c r="G292" s="80">
        <v>40</v>
      </c>
      <c r="H292" s="77">
        <f t="shared" si="47"/>
        <v>185</v>
      </c>
      <c r="I292" s="77">
        <f t="shared" si="39"/>
        <v>0</v>
      </c>
      <c r="J292" s="80">
        <v>100</v>
      </c>
      <c r="K292" s="80">
        <v>300</v>
      </c>
      <c r="L292" s="77">
        <f t="shared" si="42"/>
        <v>1274</v>
      </c>
      <c r="M292" s="88">
        <v>600</v>
      </c>
      <c r="N292" s="77">
        <f>75</f>
        <v>75</v>
      </c>
      <c r="O292" s="80">
        <v>240</v>
      </c>
      <c r="P292" s="80">
        <v>160</v>
      </c>
      <c r="Q292" s="80">
        <f t="shared" si="43"/>
        <v>195</v>
      </c>
      <c r="R292" s="80">
        <f t="shared" si="44"/>
        <v>100</v>
      </c>
      <c r="S292" s="77">
        <f t="shared" si="45"/>
        <v>695</v>
      </c>
      <c r="T292" s="77">
        <f>50</f>
        <v>50</v>
      </c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</row>
    <row r="293" spans="1:30" ht="15.75" x14ac:dyDescent="0.25">
      <c r="A293" s="34">
        <v>49827</v>
      </c>
      <c r="B293" s="91">
        <v>30</v>
      </c>
      <c r="C293" s="77">
        <f>194.205</f>
        <v>194.20500000000001</v>
      </c>
      <c r="D293" s="77">
        <f>267.466</f>
        <v>267.46600000000001</v>
      </c>
      <c r="E293" s="86">
        <f>133.845</f>
        <v>133.845</v>
      </c>
      <c r="F293" s="77">
        <f>278.484-40-25-60-100</f>
        <v>53.48399999999998</v>
      </c>
      <c r="G293" s="80">
        <v>40</v>
      </c>
      <c r="H293" s="77">
        <f t="shared" si="47"/>
        <v>185</v>
      </c>
      <c r="I293" s="77">
        <f t="shared" si="39"/>
        <v>0</v>
      </c>
      <c r="J293" s="80">
        <v>100</v>
      </c>
      <c r="K293" s="80">
        <v>300</v>
      </c>
      <c r="L293" s="77">
        <f t="shared" si="42"/>
        <v>1274</v>
      </c>
      <c r="M293" s="88">
        <v>600</v>
      </c>
      <c r="N293" s="77">
        <f>30</f>
        <v>30</v>
      </c>
      <c r="O293" s="80">
        <v>240</v>
      </c>
      <c r="P293" s="80">
        <v>160</v>
      </c>
      <c r="Q293" s="80">
        <f t="shared" si="43"/>
        <v>195</v>
      </c>
      <c r="R293" s="80">
        <f t="shared" si="44"/>
        <v>100</v>
      </c>
      <c r="S293" s="77">
        <f t="shared" si="45"/>
        <v>695</v>
      </c>
      <c r="T293" s="77">
        <f>50</f>
        <v>50</v>
      </c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</row>
    <row r="294" spans="1:30" ht="15.75" x14ac:dyDescent="0.25">
      <c r="A294" s="34">
        <v>49857</v>
      </c>
      <c r="B294" s="91">
        <v>31</v>
      </c>
      <c r="C294" s="77">
        <f>194.205</f>
        <v>194.20500000000001</v>
      </c>
      <c r="D294" s="77">
        <f>267.466</f>
        <v>267.46600000000001</v>
      </c>
      <c r="E294" s="86">
        <f>133.845</f>
        <v>133.845</v>
      </c>
      <c r="F294" s="77">
        <f>278.484-40-25-60-100</f>
        <v>53.48399999999998</v>
      </c>
      <c r="G294" s="80">
        <v>40</v>
      </c>
      <c r="H294" s="77">
        <f t="shared" si="47"/>
        <v>185</v>
      </c>
      <c r="I294" s="77">
        <f t="shared" si="39"/>
        <v>0</v>
      </c>
      <c r="J294" s="80">
        <v>100</v>
      </c>
      <c r="K294" s="80">
        <v>300</v>
      </c>
      <c r="L294" s="77">
        <f t="shared" si="42"/>
        <v>1274</v>
      </c>
      <c r="M294" s="88">
        <v>600</v>
      </c>
      <c r="N294" s="77">
        <f>30</f>
        <v>30</v>
      </c>
      <c r="O294" s="80">
        <v>240</v>
      </c>
      <c r="P294" s="80">
        <v>160</v>
      </c>
      <c r="Q294" s="80">
        <f t="shared" si="43"/>
        <v>195</v>
      </c>
      <c r="R294" s="80">
        <f t="shared" si="44"/>
        <v>100</v>
      </c>
      <c r="S294" s="77">
        <f t="shared" si="45"/>
        <v>695</v>
      </c>
      <c r="T294" s="77">
        <f>0</f>
        <v>0</v>
      </c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</row>
    <row r="295" spans="1:30" ht="15.75" x14ac:dyDescent="0.25">
      <c r="A295" s="34">
        <v>49888</v>
      </c>
      <c r="B295" s="91">
        <v>31</v>
      </c>
      <c r="C295" s="77">
        <f>194.205</f>
        <v>194.20500000000001</v>
      </c>
      <c r="D295" s="77">
        <f>267.466</f>
        <v>267.46600000000001</v>
      </c>
      <c r="E295" s="86">
        <f>133.845</f>
        <v>133.845</v>
      </c>
      <c r="F295" s="77">
        <f>278.484-40-25-60-100</f>
        <v>53.48399999999998</v>
      </c>
      <c r="G295" s="80">
        <v>40</v>
      </c>
      <c r="H295" s="77">
        <f t="shared" si="47"/>
        <v>185</v>
      </c>
      <c r="I295" s="77">
        <f t="shared" si="39"/>
        <v>0</v>
      </c>
      <c r="J295" s="80">
        <v>100</v>
      </c>
      <c r="K295" s="80">
        <v>300</v>
      </c>
      <c r="L295" s="77">
        <f t="shared" si="42"/>
        <v>1274</v>
      </c>
      <c r="M295" s="88">
        <v>600</v>
      </c>
      <c r="N295" s="77">
        <f>30</f>
        <v>30</v>
      </c>
      <c r="O295" s="80">
        <v>240</v>
      </c>
      <c r="P295" s="80">
        <v>160</v>
      </c>
      <c r="Q295" s="80">
        <f t="shared" si="43"/>
        <v>195</v>
      </c>
      <c r="R295" s="80">
        <f t="shared" si="44"/>
        <v>100</v>
      </c>
      <c r="S295" s="77">
        <f t="shared" si="45"/>
        <v>695</v>
      </c>
      <c r="T295" s="77">
        <f>0</f>
        <v>0</v>
      </c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</row>
    <row r="296" spans="1:30" ht="15.75" x14ac:dyDescent="0.25">
      <c r="A296" s="34">
        <v>49919</v>
      </c>
      <c r="B296" s="91">
        <v>30</v>
      </c>
      <c r="C296" s="77">
        <f>194.205</f>
        <v>194.20500000000001</v>
      </c>
      <c r="D296" s="77">
        <f>267.466</f>
        <v>267.46600000000001</v>
      </c>
      <c r="E296" s="86">
        <f>133.845</f>
        <v>133.845</v>
      </c>
      <c r="F296" s="77">
        <f>278.484-40-25-60-100</f>
        <v>53.48399999999998</v>
      </c>
      <c r="G296" s="80">
        <v>40</v>
      </c>
      <c r="H296" s="77">
        <f t="shared" si="47"/>
        <v>185</v>
      </c>
      <c r="I296" s="77">
        <f t="shared" si="39"/>
        <v>0</v>
      </c>
      <c r="J296" s="80">
        <v>100</v>
      </c>
      <c r="K296" s="80">
        <v>300</v>
      </c>
      <c r="L296" s="77">
        <f t="shared" si="42"/>
        <v>1274</v>
      </c>
      <c r="M296" s="88">
        <v>600</v>
      </c>
      <c r="N296" s="77">
        <f>30</f>
        <v>30</v>
      </c>
      <c r="O296" s="80">
        <v>240</v>
      </c>
      <c r="P296" s="80">
        <v>160</v>
      </c>
      <c r="Q296" s="80">
        <f t="shared" si="43"/>
        <v>195</v>
      </c>
      <c r="R296" s="80">
        <f t="shared" si="44"/>
        <v>100</v>
      </c>
      <c r="S296" s="77">
        <f t="shared" si="45"/>
        <v>695</v>
      </c>
      <c r="T296" s="77">
        <f>0</f>
        <v>0</v>
      </c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</row>
    <row r="297" spans="1:30" ht="15.75" x14ac:dyDescent="0.25">
      <c r="A297" s="34">
        <v>49949</v>
      </c>
      <c r="B297" s="91">
        <v>31</v>
      </c>
      <c r="C297" s="77">
        <f>131.881</f>
        <v>131.881</v>
      </c>
      <c r="D297" s="77">
        <f>277.167</f>
        <v>277.16699999999997</v>
      </c>
      <c r="E297" s="86">
        <f>79.08</f>
        <v>79.08</v>
      </c>
      <c r="F297" s="77">
        <f>350.872-40-25-60-100</f>
        <v>125.87200000000001</v>
      </c>
      <c r="G297" s="80">
        <v>40</v>
      </c>
      <c r="H297" s="77">
        <f t="shared" si="47"/>
        <v>185</v>
      </c>
      <c r="I297" s="77">
        <f t="shared" si="39"/>
        <v>0</v>
      </c>
      <c r="J297" s="80">
        <v>100</v>
      </c>
      <c r="K297" s="80">
        <v>300</v>
      </c>
      <c r="L297" s="77">
        <f t="shared" si="42"/>
        <v>1239</v>
      </c>
      <c r="M297" s="88">
        <v>600</v>
      </c>
      <c r="N297" s="77">
        <f>75</f>
        <v>75</v>
      </c>
      <c r="O297" s="80">
        <v>240</v>
      </c>
      <c r="P297" s="80">
        <v>160</v>
      </c>
      <c r="Q297" s="80">
        <f t="shared" si="43"/>
        <v>195</v>
      </c>
      <c r="R297" s="80">
        <f t="shared" si="44"/>
        <v>100</v>
      </c>
      <c r="S297" s="77">
        <f t="shared" si="45"/>
        <v>695</v>
      </c>
      <c r="T297" s="77">
        <f>0</f>
        <v>0</v>
      </c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</row>
    <row r="298" spans="1:30" ht="15.75" x14ac:dyDescent="0.25">
      <c r="A298" s="34">
        <v>49980</v>
      </c>
      <c r="B298" s="91">
        <v>30</v>
      </c>
      <c r="C298" s="77">
        <f>122.58</f>
        <v>122.58</v>
      </c>
      <c r="D298" s="77">
        <f>297.941</f>
        <v>297.94099999999997</v>
      </c>
      <c r="E298" s="86">
        <f>89.177</f>
        <v>89.177000000000007</v>
      </c>
      <c r="F298" s="77">
        <f>240.302-40-60-100</f>
        <v>40.301999999999992</v>
      </c>
      <c r="G298" s="80">
        <v>40</v>
      </c>
      <c r="H298" s="77">
        <f>60+100</f>
        <v>160</v>
      </c>
      <c r="I298" s="77">
        <f t="shared" si="39"/>
        <v>0</v>
      </c>
      <c r="J298" s="80">
        <v>100</v>
      </c>
      <c r="K298" s="80">
        <v>300</v>
      </c>
      <c r="L298" s="77">
        <f t="shared" si="42"/>
        <v>1150</v>
      </c>
      <c r="M298" s="88">
        <v>600</v>
      </c>
      <c r="N298" s="77">
        <f>100</f>
        <v>100</v>
      </c>
      <c r="O298" s="80">
        <v>240</v>
      </c>
      <c r="P298" s="80">
        <v>40</v>
      </c>
      <c r="Q298" s="80">
        <f t="shared" si="43"/>
        <v>315</v>
      </c>
      <c r="R298" s="80">
        <f t="shared" si="44"/>
        <v>100</v>
      </c>
      <c r="S298" s="77">
        <f t="shared" si="45"/>
        <v>695</v>
      </c>
      <c r="T298" s="77">
        <f>50</f>
        <v>50</v>
      </c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</row>
    <row r="299" spans="1:30" ht="15.75" x14ac:dyDescent="0.25">
      <c r="A299" s="34">
        <v>50010</v>
      </c>
      <c r="B299" s="91">
        <v>31</v>
      </c>
      <c r="C299" s="77">
        <f>122.58</f>
        <v>122.58</v>
      </c>
      <c r="D299" s="77">
        <f>297.941</f>
        <v>297.94099999999997</v>
      </c>
      <c r="E299" s="86">
        <f>89.177</f>
        <v>89.177000000000007</v>
      </c>
      <c r="F299" s="77">
        <f>240.302-40-60-100</f>
        <v>40.301999999999992</v>
      </c>
      <c r="G299" s="80">
        <v>40</v>
      </c>
      <c r="H299" s="77">
        <f>60+100</f>
        <v>160</v>
      </c>
      <c r="I299" s="77">
        <f t="shared" si="39"/>
        <v>0</v>
      </c>
      <c r="J299" s="80">
        <v>100</v>
      </c>
      <c r="K299" s="80">
        <v>300</v>
      </c>
      <c r="L299" s="77">
        <f t="shared" si="42"/>
        <v>1150</v>
      </c>
      <c r="M299" s="88">
        <v>600</v>
      </c>
      <c r="N299" s="77">
        <f>100</f>
        <v>100</v>
      </c>
      <c r="O299" s="80">
        <v>240</v>
      </c>
      <c r="P299" s="80">
        <v>40</v>
      </c>
      <c r="Q299" s="80">
        <f t="shared" si="43"/>
        <v>315</v>
      </c>
      <c r="R299" s="80">
        <f t="shared" si="44"/>
        <v>100</v>
      </c>
      <c r="S299" s="77">
        <f t="shared" si="45"/>
        <v>695</v>
      </c>
      <c r="T299" s="77">
        <f>50</f>
        <v>50</v>
      </c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</row>
    <row r="300" spans="1:30" ht="15.75" x14ac:dyDescent="0.25">
      <c r="A300" s="34">
        <v>50041</v>
      </c>
      <c r="B300" s="91">
        <v>31</v>
      </c>
      <c r="C300" s="77">
        <f>122.58</f>
        <v>122.58</v>
      </c>
      <c r="D300" s="77">
        <f>297.941</f>
        <v>297.94099999999997</v>
      </c>
      <c r="E300" s="86">
        <f>89.177</f>
        <v>89.177000000000007</v>
      </c>
      <c r="F300" s="77">
        <f>240.302-40-60-100</f>
        <v>40.301999999999992</v>
      </c>
      <c r="G300" s="80">
        <v>40</v>
      </c>
      <c r="H300" s="77">
        <f>60+100</f>
        <v>160</v>
      </c>
      <c r="I300" s="77">
        <f t="shared" si="39"/>
        <v>0</v>
      </c>
      <c r="J300" s="80">
        <v>100</v>
      </c>
      <c r="K300" s="80">
        <v>300</v>
      </c>
      <c r="L300" s="77">
        <f t="shared" si="42"/>
        <v>1150</v>
      </c>
      <c r="M300" s="88">
        <v>600</v>
      </c>
      <c r="N300" s="77">
        <f>100</f>
        <v>100</v>
      </c>
      <c r="O300" s="80">
        <v>240</v>
      </c>
      <c r="P300" s="80">
        <v>40</v>
      </c>
      <c r="Q300" s="80">
        <f t="shared" si="43"/>
        <v>315</v>
      </c>
      <c r="R300" s="80">
        <f t="shared" si="44"/>
        <v>100</v>
      </c>
      <c r="S300" s="77">
        <f t="shared" si="45"/>
        <v>695</v>
      </c>
      <c r="T300" s="77">
        <f>50</f>
        <v>50</v>
      </c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</row>
    <row r="301" spans="1:30" ht="15.75" x14ac:dyDescent="0.25">
      <c r="A301" s="34">
        <v>50072</v>
      </c>
      <c r="B301" s="91">
        <v>28</v>
      </c>
      <c r="C301" s="77">
        <f>122.58</f>
        <v>122.58</v>
      </c>
      <c r="D301" s="77">
        <f>297.941</f>
        <v>297.94099999999997</v>
      </c>
      <c r="E301" s="86">
        <f>89.177</f>
        <v>89.177000000000007</v>
      </c>
      <c r="F301" s="77">
        <f>240.302-40-60-100</f>
        <v>40.301999999999992</v>
      </c>
      <c r="G301" s="80">
        <v>40</v>
      </c>
      <c r="H301" s="77">
        <f>60+100</f>
        <v>160</v>
      </c>
      <c r="I301" s="77">
        <f t="shared" si="39"/>
        <v>0</v>
      </c>
      <c r="J301" s="80">
        <v>100</v>
      </c>
      <c r="K301" s="80">
        <v>300</v>
      </c>
      <c r="L301" s="77">
        <f t="shared" si="42"/>
        <v>1150</v>
      </c>
      <c r="M301" s="88">
        <v>600</v>
      </c>
      <c r="N301" s="77">
        <f>100</f>
        <v>100</v>
      </c>
      <c r="O301" s="80">
        <v>240</v>
      </c>
      <c r="P301" s="80">
        <v>40</v>
      </c>
      <c r="Q301" s="80">
        <f t="shared" si="43"/>
        <v>315</v>
      </c>
      <c r="R301" s="80">
        <f t="shared" si="44"/>
        <v>100</v>
      </c>
      <c r="S301" s="77">
        <f t="shared" si="45"/>
        <v>695</v>
      </c>
      <c r="T301" s="77">
        <f>50</f>
        <v>50</v>
      </c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</row>
    <row r="302" spans="1:30" ht="15.75" x14ac:dyDescent="0.25">
      <c r="A302" s="34">
        <v>50100</v>
      </c>
      <c r="B302" s="91">
        <v>31</v>
      </c>
      <c r="C302" s="77">
        <f>122.58</f>
        <v>122.58</v>
      </c>
      <c r="D302" s="77">
        <f>297.941</f>
        <v>297.94099999999997</v>
      </c>
      <c r="E302" s="86">
        <f>89.177</f>
        <v>89.177000000000007</v>
      </c>
      <c r="F302" s="77">
        <f>240.302-40-60-100</f>
        <v>40.301999999999992</v>
      </c>
      <c r="G302" s="80">
        <v>40</v>
      </c>
      <c r="H302" s="77">
        <f>60+100</f>
        <v>160</v>
      </c>
      <c r="I302" s="77">
        <f t="shared" si="39"/>
        <v>0</v>
      </c>
      <c r="J302" s="80">
        <v>100</v>
      </c>
      <c r="K302" s="80">
        <v>300</v>
      </c>
      <c r="L302" s="77">
        <f t="shared" si="42"/>
        <v>1150</v>
      </c>
      <c r="M302" s="88">
        <v>600</v>
      </c>
      <c r="N302" s="77">
        <f>100</f>
        <v>100</v>
      </c>
      <c r="O302" s="80">
        <v>240</v>
      </c>
      <c r="P302" s="80">
        <v>40</v>
      </c>
      <c r="Q302" s="80">
        <f t="shared" si="43"/>
        <v>315</v>
      </c>
      <c r="R302" s="80">
        <f t="shared" si="44"/>
        <v>100</v>
      </c>
      <c r="S302" s="77">
        <f t="shared" si="45"/>
        <v>695</v>
      </c>
      <c r="T302" s="77">
        <f>50</f>
        <v>50</v>
      </c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</row>
    <row r="303" spans="1:30" ht="15.75" x14ac:dyDescent="0.25">
      <c r="A303" s="34">
        <v>50131</v>
      </c>
      <c r="B303" s="91">
        <v>30</v>
      </c>
      <c r="C303" s="77">
        <f>141.293</f>
        <v>141.29300000000001</v>
      </c>
      <c r="D303" s="77">
        <f>267.993</f>
        <v>267.99299999999999</v>
      </c>
      <c r="E303" s="86">
        <f>115.016</f>
        <v>115.01600000000001</v>
      </c>
      <c r="F303" s="77">
        <f>314.698-40-25-60-100</f>
        <v>89.697999999999979</v>
      </c>
      <c r="G303" s="80">
        <v>40</v>
      </c>
      <c r="H303" s="77">
        <f t="shared" ref="H303:H309" si="48">25+60+100</f>
        <v>185</v>
      </c>
      <c r="I303" s="77">
        <f t="shared" si="39"/>
        <v>0</v>
      </c>
      <c r="J303" s="80">
        <v>100</v>
      </c>
      <c r="K303" s="80">
        <v>300</v>
      </c>
      <c r="L303" s="77">
        <f t="shared" si="42"/>
        <v>1239</v>
      </c>
      <c r="M303" s="88">
        <v>600</v>
      </c>
      <c r="N303" s="77">
        <f>100</f>
        <v>100</v>
      </c>
      <c r="O303" s="80">
        <v>240</v>
      </c>
      <c r="P303" s="80">
        <v>160</v>
      </c>
      <c r="Q303" s="80">
        <f t="shared" si="43"/>
        <v>195</v>
      </c>
      <c r="R303" s="80">
        <f t="shared" si="44"/>
        <v>100</v>
      </c>
      <c r="S303" s="77">
        <f t="shared" si="45"/>
        <v>695</v>
      </c>
      <c r="T303" s="77">
        <f>50</f>
        <v>50</v>
      </c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</row>
    <row r="304" spans="1:30" ht="15.75" x14ac:dyDescent="0.25">
      <c r="A304" s="34">
        <v>50161</v>
      </c>
      <c r="B304" s="91">
        <v>31</v>
      </c>
      <c r="C304" s="77">
        <f>194.205</f>
        <v>194.20500000000001</v>
      </c>
      <c r="D304" s="77">
        <f>267.466</f>
        <v>267.46600000000001</v>
      </c>
      <c r="E304" s="86">
        <f>133.845</f>
        <v>133.845</v>
      </c>
      <c r="F304" s="77">
        <f>278.484-40-25-60-100</f>
        <v>53.48399999999998</v>
      </c>
      <c r="G304" s="80">
        <v>40</v>
      </c>
      <c r="H304" s="77">
        <f t="shared" si="48"/>
        <v>185</v>
      </c>
      <c r="I304" s="77">
        <f t="shared" si="39"/>
        <v>0</v>
      </c>
      <c r="J304" s="80">
        <v>100</v>
      </c>
      <c r="K304" s="80">
        <v>300</v>
      </c>
      <c r="L304" s="77">
        <f t="shared" si="42"/>
        <v>1274</v>
      </c>
      <c r="M304" s="88">
        <v>600</v>
      </c>
      <c r="N304" s="77">
        <f>75</f>
        <v>75</v>
      </c>
      <c r="O304" s="80">
        <v>240</v>
      </c>
      <c r="P304" s="80">
        <v>160</v>
      </c>
      <c r="Q304" s="80">
        <f t="shared" si="43"/>
        <v>195</v>
      </c>
      <c r="R304" s="80">
        <f t="shared" si="44"/>
        <v>100</v>
      </c>
      <c r="S304" s="77">
        <f t="shared" si="45"/>
        <v>695</v>
      </c>
      <c r="T304" s="77">
        <f>50</f>
        <v>50</v>
      </c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</row>
    <row r="305" spans="1:30" ht="15.75" x14ac:dyDescent="0.25">
      <c r="A305" s="34">
        <v>50192</v>
      </c>
      <c r="B305" s="91">
        <v>30</v>
      </c>
      <c r="C305" s="77">
        <f>194.205</f>
        <v>194.20500000000001</v>
      </c>
      <c r="D305" s="77">
        <f>267.466</f>
        <v>267.46600000000001</v>
      </c>
      <c r="E305" s="86">
        <f>133.845</f>
        <v>133.845</v>
      </c>
      <c r="F305" s="77">
        <f>278.484-40-25-60-100</f>
        <v>53.48399999999998</v>
      </c>
      <c r="G305" s="80">
        <v>40</v>
      </c>
      <c r="H305" s="77">
        <f t="shared" si="48"/>
        <v>185</v>
      </c>
      <c r="I305" s="77">
        <f t="shared" si="39"/>
        <v>0</v>
      </c>
      <c r="J305" s="80">
        <v>100</v>
      </c>
      <c r="K305" s="80">
        <v>300</v>
      </c>
      <c r="L305" s="77">
        <f t="shared" si="42"/>
        <v>1274</v>
      </c>
      <c r="M305" s="88">
        <v>600</v>
      </c>
      <c r="N305" s="77">
        <f>30</f>
        <v>30</v>
      </c>
      <c r="O305" s="80">
        <v>240</v>
      </c>
      <c r="P305" s="80">
        <v>160</v>
      </c>
      <c r="Q305" s="80">
        <f t="shared" si="43"/>
        <v>195</v>
      </c>
      <c r="R305" s="80">
        <f t="shared" si="44"/>
        <v>100</v>
      </c>
      <c r="S305" s="77">
        <f t="shared" si="45"/>
        <v>695</v>
      </c>
      <c r="T305" s="77">
        <f>50</f>
        <v>50</v>
      </c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</row>
    <row r="306" spans="1:30" ht="15.75" x14ac:dyDescent="0.25">
      <c r="A306" s="34">
        <v>50222</v>
      </c>
      <c r="B306" s="91">
        <v>31</v>
      </c>
      <c r="C306" s="77">
        <f>194.205</f>
        <v>194.20500000000001</v>
      </c>
      <c r="D306" s="77">
        <f>267.466</f>
        <v>267.46600000000001</v>
      </c>
      <c r="E306" s="86">
        <f>133.845</f>
        <v>133.845</v>
      </c>
      <c r="F306" s="77">
        <f>278.484-40-25-60-100</f>
        <v>53.48399999999998</v>
      </c>
      <c r="G306" s="80">
        <v>40</v>
      </c>
      <c r="H306" s="77">
        <f t="shared" si="48"/>
        <v>185</v>
      </c>
      <c r="I306" s="77">
        <f t="shared" si="39"/>
        <v>0</v>
      </c>
      <c r="J306" s="80">
        <v>100</v>
      </c>
      <c r="K306" s="80">
        <v>300</v>
      </c>
      <c r="L306" s="77">
        <f t="shared" si="42"/>
        <v>1274</v>
      </c>
      <c r="M306" s="88">
        <v>600</v>
      </c>
      <c r="N306" s="77">
        <f>30</f>
        <v>30</v>
      </c>
      <c r="O306" s="80">
        <v>240</v>
      </c>
      <c r="P306" s="80">
        <v>160</v>
      </c>
      <c r="Q306" s="80">
        <f t="shared" si="43"/>
        <v>195</v>
      </c>
      <c r="R306" s="80">
        <f t="shared" si="44"/>
        <v>100</v>
      </c>
      <c r="S306" s="77">
        <f t="shared" si="45"/>
        <v>695</v>
      </c>
      <c r="T306" s="77">
        <f>0</f>
        <v>0</v>
      </c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</row>
    <row r="307" spans="1:30" ht="15.75" x14ac:dyDescent="0.25">
      <c r="A307" s="34">
        <v>50253</v>
      </c>
      <c r="B307" s="91">
        <v>31</v>
      </c>
      <c r="C307" s="77">
        <f>194.205</f>
        <v>194.20500000000001</v>
      </c>
      <c r="D307" s="77">
        <f>267.466</f>
        <v>267.46600000000001</v>
      </c>
      <c r="E307" s="86">
        <f>133.845</f>
        <v>133.845</v>
      </c>
      <c r="F307" s="77">
        <f>278.484-40-25-60-100</f>
        <v>53.48399999999998</v>
      </c>
      <c r="G307" s="80">
        <v>40</v>
      </c>
      <c r="H307" s="77">
        <f t="shared" si="48"/>
        <v>185</v>
      </c>
      <c r="I307" s="77">
        <f t="shared" si="39"/>
        <v>0</v>
      </c>
      <c r="J307" s="80">
        <v>100</v>
      </c>
      <c r="K307" s="80">
        <v>300</v>
      </c>
      <c r="L307" s="77">
        <f t="shared" si="42"/>
        <v>1274</v>
      </c>
      <c r="M307" s="88">
        <v>600</v>
      </c>
      <c r="N307" s="77">
        <f>30</f>
        <v>30</v>
      </c>
      <c r="O307" s="80">
        <v>240</v>
      </c>
      <c r="P307" s="80">
        <v>160</v>
      </c>
      <c r="Q307" s="80">
        <f t="shared" si="43"/>
        <v>195</v>
      </c>
      <c r="R307" s="80">
        <f t="shared" si="44"/>
        <v>100</v>
      </c>
      <c r="S307" s="77">
        <f t="shared" si="45"/>
        <v>695</v>
      </c>
      <c r="T307" s="77">
        <f>0</f>
        <v>0</v>
      </c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</row>
    <row r="308" spans="1:30" ht="15.75" x14ac:dyDescent="0.25">
      <c r="A308" s="34">
        <v>50284</v>
      </c>
      <c r="B308" s="91">
        <v>30</v>
      </c>
      <c r="C308" s="77">
        <f>194.205</f>
        <v>194.20500000000001</v>
      </c>
      <c r="D308" s="77">
        <f>267.466</f>
        <v>267.46600000000001</v>
      </c>
      <c r="E308" s="86">
        <f>133.845</f>
        <v>133.845</v>
      </c>
      <c r="F308" s="77">
        <f>278.484-40-25-60-100</f>
        <v>53.48399999999998</v>
      </c>
      <c r="G308" s="80">
        <v>40</v>
      </c>
      <c r="H308" s="77">
        <f t="shared" si="48"/>
        <v>185</v>
      </c>
      <c r="I308" s="77">
        <f t="shared" ref="I308:I371" si="49">400-J308-K308</f>
        <v>0</v>
      </c>
      <c r="J308" s="80">
        <v>100</v>
      </c>
      <c r="K308" s="80">
        <v>300</v>
      </c>
      <c r="L308" s="77">
        <f t="shared" si="42"/>
        <v>1274</v>
      </c>
      <c r="M308" s="88">
        <v>600</v>
      </c>
      <c r="N308" s="77">
        <f>30</f>
        <v>30</v>
      </c>
      <c r="O308" s="80">
        <v>240</v>
      </c>
      <c r="P308" s="80">
        <v>160</v>
      </c>
      <c r="Q308" s="80">
        <f t="shared" si="43"/>
        <v>195</v>
      </c>
      <c r="R308" s="80">
        <f t="shared" si="44"/>
        <v>100</v>
      </c>
      <c r="S308" s="77">
        <f t="shared" si="45"/>
        <v>695</v>
      </c>
      <c r="T308" s="77">
        <f>0</f>
        <v>0</v>
      </c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</row>
    <row r="309" spans="1:30" ht="15.75" x14ac:dyDescent="0.25">
      <c r="A309" s="34">
        <v>50314</v>
      </c>
      <c r="B309" s="91">
        <v>31</v>
      </c>
      <c r="C309" s="77">
        <f>131.881</f>
        <v>131.881</v>
      </c>
      <c r="D309" s="77">
        <f>277.167</f>
        <v>277.16699999999997</v>
      </c>
      <c r="E309" s="86">
        <f>79.08</f>
        <v>79.08</v>
      </c>
      <c r="F309" s="77">
        <f>350.872-40-25-60-100</f>
        <v>125.87200000000001</v>
      </c>
      <c r="G309" s="80">
        <v>40</v>
      </c>
      <c r="H309" s="77">
        <f t="shared" si="48"/>
        <v>185</v>
      </c>
      <c r="I309" s="77">
        <f t="shared" si="49"/>
        <v>0</v>
      </c>
      <c r="J309" s="80">
        <v>100</v>
      </c>
      <c r="K309" s="80">
        <v>300</v>
      </c>
      <c r="L309" s="77">
        <f t="shared" si="42"/>
        <v>1239</v>
      </c>
      <c r="M309" s="88">
        <v>600</v>
      </c>
      <c r="N309" s="77">
        <f>75</f>
        <v>75</v>
      </c>
      <c r="O309" s="80">
        <v>240</v>
      </c>
      <c r="P309" s="80">
        <v>160</v>
      </c>
      <c r="Q309" s="80">
        <f t="shared" si="43"/>
        <v>195</v>
      </c>
      <c r="R309" s="80">
        <f t="shared" si="44"/>
        <v>100</v>
      </c>
      <c r="S309" s="77">
        <f t="shared" si="45"/>
        <v>695</v>
      </c>
      <c r="T309" s="77">
        <f>0</f>
        <v>0</v>
      </c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</row>
    <row r="310" spans="1:30" ht="15.75" x14ac:dyDescent="0.25">
      <c r="A310" s="34">
        <v>50345</v>
      </c>
      <c r="B310" s="91">
        <v>30</v>
      </c>
      <c r="C310" s="77">
        <f>122.58</f>
        <v>122.58</v>
      </c>
      <c r="D310" s="77">
        <f>297.941</f>
        <v>297.94099999999997</v>
      </c>
      <c r="E310" s="86">
        <f>89.177</f>
        <v>89.177000000000007</v>
      </c>
      <c r="F310" s="77">
        <f>240.302-40-60-100</f>
        <v>40.301999999999992</v>
      </c>
      <c r="G310" s="80">
        <v>40</v>
      </c>
      <c r="H310" s="77">
        <f>60+100</f>
        <v>160</v>
      </c>
      <c r="I310" s="77">
        <f t="shared" si="49"/>
        <v>0</v>
      </c>
      <c r="J310" s="80">
        <v>100</v>
      </c>
      <c r="K310" s="80">
        <v>300</v>
      </c>
      <c r="L310" s="77">
        <f t="shared" si="42"/>
        <v>1150</v>
      </c>
      <c r="M310" s="88">
        <v>600</v>
      </c>
      <c r="N310" s="77">
        <f>100</f>
        <v>100</v>
      </c>
      <c r="O310" s="80">
        <v>240</v>
      </c>
      <c r="P310" s="80">
        <v>40</v>
      </c>
      <c r="Q310" s="80">
        <f t="shared" si="43"/>
        <v>315</v>
      </c>
      <c r="R310" s="80">
        <f t="shared" si="44"/>
        <v>100</v>
      </c>
      <c r="S310" s="77">
        <f t="shared" si="45"/>
        <v>695</v>
      </c>
      <c r="T310" s="77">
        <f>50</f>
        <v>50</v>
      </c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</row>
    <row r="311" spans="1:30" ht="15.75" x14ac:dyDescent="0.25">
      <c r="A311" s="34">
        <v>50375</v>
      </c>
      <c r="B311" s="91">
        <v>31</v>
      </c>
      <c r="C311" s="77">
        <f>122.58</f>
        <v>122.58</v>
      </c>
      <c r="D311" s="77">
        <f>297.941</f>
        <v>297.94099999999997</v>
      </c>
      <c r="E311" s="86">
        <f>89.177</f>
        <v>89.177000000000007</v>
      </c>
      <c r="F311" s="77">
        <f>240.302-40-60-100</f>
        <v>40.301999999999992</v>
      </c>
      <c r="G311" s="80">
        <v>40</v>
      </c>
      <c r="H311" s="77">
        <f>60+100</f>
        <v>160</v>
      </c>
      <c r="I311" s="77">
        <f t="shared" si="49"/>
        <v>0</v>
      </c>
      <c r="J311" s="80">
        <v>100</v>
      </c>
      <c r="K311" s="80">
        <v>300</v>
      </c>
      <c r="L311" s="77">
        <f t="shared" si="42"/>
        <v>1150</v>
      </c>
      <c r="M311" s="88">
        <v>600</v>
      </c>
      <c r="N311" s="77">
        <f>100</f>
        <v>100</v>
      </c>
      <c r="O311" s="80">
        <v>240</v>
      </c>
      <c r="P311" s="80">
        <v>40</v>
      </c>
      <c r="Q311" s="80">
        <f t="shared" si="43"/>
        <v>315</v>
      </c>
      <c r="R311" s="80">
        <f t="shared" si="44"/>
        <v>100</v>
      </c>
      <c r="S311" s="77">
        <f t="shared" si="45"/>
        <v>695</v>
      </c>
      <c r="T311" s="77">
        <f>50</f>
        <v>50</v>
      </c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</row>
    <row r="312" spans="1:30" ht="15.75" x14ac:dyDescent="0.25">
      <c r="A312" s="33">
        <v>50436</v>
      </c>
      <c r="B312" s="90">
        <v>31</v>
      </c>
      <c r="C312" s="77">
        <f>122.58</f>
        <v>122.58</v>
      </c>
      <c r="D312" s="77">
        <f>297.941</f>
        <v>297.94099999999997</v>
      </c>
      <c r="E312" s="86">
        <f>89.177</f>
        <v>89.177000000000007</v>
      </c>
      <c r="F312" s="77">
        <f>240.302-40-60-100</f>
        <v>40.301999999999992</v>
      </c>
      <c r="G312" s="80">
        <v>40</v>
      </c>
      <c r="H312" s="77">
        <f>60+100</f>
        <v>160</v>
      </c>
      <c r="I312" s="77">
        <f t="shared" si="49"/>
        <v>0</v>
      </c>
      <c r="J312" s="80">
        <v>100</v>
      </c>
      <c r="K312" s="80">
        <v>300</v>
      </c>
      <c r="L312" s="77">
        <f t="shared" si="42"/>
        <v>1150</v>
      </c>
      <c r="M312" s="88">
        <v>600</v>
      </c>
      <c r="N312" s="77">
        <f>100</f>
        <v>100</v>
      </c>
      <c r="O312" s="80">
        <v>240</v>
      </c>
      <c r="P312" s="80">
        <v>40</v>
      </c>
      <c r="Q312" s="80">
        <f t="shared" si="43"/>
        <v>315</v>
      </c>
      <c r="R312" s="80">
        <f t="shared" si="44"/>
        <v>100</v>
      </c>
      <c r="S312" s="77">
        <f t="shared" si="45"/>
        <v>695</v>
      </c>
      <c r="T312" s="77">
        <f>50</f>
        <v>50</v>
      </c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</row>
    <row r="313" spans="1:30" ht="15.75" x14ac:dyDescent="0.25">
      <c r="A313" s="33">
        <v>50464</v>
      </c>
      <c r="B313" s="90">
        <v>28</v>
      </c>
      <c r="C313" s="77">
        <f>122.58</f>
        <v>122.58</v>
      </c>
      <c r="D313" s="77">
        <f>297.941</f>
        <v>297.94099999999997</v>
      </c>
      <c r="E313" s="86">
        <f>89.177</f>
        <v>89.177000000000007</v>
      </c>
      <c r="F313" s="77">
        <f>240.302-40-60-100</f>
        <v>40.301999999999992</v>
      </c>
      <c r="G313" s="80">
        <v>40</v>
      </c>
      <c r="H313" s="77">
        <f>60+100</f>
        <v>160</v>
      </c>
      <c r="I313" s="77">
        <f t="shared" si="49"/>
        <v>0</v>
      </c>
      <c r="J313" s="80">
        <v>100</v>
      </c>
      <c r="K313" s="80">
        <v>300</v>
      </c>
      <c r="L313" s="77">
        <f t="shared" si="42"/>
        <v>1150</v>
      </c>
      <c r="M313" s="88">
        <v>600</v>
      </c>
      <c r="N313" s="77">
        <f>100</f>
        <v>100</v>
      </c>
      <c r="O313" s="80">
        <v>240</v>
      </c>
      <c r="P313" s="80">
        <v>40</v>
      </c>
      <c r="Q313" s="80">
        <f t="shared" si="43"/>
        <v>315</v>
      </c>
      <c r="R313" s="80">
        <f t="shared" si="44"/>
        <v>100</v>
      </c>
      <c r="S313" s="77">
        <f t="shared" si="45"/>
        <v>695</v>
      </c>
      <c r="T313" s="77">
        <f>50</f>
        <v>50</v>
      </c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</row>
    <row r="314" spans="1:30" ht="15.75" x14ac:dyDescent="0.25">
      <c r="A314" s="33">
        <v>50495</v>
      </c>
      <c r="B314" s="90">
        <v>31</v>
      </c>
      <c r="C314" s="77">
        <f>122.58</f>
        <v>122.58</v>
      </c>
      <c r="D314" s="77">
        <f>297.941</f>
        <v>297.94099999999997</v>
      </c>
      <c r="E314" s="86">
        <f>89.177</f>
        <v>89.177000000000007</v>
      </c>
      <c r="F314" s="77">
        <f>240.302-40-60-100</f>
        <v>40.301999999999992</v>
      </c>
      <c r="G314" s="80">
        <v>40</v>
      </c>
      <c r="H314" s="77">
        <f>60+100</f>
        <v>160</v>
      </c>
      <c r="I314" s="77">
        <f t="shared" si="49"/>
        <v>0</v>
      </c>
      <c r="J314" s="80">
        <v>100</v>
      </c>
      <c r="K314" s="80">
        <v>300</v>
      </c>
      <c r="L314" s="77">
        <f t="shared" si="42"/>
        <v>1150</v>
      </c>
      <c r="M314" s="88">
        <v>600</v>
      </c>
      <c r="N314" s="77">
        <f>100</f>
        <v>100</v>
      </c>
      <c r="O314" s="80">
        <v>240</v>
      </c>
      <c r="P314" s="80">
        <v>40</v>
      </c>
      <c r="Q314" s="80">
        <f t="shared" si="43"/>
        <v>315</v>
      </c>
      <c r="R314" s="80">
        <f t="shared" si="44"/>
        <v>100</v>
      </c>
      <c r="S314" s="77">
        <f t="shared" si="45"/>
        <v>695</v>
      </c>
      <c r="T314" s="77">
        <f>50</f>
        <v>50</v>
      </c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</row>
    <row r="315" spans="1:30" ht="15.75" x14ac:dyDescent="0.25">
      <c r="A315" s="33">
        <v>50525</v>
      </c>
      <c r="B315" s="90">
        <v>30</v>
      </c>
      <c r="C315" s="77">
        <f>141.293</f>
        <v>141.29300000000001</v>
      </c>
      <c r="D315" s="77">
        <f>267.993</f>
        <v>267.99299999999999</v>
      </c>
      <c r="E315" s="86">
        <f>115.016</f>
        <v>115.01600000000001</v>
      </c>
      <c r="F315" s="77">
        <f>314.698-40-25-60-100</f>
        <v>89.697999999999979</v>
      </c>
      <c r="G315" s="80">
        <v>40</v>
      </c>
      <c r="H315" s="77">
        <f t="shared" ref="H315:H321" si="50">25+60+100</f>
        <v>185</v>
      </c>
      <c r="I315" s="77">
        <f t="shared" si="49"/>
        <v>0</v>
      </c>
      <c r="J315" s="80">
        <v>100</v>
      </c>
      <c r="K315" s="80">
        <v>300</v>
      </c>
      <c r="L315" s="77">
        <f t="shared" si="42"/>
        <v>1239</v>
      </c>
      <c r="M315" s="88">
        <v>600</v>
      </c>
      <c r="N315" s="77">
        <f>100</f>
        <v>100</v>
      </c>
      <c r="O315" s="80">
        <v>240</v>
      </c>
      <c r="P315" s="80">
        <v>160</v>
      </c>
      <c r="Q315" s="80">
        <f t="shared" si="43"/>
        <v>195</v>
      </c>
      <c r="R315" s="80">
        <f t="shared" si="44"/>
        <v>100</v>
      </c>
      <c r="S315" s="77">
        <f t="shared" si="45"/>
        <v>695</v>
      </c>
      <c r="T315" s="77">
        <f>50</f>
        <v>50</v>
      </c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</row>
    <row r="316" spans="1:30" ht="15.75" x14ac:dyDescent="0.25">
      <c r="A316" s="33">
        <v>50556</v>
      </c>
      <c r="B316" s="90">
        <v>31</v>
      </c>
      <c r="C316" s="77">
        <f>194.205</f>
        <v>194.20500000000001</v>
      </c>
      <c r="D316" s="77">
        <f>267.466</f>
        <v>267.46600000000001</v>
      </c>
      <c r="E316" s="86">
        <f>133.845</f>
        <v>133.845</v>
      </c>
      <c r="F316" s="77">
        <f>278.484-40-25-60-100</f>
        <v>53.48399999999998</v>
      </c>
      <c r="G316" s="80">
        <v>40</v>
      </c>
      <c r="H316" s="77">
        <f t="shared" si="50"/>
        <v>185</v>
      </c>
      <c r="I316" s="77">
        <f t="shared" si="49"/>
        <v>0</v>
      </c>
      <c r="J316" s="80">
        <v>100</v>
      </c>
      <c r="K316" s="80">
        <v>300</v>
      </c>
      <c r="L316" s="77">
        <f t="shared" si="42"/>
        <v>1274</v>
      </c>
      <c r="M316" s="88">
        <v>600</v>
      </c>
      <c r="N316" s="77">
        <f>75</f>
        <v>75</v>
      </c>
      <c r="O316" s="80">
        <v>240</v>
      </c>
      <c r="P316" s="80">
        <v>160</v>
      </c>
      <c r="Q316" s="80">
        <f t="shared" si="43"/>
        <v>195</v>
      </c>
      <c r="R316" s="80">
        <f t="shared" si="44"/>
        <v>100</v>
      </c>
      <c r="S316" s="77">
        <f t="shared" si="45"/>
        <v>695</v>
      </c>
      <c r="T316" s="77">
        <f>50</f>
        <v>50</v>
      </c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</row>
    <row r="317" spans="1:30" ht="15.75" x14ac:dyDescent="0.25">
      <c r="A317" s="33">
        <v>50586</v>
      </c>
      <c r="B317" s="90">
        <v>30</v>
      </c>
      <c r="C317" s="77">
        <f>194.205</f>
        <v>194.20500000000001</v>
      </c>
      <c r="D317" s="77">
        <f>267.466</f>
        <v>267.46600000000001</v>
      </c>
      <c r="E317" s="86">
        <f>133.845</f>
        <v>133.845</v>
      </c>
      <c r="F317" s="77">
        <f>278.484-40-25-60-100</f>
        <v>53.48399999999998</v>
      </c>
      <c r="G317" s="80">
        <v>40</v>
      </c>
      <c r="H317" s="77">
        <f t="shared" si="50"/>
        <v>185</v>
      </c>
      <c r="I317" s="77">
        <f t="shared" si="49"/>
        <v>0</v>
      </c>
      <c r="J317" s="80">
        <v>100</v>
      </c>
      <c r="K317" s="80">
        <v>300</v>
      </c>
      <c r="L317" s="77">
        <f t="shared" si="42"/>
        <v>1274</v>
      </c>
      <c r="M317" s="88">
        <v>600</v>
      </c>
      <c r="N317" s="77">
        <f>30</f>
        <v>30</v>
      </c>
      <c r="O317" s="80">
        <v>240</v>
      </c>
      <c r="P317" s="80">
        <v>160</v>
      </c>
      <c r="Q317" s="80">
        <f t="shared" si="43"/>
        <v>195</v>
      </c>
      <c r="R317" s="80">
        <f t="shared" si="44"/>
        <v>100</v>
      </c>
      <c r="S317" s="77">
        <f t="shared" si="45"/>
        <v>695</v>
      </c>
      <c r="T317" s="77">
        <f>50</f>
        <v>50</v>
      </c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</row>
    <row r="318" spans="1:30" ht="15.75" x14ac:dyDescent="0.25">
      <c r="A318" s="33">
        <v>50617</v>
      </c>
      <c r="B318" s="90">
        <v>31</v>
      </c>
      <c r="C318" s="77">
        <f>194.205</f>
        <v>194.20500000000001</v>
      </c>
      <c r="D318" s="77">
        <f>267.466</f>
        <v>267.46600000000001</v>
      </c>
      <c r="E318" s="86">
        <f>133.845</f>
        <v>133.845</v>
      </c>
      <c r="F318" s="77">
        <f>278.484-40-25-60-100</f>
        <v>53.48399999999998</v>
      </c>
      <c r="G318" s="80">
        <v>40</v>
      </c>
      <c r="H318" s="77">
        <f t="shared" si="50"/>
        <v>185</v>
      </c>
      <c r="I318" s="77">
        <f t="shared" si="49"/>
        <v>0</v>
      </c>
      <c r="J318" s="80">
        <v>100</v>
      </c>
      <c r="K318" s="80">
        <v>300</v>
      </c>
      <c r="L318" s="77">
        <f t="shared" si="42"/>
        <v>1274</v>
      </c>
      <c r="M318" s="88">
        <v>600</v>
      </c>
      <c r="N318" s="77">
        <f>30</f>
        <v>30</v>
      </c>
      <c r="O318" s="80">
        <v>240</v>
      </c>
      <c r="P318" s="80">
        <v>160</v>
      </c>
      <c r="Q318" s="80">
        <f t="shared" si="43"/>
        <v>195</v>
      </c>
      <c r="R318" s="80">
        <f t="shared" si="44"/>
        <v>100</v>
      </c>
      <c r="S318" s="77">
        <f t="shared" si="45"/>
        <v>695</v>
      </c>
      <c r="T318" s="77">
        <f>0</f>
        <v>0</v>
      </c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</row>
    <row r="319" spans="1:30" ht="15.75" x14ac:dyDescent="0.25">
      <c r="A319" s="33">
        <v>50648</v>
      </c>
      <c r="B319" s="90">
        <v>31</v>
      </c>
      <c r="C319" s="77">
        <f>194.205</f>
        <v>194.20500000000001</v>
      </c>
      <c r="D319" s="77">
        <f>267.466</f>
        <v>267.46600000000001</v>
      </c>
      <c r="E319" s="86">
        <f>133.845</f>
        <v>133.845</v>
      </c>
      <c r="F319" s="77">
        <f>278.484-40-25-60-100</f>
        <v>53.48399999999998</v>
      </c>
      <c r="G319" s="80">
        <v>40</v>
      </c>
      <c r="H319" s="77">
        <f t="shared" si="50"/>
        <v>185</v>
      </c>
      <c r="I319" s="77">
        <f t="shared" si="49"/>
        <v>0</v>
      </c>
      <c r="J319" s="80">
        <v>100</v>
      </c>
      <c r="K319" s="80">
        <v>300</v>
      </c>
      <c r="L319" s="77">
        <f t="shared" si="42"/>
        <v>1274</v>
      </c>
      <c r="M319" s="88">
        <v>600</v>
      </c>
      <c r="N319" s="77">
        <f>30</f>
        <v>30</v>
      </c>
      <c r="O319" s="80">
        <v>240</v>
      </c>
      <c r="P319" s="80">
        <v>160</v>
      </c>
      <c r="Q319" s="80">
        <f t="shared" si="43"/>
        <v>195</v>
      </c>
      <c r="R319" s="80">
        <f t="shared" si="44"/>
        <v>100</v>
      </c>
      <c r="S319" s="77">
        <f t="shared" si="45"/>
        <v>695</v>
      </c>
      <c r="T319" s="77">
        <f>0</f>
        <v>0</v>
      </c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</row>
    <row r="320" spans="1:30" ht="15.75" x14ac:dyDescent="0.25">
      <c r="A320" s="33">
        <v>50678</v>
      </c>
      <c r="B320" s="90">
        <v>30</v>
      </c>
      <c r="C320" s="77">
        <f>194.205</f>
        <v>194.20500000000001</v>
      </c>
      <c r="D320" s="77">
        <f>267.466</f>
        <v>267.46600000000001</v>
      </c>
      <c r="E320" s="86">
        <f>133.845</f>
        <v>133.845</v>
      </c>
      <c r="F320" s="77">
        <f>278.484-40-25-60-100</f>
        <v>53.48399999999998</v>
      </c>
      <c r="G320" s="80">
        <v>40</v>
      </c>
      <c r="H320" s="77">
        <f t="shared" si="50"/>
        <v>185</v>
      </c>
      <c r="I320" s="77">
        <f t="shared" si="49"/>
        <v>0</v>
      </c>
      <c r="J320" s="80">
        <v>100</v>
      </c>
      <c r="K320" s="80">
        <v>300</v>
      </c>
      <c r="L320" s="77">
        <f t="shared" si="42"/>
        <v>1274</v>
      </c>
      <c r="M320" s="88">
        <v>600</v>
      </c>
      <c r="N320" s="77">
        <f>30</f>
        <v>30</v>
      </c>
      <c r="O320" s="80">
        <v>240</v>
      </c>
      <c r="P320" s="80">
        <v>160</v>
      </c>
      <c r="Q320" s="80">
        <f t="shared" si="43"/>
        <v>195</v>
      </c>
      <c r="R320" s="80">
        <f t="shared" si="44"/>
        <v>100</v>
      </c>
      <c r="S320" s="77">
        <f t="shared" si="45"/>
        <v>695</v>
      </c>
      <c r="T320" s="77">
        <f>0</f>
        <v>0</v>
      </c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</row>
    <row r="321" spans="1:30" ht="15.75" x14ac:dyDescent="0.25">
      <c r="A321" s="33">
        <v>50709</v>
      </c>
      <c r="B321" s="90">
        <v>31</v>
      </c>
      <c r="C321" s="77">
        <f>131.881</f>
        <v>131.881</v>
      </c>
      <c r="D321" s="77">
        <f>277.167</f>
        <v>277.16699999999997</v>
      </c>
      <c r="E321" s="86">
        <f>79.08</f>
        <v>79.08</v>
      </c>
      <c r="F321" s="77">
        <f>350.872-40-25-60-100</f>
        <v>125.87200000000001</v>
      </c>
      <c r="G321" s="80">
        <v>40</v>
      </c>
      <c r="H321" s="77">
        <f t="shared" si="50"/>
        <v>185</v>
      </c>
      <c r="I321" s="77">
        <f t="shared" si="49"/>
        <v>0</v>
      </c>
      <c r="J321" s="80">
        <v>100</v>
      </c>
      <c r="K321" s="80">
        <v>300</v>
      </c>
      <c r="L321" s="77">
        <f t="shared" si="42"/>
        <v>1239</v>
      </c>
      <c r="M321" s="88">
        <v>600</v>
      </c>
      <c r="N321" s="77">
        <f>75</f>
        <v>75</v>
      </c>
      <c r="O321" s="80">
        <v>240</v>
      </c>
      <c r="P321" s="80">
        <v>160</v>
      </c>
      <c r="Q321" s="80">
        <f t="shared" si="43"/>
        <v>195</v>
      </c>
      <c r="R321" s="80">
        <f t="shared" si="44"/>
        <v>100</v>
      </c>
      <c r="S321" s="77">
        <f t="shared" si="45"/>
        <v>695</v>
      </c>
      <c r="T321" s="77">
        <f>0</f>
        <v>0</v>
      </c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</row>
    <row r="322" spans="1:30" ht="15.75" x14ac:dyDescent="0.25">
      <c r="A322" s="33">
        <v>50739</v>
      </c>
      <c r="B322" s="90">
        <v>30</v>
      </c>
      <c r="C322" s="77">
        <f>122.58</f>
        <v>122.58</v>
      </c>
      <c r="D322" s="77">
        <f>297.941</f>
        <v>297.94099999999997</v>
      </c>
      <c r="E322" s="86">
        <f>89.177</f>
        <v>89.177000000000007</v>
      </c>
      <c r="F322" s="77">
        <f>240.302-40-60-100</f>
        <v>40.301999999999992</v>
      </c>
      <c r="G322" s="80">
        <v>40</v>
      </c>
      <c r="H322" s="77">
        <f>60+100</f>
        <v>160</v>
      </c>
      <c r="I322" s="77">
        <f t="shared" si="49"/>
        <v>0</v>
      </c>
      <c r="J322" s="80">
        <v>100</v>
      </c>
      <c r="K322" s="80">
        <v>300</v>
      </c>
      <c r="L322" s="77">
        <f t="shared" si="42"/>
        <v>1150</v>
      </c>
      <c r="M322" s="88">
        <v>600</v>
      </c>
      <c r="N322" s="77">
        <f>100</f>
        <v>100</v>
      </c>
      <c r="O322" s="80">
        <v>240</v>
      </c>
      <c r="P322" s="80">
        <v>40</v>
      </c>
      <c r="Q322" s="80">
        <f t="shared" si="43"/>
        <v>315</v>
      </c>
      <c r="R322" s="80">
        <f t="shared" si="44"/>
        <v>100</v>
      </c>
      <c r="S322" s="77">
        <f t="shared" si="45"/>
        <v>695</v>
      </c>
      <c r="T322" s="77">
        <f>50</f>
        <v>50</v>
      </c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</row>
    <row r="323" spans="1:30" ht="15.75" x14ac:dyDescent="0.25">
      <c r="A323" s="33">
        <v>50770</v>
      </c>
      <c r="B323" s="90">
        <v>31</v>
      </c>
      <c r="C323" s="77">
        <f>122.58</f>
        <v>122.58</v>
      </c>
      <c r="D323" s="77">
        <f>297.941</f>
        <v>297.94099999999997</v>
      </c>
      <c r="E323" s="86">
        <f>89.177</f>
        <v>89.177000000000007</v>
      </c>
      <c r="F323" s="77">
        <f>240.302-40-60-100</f>
        <v>40.301999999999992</v>
      </c>
      <c r="G323" s="80">
        <v>40</v>
      </c>
      <c r="H323" s="77">
        <f>60+100</f>
        <v>160</v>
      </c>
      <c r="I323" s="77">
        <f t="shared" si="49"/>
        <v>0</v>
      </c>
      <c r="J323" s="80">
        <v>100</v>
      </c>
      <c r="K323" s="80">
        <v>300</v>
      </c>
      <c r="L323" s="77">
        <f t="shared" si="42"/>
        <v>1150</v>
      </c>
      <c r="M323" s="88">
        <v>600</v>
      </c>
      <c r="N323" s="77">
        <f>100</f>
        <v>100</v>
      </c>
      <c r="O323" s="80">
        <v>240</v>
      </c>
      <c r="P323" s="80">
        <v>40</v>
      </c>
      <c r="Q323" s="80">
        <f t="shared" si="43"/>
        <v>315</v>
      </c>
      <c r="R323" s="80">
        <f t="shared" si="44"/>
        <v>100</v>
      </c>
      <c r="S323" s="77">
        <f t="shared" si="45"/>
        <v>695</v>
      </c>
      <c r="T323" s="77">
        <f>50</f>
        <v>50</v>
      </c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</row>
    <row r="324" spans="1:30" ht="15.75" x14ac:dyDescent="0.25">
      <c r="A324" s="33">
        <v>50801</v>
      </c>
      <c r="B324" s="90">
        <v>31</v>
      </c>
      <c r="C324" s="77">
        <f>122.58</f>
        <v>122.58</v>
      </c>
      <c r="D324" s="77">
        <f>297.941</f>
        <v>297.94099999999997</v>
      </c>
      <c r="E324" s="86">
        <f>89.177</f>
        <v>89.177000000000007</v>
      </c>
      <c r="F324" s="77">
        <f>240.302-40-60-100</f>
        <v>40.301999999999992</v>
      </c>
      <c r="G324" s="80">
        <v>40</v>
      </c>
      <c r="H324" s="77">
        <f>60+100</f>
        <v>160</v>
      </c>
      <c r="I324" s="77">
        <f t="shared" si="49"/>
        <v>0</v>
      </c>
      <c r="J324" s="80">
        <v>100</v>
      </c>
      <c r="K324" s="80">
        <v>300</v>
      </c>
      <c r="L324" s="77">
        <f t="shared" si="42"/>
        <v>1150</v>
      </c>
      <c r="M324" s="88">
        <v>600</v>
      </c>
      <c r="N324" s="77">
        <f>100</f>
        <v>100</v>
      </c>
      <c r="O324" s="80">
        <v>240</v>
      </c>
      <c r="P324" s="80">
        <v>40</v>
      </c>
      <c r="Q324" s="80">
        <f t="shared" si="43"/>
        <v>315</v>
      </c>
      <c r="R324" s="80">
        <f t="shared" si="44"/>
        <v>100</v>
      </c>
      <c r="S324" s="77">
        <f t="shared" si="45"/>
        <v>695</v>
      </c>
      <c r="T324" s="77">
        <f>50</f>
        <v>50</v>
      </c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</row>
    <row r="325" spans="1:30" ht="15.75" x14ac:dyDescent="0.25">
      <c r="A325" s="33">
        <v>50829</v>
      </c>
      <c r="B325" s="90">
        <v>28</v>
      </c>
      <c r="C325" s="77">
        <f>122.58</f>
        <v>122.58</v>
      </c>
      <c r="D325" s="77">
        <f>297.941</f>
        <v>297.94099999999997</v>
      </c>
      <c r="E325" s="86">
        <f>89.177</f>
        <v>89.177000000000007</v>
      </c>
      <c r="F325" s="77">
        <f>240.302-40-60-100</f>
        <v>40.301999999999992</v>
      </c>
      <c r="G325" s="80">
        <v>40</v>
      </c>
      <c r="H325" s="77">
        <f>60+100</f>
        <v>160</v>
      </c>
      <c r="I325" s="77">
        <f t="shared" si="49"/>
        <v>0</v>
      </c>
      <c r="J325" s="80">
        <v>100</v>
      </c>
      <c r="K325" s="80">
        <v>300</v>
      </c>
      <c r="L325" s="77">
        <f t="shared" si="42"/>
        <v>1150</v>
      </c>
      <c r="M325" s="88">
        <v>600</v>
      </c>
      <c r="N325" s="77">
        <f>100</f>
        <v>100</v>
      </c>
      <c r="O325" s="80">
        <v>240</v>
      </c>
      <c r="P325" s="80">
        <v>40</v>
      </c>
      <c r="Q325" s="80">
        <f t="shared" si="43"/>
        <v>315</v>
      </c>
      <c r="R325" s="80">
        <f t="shared" si="44"/>
        <v>100</v>
      </c>
      <c r="S325" s="77">
        <f t="shared" si="45"/>
        <v>695</v>
      </c>
      <c r="T325" s="77">
        <f>50</f>
        <v>50</v>
      </c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</row>
    <row r="326" spans="1:30" ht="15.75" x14ac:dyDescent="0.25">
      <c r="A326" s="33">
        <v>50860</v>
      </c>
      <c r="B326" s="90">
        <v>31</v>
      </c>
      <c r="C326" s="77">
        <f>122.58</f>
        <v>122.58</v>
      </c>
      <c r="D326" s="77">
        <f>297.941</f>
        <v>297.94099999999997</v>
      </c>
      <c r="E326" s="86">
        <f>89.177</f>
        <v>89.177000000000007</v>
      </c>
      <c r="F326" s="77">
        <f>240.302-40-60-100</f>
        <v>40.301999999999992</v>
      </c>
      <c r="G326" s="80">
        <v>40</v>
      </c>
      <c r="H326" s="77">
        <f>60+100</f>
        <v>160</v>
      </c>
      <c r="I326" s="77">
        <f t="shared" si="49"/>
        <v>0</v>
      </c>
      <c r="J326" s="80">
        <v>100</v>
      </c>
      <c r="K326" s="80">
        <v>300</v>
      </c>
      <c r="L326" s="77">
        <f t="shared" si="42"/>
        <v>1150</v>
      </c>
      <c r="M326" s="88">
        <v>600</v>
      </c>
      <c r="N326" s="77">
        <f>100</f>
        <v>100</v>
      </c>
      <c r="O326" s="80">
        <v>240</v>
      </c>
      <c r="P326" s="80">
        <v>40</v>
      </c>
      <c r="Q326" s="80">
        <f t="shared" si="43"/>
        <v>315</v>
      </c>
      <c r="R326" s="80">
        <f t="shared" si="44"/>
        <v>100</v>
      </c>
      <c r="S326" s="77">
        <f t="shared" si="45"/>
        <v>695</v>
      </c>
      <c r="T326" s="77">
        <f>50</f>
        <v>50</v>
      </c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</row>
    <row r="327" spans="1:30" ht="15.75" x14ac:dyDescent="0.25">
      <c r="A327" s="33">
        <v>50890</v>
      </c>
      <c r="B327" s="90">
        <v>30</v>
      </c>
      <c r="C327" s="77">
        <f>141.293</f>
        <v>141.29300000000001</v>
      </c>
      <c r="D327" s="77">
        <f>267.993</f>
        <v>267.99299999999999</v>
      </c>
      <c r="E327" s="86">
        <f>115.016</f>
        <v>115.01600000000001</v>
      </c>
      <c r="F327" s="77">
        <f>314.698-40-25-60-100</f>
        <v>89.697999999999979</v>
      </c>
      <c r="G327" s="80">
        <v>40</v>
      </c>
      <c r="H327" s="77">
        <f t="shared" ref="H327:H333" si="51">25+60+100</f>
        <v>185</v>
      </c>
      <c r="I327" s="77">
        <f t="shared" si="49"/>
        <v>0</v>
      </c>
      <c r="J327" s="80">
        <v>100</v>
      </c>
      <c r="K327" s="80">
        <v>300</v>
      </c>
      <c r="L327" s="77">
        <f t="shared" si="42"/>
        <v>1239</v>
      </c>
      <c r="M327" s="88">
        <v>600</v>
      </c>
      <c r="N327" s="77">
        <f>100</f>
        <v>100</v>
      </c>
      <c r="O327" s="80">
        <v>240</v>
      </c>
      <c r="P327" s="80">
        <v>160</v>
      </c>
      <c r="Q327" s="80">
        <f t="shared" si="43"/>
        <v>195</v>
      </c>
      <c r="R327" s="80">
        <f t="shared" si="44"/>
        <v>100</v>
      </c>
      <c r="S327" s="77">
        <f t="shared" si="45"/>
        <v>695</v>
      </c>
      <c r="T327" s="77">
        <f>50</f>
        <v>50</v>
      </c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</row>
    <row r="328" spans="1:30" ht="15.75" x14ac:dyDescent="0.25">
      <c r="A328" s="33">
        <v>50921</v>
      </c>
      <c r="B328" s="90">
        <v>31</v>
      </c>
      <c r="C328" s="77">
        <f>194.205</f>
        <v>194.20500000000001</v>
      </c>
      <c r="D328" s="77">
        <f>267.466</f>
        <v>267.46600000000001</v>
      </c>
      <c r="E328" s="86">
        <f>133.845</f>
        <v>133.845</v>
      </c>
      <c r="F328" s="77">
        <f>278.484-40-25-60-100</f>
        <v>53.48399999999998</v>
      </c>
      <c r="G328" s="80">
        <v>40</v>
      </c>
      <c r="H328" s="77">
        <f t="shared" si="51"/>
        <v>185</v>
      </c>
      <c r="I328" s="77">
        <f t="shared" si="49"/>
        <v>0</v>
      </c>
      <c r="J328" s="80">
        <v>100</v>
      </c>
      <c r="K328" s="80">
        <v>300</v>
      </c>
      <c r="L328" s="77">
        <f t="shared" si="42"/>
        <v>1274</v>
      </c>
      <c r="M328" s="88">
        <v>600</v>
      </c>
      <c r="N328" s="77">
        <f>75</f>
        <v>75</v>
      </c>
      <c r="O328" s="80">
        <v>240</v>
      </c>
      <c r="P328" s="80">
        <v>160</v>
      </c>
      <c r="Q328" s="80">
        <f t="shared" si="43"/>
        <v>195</v>
      </c>
      <c r="R328" s="80">
        <f t="shared" si="44"/>
        <v>100</v>
      </c>
      <c r="S328" s="77">
        <f t="shared" si="45"/>
        <v>695</v>
      </c>
      <c r="T328" s="77">
        <f>50</f>
        <v>50</v>
      </c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</row>
    <row r="329" spans="1:30" ht="15.75" x14ac:dyDescent="0.25">
      <c r="A329" s="33">
        <v>50951</v>
      </c>
      <c r="B329" s="90">
        <v>30</v>
      </c>
      <c r="C329" s="77">
        <f>194.205</f>
        <v>194.20500000000001</v>
      </c>
      <c r="D329" s="77">
        <f>267.466</f>
        <v>267.46600000000001</v>
      </c>
      <c r="E329" s="86">
        <f>133.845</f>
        <v>133.845</v>
      </c>
      <c r="F329" s="77">
        <f>278.484-40-25-60-100</f>
        <v>53.48399999999998</v>
      </c>
      <c r="G329" s="80">
        <v>40</v>
      </c>
      <c r="H329" s="77">
        <f t="shared" si="51"/>
        <v>185</v>
      </c>
      <c r="I329" s="77">
        <f t="shared" si="49"/>
        <v>0</v>
      </c>
      <c r="J329" s="80">
        <v>100</v>
      </c>
      <c r="K329" s="80">
        <v>300</v>
      </c>
      <c r="L329" s="77">
        <f t="shared" si="42"/>
        <v>1274</v>
      </c>
      <c r="M329" s="88">
        <v>600</v>
      </c>
      <c r="N329" s="77">
        <f>30</f>
        <v>30</v>
      </c>
      <c r="O329" s="80">
        <v>240</v>
      </c>
      <c r="P329" s="80">
        <v>160</v>
      </c>
      <c r="Q329" s="80">
        <f t="shared" si="43"/>
        <v>195</v>
      </c>
      <c r="R329" s="80">
        <f t="shared" si="44"/>
        <v>100</v>
      </c>
      <c r="S329" s="77">
        <f t="shared" si="45"/>
        <v>695</v>
      </c>
      <c r="T329" s="77">
        <f>50</f>
        <v>50</v>
      </c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</row>
    <row r="330" spans="1:30" ht="15.75" x14ac:dyDescent="0.25">
      <c r="A330" s="33">
        <v>50982</v>
      </c>
      <c r="B330" s="90">
        <v>31</v>
      </c>
      <c r="C330" s="77">
        <f>194.205</f>
        <v>194.20500000000001</v>
      </c>
      <c r="D330" s="77">
        <f>267.466</f>
        <v>267.46600000000001</v>
      </c>
      <c r="E330" s="86">
        <f>133.845</f>
        <v>133.845</v>
      </c>
      <c r="F330" s="77">
        <f>278.484-40-25-60-100</f>
        <v>53.48399999999998</v>
      </c>
      <c r="G330" s="80">
        <v>40</v>
      </c>
      <c r="H330" s="77">
        <f t="shared" si="51"/>
        <v>185</v>
      </c>
      <c r="I330" s="77">
        <f t="shared" si="49"/>
        <v>0</v>
      </c>
      <c r="J330" s="80">
        <v>100</v>
      </c>
      <c r="K330" s="80">
        <v>300</v>
      </c>
      <c r="L330" s="77">
        <f t="shared" si="42"/>
        <v>1274</v>
      </c>
      <c r="M330" s="88">
        <v>600</v>
      </c>
      <c r="N330" s="77">
        <f>30</f>
        <v>30</v>
      </c>
      <c r="O330" s="80">
        <v>240</v>
      </c>
      <c r="P330" s="80">
        <v>160</v>
      </c>
      <c r="Q330" s="80">
        <f t="shared" si="43"/>
        <v>195</v>
      </c>
      <c r="R330" s="80">
        <f t="shared" si="44"/>
        <v>100</v>
      </c>
      <c r="S330" s="77">
        <f t="shared" si="45"/>
        <v>695</v>
      </c>
      <c r="T330" s="77">
        <f>0</f>
        <v>0</v>
      </c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</row>
    <row r="331" spans="1:30" ht="15.75" x14ac:dyDescent="0.25">
      <c r="A331" s="33">
        <v>51013</v>
      </c>
      <c r="B331" s="90">
        <v>31</v>
      </c>
      <c r="C331" s="77">
        <f>194.205</f>
        <v>194.20500000000001</v>
      </c>
      <c r="D331" s="77">
        <f>267.466</f>
        <v>267.46600000000001</v>
      </c>
      <c r="E331" s="86">
        <f>133.845</f>
        <v>133.845</v>
      </c>
      <c r="F331" s="77">
        <f>278.484-40-25-60-100</f>
        <v>53.48399999999998</v>
      </c>
      <c r="G331" s="80">
        <v>40</v>
      </c>
      <c r="H331" s="77">
        <f t="shared" si="51"/>
        <v>185</v>
      </c>
      <c r="I331" s="77">
        <f t="shared" si="49"/>
        <v>0</v>
      </c>
      <c r="J331" s="80">
        <v>100</v>
      </c>
      <c r="K331" s="80">
        <v>300</v>
      </c>
      <c r="L331" s="77">
        <f t="shared" si="42"/>
        <v>1274</v>
      </c>
      <c r="M331" s="88">
        <v>600</v>
      </c>
      <c r="N331" s="77">
        <f>30</f>
        <v>30</v>
      </c>
      <c r="O331" s="80">
        <v>240</v>
      </c>
      <c r="P331" s="80">
        <v>160</v>
      </c>
      <c r="Q331" s="80">
        <f t="shared" si="43"/>
        <v>195</v>
      </c>
      <c r="R331" s="80">
        <f t="shared" si="44"/>
        <v>100</v>
      </c>
      <c r="S331" s="77">
        <f t="shared" si="45"/>
        <v>695</v>
      </c>
      <c r="T331" s="77">
        <f>0</f>
        <v>0</v>
      </c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</row>
    <row r="332" spans="1:30" ht="15.75" x14ac:dyDescent="0.25">
      <c r="A332" s="33">
        <v>51043</v>
      </c>
      <c r="B332" s="90">
        <v>30</v>
      </c>
      <c r="C332" s="77">
        <f>194.205</f>
        <v>194.20500000000001</v>
      </c>
      <c r="D332" s="77">
        <f>267.466</f>
        <v>267.46600000000001</v>
      </c>
      <c r="E332" s="86">
        <f>133.845</f>
        <v>133.845</v>
      </c>
      <c r="F332" s="77">
        <f>278.484-40-25-60-100</f>
        <v>53.48399999999998</v>
      </c>
      <c r="G332" s="80">
        <v>40</v>
      </c>
      <c r="H332" s="77">
        <f t="shared" si="51"/>
        <v>185</v>
      </c>
      <c r="I332" s="77">
        <f t="shared" si="49"/>
        <v>0</v>
      </c>
      <c r="J332" s="80">
        <v>100</v>
      </c>
      <c r="K332" s="80">
        <v>300</v>
      </c>
      <c r="L332" s="77">
        <f t="shared" si="42"/>
        <v>1274</v>
      </c>
      <c r="M332" s="88">
        <v>600</v>
      </c>
      <c r="N332" s="77">
        <f>30</f>
        <v>30</v>
      </c>
      <c r="O332" s="80">
        <v>240</v>
      </c>
      <c r="P332" s="80">
        <v>160</v>
      </c>
      <c r="Q332" s="80">
        <f t="shared" si="43"/>
        <v>195</v>
      </c>
      <c r="R332" s="80">
        <f t="shared" si="44"/>
        <v>100</v>
      </c>
      <c r="S332" s="77">
        <f t="shared" si="45"/>
        <v>695</v>
      </c>
      <c r="T332" s="77">
        <f>0</f>
        <v>0</v>
      </c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</row>
    <row r="333" spans="1:30" ht="15.75" x14ac:dyDescent="0.25">
      <c r="A333" s="33">
        <v>51074</v>
      </c>
      <c r="B333" s="90">
        <v>31</v>
      </c>
      <c r="C333" s="77">
        <f>131.881</f>
        <v>131.881</v>
      </c>
      <c r="D333" s="77">
        <f>277.167</f>
        <v>277.16699999999997</v>
      </c>
      <c r="E333" s="86">
        <f>79.08</f>
        <v>79.08</v>
      </c>
      <c r="F333" s="77">
        <f>350.872-40-25-60-100</f>
        <v>125.87200000000001</v>
      </c>
      <c r="G333" s="80">
        <v>40</v>
      </c>
      <c r="H333" s="77">
        <f t="shared" si="51"/>
        <v>185</v>
      </c>
      <c r="I333" s="77">
        <f t="shared" si="49"/>
        <v>0</v>
      </c>
      <c r="J333" s="80">
        <v>100</v>
      </c>
      <c r="K333" s="80">
        <v>300</v>
      </c>
      <c r="L333" s="77">
        <f t="shared" si="42"/>
        <v>1239</v>
      </c>
      <c r="M333" s="88">
        <v>600</v>
      </c>
      <c r="N333" s="77">
        <f>75</f>
        <v>75</v>
      </c>
      <c r="O333" s="80">
        <v>240</v>
      </c>
      <c r="P333" s="80">
        <v>160</v>
      </c>
      <c r="Q333" s="80">
        <f t="shared" si="43"/>
        <v>195</v>
      </c>
      <c r="R333" s="80">
        <f t="shared" si="44"/>
        <v>100</v>
      </c>
      <c r="S333" s="77">
        <f t="shared" si="45"/>
        <v>695</v>
      </c>
      <c r="T333" s="77">
        <f>0</f>
        <v>0</v>
      </c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</row>
    <row r="334" spans="1:30" ht="15.75" x14ac:dyDescent="0.25">
      <c r="A334" s="33">
        <v>51104</v>
      </c>
      <c r="B334" s="90">
        <v>30</v>
      </c>
      <c r="C334" s="77">
        <f>122.58</f>
        <v>122.58</v>
      </c>
      <c r="D334" s="77">
        <f>297.941</f>
        <v>297.94099999999997</v>
      </c>
      <c r="E334" s="86">
        <f>89.177</f>
        <v>89.177000000000007</v>
      </c>
      <c r="F334" s="77">
        <f>240.302-40-60-100</f>
        <v>40.301999999999992</v>
      </c>
      <c r="G334" s="80">
        <v>40</v>
      </c>
      <c r="H334" s="77">
        <f>60+100</f>
        <v>160</v>
      </c>
      <c r="I334" s="77">
        <f t="shared" si="49"/>
        <v>0</v>
      </c>
      <c r="J334" s="80">
        <v>100</v>
      </c>
      <c r="K334" s="80">
        <v>300</v>
      </c>
      <c r="L334" s="77">
        <f t="shared" si="42"/>
        <v>1150</v>
      </c>
      <c r="M334" s="88">
        <v>600</v>
      </c>
      <c r="N334" s="77">
        <f>100</f>
        <v>100</v>
      </c>
      <c r="O334" s="80">
        <v>240</v>
      </c>
      <c r="P334" s="80">
        <v>40</v>
      </c>
      <c r="Q334" s="80">
        <f t="shared" si="43"/>
        <v>315</v>
      </c>
      <c r="R334" s="80">
        <f t="shared" si="44"/>
        <v>100</v>
      </c>
      <c r="S334" s="77">
        <f t="shared" si="45"/>
        <v>695</v>
      </c>
      <c r="T334" s="77">
        <f>50</f>
        <v>50</v>
      </c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</row>
    <row r="335" spans="1:30" ht="15.75" x14ac:dyDescent="0.25">
      <c r="A335" s="33">
        <v>51135</v>
      </c>
      <c r="B335" s="90">
        <v>31</v>
      </c>
      <c r="C335" s="77">
        <f>122.58</f>
        <v>122.58</v>
      </c>
      <c r="D335" s="77">
        <f>297.941</f>
        <v>297.94099999999997</v>
      </c>
      <c r="E335" s="86">
        <f>89.177</f>
        <v>89.177000000000007</v>
      </c>
      <c r="F335" s="77">
        <f>240.302-40-60-100</f>
        <v>40.301999999999992</v>
      </c>
      <c r="G335" s="80">
        <v>40</v>
      </c>
      <c r="H335" s="77">
        <f>60+100</f>
        <v>160</v>
      </c>
      <c r="I335" s="77">
        <f t="shared" si="49"/>
        <v>0</v>
      </c>
      <c r="J335" s="80">
        <v>100</v>
      </c>
      <c r="K335" s="80">
        <v>300</v>
      </c>
      <c r="L335" s="77">
        <f t="shared" si="42"/>
        <v>1150</v>
      </c>
      <c r="M335" s="88">
        <v>600</v>
      </c>
      <c r="N335" s="77">
        <f>100</f>
        <v>100</v>
      </c>
      <c r="O335" s="80">
        <v>240</v>
      </c>
      <c r="P335" s="80">
        <v>40</v>
      </c>
      <c r="Q335" s="80">
        <f t="shared" si="43"/>
        <v>315</v>
      </c>
      <c r="R335" s="80">
        <f t="shared" si="44"/>
        <v>100</v>
      </c>
      <c r="S335" s="77">
        <f t="shared" si="45"/>
        <v>695</v>
      </c>
      <c r="T335" s="77">
        <f>50</f>
        <v>50</v>
      </c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</row>
    <row r="336" spans="1:30" ht="15.75" x14ac:dyDescent="0.25">
      <c r="A336" s="33">
        <v>51166</v>
      </c>
      <c r="B336" s="90">
        <v>31</v>
      </c>
      <c r="C336" s="77">
        <f>122.58</f>
        <v>122.58</v>
      </c>
      <c r="D336" s="77">
        <f>297.941</f>
        <v>297.94099999999997</v>
      </c>
      <c r="E336" s="86">
        <f>89.177</f>
        <v>89.177000000000007</v>
      </c>
      <c r="F336" s="77">
        <f>240.302-40-60-100</f>
        <v>40.301999999999992</v>
      </c>
      <c r="G336" s="80">
        <v>40</v>
      </c>
      <c r="H336" s="77">
        <f>60+100</f>
        <v>160</v>
      </c>
      <c r="I336" s="77">
        <f t="shared" si="49"/>
        <v>0</v>
      </c>
      <c r="J336" s="80">
        <v>100</v>
      </c>
      <c r="K336" s="80">
        <v>300</v>
      </c>
      <c r="L336" s="77">
        <f t="shared" si="42"/>
        <v>1150</v>
      </c>
      <c r="M336" s="88">
        <v>600</v>
      </c>
      <c r="N336" s="77">
        <f>100</f>
        <v>100</v>
      </c>
      <c r="O336" s="80">
        <v>240</v>
      </c>
      <c r="P336" s="80">
        <v>40</v>
      </c>
      <c r="Q336" s="80">
        <f t="shared" si="43"/>
        <v>315</v>
      </c>
      <c r="R336" s="80">
        <f t="shared" si="44"/>
        <v>100</v>
      </c>
      <c r="S336" s="77">
        <f t="shared" si="45"/>
        <v>695</v>
      </c>
      <c r="T336" s="77">
        <f>50</f>
        <v>50</v>
      </c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</row>
    <row r="337" spans="1:30" ht="15.75" x14ac:dyDescent="0.25">
      <c r="A337" s="33">
        <v>51194</v>
      </c>
      <c r="B337" s="90">
        <v>29</v>
      </c>
      <c r="C337" s="77">
        <f>122.58</f>
        <v>122.58</v>
      </c>
      <c r="D337" s="77">
        <f>297.941</f>
        <v>297.94099999999997</v>
      </c>
      <c r="E337" s="86">
        <f>89.177</f>
        <v>89.177000000000007</v>
      </c>
      <c r="F337" s="77">
        <f>240.302-40-60-100</f>
        <v>40.301999999999992</v>
      </c>
      <c r="G337" s="80">
        <v>40</v>
      </c>
      <c r="H337" s="77">
        <f>60+100</f>
        <v>160</v>
      </c>
      <c r="I337" s="77">
        <f t="shared" si="49"/>
        <v>0</v>
      </c>
      <c r="J337" s="80">
        <v>100</v>
      </c>
      <c r="K337" s="80">
        <v>300</v>
      </c>
      <c r="L337" s="77">
        <f t="shared" ref="L337:L400" si="52">SUM(C337:K337)</f>
        <v>1150</v>
      </c>
      <c r="M337" s="88">
        <v>600</v>
      </c>
      <c r="N337" s="77">
        <f>100</f>
        <v>100</v>
      </c>
      <c r="O337" s="80">
        <v>240</v>
      </c>
      <c r="P337" s="80">
        <v>40</v>
      </c>
      <c r="Q337" s="80">
        <f t="shared" ref="Q337:Q400" si="53">695-R337-O337-P337</f>
        <v>315</v>
      </c>
      <c r="R337" s="80">
        <f t="shared" ref="R337:R400" si="54">200-J337</f>
        <v>100</v>
      </c>
      <c r="S337" s="77">
        <f t="shared" ref="S337:S400" si="55">SUM(O337:R337)</f>
        <v>695</v>
      </c>
      <c r="T337" s="77">
        <f>50</f>
        <v>50</v>
      </c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</row>
    <row r="338" spans="1:30" ht="15.75" x14ac:dyDescent="0.25">
      <c r="A338" s="33">
        <v>51226</v>
      </c>
      <c r="B338" s="90">
        <v>31</v>
      </c>
      <c r="C338" s="77">
        <f>122.58</f>
        <v>122.58</v>
      </c>
      <c r="D338" s="77">
        <f>297.941</f>
        <v>297.94099999999997</v>
      </c>
      <c r="E338" s="86">
        <f>89.177</f>
        <v>89.177000000000007</v>
      </c>
      <c r="F338" s="77">
        <f>240.302-40-60-100</f>
        <v>40.301999999999992</v>
      </c>
      <c r="G338" s="80">
        <v>40</v>
      </c>
      <c r="H338" s="77">
        <f>60+100</f>
        <v>160</v>
      </c>
      <c r="I338" s="77">
        <f t="shared" si="49"/>
        <v>0</v>
      </c>
      <c r="J338" s="80">
        <v>100</v>
      </c>
      <c r="K338" s="80">
        <v>300</v>
      </c>
      <c r="L338" s="77">
        <f t="shared" si="52"/>
        <v>1150</v>
      </c>
      <c r="M338" s="88">
        <v>600</v>
      </c>
      <c r="N338" s="77">
        <f>100</f>
        <v>100</v>
      </c>
      <c r="O338" s="80">
        <v>240</v>
      </c>
      <c r="P338" s="80">
        <v>40</v>
      </c>
      <c r="Q338" s="80">
        <f t="shared" si="53"/>
        <v>315</v>
      </c>
      <c r="R338" s="80">
        <f t="shared" si="54"/>
        <v>100</v>
      </c>
      <c r="S338" s="77">
        <f t="shared" si="55"/>
        <v>695</v>
      </c>
      <c r="T338" s="77">
        <f>50</f>
        <v>50</v>
      </c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</row>
    <row r="339" spans="1:30" ht="15.75" x14ac:dyDescent="0.25">
      <c r="A339" s="33">
        <v>51256</v>
      </c>
      <c r="B339" s="90">
        <v>30</v>
      </c>
      <c r="C339" s="77">
        <f>141.293</f>
        <v>141.29300000000001</v>
      </c>
      <c r="D339" s="77">
        <f>267.993</f>
        <v>267.99299999999999</v>
      </c>
      <c r="E339" s="86">
        <f>115.016</f>
        <v>115.01600000000001</v>
      </c>
      <c r="F339" s="77">
        <f>314.698-40-25-60-100</f>
        <v>89.697999999999979</v>
      </c>
      <c r="G339" s="80">
        <v>40</v>
      </c>
      <c r="H339" s="77">
        <f t="shared" ref="H339:H345" si="56">25+60+100</f>
        <v>185</v>
      </c>
      <c r="I339" s="77">
        <f t="shared" si="49"/>
        <v>0</v>
      </c>
      <c r="J339" s="80">
        <v>100</v>
      </c>
      <c r="K339" s="80">
        <v>300</v>
      </c>
      <c r="L339" s="77">
        <f t="shared" si="52"/>
        <v>1239</v>
      </c>
      <c r="M339" s="88">
        <v>600</v>
      </c>
      <c r="N339" s="77">
        <f>100</f>
        <v>100</v>
      </c>
      <c r="O339" s="80">
        <v>240</v>
      </c>
      <c r="P339" s="80">
        <v>160</v>
      </c>
      <c r="Q339" s="80">
        <f t="shared" si="53"/>
        <v>195</v>
      </c>
      <c r="R339" s="80">
        <f t="shared" si="54"/>
        <v>100</v>
      </c>
      <c r="S339" s="77">
        <f t="shared" si="55"/>
        <v>695</v>
      </c>
      <c r="T339" s="77">
        <f>50</f>
        <v>50</v>
      </c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</row>
    <row r="340" spans="1:30" ht="15.75" x14ac:dyDescent="0.25">
      <c r="A340" s="33">
        <v>51287</v>
      </c>
      <c r="B340" s="90">
        <v>31</v>
      </c>
      <c r="C340" s="77">
        <f>194.205</f>
        <v>194.20500000000001</v>
      </c>
      <c r="D340" s="77">
        <f>267.466</f>
        <v>267.46600000000001</v>
      </c>
      <c r="E340" s="86">
        <f>133.845</f>
        <v>133.845</v>
      </c>
      <c r="F340" s="77">
        <f>278.484-40-25-60-100</f>
        <v>53.48399999999998</v>
      </c>
      <c r="G340" s="80">
        <v>40</v>
      </c>
      <c r="H340" s="77">
        <f t="shared" si="56"/>
        <v>185</v>
      </c>
      <c r="I340" s="77">
        <f t="shared" si="49"/>
        <v>0</v>
      </c>
      <c r="J340" s="80">
        <v>100</v>
      </c>
      <c r="K340" s="80">
        <v>300</v>
      </c>
      <c r="L340" s="77">
        <f t="shared" si="52"/>
        <v>1274</v>
      </c>
      <c r="M340" s="88">
        <v>600</v>
      </c>
      <c r="N340" s="77">
        <f>75</f>
        <v>75</v>
      </c>
      <c r="O340" s="80">
        <v>240</v>
      </c>
      <c r="P340" s="80">
        <v>160</v>
      </c>
      <c r="Q340" s="80">
        <f t="shared" si="53"/>
        <v>195</v>
      </c>
      <c r="R340" s="80">
        <f t="shared" si="54"/>
        <v>100</v>
      </c>
      <c r="S340" s="77">
        <f t="shared" si="55"/>
        <v>695</v>
      </c>
      <c r="T340" s="77">
        <f>50</f>
        <v>50</v>
      </c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</row>
    <row r="341" spans="1:30" ht="15.75" x14ac:dyDescent="0.25">
      <c r="A341" s="33">
        <v>51317</v>
      </c>
      <c r="B341" s="90">
        <v>30</v>
      </c>
      <c r="C341" s="77">
        <f>194.205</f>
        <v>194.20500000000001</v>
      </c>
      <c r="D341" s="77">
        <f>267.466</f>
        <v>267.46600000000001</v>
      </c>
      <c r="E341" s="86">
        <f>133.845</f>
        <v>133.845</v>
      </c>
      <c r="F341" s="77">
        <f>278.484-40-25-60-100</f>
        <v>53.48399999999998</v>
      </c>
      <c r="G341" s="80">
        <v>40</v>
      </c>
      <c r="H341" s="77">
        <f t="shared" si="56"/>
        <v>185</v>
      </c>
      <c r="I341" s="77">
        <f t="shared" si="49"/>
        <v>0</v>
      </c>
      <c r="J341" s="80">
        <v>100</v>
      </c>
      <c r="K341" s="80">
        <v>300</v>
      </c>
      <c r="L341" s="77">
        <f t="shared" si="52"/>
        <v>1274</v>
      </c>
      <c r="M341" s="88">
        <v>600</v>
      </c>
      <c r="N341" s="77">
        <f>30</f>
        <v>30</v>
      </c>
      <c r="O341" s="80">
        <v>240</v>
      </c>
      <c r="P341" s="80">
        <v>160</v>
      </c>
      <c r="Q341" s="80">
        <f t="shared" si="53"/>
        <v>195</v>
      </c>
      <c r="R341" s="80">
        <f t="shared" si="54"/>
        <v>100</v>
      </c>
      <c r="S341" s="77">
        <f t="shared" si="55"/>
        <v>695</v>
      </c>
      <c r="T341" s="77">
        <f>50</f>
        <v>50</v>
      </c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</row>
    <row r="342" spans="1:30" ht="15.75" x14ac:dyDescent="0.25">
      <c r="A342" s="33">
        <v>51348</v>
      </c>
      <c r="B342" s="90">
        <v>31</v>
      </c>
      <c r="C342" s="77">
        <f>194.205</f>
        <v>194.20500000000001</v>
      </c>
      <c r="D342" s="77">
        <f>267.466</f>
        <v>267.46600000000001</v>
      </c>
      <c r="E342" s="86">
        <f>133.845</f>
        <v>133.845</v>
      </c>
      <c r="F342" s="77">
        <f>278.484-40-25-60-100</f>
        <v>53.48399999999998</v>
      </c>
      <c r="G342" s="80">
        <v>40</v>
      </c>
      <c r="H342" s="77">
        <f t="shared" si="56"/>
        <v>185</v>
      </c>
      <c r="I342" s="77">
        <f t="shared" si="49"/>
        <v>0</v>
      </c>
      <c r="J342" s="80">
        <v>100</v>
      </c>
      <c r="K342" s="80">
        <v>300</v>
      </c>
      <c r="L342" s="77">
        <f t="shared" si="52"/>
        <v>1274</v>
      </c>
      <c r="M342" s="88">
        <v>600</v>
      </c>
      <c r="N342" s="77">
        <f>30</f>
        <v>30</v>
      </c>
      <c r="O342" s="80">
        <v>240</v>
      </c>
      <c r="P342" s="80">
        <v>160</v>
      </c>
      <c r="Q342" s="80">
        <f t="shared" si="53"/>
        <v>195</v>
      </c>
      <c r="R342" s="80">
        <f t="shared" si="54"/>
        <v>100</v>
      </c>
      <c r="S342" s="77">
        <f t="shared" si="55"/>
        <v>695</v>
      </c>
      <c r="T342" s="77">
        <f>0</f>
        <v>0</v>
      </c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</row>
    <row r="343" spans="1:30" ht="15.75" x14ac:dyDescent="0.25">
      <c r="A343" s="33">
        <v>51379</v>
      </c>
      <c r="B343" s="90">
        <v>31</v>
      </c>
      <c r="C343" s="77">
        <f>194.205</f>
        <v>194.20500000000001</v>
      </c>
      <c r="D343" s="77">
        <f>267.466</f>
        <v>267.46600000000001</v>
      </c>
      <c r="E343" s="86">
        <f>133.845</f>
        <v>133.845</v>
      </c>
      <c r="F343" s="77">
        <f>278.484-40-25-60-100</f>
        <v>53.48399999999998</v>
      </c>
      <c r="G343" s="80">
        <v>40</v>
      </c>
      <c r="H343" s="77">
        <f t="shared" si="56"/>
        <v>185</v>
      </c>
      <c r="I343" s="77">
        <f t="shared" si="49"/>
        <v>0</v>
      </c>
      <c r="J343" s="80">
        <v>100</v>
      </c>
      <c r="K343" s="80">
        <v>300</v>
      </c>
      <c r="L343" s="77">
        <f t="shared" si="52"/>
        <v>1274</v>
      </c>
      <c r="M343" s="88">
        <v>600</v>
      </c>
      <c r="N343" s="77">
        <f>30</f>
        <v>30</v>
      </c>
      <c r="O343" s="80">
        <v>240</v>
      </c>
      <c r="P343" s="80">
        <v>160</v>
      </c>
      <c r="Q343" s="80">
        <f t="shared" si="53"/>
        <v>195</v>
      </c>
      <c r="R343" s="80">
        <f t="shared" si="54"/>
        <v>100</v>
      </c>
      <c r="S343" s="77">
        <f t="shared" si="55"/>
        <v>695</v>
      </c>
      <c r="T343" s="77">
        <f>0</f>
        <v>0</v>
      </c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</row>
    <row r="344" spans="1:30" ht="15.75" x14ac:dyDescent="0.25">
      <c r="A344" s="33">
        <v>51409</v>
      </c>
      <c r="B344" s="90">
        <v>30</v>
      </c>
      <c r="C344" s="77">
        <f>194.205</f>
        <v>194.20500000000001</v>
      </c>
      <c r="D344" s="77">
        <f>267.466</f>
        <v>267.46600000000001</v>
      </c>
      <c r="E344" s="86">
        <f>133.845</f>
        <v>133.845</v>
      </c>
      <c r="F344" s="77">
        <f>278.484-40-25-60-100</f>
        <v>53.48399999999998</v>
      </c>
      <c r="G344" s="80">
        <v>40</v>
      </c>
      <c r="H344" s="77">
        <f t="shared" si="56"/>
        <v>185</v>
      </c>
      <c r="I344" s="77">
        <f t="shared" si="49"/>
        <v>0</v>
      </c>
      <c r="J344" s="80">
        <v>100</v>
      </c>
      <c r="K344" s="80">
        <v>300</v>
      </c>
      <c r="L344" s="77">
        <f t="shared" si="52"/>
        <v>1274</v>
      </c>
      <c r="M344" s="88">
        <v>600</v>
      </c>
      <c r="N344" s="77">
        <f>30</f>
        <v>30</v>
      </c>
      <c r="O344" s="80">
        <v>240</v>
      </c>
      <c r="P344" s="80">
        <v>160</v>
      </c>
      <c r="Q344" s="80">
        <f t="shared" si="53"/>
        <v>195</v>
      </c>
      <c r="R344" s="80">
        <f t="shared" si="54"/>
        <v>100</v>
      </c>
      <c r="S344" s="77">
        <f t="shared" si="55"/>
        <v>695</v>
      </c>
      <c r="T344" s="77">
        <f>0</f>
        <v>0</v>
      </c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</row>
    <row r="345" spans="1:30" ht="15.75" x14ac:dyDescent="0.25">
      <c r="A345" s="33">
        <v>51440</v>
      </c>
      <c r="B345" s="90">
        <v>31</v>
      </c>
      <c r="C345" s="77">
        <f>131.881</f>
        <v>131.881</v>
      </c>
      <c r="D345" s="77">
        <f>277.167</f>
        <v>277.16699999999997</v>
      </c>
      <c r="E345" s="86">
        <f>79.08</f>
        <v>79.08</v>
      </c>
      <c r="F345" s="77">
        <f>350.872-40-25-60-100</f>
        <v>125.87200000000001</v>
      </c>
      <c r="G345" s="80">
        <v>40</v>
      </c>
      <c r="H345" s="77">
        <f t="shared" si="56"/>
        <v>185</v>
      </c>
      <c r="I345" s="77">
        <f t="shared" si="49"/>
        <v>0</v>
      </c>
      <c r="J345" s="80">
        <v>100</v>
      </c>
      <c r="K345" s="80">
        <v>300</v>
      </c>
      <c r="L345" s="77">
        <f t="shared" si="52"/>
        <v>1239</v>
      </c>
      <c r="M345" s="88">
        <v>600</v>
      </c>
      <c r="N345" s="77">
        <f>75</f>
        <v>75</v>
      </c>
      <c r="O345" s="80">
        <v>240</v>
      </c>
      <c r="P345" s="80">
        <v>160</v>
      </c>
      <c r="Q345" s="80">
        <f t="shared" si="53"/>
        <v>195</v>
      </c>
      <c r="R345" s="80">
        <f t="shared" si="54"/>
        <v>100</v>
      </c>
      <c r="S345" s="77">
        <f t="shared" si="55"/>
        <v>695</v>
      </c>
      <c r="T345" s="77">
        <f>0</f>
        <v>0</v>
      </c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</row>
    <row r="346" spans="1:30" ht="15.75" x14ac:dyDescent="0.25">
      <c r="A346" s="33">
        <v>51470</v>
      </c>
      <c r="B346" s="90">
        <v>30</v>
      </c>
      <c r="C346" s="77">
        <f>122.58</f>
        <v>122.58</v>
      </c>
      <c r="D346" s="77">
        <f>297.941</f>
        <v>297.94099999999997</v>
      </c>
      <c r="E346" s="86">
        <f>89.177</f>
        <v>89.177000000000007</v>
      </c>
      <c r="F346" s="77">
        <f>240.302-40-60-100</f>
        <v>40.301999999999992</v>
      </c>
      <c r="G346" s="80">
        <v>40</v>
      </c>
      <c r="H346" s="77">
        <f>60+100</f>
        <v>160</v>
      </c>
      <c r="I346" s="77">
        <f t="shared" si="49"/>
        <v>0</v>
      </c>
      <c r="J346" s="80">
        <v>100</v>
      </c>
      <c r="K346" s="80">
        <v>300</v>
      </c>
      <c r="L346" s="77">
        <f t="shared" si="52"/>
        <v>1150</v>
      </c>
      <c r="M346" s="88">
        <v>600</v>
      </c>
      <c r="N346" s="77">
        <f>100</f>
        <v>100</v>
      </c>
      <c r="O346" s="80">
        <v>240</v>
      </c>
      <c r="P346" s="80">
        <v>40</v>
      </c>
      <c r="Q346" s="80">
        <f t="shared" si="53"/>
        <v>315</v>
      </c>
      <c r="R346" s="80">
        <f t="shared" si="54"/>
        <v>100</v>
      </c>
      <c r="S346" s="77">
        <f t="shared" si="55"/>
        <v>695</v>
      </c>
      <c r="T346" s="77">
        <f>50</f>
        <v>50</v>
      </c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</row>
    <row r="347" spans="1:30" ht="15.75" x14ac:dyDescent="0.25">
      <c r="A347" s="33">
        <v>51501</v>
      </c>
      <c r="B347" s="90">
        <v>31</v>
      </c>
      <c r="C347" s="77">
        <f>122.58</f>
        <v>122.58</v>
      </c>
      <c r="D347" s="77">
        <f>297.941</f>
        <v>297.94099999999997</v>
      </c>
      <c r="E347" s="86">
        <f>89.177</f>
        <v>89.177000000000007</v>
      </c>
      <c r="F347" s="77">
        <f>240.302-40-60-100</f>
        <v>40.301999999999992</v>
      </c>
      <c r="G347" s="80">
        <v>40</v>
      </c>
      <c r="H347" s="77">
        <f>60+100</f>
        <v>160</v>
      </c>
      <c r="I347" s="77">
        <f t="shared" si="49"/>
        <v>0</v>
      </c>
      <c r="J347" s="80">
        <v>100</v>
      </c>
      <c r="K347" s="80">
        <v>300</v>
      </c>
      <c r="L347" s="77">
        <f t="shared" si="52"/>
        <v>1150</v>
      </c>
      <c r="M347" s="88">
        <v>600</v>
      </c>
      <c r="N347" s="77">
        <f>100</f>
        <v>100</v>
      </c>
      <c r="O347" s="80">
        <v>240</v>
      </c>
      <c r="P347" s="80">
        <v>40</v>
      </c>
      <c r="Q347" s="80">
        <f t="shared" si="53"/>
        <v>315</v>
      </c>
      <c r="R347" s="80">
        <f t="shared" si="54"/>
        <v>100</v>
      </c>
      <c r="S347" s="77">
        <f t="shared" si="55"/>
        <v>695</v>
      </c>
      <c r="T347" s="77">
        <f>50</f>
        <v>50</v>
      </c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</row>
    <row r="348" spans="1:30" ht="15.75" x14ac:dyDescent="0.25">
      <c r="A348" s="33">
        <v>51532</v>
      </c>
      <c r="B348" s="90">
        <v>31</v>
      </c>
      <c r="C348" s="77">
        <f>122.58</f>
        <v>122.58</v>
      </c>
      <c r="D348" s="77">
        <f>297.941</f>
        <v>297.94099999999997</v>
      </c>
      <c r="E348" s="86">
        <f>89.177</f>
        <v>89.177000000000007</v>
      </c>
      <c r="F348" s="77">
        <f>240.302-40-60-100</f>
        <v>40.301999999999992</v>
      </c>
      <c r="G348" s="80">
        <v>40</v>
      </c>
      <c r="H348" s="77">
        <f>60+100</f>
        <v>160</v>
      </c>
      <c r="I348" s="77">
        <f t="shared" si="49"/>
        <v>0</v>
      </c>
      <c r="J348" s="80">
        <v>100</v>
      </c>
      <c r="K348" s="80">
        <v>300</v>
      </c>
      <c r="L348" s="77">
        <f t="shared" si="52"/>
        <v>1150</v>
      </c>
      <c r="M348" s="88">
        <v>600</v>
      </c>
      <c r="N348" s="77">
        <f>100</f>
        <v>100</v>
      </c>
      <c r="O348" s="80">
        <v>240</v>
      </c>
      <c r="P348" s="80">
        <v>40</v>
      </c>
      <c r="Q348" s="80">
        <f t="shared" si="53"/>
        <v>315</v>
      </c>
      <c r="R348" s="80">
        <f t="shared" si="54"/>
        <v>100</v>
      </c>
      <c r="S348" s="77">
        <f t="shared" si="55"/>
        <v>695</v>
      </c>
      <c r="T348" s="77">
        <f>50</f>
        <v>50</v>
      </c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</row>
    <row r="349" spans="1:30" ht="15.75" x14ac:dyDescent="0.25">
      <c r="A349" s="33">
        <v>51560</v>
      </c>
      <c r="B349" s="90">
        <v>28</v>
      </c>
      <c r="C349" s="77">
        <f>122.58</f>
        <v>122.58</v>
      </c>
      <c r="D349" s="77">
        <f>297.941</f>
        <v>297.94099999999997</v>
      </c>
      <c r="E349" s="86">
        <f>89.177</f>
        <v>89.177000000000007</v>
      </c>
      <c r="F349" s="77">
        <f>240.302-40-60-100</f>
        <v>40.301999999999992</v>
      </c>
      <c r="G349" s="80">
        <v>40</v>
      </c>
      <c r="H349" s="77">
        <f>60+100</f>
        <v>160</v>
      </c>
      <c r="I349" s="77">
        <f t="shared" si="49"/>
        <v>0</v>
      </c>
      <c r="J349" s="80">
        <v>100</v>
      </c>
      <c r="K349" s="80">
        <v>300</v>
      </c>
      <c r="L349" s="77">
        <f t="shared" si="52"/>
        <v>1150</v>
      </c>
      <c r="M349" s="88">
        <v>600</v>
      </c>
      <c r="N349" s="77">
        <f>100</f>
        <v>100</v>
      </c>
      <c r="O349" s="80">
        <v>240</v>
      </c>
      <c r="P349" s="80">
        <v>40</v>
      </c>
      <c r="Q349" s="80">
        <f t="shared" si="53"/>
        <v>315</v>
      </c>
      <c r="R349" s="80">
        <f t="shared" si="54"/>
        <v>100</v>
      </c>
      <c r="S349" s="77">
        <f t="shared" si="55"/>
        <v>695</v>
      </c>
      <c r="T349" s="77">
        <f>50</f>
        <v>50</v>
      </c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</row>
    <row r="350" spans="1:30" ht="15.75" x14ac:dyDescent="0.25">
      <c r="A350" s="33">
        <v>51591</v>
      </c>
      <c r="B350" s="90">
        <v>31</v>
      </c>
      <c r="C350" s="77">
        <f>122.58</f>
        <v>122.58</v>
      </c>
      <c r="D350" s="77">
        <f>297.941</f>
        <v>297.94099999999997</v>
      </c>
      <c r="E350" s="86">
        <f>89.177</f>
        <v>89.177000000000007</v>
      </c>
      <c r="F350" s="77">
        <f>240.302-40-60-100</f>
        <v>40.301999999999992</v>
      </c>
      <c r="G350" s="80">
        <v>40</v>
      </c>
      <c r="H350" s="77">
        <f>60+100</f>
        <v>160</v>
      </c>
      <c r="I350" s="77">
        <f t="shared" si="49"/>
        <v>0</v>
      </c>
      <c r="J350" s="80">
        <v>100</v>
      </c>
      <c r="K350" s="80">
        <v>300</v>
      </c>
      <c r="L350" s="77">
        <f t="shared" si="52"/>
        <v>1150</v>
      </c>
      <c r="M350" s="88">
        <v>600</v>
      </c>
      <c r="N350" s="77">
        <f>100</f>
        <v>100</v>
      </c>
      <c r="O350" s="80">
        <v>240</v>
      </c>
      <c r="P350" s="80">
        <v>40</v>
      </c>
      <c r="Q350" s="80">
        <f t="shared" si="53"/>
        <v>315</v>
      </c>
      <c r="R350" s="80">
        <f t="shared" si="54"/>
        <v>100</v>
      </c>
      <c r="S350" s="77">
        <f t="shared" si="55"/>
        <v>695</v>
      </c>
      <c r="T350" s="77">
        <f>50</f>
        <v>50</v>
      </c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</row>
    <row r="351" spans="1:30" ht="15.75" x14ac:dyDescent="0.25">
      <c r="A351" s="33">
        <v>51621</v>
      </c>
      <c r="B351" s="90">
        <v>30</v>
      </c>
      <c r="C351" s="77">
        <f>141.293</f>
        <v>141.29300000000001</v>
      </c>
      <c r="D351" s="77">
        <f>267.993</f>
        <v>267.99299999999999</v>
      </c>
      <c r="E351" s="86">
        <f>115.016</f>
        <v>115.01600000000001</v>
      </c>
      <c r="F351" s="77">
        <f>314.698-40-25-60-100</f>
        <v>89.697999999999979</v>
      </c>
      <c r="G351" s="80">
        <v>40</v>
      </c>
      <c r="H351" s="77">
        <f t="shared" ref="H351:H357" si="57">25+60+100</f>
        <v>185</v>
      </c>
      <c r="I351" s="77">
        <f t="shared" si="49"/>
        <v>0</v>
      </c>
      <c r="J351" s="80">
        <v>100</v>
      </c>
      <c r="K351" s="80">
        <v>300</v>
      </c>
      <c r="L351" s="77">
        <f t="shared" si="52"/>
        <v>1239</v>
      </c>
      <c r="M351" s="88">
        <v>600</v>
      </c>
      <c r="N351" s="77">
        <f>100</f>
        <v>100</v>
      </c>
      <c r="O351" s="80">
        <v>240</v>
      </c>
      <c r="P351" s="80">
        <v>160</v>
      </c>
      <c r="Q351" s="80">
        <f t="shared" si="53"/>
        <v>195</v>
      </c>
      <c r="R351" s="80">
        <f t="shared" si="54"/>
        <v>100</v>
      </c>
      <c r="S351" s="77">
        <f t="shared" si="55"/>
        <v>695</v>
      </c>
      <c r="T351" s="77">
        <f>50</f>
        <v>50</v>
      </c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</row>
    <row r="352" spans="1:30" ht="15.75" x14ac:dyDescent="0.25">
      <c r="A352" s="33">
        <v>51652</v>
      </c>
      <c r="B352" s="90">
        <v>31</v>
      </c>
      <c r="C352" s="77">
        <f>194.205</f>
        <v>194.20500000000001</v>
      </c>
      <c r="D352" s="77">
        <f>267.466</f>
        <v>267.46600000000001</v>
      </c>
      <c r="E352" s="86">
        <f>133.845</f>
        <v>133.845</v>
      </c>
      <c r="F352" s="77">
        <f>278.484-40-25-60-100</f>
        <v>53.48399999999998</v>
      </c>
      <c r="G352" s="80">
        <v>40</v>
      </c>
      <c r="H352" s="77">
        <f t="shared" si="57"/>
        <v>185</v>
      </c>
      <c r="I352" s="77">
        <f t="shared" si="49"/>
        <v>0</v>
      </c>
      <c r="J352" s="80">
        <v>100</v>
      </c>
      <c r="K352" s="80">
        <v>300</v>
      </c>
      <c r="L352" s="77">
        <f t="shared" si="52"/>
        <v>1274</v>
      </c>
      <c r="M352" s="88">
        <v>600</v>
      </c>
      <c r="N352" s="77">
        <f>75</f>
        <v>75</v>
      </c>
      <c r="O352" s="80">
        <v>240</v>
      </c>
      <c r="P352" s="80">
        <v>160</v>
      </c>
      <c r="Q352" s="80">
        <f t="shared" si="53"/>
        <v>195</v>
      </c>
      <c r="R352" s="80">
        <f t="shared" si="54"/>
        <v>100</v>
      </c>
      <c r="S352" s="77">
        <f t="shared" si="55"/>
        <v>695</v>
      </c>
      <c r="T352" s="77">
        <f>50</f>
        <v>50</v>
      </c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</row>
    <row r="353" spans="1:30" ht="15.75" x14ac:dyDescent="0.25">
      <c r="A353" s="33">
        <v>51682</v>
      </c>
      <c r="B353" s="90">
        <v>30</v>
      </c>
      <c r="C353" s="77">
        <f>194.205</f>
        <v>194.20500000000001</v>
      </c>
      <c r="D353" s="77">
        <f>267.466</f>
        <v>267.46600000000001</v>
      </c>
      <c r="E353" s="86">
        <f>133.845</f>
        <v>133.845</v>
      </c>
      <c r="F353" s="77">
        <f>278.484-40-25-60-100</f>
        <v>53.48399999999998</v>
      </c>
      <c r="G353" s="80">
        <v>40</v>
      </c>
      <c r="H353" s="77">
        <f t="shared" si="57"/>
        <v>185</v>
      </c>
      <c r="I353" s="77">
        <f t="shared" si="49"/>
        <v>0</v>
      </c>
      <c r="J353" s="80">
        <v>100</v>
      </c>
      <c r="K353" s="80">
        <v>300</v>
      </c>
      <c r="L353" s="77">
        <f t="shared" si="52"/>
        <v>1274</v>
      </c>
      <c r="M353" s="88">
        <v>600</v>
      </c>
      <c r="N353" s="77">
        <f>30</f>
        <v>30</v>
      </c>
      <c r="O353" s="80">
        <v>240</v>
      </c>
      <c r="P353" s="80">
        <v>160</v>
      </c>
      <c r="Q353" s="80">
        <f t="shared" si="53"/>
        <v>195</v>
      </c>
      <c r="R353" s="80">
        <f t="shared" si="54"/>
        <v>100</v>
      </c>
      <c r="S353" s="77">
        <f t="shared" si="55"/>
        <v>695</v>
      </c>
      <c r="T353" s="77">
        <f>50</f>
        <v>50</v>
      </c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</row>
    <row r="354" spans="1:30" ht="15.75" x14ac:dyDescent="0.25">
      <c r="A354" s="33">
        <v>51713</v>
      </c>
      <c r="B354" s="90">
        <v>31</v>
      </c>
      <c r="C354" s="77">
        <f>194.205</f>
        <v>194.20500000000001</v>
      </c>
      <c r="D354" s="77">
        <f>267.466</f>
        <v>267.46600000000001</v>
      </c>
      <c r="E354" s="86">
        <f>133.845</f>
        <v>133.845</v>
      </c>
      <c r="F354" s="77">
        <f>278.484-40-25-60-100</f>
        <v>53.48399999999998</v>
      </c>
      <c r="G354" s="80">
        <v>40</v>
      </c>
      <c r="H354" s="77">
        <f t="shared" si="57"/>
        <v>185</v>
      </c>
      <c r="I354" s="77">
        <f t="shared" si="49"/>
        <v>0</v>
      </c>
      <c r="J354" s="80">
        <v>100</v>
      </c>
      <c r="K354" s="80">
        <v>300</v>
      </c>
      <c r="L354" s="77">
        <f t="shared" si="52"/>
        <v>1274</v>
      </c>
      <c r="M354" s="88">
        <v>600</v>
      </c>
      <c r="N354" s="77">
        <f>30</f>
        <v>30</v>
      </c>
      <c r="O354" s="80">
        <v>240</v>
      </c>
      <c r="P354" s="80">
        <v>160</v>
      </c>
      <c r="Q354" s="80">
        <f t="shared" si="53"/>
        <v>195</v>
      </c>
      <c r="R354" s="80">
        <f t="shared" si="54"/>
        <v>100</v>
      </c>
      <c r="S354" s="77">
        <f t="shared" si="55"/>
        <v>695</v>
      </c>
      <c r="T354" s="77">
        <f>0</f>
        <v>0</v>
      </c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</row>
    <row r="355" spans="1:30" ht="15.75" x14ac:dyDescent="0.25">
      <c r="A355" s="33">
        <v>51744</v>
      </c>
      <c r="B355" s="90">
        <v>31</v>
      </c>
      <c r="C355" s="77">
        <f>194.205</f>
        <v>194.20500000000001</v>
      </c>
      <c r="D355" s="77">
        <f>267.466</f>
        <v>267.46600000000001</v>
      </c>
      <c r="E355" s="86">
        <f>133.845</f>
        <v>133.845</v>
      </c>
      <c r="F355" s="77">
        <f>278.484-40-25-60-100</f>
        <v>53.48399999999998</v>
      </c>
      <c r="G355" s="80">
        <v>40</v>
      </c>
      <c r="H355" s="77">
        <f t="shared" si="57"/>
        <v>185</v>
      </c>
      <c r="I355" s="77">
        <f t="shared" si="49"/>
        <v>0</v>
      </c>
      <c r="J355" s="80">
        <v>100</v>
      </c>
      <c r="K355" s="80">
        <v>300</v>
      </c>
      <c r="L355" s="77">
        <f t="shared" si="52"/>
        <v>1274</v>
      </c>
      <c r="M355" s="88">
        <v>600</v>
      </c>
      <c r="N355" s="77">
        <f>30</f>
        <v>30</v>
      </c>
      <c r="O355" s="80">
        <v>240</v>
      </c>
      <c r="P355" s="80">
        <v>160</v>
      </c>
      <c r="Q355" s="80">
        <f t="shared" si="53"/>
        <v>195</v>
      </c>
      <c r="R355" s="80">
        <f t="shared" si="54"/>
        <v>100</v>
      </c>
      <c r="S355" s="77">
        <f t="shared" si="55"/>
        <v>695</v>
      </c>
      <c r="T355" s="77">
        <f>0</f>
        <v>0</v>
      </c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</row>
    <row r="356" spans="1:30" ht="15.75" x14ac:dyDescent="0.25">
      <c r="A356" s="33">
        <v>51774</v>
      </c>
      <c r="B356" s="90">
        <v>30</v>
      </c>
      <c r="C356" s="77">
        <f>194.205</f>
        <v>194.20500000000001</v>
      </c>
      <c r="D356" s="77">
        <f>267.466</f>
        <v>267.46600000000001</v>
      </c>
      <c r="E356" s="86">
        <f>133.845</f>
        <v>133.845</v>
      </c>
      <c r="F356" s="77">
        <f>278.484-40-25-60-100</f>
        <v>53.48399999999998</v>
      </c>
      <c r="G356" s="80">
        <v>40</v>
      </c>
      <c r="H356" s="77">
        <f t="shared" si="57"/>
        <v>185</v>
      </c>
      <c r="I356" s="77">
        <f t="shared" si="49"/>
        <v>0</v>
      </c>
      <c r="J356" s="80">
        <v>100</v>
      </c>
      <c r="K356" s="80">
        <v>300</v>
      </c>
      <c r="L356" s="77">
        <f t="shared" si="52"/>
        <v>1274</v>
      </c>
      <c r="M356" s="88">
        <v>600</v>
      </c>
      <c r="N356" s="77">
        <f>30</f>
        <v>30</v>
      </c>
      <c r="O356" s="80">
        <v>240</v>
      </c>
      <c r="P356" s="80">
        <v>160</v>
      </c>
      <c r="Q356" s="80">
        <f t="shared" si="53"/>
        <v>195</v>
      </c>
      <c r="R356" s="80">
        <f t="shared" si="54"/>
        <v>100</v>
      </c>
      <c r="S356" s="77">
        <f t="shared" si="55"/>
        <v>695</v>
      </c>
      <c r="T356" s="77">
        <f>0</f>
        <v>0</v>
      </c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</row>
    <row r="357" spans="1:30" ht="15.75" x14ac:dyDescent="0.25">
      <c r="A357" s="33">
        <v>51805</v>
      </c>
      <c r="B357" s="90">
        <v>31</v>
      </c>
      <c r="C357" s="77">
        <f>131.881</f>
        <v>131.881</v>
      </c>
      <c r="D357" s="77">
        <f>277.167</f>
        <v>277.16699999999997</v>
      </c>
      <c r="E357" s="86">
        <f>79.08</f>
        <v>79.08</v>
      </c>
      <c r="F357" s="77">
        <f>350.872-40-25-60-100</f>
        <v>125.87200000000001</v>
      </c>
      <c r="G357" s="80">
        <v>40</v>
      </c>
      <c r="H357" s="77">
        <f t="shared" si="57"/>
        <v>185</v>
      </c>
      <c r="I357" s="77">
        <f t="shared" si="49"/>
        <v>0</v>
      </c>
      <c r="J357" s="80">
        <v>100</v>
      </c>
      <c r="K357" s="80">
        <v>300</v>
      </c>
      <c r="L357" s="77">
        <f t="shared" si="52"/>
        <v>1239</v>
      </c>
      <c r="M357" s="88">
        <v>600</v>
      </c>
      <c r="N357" s="77">
        <f>75</f>
        <v>75</v>
      </c>
      <c r="O357" s="80">
        <v>240</v>
      </c>
      <c r="P357" s="80">
        <v>160</v>
      </c>
      <c r="Q357" s="80">
        <f t="shared" si="53"/>
        <v>195</v>
      </c>
      <c r="R357" s="80">
        <f t="shared" si="54"/>
        <v>100</v>
      </c>
      <c r="S357" s="77">
        <f t="shared" si="55"/>
        <v>695</v>
      </c>
      <c r="T357" s="77">
        <f>0</f>
        <v>0</v>
      </c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</row>
    <row r="358" spans="1:30" ht="15.75" x14ac:dyDescent="0.25">
      <c r="A358" s="33">
        <v>51835</v>
      </c>
      <c r="B358" s="90">
        <v>30</v>
      </c>
      <c r="C358" s="77">
        <f>122.58</f>
        <v>122.58</v>
      </c>
      <c r="D358" s="77">
        <f>297.941</f>
        <v>297.94099999999997</v>
      </c>
      <c r="E358" s="86">
        <f>89.177</f>
        <v>89.177000000000007</v>
      </c>
      <c r="F358" s="77">
        <f>240.302-40-60-100</f>
        <v>40.301999999999992</v>
      </c>
      <c r="G358" s="80">
        <v>40</v>
      </c>
      <c r="H358" s="77">
        <f>60+100</f>
        <v>160</v>
      </c>
      <c r="I358" s="77">
        <f t="shared" si="49"/>
        <v>0</v>
      </c>
      <c r="J358" s="80">
        <v>100</v>
      </c>
      <c r="K358" s="80">
        <v>300</v>
      </c>
      <c r="L358" s="77">
        <f t="shared" si="52"/>
        <v>1150</v>
      </c>
      <c r="M358" s="88">
        <v>600</v>
      </c>
      <c r="N358" s="77">
        <f>100</f>
        <v>100</v>
      </c>
      <c r="O358" s="80">
        <v>240</v>
      </c>
      <c r="P358" s="80">
        <v>40</v>
      </c>
      <c r="Q358" s="80">
        <f t="shared" si="53"/>
        <v>315</v>
      </c>
      <c r="R358" s="80">
        <f t="shared" si="54"/>
        <v>100</v>
      </c>
      <c r="S358" s="77">
        <f t="shared" si="55"/>
        <v>695</v>
      </c>
      <c r="T358" s="77">
        <f>50</f>
        <v>50</v>
      </c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</row>
    <row r="359" spans="1:30" ht="15.75" x14ac:dyDescent="0.25">
      <c r="A359" s="33">
        <v>51866</v>
      </c>
      <c r="B359" s="90">
        <v>31</v>
      </c>
      <c r="C359" s="77">
        <f>122.58</f>
        <v>122.58</v>
      </c>
      <c r="D359" s="77">
        <f>297.941</f>
        <v>297.94099999999997</v>
      </c>
      <c r="E359" s="86">
        <f>89.177</f>
        <v>89.177000000000007</v>
      </c>
      <c r="F359" s="77">
        <f>240.302-40-60-100</f>
        <v>40.301999999999992</v>
      </c>
      <c r="G359" s="80">
        <v>40</v>
      </c>
      <c r="H359" s="77">
        <f>60+100</f>
        <v>160</v>
      </c>
      <c r="I359" s="77">
        <f t="shared" si="49"/>
        <v>0</v>
      </c>
      <c r="J359" s="80">
        <v>100</v>
      </c>
      <c r="K359" s="80">
        <v>300</v>
      </c>
      <c r="L359" s="77">
        <f t="shared" si="52"/>
        <v>1150</v>
      </c>
      <c r="M359" s="88">
        <v>600</v>
      </c>
      <c r="N359" s="77">
        <f>100</f>
        <v>100</v>
      </c>
      <c r="O359" s="80">
        <v>240</v>
      </c>
      <c r="P359" s="80">
        <v>40</v>
      </c>
      <c r="Q359" s="80">
        <f t="shared" si="53"/>
        <v>315</v>
      </c>
      <c r="R359" s="80">
        <f t="shared" si="54"/>
        <v>100</v>
      </c>
      <c r="S359" s="77">
        <f t="shared" si="55"/>
        <v>695</v>
      </c>
      <c r="T359" s="77">
        <f>50</f>
        <v>50</v>
      </c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</row>
    <row r="360" spans="1:30" ht="15.75" x14ac:dyDescent="0.25">
      <c r="A360" s="33">
        <v>51897</v>
      </c>
      <c r="B360" s="90">
        <v>31</v>
      </c>
      <c r="C360" s="77">
        <f>122.58</f>
        <v>122.58</v>
      </c>
      <c r="D360" s="77">
        <f>297.941</f>
        <v>297.94099999999997</v>
      </c>
      <c r="E360" s="86">
        <f>89.177</f>
        <v>89.177000000000007</v>
      </c>
      <c r="F360" s="77">
        <f>240.302-40-60-100</f>
        <v>40.301999999999992</v>
      </c>
      <c r="G360" s="80">
        <v>40</v>
      </c>
      <c r="H360" s="77">
        <f>60+100</f>
        <v>160</v>
      </c>
      <c r="I360" s="77">
        <f t="shared" si="49"/>
        <v>0</v>
      </c>
      <c r="J360" s="80">
        <v>100</v>
      </c>
      <c r="K360" s="80">
        <v>300</v>
      </c>
      <c r="L360" s="77">
        <f t="shared" si="52"/>
        <v>1150</v>
      </c>
      <c r="M360" s="88">
        <v>600</v>
      </c>
      <c r="N360" s="77">
        <f>100</f>
        <v>100</v>
      </c>
      <c r="O360" s="80">
        <v>240</v>
      </c>
      <c r="P360" s="80">
        <v>40</v>
      </c>
      <c r="Q360" s="80">
        <f t="shared" si="53"/>
        <v>315</v>
      </c>
      <c r="R360" s="80">
        <f t="shared" si="54"/>
        <v>100</v>
      </c>
      <c r="S360" s="77">
        <f t="shared" si="55"/>
        <v>695</v>
      </c>
      <c r="T360" s="77">
        <f>50</f>
        <v>50</v>
      </c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</row>
    <row r="361" spans="1:30" ht="15.75" x14ac:dyDescent="0.25">
      <c r="A361" s="33">
        <v>51925</v>
      </c>
      <c r="B361" s="90">
        <v>28</v>
      </c>
      <c r="C361" s="77">
        <f>122.58</f>
        <v>122.58</v>
      </c>
      <c r="D361" s="77">
        <f>297.941</f>
        <v>297.94099999999997</v>
      </c>
      <c r="E361" s="86">
        <f>89.177</f>
        <v>89.177000000000007</v>
      </c>
      <c r="F361" s="77">
        <f>240.302-40-60-100</f>
        <v>40.301999999999992</v>
      </c>
      <c r="G361" s="80">
        <v>40</v>
      </c>
      <c r="H361" s="77">
        <f>60+100</f>
        <v>160</v>
      </c>
      <c r="I361" s="77">
        <f t="shared" si="49"/>
        <v>0</v>
      </c>
      <c r="J361" s="80">
        <v>100</v>
      </c>
      <c r="K361" s="80">
        <v>300</v>
      </c>
      <c r="L361" s="77">
        <f t="shared" si="52"/>
        <v>1150</v>
      </c>
      <c r="M361" s="88">
        <v>600</v>
      </c>
      <c r="N361" s="77">
        <f>100</f>
        <v>100</v>
      </c>
      <c r="O361" s="80">
        <v>240</v>
      </c>
      <c r="P361" s="80">
        <v>40</v>
      </c>
      <c r="Q361" s="80">
        <f t="shared" si="53"/>
        <v>315</v>
      </c>
      <c r="R361" s="80">
        <f t="shared" si="54"/>
        <v>100</v>
      </c>
      <c r="S361" s="77">
        <f t="shared" si="55"/>
        <v>695</v>
      </c>
      <c r="T361" s="77">
        <f>50</f>
        <v>50</v>
      </c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</row>
    <row r="362" spans="1:30" ht="15.75" x14ac:dyDescent="0.25">
      <c r="A362" s="33">
        <v>51956</v>
      </c>
      <c r="B362" s="90">
        <v>31</v>
      </c>
      <c r="C362" s="77">
        <f>122.58</f>
        <v>122.58</v>
      </c>
      <c r="D362" s="77">
        <f>297.941</f>
        <v>297.94099999999997</v>
      </c>
      <c r="E362" s="86">
        <f>89.177</f>
        <v>89.177000000000007</v>
      </c>
      <c r="F362" s="77">
        <f>240.302-40-60-100</f>
        <v>40.301999999999992</v>
      </c>
      <c r="G362" s="80">
        <v>40</v>
      </c>
      <c r="H362" s="77">
        <f>60+100</f>
        <v>160</v>
      </c>
      <c r="I362" s="77">
        <f t="shared" si="49"/>
        <v>0</v>
      </c>
      <c r="J362" s="80">
        <v>100</v>
      </c>
      <c r="K362" s="80">
        <v>300</v>
      </c>
      <c r="L362" s="77">
        <f t="shared" si="52"/>
        <v>1150</v>
      </c>
      <c r="M362" s="88">
        <v>600</v>
      </c>
      <c r="N362" s="77">
        <f>100</f>
        <v>100</v>
      </c>
      <c r="O362" s="80">
        <v>240</v>
      </c>
      <c r="P362" s="80">
        <v>40</v>
      </c>
      <c r="Q362" s="80">
        <f t="shared" si="53"/>
        <v>315</v>
      </c>
      <c r="R362" s="80">
        <f t="shared" si="54"/>
        <v>100</v>
      </c>
      <c r="S362" s="77">
        <f t="shared" si="55"/>
        <v>695</v>
      </c>
      <c r="T362" s="77">
        <f>50</f>
        <v>50</v>
      </c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</row>
    <row r="363" spans="1:30" ht="15.75" x14ac:dyDescent="0.25">
      <c r="A363" s="33">
        <v>51986</v>
      </c>
      <c r="B363" s="90">
        <v>30</v>
      </c>
      <c r="C363" s="77">
        <f>141.293</f>
        <v>141.29300000000001</v>
      </c>
      <c r="D363" s="77">
        <f>267.993</f>
        <v>267.99299999999999</v>
      </c>
      <c r="E363" s="86">
        <f>115.016</f>
        <v>115.01600000000001</v>
      </c>
      <c r="F363" s="77">
        <f>314.698-40-25-60-100</f>
        <v>89.697999999999979</v>
      </c>
      <c r="G363" s="80">
        <v>40</v>
      </c>
      <c r="H363" s="77">
        <f t="shared" ref="H363:H369" si="58">25+60+100</f>
        <v>185</v>
      </c>
      <c r="I363" s="77">
        <f t="shared" si="49"/>
        <v>0</v>
      </c>
      <c r="J363" s="80">
        <v>100</v>
      </c>
      <c r="K363" s="80">
        <v>300</v>
      </c>
      <c r="L363" s="77">
        <f t="shared" si="52"/>
        <v>1239</v>
      </c>
      <c r="M363" s="88">
        <v>600</v>
      </c>
      <c r="N363" s="77">
        <f>100</f>
        <v>100</v>
      </c>
      <c r="O363" s="80">
        <v>240</v>
      </c>
      <c r="P363" s="80">
        <v>160</v>
      </c>
      <c r="Q363" s="80">
        <f t="shared" si="53"/>
        <v>195</v>
      </c>
      <c r="R363" s="80">
        <f t="shared" si="54"/>
        <v>100</v>
      </c>
      <c r="S363" s="77">
        <f t="shared" si="55"/>
        <v>695</v>
      </c>
      <c r="T363" s="77">
        <f>50</f>
        <v>50</v>
      </c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</row>
    <row r="364" spans="1:30" ht="15.75" x14ac:dyDescent="0.25">
      <c r="A364" s="33">
        <v>52017</v>
      </c>
      <c r="B364" s="90">
        <v>31</v>
      </c>
      <c r="C364" s="77">
        <f>194.205</f>
        <v>194.20500000000001</v>
      </c>
      <c r="D364" s="77">
        <f>267.466</f>
        <v>267.46600000000001</v>
      </c>
      <c r="E364" s="86">
        <f>133.845</f>
        <v>133.845</v>
      </c>
      <c r="F364" s="77">
        <f>278.484-40-25-60-100</f>
        <v>53.48399999999998</v>
      </c>
      <c r="G364" s="80">
        <v>40</v>
      </c>
      <c r="H364" s="77">
        <f t="shared" si="58"/>
        <v>185</v>
      </c>
      <c r="I364" s="77">
        <f t="shared" si="49"/>
        <v>0</v>
      </c>
      <c r="J364" s="80">
        <v>100</v>
      </c>
      <c r="K364" s="80">
        <v>300</v>
      </c>
      <c r="L364" s="77">
        <f t="shared" si="52"/>
        <v>1274</v>
      </c>
      <c r="M364" s="88">
        <v>600</v>
      </c>
      <c r="N364" s="77">
        <f>75</f>
        <v>75</v>
      </c>
      <c r="O364" s="80">
        <v>240</v>
      </c>
      <c r="P364" s="80">
        <v>160</v>
      </c>
      <c r="Q364" s="80">
        <f t="shared" si="53"/>
        <v>195</v>
      </c>
      <c r="R364" s="80">
        <f t="shared" si="54"/>
        <v>100</v>
      </c>
      <c r="S364" s="77">
        <f t="shared" si="55"/>
        <v>695</v>
      </c>
      <c r="T364" s="77">
        <f>50</f>
        <v>50</v>
      </c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</row>
    <row r="365" spans="1:30" ht="15.75" x14ac:dyDescent="0.25">
      <c r="A365" s="33">
        <v>52047</v>
      </c>
      <c r="B365" s="90">
        <v>30</v>
      </c>
      <c r="C365" s="77">
        <f>194.205</f>
        <v>194.20500000000001</v>
      </c>
      <c r="D365" s="77">
        <f>267.466</f>
        <v>267.46600000000001</v>
      </c>
      <c r="E365" s="86">
        <f>133.845</f>
        <v>133.845</v>
      </c>
      <c r="F365" s="77">
        <f>278.484-40-25-60-100</f>
        <v>53.48399999999998</v>
      </c>
      <c r="G365" s="80">
        <v>40</v>
      </c>
      <c r="H365" s="77">
        <f t="shared" si="58"/>
        <v>185</v>
      </c>
      <c r="I365" s="77">
        <f t="shared" si="49"/>
        <v>0</v>
      </c>
      <c r="J365" s="80">
        <v>100</v>
      </c>
      <c r="K365" s="80">
        <v>300</v>
      </c>
      <c r="L365" s="77">
        <f t="shared" si="52"/>
        <v>1274</v>
      </c>
      <c r="M365" s="88">
        <v>600</v>
      </c>
      <c r="N365" s="77">
        <f>30</f>
        <v>30</v>
      </c>
      <c r="O365" s="80">
        <v>240</v>
      </c>
      <c r="P365" s="80">
        <v>160</v>
      </c>
      <c r="Q365" s="80">
        <f t="shared" si="53"/>
        <v>195</v>
      </c>
      <c r="R365" s="80">
        <f t="shared" si="54"/>
        <v>100</v>
      </c>
      <c r="S365" s="77">
        <f t="shared" si="55"/>
        <v>695</v>
      </c>
      <c r="T365" s="77">
        <f>50</f>
        <v>50</v>
      </c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</row>
    <row r="366" spans="1:30" ht="15.75" x14ac:dyDescent="0.25">
      <c r="A366" s="33">
        <v>52078</v>
      </c>
      <c r="B366" s="90">
        <v>31</v>
      </c>
      <c r="C366" s="77">
        <f>194.205</f>
        <v>194.20500000000001</v>
      </c>
      <c r="D366" s="77">
        <f>267.466</f>
        <v>267.46600000000001</v>
      </c>
      <c r="E366" s="86">
        <f>133.845</f>
        <v>133.845</v>
      </c>
      <c r="F366" s="77">
        <f>278.484-40-25-60-100</f>
        <v>53.48399999999998</v>
      </c>
      <c r="G366" s="80">
        <v>40</v>
      </c>
      <c r="H366" s="77">
        <f t="shared" si="58"/>
        <v>185</v>
      </c>
      <c r="I366" s="77">
        <f t="shared" si="49"/>
        <v>0</v>
      </c>
      <c r="J366" s="80">
        <v>100</v>
      </c>
      <c r="K366" s="80">
        <v>300</v>
      </c>
      <c r="L366" s="77">
        <f t="shared" si="52"/>
        <v>1274</v>
      </c>
      <c r="M366" s="88">
        <v>600</v>
      </c>
      <c r="N366" s="77">
        <f>30</f>
        <v>30</v>
      </c>
      <c r="O366" s="80">
        <v>240</v>
      </c>
      <c r="P366" s="80">
        <v>160</v>
      </c>
      <c r="Q366" s="80">
        <f t="shared" si="53"/>
        <v>195</v>
      </c>
      <c r="R366" s="80">
        <f t="shared" si="54"/>
        <v>100</v>
      </c>
      <c r="S366" s="77">
        <f t="shared" si="55"/>
        <v>695</v>
      </c>
      <c r="T366" s="77">
        <f>0</f>
        <v>0</v>
      </c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</row>
    <row r="367" spans="1:30" ht="15.75" x14ac:dyDescent="0.25">
      <c r="A367" s="33">
        <v>52109</v>
      </c>
      <c r="B367" s="90">
        <v>31</v>
      </c>
      <c r="C367" s="77">
        <f>194.205</f>
        <v>194.20500000000001</v>
      </c>
      <c r="D367" s="77">
        <f>267.466</f>
        <v>267.46600000000001</v>
      </c>
      <c r="E367" s="86">
        <f>133.845</f>
        <v>133.845</v>
      </c>
      <c r="F367" s="77">
        <f>278.484-40-25-60-100</f>
        <v>53.48399999999998</v>
      </c>
      <c r="G367" s="80">
        <v>40</v>
      </c>
      <c r="H367" s="77">
        <f t="shared" si="58"/>
        <v>185</v>
      </c>
      <c r="I367" s="77">
        <f t="shared" si="49"/>
        <v>0</v>
      </c>
      <c r="J367" s="80">
        <v>100</v>
      </c>
      <c r="K367" s="80">
        <v>300</v>
      </c>
      <c r="L367" s="77">
        <f t="shared" si="52"/>
        <v>1274</v>
      </c>
      <c r="M367" s="88">
        <v>600</v>
      </c>
      <c r="N367" s="77">
        <f>30</f>
        <v>30</v>
      </c>
      <c r="O367" s="80">
        <v>240</v>
      </c>
      <c r="P367" s="80">
        <v>160</v>
      </c>
      <c r="Q367" s="80">
        <f t="shared" si="53"/>
        <v>195</v>
      </c>
      <c r="R367" s="80">
        <f t="shared" si="54"/>
        <v>100</v>
      </c>
      <c r="S367" s="77">
        <f t="shared" si="55"/>
        <v>695</v>
      </c>
      <c r="T367" s="77">
        <f>0</f>
        <v>0</v>
      </c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</row>
    <row r="368" spans="1:30" ht="15.75" x14ac:dyDescent="0.25">
      <c r="A368" s="33">
        <v>52139</v>
      </c>
      <c r="B368" s="90">
        <v>30</v>
      </c>
      <c r="C368" s="77">
        <f>194.205</f>
        <v>194.20500000000001</v>
      </c>
      <c r="D368" s="77">
        <f>267.466</f>
        <v>267.46600000000001</v>
      </c>
      <c r="E368" s="86">
        <f>133.845</f>
        <v>133.845</v>
      </c>
      <c r="F368" s="77">
        <f>278.484-40-25-60-100</f>
        <v>53.48399999999998</v>
      </c>
      <c r="G368" s="80">
        <v>40</v>
      </c>
      <c r="H368" s="77">
        <f t="shared" si="58"/>
        <v>185</v>
      </c>
      <c r="I368" s="77">
        <f t="shared" si="49"/>
        <v>0</v>
      </c>
      <c r="J368" s="80">
        <v>100</v>
      </c>
      <c r="K368" s="80">
        <v>300</v>
      </c>
      <c r="L368" s="77">
        <f t="shared" si="52"/>
        <v>1274</v>
      </c>
      <c r="M368" s="88">
        <v>600</v>
      </c>
      <c r="N368" s="77">
        <f>30</f>
        <v>30</v>
      </c>
      <c r="O368" s="80">
        <v>240</v>
      </c>
      <c r="P368" s="80">
        <v>160</v>
      </c>
      <c r="Q368" s="80">
        <f t="shared" si="53"/>
        <v>195</v>
      </c>
      <c r="R368" s="80">
        <f t="shared" si="54"/>
        <v>100</v>
      </c>
      <c r="S368" s="77">
        <f t="shared" si="55"/>
        <v>695</v>
      </c>
      <c r="T368" s="77">
        <f>0</f>
        <v>0</v>
      </c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</row>
    <row r="369" spans="1:30" ht="15.75" x14ac:dyDescent="0.25">
      <c r="A369" s="33">
        <v>52170</v>
      </c>
      <c r="B369" s="90">
        <v>31</v>
      </c>
      <c r="C369" s="77">
        <f>131.881</f>
        <v>131.881</v>
      </c>
      <c r="D369" s="77">
        <f>277.167</f>
        <v>277.16699999999997</v>
      </c>
      <c r="E369" s="86">
        <f>79.08</f>
        <v>79.08</v>
      </c>
      <c r="F369" s="77">
        <f>350.872-40-25-60-100</f>
        <v>125.87200000000001</v>
      </c>
      <c r="G369" s="80">
        <v>40</v>
      </c>
      <c r="H369" s="77">
        <f t="shared" si="58"/>
        <v>185</v>
      </c>
      <c r="I369" s="77">
        <f t="shared" si="49"/>
        <v>0</v>
      </c>
      <c r="J369" s="80">
        <v>100</v>
      </c>
      <c r="K369" s="80">
        <v>300</v>
      </c>
      <c r="L369" s="77">
        <f t="shared" si="52"/>
        <v>1239</v>
      </c>
      <c r="M369" s="88">
        <v>600</v>
      </c>
      <c r="N369" s="77">
        <f>75</f>
        <v>75</v>
      </c>
      <c r="O369" s="80">
        <v>240</v>
      </c>
      <c r="P369" s="80">
        <v>160</v>
      </c>
      <c r="Q369" s="80">
        <f t="shared" si="53"/>
        <v>195</v>
      </c>
      <c r="R369" s="80">
        <f t="shared" si="54"/>
        <v>100</v>
      </c>
      <c r="S369" s="77">
        <f t="shared" si="55"/>
        <v>695</v>
      </c>
      <c r="T369" s="77">
        <f>0</f>
        <v>0</v>
      </c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</row>
    <row r="370" spans="1:30" ht="15.75" x14ac:dyDescent="0.25">
      <c r="A370" s="33">
        <v>52200</v>
      </c>
      <c r="B370" s="90">
        <v>30</v>
      </c>
      <c r="C370" s="77">
        <f>122.58</f>
        <v>122.58</v>
      </c>
      <c r="D370" s="77">
        <f>297.941</f>
        <v>297.94099999999997</v>
      </c>
      <c r="E370" s="86">
        <f>89.177</f>
        <v>89.177000000000007</v>
      </c>
      <c r="F370" s="77">
        <f>240.302-40-60-100</f>
        <v>40.301999999999992</v>
      </c>
      <c r="G370" s="80">
        <v>40</v>
      </c>
      <c r="H370" s="77">
        <f>60+100</f>
        <v>160</v>
      </c>
      <c r="I370" s="77">
        <f t="shared" si="49"/>
        <v>0</v>
      </c>
      <c r="J370" s="80">
        <v>100</v>
      </c>
      <c r="K370" s="80">
        <v>300</v>
      </c>
      <c r="L370" s="77">
        <f t="shared" si="52"/>
        <v>1150</v>
      </c>
      <c r="M370" s="88">
        <v>600</v>
      </c>
      <c r="N370" s="77">
        <f>100</f>
        <v>100</v>
      </c>
      <c r="O370" s="80">
        <v>240</v>
      </c>
      <c r="P370" s="80">
        <v>40</v>
      </c>
      <c r="Q370" s="80">
        <f t="shared" si="53"/>
        <v>315</v>
      </c>
      <c r="R370" s="80">
        <f t="shared" si="54"/>
        <v>100</v>
      </c>
      <c r="S370" s="77">
        <f t="shared" si="55"/>
        <v>695</v>
      </c>
      <c r="T370" s="77">
        <f>50</f>
        <v>50</v>
      </c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</row>
    <row r="371" spans="1:30" ht="15.75" x14ac:dyDescent="0.25">
      <c r="A371" s="33">
        <v>52231</v>
      </c>
      <c r="B371" s="90">
        <v>31</v>
      </c>
      <c r="C371" s="77">
        <f>122.58</f>
        <v>122.58</v>
      </c>
      <c r="D371" s="77">
        <f>297.941</f>
        <v>297.94099999999997</v>
      </c>
      <c r="E371" s="86">
        <f>89.177</f>
        <v>89.177000000000007</v>
      </c>
      <c r="F371" s="77">
        <f>240.302-40-60-100</f>
        <v>40.301999999999992</v>
      </c>
      <c r="G371" s="80">
        <v>40</v>
      </c>
      <c r="H371" s="77">
        <f>60+100</f>
        <v>160</v>
      </c>
      <c r="I371" s="77">
        <f t="shared" si="49"/>
        <v>0</v>
      </c>
      <c r="J371" s="80">
        <v>100</v>
      </c>
      <c r="K371" s="80">
        <v>300</v>
      </c>
      <c r="L371" s="77">
        <f t="shared" si="52"/>
        <v>1150</v>
      </c>
      <c r="M371" s="88">
        <v>600</v>
      </c>
      <c r="N371" s="77">
        <f>100</f>
        <v>100</v>
      </c>
      <c r="O371" s="80">
        <v>240</v>
      </c>
      <c r="P371" s="80">
        <v>40</v>
      </c>
      <c r="Q371" s="80">
        <f t="shared" si="53"/>
        <v>315</v>
      </c>
      <c r="R371" s="80">
        <f t="shared" si="54"/>
        <v>100</v>
      </c>
      <c r="S371" s="77">
        <f t="shared" si="55"/>
        <v>695</v>
      </c>
      <c r="T371" s="77">
        <f>50</f>
        <v>50</v>
      </c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</row>
    <row r="372" spans="1:30" ht="15.75" x14ac:dyDescent="0.25">
      <c r="A372" s="33">
        <v>52262</v>
      </c>
      <c r="B372" s="90">
        <v>31</v>
      </c>
      <c r="C372" s="77">
        <f>122.58</f>
        <v>122.58</v>
      </c>
      <c r="D372" s="77">
        <f>297.941</f>
        <v>297.94099999999997</v>
      </c>
      <c r="E372" s="86">
        <f>89.177</f>
        <v>89.177000000000007</v>
      </c>
      <c r="F372" s="77">
        <f>240.302-40-60-100</f>
        <v>40.301999999999992</v>
      </c>
      <c r="G372" s="80">
        <v>40</v>
      </c>
      <c r="H372" s="77">
        <f>60+100</f>
        <v>160</v>
      </c>
      <c r="I372" s="77">
        <f t="shared" ref="I372:I435" si="59">400-J372-K372</f>
        <v>0</v>
      </c>
      <c r="J372" s="80">
        <v>100</v>
      </c>
      <c r="K372" s="80">
        <v>300</v>
      </c>
      <c r="L372" s="77">
        <f t="shared" si="52"/>
        <v>1150</v>
      </c>
      <c r="M372" s="88">
        <v>600</v>
      </c>
      <c r="N372" s="77">
        <f>100</f>
        <v>100</v>
      </c>
      <c r="O372" s="80">
        <v>240</v>
      </c>
      <c r="P372" s="80">
        <v>40</v>
      </c>
      <c r="Q372" s="80">
        <f t="shared" si="53"/>
        <v>315</v>
      </c>
      <c r="R372" s="80">
        <f t="shared" si="54"/>
        <v>100</v>
      </c>
      <c r="S372" s="77">
        <f t="shared" si="55"/>
        <v>695</v>
      </c>
      <c r="T372" s="77">
        <f>50</f>
        <v>50</v>
      </c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</row>
    <row r="373" spans="1:30" ht="15.75" x14ac:dyDescent="0.25">
      <c r="A373" s="33">
        <v>52290</v>
      </c>
      <c r="B373" s="90">
        <v>28</v>
      </c>
      <c r="C373" s="77">
        <f>122.58</f>
        <v>122.58</v>
      </c>
      <c r="D373" s="77">
        <f>297.941</f>
        <v>297.94099999999997</v>
      </c>
      <c r="E373" s="86">
        <f>89.177</f>
        <v>89.177000000000007</v>
      </c>
      <c r="F373" s="77">
        <f>240.302-40-60-100</f>
        <v>40.301999999999992</v>
      </c>
      <c r="G373" s="80">
        <v>40</v>
      </c>
      <c r="H373" s="77">
        <f>60+100</f>
        <v>160</v>
      </c>
      <c r="I373" s="77">
        <f t="shared" si="59"/>
        <v>0</v>
      </c>
      <c r="J373" s="80">
        <v>100</v>
      </c>
      <c r="K373" s="80">
        <v>300</v>
      </c>
      <c r="L373" s="77">
        <f t="shared" si="52"/>
        <v>1150</v>
      </c>
      <c r="M373" s="88">
        <v>600</v>
      </c>
      <c r="N373" s="77">
        <f>100</f>
        <v>100</v>
      </c>
      <c r="O373" s="80">
        <v>240</v>
      </c>
      <c r="P373" s="80">
        <v>40</v>
      </c>
      <c r="Q373" s="80">
        <f t="shared" si="53"/>
        <v>315</v>
      </c>
      <c r="R373" s="80">
        <f t="shared" si="54"/>
        <v>100</v>
      </c>
      <c r="S373" s="77">
        <f t="shared" si="55"/>
        <v>695</v>
      </c>
      <c r="T373" s="77">
        <f>50</f>
        <v>50</v>
      </c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</row>
    <row r="374" spans="1:30" ht="15.75" x14ac:dyDescent="0.25">
      <c r="A374" s="33">
        <v>52321</v>
      </c>
      <c r="B374" s="90">
        <v>31</v>
      </c>
      <c r="C374" s="77">
        <f>122.58</f>
        <v>122.58</v>
      </c>
      <c r="D374" s="77">
        <f>297.941</f>
        <v>297.94099999999997</v>
      </c>
      <c r="E374" s="86">
        <f>89.177</f>
        <v>89.177000000000007</v>
      </c>
      <c r="F374" s="77">
        <f>240.302-40-60-100</f>
        <v>40.301999999999992</v>
      </c>
      <c r="G374" s="80">
        <v>40</v>
      </c>
      <c r="H374" s="77">
        <f>60+100</f>
        <v>160</v>
      </c>
      <c r="I374" s="77">
        <f t="shared" si="59"/>
        <v>0</v>
      </c>
      <c r="J374" s="80">
        <v>100</v>
      </c>
      <c r="K374" s="80">
        <v>300</v>
      </c>
      <c r="L374" s="77">
        <f t="shared" si="52"/>
        <v>1150</v>
      </c>
      <c r="M374" s="88">
        <v>600</v>
      </c>
      <c r="N374" s="77">
        <f>100</f>
        <v>100</v>
      </c>
      <c r="O374" s="80">
        <v>240</v>
      </c>
      <c r="P374" s="80">
        <v>40</v>
      </c>
      <c r="Q374" s="80">
        <f t="shared" si="53"/>
        <v>315</v>
      </c>
      <c r="R374" s="80">
        <f t="shared" si="54"/>
        <v>100</v>
      </c>
      <c r="S374" s="77">
        <f t="shared" si="55"/>
        <v>695</v>
      </c>
      <c r="T374" s="77">
        <f>50</f>
        <v>50</v>
      </c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</row>
    <row r="375" spans="1:30" ht="15.75" x14ac:dyDescent="0.25">
      <c r="A375" s="33">
        <v>52351</v>
      </c>
      <c r="B375" s="90">
        <v>30</v>
      </c>
      <c r="C375" s="77">
        <f>141.293</f>
        <v>141.29300000000001</v>
      </c>
      <c r="D375" s="77">
        <f>267.993</f>
        <v>267.99299999999999</v>
      </c>
      <c r="E375" s="86">
        <f>115.016</f>
        <v>115.01600000000001</v>
      </c>
      <c r="F375" s="77">
        <f>314.698-40-25-60-100</f>
        <v>89.697999999999979</v>
      </c>
      <c r="G375" s="80">
        <v>40</v>
      </c>
      <c r="H375" s="77">
        <f t="shared" ref="H375:H381" si="60">25+60+100</f>
        <v>185</v>
      </c>
      <c r="I375" s="77">
        <f t="shared" si="59"/>
        <v>0</v>
      </c>
      <c r="J375" s="80">
        <v>100</v>
      </c>
      <c r="K375" s="80">
        <v>300</v>
      </c>
      <c r="L375" s="77">
        <f t="shared" si="52"/>
        <v>1239</v>
      </c>
      <c r="M375" s="88">
        <v>600</v>
      </c>
      <c r="N375" s="77">
        <f>100</f>
        <v>100</v>
      </c>
      <c r="O375" s="80">
        <v>240</v>
      </c>
      <c r="P375" s="80">
        <v>160</v>
      </c>
      <c r="Q375" s="80">
        <f t="shared" si="53"/>
        <v>195</v>
      </c>
      <c r="R375" s="80">
        <f t="shared" si="54"/>
        <v>100</v>
      </c>
      <c r="S375" s="77">
        <f t="shared" si="55"/>
        <v>695</v>
      </c>
      <c r="T375" s="77">
        <f>50</f>
        <v>50</v>
      </c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</row>
    <row r="376" spans="1:30" ht="15.75" x14ac:dyDescent="0.25">
      <c r="A376" s="33">
        <v>52382</v>
      </c>
      <c r="B376" s="90">
        <v>31</v>
      </c>
      <c r="C376" s="77">
        <f>194.205</f>
        <v>194.20500000000001</v>
      </c>
      <c r="D376" s="77">
        <f>267.466</f>
        <v>267.46600000000001</v>
      </c>
      <c r="E376" s="86">
        <f>133.845</f>
        <v>133.845</v>
      </c>
      <c r="F376" s="77">
        <f>278.484-40-25-60-100</f>
        <v>53.48399999999998</v>
      </c>
      <c r="G376" s="80">
        <v>40</v>
      </c>
      <c r="H376" s="77">
        <f t="shared" si="60"/>
        <v>185</v>
      </c>
      <c r="I376" s="77">
        <f t="shared" si="59"/>
        <v>0</v>
      </c>
      <c r="J376" s="80">
        <v>100</v>
      </c>
      <c r="K376" s="80">
        <v>300</v>
      </c>
      <c r="L376" s="77">
        <f t="shared" si="52"/>
        <v>1274</v>
      </c>
      <c r="M376" s="88">
        <v>600</v>
      </c>
      <c r="N376" s="77">
        <f>75</f>
        <v>75</v>
      </c>
      <c r="O376" s="80">
        <v>240</v>
      </c>
      <c r="P376" s="80">
        <v>160</v>
      </c>
      <c r="Q376" s="80">
        <f t="shared" si="53"/>
        <v>195</v>
      </c>
      <c r="R376" s="80">
        <f t="shared" si="54"/>
        <v>100</v>
      </c>
      <c r="S376" s="77">
        <f t="shared" si="55"/>
        <v>695</v>
      </c>
      <c r="T376" s="77">
        <f>50</f>
        <v>50</v>
      </c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</row>
    <row r="377" spans="1:30" ht="15.75" x14ac:dyDescent="0.25">
      <c r="A377" s="33">
        <v>52412</v>
      </c>
      <c r="B377" s="90">
        <v>30</v>
      </c>
      <c r="C377" s="77">
        <f>194.205</f>
        <v>194.20500000000001</v>
      </c>
      <c r="D377" s="77">
        <f>267.466</f>
        <v>267.46600000000001</v>
      </c>
      <c r="E377" s="86">
        <f>133.845</f>
        <v>133.845</v>
      </c>
      <c r="F377" s="77">
        <f>278.484-40-25-60-100</f>
        <v>53.48399999999998</v>
      </c>
      <c r="G377" s="80">
        <v>40</v>
      </c>
      <c r="H377" s="77">
        <f t="shared" si="60"/>
        <v>185</v>
      </c>
      <c r="I377" s="77">
        <f t="shared" si="59"/>
        <v>0</v>
      </c>
      <c r="J377" s="80">
        <v>100</v>
      </c>
      <c r="K377" s="80">
        <v>300</v>
      </c>
      <c r="L377" s="77">
        <f t="shared" si="52"/>
        <v>1274</v>
      </c>
      <c r="M377" s="88">
        <v>600</v>
      </c>
      <c r="N377" s="77">
        <f>30</f>
        <v>30</v>
      </c>
      <c r="O377" s="80">
        <v>240</v>
      </c>
      <c r="P377" s="80">
        <v>160</v>
      </c>
      <c r="Q377" s="80">
        <f t="shared" si="53"/>
        <v>195</v>
      </c>
      <c r="R377" s="80">
        <f t="shared" si="54"/>
        <v>100</v>
      </c>
      <c r="S377" s="77">
        <f t="shared" si="55"/>
        <v>695</v>
      </c>
      <c r="T377" s="77">
        <f>50</f>
        <v>50</v>
      </c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</row>
    <row r="378" spans="1:30" ht="15.75" x14ac:dyDescent="0.25">
      <c r="A378" s="33">
        <v>52443</v>
      </c>
      <c r="B378" s="90">
        <v>31</v>
      </c>
      <c r="C378" s="77">
        <f>194.205</f>
        <v>194.20500000000001</v>
      </c>
      <c r="D378" s="77">
        <f>267.466</f>
        <v>267.46600000000001</v>
      </c>
      <c r="E378" s="86">
        <f>133.845</f>
        <v>133.845</v>
      </c>
      <c r="F378" s="77">
        <f>278.484-40-25-60-100</f>
        <v>53.48399999999998</v>
      </c>
      <c r="G378" s="80">
        <v>40</v>
      </c>
      <c r="H378" s="77">
        <f t="shared" si="60"/>
        <v>185</v>
      </c>
      <c r="I378" s="77">
        <f t="shared" si="59"/>
        <v>0</v>
      </c>
      <c r="J378" s="80">
        <v>100</v>
      </c>
      <c r="K378" s="80">
        <v>300</v>
      </c>
      <c r="L378" s="77">
        <f t="shared" si="52"/>
        <v>1274</v>
      </c>
      <c r="M378" s="88">
        <v>600</v>
      </c>
      <c r="N378" s="77">
        <f>30</f>
        <v>30</v>
      </c>
      <c r="O378" s="80">
        <v>240</v>
      </c>
      <c r="P378" s="80">
        <v>160</v>
      </c>
      <c r="Q378" s="80">
        <f t="shared" si="53"/>
        <v>195</v>
      </c>
      <c r="R378" s="80">
        <f t="shared" si="54"/>
        <v>100</v>
      </c>
      <c r="S378" s="77">
        <f t="shared" si="55"/>
        <v>695</v>
      </c>
      <c r="T378" s="77">
        <f>0</f>
        <v>0</v>
      </c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</row>
    <row r="379" spans="1:30" ht="15.75" x14ac:dyDescent="0.25">
      <c r="A379" s="33">
        <v>52474</v>
      </c>
      <c r="B379" s="90">
        <v>31</v>
      </c>
      <c r="C379" s="77">
        <f>194.205</f>
        <v>194.20500000000001</v>
      </c>
      <c r="D379" s="77">
        <f>267.466</f>
        <v>267.46600000000001</v>
      </c>
      <c r="E379" s="86">
        <f>133.845</f>
        <v>133.845</v>
      </c>
      <c r="F379" s="77">
        <f>278.484-40-25-60-100</f>
        <v>53.48399999999998</v>
      </c>
      <c r="G379" s="80">
        <v>40</v>
      </c>
      <c r="H379" s="77">
        <f t="shared" si="60"/>
        <v>185</v>
      </c>
      <c r="I379" s="77">
        <f t="shared" si="59"/>
        <v>0</v>
      </c>
      <c r="J379" s="80">
        <v>100</v>
      </c>
      <c r="K379" s="80">
        <v>300</v>
      </c>
      <c r="L379" s="77">
        <f t="shared" si="52"/>
        <v>1274</v>
      </c>
      <c r="M379" s="88">
        <v>600</v>
      </c>
      <c r="N379" s="77">
        <f>30</f>
        <v>30</v>
      </c>
      <c r="O379" s="80">
        <v>240</v>
      </c>
      <c r="P379" s="80">
        <v>160</v>
      </c>
      <c r="Q379" s="80">
        <f t="shared" si="53"/>
        <v>195</v>
      </c>
      <c r="R379" s="80">
        <f t="shared" si="54"/>
        <v>100</v>
      </c>
      <c r="S379" s="77">
        <f t="shared" si="55"/>
        <v>695</v>
      </c>
      <c r="T379" s="77">
        <f>0</f>
        <v>0</v>
      </c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</row>
    <row r="380" spans="1:30" ht="15.75" x14ac:dyDescent="0.25">
      <c r="A380" s="33">
        <v>52504</v>
      </c>
      <c r="B380" s="90">
        <v>30</v>
      </c>
      <c r="C380" s="77">
        <f>194.205</f>
        <v>194.20500000000001</v>
      </c>
      <c r="D380" s="77">
        <f>267.466</f>
        <v>267.46600000000001</v>
      </c>
      <c r="E380" s="86">
        <f>133.845</f>
        <v>133.845</v>
      </c>
      <c r="F380" s="77">
        <f>278.484-40-25-60-100</f>
        <v>53.48399999999998</v>
      </c>
      <c r="G380" s="80">
        <v>40</v>
      </c>
      <c r="H380" s="77">
        <f t="shared" si="60"/>
        <v>185</v>
      </c>
      <c r="I380" s="77">
        <f t="shared" si="59"/>
        <v>0</v>
      </c>
      <c r="J380" s="80">
        <v>100</v>
      </c>
      <c r="K380" s="80">
        <v>300</v>
      </c>
      <c r="L380" s="77">
        <f t="shared" si="52"/>
        <v>1274</v>
      </c>
      <c r="M380" s="88">
        <v>600</v>
      </c>
      <c r="N380" s="77">
        <f>30</f>
        <v>30</v>
      </c>
      <c r="O380" s="80">
        <v>240</v>
      </c>
      <c r="P380" s="80">
        <v>160</v>
      </c>
      <c r="Q380" s="80">
        <f t="shared" si="53"/>
        <v>195</v>
      </c>
      <c r="R380" s="80">
        <f t="shared" si="54"/>
        <v>100</v>
      </c>
      <c r="S380" s="77">
        <f t="shared" si="55"/>
        <v>695</v>
      </c>
      <c r="T380" s="77">
        <f>0</f>
        <v>0</v>
      </c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</row>
    <row r="381" spans="1:30" ht="15.75" x14ac:dyDescent="0.25">
      <c r="A381" s="33">
        <v>52535</v>
      </c>
      <c r="B381" s="90">
        <v>31</v>
      </c>
      <c r="C381" s="77">
        <f>131.881</f>
        <v>131.881</v>
      </c>
      <c r="D381" s="77">
        <f>277.167</f>
        <v>277.16699999999997</v>
      </c>
      <c r="E381" s="86">
        <f>79.08</f>
        <v>79.08</v>
      </c>
      <c r="F381" s="77">
        <f>350.872-40-25-60-100</f>
        <v>125.87200000000001</v>
      </c>
      <c r="G381" s="80">
        <v>40</v>
      </c>
      <c r="H381" s="77">
        <f t="shared" si="60"/>
        <v>185</v>
      </c>
      <c r="I381" s="77">
        <f t="shared" si="59"/>
        <v>0</v>
      </c>
      <c r="J381" s="80">
        <v>100</v>
      </c>
      <c r="K381" s="80">
        <v>300</v>
      </c>
      <c r="L381" s="77">
        <f t="shared" si="52"/>
        <v>1239</v>
      </c>
      <c r="M381" s="88">
        <v>600</v>
      </c>
      <c r="N381" s="77">
        <f>75</f>
        <v>75</v>
      </c>
      <c r="O381" s="80">
        <v>240</v>
      </c>
      <c r="P381" s="80">
        <v>160</v>
      </c>
      <c r="Q381" s="80">
        <f t="shared" si="53"/>
        <v>195</v>
      </c>
      <c r="R381" s="80">
        <f t="shared" si="54"/>
        <v>100</v>
      </c>
      <c r="S381" s="77">
        <f t="shared" si="55"/>
        <v>695</v>
      </c>
      <c r="T381" s="77">
        <f>0</f>
        <v>0</v>
      </c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</row>
    <row r="382" spans="1:30" ht="15.75" x14ac:dyDescent="0.25">
      <c r="A382" s="33">
        <v>52565</v>
      </c>
      <c r="B382" s="90">
        <v>30</v>
      </c>
      <c r="C382" s="77">
        <f>122.58</f>
        <v>122.58</v>
      </c>
      <c r="D382" s="77">
        <f>297.941</f>
        <v>297.94099999999997</v>
      </c>
      <c r="E382" s="86">
        <f>89.177</f>
        <v>89.177000000000007</v>
      </c>
      <c r="F382" s="77">
        <f>240.302-40-60-100</f>
        <v>40.301999999999992</v>
      </c>
      <c r="G382" s="80">
        <v>40</v>
      </c>
      <c r="H382" s="77">
        <f>60+100</f>
        <v>160</v>
      </c>
      <c r="I382" s="77">
        <f t="shared" si="59"/>
        <v>0</v>
      </c>
      <c r="J382" s="80">
        <v>100</v>
      </c>
      <c r="K382" s="80">
        <v>300</v>
      </c>
      <c r="L382" s="77">
        <f t="shared" si="52"/>
        <v>1150</v>
      </c>
      <c r="M382" s="88">
        <v>600</v>
      </c>
      <c r="N382" s="77">
        <f>100</f>
        <v>100</v>
      </c>
      <c r="O382" s="80">
        <v>240</v>
      </c>
      <c r="P382" s="80">
        <v>40</v>
      </c>
      <c r="Q382" s="80">
        <f t="shared" si="53"/>
        <v>315</v>
      </c>
      <c r="R382" s="80">
        <f t="shared" si="54"/>
        <v>100</v>
      </c>
      <c r="S382" s="77">
        <f t="shared" si="55"/>
        <v>695</v>
      </c>
      <c r="T382" s="77">
        <f>50</f>
        <v>50</v>
      </c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</row>
    <row r="383" spans="1:30" ht="15.75" x14ac:dyDescent="0.25">
      <c r="A383" s="33">
        <v>52596</v>
      </c>
      <c r="B383" s="90">
        <v>31</v>
      </c>
      <c r="C383" s="77">
        <f>122.58</f>
        <v>122.58</v>
      </c>
      <c r="D383" s="77">
        <f>297.941</f>
        <v>297.94099999999997</v>
      </c>
      <c r="E383" s="86">
        <f>89.177</f>
        <v>89.177000000000007</v>
      </c>
      <c r="F383" s="77">
        <f>240.302-40-60-100</f>
        <v>40.301999999999992</v>
      </c>
      <c r="G383" s="80">
        <v>40</v>
      </c>
      <c r="H383" s="77">
        <f>60+100</f>
        <v>160</v>
      </c>
      <c r="I383" s="77">
        <f t="shared" si="59"/>
        <v>0</v>
      </c>
      <c r="J383" s="80">
        <v>100</v>
      </c>
      <c r="K383" s="80">
        <v>300</v>
      </c>
      <c r="L383" s="77">
        <f t="shared" si="52"/>
        <v>1150</v>
      </c>
      <c r="M383" s="88">
        <v>600</v>
      </c>
      <c r="N383" s="77">
        <f>100</f>
        <v>100</v>
      </c>
      <c r="O383" s="80">
        <v>240</v>
      </c>
      <c r="P383" s="80">
        <v>40</v>
      </c>
      <c r="Q383" s="80">
        <f t="shared" si="53"/>
        <v>315</v>
      </c>
      <c r="R383" s="80">
        <f t="shared" si="54"/>
        <v>100</v>
      </c>
      <c r="S383" s="77">
        <f t="shared" si="55"/>
        <v>695</v>
      </c>
      <c r="T383" s="77">
        <f>50</f>
        <v>50</v>
      </c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</row>
    <row r="384" spans="1:30" ht="15.75" x14ac:dyDescent="0.25">
      <c r="A384" s="33">
        <v>52627</v>
      </c>
      <c r="B384" s="90">
        <v>31</v>
      </c>
      <c r="C384" s="77">
        <f>122.58</f>
        <v>122.58</v>
      </c>
      <c r="D384" s="77">
        <f>297.941</f>
        <v>297.94099999999997</v>
      </c>
      <c r="E384" s="86">
        <f>89.177</f>
        <v>89.177000000000007</v>
      </c>
      <c r="F384" s="77">
        <f>240.302-40-60-100</f>
        <v>40.301999999999992</v>
      </c>
      <c r="G384" s="80">
        <v>40</v>
      </c>
      <c r="H384" s="77">
        <f>60+100</f>
        <v>160</v>
      </c>
      <c r="I384" s="77">
        <f t="shared" si="59"/>
        <v>0</v>
      </c>
      <c r="J384" s="80">
        <v>100</v>
      </c>
      <c r="K384" s="80">
        <v>300</v>
      </c>
      <c r="L384" s="77">
        <f t="shared" si="52"/>
        <v>1150</v>
      </c>
      <c r="M384" s="88">
        <v>600</v>
      </c>
      <c r="N384" s="77">
        <f>100</f>
        <v>100</v>
      </c>
      <c r="O384" s="80">
        <v>240</v>
      </c>
      <c r="P384" s="80">
        <v>40</v>
      </c>
      <c r="Q384" s="80">
        <f t="shared" si="53"/>
        <v>315</v>
      </c>
      <c r="R384" s="80">
        <f t="shared" si="54"/>
        <v>100</v>
      </c>
      <c r="S384" s="77">
        <f t="shared" si="55"/>
        <v>695</v>
      </c>
      <c r="T384" s="77">
        <f>50</f>
        <v>50</v>
      </c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</row>
    <row r="385" spans="1:30" ht="15.75" x14ac:dyDescent="0.25">
      <c r="A385" s="33">
        <v>52655</v>
      </c>
      <c r="B385" s="90">
        <v>29</v>
      </c>
      <c r="C385" s="77">
        <f>122.58</f>
        <v>122.58</v>
      </c>
      <c r="D385" s="77">
        <f>297.941</f>
        <v>297.94099999999997</v>
      </c>
      <c r="E385" s="86">
        <f>89.177</f>
        <v>89.177000000000007</v>
      </c>
      <c r="F385" s="77">
        <f>240.302-40-60-100</f>
        <v>40.301999999999992</v>
      </c>
      <c r="G385" s="80">
        <v>40</v>
      </c>
      <c r="H385" s="77">
        <f>60+100</f>
        <v>160</v>
      </c>
      <c r="I385" s="77">
        <f t="shared" si="59"/>
        <v>0</v>
      </c>
      <c r="J385" s="80">
        <v>100</v>
      </c>
      <c r="K385" s="80">
        <v>300</v>
      </c>
      <c r="L385" s="77">
        <f t="shared" si="52"/>
        <v>1150</v>
      </c>
      <c r="M385" s="88">
        <v>600</v>
      </c>
      <c r="N385" s="77">
        <f>100</f>
        <v>100</v>
      </c>
      <c r="O385" s="80">
        <v>240</v>
      </c>
      <c r="P385" s="80">
        <v>40</v>
      </c>
      <c r="Q385" s="80">
        <f t="shared" si="53"/>
        <v>315</v>
      </c>
      <c r="R385" s="80">
        <f t="shared" si="54"/>
        <v>100</v>
      </c>
      <c r="S385" s="77">
        <f t="shared" si="55"/>
        <v>695</v>
      </c>
      <c r="T385" s="77">
        <f>50</f>
        <v>50</v>
      </c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</row>
    <row r="386" spans="1:30" ht="15.75" x14ac:dyDescent="0.25">
      <c r="A386" s="33">
        <v>52687</v>
      </c>
      <c r="B386" s="90">
        <v>31</v>
      </c>
      <c r="C386" s="77">
        <f>122.58</f>
        <v>122.58</v>
      </c>
      <c r="D386" s="77">
        <f>297.941</f>
        <v>297.94099999999997</v>
      </c>
      <c r="E386" s="86">
        <f>89.177</f>
        <v>89.177000000000007</v>
      </c>
      <c r="F386" s="77">
        <f>240.302-40-60-100</f>
        <v>40.301999999999992</v>
      </c>
      <c r="G386" s="80">
        <v>40</v>
      </c>
      <c r="H386" s="77">
        <f>60+100</f>
        <v>160</v>
      </c>
      <c r="I386" s="77">
        <f t="shared" si="59"/>
        <v>0</v>
      </c>
      <c r="J386" s="80">
        <v>100</v>
      </c>
      <c r="K386" s="80">
        <v>300</v>
      </c>
      <c r="L386" s="77">
        <f t="shared" si="52"/>
        <v>1150</v>
      </c>
      <c r="M386" s="88">
        <v>600</v>
      </c>
      <c r="N386" s="77">
        <f>100</f>
        <v>100</v>
      </c>
      <c r="O386" s="80">
        <v>240</v>
      </c>
      <c r="P386" s="80">
        <v>40</v>
      </c>
      <c r="Q386" s="80">
        <f t="shared" si="53"/>
        <v>315</v>
      </c>
      <c r="R386" s="80">
        <f t="shared" si="54"/>
        <v>100</v>
      </c>
      <c r="S386" s="77">
        <f t="shared" si="55"/>
        <v>695</v>
      </c>
      <c r="T386" s="77">
        <f>50</f>
        <v>50</v>
      </c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</row>
    <row r="387" spans="1:30" ht="15.75" x14ac:dyDescent="0.25">
      <c r="A387" s="33">
        <v>52717</v>
      </c>
      <c r="B387" s="90">
        <v>30</v>
      </c>
      <c r="C387" s="77">
        <f>141.293</f>
        <v>141.29300000000001</v>
      </c>
      <c r="D387" s="77">
        <f>267.993</f>
        <v>267.99299999999999</v>
      </c>
      <c r="E387" s="86">
        <f>115.016</f>
        <v>115.01600000000001</v>
      </c>
      <c r="F387" s="77">
        <f>314.698-40-25-60-100</f>
        <v>89.697999999999979</v>
      </c>
      <c r="G387" s="80">
        <v>40</v>
      </c>
      <c r="H387" s="77">
        <f t="shared" ref="H387:H393" si="61">25+60+100</f>
        <v>185</v>
      </c>
      <c r="I387" s="77">
        <f t="shared" si="59"/>
        <v>0</v>
      </c>
      <c r="J387" s="80">
        <v>100</v>
      </c>
      <c r="K387" s="80">
        <v>300</v>
      </c>
      <c r="L387" s="77">
        <f t="shared" si="52"/>
        <v>1239</v>
      </c>
      <c r="M387" s="88">
        <v>600</v>
      </c>
      <c r="N387" s="77">
        <f>100</f>
        <v>100</v>
      </c>
      <c r="O387" s="80">
        <v>240</v>
      </c>
      <c r="P387" s="80">
        <v>160</v>
      </c>
      <c r="Q387" s="80">
        <f t="shared" si="53"/>
        <v>195</v>
      </c>
      <c r="R387" s="80">
        <f t="shared" si="54"/>
        <v>100</v>
      </c>
      <c r="S387" s="77">
        <f t="shared" si="55"/>
        <v>695</v>
      </c>
      <c r="T387" s="77">
        <f>50</f>
        <v>50</v>
      </c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</row>
    <row r="388" spans="1:30" ht="15.75" x14ac:dyDescent="0.25">
      <c r="A388" s="33">
        <v>52748</v>
      </c>
      <c r="B388" s="90">
        <v>31</v>
      </c>
      <c r="C388" s="77">
        <f>194.205</f>
        <v>194.20500000000001</v>
      </c>
      <c r="D388" s="77">
        <f>267.466</f>
        <v>267.46600000000001</v>
      </c>
      <c r="E388" s="86">
        <f>133.845</f>
        <v>133.845</v>
      </c>
      <c r="F388" s="77">
        <f>278.484-40-25-60-100</f>
        <v>53.48399999999998</v>
      </c>
      <c r="G388" s="80">
        <v>40</v>
      </c>
      <c r="H388" s="77">
        <f t="shared" si="61"/>
        <v>185</v>
      </c>
      <c r="I388" s="77">
        <f t="shared" si="59"/>
        <v>0</v>
      </c>
      <c r="J388" s="80">
        <v>100</v>
      </c>
      <c r="K388" s="80">
        <v>300</v>
      </c>
      <c r="L388" s="77">
        <f t="shared" si="52"/>
        <v>1274</v>
      </c>
      <c r="M388" s="88">
        <v>600</v>
      </c>
      <c r="N388" s="77">
        <f>75</f>
        <v>75</v>
      </c>
      <c r="O388" s="80">
        <v>240</v>
      </c>
      <c r="P388" s="80">
        <v>160</v>
      </c>
      <c r="Q388" s="80">
        <f t="shared" si="53"/>
        <v>195</v>
      </c>
      <c r="R388" s="80">
        <f t="shared" si="54"/>
        <v>100</v>
      </c>
      <c r="S388" s="77">
        <f t="shared" si="55"/>
        <v>695</v>
      </c>
      <c r="T388" s="77">
        <f>50</f>
        <v>50</v>
      </c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</row>
    <row r="389" spans="1:30" ht="15.75" x14ac:dyDescent="0.25">
      <c r="A389" s="33">
        <v>52778</v>
      </c>
      <c r="B389" s="90">
        <v>30</v>
      </c>
      <c r="C389" s="77">
        <f>194.205</f>
        <v>194.20500000000001</v>
      </c>
      <c r="D389" s="77">
        <f>267.466</f>
        <v>267.46600000000001</v>
      </c>
      <c r="E389" s="86">
        <f>133.845</f>
        <v>133.845</v>
      </c>
      <c r="F389" s="77">
        <f>278.484-40-25-60-100</f>
        <v>53.48399999999998</v>
      </c>
      <c r="G389" s="80">
        <v>40</v>
      </c>
      <c r="H389" s="77">
        <f t="shared" si="61"/>
        <v>185</v>
      </c>
      <c r="I389" s="77">
        <f t="shared" si="59"/>
        <v>0</v>
      </c>
      <c r="J389" s="80">
        <v>100</v>
      </c>
      <c r="K389" s="80">
        <v>300</v>
      </c>
      <c r="L389" s="77">
        <f t="shared" si="52"/>
        <v>1274</v>
      </c>
      <c r="M389" s="88">
        <v>600</v>
      </c>
      <c r="N389" s="77">
        <f>30</f>
        <v>30</v>
      </c>
      <c r="O389" s="80">
        <v>240</v>
      </c>
      <c r="P389" s="80">
        <v>160</v>
      </c>
      <c r="Q389" s="80">
        <f t="shared" si="53"/>
        <v>195</v>
      </c>
      <c r="R389" s="80">
        <f t="shared" si="54"/>
        <v>100</v>
      </c>
      <c r="S389" s="77">
        <f t="shared" si="55"/>
        <v>695</v>
      </c>
      <c r="T389" s="77">
        <f>50</f>
        <v>50</v>
      </c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</row>
    <row r="390" spans="1:30" ht="15.75" x14ac:dyDescent="0.25">
      <c r="A390" s="33">
        <v>52809</v>
      </c>
      <c r="B390" s="90">
        <v>31</v>
      </c>
      <c r="C390" s="77">
        <f>194.205</f>
        <v>194.20500000000001</v>
      </c>
      <c r="D390" s="77">
        <f>267.466</f>
        <v>267.46600000000001</v>
      </c>
      <c r="E390" s="86">
        <f>133.845</f>
        <v>133.845</v>
      </c>
      <c r="F390" s="77">
        <f>278.484-40-25-60-100</f>
        <v>53.48399999999998</v>
      </c>
      <c r="G390" s="80">
        <v>40</v>
      </c>
      <c r="H390" s="77">
        <f t="shared" si="61"/>
        <v>185</v>
      </c>
      <c r="I390" s="77">
        <f t="shared" si="59"/>
        <v>0</v>
      </c>
      <c r="J390" s="80">
        <v>100</v>
      </c>
      <c r="K390" s="80">
        <v>300</v>
      </c>
      <c r="L390" s="77">
        <f t="shared" si="52"/>
        <v>1274</v>
      </c>
      <c r="M390" s="88">
        <v>600</v>
      </c>
      <c r="N390" s="77">
        <f>30</f>
        <v>30</v>
      </c>
      <c r="O390" s="80">
        <v>240</v>
      </c>
      <c r="P390" s="80">
        <v>160</v>
      </c>
      <c r="Q390" s="80">
        <f t="shared" si="53"/>
        <v>195</v>
      </c>
      <c r="R390" s="80">
        <f t="shared" si="54"/>
        <v>100</v>
      </c>
      <c r="S390" s="77">
        <f t="shared" si="55"/>
        <v>695</v>
      </c>
      <c r="T390" s="77">
        <f>0</f>
        <v>0</v>
      </c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</row>
    <row r="391" spans="1:30" ht="15.75" x14ac:dyDescent="0.25">
      <c r="A391" s="33">
        <v>52840</v>
      </c>
      <c r="B391" s="90">
        <v>31</v>
      </c>
      <c r="C391" s="77">
        <f>194.205</f>
        <v>194.20500000000001</v>
      </c>
      <c r="D391" s="77">
        <f>267.466</f>
        <v>267.46600000000001</v>
      </c>
      <c r="E391" s="86">
        <f>133.845</f>
        <v>133.845</v>
      </c>
      <c r="F391" s="77">
        <f>278.484-40-25-60-100</f>
        <v>53.48399999999998</v>
      </c>
      <c r="G391" s="80">
        <v>40</v>
      </c>
      <c r="H391" s="77">
        <f t="shared" si="61"/>
        <v>185</v>
      </c>
      <c r="I391" s="77">
        <f t="shared" si="59"/>
        <v>0</v>
      </c>
      <c r="J391" s="80">
        <v>100</v>
      </c>
      <c r="K391" s="80">
        <v>300</v>
      </c>
      <c r="L391" s="77">
        <f t="shared" si="52"/>
        <v>1274</v>
      </c>
      <c r="M391" s="88">
        <v>600</v>
      </c>
      <c r="N391" s="77">
        <f>30</f>
        <v>30</v>
      </c>
      <c r="O391" s="80">
        <v>240</v>
      </c>
      <c r="P391" s="80">
        <v>160</v>
      </c>
      <c r="Q391" s="80">
        <f t="shared" si="53"/>
        <v>195</v>
      </c>
      <c r="R391" s="80">
        <f t="shared" si="54"/>
        <v>100</v>
      </c>
      <c r="S391" s="77">
        <f t="shared" si="55"/>
        <v>695</v>
      </c>
      <c r="T391" s="77">
        <f>0</f>
        <v>0</v>
      </c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</row>
    <row r="392" spans="1:30" ht="15.75" x14ac:dyDescent="0.25">
      <c r="A392" s="33">
        <v>52870</v>
      </c>
      <c r="B392" s="90">
        <v>30</v>
      </c>
      <c r="C392" s="77">
        <f>194.205</f>
        <v>194.20500000000001</v>
      </c>
      <c r="D392" s="77">
        <f>267.466</f>
        <v>267.46600000000001</v>
      </c>
      <c r="E392" s="86">
        <f>133.845</f>
        <v>133.845</v>
      </c>
      <c r="F392" s="77">
        <f>278.484-40-25-60-100</f>
        <v>53.48399999999998</v>
      </c>
      <c r="G392" s="80">
        <v>40</v>
      </c>
      <c r="H392" s="77">
        <f t="shared" si="61"/>
        <v>185</v>
      </c>
      <c r="I392" s="77">
        <f t="shared" si="59"/>
        <v>0</v>
      </c>
      <c r="J392" s="80">
        <v>100</v>
      </c>
      <c r="K392" s="80">
        <v>300</v>
      </c>
      <c r="L392" s="77">
        <f t="shared" si="52"/>
        <v>1274</v>
      </c>
      <c r="M392" s="88">
        <v>600</v>
      </c>
      <c r="N392" s="77">
        <f>30</f>
        <v>30</v>
      </c>
      <c r="O392" s="80">
        <v>240</v>
      </c>
      <c r="P392" s="80">
        <v>160</v>
      </c>
      <c r="Q392" s="80">
        <f t="shared" si="53"/>
        <v>195</v>
      </c>
      <c r="R392" s="80">
        <f t="shared" si="54"/>
        <v>100</v>
      </c>
      <c r="S392" s="77">
        <f t="shared" si="55"/>
        <v>695</v>
      </c>
      <c r="T392" s="77">
        <f>0</f>
        <v>0</v>
      </c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</row>
    <row r="393" spans="1:30" ht="15.75" x14ac:dyDescent="0.25">
      <c r="A393" s="33">
        <v>52901</v>
      </c>
      <c r="B393" s="90">
        <v>31</v>
      </c>
      <c r="C393" s="77">
        <f>131.881</f>
        <v>131.881</v>
      </c>
      <c r="D393" s="77">
        <f>277.167</f>
        <v>277.16699999999997</v>
      </c>
      <c r="E393" s="86">
        <f>79.08</f>
        <v>79.08</v>
      </c>
      <c r="F393" s="77">
        <f>350.872-40-25-60-100</f>
        <v>125.87200000000001</v>
      </c>
      <c r="G393" s="80">
        <v>40</v>
      </c>
      <c r="H393" s="77">
        <f t="shared" si="61"/>
        <v>185</v>
      </c>
      <c r="I393" s="77">
        <f t="shared" si="59"/>
        <v>0</v>
      </c>
      <c r="J393" s="80">
        <v>100</v>
      </c>
      <c r="K393" s="80">
        <v>300</v>
      </c>
      <c r="L393" s="77">
        <f t="shared" si="52"/>
        <v>1239</v>
      </c>
      <c r="M393" s="88">
        <v>600</v>
      </c>
      <c r="N393" s="77">
        <f>75</f>
        <v>75</v>
      </c>
      <c r="O393" s="80">
        <v>240</v>
      </c>
      <c r="P393" s="80">
        <v>160</v>
      </c>
      <c r="Q393" s="80">
        <f t="shared" si="53"/>
        <v>195</v>
      </c>
      <c r="R393" s="80">
        <f t="shared" si="54"/>
        <v>100</v>
      </c>
      <c r="S393" s="77">
        <f t="shared" si="55"/>
        <v>695</v>
      </c>
      <c r="T393" s="77">
        <f>0</f>
        <v>0</v>
      </c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</row>
    <row r="394" spans="1:30" ht="15.75" x14ac:dyDescent="0.25">
      <c r="A394" s="33">
        <v>52931</v>
      </c>
      <c r="B394" s="90">
        <v>30</v>
      </c>
      <c r="C394" s="77">
        <f>122.58</f>
        <v>122.58</v>
      </c>
      <c r="D394" s="77">
        <f>297.941</f>
        <v>297.94099999999997</v>
      </c>
      <c r="E394" s="86">
        <f>89.177</f>
        <v>89.177000000000007</v>
      </c>
      <c r="F394" s="77">
        <f>240.302-40-60-100</f>
        <v>40.301999999999992</v>
      </c>
      <c r="G394" s="80">
        <v>40</v>
      </c>
      <c r="H394" s="77">
        <f>60+100</f>
        <v>160</v>
      </c>
      <c r="I394" s="77">
        <f t="shared" si="59"/>
        <v>0</v>
      </c>
      <c r="J394" s="80">
        <v>100</v>
      </c>
      <c r="K394" s="80">
        <v>300</v>
      </c>
      <c r="L394" s="77">
        <f t="shared" si="52"/>
        <v>1150</v>
      </c>
      <c r="M394" s="88">
        <v>600</v>
      </c>
      <c r="N394" s="77">
        <f>100</f>
        <v>100</v>
      </c>
      <c r="O394" s="80">
        <v>240</v>
      </c>
      <c r="P394" s="80">
        <v>40</v>
      </c>
      <c r="Q394" s="80">
        <f t="shared" si="53"/>
        <v>315</v>
      </c>
      <c r="R394" s="80">
        <f t="shared" si="54"/>
        <v>100</v>
      </c>
      <c r="S394" s="77">
        <f t="shared" si="55"/>
        <v>695</v>
      </c>
      <c r="T394" s="77">
        <f>50</f>
        <v>50</v>
      </c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</row>
    <row r="395" spans="1:30" ht="15.75" x14ac:dyDescent="0.25">
      <c r="A395" s="33">
        <v>52962</v>
      </c>
      <c r="B395" s="90">
        <v>31</v>
      </c>
      <c r="C395" s="77">
        <f>122.58</f>
        <v>122.58</v>
      </c>
      <c r="D395" s="77">
        <f>297.941</f>
        <v>297.94099999999997</v>
      </c>
      <c r="E395" s="86">
        <f>89.177</f>
        <v>89.177000000000007</v>
      </c>
      <c r="F395" s="77">
        <f>240.302-40-60-100</f>
        <v>40.301999999999992</v>
      </c>
      <c r="G395" s="80">
        <v>40</v>
      </c>
      <c r="H395" s="77">
        <f>60+100</f>
        <v>160</v>
      </c>
      <c r="I395" s="77">
        <f t="shared" si="59"/>
        <v>0</v>
      </c>
      <c r="J395" s="80">
        <v>100</v>
      </c>
      <c r="K395" s="80">
        <v>300</v>
      </c>
      <c r="L395" s="77">
        <f t="shared" si="52"/>
        <v>1150</v>
      </c>
      <c r="M395" s="88">
        <v>600</v>
      </c>
      <c r="N395" s="77">
        <f>100</f>
        <v>100</v>
      </c>
      <c r="O395" s="80">
        <v>240</v>
      </c>
      <c r="P395" s="80">
        <v>40</v>
      </c>
      <c r="Q395" s="80">
        <f t="shared" si="53"/>
        <v>315</v>
      </c>
      <c r="R395" s="80">
        <f t="shared" si="54"/>
        <v>100</v>
      </c>
      <c r="S395" s="77">
        <f t="shared" si="55"/>
        <v>695</v>
      </c>
      <c r="T395" s="77">
        <f>50</f>
        <v>50</v>
      </c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</row>
    <row r="396" spans="1:30" ht="15.75" x14ac:dyDescent="0.25">
      <c r="A396" s="33">
        <v>52993</v>
      </c>
      <c r="B396" s="90">
        <v>31</v>
      </c>
      <c r="C396" s="77">
        <f>122.58</f>
        <v>122.58</v>
      </c>
      <c r="D396" s="77">
        <f>297.941</f>
        <v>297.94099999999997</v>
      </c>
      <c r="E396" s="86">
        <f>89.177</f>
        <v>89.177000000000007</v>
      </c>
      <c r="F396" s="77">
        <f>240.302-40-60-100</f>
        <v>40.301999999999992</v>
      </c>
      <c r="G396" s="80">
        <v>40</v>
      </c>
      <c r="H396" s="77">
        <f>60+100</f>
        <v>160</v>
      </c>
      <c r="I396" s="77">
        <f t="shared" si="59"/>
        <v>0</v>
      </c>
      <c r="J396" s="80">
        <v>100</v>
      </c>
      <c r="K396" s="80">
        <v>300</v>
      </c>
      <c r="L396" s="77">
        <f t="shared" si="52"/>
        <v>1150</v>
      </c>
      <c r="M396" s="88">
        <v>600</v>
      </c>
      <c r="N396" s="77">
        <f>100</f>
        <v>100</v>
      </c>
      <c r="O396" s="80">
        <v>240</v>
      </c>
      <c r="P396" s="80">
        <v>40</v>
      </c>
      <c r="Q396" s="80">
        <f t="shared" si="53"/>
        <v>315</v>
      </c>
      <c r="R396" s="80">
        <f t="shared" si="54"/>
        <v>100</v>
      </c>
      <c r="S396" s="77">
        <f t="shared" si="55"/>
        <v>695</v>
      </c>
      <c r="T396" s="77">
        <f>50</f>
        <v>50</v>
      </c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</row>
    <row r="397" spans="1:30" ht="15.75" x14ac:dyDescent="0.25">
      <c r="A397" s="33">
        <v>53021</v>
      </c>
      <c r="B397" s="90">
        <v>28</v>
      </c>
      <c r="C397" s="77">
        <f>122.58</f>
        <v>122.58</v>
      </c>
      <c r="D397" s="77">
        <f>297.941</f>
        <v>297.94099999999997</v>
      </c>
      <c r="E397" s="86">
        <f>89.177</f>
        <v>89.177000000000007</v>
      </c>
      <c r="F397" s="77">
        <f>240.302-40-60-100</f>
        <v>40.301999999999992</v>
      </c>
      <c r="G397" s="80">
        <v>40</v>
      </c>
      <c r="H397" s="77">
        <f>60+100</f>
        <v>160</v>
      </c>
      <c r="I397" s="77">
        <f t="shared" si="59"/>
        <v>0</v>
      </c>
      <c r="J397" s="80">
        <v>100</v>
      </c>
      <c r="K397" s="80">
        <v>300</v>
      </c>
      <c r="L397" s="77">
        <f t="shared" si="52"/>
        <v>1150</v>
      </c>
      <c r="M397" s="88">
        <v>600</v>
      </c>
      <c r="N397" s="77">
        <f>100</f>
        <v>100</v>
      </c>
      <c r="O397" s="80">
        <v>240</v>
      </c>
      <c r="P397" s="80">
        <v>40</v>
      </c>
      <c r="Q397" s="80">
        <f t="shared" si="53"/>
        <v>315</v>
      </c>
      <c r="R397" s="80">
        <f t="shared" si="54"/>
        <v>100</v>
      </c>
      <c r="S397" s="77">
        <f t="shared" si="55"/>
        <v>695</v>
      </c>
      <c r="T397" s="77">
        <f>50</f>
        <v>50</v>
      </c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</row>
    <row r="398" spans="1:30" ht="15.75" x14ac:dyDescent="0.25">
      <c r="A398" s="33">
        <v>53052</v>
      </c>
      <c r="B398" s="90">
        <v>31</v>
      </c>
      <c r="C398" s="77">
        <f>122.58</f>
        <v>122.58</v>
      </c>
      <c r="D398" s="77">
        <f>297.941</f>
        <v>297.94099999999997</v>
      </c>
      <c r="E398" s="86">
        <f>89.177</f>
        <v>89.177000000000007</v>
      </c>
      <c r="F398" s="77">
        <f>240.302-40-60-100</f>
        <v>40.301999999999992</v>
      </c>
      <c r="G398" s="80">
        <v>40</v>
      </c>
      <c r="H398" s="77">
        <f>60+100</f>
        <v>160</v>
      </c>
      <c r="I398" s="77">
        <f t="shared" si="59"/>
        <v>0</v>
      </c>
      <c r="J398" s="80">
        <v>100</v>
      </c>
      <c r="K398" s="80">
        <v>300</v>
      </c>
      <c r="L398" s="77">
        <f t="shared" si="52"/>
        <v>1150</v>
      </c>
      <c r="M398" s="88">
        <v>600</v>
      </c>
      <c r="N398" s="77">
        <f>100</f>
        <v>100</v>
      </c>
      <c r="O398" s="80">
        <v>240</v>
      </c>
      <c r="P398" s="80">
        <v>40</v>
      </c>
      <c r="Q398" s="80">
        <f t="shared" si="53"/>
        <v>315</v>
      </c>
      <c r="R398" s="80">
        <f t="shared" si="54"/>
        <v>100</v>
      </c>
      <c r="S398" s="77">
        <f t="shared" si="55"/>
        <v>695</v>
      </c>
      <c r="T398" s="77">
        <f>50</f>
        <v>50</v>
      </c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</row>
    <row r="399" spans="1:30" ht="15.75" x14ac:dyDescent="0.25">
      <c r="A399" s="33">
        <v>53082</v>
      </c>
      <c r="B399" s="90">
        <v>30</v>
      </c>
      <c r="C399" s="77">
        <f>141.293</f>
        <v>141.29300000000001</v>
      </c>
      <c r="D399" s="77">
        <f>267.993</f>
        <v>267.99299999999999</v>
      </c>
      <c r="E399" s="86">
        <f>115.016</f>
        <v>115.01600000000001</v>
      </c>
      <c r="F399" s="77">
        <f>314.698-40-25-60-100</f>
        <v>89.697999999999979</v>
      </c>
      <c r="G399" s="80">
        <v>40</v>
      </c>
      <c r="H399" s="77">
        <f t="shared" ref="H399:H405" si="62">25+60+100</f>
        <v>185</v>
      </c>
      <c r="I399" s="77">
        <f t="shared" si="59"/>
        <v>0</v>
      </c>
      <c r="J399" s="80">
        <v>100</v>
      </c>
      <c r="K399" s="80">
        <v>300</v>
      </c>
      <c r="L399" s="77">
        <f t="shared" si="52"/>
        <v>1239</v>
      </c>
      <c r="M399" s="88">
        <v>600</v>
      </c>
      <c r="N399" s="77">
        <f>100</f>
        <v>100</v>
      </c>
      <c r="O399" s="80">
        <v>240</v>
      </c>
      <c r="P399" s="80">
        <v>160</v>
      </c>
      <c r="Q399" s="80">
        <f t="shared" si="53"/>
        <v>195</v>
      </c>
      <c r="R399" s="80">
        <f t="shared" si="54"/>
        <v>100</v>
      </c>
      <c r="S399" s="77">
        <f t="shared" si="55"/>
        <v>695</v>
      </c>
      <c r="T399" s="77">
        <f>50</f>
        <v>50</v>
      </c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</row>
    <row r="400" spans="1:30" ht="15.75" x14ac:dyDescent="0.25">
      <c r="A400" s="33">
        <v>53113</v>
      </c>
      <c r="B400" s="90">
        <v>31</v>
      </c>
      <c r="C400" s="77">
        <f>194.205</f>
        <v>194.20500000000001</v>
      </c>
      <c r="D400" s="77">
        <f>267.466</f>
        <v>267.46600000000001</v>
      </c>
      <c r="E400" s="86">
        <f>133.845</f>
        <v>133.845</v>
      </c>
      <c r="F400" s="77">
        <f>278.484-40-25-60-100</f>
        <v>53.48399999999998</v>
      </c>
      <c r="G400" s="80">
        <v>40</v>
      </c>
      <c r="H400" s="77">
        <f t="shared" si="62"/>
        <v>185</v>
      </c>
      <c r="I400" s="77">
        <f t="shared" si="59"/>
        <v>0</v>
      </c>
      <c r="J400" s="80">
        <v>100</v>
      </c>
      <c r="K400" s="80">
        <v>300</v>
      </c>
      <c r="L400" s="77">
        <f t="shared" si="52"/>
        <v>1274</v>
      </c>
      <c r="M400" s="88">
        <v>600</v>
      </c>
      <c r="N400" s="77">
        <f>75</f>
        <v>75</v>
      </c>
      <c r="O400" s="80">
        <v>240</v>
      </c>
      <c r="P400" s="80">
        <v>160</v>
      </c>
      <c r="Q400" s="80">
        <f t="shared" si="53"/>
        <v>195</v>
      </c>
      <c r="R400" s="80">
        <f t="shared" si="54"/>
        <v>100</v>
      </c>
      <c r="S400" s="77">
        <f t="shared" si="55"/>
        <v>695</v>
      </c>
      <c r="T400" s="77">
        <f>50</f>
        <v>50</v>
      </c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</row>
    <row r="401" spans="1:30" ht="15.75" x14ac:dyDescent="0.25">
      <c r="A401" s="33">
        <v>53143</v>
      </c>
      <c r="B401" s="90">
        <v>30</v>
      </c>
      <c r="C401" s="77">
        <f>194.205</f>
        <v>194.20500000000001</v>
      </c>
      <c r="D401" s="77">
        <f>267.466</f>
        <v>267.46600000000001</v>
      </c>
      <c r="E401" s="86">
        <f>133.845</f>
        <v>133.845</v>
      </c>
      <c r="F401" s="77">
        <f>278.484-40-25-60-100</f>
        <v>53.48399999999998</v>
      </c>
      <c r="G401" s="80">
        <v>40</v>
      </c>
      <c r="H401" s="77">
        <f t="shared" si="62"/>
        <v>185</v>
      </c>
      <c r="I401" s="77">
        <f t="shared" si="59"/>
        <v>0</v>
      </c>
      <c r="J401" s="80">
        <v>100</v>
      </c>
      <c r="K401" s="80">
        <v>300</v>
      </c>
      <c r="L401" s="77">
        <f t="shared" ref="L401:L464" si="63">SUM(C401:K401)</f>
        <v>1274</v>
      </c>
      <c r="M401" s="88">
        <v>600</v>
      </c>
      <c r="N401" s="77">
        <f>30</f>
        <v>30</v>
      </c>
      <c r="O401" s="80">
        <v>240</v>
      </c>
      <c r="P401" s="80">
        <v>160</v>
      </c>
      <c r="Q401" s="80">
        <f t="shared" ref="Q401:Q464" si="64">695-R401-O401-P401</f>
        <v>195</v>
      </c>
      <c r="R401" s="80">
        <f t="shared" ref="R401:R464" si="65">200-J401</f>
        <v>100</v>
      </c>
      <c r="S401" s="77">
        <f t="shared" ref="S401:S464" si="66">SUM(O401:R401)</f>
        <v>695</v>
      </c>
      <c r="T401" s="77">
        <f>50</f>
        <v>50</v>
      </c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</row>
    <row r="402" spans="1:30" ht="15.75" x14ac:dyDescent="0.25">
      <c r="A402" s="33">
        <v>53174</v>
      </c>
      <c r="B402" s="90">
        <v>31</v>
      </c>
      <c r="C402" s="77">
        <f>194.205</f>
        <v>194.20500000000001</v>
      </c>
      <c r="D402" s="77">
        <f>267.466</f>
        <v>267.46600000000001</v>
      </c>
      <c r="E402" s="86">
        <f>133.845</f>
        <v>133.845</v>
      </c>
      <c r="F402" s="77">
        <f>278.484-40-25-60-100</f>
        <v>53.48399999999998</v>
      </c>
      <c r="G402" s="80">
        <v>40</v>
      </c>
      <c r="H402" s="77">
        <f t="shared" si="62"/>
        <v>185</v>
      </c>
      <c r="I402" s="77">
        <f t="shared" si="59"/>
        <v>0</v>
      </c>
      <c r="J402" s="80">
        <v>100</v>
      </c>
      <c r="K402" s="80">
        <v>300</v>
      </c>
      <c r="L402" s="77">
        <f t="shared" si="63"/>
        <v>1274</v>
      </c>
      <c r="M402" s="88">
        <v>600</v>
      </c>
      <c r="N402" s="77">
        <f>30</f>
        <v>30</v>
      </c>
      <c r="O402" s="80">
        <v>240</v>
      </c>
      <c r="P402" s="80">
        <v>160</v>
      </c>
      <c r="Q402" s="80">
        <f t="shared" si="64"/>
        <v>195</v>
      </c>
      <c r="R402" s="80">
        <f t="shared" si="65"/>
        <v>100</v>
      </c>
      <c r="S402" s="77">
        <f t="shared" si="66"/>
        <v>695</v>
      </c>
      <c r="T402" s="77">
        <f>0</f>
        <v>0</v>
      </c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</row>
    <row r="403" spans="1:30" ht="15.75" x14ac:dyDescent="0.25">
      <c r="A403" s="33">
        <v>53205</v>
      </c>
      <c r="B403" s="90">
        <v>31</v>
      </c>
      <c r="C403" s="77">
        <f>194.205</f>
        <v>194.20500000000001</v>
      </c>
      <c r="D403" s="77">
        <f>267.466</f>
        <v>267.46600000000001</v>
      </c>
      <c r="E403" s="86">
        <f>133.845</f>
        <v>133.845</v>
      </c>
      <c r="F403" s="77">
        <f>278.484-40-25-60-100</f>
        <v>53.48399999999998</v>
      </c>
      <c r="G403" s="80">
        <v>40</v>
      </c>
      <c r="H403" s="77">
        <f t="shared" si="62"/>
        <v>185</v>
      </c>
      <c r="I403" s="77">
        <f t="shared" si="59"/>
        <v>0</v>
      </c>
      <c r="J403" s="80">
        <v>100</v>
      </c>
      <c r="K403" s="80">
        <v>300</v>
      </c>
      <c r="L403" s="77">
        <f t="shared" si="63"/>
        <v>1274</v>
      </c>
      <c r="M403" s="88">
        <v>600</v>
      </c>
      <c r="N403" s="77">
        <f>30</f>
        <v>30</v>
      </c>
      <c r="O403" s="80">
        <v>240</v>
      </c>
      <c r="P403" s="80">
        <v>160</v>
      </c>
      <c r="Q403" s="80">
        <f t="shared" si="64"/>
        <v>195</v>
      </c>
      <c r="R403" s="80">
        <f t="shared" si="65"/>
        <v>100</v>
      </c>
      <c r="S403" s="77">
        <f t="shared" si="66"/>
        <v>695</v>
      </c>
      <c r="T403" s="77">
        <f>0</f>
        <v>0</v>
      </c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</row>
    <row r="404" spans="1:30" ht="15.75" x14ac:dyDescent="0.25">
      <c r="A404" s="33">
        <v>53235</v>
      </c>
      <c r="B404" s="90">
        <v>30</v>
      </c>
      <c r="C404" s="77">
        <f>194.205</f>
        <v>194.20500000000001</v>
      </c>
      <c r="D404" s="77">
        <f>267.466</f>
        <v>267.46600000000001</v>
      </c>
      <c r="E404" s="86">
        <f>133.845</f>
        <v>133.845</v>
      </c>
      <c r="F404" s="77">
        <f>278.484-40-25-60-100</f>
        <v>53.48399999999998</v>
      </c>
      <c r="G404" s="80">
        <v>40</v>
      </c>
      <c r="H404" s="77">
        <f t="shared" si="62"/>
        <v>185</v>
      </c>
      <c r="I404" s="77">
        <f t="shared" si="59"/>
        <v>0</v>
      </c>
      <c r="J404" s="80">
        <v>100</v>
      </c>
      <c r="K404" s="80">
        <v>300</v>
      </c>
      <c r="L404" s="77">
        <f t="shared" si="63"/>
        <v>1274</v>
      </c>
      <c r="M404" s="88">
        <v>600</v>
      </c>
      <c r="N404" s="77">
        <f>30</f>
        <v>30</v>
      </c>
      <c r="O404" s="80">
        <v>240</v>
      </c>
      <c r="P404" s="80">
        <v>160</v>
      </c>
      <c r="Q404" s="80">
        <f t="shared" si="64"/>
        <v>195</v>
      </c>
      <c r="R404" s="80">
        <f t="shared" si="65"/>
        <v>100</v>
      </c>
      <c r="S404" s="77">
        <f t="shared" si="66"/>
        <v>695</v>
      </c>
      <c r="T404" s="77">
        <f>0</f>
        <v>0</v>
      </c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</row>
    <row r="405" spans="1:30" ht="15.75" x14ac:dyDescent="0.25">
      <c r="A405" s="33">
        <v>53266</v>
      </c>
      <c r="B405" s="90">
        <v>31</v>
      </c>
      <c r="C405" s="77">
        <f>131.881</f>
        <v>131.881</v>
      </c>
      <c r="D405" s="77">
        <f>277.167</f>
        <v>277.16699999999997</v>
      </c>
      <c r="E405" s="86">
        <f>79.08</f>
        <v>79.08</v>
      </c>
      <c r="F405" s="77">
        <f>350.872-40-25-60-100</f>
        <v>125.87200000000001</v>
      </c>
      <c r="G405" s="80">
        <v>40</v>
      </c>
      <c r="H405" s="77">
        <f t="shared" si="62"/>
        <v>185</v>
      </c>
      <c r="I405" s="77">
        <f t="shared" si="59"/>
        <v>0</v>
      </c>
      <c r="J405" s="80">
        <v>100</v>
      </c>
      <c r="K405" s="80">
        <v>300</v>
      </c>
      <c r="L405" s="77">
        <f t="shared" si="63"/>
        <v>1239</v>
      </c>
      <c r="M405" s="88">
        <v>600</v>
      </c>
      <c r="N405" s="77">
        <f>75</f>
        <v>75</v>
      </c>
      <c r="O405" s="80">
        <v>240</v>
      </c>
      <c r="P405" s="80">
        <v>160</v>
      </c>
      <c r="Q405" s="80">
        <f t="shared" si="64"/>
        <v>195</v>
      </c>
      <c r="R405" s="80">
        <f t="shared" si="65"/>
        <v>100</v>
      </c>
      <c r="S405" s="77">
        <f t="shared" si="66"/>
        <v>695</v>
      </c>
      <c r="T405" s="77">
        <f>0</f>
        <v>0</v>
      </c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</row>
    <row r="406" spans="1:30" ht="15.75" x14ac:dyDescent="0.25">
      <c r="A406" s="33">
        <v>53296</v>
      </c>
      <c r="B406" s="90">
        <v>30</v>
      </c>
      <c r="C406" s="77">
        <f>122.58</f>
        <v>122.58</v>
      </c>
      <c r="D406" s="77">
        <f>297.941</f>
        <v>297.94099999999997</v>
      </c>
      <c r="E406" s="86">
        <f>89.177</f>
        <v>89.177000000000007</v>
      </c>
      <c r="F406" s="77">
        <f>240.302-40-60-100</f>
        <v>40.301999999999992</v>
      </c>
      <c r="G406" s="80">
        <v>40</v>
      </c>
      <c r="H406" s="77">
        <f>60+100</f>
        <v>160</v>
      </c>
      <c r="I406" s="77">
        <f t="shared" si="59"/>
        <v>0</v>
      </c>
      <c r="J406" s="80">
        <v>100</v>
      </c>
      <c r="K406" s="80">
        <v>300</v>
      </c>
      <c r="L406" s="77">
        <f t="shared" si="63"/>
        <v>1150</v>
      </c>
      <c r="M406" s="88">
        <v>600</v>
      </c>
      <c r="N406" s="77">
        <f>100</f>
        <v>100</v>
      </c>
      <c r="O406" s="80">
        <v>240</v>
      </c>
      <c r="P406" s="80">
        <v>40</v>
      </c>
      <c r="Q406" s="80">
        <f t="shared" si="64"/>
        <v>315</v>
      </c>
      <c r="R406" s="80">
        <f t="shared" si="65"/>
        <v>100</v>
      </c>
      <c r="S406" s="77">
        <f t="shared" si="66"/>
        <v>695</v>
      </c>
      <c r="T406" s="77">
        <f>50</f>
        <v>50</v>
      </c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</row>
    <row r="407" spans="1:30" ht="15.75" x14ac:dyDescent="0.25">
      <c r="A407" s="33">
        <v>53327</v>
      </c>
      <c r="B407" s="90">
        <v>31</v>
      </c>
      <c r="C407" s="77">
        <f>122.58</f>
        <v>122.58</v>
      </c>
      <c r="D407" s="77">
        <f>297.941</f>
        <v>297.94099999999997</v>
      </c>
      <c r="E407" s="86">
        <f>89.177</f>
        <v>89.177000000000007</v>
      </c>
      <c r="F407" s="77">
        <f>240.302-40-60-100</f>
        <v>40.301999999999992</v>
      </c>
      <c r="G407" s="80">
        <v>40</v>
      </c>
      <c r="H407" s="77">
        <f>60+100</f>
        <v>160</v>
      </c>
      <c r="I407" s="77">
        <f t="shared" si="59"/>
        <v>0</v>
      </c>
      <c r="J407" s="80">
        <v>100</v>
      </c>
      <c r="K407" s="80">
        <v>300</v>
      </c>
      <c r="L407" s="77">
        <f t="shared" si="63"/>
        <v>1150</v>
      </c>
      <c r="M407" s="88">
        <v>600</v>
      </c>
      <c r="N407" s="77">
        <f>100</f>
        <v>100</v>
      </c>
      <c r="O407" s="80">
        <v>240</v>
      </c>
      <c r="P407" s="80">
        <v>40</v>
      </c>
      <c r="Q407" s="80">
        <f t="shared" si="64"/>
        <v>315</v>
      </c>
      <c r="R407" s="80">
        <f t="shared" si="65"/>
        <v>100</v>
      </c>
      <c r="S407" s="77">
        <f t="shared" si="66"/>
        <v>695</v>
      </c>
      <c r="T407" s="77">
        <f>50</f>
        <v>50</v>
      </c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</row>
    <row r="408" spans="1:30" ht="15.75" x14ac:dyDescent="0.25">
      <c r="A408" s="33">
        <v>53358</v>
      </c>
      <c r="B408" s="90">
        <v>31</v>
      </c>
      <c r="C408" s="77">
        <f>122.58</f>
        <v>122.58</v>
      </c>
      <c r="D408" s="77">
        <f>297.941</f>
        <v>297.94099999999997</v>
      </c>
      <c r="E408" s="86">
        <f>89.177</f>
        <v>89.177000000000007</v>
      </c>
      <c r="F408" s="77">
        <f>240.302-40-60-100</f>
        <v>40.301999999999992</v>
      </c>
      <c r="G408" s="80">
        <v>40</v>
      </c>
      <c r="H408" s="77">
        <f>60+100</f>
        <v>160</v>
      </c>
      <c r="I408" s="77">
        <f t="shared" si="59"/>
        <v>0</v>
      </c>
      <c r="J408" s="80">
        <v>100</v>
      </c>
      <c r="K408" s="80">
        <v>300</v>
      </c>
      <c r="L408" s="77">
        <f t="shared" si="63"/>
        <v>1150</v>
      </c>
      <c r="M408" s="88">
        <v>600</v>
      </c>
      <c r="N408" s="77">
        <f>100</f>
        <v>100</v>
      </c>
      <c r="O408" s="80">
        <v>240</v>
      </c>
      <c r="P408" s="80">
        <v>40</v>
      </c>
      <c r="Q408" s="80">
        <f t="shared" si="64"/>
        <v>315</v>
      </c>
      <c r="R408" s="80">
        <f t="shared" si="65"/>
        <v>100</v>
      </c>
      <c r="S408" s="77">
        <f t="shared" si="66"/>
        <v>695</v>
      </c>
      <c r="T408" s="77">
        <f>50</f>
        <v>50</v>
      </c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</row>
    <row r="409" spans="1:30" ht="15.75" x14ac:dyDescent="0.25">
      <c r="A409" s="33">
        <v>53386</v>
      </c>
      <c r="B409" s="90">
        <v>28</v>
      </c>
      <c r="C409" s="77">
        <f>122.58</f>
        <v>122.58</v>
      </c>
      <c r="D409" s="77">
        <f>297.941</f>
        <v>297.94099999999997</v>
      </c>
      <c r="E409" s="86">
        <f>89.177</f>
        <v>89.177000000000007</v>
      </c>
      <c r="F409" s="77">
        <f>240.302-40-60-100</f>
        <v>40.301999999999992</v>
      </c>
      <c r="G409" s="80">
        <v>40</v>
      </c>
      <c r="H409" s="77">
        <f>60+100</f>
        <v>160</v>
      </c>
      <c r="I409" s="77">
        <f t="shared" si="59"/>
        <v>0</v>
      </c>
      <c r="J409" s="80">
        <v>100</v>
      </c>
      <c r="K409" s="80">
        <v>300</v>
      </c>
      <c r="L409" s="77">
        <f t="shared" si="63"/>
        <v>1150</v>
      </c>
      <c r="M409" s="88">
        <v>600</v>
      </c>
      <c r="N409" s="77">
        <f>100</f>
        <v>100</v>
      </c>
      <c r="O409" s="80">
        <v>240</v>
      </c>
      <c r="P409" s="80">
        <v>40</v>
      </c>
      <c r="Q409" s="80">
        <f t="shared" si="64"/>
        <v>315</v>
      </c>
      <c r="R409" s="80">
        <f t="shared" si="65"/>
        <v>100</v>
      </c>
      <c r="S409" s="77">
        <f t="shared" si="66"/>
        <v>695</v>
      </c>
      <c r="T409" s="77">
        <f>50</f>
        <v>50</v>
      </c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</row>
    <row r="410" spans="1:30" ht="15.75" x14ac:dyDescent="0.25">
      <c r="A410" s="33">
        <v>53417</v>
      </c>
      <c r="B410" s="90">
        <v>31</v>
      </c>
      <c r="C410" s="77">
        <f>122.58</f>
        <v>122.58</v>
      </c>
      <c r="D410" s="77">
        <f>297.941</f>
        <v>297.94099999999997</v>
      </c>
      <c r="E410" s="86">
        <f>89.177</f>
        <v>89.177000000000007</v>
      </c>
      <c r="F410" s="77">
        <f>240.302-40-60-100</f>
        <v>40.301999999999992</v>
      </c>
      <c r="G410" s="80">
        <v>40</v>
      </c>
      <c r="H410" s="77">
        <f>60+100</f>
        <v>160</v>
      </c>
      <c r="I410" s="77">
        <f t="shared" si="59"/>
        <v>0</v>
      </c>
      <c r="J410" s="80">
        <v>100</v>
      </c>
      <c r="K410" s="80">
        <v>300</v>
      </c>
      <c r="L410" s="77">
        <f t="shared" si="63"/>
        <v>1150</v>
      </c>
      <c r="M410" s="88">
        <v>600</v>
      </c>
      <c r="N410" s="77">
        <f>100</f>
        <v>100</v>
      </c>
      <c r="O410" s="80">
        <v>240</v>
      </c>
      <c r="P410" s="80">
        <v>40</v>
      </c>
      <c r="Q410" s="80">
        <f t="shared" si="64"/>
        <v>315</v>
      </c>
      <c r="R410" s="80">
        <f t="shared" si="65"/>
        <v>100</v>
      </c>
      <c r="S410" s="77">
        <f t="shared" si="66"/>
        <v>695</v>
      </c>
      <c r="T410" s="77">
        <f>50</f>
        <v>50</v>
      </c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</row>
    <row r="411" spans="1:30" ht="15.75" x14ac:dyDescent="0.25">
      <c r="A411" s="33">
        <v>53447</v>
      </c>
      <c r="B411" s="90">
        <v>30</v>
      </c>
      <c r="C411" s="77">
        <f>141.293</f>
        <v>141.29300000000001</v>
      </c>
      <c r="D411" s="77">
        <f>267.993</f>
        <v>267.99299999999999</v>
      </c>
      <c r="E411" s="86">
        <f>115.016</f>
        <v>115.01600000000001</v>
      </c>
      <c r="F411" s="77">
        <f>314.698-40-25-60-100</f>
        <v>89.697999999999979</v>
      </c>
      <c r="G411" s="80">
        <v>40</v>
      </c>
      <c r="H411" s="77">
        <f t="shared" ref="H411:H417" si="67">25+60+100</f>
        <v>185</v>
      </c>
      <c r="I411" s="77">
        <f t="shared" si="59"/>
        <v>0</v>
      </c>
      <c r="J411" s="80">
        <v>100</v>
      </c>
      <c r="K411" s="80">
        <v>300</v>
      </c>
      <c r="L411" s="77">
        <f t="shared" si="63"/>
        <v>1239</v>
      </c>
      <c r="M411" s="88">
        <v>600</v>
      </c>
      <c r="N411" s="77">
        <f>100</f>
        <v>100</v>
      </c>
      <c r="O411" s="80">
        <v>240</v>
      </c>
      <c r="P411" s="80">
        <v>160</v>
      </c>
      <c r="Q411" s="80">
        <f t="shared" si="64"/>
        <v>195</v>
      </c>
      <c r="R411" s="80">
        <f t="shared" si="65"/>
        <v>100</v>
      </c>
      <c r="S411" s="77">
        <f t="shared" si="66"/>
        <v>695</v>
      </c>
      <c r="T411" s="77">
        <f>50</f>
        <v>50</v>
      </c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</row>
    <row r="412" spans="1:30" ht="15.75" x14ac:dyDescent="0.25">
      <c r="A412" s="33">
        <v>53478</v>
      </c>
      <c r="B412" s="90">
        <v>31</v>
      </c>
      <c r="C412" s="77">
        <f>194.205</f>
        <v>194.20500000000001</v>
      </c>
      <c r="D412" s="77">
        <f>267.466</f>
        <v>267.46600000000001</v>
      </c>
      <c r="E412" s="86">
        <f>133.845</f>
        <v>133.845</v>
      </c>
      <c r="F412" s="77">
        <f>278.484-40-25-60-100</f>
        <v>53.48399999999998</v>
      </c>
      <c r="G412" s="80">
        <v>40</v>
      </c>
      <c r="H412" s="77">
        <f t="shared" si="67"/>
        <v>185</v>
      </c>
      <c r="I412" s="77">
        <f t="shared" si="59"/>
        <v>0</v>
      </c>
      <c r="J412" s="80">
        <v>100</v>
      </c>
      <c r="K412" s="80">
        <v>300</v>
      </c>
      <c r="L412" s="77">
        <f t="shared" si="63"/>
        <v>1274</v>
      </c>
      <c r="M412" s="88">
        <v>600</v>
      </c>
      <c r="N412" s="77">
        <f>75</f>
        <v>75</v>
      </c>
      <c r="O412" s="80">
        <v>240</v>
      </c>
      <c r="P412" s="80">
        <v>160</v>
      </c>
      <c r="Q412" s="80">
        <f t="shared" si="64"/>
        <v>195</v>
      </c>
      <c r="R412" s="80">
        <f t="shared" si="65"/>
        <v>100</v>
      </c>
      <c r="S412" s="77">
        <f t="shared" si="66"/>
        <v>695</v>
      </c>
      <c r="T412" s="77">
        <f>50</f>
        <v>50</v>
      </c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</row>
    <row r="413" spans="1:30" ht="15.75" x14ac:dyDescent="0.25">
      <c r="A413" s="33">
        <v>53508</v>
      </c>
      <c r="B413" s="90">
        <v>30</v>
      </c>
      <c r="C413" s="77">
        <f>194.205</f>
        <v>194.20500000000001</v>
      </c>
      <c r="D413" s="77">
        <f>267.466</f>
        <v>267.46600000000001</v>
      </c>
      <c r="E413" s="86">
        <f>133.845</f>
        <v>133.845</v>
      </c>
      <c r="F413" s="77">
        <f>278.484-40-25-60-100</f>
        <v>53.48399999999998</v>
      </c>
      <c r="G413" s="80">
        <v>40</v>
      </c>
      <c r="H413" s="77">
        <f t="shared" si="67"/>
        <v>185</v>
      </c>
      <c r="I413" s="77">
        <f t="shared" si="59"/>
        <v>0</v>
      </c>
      <c r="J413" s="80">
        <v>100</v>
      </c>
      <c r="K413" s="80">
        <v>300</v>
      </c>
      <c r="L413" s="77">
        <f t="shared" si="63"/>
        <v>1274</v>
      </c>
      <c r="M413" s="88">
        <v>600</v>
      </c>
      <c r="N413" s="77">
        <f>30</f>
        <v>30</v>
      </c>
      <c r="O413" s="80">
        <v>240</v>
      </c>
      <c r="P413" s="80">
        <v>160</v>
      </c>
      <c r="Q413" s="80">
        <f t="shared" si="64"/>
        <v>195</v>
      </c>
      <c r="R413" s="80">
        <f t="shared" si="65"/>
        <v>100</v>
      </c>
      <c r="S413" s="77">
        <f t="shared" si="66"/>
        <v>695</v>
      </c>
      <c r="T413" s="77">
        <f>50</f>
        <v>50</v>
      </c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</row>
    <row r="414" spans="1:30" ht="15.75" x14ac:dyDescent="0.25">
      <c r="A414" s="33">
        <v>53539</v>
      </c>
      <c r="B414" s="90">
        <v>31</v>
      </c>
      <c r="C414" s="77">
        <f>194.205</f>
        <v>194.20500000000001</v>
      </c>
      <c r="D414" s="77">
        <f>267.466</f>
        <v>267.46600000000001</v>
      </c>
      <c r="E414" s="86">
        <f>133.845</f>
        <v>133.845</v>
      </c>
      <c r="F414" s="77">
        <f>278.484-40-25-60-100</f>
        <v>53.48399999999998</v>
      </c>
      <c r="G414" s="80">
        <v>40</v>
      </c>
      <c r="H414" s="77">
        <f t="shared" si="67"/>
        <v>185</v>
      </c>
      <c r="I414" s="77">
        <f t="shared" si="59"/>
        <v>0</v>
      </c>
      <c r="J414" s="80">
        <v>100</v>
      </c>
      <c r="K414" s="80">
        <v>300</v>
      </c>
      <c r="L414" s="77">
        <f t="shared" si="63"/>
        <v>1274</v>
      </c>
      <c r="M414" s="88">
        <v>600</v>
      </c>
      <c r="N414" s="77">
        <f>30</f>
        <v>30</v>
      </c>
      <c r="O414" s="80">
        <v>240</v>
      </c>
      <c r="P414" s="80">
        <v>160</v>
      </c>
      <c r="Q414" s="80">
        <f t="shared" si="64"/>
        <v>195</v>
      </c>
      <c r="R414" s="80">
        <f t="shared" si="65"/>
        <v>100</v>
      </c>
      <c r="S414" s="77">
        <f t="shared" si="66"/>
        <v>695</v>
      </c>
      <c r="T414" s="77">
        <f>0</f>
        <v>0</v>
      </c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</row>
    <row r="415" spans="1:30" ht="15.75" x14ac:dyDescent="0.25">
      <c r="A415" s="33">
        <v>53570</v>
      </c>
      <c r="B415" s="90">
        <v>31</v>
      </c>
      <c r="C415" s="77">
        <f>194.205</f>
        <v>194.20500000000001</v>
      </c>
      <c r="D415" s="77">
        <f>267.466</f>
        <v>267.46600000000001</v>
      </c>
      <c r="E415" s="86">
        <f>133.845</f>
        <v>133.845</v>
      </c>
      <c r="F415" s="77">
        <f>278.484-40-25-60-100</f>
        <v>53.48399999999998</v>
      </c>
      <c r="G415" s="80">
        <v>40</v>
      </c>
      <c r="H415" s="77">
        <f t="shared" si="67"/>
        <v>185</v>
      </c>
      <c r="I415" s="77">
        <f t="shared" si="59"/>
        <v>0</v>
      </c>
      <c r="J415" s="80">
        <v>100</v>
      </c>
      <c r="K415" s="80">
        <v>300</v>
      </c>
      <c r="L415" s="77">
        <f t="shared" si="63"/>
        <v>1274</v>
      </c>
      <c r="M415" s="88">
        <v>600</v>
      </c>
      <c r="N415" s="77">
        <f>30</f>
        <v>30</v>
      </c>
      <c r="O415" s="80">
        <v>240</v>
      </c>
      <c r="P415" s="80">
        <v>160</v>
      </c>
      <c r="Q415" s="80">
        <f t="shared" si="64"/>
        <v>195</v>
      </c>
      <c r="R415" s="80">
        <f t="shared" si="65"/>
        <v>100</v>
      </c>
      <c r="S415" s="77">
        <f t="shared" si="66"/>
        <v>695</v>
      </c>
      <c r="T415" s="77">
        <f>0</f>
        <v>0</v>
      </c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</row>
    <row r="416" spans="1:30" ht="15.75" x14ac:dyDescent="0.25">
      <c r="A416" s="33">
        <v>53600</v>
      </c>
      <c r="B416" s="90">
        <v>30</v>
      </c>
      <c r="C416" s="77">
        <f>194.205</f>
        <v>194.20500000000001</v>
      </c>
      <c r="D416" s="77">
        <f>267.466</f>
        <v>267.46600000000001</v>
      </c>
      <c r="E416" s="86">
        <f>133.845</f>
        <v>133.845</v>
      </c>
      <c r="F416" s="77">
        <f>278.484-40-25-60-100</f>
        <v>53.48399999999998</v>
      </c>
      <c r="G416" s="80">
        <v>40</v>
      </c>
      <c r="H416" s="77">
        <f t="shared" si="67"/>
        <v>185</v>
      </c>
      <c r="I416" s="77">
        <f t="shared" si="59"/>
        <v>0</v>
      </c>
      <c r="J416" s="80">
        <v>100</v>
      </c>
      <c r="K416" s="80">
        <v>300</v>
      </c>
      <c r="L416" s="77">
        <f t="shared" si="63"/>
        <v>1274</v>
      </c>
      <c r="M416" s="88">
        <v>600</v>
      </c>
      <c r="N416" s="77">
        <f>30</f>
        <v>30</v>
      </c>
      <c r="O416" s="80">
        <v>240</v>
      </c>
      <c r="P416" s="80">
        <v>160</v>
      </c>
      <c r="Q416" s="80">
        <f t="shared" si="64"/>
        <v>195</v>
      </c>
      <c r="R416" s="80">
        <f t="shared" si="65"/>
        <v>100</v>
      </c>
      <c r="S416" s="77">
        <f t="shared" si="66"/>
        <v>695</v>
      </c>
      <c r="T416" s="77">
        <f>0</f>
        <v>0</v>
      </c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</row>
    <row r="417" spans="1:30" ht="15.75" x14ac:dyDescent="0.25">
      <c r="A417" s="33">
        <v>53631</v>
      </c>
      <c r="B417" s="90">
        <v>31</v>
      </c>
      <c r="C417" s="77">
        <f>131.881</f>
        <v>131.881</v>
      </c>
      <c r="D417" s="77">
        <f>277.167</f>
        <v>277.16699999999997</v>
      </c>
      <c r="E417" s="86">
        <f>79.08</f>
        <v>79.08</v>
      </c>
      <c r="F417" s="77">
        <f>350.872-40-25-60-100</f>
        <v>125.87200000000001</v>
      </c>
      <c r="G417" s="80">
        <v>40</v>
      </c>
      <c r="H417" s="77">
        <f t="shared" si="67"/>
        <v>185</v>
      </c>
      <c r="I417" s="77">
        <f t="shared" si="59"/>
        <v>0</v>
      </c>
      <c r="J417" s="80">
        <v>100</v>
      </c>
      <c r="K417" s="80">
        <v>300</v>
      </c>
      <c r="L417" s="77">
        <f t="shared" si="63"/>
        <v>1239</v>
      </c>
      <c r="M417" s="88">
        <v>600</v>
      </c>
      <c r="N417" s="77">
        <f>75</f>
        <v>75</v>
      </c>
      <c r="O417" s="80">
        <v>240</v>
      </c>
      <c r="P417" s="80">
        <v>160</v>
      </c>
      <c r="Q417" s="80">
        <f t="shared" si="64"/>
        <v>195</v>
      </c>
      <c r="R417" s="80">
        <f t="shared" si="65"/>
        <v>100</v>
      </c>
      <c r="S417" s="77">
        <f t="shared" si="66"/>
        <v>695</v>
      </c>
      <c r="T417" s="77">
        <f>0</f>
        <v>0</v>
      </c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</row>
    <row r="418" spans="1:30" ht="15.75" x14ac:dyDescent="0.25">
      <c r="A418" s="33">
        <v>53661</v>
      </c>
      <c r="B418" s="90">
        <v>30</v>
      </c>
      <c r="C418" s="77">
        <f>122.58</f>
        <v>122.58</v>
      </c>
      <c r="D418" s="77">
        <f>297.941</f>
        <v>297.94099999999997</v>
      </c>
      <c r="E418" s="86">
        <f>89.177</f>
        <v>89.177000000000007</v>
      </c>
      <c r="F418" s="77">
        <f>240.302-40-60-100</f>
        <v>40.301999999999992</v>
      </c>
      <c r="G418" s="80">
        <v>40</v>
      </c>
      <c r="H418" s="77">
        <f>60+100</f>
        <v>160</v>
      </c>
      <c r="I418" s="77">
        <f t="shared" si="59"/>
        <v>0</v>
      </c>
      <c r="J418" s="80">
        <v>100</v>
      </c>
      <c r="K418" s="80">
        <v>300</v>
      </c>
      <c r="L418" s="77">
        <f t="shared" si="63"/>
        <v>1150</v>
      </c>
      <c r="M418" s="88">
        <v>600</v>
      </c>
      <c r="N418" s="77">
        <f>100</f>
        <v>100</v>
      </c>
      <c r="O418" s="80">
        <v>240</v>
      </c>
      <c r="P418" s="80">
        <v>40</v>
      </c>
      <c r="Q418" s="80">
        <f t="shared" si="64"/>
        <v>315</v>
      </c>
      <c r="R418" s="80">
        <f t="shared" si="65"/>
        <v>100</v>
      </c>
      <c r="S418" s="77">
        <f t="shared" si="66"/>
        <v>695</v>
      </c>
      <c r="T418" s="77">
        <f>50</f>
        <v>50</v>
      </c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</row>
    <row r="419" spans="1:30" ht="15.75" x14ac:dyDescent="0.25">
      <c r="A419" s="33">
        <v>53692</v>
      </c>
      <c r="B419" s="90">
        <v>31</v>
      </c>
      <c r="C419" s="77">
        <f>122.58</f>
        <v>122.58</v>
      </c>
      <c r="D419" s="77">
        <f>297.941</f>
        <v>297.94099999999997</v>
      </c>
      <c r="E419" s="86">
        <f>89.177</f>
        <v>89.177000000000007</v>
      </c>
      <c r="F419" s="77">
        <f>240.302-40-60-100</f>
        <v>40.301999999999992</v>
      </c>
      <c r="G419" s="80">
        <v>40</v>
      </c>
      <c r="H419" s="77">
        <f>60+100</f>
        <v>160</v>
      </c>
      <c r="I419" s="77">
        <f t="shared" si="59"/>
        <v>0</v>
      </c>
      <c r="J419" s="80">
        <v>100</v>
      </c>
      <c r="K419" s="80">
        <v>300</v>
      </c>
      <c r="L419" s="77">
        <f t="shared" si="63"/>
        <v>1150</v>
      </c>
      <c r="M419" s="88">
        <v>600</v>
      </c>
      <c r="N419" s="77">
        <f>100</f>
        <v>100</v>
      </c>
      <c r="O419" s="80">
        <v>240</v>
      </c>
      <c r="P419" s="80">
        <v>40</v>
      </c>
      <c r="Q419" s="80">
        <f t="shared" si="64"/>
        <v>315</v>
      </c>
      <c r="R419" s="80">
        <f t="shared" si="65"/>
        <v>100</v>
      </c>
      <c r="S419" s="77">
        <f t="shared" si="66"/>
        <v>695</v>
      </c>
      <c r="T419" s="77">
        <f>50</f>
        <v>50</v>
      </c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</row>
    <row r="420" spans="1:30" ht="15.75" x14ac:dyDescent="0.25">
      <c r="A420" s="33">
        <v>53723</v>
      </c>
      <c r="B420" s="90">
        <v>31</v>
      </c>
      <c r="C420" s="77">
        <f>122.58</f>
        <v>122.58</v>
      </c>
      <c r="D420" s="77">
        <f>297.941</f>
        <v>297.94099999999997</v>
      </c>
      <c r="E420" s="86">
        <f>89.177</f>
        <v>89.177000000000007</v>
      </c>
      <c r="F420" s="77">
        <f>240.302-40-60-100</f>
        <v>40.301999999999992</v>
      </c>
      <c r="G420" s="80">
        <v>40</v>
      </c>
      <c r="H420" s="77">
        <f>60+100</f>
        <v>160</v>
      </c>
      <c r="I420" s="77">
        <f t="shared" si="59"/>
        <v>0</v>
      </c>
      <c r="J420" s="80">
        <v>100</v>
      </c>
      <c r="K420" s="80">
        <v>300</v>
      </c>
      <c r="L420" s="77">
        <f t="shared" si="63"/>
        <v>1150</v>
      </c>
      <c r="M420" s="88">
        <v>600</v>
      </c>
      <c r="N420" s="77">
        <f>100</f>
        <v>100</v>
      </c>
      <c r="O420" s="80">
        <v>240</v>
      </c>
      <c r="P420" s="80">
        <v>40</v>
      </c>
      <c r="Q420" s="80">
        <f t="shared" si="64"/>
        <v>315</v>
      </c>
      <c r="R420" s="80">
        <f t="shared" si="65"/>
        <v>100</v>
      </c>
      <c r="S420" s="77">
        <f t="shared" si="66"/>
        <v>695</v>
      </c>
      <c r="T420" s="77">
        <f>50</f>
        <v>50</v>
      </c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</row>
    <row r="421" spans="1:30" ht="15.75" x14ac:dyDescent="0.25">
      <c r="A421" s="33">
        <v>53751</v>
      </c>
      <c r="B421" s="90">
        <v>28</v>
      </c>
      <c r="C421" s="77">
        <f>122.58</f>
        <v>122.58</v>
      </c>
      <c r="D421" s="77">
        <f>297.941</f>
        <v>297.94099999999997</v>
      </c>
      <c r="E421" s="86">
        <f>89.177</f>
        <v>89.177000000000007</v>
      </c>
      <c r="F421" s="77">
        <f>240.302-40-60-100</f>
        <v>40.301999999999992</v>
      </c>
      <c r="G421" s="80">
        <v>40</v>
      </c>
      <c r="H421" s="77">
        <f>60+100</f>
        <v>160</v>
      </c>
      <c r="I421" s="77">
        <f t="shared" si="59"/>
        <v>0</v>
      </c>
      <c r="J421" s="80">
        <v>100</v>
      </c>
      <c r="K421" s="80">
        <v>300</v>
      </c>
      <c r="L421" s="77">
        <f t="shared" si="63"/>
        <v>1150</v>
      </c>
      <c r="M421" s="88">
        <v>600</v>
      </c>
      <c r="N421" s="77">
        <f>100</f>
        <v>100</v>
      </c>
      <c r="O421" s="80">
        <v>240</v>
      </c>
      <c r="P421" s="80">
        <v>40</v>
      </c>
      <c r="Q421" s="80">
        <f t="shared" si="64"/>
        <v>315</v>
      </c>
      <c r="R421" s="80">
        <f t="shared" si="65"/>
        <v>100</v>
      </c>
      <c r="S421" s="77">
        <f t="shared" si="66"/>
        <v>695</v>
      </c>
      <c r="T421" s="77">
        <f>50</f>
        <v>50</v>
      </c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</row>
    <row r="422" spans="1:30" ht="15.75" x14ac:dyDescent="0.25">
      <c r="A422" s="33">
        <v>53782</v>
      </c>
      <c r="B422" s="90">
        <v>31</v>
      </c>
      <c r="C422" s="77">
        <f>122.58</f>
        <v>122.58</v>
      </c>
      <c r="D422" s="77">
        <f>297.941</f>
        <v>297.94099999999997</v>
      </c>
      <c r="E422" s="86">
        <f>89.177</f>
        <v>89.177000000000007</v>
      </c>
      <c r="F422" s="77">
        <f>240.302-40-60-100</f>
        <v>40.301999999999992</v>
      </c>
      <c r="G422" s="80">
        <v>40</v>
      </c>
      <c r="H422" s="77">
        <f>60+100</f>
        <v>160</v>
      </c>
      <c r="I422" s="77">
        <f t="shared" si="59"/>
        <v>0</v>
      </c>
      <c r="J422" s="80">
        <v>100</v>
      </c>
      <c r="K422" s="80">
        <v>300</v>
      </c>
      <c r="L422" s="77">
        <f t="shared" si="63"/>
        <v>1150</v>
      </c>
      <c r="M422" s="88">
        <v>600</v>
      </c>
      <c r="N422" s="77">
        <f>100</f>
        <v>100</v>
      </c>
      <c r="O422" s="80">
        <v>240</v>
      </c>
      <c r="P422" s="80">
        <v>40</v>
      </c>
      <c r="Q422" s="80">
        <f t="shared" si="64"/>
        <v>315</v>
      </c>
      <c r="R422" s="80">
        <f t="shared" si="65"/>
        <v>100</v>
      </c>
      <c r="S422" s="77">
        <f t="shared" si="66"/>
        <v>695</v>
      </c>
      <c r="T422" s="77">
        <f>50</f>
        <v>50</v>
      </c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</row>
    <row r="423" spans="1:30" ht="15.75" x14ac:dyDescent="0.25">
      <c r="A423" s="33">
        <v>53812</v>
      </c>
      <c r="B423" s="90">
        <v>30</v>
      </c>
      <c r="C423" s="77">
        <f>141.293</f>
        <v>141.29300000000001</v>
      </c>
      <c r="D423" s="77">
        <f>267.993</f>
        <v>267.99299999999999</v>
      </c>
      <c r="E423" s="86">
        <f>115.016</f>
        <v>115.01600000000001</v>
      </c>
      <c r="F423" s="77">
        <f>314.698-40-25-60-100</f>
        <v>89.697999999999979</v>
      </c>
      <c r="G423" s="80">
        <v>40</v>
      </c>
      <c r="H423" s="77">
        <f t="shared" ref="H423:H429" si="68">25+60+100</f>
        <v>185</v>
      </c>
      <c r="I423" s="77">
        <f t="shared" si="59"/>
        <v>0</v>
      </c>
      <c r="J423" s="80">
        <v>100</v>
      </c>
      <c r="K423" s="80">
        <v>300</v>
      </c>
      <c r="L423" s="77">
        <f t="shared" si="63"/>
        <v>1239</v>
      </c>
      <c r="M423" s="88">
        <v>600</v>
      </c>
      <c r="N423" s="77">
        <f>100</f>
        <v>100</v>
      </c>
      <c r="O423" s="80">
        <v>240</v>
      </c>
      <c r="P423" s="80">
        <v>160</v>
      </c>
      <c r="Q423" s="80">
        <f t="shared" si="64"/>
        <v>195</v>
      </c>
      <c r="R423" s="80">
        <f t="shared" si="65"/>
        <v>100</v>
      </c>
      <c r="S423" s="77">
        <f t="shared" si="66"/>
        <v>695</v>
      </c>
      <c r="T423" s="77">
        <f>50</f>
        <v>50</v>
      </c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</row>
    <row r="424" spans="1:30" ht="15.75" x14ac:dyDescent="0.25">
      <c r="A424" s="33">
        <v>53843</v>
      </c>
      <c r="B424" s="90">
        <v>31</v>
      </c>
      <c r="C424" s="77">
        <f>194.205</f>
        <v>194.20500000000001</v>
      </c>
      <c r="D424" s="77">
        <f>267.466</f>
        <v>267.46600000000001</v>
      </c>
      <c r="E424" s="86">
        <f>133.845</f>
        <v>133.845</v>
      </c>
      <c r="F424" s="77">
        <f>278.484-40-25-60-100</f>
        <v>53.48399999999998</v>
      </c>
      <c r="G424" s="80">
        <v>40</v>
      </c>
      <c r="H424" s="77">
        <f t="shared" si="68"/>
        <v>185</v>
      </c>
      <c r="I424" s="77">
        <f t="shared" si="59"/>
        <v>0</v>
      </c>
      <c r="J424" s="80">
        <v>100</v>
      </c>
      <c r="K424" s="80">
        <v>300</v>
      </c>
      <c r="L424" s="77">
        <f t="shared" si="63"/>
        <v>1274</v>
      </c>
      <c r="M424" s="88">
        <v>600</v>
      </c>
      <c r="N424" s="77">
        <f>75</f>
        <v>75</v>
      </c>
      <c r="O424" s="80">
        <v>240</v>
      </c>
      <c r="P424" s="80">
        <v>160</v>
      </c>
      <c r="Q424" s="80">
        <f t="shared" si="64"/>
        <v>195</v>
      </c>
      <c r="R424" s="80">
        <f t="shared" si="65"/>
        <v>100</v>
      </c>
      <c r="S424" s="77">
        <f t="shared" si="66"/>
        <v>695</v>
      </c>
      <c r="T424" s="77">
        <f>50</f>
        <v>50</v>
      </c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</row>
    <row r="425" spans="1:30" ht="15.75" x14ac:dyDescent="0.25">
      <c r="A425" s="33">
        <v>53873</v>
      </c>
      <c r="B425" s="90">
        <v>30</v>
      </c>
      <c r="C425" s="77">
        <f>194.205</f>
        <v>194.20500000000001</v>
      </c>
      <c r="D425" s="77">
        <f>267.466</f>
        <v>267.46600000000001</v>
      </c>
      <c r="E425" s="86">
        <f>133.845</f>
        <v>133.845</v>
      </c>
      <c r="F425" s="77">
        <f>278.484-40-25-60-100</f>
        <v>53.48399999999998</v>
      </c>
      <c r="G425" s="80">
        <v>40</v>
      </c>
      <c r="H425" s="77">
        <f t="shared" si="68"/>
        <v>185</v>
      </c>
      <c r="I425" s="77">
        <f t="shared" si="59"/>
        <v>0</v>
      </c>
      <c r="J425" s="80">
        <v>100</v>
      </c>
      <c r="K425" s="80">
        <v>300</v>
      </c>
      <c r="L425" s="77">
        <f t="shared" si="63"/>
        <v>1274</v>
      </c>
      <c r="M425" s="88">
        <v>600</v>
      </c>
      <c r="N425" s="77">
        <f>30</f>
        <v>30</v>
      </c>
      <c r="O425" s="80">
        <v>240</v>
      </c>
      <c r="P425" s="80">
        <v>160</v>
      </c>
      <c r="Q425" s="80">
        <f t="shared" si="64"/>
        <v>195</v>
      </c>
      <c r="R425" s="80">
        <f t="shared" si="65"/>
        <v>100</v>
      </c>
      <c r="S425" s="77">
        <f t="shared" si="66"/>
        <v>695</v>
      </c>
      <c r="T425" s="77">
        <f>50</f>
        <v>50</v>
      </c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</row>
    <row r="426" spans="1:30" ht="15.75" x14ac:dyDescent="0.25">
      <c r="A426" s="33">
        <v>53904</v>
      </c>
      <c r="B426" s="90">
        <v>31</v>
      </c>
      <c r="C426" s="77">
        <f>194.205</f>
        <v>194.20500000000001</v>
      </c>
      <c r="D426" s="77">
        <f>267.466</f>
        <v>267.46600000000001</v>
      </c>
      <c r="E426" s="86">
        <f>133.845</f>
        <v>133.845</v>
      </c>
      <c r="F426" s="77">
        <f>278.484-40-25-60-100</f>
        <v>53.48399999999998</v>
      </c>
      <c r="G426" s="80">
        <v>40</v>
      </c>
      <c r="H426" s="77">
        <f t="shared" si="68"/>
        <v>185</v>
      </c>
      <c r="I426" s="77">
        <f t="shared" si="59"/>
        <v>0</v>
      </c>
      <c r="J426" s="80">
        <v>100</v>
      </c>
      <c r="K426" s="80">
        <v>300</v>
      </c>
      <c r="L426" s="77">
        <f t="shared" si="63"/>
        <v>1274</v>
      </c>
      <c r="M426" s="88">
        <v>600</v>
      </c>
      <c r="N426" s="77">
        <f>30</f>
        <v>30</v>
      </c>
      <c r="O426" s="80">
        <v>240</v>
      </c>
      <c r="P426" s="80">
        <v>160</v>
      </c>
      <c r="Q426" s="80">
        <f t="shared" si="64"/>
        <v>195</v>
      </c>
      <c r="R426" s="80">
        <f t="shared" si="65"/>
        <v>100</v>
      </c>
      <c r="S426" s="77">
        <f t="shared" si="66"/>
        <v>695</v>
      </c>
      <c r="T426" s="77">
        <f>0</f>
        <v>0</v>
      </c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</row>
    <row r="427" spans="1:30" ht="15.75" x14ac:dyDescent="0.25">
      <c r="A427" s="33">
        <v>53935</v>
      </c>
      <c r="B427" s="90">
        <v>31</v>
      </c>
      <c r="C427" s="77">
        <f>194.205</f>
        <v>194.20500000000001</v>
      </c>
      <c r="D427" s="77">
        <f>267.466</f>
        <v>267.46600000000001</v>
      </c>
      <c r="E427" s="86">
        <f>133.845</f>
        <v>133.845</v>
      </c>
      <c r="F427" s="77">
        <f>278.484-40-25-60-100</f>
        <v>53.48399999999998</v>
      </c>
      <c r="G427" s="80">
        <v>40</v>
      </c>
      <c r="H427" s="77">
        <f t="shared" si="68"/>
        <v>185</v>
      </c>
      <c r="I427" s="77">
        <f t="shared" si="59"/>
        <v>0</v>
      </c>
      <c r="J427" s="80">
        <v>100</v>
      </c>
      <c r="K427" s="80">
        <v>300</v>
      </c>
      <c r="L427" s="77">
        <f t="shared" si="63"/>
        <v>1274</v>
      </c>
      <c r="M427" s="88">
        <v>600</v>
      </c>
      <c r="N427" s="77">
        <f>30</f>
        <v>30</v>
      </c>
      <c r="O427" s="80">
        <v>240</v>
      </c>
      <c r="P427" s="80">
        <v>160</v>
      </c>
      <c r="Q427" s="80">
        <f t="shared" si="64"/>
        <v>195</v>
      </c>
      <c r="R427" s="80">
        <f t="shared" si="65"/>
        <v>100</v>
      </c>
      <c r="S427" s="77">
        <f t="shared" si="66"/>
        <v>695</v>
      </c>
      <c r="T427" s="77">
        <f>0</f>
        <v>0</v>
      </c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</row>
    <row r="428" spans="1:30" ht="15.75" x14ac:dyDescent="0.25">
      <c r="A428" s="33">
        <v>53965</v>
      </c>
      <c r="B428" s="90">
        <v>30</v>
      </c>
      <c r="C428" s="77">
        <f>194.205</f>
        <v>194.20500000000001</v>
      </c>
      <c r="D428" s="77">
        <f>267.466</f>
        <v>267.46600000000001</v>
      </c>
      <c r="E428" s="86">
        <f>133.845</f>
        <v>133.845</v>
      </c>
      <c r="F428" s="77">
        <f>278.484-40-25-60-100</f>
        <v>53.48399999999998</v>
      </c>
      <c r="G428" s="80">
        <v>40</v>
      </c>
      <c r="H428" s="77">
        <f t="shared" si="68"/>
        <v>185</v>
      </c>
      <c r="I428" s="77">
        <f t="shared" si="59"/>
        <v>0</v>
      </c>
      <c r="J428" s="80">
        <v>100</v>
      </c>
      <c r="K428" s="80">
        <v>300</v>
      </c>
      <c r="L428" s="77">
        <f t="shared" si="63"/>
        <v>1274</v>
      </c>
      <c r="M428" s="88">
        <v>600</v>
      </c>
      <c r="N428" s="77">
        <f>30</f>
        <v>30</v>
      </c>
      <c r="O428" s="80">
        <v>240</v>
      </c>
      <c r="P428" s="80">
        <v>160</v>
      </c>
      <c r="Q428" s="80">
        <f t="shared" si="64"/>
        <v>195</v>
      </c>
      <c r="R428" s="80">
        <f t="shared" si="65"/>
        <v>100</v>
      </c>
      <c r="S428" s="77">
        <f t="shared" si="66"/>
        <v>695</v>
      </c>
      <c r="T428" s="77">
        <f>0</f>
        <v>0</v>
      </c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</row>
    <row r="429" spans="1:30" ht="15.75" x14ac:dyDescent="0.25">
      <c r="A429" s="33">
        <v>53996</v>
      </c>
      <c r="B429" s="90">
        <v>31</v>
      </c>
      <c r="C429" s="77">
        <f>131.881</f>
        <v>131.881</v>
      </c>
      <c r="D429" s="77">
        <f>277.167</f>
        <v>277.16699999999997</v>
      </c>
      <c r="E429" s="86">
        <f>79.08</f>
        <v>79.08</v>
      </c>
      <c r="F429" s="77">
        <f>350.872-40-25-60-100</f>
        <v>125.87200000000001</v>
      </c>
      <c r="G429" s="80">
        <v>40</v>
      </c>
      <c r="H429" s="77">
        <f t="shared" si="68"/>
        <v>185</v>
      </c>
      <c r="I429" s="77">
        <f t="shared" si="59"/>
        <v>0</v>
      </c>
      <c r="J429" s="80">
        <v>100</v>
      </c>
      <c r="K429" s="80">
        <v>300</v>
      </c>
      <c r="L429" s="77">
        <f t="shared" si="63"/>
        <v>1239</v>
      </c>
      <c r="M429" s="88">
        <v>600</v>
      </c>
      <c r="N429" s="77">
        <f>75</f>
        <v>75</v>
      </c>
      <c r="O429" s="80">
        <v>240</v>
      </c>
      <c r="P429" s="80">
        <v>160</v>
      </c>
      <c r="Q429" s="80">
        <f t="shared" si="64"/>
        <v>195</v>
      </c>
      <c r="R429" s="80">
        <f t="shared" si="65"/>
        <v>100</v>
      </c>
      <c r="S429" s="77">
        <f t="shared" si="66"/>
        <v>695</v>
      </c>
      <c r="T429" s="77">
        <f>0</f>
        <v>0</v>
      </c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</row>
    <row r="430" spans="1:30" ht="15.75" x14ac:dyDescent="0.25">
      <c r="A430" s="33">
        <v>54026</v>
      </c>
      <c r="B430" s="90">
        <v>30</v>
      </c>
      <c r="C430" s="77">
        <f>122.58</f>
        <v>122.58</v>
      </c>
      <c r="D430" s="77">
        <f>297.941</f>
        <v>297.94099999999997</v>
      </c>
      <c r="E430" s="86">
        <f>89.177</f>
        <v>89.177000000000007</v>
      </c>
      <c r="F430" s="77">
        <f>240.302-40-60-100</f>
        <v>40.301999999999992</v>
      </c>
      <c r="G430" s="80">
        <v>40</v>
      </c>
      <c r="H430" s="77">
        <f>60+100</f>
        <v>160</v>
      </c>
      <c r="I430" s="77">
        <f t="shared" si="59"/>
        <v>0</v>
      </c>
      <c r="J430" s="80">
        <v>100</v>
      </c>
      <c r="K430" s="80">
        <v>300</v>
      </c>
      <c r="L430" s="77">
        <f t="shared" si="63"/>
        <v>1150</v>
      </c>
      <c r="M430" s="88">
        <v>600</v>
      </c>
      <c r="N430" s="77">
        <f>100</f>
        <v>100</v>
      </c>
      <c r="O430" s="80">
        <v>240</v>
      </c>
      <c r="P430" s="80">
        <v>40</v>
      </c>
      <c r="Q430" s="80">
        <f t="shared" si="64"/>
        <v>315</v>
      </c>
      <c r="R430" s="80">
        <f t="shared" si="65"/>
        <v>100</v>
      </c>
      <c r="S430" s="77">
        <f t="shared" si="66"/>
        <v>695</v>
      </c>
      <c r="T430" s="77">
        <f>50</f>
        <v>50</v>
      </c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</row>
    <row r="431" spans="1:30" ht="15.75" x14ac:dyDescent="0.25">
      <c r="A431" s="33">
        <v>54057</v>
      </c>
      <c r="B431" s="90">
        <v>31</v>
      </c>
      <c r="C431" s="77">
        <f>122.58</f>
        <v>122.58</v>
      </c>
      <c r="D431" s="77">
        <f>297.941</f>
        <v>297.94099999999997</v>
      </c>
      <c r="E431" s="86">
        <f>89.177</f>
        <v>89.177000000000007</v>
      </c>
      <c r="F431" s="77">
        <f>240.302-40-60-100</f>
        <v>40.301999999999992</v>
      </c>
      <c r="G431" s="80">
        <v>40</v>
      </c>
      <c r="H431" s="77">
        <f>60+100</f>
        <v>160</v>
      </c>
      <c r="I431" s="77">
        <f t="shared" si="59"/>
        <v>0</v>
      </c>
      <c r="J431" s="80">
        <v>100</v>
      </c>
      <c r="K431" s="80">
        <v>300</v>
      </c>
      <c r="L431" s="77">
        <f t="shared" si="63"/>
        <v>1150</v>
      </c>
      <c r="M431" s="88">
        <v>600</v>
      </c>
      <c r="N431" s="77">
        <f>100</f>
        <v>100</v>
      </c>
      <c r="O431" s="80">
        <v>240</v>
      </c>
      <c r="P431" s="80">
        <v>40</v>
      </c>
      <c r="Q431" s="80">
        <f t="shared" si="64"/>
        <v>315</v>
      </c>
      <c r="R431" s="80">
        <f t="shared" si="65"/>
        <v>100</v>
      </c>
      <c r="S431" s="77">
        <f t="shared" si="66"/>
        <v>695</v>
      </c>
      <c r="T431" s="77">
        <f>50</f>
        <v>50</v>
      </c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</row>
    <row r="432" spans="1:30" ht="15.75" x14ac:dyDescent="0.25">
      <c r="A432" s="33">
        <v>54088</v>
      </c>
      <c r="B432" s="90">
        <v>31</v>
      </c>
      <c r="C432" s="77">
        <f>122.58</f>
        <v>122.58</v>
      </c>
      <c r="D432" s="77">
        <f>297.941</f>
        <v>297.94099999999997</v>
      </c>
      <c r="E432" s="86">
        <f>89.177</f>
        <v>89.177000000000007</v>
      </c>
      <c r="F432" s="77">
        <f>240.302-40-60-100</f>
        <v>40.301999999999992</v>
      </c>
      <c r="G432" s="80">
        <v>40</v>
      </c>
      <c r="H432" s="77">
        <f>60+100</f>
        <v>160</v>
      </c>
      <c r="I432" s="77">
        <f t="shared" si="59"/>
        <v>0</v>
      </c>
      <c r="J432" s="80">
        <v>100</v>
      </c>
      <c r="K432" s="80">
        <v>300</v>
      </c>
      <c r="L432" s="77">
        <f t="shared" si="63"/>
        <v>1150</v>
      </c>
      <c r="M432" s="88">
        <v>600</v>
      </c>
      <c r="N432" s="77">
        <f>100</f>
        <v>100</v>
      </c>
      <c r="O432" s="80">
        <v>240</v>
      </c>
      <c r="P432" s="80">
        <v>40</v>
      </c>
      <c r="Q432" s="80">
        <f t="shared" si="64"/>
        <v>315</v>
      </c>
      <c r="R432" s="80">
        <f t="shared" si="65"/>
        <v>100</v>
      </c>
      <c r="S432" s="77">
        <f t="shared" si="66"/>
        <v>695</v>
      </c>
      <c r="T432" s="77">
        <f>50</f>
        <v>50</v>
      </c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</row>
    <row r="433" spans="1:30" ht="15.75" x14ac:dyDescent="0.25">
      <c r="A433" s="33">
        <v>54116</v>
      </c>
      <c r="B433" s="90">
        <v>29</v>
      </c>
      <c r="C433" s="77">
        <f>122.58</f>
        <v>122.58</v>
      </c>
      <c r="D433" s="77">
        <f>297.941</f>
        <v>297.94099999999997</v>
      </c>
      <c r="E433" s="86">
        <f>89.177</f>
        <v>89.177000000000007</v>
      </c>
      <c r="F433" s="77">
        <f>240.302-40-60-100</f>
        <v>40.301999999999992</v>
      </c>
      <c r="G433" s="80">
        <v>40</v>
      </c>
      <c r="H433" s="77">
        <f>60+100</f>
        <v>160</v>
      </c>
      <c r="I433" s="77">
        <f t="shared" si="59"/>
        <v>0</v>
      </c>
      <c r="J433" s="80">
        <v>100</v>
      </c>
      <c r="K433" s="80">
        <v>300</v>
      </c>
      <c r="L433" s="77">
        <f t="shared" si="63"/>
        <v>1150</v>
      </c>
      <c r="M433" s="88">
        <v>600</v>
      </c>
      <c r="N433" s="77">
        <f>100</f>
        <v>100</v>
      </c>
      <c r="O433" s="80">
        <v>240</v>
      </c>
      <c r="P433" s="80">
        <v>40</v>
      </c>
      <c r="Q433" s="80">
        <f t="shared" si="64"/>
        <v>315</v>
      </c>
      <c r="R433" s="80">
        <f t="shared" si="65"/>
        <v>100</v>
      </c>
      <c r="S433" s="77">
        <f t="shared" si="66"/>
        <v>695</v>
      </c>
      <c r="T433" s="77">
        <f>50</f>
        <v>50</v>
      </c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</row>
    <row r="434" spans="1:30" ht="15.75" x14ac:dyDescent="0.25">
      <c r="A434" s="33">
        <v>54148</v>
      </c>
      <c r="B434" s="90">
        <v>31</v>
      </c>
      <c r="C434" s="77">
        <f>122.58</f>
        <v>122.58</v>
      </c>
      <c r="D434" s="77">
        <f>297.941</f>
        <v>297.94099999999997</v>
      </c>
      <c r="E434" s="86">
        <f>89.177</f>
        <v>89.177000000000007</v>
      </c>
      <c r="F434" s="77">
        <f>240.302-40-60-100</f>
        <v>40.301999999999992</v>
      </c>
      <c r="G434" s="80">
        <v>40</v>
      </c>
      <c r="H434" s="77">
        <f>60+100</f>
        <v>160</v>
      </c>
      <c r="I434" s="77">
        <f t="shared" si="59"/>
        <v>0</v>
      </c>
      <c r="J434" s="80">
        <v>100</v>
      </c>
      <c r="K434" s="80">
        <v>300</v>
      </c>
      <c r="L434" s="77">
        <f t="shared" si="63"/>
        <v>1150</v>
      </c>
      <c r="M434" s="88">
        <v>600</v>
      </c>
      <c r="N434" s="77">
        <f>100</f>
        <v>100</v>
      </c>
      <c r="O434" s="80">
        <v>240</v>
      </c>
      <c r="P434" s="80">
        <v>40</v>
      </c>
      <c r="Q434" s="80">
        <f t="shared" si="64"/>
        <v>315</v>
      </c>
      <c r="R434" s="80">
        <f t="shared" si="65"/>
        <v>100</v>
      </c>
      <c r="S434" s="77">
        <f t="shared" si="66"/>
        <v>695</v>
      </c>
      <c r="T434" s="77">
        <f>50</f>
        <v>50</v>
      </c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</row>
    <row r="435" spans="1:30" ht="15.75" x14ac:dyDescent="0.25">
      <c r="A435" s="33">
        <v>54178</v>
      </c>
      <c r="B435" s="90">
        <v>30</v>
      </c>
      <c r="C435" s="77">
        <f>141.293</f>
        <v>141.29300000000001</v>
      </c>
      <c r="D435" s="77">
        <f>267.993</f>
        <v>267.99299999999999</v>
      </c>
      <c r="E435" s="86">
        <f>115.016</f>
        <v>115.01600000000001</v>
      </c>
      <c r="F435" s="77">
        <f>314.698-40-25-60-100</f>
        <v>89.697999999999979</v>
      </c>
      <c r="G435" s="80">
        <v>40</v>
      </c>
      <c r="H435" s="77">
        <f t="shared" ref="H435:H441" si="69">25+60+100</f>
        <v>185</v>
      </c>
      <c r="I435" s="77">
        <f t="shared" si="59"/>
        <v>0</v>
      </c>
      <c r="J435" s="80">
        <v>100</v>
      </c>
      <c r="K435" s="80">
        <v>300</v>
      </c>
      <c r="L435" s="77">
        <f t="shared" si="63"/>
        <v>1239</v>
      </c>
      <c r="M435" s="88">
        <v>600</v>
      </c>
      <c r="N435" s="77">
        <f>100</f>
        <v>100</v>
      </c>
      <c r="O435" s="80">
        <v>240</v>
      </c>
      <c r="P435" s="80">
        <v>160</v>
      </c>
      <c r="Q435" s="80">
        <f t="shared" si="64"/>
        <v>195</v>
      </c>
      <c r="R435" s="80">
        <f t="shared" si="65"/>
        <v>100</v>
      </c>
      <c r="S435" s="77">
        <f t="shared" si="66"/>
        <v>695</v>
      </c>
      <c r="T435" s="77">
        <f>50</f>
        <v>50</v>
      </c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</row>
    <row r="436" spans="1:30" ht="15.75" x14ac:dyDescent="0.25">
      <c r="A436" s="33">
        <v>54209</v>
      </c>
      <c r="B436" s="90">
        <v>31</v>
      </c>
      <c r="C436" s="77">
        <f>194.205</f>
        <v>194.20500000000001</v>
      </c>
      <c r="D436" s="77">
        <f>267.466</f>
        <v>267.46600000000001</v>
      </c>
      <c r="E436" s="86">
        <f>133.845</f>
        <v>133.845</v>
      </c>
      <c r="F436" s="77">
        <f>278.484-40-25-60-100</f>
        <v>53.48399999999998</v>
      </c>
      <c r="G436" s="80">
        <v>40</v>
      </c>
      <c r="H436" s="77">
        <f t="shared" si="69"/>
        <v>185</v>
      </c>
      <c r="I436" s="77">
        <f t="shared" ref="I436:I499" si="70">400-J436-K436</f>
        <v>0</v>
      </c>
      <c r="J436" s="80">
        <v>100</v>
      </c>
      <c r="K436" s="80">
        <v>300</v>
      </c>
      <c r="L436" s="77">
        <f t="shared" si="63"/>
        <v>1274</v>
      </c>
      <c r="M436" s="88">
        <v>600</v>
      </c>
      <c r="N436" s="77">
        <f>75</f>
        <v>75</v>
      </c>
      <c r="O436" s="80">
        <v>240</v>
      </c>
      <c r="P436" s="80">
        <v>160</v>
      </c>
      <c r="Q436" s="80">
        <f t="shared" si="64"/>
        <v>195</v>
      </c>
      <c r="R436" s="80">
        <f t="shared" si="65"/>
        <v>100</v>
      </c>
      <c r="S436" s="77">
        <f t="shared" si="66"/>
        <v>695</v>
      </c>
      <c r="T436" s="77">
        <f>50</f>
        <v>50</v>
      </c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</row>
    <row r="437" spans="1:30" ht="15.75" x14ac:dyDescent="0.25">
      <c r="A437" s="33">
        <v>54239</v>
      </c>
      <c r="B437" s="90">
        <v>30</v>
      </c>
      <c r="C437" s="77">
        <f>194.205</f>
        <v>194.20500000000001</v>
      </c>
      <c r="D437" s="77">
        <f>267.466</f>
        <v>267.46600000000001</v>
      </c>
      <c r="E437" s="86">
        <f>133.845</f>
        <v>133.845</v>
      </c>
      <c r="F437" s="77">
        <f>278.484-40-25-60-100</f>
        <v>53.48399999999998</v>
      </c>
      <c r="G437" s="80">
        <v>40</v>
      </c>
      <c r="H437" s="77">
        <f t="shared" si="69"/>
        <v>185</v>
      </c>
      <c r="I437" s="77">
        <f t="shared" si="70"/>
        <v>0</v>
      </c>
      <c r="J437" s="80">
        <v>100</v>
      </c>
      <c r="K437" s="80">
        <v>300</v>
      </c>
      <c r="L437" s="77">
        <f t="shared" si="63"/>
        <v>1274</v>
      </c>
      <c r="M437" s="88">
        <v>600</v>
      </c>
      <c r="N437" s="77">
        <f>30</f>
        <v>30</v>
      </c>
      <c r="O437" s="80">
        <v>240</v>
      </c>
      <c r="P437" s="80">
        <v>160</v>
      </c>
      <c r="Q437" s="80">
        <f t="shared" si="64"/>
        <v>195</v>
      </c>
      <c r="R437" s="80">
        <f t="shared" si="65"/>
        <v>100</v>
      </c>
      <c r="S437" s="77">
        <f t="shared" si="66"/>
        <v>695</v>
      </c>
      <c r="T437" s="77">
        <f>50</f>
        <v>50</v>
      </c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</row>
    <row r="438" spans="1:30" ht="15.75" x14ac:dyDescent="0.25">
      <c r="A438" s="33">
        <v>54270</v>
      </c>
      <c r="B438" s="90">
        <v>31</v>
      </c>
      <c r="C438" s="77">
        <f>194.205</f>
        <v>194.20500000000001</v>
      </c>
      <c r="D438" s="77">
        <f>267.466</f>
        <v>267.46600000000001</v>
      </c>
      <c r="E438" s="86">
        <f>133.845</f>
        <v>133.845</v>
      </c>
      <c r="F438" s="77">
        <f>278.484-40-25-60-100</f>
        <v>53.48399999999998</v>
      </c>
      <c r="G438" s="80">
        <v>40</v>
      </c>
      <c r="H438" s="77">
        <f t="shared" si="69"/>
        <v>185</v>
      </c>
      <c r="I438" s="77">
        <f t="shared" si="70"/>
        <v>0</v>
      </c>
      <c r="J438" s="80">
        <v>100</v>
      </c>
      <c r="K438" s="80">
        <v>300</v>
      </c>
      <c r="L438" s="77">
        <f t="shared" si="63"/>
        <v>1274</v>
      </c>
      <c r="M438" s="88">
        <v>600</v>
      </c>
      <c r="N438" s="77">
        <f>30</f>
        <v>30</v>
      </c>
      <c r="O438" s="80">
        <v>240</v>
      </c>
      <c r="P438" s="80">
        <v>160</v>
      </c>
      <c r="Q438" s="80">
        <f t="shared" si="64"/>
        <v>195</v>
      </c>
      <c r="R438" s="80">
        <f t="shared" si="65"/>
        <v>100</v>
      </c>
      <c r="S438" s="77">
        <f t="shared" si="66"/>
        <v>695</v>
      </c>
      <c r="T438" s="77">
        <f>0</f>
        <v>0</v>
      </c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</row>
    <row r="439" spans="1:30" ht="15.75" x14ac:dyDescent="0.25">
      <c r="A439" s="33">
        <v>54301</v>
      </c>
      <c r="B439" s="90">
        <v>31</v>
      </c>
      <c r="C439" s="77">
        <f>194.205</f>
        <v>194.20500000000001</v>
      </c>
      <c r="D439" s="77">
        <f>267.466</f>
        <v>267.46600000000001</v>
      </c>
      <c r="E439" s="86">
        <f>133.845</f>
        <v>133.845</v>
      </c>
      <c r="F439" s="77">
        <f>278.484-40-25-60-100</f>
        <v>53.48399999999998</v>
      </c>
      <c r="G439" s="80">
        <v>40</v>
      </c>
      <c r="H439" s="77">
        <f t="shared" si="69"/>
        <v>185</v>
      </c>
      <c r="I439" s="77">
        <f t="shared" si="70"/>
        <v>0</v>
      </c>
      <c r="J439" s="80">
        <v>100</v>
      </c>
      <c r="K439" s="80">
        <v>300</v>
      </c>
      <c r="L439" s="77">
        <f t="shared" si="63"/>
        <v>1274</v>
      </c>
      <c r="M439" s="88">
        <v>600</v>
      </c>
      <c r="N439" s="77">
        <f>30</f>
        <v>30</v>
      </c>
      <c r="O439" s="80">
        <v>240</v>
      </c>
      <c r="P439" s="80">
        <v>160</v>
      </c>
      <c r="Q439" s="80">
        <f t="shared" si="64"/>
        <v>195</v>
      </c>
      <c r="R439" s="80">
        <f t="shared" si="65"/>
        <v>100</v>
      </c>
      <c r="S439" s="77">
        <f t="shared" si="66"/>
        <v>695</v>
      </c>
      <c r="T439" s="77">
        <f>0</f>
        <v>0</v>
      </c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</row>
    <row r="440" spans="1:30" ht="15.75" x14ac:dyDescent="0.25">
      <c r="A440" s="33">
        <v>54331</v>
      </c>
      <c r="B440" s="90">
        <v>30</v>
      </c>
      <c r="C440" s="77">
        <f>194.205</f>
        <v>194.20500000000001</v>
      </c>
      <c r="D440" s="77">
        <f>267.466</f>
        <v>267.46600000000001</v>
      </c>
      <c r="E440" s="86">
        <f>133.845</f>
        <v>133.845</v>
      </c>
      <c r="F440" s="77">
        <f>278.484-40-25-60-100</f>
        <v>53.48399999999998</v>
      </c>
      <c r="G440" s="80">
        <v>40</v>
      </c>
      <c r="H440" s="77">
        <f t="shared" si="69"/>
        <v>185</v>
      </c>
      <c r="I440" s="77">
        <f t="shared" si="70"/>
        <v>0</v>
      </c>
      <c r="J440" s="80">
        <v>100</v>
      </c>
      <c r="K440" s="80">
        <v>300</v>
      </c>
      <c r="L440" s="77">
        <f t="shared" si="63"/>
        <v>1274</v>
      </c>
      <c r="M440" s="88">
        <v>600</v>
      </c>
      <c r="N440" s="77">
        <f>30</f>
        <v>30</v>
      </c>
      <c r="O440" s="80">
        <v>240</v>
      </c>
      <c r="P440" s="80">
        <v>160</v>
      </c>
      <c r="Q440" s="80">
        <f t="shared" si="64"/>
        <v>195</v>
      </c>
      <c r="R440" s="80">
        <f t="shared" si="65"/>
        <v>100</v>
      </c>
      <c r="S440" s="77">
        <f t="shared" si="66"/>
        <v>695</v>
      </c>
      <c r="T440" s="77">
        <f>0</f>
        <v>0</v>
      </c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</row>
    <row r="441" spans="1:30" ht="15.75" x14ac:dyDescent="0.25">
      <c r="A441" s="33">
        <v>54362</v>
      </c>
      <c r="B441" s="90">
        <v>31</v>
      </c>
      <c r="C441" s="77">
        <f>131.881</f>
        <v>131.881</v>
      </c>
      <c r="D441" s="77">
        <f>277.167</f>
        <v>277.16699999999997</v>
      </c>
      <c r="E441" s="86">
        <f>79.08</f>
        <v>79.08</v>
      </c>
      <c r="F441" s="77">
        <f>350.872-40-25-60-100</f>
        <v>125.87200000000001</v>
      </c>
      <c r="G441" s="80">
        <v>40</v>
      </c>
      <c r="H441" s="77">
        <f t="shared" si="69"/>
        <v>185</v>
      </c>
      <c r="I441" s="77">
        <f t="shared" si="70"/>
        <v>0</v>
      </c>
      <c r="J441" s="80">
        <v>100</v>
      </c>
      <c r="K441" s="80">
        <v>300</v>
      </c>
      <c r="L441" s="77">
        <f t="shared" si="63"/>
        <v>1239</v>
      </c>
      <c r="M441" s="88">
        <v>600</v>
      </c>
      <c r="N441" s="77">
        <f>75</f>
        <v>75</v>
      </c>
      <c r="O441" s="80">
        <v>240</v>
      </c>
      <c r="P441" s="80">
        <v>160</v>
      </c>
      <c r="Q441" s="80">
        <f t="shared" si="64"/>
        <v>195</v>
      </c>
      <c r="R441" s="80">
        <f t="shared" si="65"/>
        <v>100</v>
      </c>
      <c r="S441" s="77">
        <f t="shared" si="66"/>
        <v>695</v>
      </c>
      <c r="T441" s="77">
        <f>0</f>
        <v>0</v>
      </c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</row>
    <row r="442" spans="1:30" ht="15.75" x14ac:dyDescent="0.25">
      <c r="A442" s="33">
        <v>54392</v>
      </c>
      <c r="B442" s="90">
        <v>30</v>
      </c>
      <c r="C442" s="77">
        <f>122.58</f>
        <v>122.58</v>
      </c>
      <c r="D442" s="77">
        <f>297.941</f>
        <v>297.94099999999997</v>
      </c>
      <c r="E442" s="86">
        <f>89.177</f>
        <v>89.177000000000007</v>
      </c>
      <c r="F442" s="77">
        <f>240.302-40-60-100</f>
        <v>40.301999999999992</v>
      </c>
      <c r="G442" s="80">
        <v>40</v>
      </c>
      <c r="H442" s="77">
        <f>60+100</f>
        <v>160</v>
      </c>
      <c r="I442" s="77">
        <f t="shared" si="70"/>
        <v>0</v>
      </c>
      <c r="J442" s="80">
        <v>100</v>
      </c>
      <c r="K442" s="80">
        <v>300</v>
      </c>
      <c r="L442" s="77">
        <f t="shared" si="63"/>
        <v>1150</v>
      </c>
      <c r="M442" s="88">
        <v>600</v>
      </c>
      <c r="N442" s="77">
        <f>100</f>
        <v>100</v>
      </c>
      <c r="O442" s="80">
        <v>240</v>
      </c>
      <c r="P442" s="80">
        <v>40</v>
      </c>
      <c r="Q442" s="80">
        <f t="shared" si="64"/>
        <v>315</v>
      </c>
      <c r="R442" s="80">
        <f t="shared" si="65"/>
        <v>100</v>
      </c>
      <c r="S442" s="77">
        <f t="shared" si="66"/>
        <v>695</v>
      </c>
      <c r="T442" s="77">
        <f>50</f>
        <v>50</v>
      </c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</row>
    <row r="443" spans="1:30" ht="15.75" x14ac:dyDescent="0.25">
      <c r="A443" s="33">
        <v>54423</v>
      </c>
      <c r="B443" s="90">
        <v>31</v>
      </c>
      <c r="C443" s="77">
        <f>122.58</f>
        <v>122.58</v>
      </c>
      <c r="D443" s="77">
        <f>297.941</f>
        <v>297.94099999999997</v>
      </c>
      <c r="E443" s="86">
        <f>89.177</f>
        <v>89.177000000000007</v>
      </c>
      <c r="F443" s="77">
        <f>240.302-40-60-100</f>
        <v>40.301999999999992</v>
      </c>
      <c r="G443" s="80">
        <v>40</v>
      </c>
      <c r="H443" s="77">
        <f>60+100</f>
        <v>160</v>
      </c>
      <c r="I443" s="77">
        <f t="shared" si="70"/>
        <v>0</v>
      </c>
      <c r="J443" s="80">
        <v>100</v>
      </c>
      <c r="K443" s="80">
        <v>300</v>
      </c>
      <c r="L443" s="77">
        <f t="shared" si="63"/>
        <v>1150</v>
      </c>
      <c r="M443" s="88">
        <v>600</v>
      </c>
      <c r="N443" s="77">
        <f>100</f>
        <v>100</v>
      </c>
      <c r="O443" s="80">
        <v>240</v>
      </c>
      <c r="P443" s="80">
        <v>40</v>
      </c>
      <c r="Q443" s="80">
        <f t="shared" si="64"/>
        <v>315</v>
      </c>
      <c r="R443" s="80">
        <f t="shared" si="65"/>
        <v>100</v>
      </c>
      <c r="S443" s="77">
        <f t="shared" si="66"/>
        <v>695</v>
      </c>
      <c r="T443" s="77">
        <f>50</f>
        <v>50</v>
      </c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</row>
    <row r="444" spans="1:30" ht="15.75" x14ac:dyDescent="0.25">
      <c r="A444" s="33">
        <v>54454</v>
      </c>
      <c r="B444" s="90">
        <v>31</v>
      </c>
      <c r="C444" s="77">
        <f>122.58</f>
        <v>122.58</v>
      </c>
      <c r="D444" s="77">
        <f>297.941</f>
        <v>297.94099999999997</v>
      </c>
      <c r="E444" s="86">
        <f>89.177</f>
        <v>89.177000000000007</v>
      </c>
      <c r="F444" s="77">
        <f>240.302-40-60-100</f>
        <v>40.301999999999992</v>
      </c>
      <c r="G444" s="80">
        <v>40</v>
      </c>
      <c r="H444" s="77">
        <f>60+100</f>
        <v>160</v>
      </c>
      <c r="I444" s="77">
        <f t="shared" si="70"/>
        <v>0</v>
      </c>
      <c r="J444" s="80">
        <v>100</v>
      </c>
      <c r="K444" s="80">
        <v>300</v>
      </c>
      <c r="L444" s="77">
        <f t="shared" si="63"/>
        <v>1150</v>
      </c>
      <c r="M444" s="88">
        <v>600</v>
      </c>
      <c r="N444" s="77">
        <f>100</f>
        <v>100</v>
      </c>
      <c r="O444" s="80">
        <v>240</v>
      </c>
      <c r="P444" s="80">
        <v>40</v>
      </c>
      <c r="Q444" s="80">
        <f t="shared" si="64"/>
        <v>315</v>
      </c>
      <c r="R444" s="80">
        <f t="shared" si="65"/>
        <v>100</v>
      </c>
      <c r="S444" s="77">
        <f t="shared" si="66"/>
        <v>695</v>
      </c>
      <c r="T444" s="77">
        <f>50</f>
        <v>50</v>
      </c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</row>
    <row r="445" spans="1:30" ht="15.75" x14ac:dyDescent="0.25">
      <c r="A445" s="33">
        <v>54482</v>
      </c>
      <c r="B445" s="90">
        <v>28</v>
      </c>
      <c r="C445" s="77">
        <f>122.58</f>
        <v>122.58</v>
      </c>
      <c r="D445" s="77">
        <f>297.941</f>
        <v>297.94099999999997</v>
      </c>
      <c r="E445" s="86">
        <f>89.177</f>
        <v>89.177000000000007</v>
      </c>
      <c r="F445" s="77">
        <f>240.302-40-60-100</f>
        <v>40.301999999999992</v>
      </c>
      <c r="G445" s="80">
        <v>40</v>
      </c>
      <c r="H445" s="77">
        <f>60+100</f>
        <v>160</v>
      </c>
      <c r="I445" s="77">
        <f t="shared" si="70"/>
        <v>0</v>
      </c>
      <c r="J445" s="80">
        <v>100</v>
      </c>
      <c r="K445" s="80">
        <v>300</v>
      </c>
      <c r="L445" s="77">
        <f t="shared" si="63"/>
        <v>1150</v>
      </c>
      <c r="M445" s="88">
        <v>600</v>
      </c>
      <c r="N445" s="77">
        <f>100</f>
        <v>100</v>
      </c>
      <c r="O445" s="80">
        <v>240</v>
      </c>
      <c r="P445" s="80">
        <v>40</v>
      </c>
      <c r="Q445" s="80">
        <f t="shared" si="64"/>
        <v>315</v>
      </c>
      <c r="R445" s="80">
        <f t="shared" si="65"/>
        <v>100</v>
      </c>
      <c r="S445" s="77">
        <f t="shared" si="66"/>
        <v>695</v>
      </c>
      <c r="T445" s="77">
        <f>50</f>
        <v>50</v>
      </c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</row>
    <row r="446" spans="1:30" ht="15.75" x14ac:dyDescent="0.25">
      <c r="A446" s="33">
        <v>54513</v>
      </c>
      <c r="B446" s="90">
        <v>31</v>
      </c>
      <c r="C446" s="77">
        <f>122.58</f>
        <v>122.58</v>
      </c>
      <c r="D446" s="77">
        <f>297.941</f>
        <v>297.94099999999997</v>
      </c>
      <c r="E446" s="86">
        <f>89.177</f>
        <v>89.177000000000007</v>
      </c>
      <c r="F446" s="77">
        <f>240.302-40-60-100</f>
        <v>40.301999999999992</v>
      </c>
      <c r="G446" s="80">
        <v>40</v>
      </c>
      <c r="H446" s="77">
        <f>60+100</f>
        <v>160</v>
      </c>
      <c r="I446" s="77">
        <f t="shared" si="70"/>
        <v>0</v>
      </c>
      <c r="J446" s="80">
        <v>100</v>
      </c>
      <c r="K446" s="80">
        <v>300</v>
      </c>
      <c r="L446" s="77">
        <f t="shared" si="63"/>
        <v>1150</v>
      </c>
      <c r="M446" s="88">
        <v>600</v>
      </c>
      <c r="N446" s="77">
        <f>100</f>
        <v>100</v>
      </c>
      <c r="O446" s="80">
        <v>240</v>
      </c>
      <c r="P446" s="80">
        <v>40</v>
      </c>
      <c r="Q446" s="80">
        <f t="shared" si="64"/>
        <v>315</v>
      </c>
      <c r="R446" s="80">
        <f t="shared" si="65"/>
        <v>100</v>
      </c>
      <c r="S446" s="77">
        <f t="shared" si="66"/>
        <v>695</v>
      </c>
      <c r="T446" s="77">
        <f>50</f>
        <v>50</v>
      </c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</row>
    <row r="447" spans="1:30" ht="15.75" x14ac:dyDescent="0.25">
      <c r="A447" s="33">
        <v>54543</v>
      </c>
      <c r="B447" s="90">
        <v>30</v>
      </c>
      <c r="C447" s="77">
        <f>141.293</f>
        <v>141.29300000000001</v>
      </c>
      <c r="D447" s="77">
        <f>267.993</f>
        <v>267.99299999999999</v>
      </c>
      <c r="E447" s="86">
        <f>115.016</f>
        <v>115.01600000000001</v>
      </c>
      <c r="F447" s="77">
        <f>314.698-40-25-60-100</f>
        <v>89.697999999999979</v>
      </c>
      <c r="G447" s="80">
        <v>40</v>
      </c>
      <c r="H447" s="77">
        <f t="shared" ref="H447:H453" si="71">25+60+100</f>
        <v>185</v>
      </c>
      <c r="I447" s="77">
        <f t="shared" si="70"/>
        <v>0</v>
      </c>
      <c r="J447" s="80">
        <v>100</v>
      </c>
      <c r="K447" s="80">
        <v>300</v>
      </c>
      <c r="L447" s="77">
        <f t="shared" si="63"/>
        <v>1239</v>
      </c>
      <c r="M447" s="88">
        <v>600</v>
      </c>
      <c r="N447" s="77">
        <f>100</f>
        <v>100</v>
      </c>
      <c r="O447" s="80">
        <v>240</v>
      </c>
      <c r="P447" s="80">
        <v>160</v>
      </c>
      <c r="Q447" s="80">
        <f t="shared" si="64"/>
        <v>195</v>
      </c>
      <c r="R447" s="80">
        <f t="shared" si="65"/>
        <v>100</v>
      </c>
      <c r="S447" s="77">
        <f t="shared" si="66"/>
        <v>695</v>
      </c>
      <c r="T447" s="77">
        <f>50</f>
        <v>50</v>
      </c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</row>
    <row r="448" spans="1:30" ht="15.75" x14ac:dyDescent="0.25">
      <c r="A448" s="33">
        <v>54574</v>
      </c>
      <c r="B448" s="90">
        <v>31</v>
      </c>
      <c r="C448" s="77">
        <f>194.205</f>
        <v>194.20500000000001</v>
      </c>
      <c r="D448" s="77">
        <f>267.466</f>
        <v>267.46600000000001</v>
      </c>
      <c r="E448" s="86">
        <f>133.845</f>
        <v>133.845</v>
      </c>
      <c r="F448" s="77">
        <f>278.484-40-25-60-100</f>
        <v>53.48399999999998</v>
      </c>
      <c r="G448" s="80">
        <v>40</v>
      </c>
      <c r="H448" s="77">
        <f t="shared" si="71"/>
        <v>185</v>
      </c>
      <c r="I448" s="77">
        <f t="shared" si="70"/>
        <v>0</v>
      </c>
      <c r="J448" s="80">
        <v>100</v>
      </c>
      <c r="K448" s="80">
        <v>300</v>
      </c>
      <c r="L448" s="77">
        <f t="shared" si="63"/>
        <v>1274</v>
      </c>
      <c r="M448" s="88">
        <v>600</v>
      </c>
      <c r="N448" s="77">
        <f>75</f>
        <v>75</v>
      </c>
      <c r="O448" s="80">
        <v>240</v>
      </c>
      <c r="P448" s="80">
        <v>160</v>
      </c>
      <c r="Q448" s="80">
        <f t="shared" si="64"/>
        <v>195</v>
      </c>
      <c r="R448" s="80">
        <f t="shared" si="65"/>
        <v>100</v>
      </c>
      <c r="S448" s="77">
        <f t="shared" si="66"/>
        <v>695</v>
      </c>
      <c r="T448" s="77">
        <f>50</f>
        <v>50</v>
      </c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</row>
    <row r="449" spans="1:30" ht="15.75" x14ac:dyDescent="0.25">
      <c r="A449" s="33">
        <v>54604</v>
      </c>
      <c r="B449" s="90">
        <v>30</v>
      </c>
      <c r="C449" s="77">
        <f>194.205</f>
        <v>194.20500000000001</v>
      </c>
      <c r="D449" s="77">
        <f>267.466</f>
        <v>267.46600000000001</v>
      </c>
      <c r="E449" s="86">
        <f>133.845</f>
        <v>133.845</v>
      </c>
      <c r="F449" s="77">
        <f>278.484-40-25-60-100</f>
        <v>53.48399999999998</v>
      </c>
      <c r="G449" s="80">
        <v>40</v>
      </c>
      <c r="H449" s="77">
        <f t="shared" si="71"/>
        <v>185</v>
      </c>
      <c r="I449" s="77">
        <f t="shared" si="70"/>
        <v>0</v>
      </c>
      <c r="J449" s="80">
        <v>100</v>
      </c>
      <c r="K449" s="80">
        <v>300</v>
      </c>
      <c r="L449" s="77">
        <f t="shared" si="63"/>
        <v>1274</v>
      </c>
      <c r="M449" s="88">
        <v>600</v>
      </c>
      <c r="N449" s="77">
        <f>30</f>
        <v>30</v>
      </c>
      <c r="O449" s="80">
        <v>240</v>
      </c>
      <c r="P449" s="80">
        <v>160</v>
      </c>
      <c r="Q449" s="80">
        <f t="shared" si="64"/>
        <v>195</v>
      </c>
      <c r="R449" s="80">
        <f t="shared" si="65"/>
        <v>100</v>
      </c>
      <c r="S449" s="77">
        <f t="shared" si="66"/>
        <v>695</v>
      </c>
      <c r="T449" s="77">
        <f>50</f>
        <v>50</v>
      </c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</row>
    <row r="450" spans="1:30" ht="15.75" x14ac:dyDescent="0.25">
      <c r="A450" s="33">
        <v>54635</v>
      </c>
      <c r="B450" s="90">
        <v>31</v>
      </c>
      <c r="C450" s="77">
        <f>194.205</f>
        <v>194.20500000000001</v>
      </c>
      <c r="D450" s="77">
        <f>267.466</f>
        <v>267.46600000000001</v>
      </c>
      <c r="E450" s="86">
        <f>133.845</f>
        <v>133.845</v>
      </c>
      <c r="F450" s="77">
        <f>278.484-40-25-60-100</f>
        <v>53.48399999999998</v>
      </c>
      <c r="G450" s="80">
        <v>40</v>
      </c>
      <c r="H450" s="77">
        <f t="shared" si="71"/>
        <v>185</v>
      </c>
      <c r="I450" s="77">
        <f t="shared" si="70"/>
        <v>0</v>
      </c>
      <c r="J450" s="80">
        <v>100</v>
      </c>
      <c r="K450" s="80">
        <v>300</v>
      </c>
      <c r="L450" s="77">
        <f t="shared" si="63"/>
        <v>1274</v>
      </c>
      <c r="M450" s="88">
        <v>600</v>
      </c>
      <c r="N450" s="77">
        <f>30</f>
        <v>30</v>
      </c>
      <c r="O450" s="80">
        <v>240</v>
      </c>
      <c r="P450" s="80">
        <v>160</v>
      </c>
      <c r="Q450" s="80">
        <f t="shared" si="64"/>
        <v>195</v>
      </c>
      <c r="R450" s="80">
        <f t="shared" si="65"/>
        <v>100</v>
      </c>
      <c r="S450" s="77">
        <f t="shared" si="66"/>
        <v>695</v>
      </c>
      <c r="T450" s="77">
        <f>0</f>
        <v>0</v>
      </c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</row>
    <row r="451" spans="1:30" ht="15.75" x14ac:dyDescent="0.25">
      <c r="A451" s="33">
        <v>54666</v>
      </c>
      <c r="B451" s="90">
        <v>31</v>
      </c>
      <c r="C451" s="77">
        <f>194.205</f>
        <v>194.20500000000001</v>
      </c>
      <c r="D451" s="77">
        <f>267.466</f>
        <v>267.46600000000001</v>
      </c>
      <c r="E451" s="86">
        <f>133.845</f>
        <v>133.845</v>
      </c>
      <c r="F451" s="77">
        <f>278.484-40-25-60-100</f>
        <v>53.48399999999998</v>
      </c>
      <c r="G451" s="80">
        <v>40</v>
      </c>
      <c r="H451" s="77">
        <f t="shared" si="71"/>
        <v>185</v>
      </c>
      <c r="I451" s="77">
        <f t="shared" si="70"/>
        <v>0</v>
      </c>
      <c r="J451" s="80">
        <v>100</v>
      </c>
      <c r="K451" s="80">
        <v>300</v>
      </c>
      <c r="L451" s="77">
        <f t="shared" si="63"/>
        <v>1274</v>
      </c>
      <c r="M451" s="88">
        <v>600</v>
      </c>
      <c r="N451" s="77">
        <f>30</f>
        <v>30</v>
      </c>
      <c r="O451" s="80">
        <v>240</v>
      </c>
      <c r="P451" s="80">
        <v>160</v>
      </c>
      <c r="Q451" s="80">
        <f t="shared" si="64"/>
        <v>195</v>
      </c>
      <c r="R451" s="80">
        <f t="shared" si="65"/>
        <v>100</v>
      </c>
      <c r="S451" s="77">
        <f t="shared" si="66"/>
        <v>695</v>
      </c>
      <c r="T451" s="77">
        <f>0</f>
        <v>0</v>
      </c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</row>
    <row r="452" spans="1:30" ht="15.75" x14ac:dyDescent="0.25">
      <c r="A452" s="33">
        <v>54696</v>
      </c>
      <c r="B452" s="90">
        <v>30</v>
      </c>
      <c r="C452" s="77">
        <f>194.205</f>
        <v>194.20500000000001</v>
      </c>
      <c r="D452" s="77">
        <f>267.466</f>
        <v>267.46600000000001</v>
      </c>
      <c r="E452" s="86">
        <f>133.845</f>
        <v>133.845</v>
      </c>
      <c r="F452" s="77">
        <f>278.484-40-25-60-100</f>
        <v>53.48399999999998</v>
      </c>
      <c r="G452" s="80">
        <v>40</v>
      </c>
      <c r="H452" s="77">
        <f t="shared" si="71"/>
        <v>185</v>
      </c>
      <c r="I452" s="77">
        <f t="shared" si="70"/>
        <v>0</v>
      </c>
      <c r="J452" s="80">
        <v>100</v>
      </c>
      <c r="K452" s="80">
        <v>300</v>
      </c>
      <c r="L452" s="77">
        <f t="shared" si="63"/>
        <v>1274</v>
      </c>
      <c r="M452" s="88">
        <v>600</v>
      </c>
      <c r="N452" s="77">
        <f>30</f>
        <v>30</v>
      </c>
      <c r="O452" s="80">
        <v>240</v>
      </c>
      <c r="P452" s="80">
        <v>160</v>
      </c>
      <c r="Q452" s="80">
        <f t="shared" si="64"/>
        <v>195</v>
      </c>
      <c r="R452" s="80">
        <f t="shared" si="65"/>
        <v>100</v>
      </c>
      <c r="S452" s="77">
        <f t="shared" si="66"/>
        <v>695</v>
      </c>
      <c r="T452" s="77">
        <f>0</f>
        <v>0</v>
      </c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</row>
    <row r="453" spans="1:30" ht="15.75" x14ac:dyDescent="0.25">
      <c r="A453" s="33">
        <v>54727</v>
      </c>
      <c r="B453" s="90">
        <v>31</v>
      </c>
      <c r="C453" s="77">
        <f>131.881</f>
        <v>131.881</v>
      </c>
      <c r="D453" s="77">
        <f>277.167</f>
        <v>277.16699999999997</v>
      </c>
      <c r="E453" s="86">
        <f>79.08</f>
        <v>79.08</v>
      </c>
      <c r="F453" s="77">
        <f>350.872-40-25-60-100</f>
        <v>125.87200000000001</v>
      </c>
      <c r="G453" s="80">
        <v>40</v>
      </c>
      <c r="H453" s="77">
        <f t="shared" si="71"/>
        <v>185</v>
      </c>
      <c r="I453" s="77">
        <f t="shared" si="70"/>
        <v>0</v>
      </c>
      <c r="J453" s="80">
        <v>100</v>
      </c>
      <c r="K453" s="80">
        <v>300</v>
      </c>
      <c r="L453" s="77">
        <f t="shared" si="63"/>
        <v>1239</v>
      </c>
      <c r="M453" s="88">
        <v>600</v>
      </c>
      <c r="N453" s="77">
        <f>75</f>
        <v>75</v>
      </c>
      <c r="O453" s="80">
        <v>240</v>
      </c>
      <c r="P453" s="80">
        <v>160</v>
      </c>
      <c r="Q453" s="80">
        <f t="shared" si="64"/>
        <v>195</v>
      </c>
      <c r="R453" s="80">
        <f t="shared" si="65"/>
        <v>100</v>
      </c>
      <c r="S453" s="77">
        <f t="shared" si="66"/>
        <v>695</v>
      </c>
      <c r="T453" s="77">
        <f>0</f>
        <v>0</v>
      </c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</row>
    <row r="454" spans="1:30" ht="15.75" x14ac:dyDescent="0.25">
      <c r="A454" s="33">
        <v>54757</v>
      </c>
      <c r="B454" s="90">
        <v>30</v>
      </c>
      <c r="C454" s="77">
        <f>122.58</f>
        <v>122.58</v>
      </c>
      <c r="D454" s="77">
        <f>297.941</f>
        <v>297.94099999999997</v>
      </c>
      <c r="E454" s="86">
        <f>89.177</f>
        <v>89.177000000000007</v>
      </c>
      <c r="F454" s="77">
        <f>240.302-40-60-100</f>
        <v>40.301999999999992</v>
      </c>
      <c r="G454" s="80">
        <v>40</v>
      </c>
      <c r="H454" s="77">
        <f>60+100</f>
        <v>160</v>
      </c>
      <c r="I454" s="77">
        <f t="shared" si="70"/>
        <v>0</v>
      </c>
      <c r="J454" s="80">
        <v>100</v>
      </c>
      <c r="K454" s="80">
        <v>300</v>
      </c>
      <c r="L454" s="77">
        <f t="shared" si="63"/>
        <v>1150</v>
      </c>
      <c r="M454" s="88">
        <v>600</v>
      </c>
      <c r="N454" s="77">
        <f>100</f>
        <v>100</v>
      </c>
      <c r="O454" s="80">
        <v>240</v>
      </c>
      <c r="P454" s="80">
        <v>40</v>
      </c>
      <c r="Q454" s="80">
        <f t="shared" si="64"/>
        <v>315</v>
      </c>
      <c r="R454" s="80">
        <f t="shared" si="65"/>
        <v>100</v>
      </c>
      <c r="S454" s="77">
        <f t="shared" si="66"/>
        <v>695</v>
      </c>
      <c r="T454" s="77">
        <f>50</f>
        <v>50</v>
      </c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</row>
    <row r="455" spans="1:30" ht="15.75" x14ac:dyDescent="0.25">
      <c r="A455" s="33">
        <v>54788</v>
      </c>
      <c r="B455" s="90">
        <v>31</v>
      </c>
      <c r="C455" s="77">
        <f>122.58</f>
        <v>122.58</v>
      </c>
      <c r="D455" s="77">
        <f>297.941</f>
        <v>297.94099999999997</v>
      </c>
      <c r="E455" s="86">
        <f>89.177</f>
        <v>89.177000000000007</v>
      </c>
      <c r="F455" s="77">
        <f>240.302-40-60-100</f>
        <v>40.301999999999992</v>
      </c>
      <c r="G455" s="80">
        <v>40</v>
      </c>
      <c r="H455" s="77">
        <f>60+100</f>
        <v>160</v>
      </c>
      <c r="I455" s="77">
        <f t="shared" si="70"/>
        <v>0</v>
      </c>
      <c r="J455" s="80">
        <v>100</v>
      </c>
      <c r="K455" s="80">
        <v>300</v>
      </c>
      <c r="L455" s="77">
        <f t="shared" si="63"/>
        <v>1150</v>
      </c>
      <c r="M455" s="88">
        <v>600</v>
      </c>
      <c r="N455" s="77">
        <f>100</f>
        <v>100</v>
      </c>
      <c r="O455" s="80">
        <v>240</v>
      </c>
      <c r="P455" s="80">
        <v>40</v>
      </c>
      <c r="Q455" s="80">
        <f t="shared" si="64"/>
        <v>315</v>
      </c>
      <c r="R455" s="80">
        <f t="shared" si="65"/>
        <v>100</v>
      </c>
      <c r="S455" s="77">
        <f t="shared" si="66"/>
        <v>695</v>
      </c>
      <c r="T455" s="77">
        <f>50</f>
        <v>50</v>
      </c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</row>
    <row r="456" spans="1:30" ht="15.75" x14ac:dyDescent="0.25">
      <c r="A456" s="33">
        <v>54819</v>
      </c>
      <c r="B456" s="90">
        <v>31</v>
      </c>
      <c r="C456" s="77">
        <f>122.58</f>
        <v>122.58</v>
      </c>
      <c r="D456" s="77">
        <f>297.941</f>
        <v>297.94099999999997</v>
      </c>
      <c r="E456" s="86">
        <f>89.177</f>
        <v>89.177000000000007</v>
      </c>
      <c r="F456" s="77">
        <f>240.302-40-60-100</f>
        <v>40.301999999999992</v>
      </c>
      <c r="G456" s="80">
        <v>40</v>
      </c>
      <c r="H456" s="77">
        <f>60+100</f>
        <v>160</v>
      </c>
      <c r="I456" s="77">
        <f t="shared" si="70"/>
        <v>0</v>
      </c>
      <c r="J456" s="80">
        <v>100</v>
      </c>
      <c r="K456" s="80">
        <v>300</v>
      </c>
      <c r="L456" s="77">
        <f t="shared" si="63"/>
        <v>1150</v>
      </c>
      <c r="M456" s="88">
        <v>600</v>
      </c>
      <c r="N456" s="77">
        <f>100</f>
        <v>100</v>
      </c>
      <c r="O456" s="80">
        <v>240</v>
      </c>
      <c r="P456" s="80">
        <v>40</v>
      </c>
      <c r="Q456" s="80">
        <f t="shared" si="64"/>
        <v>315</v>
      </c>
      <c r="R456" s="80">
        <f t="shared" si="65"/>
        <v>100</v>
      </c>
      <c r="S456" s="77">
        <f t="shared" si="66"/>
        <v>695</v>
      </c>
      <c r="T456" s="77">
        <f>50</f>
        <v>50</v>
      </c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</row>
    <row r="457" spans="1:30" ht="15.75" x14ac:dyDescent="0.25">
      <c r="A457" s="33">
        <v>54847</v>
      </c>
      <c r="B457" s="90">
        <v>28</v>
      </c>
      <c r="C457" s="77">
        <f>122.58</f>
        <v>122.58</v>
      </c>
      <c r="D457" s="77">
        <f>297.941</f>
        <v>297.94099999999997</v>
      </c>
      <c r="E457" s="86">
        <f>89.177</f>
        <v>89.177000000000007</v>
      </c>
      <c r="F457" s="77">
        <f>240.302-40-60-100</f>
        <v>40.301999999999992</v>
      </c>
      <c r="G457" s="80">
        <v>40</v>
      </c>
      <c r="H457" s="77">
        <f>60+100</f>
        <v>160</v>
      </c>
      <c r="I457" s="77">
        <f t="shared" si="70"/>
        <v>0</v>
      </c>
      <c r="J457" s="80">
        <v>100</v>
      </c>
      <c r="K457" s="80">
        <v>300</v>
      </c>
      <c r="L457" s="77">
        <f t="shared" si="63"/>
        <v>1150</v>
      </c>
      <c r="M457" s="88">
        <v>600</v>
      </c>
      <c r="N457" s="77">
        <f>100</f>
        <v>100</v>
      </c>
      <c r="O457" s="80">
        <v>240</v>
      </c>
      <c r="P457" s="80">
        <v>40</v>
      </c>
      <c r="Q457" s="80">
        <f t="shared" si="64"/>
        <v>315</v>
      </c>
      <c r="R457" s="80">
        <f t="shared" si="65"/>
        <v>100</v>
      </c>
      <c r="S457" s="77">
        <f t="shared" si="66"/>
        <v>695</v>
      </c>
      <c r="T457" s="77">
        <f>50</f>
        <v>50</v>
      </c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</row>
    <row r="458" spans="1:30" ht="15.75" x14ac:dyDescent="0.25">
      <c r="A458" s="33">
        <v>54878</v>
      </c>
      <c r="B458" s="90">
        <v>31</v>
      </c>
      <c r="C458" s="77">
        <f>122.58</f>
        <v>122.58</v>
      </c>
      <c r="D458" s="77">
        <f>297.941</f>
        <v>297.94099999999997</v>
      </c>
      <c r="E458" s="86">
        <f>89.177</f>
        <v>89.177000000000007</v>
      </c>
      <c r="F458" s="77">
        <f>240.302-40-60-100</f>
        <v>40.301999999999992</v>
      </c>
      <c r="G458" s="80">
        <v>40</v>
      </c>
      <c r="H458" s="77">
        <f>60+100</f>
        <v>160</v>
      </c>
      <c r="I458" s="77">
        <f t="shared" si="70"/>
        <v>0</v>
      </c>
      <c r="J458" s="80">
        <v>100</v>
      </c>
      <c r="K458" s="80">
        <v>300</v>
      </c>
      <c r="L458" s="77">
        <f t="shared" si="63"/>
        <v>1150</v>
      </c>
      <c r="M458" s="88">
        <v>600</v>
      </c>
      <c r="N458" s="77">
        <f>100</f>
        <v>100</v>
      </c>
      <c r="O458" s="80">
        <v>240</v>
      </c>
      <c r="P458" s="80">
        <v>40</v>
      </c>
      <c r="Q458" s="80">
        <f t="shared" si="64"/>
        <v>315</v>
      </c>
      <c r="R458" s="80">
        <f t="shared" si="65"/>
        <v>100</v>
      </c>
      <c r="S458" s="77">
        <f t="shared" si="66"/>
        <v>695</v>
      </c>
      <c r="T458" s="77">
        <f>50</f>
        <v>50</v>
      </c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</row>
    <row r="459" spans="1:30" ht="15.75" x14ac:dyDescent="0.25">
      <c r="A459" s="33">
        <v>54908</v>
      </c>
      <c r="B459" s="90">
        <v>30</v>
      </c>
      <c r="C459" s="77">
        <f>141.293</f>
        <v>141.29300000000001</v>
      </c>
      <c r="D459" s="77">
        <f>267.993</f>
        <v>267.99299999999999</v>
      </c>
      <c r="E459" s="86">
        <f>115.016</f>
        <v>115.01600000000001</v>
      </c>
      <c r="F459" s="77">
        <f>314.698-40-25-60-100</f>
        <v>89.697999999999979</v>
      </c>
      <c r="G459" s="80">
        <v>40</v>
      </c>
      <c r="H459" s="77">
        <f t="shared" ref="H459:H465" si="72">25+60+100</f>
        <v>185</v>
      </c>
      <c r="I459" s="77">
        <f t="shared" si="70"/>
        <v>0</v>
      </c>
      <c r="J459" s="80">
        <v>100</v>
      </c>
      <c r="K459" s="80">
        <v>300</v>
      </c>
      <c r="L459" s="77">
        <f t="shared" si="63"/>
        <v>1239</v>
      </c>
      <c r="M459" s="88">
        <v>600</v>
      </c>
      <c r="N459" s="77">
        <f>100</f>
        <v>100</v>
      </c>
      <c r="O459" s="80">
        <v>240</v>
      </c>
      <c r="P459" s="80">
        <v>160</v>
      </c>
      <c r="Q459" s="80">
        <f t="shared" si="64"/>
        <v>195</v>
      </c>
      <c r="R459" s="80">
        <f t="shared" si="65"/>
        <v>100</v>
      </c>
      <c r="S459" s="77">
        <f t="shared" si="66"/>
        <v>695</v>
      </c>
      <c r="T459" s="77">
        <f>50</f>
        <v>50</v>
      </c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</row>
    <row r="460" spans="1:30" ht="15.75" x14ac:dyDescent="0.25">
      <c r="A460" s="33">
        <v>54939</v>
      </c>
      <c r="B460" s="90">
        <v>31</v>
      </c>
      <c r="C460" s="77">
        <f>194.205</f>
        <v>194.20500000000001</v>
      </c>
      <c r="D460" s="77">
        <f>267.466</f>
        <v>267.46600000000001</v>
      </c>
      <c r="E460" s="86">
        <f>133.845</f>
        <v>133.845</v>
      </c>
      <c r="F460" s="77">
        <f>278.484-40-25-60-100</f>
        <v>53.48399999999998</v>
      </c>
      <c r="G460" s="80">
        <v>40</v>
      </c>
      <c r="H460" s="77">
        <f t="shared" si="72"/>
        <v>185</v>
      </c>
      <c r="I460" s="77">
        <f t="shared" si="70"/>
        <v>0</v>
      </c>
      <c r="J460" s="80">
        <v>100</v>
      </c>
      <c r="K460" s="80">
        <v>300</v>
      </c>
      <c r="L460" s="77">
        <f t="shared" si="63"/>
        <v>1274</v>
      </c>
      <c r="M460" s="88">
        <v>600</v>
      </c>
      <c r="N460" s="77">
        <f>75</f>
        <v>75</v>
      </c>
      <c r="O460" s="80">
        <v>240</v>
      </c>
      <c r="P460" s="80">
        <v>160</v>
      </c>
      <c r="Q460" s="80">
        <f t="shared" si="64"/>
        <v>195</v>
      </c>
      <c r="R460" s="80">
        <f t="shared" si="65"/>
        <v>100</v>
      </c>
      <c r="S460" s="77">
        <f t="shared" si="66"/>
        <v>695</v>
      </c>
      <c r="T460" s="77">
        <f>50</f>
        <v>50</v>
      </c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</row>
    <row r="461" spans="1:30" ht="15.75" x14ac:dyDescent="0.25">
      <c r="A461" s="33">
        <v>54969</v>
      </c>
      <c r="B461" s="90">
        <v>30</v>
      </c>
      <c r="C461" s="77">
        <f>194.205</f>
        <v>194.20500000000001</v>
      </c>
      <c r="D461" s="77">
        <f>267.466</f>
        <v>267.46600000000001</v>
      </c>
      <c r="E461" s="86">
        <f>133.845</f>
        <v>133.845</v>
      </c>
      <c r="F461" s="77">
        <f>278.484-40-25-60-100</f>
        <v>53.48399999999998</v>
      </c>
      <c r="G461" s="80">
        <v>40</v>
      </c>
      <c r="H461" s="77">
        <f t="shared" si="72"/>
        <v>185</v>
      </c>
      <c r="I461" s="77">
        <f t="shared" si="70"/>
        <v>0</v>
      </c>
      <c r="J461" s="80">
        <v>100</v>
      </c>
      <c r="K461" s="80">
        <v>300</v>
      </c>
      <c r="L461" s="77">
        <f t="shared" si="63"/>
        <v>1274</v>
      </c>
      <c r="M461" s="88">
        <v>600</v>
      </c>
      <c r="N461" s="77">
        <f>30</f>
        <v>30</v>
      </c>
      <c r="O461" s="80">
        <v>240</v>
      </c>
      <c r="P461" s="80">
        <v>160</v>
      </c>
      <c r="Q461" s="80">
        <f t="shared" si="64"/>
        <v>195</v>
      </c>
      <c r="R461" s="80">
        <f t="shared" si="65"/>
        <v>100</v>
      </c>
      <c r="S461" s="77">
        <f t="shared" si="66"/>
        <v>695</v>
      </c>
      <c r="T461" s="77">
        <f>50</f>
        <v>50</v>
      </c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</row>
    <row r="462" spans="1:30" ht="15.75" x14ac:dyDescent="0.25">
      <c r="A462" s="33">
        <v>55000</v>
      </c>
      <c r="B462" s="90">
        <v>31</v>
      </c>
      <c r="C462" s="77">
        <f>194.205</f>
        <v>194.20500000000001</v>
      </c>
      <c r="D462" s="77">
        <f>267.466</f>
        <v>267.46600000000001</v>
      </c>
      <c r="E462" s="86">
        <f>133.845</f>
        <v>133.845</v>
      </c>
      <c r="F462" s="77">
        <f>278.484-40-25-60-100</f>
        <v>53.48399999999998</v>
      </c>
      <c r="G462" s="80">
        <v>40</v>
      </c>
      <c r="H462" s="77">
        <f t="shared" si="72"/>
        <v>185</v>
      </c>
      <c r="I462" s="77">
        <f t="shared" si="70"/>
        <v>0</v>
      </c>
      <c r="J462" s="80">
        <v>100</v>
      </c>
      <c r="K462" s="80">
        <v>300</v>
      </c>
      <c r="L462" s="77">
        <f t="shared" si="63"/>
        <v>1274</v>
      </c>
      <c r="M462" s="88">
        <v>600</v>
      </c>
      <c r="N462" s="77">
        <f>30</f>
        <v>30</v>
      </c>
      <c r="O462" s="80">
        <v>240</v>
      </c>
      <c r="P462" s="80">
        <v>160</v>
      </c>
      <c r="Q462" s="80">
        <f t="shared" si="64"/>
        <v>195</v>
      </c>
      <c r="R462" s="80">
        <f t="shared" si="65"/>
        <v>100</v>
      </c>
      <c r="S462" s="77">
        <f t="shared" si="66"/>
        <v>695</v>
      </c>
      <c r="T462" s="77">
        <f>0</f>
        <v>0</v>
      </c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</row>
    <row r="463" spans="1:30" ht="15.75" x14ac:dyDescent="0.25">
      <c r="A463" s="33">
        <v>55031</v>
      </c>
      <c r="B463" s="90">
        <v>31</v>
      </c>
      <c r="C463" s="77">
        <f>194.205</f>
        <v>194.20500000000001</v>
      </c>
      <c r="D463" s="77">
        <f>267.466</f>
        <v>267.46600000000001</v>
      </c>
      <c r="E463" s="86">
        <f>133.845</f>
        <v>133.845</v>
      </c>
      <c r="F463" s="77">
        <f>278.484-40-25-60-100</f>
        <v>53.48399999999998</v>
      </c>
      <c r="G463" s="80">
        <v>40</v>
      </c>
      <c r="H463" s="77">
        <f t="shared" si="72"/>
        <v>185</v>
      </c>
      <c r="I463" s="77">
        <f t="shared" si="70"/>
        <v>0</v>
      </c>
      <c r="J463" s="80">
        <v>100</v>
      </c>
      <c r="K463" s="80">
        <v>300</v>
      </c>
      <c r="L463" s="77">
        <f t="shared" si="63"/>
        <v>1274</v>
      </c>
      <c r="M463" s="88">
        <v>600</v>
      </c>
      <c r="N463" s="77">
        <f>30</f>
        <v>30</v>
      </c>
      <c r="O463" s="80">
        <v>240</v>
      </c>
      <c r="P463" s="80">
        <v>160</v>
      </c>
      <c r="Q463" s="80">
        <f t="shared" si="64"/>
        <v>195</v>
      </c>
      <c r="R463" s="80">
        <f t="shared" si="65"/>
        <v>100</v>
      </c>
      <c r="S463" s="77">
        <f t="shared" si="66"/>
        <v>695</v>
      </c>
      <c r="T463" s="77">
        <f>0</f>
        <v>0</v>
      </c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</row>
    <row r="464" spans="1:30" ht="15.75" x14ac:dyDescent="0.25">
      <c r="A464" s="33">
        <v>55061</v>
      </c>
      <c r="B464" s="90">
        <v>30</v>
      </c>
      <c r="C464" s="77">
        <f>194.205</f>
        <v>194.20500000000001</v>
      </c>
      <c r="D464" s="77">
        <f>267.466</f>
        <v>267.46600000000001</v>
      </c>
      <c r="E464" s="86">
        <f>133.845</f>
        <v>133.845</v>
      </c>
      <c r="F464" s="77">
        <f>278.484-40-25-60-100</f>
        <v>53.48399999999998</v>
      </c>
      <c r="G464" s="80">
        <v>40</v>
      </c>
      <c r="H464" s="77">
        <f t="shared" si="72"/>
        <v>185</v>
      </c>
      <c r="I464" s="77">
        <f t="shared" si="70"/>
        <v>0</v>
      </c>
      <c r="J464" s="80">
        <v>100</v>
      </c>
      <c r="K464" s="80">
        <v>300</v>
      </c>
      <c r="L464" s="77">
        <f t="shared" si="63"/>
        <v>1274</v>
      </c>
      <c r="M464" s="88">
        <v>600</v>
      </c>
      <c r="N464" s="77">
        <f>30</f>
        <v>30</v>
      </c>
      <c r="O464" s="80">
        <v>240</v>
      </c>
      <c r="P464" s="80">
        <v>160</v>
      </c>
      <c r="Q464" s="80">
        <f t="shared" si="64"/>
        <v>195</v>
      </c>
      <c r="R464" s="80">
        <f t="shared" si="65"/>
        <v>100</v>
      </c>
      <c r="S464" s="77">
        <f t="shared" si="66"/>
        <v>695</v>
      </c>
      <c r="T464" s="77">
        <f>0</f>
        <v>0</v>
      </c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</row>
    <row r="465" spans="1:30" ht="15.75" x14ac:dyDescent="0.25">
      <c r="A465" s="33">
        <v>55092</v>
      </c>
      <c r="B465" s="90">
        <v>31</v>
      </c>
      <c r="C465" s="77">
        <f>131.881</f>
        <v>131.881</v>
      </c>
      <c r="D465" s="77">
        <f>277.167</f>
        <v>277.16699999999997</v>
      </c>
      <c r="E465" s="86">
        <f>79.08</f>
        <v>79.08</v>
      </c>
      <c r="F465" s="77">
        <f>350.872-40-25-60-100</f>
        <v>125.87200000000001</v>
      </c>
      <c r="G465" s="80">
        <v>40</v>
      </c>
      <c r="H465" s="77">
        <f t="shared" si="72"/>
        <v>185</v>
      </c>
      <c r="I465" s="77">
        <f t="shared" si="70"/>
        <v>0</v>
      </c>
      <c r="J465" s="80">
        <v>100</v>
      </c>
      <c r="K465" s="80">
        <v>300</v>
      </c>
      <c r="L465" s="77">
        <f t="shared" ref="L465:L528" si="73">SUM(C465:K465)</f>
        <v>1239</v>
      </c>
      <c r="M465" s="88">
        <v>600</v>
      </c>
      <c r="N465" s="77">
        <f>75</f>
        <v>75</v>
      </c>
      <c r="O465" s="80">
        <v>240</v>
      </c>
      <c r="P465" s="80">
        <v>160</v>
      </c>
      <c r="Q465" s="80">
        <f t="shared" ref="Q465:Q528" si="74">695-R465-O465-P465</f>
        <v>195</v>
      </c>
      <c r="R465" s="80">
        <f t="shared" ref="R465:R528" si="75">200-J465</f>
        <v>100</v>
      </c>
      <c r="S465" s="77">
        <f t="shared" ref="S465:S528" si="76">SUM(O465:R465)</f>
        <v>695</v>
      </c>
      <c r="T465" s="77">
        <f>0</f>
        <v>0</v>
      </c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</row>
    <row r="466" spans="1:30" ht="15.75" x14ac:dyDescent="0.25">
      <c r="A466" s="33">
        <v>55122</v>
      </c>
      <c r="B466" s="90">
        <v>30</v>
      </c>
      <c r="C466" s="77">
        <f>122.58</f>
        <v>122.58</v>
      </c>
      <c r="D466" s="77">
        <f>297.941</f>
        <v>297.94099999999997</v>
      </c>
      <c r="E466" s="86">
        <f>89.177</f>
        <v>89.177000000000007</v>
      </c>
      <c r="F466" s="77">
        <f>240.302-40-60-100</f>
        <v>40.301999999999992</v>
      </c>
      <c r="G466" s="80">
        <v>40</v>
      </c>
      <c r="H466" s="77">
        <f>60+100</f>
        <v>160</v>
      </c>
      <c r="I466" s="77">
        <f t="shared" si="70"/>
        <v>0</v>
      </c>
      <c r="J466" s="80">
        <v>100</v>
      </c>
      <c r="K466" s="80">
        <v>300</v>
      </c>
      <c r="L466" s="77">
        <f t="shared" si="73"/>
        <v>1150</v>
      </c>
      <c r="M466" s="88">
        <v>600</v>
      </c>
      <c r="N466" s="77">
        <f>100</f>
        <v>100</v>
      </c>
      <c r="O466" s="80">
        <v>240</v>
      </c>
      <c r="P466" s="80">
        <v>40</v>
      </c>
      <c r="Q466" s="80">
        <f t="shared" si="74"/>
        <v>315</v>
      </c>
      <c r="R466" s="80">
        <f t="shared" si="75"/>
        <v>100</v>
      </c>
      <c r="S466" s="77">
        <f t="shared" si="76"/>
        <v>695</v>
      </c>
      <c r="T466" s="77">
        <f>50</f>
        <v>50</v>
      </c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</row>
    <row r="467" spans="1:30" ht="15.75" x14ac:dyDescent="0.25">
      <c r="A467" s="33">
        <v>55153</v>
      </c>
      <c r="B467" s="90">
        <v>31</v>
      </c>
      <c r="C467" s="77">
        <f>122.58</f>
        <v>122.58</v>
      </c>
      <c r="D467" s="77">
        <f>297.941</f>
        <v>297.94099999999997</v>
      </c>
      <c r="E467" s="86">
        <f>89.177</f>
        <v>89.177000000000007</v>
      </c>
      <c r="F467" s="77">
        <f>240.302-40-60-100</f>
        <v>40.301999999999992</v>
      </c>
      <c r="G467" s="80">
        <v>40</v>
      </c>
      <c r="H467" s="77">
        <f>60+100</f>
        <v>160</v>
      </c>
      <c r="I467" s="77">
        <f t="shared" si="70"/>
        <v>0</v>
      </c>
      <c r="J467" s="80">
        <v>100</v>
      </c>
      <c r="K467" s="80">
        <v>300</v>
      </c>
      <c r="L467" s="77">
        <f t="shared" si="73"/>
        <v>1150</v>
      </c>
      <c r="M467" s="88">
        <v>600</v>
      </c>
      <c r="N467" s="77">
        <f>100</f>
        <v>100</v>
      </c>
      <c r="O467" s="80">
        <v>240</v>
      </c>
      <c r="P467" s="80">
        <v>40</v>
      </c>
      <c r="Q467" s="80">
        <f t="shared" si="74"/>
        <v>315</v>
      </c>
      <c r="R467" s="80">
        <f t="shared" si="75"/>
        <v>100</v>
      </c>
      <c r="S467" s="77">
        <f t="shared" si="76"/>
        <v>695</v>
      </c>
      <c r="T467" s="77">
        <f>50</f>
        <v>50</v>
      </c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</row>
    <row r="468" spans="1:30" ht="15.75" x14ac:dyDescent="0.25">
      <c r="A468" s="33">
        <v>55184</v>
      </c>
      <c r="B468" s="90">
        <v>31</v>
      </c>
      <c r="C468" s="77">
        <f>122.58</f>
        <v>122.58</v>
      </c>
      <c r="D468" s="77">
        <f>297.941</f>
        <v>297.94099999999997</v>
      </c>
      <c r="E468" s="86">
        <f>89.177</f>
        <v>89.177000000000007</v>
      </c>
      <c r="F468" s="77">
        <f>240.302-40-60-100</f>
        <v>40.301999999999992</v>
      </c>
      <c r="G468" s="80">
        <v>40</v>
      </c>
      <c r="H468" s="77">
        <f>60+100</f>
        <v>160</v>
      </c>
      <c r="I468" s="77">
        <f t="shared" si="70"/>
        <v>0</v>
      </c>
      <c r="J468" s="80">
        <v>100</v>
      </c>
      <c r="K468" s="80">
        <v>300</v>
      </c>
      <c r="L468" s="77">
        <f t="shared" si="73"/>
        <v>1150</v>
      </c>
      <c r="M468" s="88">
        <v>600</v>
      </c>
      <c r="N468" s="77">
        <f>100</f>
        <v>100</v>
      </c>
      <c r="O468" s="80">
        <v>240</v>
      </c>
      <c r="P468" s="80">
        <v>40</v>
      </c>
      <c r="Q468" s="80">
        <f t="shared" si="74"/>
        <v>315</v>
      </c>
      <c r="R468" s="80">
        <f t="shared" si="75"/>
        <v>100</v>
      </c>
      <c r="S468" s="77">
        <f t="shared" si="76"/>
        <v>695</v>
      </c>
      <c r="T468" s="77">
        <f>50</f>
        <v>50</v>
      </c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</row>
    <row r="469" spans="1:30" ht="15.75" x14ac:dyDescent="0.25">
      <c r="A469" s="33">
        <v>55212</v>
      </c>
      <c r="B469" s="90">
        <v>28</v>
      </c>
      <c r="C469" s="77">
        <f>122.58</f>
        <v>122.58</v>
      </c>
      <c r="D469" s="77">
        <f>297.941</f>
        <v>297.94099999999997</v>
      </c>
      <c r="E469" s="86">
        <f>89.177</f>
        <v>89.177000000000007</v>
      </c>
      <c r="F469" s="77">
        <f>240.302-40-60-100</f>
        <v>40.301999999999992</v>
      </c>
      <c r="G469" s="80">
        <v>40</v>
      </c>
      <c r="H469" s="77">
        <f>60+100</f>
        <v>160</v>
      </c>
      <c r="I469" s="77">
        <f t="shared" si="70"/>
        <v>0</v>
      </c>
      <c r="J469" s="80">
        <v>100</v>
      </c>
      <c r="K469" s="80">
        <v>300</v>
      </c>
      <c r="L469" s="77">
        <f t="shared" si="73"/>
        <v>1150</v>
      </c>
      <c r="M469" s="88">
        <v>600</v>
      </c>
      <c r="N469" s="77">
        <f>100</f>
        <v>100</v>
      </c>
      <c r="O469" s="80">
        <v>240</v>
      </c>
      <c r="P469" s="80">
        <v>40</v>
      </c>
      <c r="Q469" s="80">
        <f t="shared" si="74"/>
        <v>315</v>
      </c>
      <c r="R469" s="80">
        <f t="shared" si="75"/>
        <v>100</v>
      </c>
      <c r="S469" s="77">
        <f t="shared" si="76"/>
        <v>695</v>
      </c>
      <c r="T469" s="77">
        <f>50</f>
        <v>50</v>
      </c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</row>
    <row r="470" spans="1:30" ht="15.75" x14ac:dyDescent="0.25">
      <c r="A470" s="33">
        <v>55243</v>
      </c>
      <c r="B470" s="90">
        <v>31</v>
      </c>
      <c r="C470" s="77">
        <f>122.58</f>
        <v>122.58</v>
      </c>
      <c r="D470" s="77">
        <f>297.941</f>
        <v>297.94099999999997</v>
      </c>
      <c r="E470" s="86">
        <f>89.177</f>
        <v>89.177000000000007</v>
      </c>
      <c r="F470" s="77">
        <f>240.302-40-60-100</f>
        <v>40.301999999999992</v>
      </c>
      <c r="G470" s="80">
        <v>40</v>
      </c>
      <c r="H470" s="77">
        <f>60+100</f>
        <v>160</v>
      </c>
      <c r="I470" s="77">
        <f t="shared" si="70"/>
        <v>0</v>
      </c>
      <c r="J470" s="80">
        <v>100</v>
      </c>
      <c r="K470" s="80">
        <v>300</v>
      </c>
      <c r="L470" s="77">
        <f t="shared" si="73"/>
        <v>1150</v>
      </c>
      <c r="M470" s="88">
        <v>600</v>
      </c>
      <c r="N470" s="77">
        <f>100</f>
        <v>100</v>
      </c>
      <c r="O470" s="80">
        <v>240</v>
      </c>
      <c r="P470" s="80">
        <v>40</v>
      </c>
      <c r="Q470" s="80">
        <f t="shared" si="74"/>
        <v>315</v>
      </c>
      <c r="R470" s="80">
        <f t="shared" si="75"/>
        <v>100</v>
      </c>
      <c r="S470" s="77">
        <f t="shared" si="76"/>
        <v>695</v>
      </c>
      <c r="T470" s="77">
        <f>50</f>
        <v>50</v>
      </c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</row>
    <row r="471" spans="1:30" ht="15.75" x14ac:dyDescent="0.25">
      <c r="A471" s="33">
        <v>55273</v>
      </c>
      <c r="B471" s="90">
        <v>30</v>
      </c>
      <c r="C471" s="77">
        <f>141.293</f>
        <v>141.29300000000001</v>
      </c>
      <c r="D471" s="77">
        <f>267.993</f>
        <v>267.99299999999999</v>
      </c>
      <c r="E471" s="86">
        <f>115.016</f>
        <v>115.01600000000001</v>
      </c>
      <c r="F471" s="77">
        <f>314.698-40-25-60-100</f>
        <v>89.697999999999979</v>
      </c>
      <c r="G471" s="80">
        <v>40</v>
      </c>
      <c r="H471" s="77">
        <f t="shared" ref="H471:H477" si="77">25+60+100</f>
        <v>185</v>
      </c>
      <c r="I471" s="77">
        <f t="shared" si="70"/>
        <v>0</v>
      </c>
      <c r="J471" s="80">
        <v>100</v>
      </c>
      <c r="K471" s="80">
        <v>300</v>
      </c>
      <c r="L471" s="77">
        <f t="shared" si="73"/>
        <v>1239</v>
      </c>
      <c r="M471" s="88">
        <v>600</v>
      </c>
      <c r="N471" s="77">
        <f>100</f>
        <v>100</v>
      </c>
      <c r="O471" s="80">
        <v>240</v>
      </c>
      <c r="P471" s="80">
        <v>160</v>
      </c>
      <c r="Q471" s="80">
        <f t="shared" si="74"/>
        <v>195</v>
      </c>
      <c r="R471" s="80">
        <f t="shared" si="75"/>
        <v>100</v>
      </c>
      <c r="S471" s="77">
        <f t="shared" si="76"/>
        <v>695</v>
      </c>
      <c r="T471" s="77">
        <f>50</f>
        <v>50</v>
      </c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</row>
    <row r="472" spans="1:30" ht="15.75" x14ac:dyDescent="0.25">
      <c r="A472" s="33">
        <v>55304</v>
      </c>
      <c r="B472" s="90">
        <v>31</v>
      </c>
      <c r="C472" s="77">
        <f>194.205</f>
        <v>194.20500000000001</v>
      </c>
      <c r="D472" s="77">
        <f>267.466</f>
        <v>267.46600000000001</v>
      </c>
      <c r="E472" s="86">
        <f>133.845</f>
        <v>133.845</v>
      </c>
      <c r="F472" s="77">
        <f>278.484-40-25-60-100</f>
        <v>53.48399999999998</v>
      </c>
      <c r="G472" s="80">
        <v>40</v>
      </c>
      <c r="H472" s="77">
        <f t="shared" si="77"/>
        <v>185</v>
      </c>
      <c r="I472" s="77">
        <f t="shared" si="70"/>
        <v>0</v>
      </c>
      <c r="J472" s="80">
        <v>100</v>
      </c>
      <c r="K472" s="80">
        <v>300</v>
      </c>
      <c r="L472" s="77">
        <f t="shared" si="73"/>
        <v>1274</v>
      </c>
      <c r="M472" s="88">
        <v>600</v>
      </c>
      <c r="N472" s="77">
        <f>75</f>
        <v>75</v>
      </c>
      <c r="O472" s="80">
        <v>240</v>
      </c>
      <c r="P472" s="80">
        <v>160</v>
      </c>
      <c r="Q472" s="80">
        <f t="shared" si="74"/>
        <v>195</v>
      </c>
      <c r="R472" s="80">
        <f t="shared" si="75"/>
        <v>100</v>
      </c>
      <c r="S472" s="77">
        <f t="shared" si="76"/>
        <v>695</v>
      </c>
      <c r="T472" s="77">
        <f>50</f>
        <v>50</v>
      </c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</row>
    <row r="473" spans="1:30" ht="15.75" x14ac:dyDescent="0.25">
      <c r="A473" s="33">
        <v>55334</v>
      </c>
      <c r="B473" s="90">
        <v>30</v>
      </c>
      <c r="C473" s="77">
        <f>194.205</f>
        <v>194.20500000000001</v>
      </c>
      <c r="D473" s="77">
        <f>267.466</f>
        <v>267.46600000000001</v>
      </c>
      <c r="E473" s="86">
        <f>133.845</f>
        <v>133.845</v>
      </c>
      <c r="F473" s="77">
        <f>278.484-40-25-60-100</f>
        <v>53.48399999999998</v>
      </c>
      <c r="G473" s="80">
        <v>40</v>
      </c>
      <c r="H473" s="77">
        <f t="shared" si="77"/>
        <v>185</v>
      </c>
      <c r="I473" s="77">
        <f t="shared" si="70"/>
        <v>0</v>
      </c>
      <c r="J473" s="80">
        <v>100</v>
      </c>
      <c r="K473" s="80">
        <v>300</v>
      </c>
      <c r="L473" s="77">
        <f t="shared" si="73"/>
        <v>1274</v>
      </c>
      <c r="M473" s="88">
        <v>600</v>
      </c>
      <c r="N473" s="77">
        <f>30</f>
        <v>30</v>
      </c>
      <c r="O473" s="80">
        <v>240</v>
      </c>
      <c r="P473" s="80">
        <v>160</v>
      </c>
      <c r="Q473" s="80">
        <f t="shared" si="74"/>
        <v>195</v>
      </c>
      <c r="R473" s="80">
        <f t="shared" si="75"/>
        <v>100</v>
      </c>
      <c r="S473" s="77">
        <f t="shared" si="76"/>
        <v>695</v>
      </c>
      <c r="T473" s="77">
        <f>50</f>
        <v>50</v>
      </c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</row>
    <row r="474" spans="1:30" ht="15.75" x14ac:dyDescent="0.25">
      <c r="A474" s="33">
        <v>55365</v>
      </c>
      <c r="B474" s="90">
        <v>31</v>
      </c>
      <c r="C474" s="77">
        <f>194.205</f>
        <v>194.20500000000001</v>
      </c>
      <c r="D474" s="77">
        <f>267.466</f>
        <v>267.46600000000001</v>
      </c>
      <c r="E474" s="86">
        <f>133.845</f>
        <v>133.845</v>
      </c>
      <c r="F474" s="77">
        <f>278.484-40-25-60-100</f>
        <v>53.48399999999998</v>
      </c>
      <c r="G474" s="80">
        <v>40</v>
      </c>
      <c r="H474" s="77">
        <f t="shared" si="77"/>
        <v>185</v>
      </c>
      <c r="I474" s="77">
        <f t="shared" si="70"/>
        <v>0</v>
      </c>
      <c r="J474" s="80">
        <v>100</v>
      </c>
      <c r="K474" s="80">
        <v>300</v>
      </c>
      <c r="L474" s="77">
        <f t="shared" si="73"/>
        <v>1274</v>
      </c>
      <c r="M474" s="88">
        <v>600</v>
      </c>
      <c r="N474" s="77">
        <f>30</f>
        <v>30</v>
      </c>
      <c r="O474" s="80">
        <v>240</v>
      </c>
      <c r="P474" s="80">
        <v>160</v>
      </c>
      <c r="Q474" s="80">
        <f t="shared" si="74"/>
        <v>195</v>
      </c>
      <c r="R474" s="80">
        <f t="shared" si="75"/>
        <v>100</v>
      </c>
      <c r="S474" s="77">
        <f t="shared" si="76"/>
        <v>695</v>
      </c>
      <c r="T474" s="77">
        <f>0</f>
        <v>0</v>
      </c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</row>
    <row r="475" spans="1:30" ht="15.75" x14ac:dyDescent="0.25">
      <c r="A475" s="33">
        <v>55396</v>
      </c>
      <c r="B475" s="90">
        <v>31</v>
      </c>
      <c r="C475" s="77">
        <f>194.205</f>
        <v>194.20500000000001</v>
      </c>
      <c r="D475" s="77">
        <f>267.466</f>
        <v>267.46600000000001</v>
      </c>
      <c r="E475" s="86">
        <f>133.845</f>
        <v>133.845</v>
      </c>
      <c r="F475" s="77">
        <f>278.484-40-25-60-100</f>
        <v>53.48399999999998</v>
      </c>
      <c r="G475" s="80">
        <v>40</v>
      </c>
      <c r="H475" s="77">
        <f t="shared" si="77"/>
        <v>185</v>
      </c>
      <c r="I475" s="77">
        <f t="shared" si="70"/>
        <v>0</v>
      </c>
      <c r="J475" s="80">
        <v>100</v>
      </c>
      <c r="K475" s="80">
        <v>300</v>
      </c>
      <c r="L475" s="77">
        <f t="shared" si="73"/>
        <v>1274</v>
      </c>
      <c r="M475" s="88">
        <v>600</v>
      </c>
      <c r="N475" s="77">
        <f>30</f>
        <v>30</v>
      </c>
      <c r="O475" s="80">
        <v>240</v>
      </c>
      <c r="P475" s="80">
        <v>160</v>
      </c>
      <c r="Q475" s="80">
        <f t="shared" si="74"/>
        <v>195</v>
      </c>
      <c r="R475" s="80">
        <f t="shared" si="75"/>
        <v>100</v>
      </c>
      <c r="S475" s="77">
        <f t="shared" si="76"/>
        <v>695</v>
      </c>
      <c r="T475" s="77">
        <f>0</f>
        <v>0</v>
      </c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</row>
    <row r="476" spans="1:30" ht="15.75" x14ac:dyDescent="0.25">
      <c r="A476" s="33">
        <v>55426</v>
      </c>
      <c r="B476" s="90">
        <v>30</v>
      </c>
      <c r="C476" s="77">
        <f>194.205</f>
        <v>194.20500000000001</v>
      </c>
      <c r="D476" s="77">
        <f>267.466</f>
        <v>267.46600000000001</v>
      </c>
      <c r="E476" s="86">
        <f>133.845</f>
        <v>133.845</v>
      </c>
      <c r="F476" s="77">
        <f>278.484-40-25-60-100</f>
        <v>53.48399999999998</v>
      </c>
      <c r="G476" s="80">
        <v>40</v>
      </c>
      <c r="H476" s="77">
        <f t="shared" si="77"/>
        <v>185</v>
      </c>
      <c r="I476" s="77">
        <f t="shared" si="70"/>
        <v>0</v>
      </c>
      <c r="J476" s="80">
        <v>100</v>
      </c>
      <c r="K476" s="80">
        <v>300</v>
      </c>
      <c r="L476" s="77">
        <f t="shared" si="73"/>
        <v>1274</v>
      </c>
      <c r="M476" s="88">
        <v>600</v>
      </c>
      <c r="N476" s="77">
        <f>30</f>
        <v>30</v>
      </c>
      <c r="O476" s="80">
        <v>240</v>
      </c>
      <c r="P476" s="80">
        <v>160</v>
      </c>
      <c r="Q476" s="80">
        <f t="shared" si="74"/>
        <v>195</v>
      </c>
      <c r="R476" s="80">
        <f t="shared" si="75"/>
        <v>100</v>
      </c>
      <c r="S476" s="77">
        <f t="shared" si="76"/>
        <v>695</v>
      </c>
      <c r="T476" s="77">
        <f>0</f>
        <v>0</v>
      </c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</row>
    <row r="477" spans="1:30" ht="15.75" x14ac:dyDescent="0.25">
      <c r="A477" s="33">
        <v>55457</v>
      </c>
      <c r="B477" s="90">
        <v>31</v>
      </c>
      <c r="C477" s="77">
        <f>131.881</f>
        <v>131.881</v>
      </c>
      <c r="D477" s="77">
        <f>277.167</f>
        <v>277.16699999999997</v>
      </c>
      <c r="E477" s="86">
        <f>79.08</f>
        <v>79.08</v>
      </c>
      <c r="F477" s="77">
        <f>350.872-40-25-60-100</f>
        <v>125.87200000000001</v>
      </c>
      <c r="G477" s="80">
        <v>40</v>
      </c>
      <c r="H477" s="77">
        <f t="shared" si="77"/>
        <v>185</v>
      </c>
      <c r="I477" s="77">
        <f t="shared" si="70"/>
        <v>0</v>
      </c>
      <c r="J477" s="80">
        <v>100</v>
      </c>
      <c r="K477" s="80">
        <v>300</v>
      </c>
      <c r="L477" s="77">
        <f t="shared" si="73"/>
        <v>1239</v>
      </c>
      <c r="M477" s="88">
        <v>600</v>
      </c>
      <c r="N477" s="77">
        <f>75</f>
        <v>75</v>
      </c>
      <c r="O477" s="80">
        <v>240</v>
      </c>
      <c r="P477" s="80">
        <v>160</v>
      </c>
      <c r="Q477" s="80">
        <f t="shared" si="74"/>
        <v>195</v>
      </c>
      <c r="R477" s="80">
        <f t="shared" si="75"/>
        <v>100</v>
      </c>
      <c r="S477" s="77">
        <f t="shared" si="76"/>
        <v>695</v>
      </c>
      <c r="T477" s="77">
        <f>0</f>
        <v>0</v>
      </c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</row>
    <row r="478" spans="1:30" ht="15.75" x14ac:dyDescent="0.25">
      <c r="A478" s="33">
        <v>55487</v>
      </c>
      <c r="B478" s="90">
        <v>30</v>
      </c>
      <c r="C478" s="77">
        <f>122.58</f>
        <v>122.58</v>
      </c>
      <c r="D478" s="77">
        <f>297.941</f>
        <v>297.94099999999997</v>
      </c>
      <c r="E478" s="86">
        <f>89.177</f>
        <v>89.177000000000007</v>
      </c>
      <c r="F478" s="77">
        <f>240.302-40-60-100</f>
        <v>40.301999999999992</v>
      </c>
      <c r="G478" s="80">
        <v>40</v>
      </c>
      <c r="H478" s="77">
        <f>60+100</f>
        <v>160</v>
      </c>
      <c r="I478" s="77">
        <f t="shared" si="70"/>
        <v>0</v>
      </c>
      <c r="J478" s="80">
        <v>100</v>
      </c>
      <c r="K478" s="80">
        <v>300</v>
      </c>
      <c r="L478" s="77">
        <f t="shared" si="73"/>
        <v>1150</v>
      </c>
      <c r="M478" s="88">
        <v>600</v>
      </c>
      <c r="N478" s="77">
        <f>100</f>
        <v>100</v>
      </c>
      <c r="O478" s="80">
        <v>240</v>
      </c>
      <c r="P478" s="80">
        <v>40</v>
      </c>
      <c r="Q478" s="80">
        <f t="shared" si="74"/>
        <v>315</v>
      </c>
      <c r="R478" s="80">
        <f t="shared" si="75"/>
        <v>100</v>
      </c>
      <c r="S478" s="77">
        <f t="shared" si="76"/>
        <v>695</v>
      </c>
      <c r="T478" s="77">
        <f>50</f>
        <v>50</v>
      </c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</row>
    <row r="479" spans="1:30" ht="15.75" x14ac:dyDescent="0.25">
      <c r="A479" s="33">
        <v>55518</v>
      </c>
      <c r="B479" s="90">
        <v>31</v>
      </c>
      <c r="C479" s="77">
        <f>122.58</f>
        <v>122.58</v>
      </c>
      <c r="D479" s="77">
        <f>297.941</f>
        <v>297.94099999999997</v>
      </c>
      <c r="E479" s="86">
        <f>89.177</f>
        <v>89.177000000000007</v>
      </c>
      <c r="F479" s="77">
        <f>240.302-40-60-100</f>
        <v>40.301999999999992</v>
      </c>
      <c r="G479" s="80">
        <v>40</v>
      </c>
      <c r="H479" s="77">
        <f>60+100</f>
        <v>160</v>
      </c>
      <c r="I479" s="77">
        <f t="shared" si="70"/>
        <v>0</v>
      </c>
      <c r="J479" s="80">
        <v>100</v>
      </c>
      <c r="K479" s="80">
        <v>300</v>
      </c>
      <c r="L479" s="77">
        <f t="shared" si="73"/>
        <v>1150</v>
      </c>
      <c r="M479" s="88">
        <v>600</v>
      </c>
      <c r="N479" s="77">
        <f>100</f>
        <v>100</v>
      </c>
      <c r="O479" s="80">
        <v>240</v>
      </c>
      <c r="P479" s="80">
        <v>40</v>
      </c>
      <c r="Q479" s="80">
        <f t="shared" si="74"/>
        <v>315</v>
      </c>
      <c r="R479" s="80">
        <f t="shared" si="75"/>
        <v>100</v>
      </c>
      <c r="S479" s="77">
        <f t="shared" si="76"/>
        <v>695</v>
      </c>
      <c r="T479" s="77">
        <f>50</f>
        <v>50</v>
      </c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</row>
    <row r="480" spans="1:30" ht="15.75" x14ac:dyDescent="0.25">
      <c r="A480" s="33">
        <v>55549</v>
      </c>
      <c r="B480" s="90">
        <v>31</v>
      </c>
      <c r="C480" s="77">
        <f>122.58</f>
        <v>122.58</v>
      </c>
      <c r="D480" s="77">
        <f>297.941</f>
        <v>297.94099999999997</v>
      </c>
      <c r="E480" s="86">
        <f>89.177</f>
        <v>89.177000000000007</v>
      </c>
      <c r="F480" s="77">
        <f>240.302-40-60-100</f>
        <v>40.301999999999992</v>
      </c>
      <c r="G480" s="80">
        <v>40</v>
      </c>
      <c r="H480" s="77">
        <f>60+100</f>
        <v>160</v>
      </c>
      <c r="I480" s="77">
        <f t="shared" si="70"/>
        <v>0</v>
      </c>
      <c r="J480" s="80">
        <v>100</v>
      </c>
      <c r="K480" s="80">
        <v>300</v>
      </c>
      <c r="L480" s="77">
        <f t="shared" si="73"/>
        <v>1150</v>
      </c>
      <c r="M480" s="88">
        <v>600</v>
      </c>
      <c r="N480" s="77">
        <f>100</f>
        <v>100</v>
      </c>
      <c r="O480" s="80">
        <v>240</v>
      </c>
      <c r="P480" s="80">
        <v>40</v>
      </c>
      <c r="Q480" s="80">
        <f t="shared" si="74"/>
        <v>315</v>
      </c>
      <c r="R480" s="80">
        <f t="shared" si="75"/>
        <v>100</v>
      </c>
      <c r="S480" s="77">
        <f t="shared" si="76"/>
        <v>695</v>
      </c>
      <c r="T480" s="77">
        <f>50</f>
        <v>50</v>
      </c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</row>
    <row r="481" spans="1:30" ht="15.75" x14ac:dyDescent="0.25">
      <c r="A481" s="33">
        <v>55577</v>
      </c>
      <c r="B481" s="90">
        <v>29</v>
      </c>
      <c r="C481" s="77">
        <f>122.58</f>
        <v>122.58</v>
      </c>
      <c r="D481" s="77">
        <f>297.941</f>
        <v>297.94099999999997</v>
      </c>
      <c r="E481" s="86">
        <f>89.177</f>
        <v>89.177000000000007</v>
      </c>
      <c r="F481" s="77">
        <f>240.302-40-60-100</f>
        <v>40.301999999999992</v>
      </c>
      <c r="G481" s="80">
        <v>40</v>
      </c>
      <c r="H481" s="77">
        <f>60+100</f>
        <v>160</v>
      </c>
      <c r="I481" s="77">
        <f t="shared" si="70"/>
        <v>0</v>
      </c>
      <c r="J481" s="80">
        <v>100</v>
      </c>
      <c r="K481" s="80">
        <v>300</v>
      </c>
      <c r="L481" s="77">
        <f t="shared" si="73"/>
        <v>1150</v>
      </c>
      <c r="M481" s="88">
        <v>600</v>
      </c>
      <c r="N481" s="77">
        <f>100</f>
        <v>100</v>
      </c>
      <c r="O481" s="80">
        <v>240</v>
      </c>
      <c r="P481" s="80">
        <v>40</v>
      </c>
      <c r="Q481" s="80">
        <f t="shared" si="74"/>
        <v>315</v>
      </c>
      <c r="R481" s="80">
        <f t="shared" si="75"/>
        <v>100</v>
      </c>
      <c r="S481" s="77">
        <f t="shared" si="76"/>
        <v>695</v>
      </c>
      <c r="T481" s="77">
        <f>50</f>
        <v>50</v>
      </c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</row>
    <row r="482" spans="1:30" ht="15.75" x14ac:dyDescent="0.25">
      <c r="A482" s="33">
        <v>55609</v>
      </c>
      <c r="B482" s="90">
        <v>31</v>
      </c>
      <c r="C482" s="77">
        <f>122.58</f>
        <v>122.58</v>
      </c>
      <c r="D482" s="77">
        <f>297.941</f>
        <v>297.94099999999997</v>
      </c>
      <c r="E482" s="86">
        <f>89.177</f>
        <v>89.177000000000007</v>
      </c>
      <c r="F482" s="77">
        <f>240.302-40-60-100</f>
        <v>40.301999999999992</v>
      </c>
      <c r="G482" s="80">
        <v>40</v>
      </c>
      <c r="H482" s="77">
        <f>60+100</f>
        <v>160</v>
      </c>
      <c r="I482" s="77">
        <f t="shared" si="70"/>
        <v>0</v>
      </c>
      <c r="J482" s="80">
        <v>100</v>
      </c>
      <c r="K482" s="80">
        <v>300</v>
      </c>
      <c r="L482" s="77">
        <f t="shared" si="73"/>
        <v>1150</v>
      </c>
      <c r="M482" s="88">
        <v>600</v>
      </c>
      <c r="N482" s="77">
        <f>100</f>
        <v>100</v>
      </c>
      <c r="O482" s="80">
        <v>240</v>
      </c>
      <c r="P482" s="80">
        <v>40</v>
      </c>
      <c r="Q482" s="80">
        <f t="shared" si="74"/>
        <v>315</v>
      </c>
      <c r="R482" s="80">
        <f t="shared" si="75"/>
        <v>100</v>
      </c>
      <c r="S482" s="77">
        <f t="shared" si="76"/>
        <v>695</v>
      </c>
      <c r="T482" s="77">
        <f>50</f>
        <v>50</v>
      </c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</row>
    <row r="483" spans="1:30" ht="15.75" x14ac:dyDescent="0.25">
      <c r="A483" s="33">
        <v>55639</v>
      </c>
      <c r="B483" s="90">
        <v>30</v>
      </c>
      <c r="C483" s="77">
        <f>141.293</f>
        <v>141.29300000000001</v>
      </c>
      <c r="D483" s="77">
        <f>267.993</f>
        <v>267.99299999999999</v>
      </c>
      <c r="E483" s="86">
        <f>115.016</f>
        <v>115.01600000000001</v>
      </c>
      <c r="F483" s="77">
        <f>314.698-40-25-60-100</f>
        <v>89.697999999999979</v>
      </c>
      <c r="G483" s="80">
        <v>40</v>
      </c>
      <c r="H483" s="77">
        <f t="shared" ref="H483:H489" si="78">25+60+100</f>
        <v>185</v>
      </c>
      <c r="I483" s="77">
        <f t="shared" si="70"/>
        <v>0</v>
      </c>
      <c r="J483" s="80">
        <v>100</v>
      </c>
      <c r="K483" s="80">
        <v>300</v>
      </c>
      <c r="L483" s="77">
        <f t="shared" si="73"/>
        <v>1239</v>
      </c>
      <c r="M483" s="88">
        <v>600</v>
      </c>
      <c r="N483" s="77">
        <f>100</f>
        <v>100</v>
      </c>
      <c r="O483" s="80">
        <v>240</v>
      </c>
      <c r="P483" s="80">
        <v>160</v>
      </c>
      <c r="Q483" s="80">
        <f t="shared" si="74"/>
        <v>195</v>
      </c>
      <c r="R483" s="80">
        <f t="shared" si="75"/>
        <v>100</v>
      </c>
      <c r="S483" s="77">
        <f t="shared" si="76"/>
        <v>695</v>
      </c>
      <c r="T483" s="77">
        <f>50</f>
        <v>50</v>
      </c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</row>
    <row r="484" spans="1:30" ht="15.75" x14ac:dyDescent="0.25">
      <c r="A484" s="33">
        <v>55670</v>
      </c>
      <c r="B484" s="90">
        <v>31</v>
      </c>
      <c r="C484" s="77">
        <f>194.205</f>
        <v>194.20500000000001</v>
      </c>
      <c r="D484" s="77">
        <f>267.466</f>
        <v>267.46600000000001</v>
      </c>
      <c r="E484" s="86">
        <f>133.845</f>
        <v>133.845</v>
      </c>
      <c r="F484" s="77">
        <f>278.484-40-25-60-100</f>
        <v>53.48399999999998</v>
      </c>
      <c r="G484" s="80">
        <v>40</v>
      </c>
      <c r="H484" s="77">
        <f t="shared" si="78"/>
        <v>185</v>
      </c>
      <c r="I484" s="77">
        <f t="shared" si="70"/>
        <v>0</v>
      </c>
      <c r="J484" s="80">
        <v>100</v>
      </c>
      <c r="K484" s="80">
        <v>300</v>
      </c>
      <c r="L484" s="77">
        <f t="shared" si="73"/>
        <v>1274</v>
      </c>
      <c r="M484" s="88">
        <v>600</v>
      </c>
      <c r="N484" s="77">
        <f>75</f>
        <v>75</v>
      </c>
      <c r="O484" s="80">
        <v>240</v>
      </c>
      <c r="P484" s="80">
        <v>160</v>
      </c>
      <c r="Q484" s="80">
        <f t="shared" si="74"/>
        <v>195</v>
      </c>
      <c r="R484" s="80">
        <f t="shared" si="75"/>
        <v>100</v>
      </c>
      <c r="S484" s="77">
        <f t="shared" si="76"/>
        <v>695</v>
      </c>
      <c r="T484" s="77">
        <f>50</f>
        <v>50</v>
      </c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</row>
    <row r="485" spans="1:30" ht="15.75" x14ac:dyDescent="0.25">
      <c r="A485" s="33">
        <v>55700</v>
      </c>
      <c r="B485" s="90">
        <v>30</v>
      </c>
      <c r="C485" s="77">
        <f>194.205</f>
        <v>194.20500000000001</v>
      </c>
      <c r="D485" s="77">
        <f>267.466</f>
        <v>267.46600000000001</v>
      </c>
      <c r="E485" s="86">
        <f>133.845</f>
        <v>133.845</v>
      </c>
      <c r="F485" s="77">
        <f>278.484-40-25-60-100</f>
        <v>53.48399999999998</v>
      </c>
      <c r="G485" s="80">
        <v>40</v>
      </c>
      <c r="H485" s="77">
        <f t="shared" si="78"/>
        <v>185</v>
      </c>
      <c r="I485" s="77">
        <f t="shared" si="70"/>
        <v>0</v>
      </c>
      <c r="J485" s="80">
        <v>100</v>
      </c>
      <c r="K485" s="80">
        <v>300</v>
      </c>
      <c r="L485" s="77">
        <f t="shared" si="73"/>
        <v>1274</v>
      </c>
      <c r="M485" s="88">
        <v>600</v>
      </c>
      <c r="N485" s="77">
        <f>30</f>
        <v>30</v>
      </c>
      <c r="O485" s="80">
        <v>240</v>
      </c>
      <c r="P485" s="80">
        <v>160</v>
      </c>
      <c r="Q485" s="80">
        <f t="shared" si="74"/>
        <v>195</v>
      </c>
      <c r="R485" s="80">
        <f t="shared" si="75"/>
        <v>100</v>
      </c>
      <c r="S485" s="77">
        <f t="shared" si="76"/>
        <v>695</v>
      </c>
      <c r="T485" s="77">
        <f>50</f>
        <v>50</v>
      </c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</row>
    <row r="486" spans="1:30" ht="15.75" x14ac:dyDescent="0.25">
      <c r="A486" s="33">
        <v>55731</v>
      </c>
      <c r="B486" s="90">
        <v>31</v>
      </c>
      <c r="C486" s="77">
        <f>194.205</f>
        <v>194.20500000000001</v>
      </c>
      <c r="D486" s="77">
        <f>267.466</f>
        <v>267.46600000000001</v>
      </c>
      <c r="E486" s="86">
        <f>133.845</f>
        <v>133.845</v>
      </c>
      <c r="F486" s="77">
        <f>278.484-40-25-60-100</f>
        <v>53.48399999999998</v>
      </c>
      <c r="G486" s="80">
        <v>40</v>
      </c>
      <c r="H486" s="77">
        <f t="shared" si="78"/>
        <v>185</v>
      </c>
      <c r="I486" s="77">
        <f t="shared" si="70"/>
        <v>0</v>
      </c>
      <c r="J486" s="80">
        <v>100</v>
      </c>
      <c r="K486" s="80">
        <v>300</v>
      </c>
      <c r="L486" s="77">
        <f t="shared" si="73"/>
        <v>1274</v>
      </c>
      <c r="M486" s="88">
        <v>600</v>
      </c>
      <c r="N486" s="77">
        <f>30</f>
        <v>30</v>
      </c>
      <c r="O486" s="80">
        <v>240</v>
      </c>
      <c r="P486" s="80">
        <v>160</v>
      </c>
      <c r="Q486" s="80">
        <f t="shared" si="74"/>
        <v>195</v>
      </c>
      <c r="R486" s="80">
        <f t="shared" si="75"/>
        <v>100</v>
      </c>
      <c r="S486" s="77">
        <f t="shared" si="76"/>
        <v>695</v>
      </c>
      <c r="T486" s="77">
        <f>0</f>
        <v>0</v>
      </c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</row>
    <row r="487" spans="1:30" ht="15.75" x14ac:dyDescent="0.25">
      <c r="A487" s="33">
        <v>55762</v>
      </c>
      <c r="B487" s="90">
        <v>31</v>
      </c>
      <c r="C487" s="77">
        <f>194.205</f>
        <v>194.20500000000001</v>
      </c>
      <c r="D487" s="77">
        <f>267.466</f>
        <v>267.46600000000001</v>
      </c>
      <c r="E487" s="86">
        <f>133.845</f>
        <v>133.845</v>
      </c>
      <c r="F487" s="77">
        <f>278.484-40-25-60-100</f>
        <v>53.48399999999998</v>
      </c>
      <c r="G487" s="80">
        <v>40</v>
      </c>
      <c r="H487" s="77">
        <f t="shared" si="78"/>
        <v>185</v>
      </c>
      <c r="I487" s="77">
        <f t="shared" si="70"/>
        <v>0</v>
      </c>
      <c r="J487" s="80">
        <v>100</v>
      </c>
      <c r="K487" s="80">
        <v>300</v>
      </c>
      <c r="L487" s="77">
        <f t="shared" si="73"/>
        <v>1274</v>
      </c>
      <c r="M487" s="88">
        <v>600</v>
      </c>
      <c r="N487" s="77">
        <f>30</f>
        <v>30</v>
      </c>
      <c r="O487" s="80">
        <v>240</v>
      </c>
      <c r="P487" s="80">
        <v>160</v>
      </c>
      <c r="Q487" s="80">
        <f t="shared" si="74"/>
        <v>195</v>
      </c>
      <c r="R487" s="80">
        <f t="shared" si="75"/>
        <v>100</v>
      </c>
      <c r="S487" s="77">
        <f t="shared" si="76"/>
        <v>695</v>
      </c>
      <c r="T487" s="77">
        <f>0</f>
        <v>0</v>
      </c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</row>
    <row r="488" spans="1:30" ht="15.75" x14ac:dyDescent="0.25">
      <c r="A488" s="33">
        <v>55792</v>
      </c>
      <c r="B488" s="90">
        <v>30</v>
      </c>
      <c r="C488" s="77">
        <f>194.205</f>
        <v>194.20500000000001</v>
      </c>
      <c r="D488" s="77">
        <f>267.466</f>
        <v>267.46600000000001</v>
      </c>
      <c r="E488" s="86">
        <f>133.845</f>
        <v>133.845</v>
      </c>
      <c r="F488" s="77">
        <f>278.484-40-25-60-100</f>
        <v>53.48399999999998</v>
      </c>
      <c r="G488" s="80">
        <v>40</v>
      </c>
      <c r="H488" s="77">
        <f t="shared" si="78"/>
        <v>185</v>
      </c>
      <c r="I488" s="77">
        <f t="shared" si="70"/>
        <v>0</v>
      </c>
      <c r="J488" s="80">
        <v>100</v>
      </c>
      <c r="K488" s="80">
        <v>300</v>
      </c>
      <c r="L488" s="77">
        <f t="shared" si="73"/>
        <v>1274</v>
      </c>
      <c r="M488" s="88">
        <v>600</v>
      </c>
      <c r="N488" s="77">
        <f>30</f>
        <v>30</v>
      </c>
      <c r="O488" s="80">
        <v>240</v>
      </c>
      <c r="P488" s="80">
        <v>160</v>
      </c>
      <c r="Q488" s="80">
        <f t="shared" si="74"/>
        <v>195</v>
      </c>
      <c r="R488" s="80">
        <f t="shared" si="75"/>
        <v>100</v>
      </c>
      <c r="S488" s="77">
        <f t="shared" si="76"/>
        <v>695</v>
      </c>
      <c r="T488" s="77">
        <f>0</f>
        <v>0</v>
      </c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</row>
    <row r="489" spans="1:30" ht="15.75" x14ac:dyDescent="0.25">
      <c r="A489" s="33">
        <v>55823</v>
      </c>
      <c r="B489" s="90">
        <v>31</v>
      </c>
      <c r="C489" s="77">
        <f>131.881</f>
        <v>131.881</v>
      </c>
      <c r="D489" s="77">
        <f>277.167</f>
        <v>277.16699999999997</v>
      </c>
      <c r="E489" s="86">
        <f>79.08</f>
        <v>79.08</v>
      </c>
      <c r="F489" s="77">
        <f>350.872-40-25-60-100</f>
        <v>125.87200000000001</v>
      </c>
      <c r="G489" s="80">
        <v>40</v>
      </c>
      <c r="H489" s="77">
        <f t="shared" si="78"/>
        <v>185</v>
      </c>
      <c r="I489" s="77">
        <f t="shared" si="70"/>
        <v>0</v>
      </c>
      <c r="J489" s="80">
        <v>100</v>
      </c>
      <c r="K489" s="80">
        <v>300</v>
      </c>
      <c r="L489" s="77">
        <f t="shared" si="73"/>
        <v>1239</v>
      </c>
      <c r="M489" s="88">
        <v>600</v>
      </c>
      <c r="N489" s="77">
        <f>75</f>
        <v>75</v>
      </c>
      <c r="O489" s="80">
        <v>240</v>
      </c>
      <c r="P489" s="80">
        <v>160</v>
      </c>
      <c r="Q489" s="80">
        <f t="shared" si="74"/>
        <v>195</v>
      </c>
      <c r="R489" s="80">
        <f t="shared" si="75"/>
        <v>100</v>
      </c>
      <c r="S489" s="77">
        <f t="shared" si="76"/>
        <v>695</v>
      </c>
      <c r="T489" s="77">
        <f>0</f>
        <v>0</v>
      </c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</row>
    <row r="490" spans="1:30" ht="15.75" x14ac:dyDescent="0.25">
      <c r="A490" s="33">
        <v>55853</v>
      </c>
      <c r="B490" s="90">
        <v>30</v>
      </c>
      <c r="C490" s="77">
        <f>122.58</f>
        <v>122.58</v>
      </c>
      <c r="D490" s="77">
        <f>297.941</f>
        <v>297.94099999999997</v>
      </c>
      <c r="E490" s="86">
        <f>89.177</f>
        <v>89.177000000000007</v>
      </c>
      <c r="F490" s="77">
        <f>240.302-40-60-100</f>
        <v>40.301999999999992</v>
      </c>
      <c r="G490" s="80">
        <v>40</v>
      </c>
      <c r="H490" s="77">
        <f>60+100</f>
        <v>160</v>
      </c>
      <c r="I490" s="77">
        <f t="shared" si="70"/>
        <v>0</v>
      </c>
      <c r="J490" s="80">
        <v>100</v>
      </c>
      <c r="K490" s="80">
        <v>300</v>
      </c>
      <c r="L490" s="77">
        <f t="shared" si="73"/>
        <v>1150</v>
      </c>
      <c r="M490" s="88">
        <v>600</v>
      </c>
      <c r="N490" s="77">
        <f>100</f>
        <v>100</v>
      </c>
      <c r="O490" s="80">
        <v>240</v>
      </c>
      <c r="P490" s="80">
        <v>40</v>
      </c>
      <c r="Q490" s="80">
        <f t="shared" si="74"/>
        <v>315</v>
      </c>
      <c r="R490" s="80">
        <f t="shared" si="75"/>
        <v>100</v>
      </c>
      <c r="S490" s="77">
        <f t="shared" si="76"/>
        <v>695</v>
      </c>
      <c r="T490" s="77">
        <f>50</f>
        <v>50</v>
      </c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</row>
    <row r="491" spans="1:30" ht="15.75" x14ac:dyDescent="0.25">
      <c r="A491" s="33">
        <v>55884</v>
      </c>
      <c r="B491" s="90">
        <v>31</v>
      </c>
      <c r="C491" s="77">
        <f>122.58</f>
        <v>122.58</v>
      </c>
      <c r="D491" s="77">
        <f>297.941</f>
        <v>297.94099999999997</v>
      </c>
      <c r="E491" s="86">
        <f>89.177</f>
        <v>89.177000000000007</v>
      </c>
      <c r="F491" s="77">
        <f>240.302-40-60-100</f>
        <v>40.301999999999992</v>
      </c>
      <c r="G491" s="80">
        <v>40</v>
      </c>
      <c r="H491" s="77">
        <f>60+100</f>
        <v>160</v>
      </c>
      <c r="I491" s="77">
        <f t="shared" si="70"/>
        <v>0</v>
      </c>
      <c r="J491" s="80">
        <v>100</v>
      </c>
      <c r="K491" s="80">
        <v>300</v>
      </c>
      <c r="L491" s="77">
        <f t="shared" si="73"/>
        <v>1150</v>
      </c>
      <c r="M491" s="88">
        <v>600</v>
      </c>
      <c r="N491" s="77">
        <f>100</f>
        <v>100</v>
      </c>
      <c r="O491" s="80">
        <v>240</v>
      </c>
      <c r="P491" s="80">
        <v>40</v>
      </c>
      <c r="Q491" s="80">
        <f t="shared" si="74"/>
        <v>315</v>
      </c>
      <c r="R491" s="80">
        <f t="shared" si="75"/>
        <v>100</v>
      </c>
      <c r="S491" s="77">
        <f t="shared" si="76"/>
        <v>695</v>
      </c>
      <c r="T491" s="77">
        <f>50</f>
        <v>50</v>
      </c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</row>
    <row r="492" spans="1:30" ht="15.75" x14ac:dyDescent="0.25">
      <c r="A492" s="33">
        <v>55915</v>
      </c>
      <c r="B492" s="90">
        <v>31</v>
      </c>
      <c r="C492" s="77">
        <f>122.58</f>
        <v>122.58</v>
      </c>
      <c r="D492" s="77">
        <f>297.941</f>
        <v>297.94099999999997</v>
      </c>
      <c r="E492" s="86">
        <f>89.177</f>
        <v>89.177000000000007</v>
      </c>
      <c r="F492" s="77">
        <f>240.302-40-60-100</f>
        <v>40.301999999999992</v>
      </c>
      <c r="G492" s="80">
        <v>40</v>
      </c>
      <c r="H492" s="77">
        <f>60+100</f>
        <v>160</v>
      </c>
      <c r="I492" s="77">
        <f t="shared" si="70"/>
        <v>0</v>
      </c>
      <c r="J492" s="80">
        <v>100</v>
      </c>
      <c r="K492" s="80">
        <v>300</v>
      </c>
      <c r="L492" s="77">
        <f t="shared" si="73"/>
        <v>1150</v>
      </c>
      <c r="M492" s="88">
        <v>600</v>
      </c>
      <c r="N492" s="77">
        <f>100</f>
        <v>100</v>
      </c>
      <c r="O492" s="80">
        <v>240</v>
      </c>
      <c r="P492" s="80">
        <v>40</v>
      </c>
      <c r="Q492" s="80">
        <f t="shared" si="74"/>
        <v>315</v>
      </c>
      <c r="R492" s="80">
        <f t="shared" si="75"/>
        <v>100</v>
      </c>
      <c r="S492" s="77">
        <f t="shared" si="76"/>
        <v>695</v>
      </c>
      <c r="T492" s="77">
        <f>50</f>
        <v>50</v>
      </c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</row>
    <row r="493" spans="1:30" ht="15.75" x14ac:dyDescent="0.25">
      <c r="A493" s="33">
        <v>55943</v>
      </c>
      <c r="B493" s="90">
        <v>28</v>
      </c>
      <c r="C493" s="77">
        <f>122.58</f>
        <v>122.58</v>
      </c>
      <c r="D493" s="77">
        <f>297.941</f>
        <v>297.94099999999997</v>
      </c>
      <c r="E493" s="86">
        <f>89.177</f>
        <v>89.177000000000007</v>
      </c>
      <c r="F493" s="77">
        <f>240.302-40-60-100</f>
        <v>40.301999999999992</v>
      </c>
      <c r="G493" s="80">
        <v>40</v>
      </c>
      <c r="H493" s="77">
        <f>60+100</f>
        <v>160</v>
      </c>
      <c r="I493" s="77">
        <f t="shared" si="70"/>
        <v>0</v>
      </c>
      <c r="J493" s="80">
        <v>100</v>
      </c>
      <c r="K493" s="80">
        <v>300</v>
      </c>
      <c r="L493" s="77">
        <f t="shared" si="73"/>
        <v>1150</v>
      </c>
      <c r="M493" s="88">
        <v>600</v>
      </c>
      <c r="N493" s="77">
        <f>100</f>
        <v>100</v>
      </c>
      <c r="O493" s="80">
        <v>240</v>
      </c>
      <c r="P493" s="80">
        <v>40</v>
      </c>
      <c r="Q493" s="80">
        <f t="shared" si="74"/>
        <v>315</v>
      </c>
      <c r="R493" s="80">
        <f t="shared" si="75"/>
        <v>100</v>
      </c>
      <c r="S493" s="77">
        <f t="shared" si="76"/>
        <v>695</v>
      </c>
      <c r="T493" s="77">
        <f>50</f>
        <v>50</v>
      </c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</row>
    <row r="494" spans="1:30" ht="15.75" x14ac:dyDescent="0.25">
      <c r="A494" s="33">
        <v>55974</v>
      </c>
      <c r="B494" s="90">
        <v>31</v>
      </c>
      <c r="C494" s="77">
        <f>122.58</f>
        <v>122.58</v>
      </c>
      <c r="D494" s="77">
        <f>297.941</f>
        <v>297.94099999999997</v>
      </c>
      <c r="E494" s="86">
        <f>89.177</f>
        <v>89.177000000000007</v>
      </c>
      <c r="F494" s="77">
        <f>240.302-40-60-100</f>
        <v>40.301999999999992</v>
      </c>
      <c r="G494" s="80">
        <v>40</v>
      </c>
      <c r="H494" s="77">
        <f>60+100</f>
        <v>160</v>
      </c>
      <c r="I494" s="77">
        <f t="shared" si="70"/>
        <v>0</v>
      </c>
      <c r="J494" s="80">
        <v>100</v>
      </c>
      <c r="K494" s="80">
        <v>300</v>
      </c>
      <c r="L494" s="77">
        <f t="shared" si="73"/>
        <v>1150</v>
      </c>
      <c r="M494" s="88">
        <v>600</v>
      </c>
      <c r="N494" s="77">
        <f>100</f>
        <v>100</v>
      </c>
      <c r="O494" s="80">
        <v>240</v>
      </c>
      <c r="P494" s="80">
        <v>40</v>
      </c>
      <c r="Q494" s="80">
        <f t="shared" si="74"/>
        <v>315</v>
      </c>
      <c r="R494" s="80">
        <f t="shared" si="75"/>
        <v>100</v>
      </c>
      <c r="S494" s="77">
        <f t="shared" si="76"/>
        <v>695</v>
      </c>
      <c r="T494" s="77">
        <f>50</f>
        <v>50</v>
      </c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</row>
    <row r="495" spans="1:30" ht="15.75" x14ac:dyDescent="0.25">
      <c r="A495" s="33">
        <v>56004</v>
      </c>
      <c r="B495" s="90">
        <v>30</v>
      </c>
      <c r="C495" s="77">
        <f>141.293</f>
        <v>141.29300000000001</v>
      </c>
      <c r="D495" s="77">
        <f>267.993</f>
        <v>267.99299999999999</v>
      </c>
      <c r="E495" s="86">
        <f>115.016</f>
        <v>115.01600000000001</v>
      </c>
      <c r="F495" s="77">
        <f>314.698-40-25-60-100</f>
        <v>89.697999999999979</v>
      </c>
      <c r="G495" s="80">
        <v>40</v>
      </c>
      <c r="H495" s="77">
        <f t="shared" ref="H495:H501" si="79">25+60+100</f>
        <v>185</v>
      </c>
      <c r="I495" s="77">
        <f t="shared" si="70"/>
        <v>0</v>
      </c>
      <c r="J495" s="80">
        <v>100</v>
      </c>
      <c r="K495" s="80">
        <v>300</v>
      </c>
      <c r="L495" s="77">
        <f t="shared" si="73"/>
        <v>1239</v>
      </c>
      <c r="M495" s="88">
        <v>600</v>
      </c>
      <c r="N495" s="77">
        <f>100</f>
        <v>100</v>
      </c>
      <c r="O495" s="80">
        <v>240</v>
      </c>
      <c r="P495" s="80">
        <v>160</v>
      </c>
      <c r="Q495" s="80">
        <f t="shared" si="74"/>
        <v>195</v>
      </c>
      <c r="R495" s="80">
        <f t="shared" si="75"/>
        <v>100</v>
      </c>
      <c r="S495" s="77">
        <f t="shared" si="76"/>
        <v>695</v>
      </c>
      <c r="T495" s="77">
        <f>50</f>
        <v>50</v>
      </c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</row>
    <row r="496" spans="1:30" ht="15.75" x14ac:dyDescent="0.25">
      <c r="A496" s="33">
        <v>56035</v>
      </c>
      <c r="B496" s="90">
        <v>31</v>
      </c>
      <c r="C496" s="77">
        <f>194.205</f>
        <v>194.20500000000001</v>
      </c>
      <c r="D496" s="77">
        <f>267.466</f>
        <v>267.46600000000001</v>
      </c>
      <c r="E496" s="86">
        <f>133.845</f>
        <v>133.845</v>
      </c>
      <c r="F496" s="77">
        <f>278.484-40-25-60-100</f>
        <v>53.48399999999998</v>
      </c>
      <c r="G496" s="80">
        <v>40</v>
      </c>
      <c r="H496" s="77">
        <f t="shared" si="79"/>
        <v>185</v>
      </c>
      <c r="I496" s="77">
        <f t="shared" si="70"/>
        <v>0</v>
      </c>
      <c r="J496" s="80">
        <v>100</v>
      </c>
      <c r="K496" s="80">
        <v>300</v>
      </c>
      <c r="L496" s="77">
        <f t="shared" si="73"/>
        <v>1274</v>
      </c>
      <c r="M496" s="88">
        <v>600</v>
      </c>
      <c r="N496" s="77">
        <f>75</f>
        <v>75</v>
      </c>
      <c r="O496" s="80">
        <v>240</v>
      </c>
      <c r="P496" s="80">
        <v>160</v>
      </c>
      <c r="Q496" s="80">
        <f t="shared" si="74"/>
        <v>195</v>
      </c>
      <c r="R496" s="80">
        <f t="shared" si="75"/>
        <v>100</v>
      </c>
      <c r="S496" s="77">
        <f t="shared" si="76"/>
        <v>695</v>
      </c>
      <c r="T496" s="77">
        <f>50</f>
        <v>50</v>
      </c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</row>
    <row r="497" spans="1:30" ht="15.75" x14ac:dyDescent="0.25">
      <c r="A497" s="33">
        <v>56065</v>
      </c>
      <c r="B497" s="90">
        <v>30</v>
      </c>
      <c r="C497" s="77">
        <f>194.205</f>
        <v>194.20500000000001</v>
      </c>
      <c r="D497" s="77">
        <f>267.466</f>
        <v>267.46600000000001</v>
      </c>
      <c r="E497" s="86">
        <f>133.845</f>
        <v>133.845</v>
      </c>
      <c r="F497" s="77">
        <f>278.484-40-25-60-100</f>
        <v>53.48399999999998</v>
      </c>
      <c r="G497" s="80">
        <v>40</v>
      </c>
      <c r="H497" s="77">
        <f t="shared" si="79"/>
        <v>185</v>
      </c>
      <c r="I497" s="77">
        <f t="shared" si="70"/>
        <v>0</v>
      </c>
      <c r="J497" s="80">
        <v>100</v>
      </c>
      <c r="K497" s="80">
        <v>300</v>
      </c>
      <c r="L497" s="77">
        <f t="shared" si="73"/>
        <v>1274</v>
      </c>
      <c r="M497" s="88">
        <v>600</v>
      </c>
      <c r="N497" s="77">
        <f>30</f>
        <v>30</v>
      </c>
      <c r="O497" s="80">
        <v>240</v>
      </c>
      <c r="P497" s="80">
        <v>160</v>
      </c>
      <c r="Q497" s="80">
        <f t="shared" si="74"/>
        <v>195</v>
      </c>
      <c r="R497" s="80">
        <f t="shared" si="75"/>
        <v>100</v>
      </c>
      <c r="S497" s="77">
        <f t="shared" si="76"/>
        <v>695</v>
      </c>
      <c r="T497" s="77">
        <f>50</f>
        <v>50</v>
      </c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</row>
    <row r="498" spans="1:30" ht="15.75" x14ac:dyDescent="0.25">
      <c r="A498" s="33">
        <v>56096</v>
      </c>
      <c r="B498" s="90">
        <v>31</v>
      </c>
      <c r="C498" s="77">
        <f>194.205</f>
        <v>194.20500000000001</v>
      </c>
      <c r="D498" s="77">
        <f>267.466</f>
        <v>267.46600000000001</v>
      </c>
      <c r="E498" s="86">
        <f>133.845</f>
        <v>133.845</v>
      </c>
      <c r="F498" s="77">
        <f>278.484-40-25-60-100</f>
        <v>53.48399999999998</v>
      </c>
      <c r="G498" s="80">
        <v>40</v>
      </c>
      <c r="H498" s="77">
        <f t="shared" si="79"/>
        <v>185</v>
      </c>
      <c r="I498" s="77">
        <f t="shared" si="70"/>
        <v>0</v>
      </c>
      <c r="J498" s="80">
        <v>100</v>
      </c>
      <c r="K498" s="80">
        <v>300</v>
      </c>
      <c r="L498" s="77">
        <f t="shared" si="73"/>
        <v>1274</v>
      </c>
      <c r="M498" s="88">
        <v>600</v>
      </c>
      <c r="N498" s="77">
        <f>30</f>
        <v>30</v>
      </c>
      <c r="O498" s="80">
        <v>240</v>
      </c>
      <c r="P498" s="80">
        <v>160</v>
      </c>
      <c r="Q498" s="80">
        <f t="shared" si="74"/>
        <v>195</v>
      </c>
      <c r="R498" s="80">
        <f t="shared" si="75"/>
        <v>100</v>
      </c>
      <c r="S498" s="77">
        <f t="shared" si="76"/>
        <v>695</v>
      </c>
      <c r="T498" s="77">
        <f>0</f>
        <v>0</v>
      </c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</row>
    <row r="499" spans="1:30" ht="15.75" x14ac:dyDescent="0.25">
      <c r="A499" s="33">
        <v>56127</v>
      </c>
      <c r="B499" s="90">
        <v>31</v>
      </c>
      <c r="C499" s="77">
        <f>194.205</f>
        <v>194.20500000000001</v>
      </c>
      <c r="D499" s="77">
        <f>267.466</f>
        <v>267.46600000000001</v>
      </c>
      <c r="E499" s="86">
        <f>133.845</f>
        <v>133.845</v>
      </c>
      <c r="F499" s="77">
        <f>278.484-40-25-60-100</f>
        <v>53.48399999999998</v>
      </c>
      <c r="G499" s="80">
        <v>40</v>
      </c>
      <c r="H499" s="77">
        <f t="shared" si="79"/>
        <v>185</v>
      </c>
      <c r="I499" s="77">
        <f t="shared" si="70"/>
        <v>0</v>
      </c>
      <c r="J499" s="80">
        <v>100</v>
      </c>
      <c r="K499" s="80">
        <v>300</v>
      </c>
      <c r="L499" s="77">
        <f t="shared" si="73"/>
        <v>1274</v>
      </c>
      <c r="M499" s="88">
        <v>600</v>
      </c>
      <c r="N499" s="77">
        <f>30</f>
        <v>30</v>
      </c>
      <c r="O499" s="80">
        <v>240</v>
      </c>
      <c r="P499" s="80">
        <v>160</v>
      </c>
      <c r="Q499" s="80">
        <f t="shared" si="74"/>
        <v>195</v>
      </c>
      <c r="R499" s="80">
        <f t="shared" si="75"/>
        <v>100</v>
      </c>
      <c r="S499" s="77">
        <f t="shared" si="76"/>
        <v>695</v>
      </c>
      <c r="T499" s="77">
        <f>0</f>
        <v>0</v>
      </c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</row>
    <row r="500" spans="1:30" ht="15.75" x14ac:dyDescent="0.25">
      <c r="A500" s="33">
        <v>56157</v>
      </c>
      <c r="B500" s="90">
        <v>30</v>
      </c>
      <c r="C500" s="77">
        <f>194.205</f>
        <v>194.20500000000001</v>
      </c>
      <c r="D500" s="77">
        <f>267.466</f>
        <v>267.46600000000001</v>
      </c>
      <c r="E500" s="86">
        <f>133.845</f>
        <v>133.845</v>
      </c>
      <c r="F500" s="77">
        <f>278.484-40-25-60-100</f>
        <v>53.48399999999998</v>
      </c>
      <c r="G500" s="80">
        <v>40</v>
      </c>
      <c r="H500" s="77">
        <f t="shared" si="79"/>
        <v>185</v>
      </c>
      <c r="I500" s="77">
        <f t="shared" ref="I500:I563" si="80">400-J500-K500</f>
        <v>0</v>
      </c>
      <c r="J500" s="80">
        <v>100</v>
      </c>
      <c r="K500" s="80">
        <v>300</v>
      </c>
      <c r="L500" s="77">
        <f t="shared" si="73"/>
        <v>1274</v>
      </c>
      <c r="M500" s="88">
        <v>600</v>
      </c>
      <c r="N500" s="77">
        <f>30</f>
        <v>30</v>
      </c>
      <c r="O500" s="80">
        <v>240</v>
      </c>
      <c r="P500" s="80">
        <v>160</v>
      </c>
      <c r="Q500" s="80">
        <f t="shared" si="74"/>
        <v>195</v>
      </c>
      <c r="R500" s="80">
        <f t="shared" si="75"/>
        <v>100</v>
      </c>
      <c r="S500" s="77">
        <f t="shared" si="76"/>
        <v>695</v>
      </c>
      <c r="T500" s="77">
        <f>0</f>
        <v>0</v>
      </c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</row>
    <row r="501" spans="1:30" ht="15.75" x14ac:dyDescent="0.25">
      <c r="A501" s="33">
        <v>56188</v>
      </c>
      <c r="B501" s="90">
        <v>31</v>
      </c>
      <c r="C501" s="77">
        <f>131.881</f>
        <v>131.881</v>
      </c>
      <c r="D501" s="77">
        <f>277.167</f>
        <v>277.16699999999997</v>
      </c>
      <c r="E501" s="86">
        <f>79.08</f>
        <v>79.08</v>
      </c>
      <c r="F501" s="77">
        <f>350.872-40-25-60-100</f>
        <v>125.87200000000001</v>
      </c>
      <c r="G501" s="80">
        <v>40</v>
      </c>
      <c r="H501" s="77">
        <f t="shared" si="79"/>
        <v>185</v>
      </c>
      <c r="I501" s="77">
        <f t="shared" si="80"/>
        <v>0</v>
      </c>
      <c r="J501" s="80">
        <v>100</v>
      </c>
      <c r="K501" s="80">
        <v>300</v>
      </c>
      <c r="L501" s="77">
        <f t="shared" si="73"/>
        <v>1239</v>
      </c>
      <c r="M501" s="88">
        <v>600</v>
      </c>
      <c r="N501" s="77">
        <f>75</f>
        <v>75</v>
      </c>
      <c r="O501" s="80">
        <v>240</v>
      </c>
      <c r="P501" s="80">
        <v>160</v>
      </c>
      <c r="Q501" s="80">
        <f t="shared" si="74"/>
        <v>195</v>
      </c>
      <c r="R501" s="80">
        <f t="shared" si="75"/>
        <v>100</v>
      </c>
      <c r="S501" s="77">
        <f t="shared" si="76"/>
        <v>695</v>
      </c>
      <c r="T501" s="77">
        <f>0</f>
        <v>0</v>
      </c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</row>
    <row r="502" spans="1:30" ht="15.75" x14ac:dyDescent="0.25">
      <c r="A502" s="33">
        <v>56218</v>
      </c>
      <c r="B502" s="90">
        <v>30</v>
      </c>
      <c r="C502" s="77">
        <f>122.58</f>
        <v>122.58</v>
      </c>
      <c r="D502" s="77">
        <f>297.941</f>
        <v>297.94099999999997</v>
      </c>
      <c r="E502" s="86">
        <f>89.177</f>
        <v>89.177000000000007</v>
      </c>
      <c r="F502" s="77">
        <f>240.302-40-60-100</f>
        <v>40.301999999999992</v>
      </c>
      <c r="G502" s="80">
        <v>40</v>
      </c>
      <c r="H502" s="77">
        <f>60+100</f>
        <v>160</v>
      </c>
      <c r="I502" s="77">
        <f t="shared" si="80"/>
        <v>0</v>
      </c>
      <c r="J502" s="80">
        <v>100</v>
      </c>
      <c r="K502" s="80">
        <v>300</v>
      </c>
      <c r="L502" s="77">
        <f t="shared" si="73"/>
        <v>1150</v>
      </c>
      <c r="M502" s="88">
        <v>600</v>
      </c>
      <c r="N502" s="77">
        <f>100</f>
        <v>100</v>
      </c>
      <c r="O502" s="80">
        <v>240</v>
      </c>
      <c r="P502" s="80">
        <v>40</v>
      </c>
      <c r="Q502" s="80">
        <f t="shared" si="74"/>
        <v>315</v>
      </c>
      <c r="R502" s="80">
        <f t="shared" si="75"/>
        <v>100</v>
      </c>
      <c r="S502" s="77">
        <f t="shared" si="76"/>
        <v>695</v>
      </c>
      <c r="T502" s="77">
        <f>50</f>
        <v>50</v>
      </c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</row>
    <row r="503" spans="1:30" ht="15.75" x14ac:dyDescent="0.25">
      <c r="A503" s="33">
        <v>56249</v>
      </c>
      <c r="B503" s="90">
        <v>31</v>
      </c>
      <c r="C503" s="77">
        <f>122.58</f>
        <v>122.58</v>
      </c>
      <c r="D503" s="77">
        <f>297.941</f>
        <v>297.94099999999997</v>
      </c>
      <c r="E503" s="86">
        <f>89.177</f>
        <v>89.177000000000007</v>
      </c>
      <c r="F503" s="77">
        <f>240.302-40-60-100</f>
        <v>40.301999999999992</v>
      </c>
      <c r="G503" s="80">
        <v>40</v>
      </c>
      <c r="H503" s="77">
        <f>60+100</f>
        <v>160</v>
      </c>
      <c r="I503" s="77">
        <f t="shared" si="80"/>
        <v>0</v>
      </c>
      <c r="J503" s="80">
        <v>100</v>
      </c>
      <c r="K503" s="80">
        <v>300</v>
      </c>
      <c r="L503" s="77">
        <f t="shared" si="73"/>
        <v>1150</v>
      </c>
      <c r="M503" s="88">
        <v>600</v>
      </c>
      <c r="N503" s="77">
        <f>100</f>
        <v>100</v>
      </c>
      <c r="O503" s="80">
        <v>240</v>
      </c>
      <c r="P503" s="80">
        <v>40</v>
      </c>
      <c r="Q503" s="80">
        <f t="shared" si="74"/>
        <v>315</v>
      </c>
      <c r="R503" s="80">
        <f t="shared" si="75"/>
        <v>100</v>
      </c>
      <c r="S503" s="77">
        <f t="shared" si="76"/>
        <v>695</v>
      </c>
      <c r="T503" s="77">
        <f>50</f>
        <v>50</v>
      </c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</row>
    <row r="504" spans="1:30" ht="15.75" x14ac:dyDescent="0.25">
      <c r="A504" s="33">
        <v>56280</v>
      </c>
      <c r="B504" s="90">
        <v>31</v>
      </c>
      <c r="C504" s="77">
        <f>122.58</f>
        <v>122.58</v>
      </c>
      <c r="D504" s="77">
        <f>297.941</f>
        <v>297.94099999999997</v>
      </c>
      <c r="E504" s="86">
        <f>89.177</f>
        <v>89.177000000000007</v>
      </c>
      <c r="F504" s="77">
        <f>240.302-40-60-100</f>
        <v>40.301999999999992</v>
      </c>
      <c r="G504" s="80">
        <v>40</v>
      </c>
      <c r="H504" s="77">
        <f>60+100</f>
        <v>160</v>
      </c>
      <c r="I504" s="77">
        <f t="shared" si="80"/>
        <v>0</v>
      </c>
      <c r="J504" s="80">
        <v>100</v>
      </c>
      <c r="K504" s="80">
        <v>300</v>
      </c>
      <c r="L504" s="77">
        <f t="shared" si="73"/>
        <v>1150</v>
      </c>
      <c r="M504" s="88">
        <v>600</v>
      </c>
      <c r="N504" s="77">
        <f>100</f>
        <v>100</v>
      </c>
      <c r="O504" s="80">
        <v>240</v>
      </c>
      <c r="P504" s="80">
        <v>40</v>
      </c>
      <c r="Q504" s="80">
        <f t="shared" si="74"/>
        <v>315</v>
      </c>
      <c r="R504" s="80">
        <f t="shared" si="75"/>
        <v>100</v>
      </c>
      <c r="S504" s="77">
        <f t="shared" si="76"/>
        <v>695</v>
      </c>
      <c r="T504" s="77">
        <f>50</f>
        <v>50</v>
      </c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</row>
    <row r="505" spans="1:30" ht="15.75" x14ac:dyDescent="0.25">
      <c r="A505" s="33">
        <v>56308</v>
      </c>
      <c r="B505" s="90">
        <v>28</v>
      </c>
      <c r="C505" s="77">
        <f>122.58</f>
        <v>122.58</v>
      </c>
      <c r="D505" s="77">
        <f>297.941</f>
        <v>297.94099999999997</v>
      </c>
      <c r="E505" s="86">
        <f>89.177</f>
        <v>89.177000000000007</v>
      </c>
      <c r="F505" s="77">
        <f>240.302-40-60-100</f>
        <v>40.301999999999992</v>
      </c>
      <c r="G505" s="80">
        <v>40</v>
      </c>
      <c r="H505" s="77">
        <f>60+100</f>
        <v>160</v>
      </c>
      <c r="I505" s="77">
        <f t="shared" si="80"/>
        <v>0</v>
      </c>
      <c r="J505" s="80">
        <v>100</v>
      </c>
      <c r="K505" s="80">
        <v>300</v>
      </c>
      <c r="L505" s="77">
        <f t="shared" si="73"/>
        <v>1150</v>
      </c>
      <c r="M505" s="88">
        <v>600</v>
      </c>
      <c r="N505" s="77">
        <f>100</f>
        <v>100</v>
      </c>
      <c r="O505" s="80">
        <v>240</v>
      </c>
      <c r="P505" s="80">
        <v>40</v>
      </c>
      <c r="Q505" s="80">
        <f t="shared" si="74"/>
        <v>315</v>
      </c>
      <c r="R505" s="80">
        <f t="shared" si="75"/>
        <v>100</v>
      </c>
      <c r="S505" s="77">
        <f t="shared" si="76"/>
        <v>695</v>
      </c>
      <c r="T505" s="77">
        <f>50</f>
        <v>50</v>
      </c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</row>
    <row r="506" spans="1:30" ht="15.75" x14ac:dyDescent="0.25">
      <c r="A506" s="33">
        <v>56339</v>
      </c>
      <c r="B506" s="90">
        <v>31</v>
      </c>
      <c r="C506" s="77">
        <f>122.58</f>
        <v>122.58</v>
      </c>
      <c r="D506" s="77">
        <f>297.941</f>
        <v>297.94099999999997</v>
      </c>
      <c r="E506" s="86">
        <f>89.177</f>
        <v>89.177000000000007</v>
      </c>
      <c r="F506" s="77">
        <f>240.302-40-60-100</f>
        <v>40.301999999999992</v>
      </c>
      <c r="G506" s="80">
        <v>40</v>
      </c>
      <c r="H506" s="77">
        <f>60+100</f>
        <v>160</v>
      </c>
      <c r="I506" s="77">
        <f t="shared" si="80"/>
        <v>0</v>
      </c>
      <c r="J506" s="80">
        <v>100</v>
      </c>
      <c r="K506" s="80">
        <v>300</v>
      </c>
      <c r="L506" s="77">
        <f t="shared" si="73"/>
        <v>1150</v>
      </c>
      <c r="M506" s="88">
        <v>600</v>
      </c>
      <c r="N506" s="77">
        <f>100</f>
        <v>100</v>
      </c>
      <c r="O506" s="80">
        <v>240</v>
      </c>
      <c r="P506" s="80">
        <v>40</v>
      </c>
      <c r="Q506" s="80">
        <f t="shared" si="74"/>
        <v>315</v>
      </c>
      <c r="R506" s="80">
        <f t="shared" si="75"/>
        <v>100</v>
      </c>
      <c r="S506" s="77">
        <f t="shared" si="76"/>
        <v>695</v>
      </c>
      <c r="T506" s="77">
        <f>50</f>
        <v>50</v>
      </c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</row>
    <row r="507" spans="1:30" ht="15.75" x14ac:dyDescent="0.25">
      <c r="A507" s="33">
        <v>56369</v>
      </c>
      <c r="B507" s="90">
        <v>30</v>
      </c>
      <c r="C507" s="77">
        <f>141.293</f>
        <v>141.29300000000001</v>
      </c>
      <c r="D507" s="77">
        <f>267.993</f>
        <v>267.99299999999999</v>
      </c>
      <c r="E507" s="86">
        <f>115.016</f>
        <v>115.01600000000001</v>
      </c>
      <c r="F507" s="77">
        <f>314.698-40-25-60-100</f>
        <v>89.697999999999979</v>
      </c>
      <c r="G507" s="80">
        <v>40</v>
      </c>
      <c r="H507" s="77">
        <f t="shared" ref="H507:H513" si="81">25+60+100</f>
        <v>185</v>
      </c>
      <c r="I507" s="77">
        <f t="shared" si="80"/>
        <v>0</v>
      </c>
      <c r="J507" s="80">
        <v>100</v>
      </c>
      <c r="K507" s="80">
        <v>300</v>
      </c>
      <c r="L507" s="77">
        <f t="shared" si="73"/>
        <v>1239</v>
      </c>
      <c r="M507" s="88">
        <v>600</v>
      </c>
      <c r="N507" s="77">
        <f>100</f>
        <v>100</v>
      </c>
      <c r="O507" s="80">
        <v>240</v>
      </c>
      <c r="P507" s="80">
        <v>160</v>
      </c>
      <c r="Q507" s="80">
        <f t="shared" si="74"/>
        <v>195</v>
      </c>
      <c r="R507" s="80">
        <f t="shared" si="75"/>
        <v>100</v>
      </c>
      <c r="S507" s="77">
        <f t="shared" si="76"/>
        <v>695</v>
      </c>
      <c r="T507" s="77">
        <f>50</f>
        <v>50</v>
      </c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</row>
    <row r="508" spans="1:30" ht="15.75" x14ac:dyDescent="0.25">
      <c r="A508" s="33">
        <v>56400</v>
      </c>
      <c r="B508" s="90">
        <v>31</v>
      </c>
      <c r="C508" s="77">
        <f>194.205</f>
        <v>194.20500000000001</v>
      </c>
      <c r="D508" s="77">
        <f>267.466</f>
        <v>267.46600000000001</v>
      </c>
      <c r="E508" s="86">
        <f>133.845</f>
        <v>133.845</v>
      </c>
      <c r="F508" s="77">
        <f>278.484-40-25-60-100</f>
        <v>53.48399999999998</v>
      </c>
      <c r="G508" s="80">
        <v>40</v>
      </c>
      <c r="H508" s="77">
        <f t="shared" si="81"/>
        <v>185</v>
      </c>
      <c r="I508" s="77">
        <f t="shared" si="80"/>
        <v>0</v>
      </c>
      <c r="J508" s="80">
        <v>100</v>
      </c>
      <c r="K508" s="80">
        <v>300</v>
      </c>
      <c r="L508" s="77">
        <f t="shared" si="73"/>
        <v>1274</v>
      </c>
      <c r="M508" s="88">
        <v>600</v>
      </c>
      <c r="N508" s="77">
        <f>75</f>
        <v>75</v>
      </c>
      <c r="O508" s="80">
        <v>240</v>
      </c>
      <c r="P508" s="80">
        <v>160</v>
      </c>
      <c r="Q508" s="80">
        <f t="shared" si="74"/>
        <v>195</v>
      </c>
      <c r="R508" s="80">
        <f t="shared" si="75"/>
        <v>100</v>
      </c>
      <c r="S508" s="77">
        <f t="shared" si="76"/>
        <v>695</v>
      </c>
      <c r="T508" s="77">
        <f>50</f>
        <v>50</v>
      </c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</row>
    <row r="509" spans="1:30" ht="15.75" x14ac:dyDescent="0.25">
      <c r="A509" s="33">
        <v>56430</v>
      </c>
      <c r="B509" s="90">
        <v>30</v>
      </c>
      <c r="C509" s="77">
        <f>194.205</f>
        <v>194.20500000000001</v>
      </c>
      <c r="D509" s="77">
        <f>267.466</f>
        <v>267.46600000000001</v>
      </c>
      <c r="E509" s="86">
        <f>133.845</f>
        <v>133.845</v>
      </c>
      <c r="F509" s="77">
        <f>278.484-40-25-60-100</f>
        <v>53.48399999999998</v>
      </c>
      <c r="G509" s="80">
        <v>40</v>
      </c>
      <c r="H509" s="77">
        <f t="shared" si="81"/>
        <v>185</v>
      </c>
      <c r="I509" s="77">
        <f t="shared" si="80"/>
        <v>0</v>
      </c>
      <c r="J509" s="80">
        <v>100</v>
      </c>
      <c r="K509" s="80">
        <v>300</v>
      </c>
      <c r="L509" s="77">
        <f t="shared" si="73"/>
        <v>1274</v>
      </c>
      <c r="M509" s="88">
        <v>600</v>
      </c>
      <c r="N509" s="77">
        <f>30</f>
        <v>30</v>
      </c>
      <c r="O509" s="80">
        <v>240</v>
      </c>
      <c r="P509" s="80">
        <v>160</v>
      </c>
      <c r="Q509" s="80">
        <f t="shared" si="74"/>
        <v>195</v>
      </c>
      <c r="R509" s="80">
        <f t="shared" si="75"/>
        <v>100</v>
      </c>
      <c r="S509" s="77">
        <f t="shared" si="76"/>
        <v>695</v>
      </c>
      <c r="T509" s="77">
        <f>50</f>
        <v>50</v>
      </c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</row>
    <row r="510" spans="1:30" ht="15.75" x14ac:dyDescent="0.25">
      <c r="A510" s="33">
        <v>56461</v>
      </c>
      <c r="B510" s="90">
        <v>31</v>
      </c>
      <c r="C510" s="77">
        <f>194.205</f>
        <v>194.20500000000001</v>
      </c>
      <c r="D510" s="77">
        <f>267.466</f>
        <v>267.46600000000001</v>
      </c>
      <c r="E510" s="86">
        <f>133.845</f>
        <v>133.845</v>
      </c>
      <c r="F510" s="77">
        <f>278.484-40-25-60-100</f>
        <v>53.48399999999998</v>
      </c>
      <c r="G510" s="80">
        <v>40</v>
      </c>
      <c r="H510" s="77">
        <f t="shared" si="81"/>
        <v>185</v>
      </c>
      <c r="I510" s="77">
        <f t="shared" si="80"/>
        <v>0</v>
      </c>
      <c r="J510" s="80">
        <v>100</v>
      </c>
      <c r="K510" s="80">
        <v>300</v>
      </c>
      <c r="L510" s="77">
        <f t="shared" si="73"/>
        <v>1274</v>
      </c>
      <c r="M510" s="88">
        <v>600</v>
      </c>
      <c r="N510" s="77">
        <f>30</f>
        <v>30</v>
      </c>
      <c r="O510" s="80">
        <v>240</v>
      </c>
      <c r="P510" s="80">
        <v>160</v>
      </c>
      <c r="Q510" s="80">
        <f t="shared" si="74"/>
        <v>195</v>
      </c>
      <c r="R510" s="80">
        <f t="shared" si="75"/>
        <v>100</v>
      </c>
      <c r="S510" s="77">
        <f t="shared" si="76"/>
        <v>695</v>
      </c>
      <c r="T510" s="77">
        <f>0</f>
        <v>0</v>
      </c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</row>
    <row r="511" spans="1:30" ht="15.75" x14ac:dyDescent="0.25">
      <c r="A511" s="33">
        <v>56492</v>
      </c>
      <c r="B511" s="90">
        <v>31</v>
      </c>
      <c r="C511" s="77">
        <f>194.205</f>
        <v>194.20500000000001</v>
      </c>
      <c r="D511" s="77">
        <f>267.466</f>
        <v>267.46600000000001</v>
      </c>
      <c r="E511" s="86">
        <f>133.845</f>
        <v>133.845</v>
      </c>
      <c r="F511" s="77">
        <f>278.484-40-25-60-100</f>
        <v>53.48399999999998</v>
      </c>
      <c r="G511" s="80">
        <v>40</v>
      </c>
      <c r="H511" s="77">
        <f t="shared" si="81"/>
        <v>185</v>
      </c>
      <c r="I511" s="77">
        <f t="shared" si="80"/>
        <v>0</v>
      </c>
      <c r="J511" s="80">
        <v>100</v>
      </c>
      <c r="K511" s="80">
        <v>300</v>
      </c>
      <c r="L511" s="77">
        <f t="shared" si="73"/>
        <v>1274</v>
      </c>
      <c r="M511" s="88">
        <v>600</v>
      </c>
      <c r="N511" s="77">
        <f>30</f>
        <v>30</v>
      </c>
      <c r="O511" s="80">
        <v>240</v>
      </c>
      <c r="P511" s="80">
        <v>160</v>
      </c>
      <c r="Q511" s="80">
        <f t="shared" si="74"/>
        <v>195</v>
      </c>
      <c r="R511" s="80">
        <f t="shared" si="75"/>
        <v>100</v>
      </c>
      <c r="S511" s="77">
        <f t="shared" si="76"/>
        <v>695</v>
      </c>
      <c r="T511" s="77">
        <f>0</f>
        <v>0</v>
      </c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</row>
    <row r="512" spans="1:30" ht="15.75" x14ac:dyDescent="0.25">
      <c r="A512" s="33">
        <v>56522</v>
      </c>
      <c r="B512" s="90">
        <v>30</v>
      </c>
      <c r="C512" s="77">
        <f>194.205</f>
        <v>194.20500000000001</v>
      </c>
      <c r="D512" s="77">
        <f>267.466</f>
        <v>267.46600000000001</v>
      </c>
      <c r="E512" s="86">
        <f>133.845</f>
        <v>133.845</v>
      </c>
      <c r="F512" s="77">
        <f>278.484-40-25-60-100</f>
        <v>53.48399999999998</v>
      </c>
      <c r="G512" s="80">
        <v>40</v>
      </c>
      <c r="H512" s="77">
        <f t="shared" si="81"/>
        <v>185</v>
      </c>
      <c r="I512" s="77">
        <f t="shared" si="80"/>
        <v>0</v>
      </c>
      <c r="J512" s="80">
        <v>100</v>
      </c>
      <c r="K512" s="80">
        <v>300</v>
      </c>
      <c r="L512" s="77">
        <f t="shared" si="73"/>
        <v>1274</v>
      </c>
      <c r="M512" s="88">
        <v>600</v>
      </c>
      <c r="N512" s="77">
        <f>30</f>
        <v>30</v>
      </c>
      <c r="O512" s="80">
        <v>240</v>
      </c>
      <c r="P512" s="80">
        <v>160</v>
      </c>
      <c r="Q512" s="80">
        <f t="shared" si="74"/>
        <v>195</v>
      </c>
      <c r="R512" s="80">
        <f t="shared" si="75"/>
        <v>100</v>
      </c>
      <c r="S512" s="77">
        <f t="shared" si="76"/>
        <v>695</v>
      </c>
      <c r="T512" s="77">
        <f>0</f>
        <v>0</v>
      </c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</row>
    <row r="513" spans="1:30" ht="15.75" x14ac:dyDescent="0.25">
      <c r="A513" s="33">
        <v>56553</v>
      </c>
      <c r="B513" s="90">
        <v>31</v>
      </c>
      <c r="C513" s="77">
        <f>131.881</f>
        <v>131.881</v>
      </c>
      <c r="D513" s="77">
        <f>277.167</f>
        <v>277.16699999999997</v>
      </c>
      <c r="E513" s="86">
        <f>79.08</f>
        <v>79.08</v>
      </c>
      <c r="F513" s="77">
        <f>350.872-40-25-60-100</f>
        <v>125.87200000000001</v>
      </c>
      <c r="G513" s="80">
        <v>40</v>
      </c>
      <c r="H513" s="77">
        <f t="shared" si="81"/>
        <v>185</v>
      </c>
      <c r="I513" s="77">
        <f t="shared" si="80"/>
        <v>0</v>
      </c>
      <c r="J513" s="80">
        <v>100</v>
      </c>
      <c r="K513" s="80">
        <v>300</v>
      </c>
      <c r="L513" s="77">
        <f t="shared" si="73"/>
        <v>1239</v>
      </c>
      <c r="M513" s="88">
        <v>600</v>
      </c>
      <c r="N513" s="77">
        <f>75</f>
        <v>75</v>
      </c>
      <c r="O513" s="80">
        <v>240</v>
      </c>
      <c r="P513" s="80">
        <v>160</v>
      </c>
      <c r="Q513" s="80">
        <f t="shared" si="74"/>
        <v>195</v>
      </c>
      <c r="R513" s="80">
        <f t="shared" si="75"/>
        <v>100</v>
      </c>
      <c r="S513" s="77">
        <f t="shared" si="76"/>
        <v>695</v>
      </c>
      <c r="T513" s="77">
        <f>0</f>
        <v>0</v>
      </c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</row>
    <row r="514" spans="1:30" ht="15.75" x14ac:dyDescent="0.25">
      <c r="A514" s="33">
        <v>56583</v>
      </c>
      <c r="B514" s="90">
        <v>30</v>
      </c>
      <c r="C514" s="77">
        <f>122.58</f>
        <v>122.58</v>
      </c>
      <c r="D514" s="77">
        <f>297.941</f>
        <v>297.94099999999997</v>
      </c>
      <c r="E514" s="86">
        <f>89.177</f>
        <v>89.177000000000007</v>
      </c>
      <c r="F514" s="77">
        <f>240.302-40-60-100</f>
        <v>40.301999999999992</v>
      </c>
      <c r="G514" s="80">
        <v>40</v>
      </c>
      <c r="H514" s="77">
        <f>60+100</f>
        <v>160</v>
      </c>
      <c r="I514" s="77">
        <f t="shared" si="80"/>
        <v>0</v>
      </c>
      <c r="J514" s="80">
        <v>100</v>
      </c>
      <c r="K514" s="80">
        <v>300</v>
      </c>
      <c r="L514" s="77">
        <f t="shared" si="73"/>
        <v>1150</v>
      </c>
      <c r="M514" s="88">
        <v>600</v>
      </c>
      <c r="N514" s="77">
        <f>100</f>
        <v>100</v>
      </c>
      <c r="O514" s="80">
        <v>240</v>
      </c>
      <c r="P514" s="80">
        <v>40</v>
      </c>
      <c r="Q514" s="80">
        <f t="shared" si="74"/>
        <v>315</v>
      </c>
      <c r="R514" s="80">
        <f t="shared" si="75"/>
        <v>100</v>
      </c>
      <c r="S514" s="77">
        <f t="shared" si="76"/>
        <v>695</v>
      </c>
      <c r="T514" s="77">
        <f>50</f>
        <v>50</v>
      </c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</row>
    <row r="515" spans="1:30" ht="15.75" x14ac:dyDescent="0.25">
      <c r="A515" s="33">
        <v>56614</v>
      </c>
      <c r="B515" s="90">
        <v>31</v>
      </c>
      <c r="C515" s="77">
        <f>122.58</f>
        <v>122.58</v>
      </c>
      <c r="D515" s="77">
        <f>297.941</f>
        <v>297.94099999999997</v>
      </c>
      <c r="E515" s="86">
        <f>89.177</f>
        <v>89.177000000000007</v>
      </c>
      <c r="F515" s="77">
        <f>240.302-40-60-100</f>
        <v>40.301999999999992</v>
      </c>
      <c r="G515" s="80">
        <v>40</v>
      </c>
      <c r="H515" s="77">
        <f>60+100</f>
        <v>160</v>
      </c>
      <c r="I515" s="77">
        <f t="shared" si="80"/>
        <v>0</v>
      </c>
      <c r="J515" s="80">
        <v>100</v>
      </c>
      <c r="K515" s="80">
        <v>300</v>
      </c>
      <c r="L515" s="77">
        <f t="shared" si="73"/>
        <v>1150</v>
      </c>
      <c r="M515" s="88">
        <v>600</v>
      </c>
      <c r="N515" s="77">
        <f>100</f>
        <v>100</v>
      </c>
      <c r="O515" s="80">
        <v>240</v>
      </c>
      <c r="P515" s="80">
        <v>40</v>
      </c>
      <c r="Q515" s="80">
        <f t="shared" si="74"/>
        <v>315</v>
      </c>
      <c r="R515" s="80">
        <f t="shared" si="75"/>
        <v>100</v>
      </c>
      <c r="S515" s="77">
        <f t="shared" si="76"/>
        <v>695</v>
      </c>
      <c r="T515" s="77">
        <f>50</f>
        <v>50</v>
      </c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</row>
    <row r="516" spans="1:30" ht="15.75" x14ac:dyDescent="0.25">
      <c r="A516" s="32">
        <v>56645</v>
      </c>
      <c r="B516" s="89">
        <v>31</v>
      </c>
      <c r="C516" s="77">
        <f>122.58</f>
        <v>122.58</v>
      </c>
      <c r="D516" s="77">
        <f>297.941</f>
        <v>297.94099999999997</v>
      </c>
      <c r="E516" s="86">
        <f>89.177</f>
        <v>89.177000000000007</v>
      </c>
      <c r="F516" s="77">
        <f>240.302-40-60-100</f>
        <v>40.301999999999992</v>
      </c>
      <c r="G516" s="80">
        <v>40</v>
      </c>
      <c r="H516" s="77">
        <f>60+100</f>
        <v>160</v>
      </c>
      <c r="I516" s="77">
        <f t="shared" si="80"/>
        <v>0</v>
      </c>
      <c r="J516" s="80">
        <v>100</v>
      </c>
      <c r="K516" s="80">
        <v>300</v>
      </c>
      <c r="L516" s="77">
        <f t="shared" si="73"/>
        <v>1150</v>
      </c>
      <c r="M516" s="88">
        <v>600</v>
      </c>
      <c r="N516" s="77">
        <f>100</f>
        <v>100</v>
      </c>
      <c r="O516" s="80">
        <v>240</v>
      </c>
      <c r="P516" s="80">
        <v>40</v>
      </c>
      <c r="Q516" s="80">
        <f t="shared" si="74"/>
        <v>315</v>
      </c>
      <c r="R516" s="80">
        <f t="shared" si="75"/>
        <v>100</v>
      </c>
      <c r="S516" s="77">
        <f t="shared" si="76"/>
        <v>695</v>
      </c>
      <c r="T516" s="77">
        <f>50</f>
        <v>50</v>
      </c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</row>
    <row r="517" spans="1:30" ht="15.75" x14ac:dyDescent="0.25">
      <c r="A517" s="32">
        <v>56673</v>
      </c>
      <c r="B517" s="89">
        <v>28</v>
      </c>
      <c r="C517" s="77">
        <f>122.58</f>
        <v>122.58</v>
      </c>
      <c r="D517" s="77">
        <f>297.941</f>
        <v>297.94099999999997</v>
      </c>
      <c r="E517" s="86">
        <f>89.177</f>
        <v>89.177000000000007</v>
      </c>
      <c r="F517" s="77">
        <f>240.302-40-60-100</f>
        <v>40.301999999999992</v>
      </c>
      <c r="G517" s="80">
        <v>40</v>
      </c>
      <c r="H517" s="77">
        <f>60+100</f>
        <v>160</v>
      </c>
      <c r="I517" s="77">
        <f t="shared" si="80"/>
        <v>0</v>
      </c>
      <c r="J517" s="80">
        <v>100</v>
      </c>
      <c r="K517" s="80">
        <v>300</v>
      </c>
      <c r="L517" s="77">
        <f t="shared" si="73"/>
        <v>1150</v>
      </c>
      <c r="M517" s="88">
        <v>600</v>
      </c>
      <c r="N517" s="77">
        <f>100</f>
        <v>100</v>
      </c>
      <c r="O517" s="80">
        <v>240</v>
      </c>
      <c r="P517" s="80">
        <v>40</v>
      </c>
      <c r="Q517" s="80">
        <f t="shared" si="74"/>
        <v>315</v>
      </c>
      <c r="R517" s="80">
        <f t="shared" si="75"/>
        <v>100</v>
      </c>
      <c r="S517" s="77">
        <f t="shared" si="76"/>
        <v>695</v>
      </c>
      <c r="T517" s="77">
        <f>50</f>
        <v>50</v>
      </c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</row>
    <row r="518" spans="1:30" ht="15.75" x14ac:dyDescent="0.25">
      <c r="A518" s="32">
        <v>56704</v>
      </c>
      <c r="B518" s="89">
        <v>31</v>
      </c>
      <c r="C518" s="77">
        <f>122.58</f>
        <v>122.58</v>
      </c>
      <c r="D518" s="77">
        <f>297.941</f>
        <v>297.94099999999997</v>
      </c>
      <c r="E518" s="86">
        <f>89.177</f>
        <v>89.177000000000007</v>
      </c>
      <c r="F518" s="77">
        <f>240.302-40-60-100</f>
        <v>40.301999999999992</v>
      </c>
      <c r="G518" s="80">
        <v>40</v>
      </c>
      <c r="H518" s="77">
        <f>60+100</f>
        <v>160</v>
      </c>
      <c r="I518" s="77">
        <f t="shared" si="80"/>
        <v>0</v>
      </c>
      <c r="J518" s="80">
        <v>100</v>
      </c>
      <c r="K518" s="80">
        <v>300</v>
      </c>
      <c r="L518" s="77">
        <f t="shared" si="73"/>
        <v>1150</v>
      </c>
      <c r="M518" s="88">
        <v>600</v>
      </c>
      <c r="N518" s="77">
        <f>100</f>
        <v>100</v>
      </c>
      <c r="O518" s="80">
        <v>240</v>
      </c>
      <c r="P518" s="80">
        <v>40</v>
      </c>
      <c r="Q518" s="80">
        <f t="shared" si="74"/>
        <v>315</v>
      </c>
      <c r="R518" s="80">
        <f t="shared" si="75"/>
        <v>100</v>
      </c>
      <c r="S518" s="77">
        <f t="shared" si="76"/>
        <v>695</v>
      </c>
      <c r="T518" s="77">
        <f>50</f>
        <v>50</v>
      </c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</row>
    <row r="519" spans="1:30" ht="15.75" x14ac:dyDescent="0.25">
      <c r="A519" s="32">
        <v>56734</v>
      </c>
      <c r="B519" s="89">
        <v>30</v>
      </c>
      <c r="C519" s="77">
        <f>141.293</f>
        <v>141.29300000000001</v>
      </c>
      <c r="D519" s="77">
        <f>267.993</f>
        <v>267.99299999999999</v>
      </c>
      <c r="E519" s="86">
        <f>115.016</f>
        <v>115.01600000000001</v>
      </c>
      <c r="F519" s="77">
        <f>314.698-40-25-60-100</f>
        <v>89.697999999999979</v>
      </c>
      <c r="G519" s="80">
        <v>40</v>
      </c>
      <c r="H519" s="77">
        <f t="shared" ref="H519:H525" si="82">25+60+100</f>
        <v>185</v>
      </c>
      <c r="I519" s="77">
        <f t="shared" si="80"/>
        <v>0</v>
      </c>
      <c r="J519" s="80">
        <v>100</v>
      </c>
      <c r="K519" s="80">
        <v>300</v>
      </c>
      <c r="L519" s="77">
        <f t="shared" si="73"/>
        <v>1239</v>
      </c>
      <c r="M519" s="88">
        <v>600</v>
      </c>
      <c r="N519" s="77">
        <f>100</f>
        <v>100</v>
      </c>
      <c r="O519" s="80">
        <v>240</v>
      </c>
      <c r="P519" s="80">
        <v>160</v>
      </c>
      <c r="Q519" s="80">
        <f t="shared" si="74"/>
        <v>195</v>
      </c>
      <c r="R519" s="80">
        <f t="shared" si="75"/>
        <v>100</v>
      </c>
      <c r="S519" s="77">
        <f t="shared" si="76"/>
        <v>695</v>
      </c>
      <c r="T519" s="77">
        <f>50</f>
        <v>50</v>
      </c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</row>
    <row r="520" spans="1:30" ht="15.75" x14ac:dyDescent="0.25">
      <c r="A520" s="32">
        <v>56765</v>
      </c>
      <c r="B520" s="89">
        <v>31</v>
      </c>
      <c r="C520" s="77">
        <f>194.205</f>
        <v>194.20500000000001</v>
      </c>
      <c r="D520" s="77">
        <f>267.466</f>
        <v>267.46600000000001</v>
      </c>
      <c r="E520" s="86">
        <f>133.845</f>
        <v>133.845</v>
      </c>
      <c r="F520" s="77">
        <f>278.484-40-25-60-100</f>
        <v>53.48399999999998</v>
      </c>
      <c r="G520" s="80">
        <v>40</v>
      </c>
      <c r="H520" s="77">
        <f t="shared" si="82"/>
        <v>185</v>
      </c>
      <c r="I520" s="77">
        <f t="shared" si="80"/>
        <v>0</v>
      </c>
      <c r="J520" s="80">
        <v>100</v>
      </c>
      <c r="K520" s="80">
        <v>300</v>
      </c>
      <c r="L520" s="77">
        <f t="shared" si="73"/>
        <v>1274</v>
      </c>
      <c r="M520" s="88">
        <v>600</v>
      </c>
      <c r="N520" s="77">
        <f>75</f>
        <v>75</v>
      </c>
      <c r="O520" s="80">
        <v>240</v>
      </c>
      <c r="P520" s="80">
        <v>160</v>
      </c>
      <c r="Q520" s="80">
        <f t="shared" si="74"/>
        <v>195</v>
      </c>
      <c r="R520" s="80">
        <f t="shared" si="75"/>
        <v>100</v>
      </c>
      <c r="S520" s="77">
        <f t="shared" si="76"/>
        <v>695</v>
      </c>
      <c r="T520" s="77">
        <f>50</f>
        <v>50</v>
      </c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</row>
    <row r="521" spans="1:30" ht="15.75" x14ac:dyDescent="0.25">
      <c r="A521" s="32">
        <v>56795</v>
      </c>
      <c r="B521" s="89">
        <v>30</v>
      </c>
      <c r="C521" s="77">
        <f>194.205</f>
        <v>194.20500000000001</v>
      </c>
      <c r="D521" s="77">
        <f>267.466</f>
        <v>267.46600000000001</v>
      </c>
      <c r="E521" s="86">
        <f>133.845</f>
        <v>133.845</v>
      </c>
      <c r="F521" s="77">
        <f>278.484-40-25-60-100</f>
        <v>53.48399999999998</v>
      </c>
      <c r="G521" s="80">
        <v>40</v>
      </c>
      <c r="H521" s="77">
        <f t="shared" si="82"/>
        <v>185</v>
      </c>
      <c r="I521" s="77">
        <f t="shared" si="80"/>
        <v>0</v>
      </c>
      <c r="J521" s="80">
        <v>100</v>
      </c>
      <c r="K521" s="80">
        <v>300</v>
      </c>
      <c r="L521" s="77">
        <f t="shared" si="73"/>
        <v>1274</v>
      </c>
      <c r="M521" s="88">
        <v>600</v>
      </c>
      <c r="N521" s="77">
        <f>30</f>
        <v>30</v>
      </c>
      <c r="O521" s="80">
        <v>240</v>
      </c>
      <c r="P521" s="80">
        <v>160</v>
      </c>
      <c r="Q521" s="80">
        <f t="shared" si="74"/>
        <v>195</v>
      </c>
      <c r="R521" s="80">
        <f t="shared" si="75"/>
        <v>100</v>
      </c>
      <c r="S521" s="77">
        <f t="shared" si="76"/>
        <v>695</v>
      </c>
      <c r="T521" s="77">
        <f>50</f>
        <v>50</v>
      </c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</row>
    <row r="522" spans="1:30" ht="15.75" x14ac:dyDescent="0.25">
      <c r="A522" s="32">
        <v>56826</v>
      </c>
      <c r="B522" s="89">
        <v>31</v>
      </c>
      <c r="C522" s="77">
        <f>194.205</f>
        <v>194.20500000000001</v>
      </c>
      <c r="D522" s="77">
        <f>267.466</f>
        <v>267.46600000000001</v>
      </c>
      <c r="E522" s="86">
        <f>133.845</f>
        <v>133.845</v>
      </c>
      <c r="F522" s="77">
        <f>278.484-40-25-60-100</f>
        <v>53.48399999999998</v>
      </c>
      <c r="G522" s="80">
        <v>40</v>
      </c>
      <c r="H522" s="77">
        <f t="shared" si="82"/>
        <v>185</v>
      </c>
      <c r="I522" s="77">
        <f t="shared" si="80"/>
        <v>0</v>
      </c>
      <c r="J522" s="80">
        <v>100</v>
      </c>
      <c r="K522" s="80">
        <v>300</v>
      </c>
      <c r="L522" s="77">
        <f t="shared" si="73"/>
        <v>1274</v>
      </c>
      <c r="M522" s="88">
        <v>600</v>
      </c>
      <c r="N522" s="77">
        <f>30</f>
        <v>30</v>
      </c>
      <c r="O522" s="80">
        <v>240</v>
      </c>
      <c r="P522" s="80">
        <v>160</v>
      </c>
      <c r="Q522" s="80">
        <f t="shared" si="74"/>
        <v>195</v>
      </c>
      <c r="R522" s="80">
        <f t="shared" si="75"/>
        <v>100</v>
      </c>
      <c r="S522" s="77">
        <f t="shared" si="76"/>
        <v>695</v>
      </c>
      <c r="T522" s="77">
        <f>0</f>
        <v>0</v>
      </c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</row>
    <row r="523" spans="1:30" ht="15.75" x14ac:dyDescent="0.25">
      <c r="A523" s="32">
        <v>56857</v>
      </c>
      <c r="B523" s="89">
        <v>31</v>
      </c>
      <c r="C523" s="77">
        <f>194.205</f>
        <v>194.20500000000001</v>
      </c>
      <c r="D523" s="77">
        <f>267.466</f>
        <v>267.46600000000001</v>
      </c>
      <c r="E523" s="86">
        <f>133.845</f>
        <v>133.845</v>
      </c>
      <c r="F523" s="77">
        <f>278.484-40-25-60-100</f>
        <v>53.48399999999998</v>
      </c>
      <c r="G523" s="80">
        <v>40</v>
      </c>
      <c r="H523" s="77">
        <f t="shared" si="82"/>
        <v>185</v>
      </c>
      <c r="I523" s="77">
        <f t="shared" si="80"/>
        <v>0</v>
      </c>
      <c r="J523" s="80">
        <v>100</v>
      </c>
      <c r="K523" s="80">
        <v>300</v>
      </c>
      <c r="L523" s="77">
        <f t="shared" si="73"/>
        <v>1274</v>
      </c>
      <c r="M523" s="88">
        <v>600</v>
      </c>
      <c r="N523" s="77">
        <f>30</f>
        <v>30</v>
      </c>
      <c r="O523" s="80">
        <v>240</v>
      </c>
      <c r="P523" s="80">
        <v>160</v>
      </c>
      <c r="Q523" s="80">
        <f t="shared" si="74"/>
        <v>195</v>
      </c>
      <c r="R523" s="80">
        <f t="shared" si="75"/>
        <v>100</v>
      </c>
      <c r="S523" s="77">
        <f t="shared" si="76"/>
        <v>695</v>
      </c>
      <c r="T523" s="77">
        <f>0</f>
        <v>0</v>
      </c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</row>
    <row r="524" spans="1:30" ht="15.75" x14ac:dyDescent="0.25">
      <c r="A524" s="32">
        <v>56887</v>
      </c>
      <c r="B524" s="89">
        <v>30</v>
      </c>
      <c r="C524" s="77">
        <f>194.205</f>
        <v>194.20500000000001</v>
      </c>
      <c r="D524" s="77">
        <f>267.466</f>
        <v>267.46600000000001</v>
      </c>
      <c r="E524" s="86">
        <f>133.845</f>
        <v>133.845</v>
      </c>
      <c r="F524" s="77">
        <f>278.484-40-25-60-100</f>
        <v>53.48399999999998</v>
      </c>
      <c r="G524" s="80">
        <v>40</v>
      </c>
      <c r="H524" s="77">
        <f t="shared" si="82"/>
        <v>185</v>
      </c>
      <c r="I524" s="77">
        <f t="shared" si="80"/>
        <v>0</v>
      </c>
      <c r="J524" s="80">
        <v>100</v>
      </c>
      <c r="K524" s="80">
        <v>300</v>
      </c>
      <c r="L524" s="77">
        <f t="shared" si="73"/>
        <v>1274</v>
      </c>
      <c r="M524" s="88">
        <v>600</v>
      </c>
      <c r="N524" s="77">
        <f>30</f>
        <v>30</v>
      </c>
      <c r="O524" s="80">
        <v>240</v>
      </c>
      <c r="P524" s="80">
        <v>160</v>
      </c>
      <c r="Q524" s="80">
        <f t="shared" si="74"/>
        <v>195</v>
      </c>
      <c r="R524" s="80">
        <f t="shared" si="75"/>
        <v>100</v>
      </c>
      <c r="S524" s="77">
        <f t="shared" si="76"/>
        <v>695</v>
      </c>
      <c r="T524" s="77">
        <f>0</f>
        <v>0</v>
      </c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</row>
    <row r="525" spans="1:30" ht="15.75" x14ac:dyDescent="0.25">
      <c r="A525" s="32">
        <v>56918</v>
      </c>
      <c r="B525" s="89">
        <v>31</v>
      </c>
      <c r="C525" s="77">
        <f>131.881</f>
        <v>131.881</v>
      </c>
      <c r="D525" s="77">
        <f>277.167</f>
        <v>277.16699999999997</v>
      </c>
      <c r="E525" s="86">
        <f>79.08</f>
        <v>79.08</v>
      </c>
      <c r="F525" s="77">
        <f>350.872-40-25-60-100</f>
        <v>125.87200000000001</v>
      </c>
      <c r="G525" s="80">
        <v>40</v>
      </c>
      <c r="H525" s="77">
        <f t="shared" si="82"/>
        <v>185</v>
      </c>
      <c r="I525" s="77">
        <f t="shared" si="80"/>
        <v>0</v>
      </c>
      <c r="J525" s="80">
        <v>100</v>
      </c>
      <c r="K525" s="80">
        <v>300</v>
      </c>
      <c r="L525" s="77">
        <f t="shared" si="73"/>
        <v>1239</v>
      </c>
      <c r="M525" s="88">
        <v>600</v>
      </c>
      <c r="N525" s="77">
        <f>75</f>
        <v>75</v>
      </c>
      <c r="O525" s="80">
        <v>240</v>
      </c>
      <c r="P525" s="80">
        <v>160</v>
      </c>
      <c r="Q525" s="80">
        <f t="shared" si="74"/>
        <v>195</v>
      </c>
      <c r="R525" s="80">
        <f t="shared" si="75"/>
        <v>100</v>
      </c>
      <c r="S525" s="77">
        <f t="shared" si="76"/>
        <v>695</v>
      </c>
      <c r="T525" s="77">
        <f>0</f>
        <v>0</v>
      </c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</row>
    <row r="526" spans="1:30" ht="15.75" x14ac:dyDescent="0.25">
      <c r="A526" s="32">
        <v>56948</v>
      </c>
      <c r="B526" s="89">
        <v>30</v>
      </c>
      <c r="C526" s="77">
        <f>122.58</f>
        <v>122.58</v>
      </c>
      <c r="D526" s="77">
        <f>297.941</f>
        <v>297.94099999999997</v>
      </c>
      <c r="E526" s="86">
        <f>89.177</f>
        <v>89.177000000000007</v>
      </c>
      <c r="F526" s="77">
        <f>240.302-40-60-100</f>
        <v>40.301999999999992</v>
      </c>
      <c r="G526" s="80">
        <v>40</v>
      </c>
      <c r="H526" s="77">
        <f>60+100</f>
        <v>160</v>
      </c>
      <c r="I526" s="77">
        <f t="shared" si="80"/>
        <v>0</v>
      </c>
      <c r="J526" s="80">
        <v>100</v>
      </c>
      <c r="K526" s="80">
        <v>300</v>
      </c>
      <c r="L526" s="77">
        <f t="shared" si="73"/>
        <v>1150</v>
      </c>
      <c r="M526" s="88">
        <v>600</v>
      </c>
      <c r="N526" s="77">
        <f>100</f>
        <v>100</v>
      </c>
      <c r="O526" s="80">
        <v>240</v>
      </c>
      <c r="P526" s="80">
        <v>40</v>
      </c>
      <c r="Q526" s="80">
        <f t="shared" si="74"/>
        <v>315</v>
      </c>
      <c r="R526" s="80">
        <f t="shared" si="75"/>
        <v>100</v>
      </c>
      <c r="S526" s="77">
        <f t="shared" si="76"/>
        <v>695</v>
      </c>
      <c r="T526" s="77">
        <f>50</f>
        <v>50</v>
      </c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</row>
    <row r="527" spans="1:30" ht="15.75" x14ac:dyDescent="0.25">
      <c r="A527" s="32">
        <v>56979</v>
      </c>
      <c r="B527" s="89">
        <v>31</v>
      </c>
      <c r="C527" s="77">
        <f>122.58</f>
        <v>122.58</v>
      </c>
      <c r="D527" s="77">
        <f>297.941</f>
        <v>297.94099999999997</v>
      </c>
      <c r="E527" s="86">
        <f>89.177</f>
        <v>89.177000000000007</v>
      </c>
      <c r="F527" s="77">
        <f>240.302-40-60-100</f>
        <v>40.301999999999992</v>
      </c>
      <c r="G527" s="80">
        <v>40</v>
      </c>
      <c r="H527" s="77">
        <f>60+100</f>
        <v>160</v>
      </c>
      <c r="I527" s="77">
        <f t="shared" si="80"/>
        <v>0</v>
      </c>
      <c r="J527" s="80">
        <v>100</v>
      </c>
      <c r="K527" s="80">
        <v>300</v>
      </c>
      <c r="L527" s="77">
        <f t="shared" si="73"/>
        <v>1150</v>
      </c>
      <c r="M527" s="88">
        <v>600</v>
      </c>
      <c r="N527" s="77">
        <f>100</f>
        <v>100</v>
      </c>
      <c r="O527" s="80">
        <v>240</v>
      </c>
      <c r="P527" s="80">
        <v>40</v>
      </c>
      <c r="Q527" s="80">
        <f t="shared" si="74"/>
        <v>315</v>
      </c>
      <c r="R527" s="80">
        <f t="shared" si="75"/>
        <v>100</v>
      </c>
      <c r="S527" s="77">
        <f t="shared" si="76"/>
        <v>695</v>
      </c>
      <c r="T527" s="77">
        <f>50</f>
        <v>50</v>
      </c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</row>
    <row r="528" spans="1:30" ht="15.75" x14ac:dyDescent="0.25">
      <c r="A528" s="32">
        <v>57010</v>
      </c>
      <c r="B528" s="89">
        <v>31</v>
      </c>
      <c r="C528" s="77">
        <f>122.58</f>
        <v>122.58</v>
      </c>
      <c r="D528" s="77">
        <f>297.941</f>
        <v>297.94099999999997</v>
      </c>
      <c r="E528" s="86">
        <f>89.177</f>
        <v>89.177000000000007</v>
      </c>
      <c r="F528" s="77">
        <f>240.302-40-60-100</f>
        <v>40.301999999999992</v>
      </c>
      <c r="G528" s="80">
        <v>40</v>
      </c>
      <c r="H528" s="77">
        <f>60+100</f>
        <v>160</v>
      </c>
      <c r="I528" s="77">
        <f t="shared" si="80"/>
        <v>0</v>
      </c>
      <c r="J528" s="80">
        <v>100</v>
      </c>
      <c r="K528" s="80">
        <v>300</v>
      </c>
      <c r="L528" s="77">
        <f t="shared" si="73"/>
        <v>1150</v>
      </c>
      <c r="M528" s="88">
        <v>600</v>
      </c>
      <c r="N528" s="77">
        <f>100</f>
        <v>100</v>
      </c>
      <c r="O528" s="80">
        <v>240</v>
      </c>
      <c r="P528" s="80">
        <v>40</v>
      </c>
      <c r="Q528" s="80">
        <f t="shared" si="74"/>
        <v>315</v>
      </c>
      <c r="R528" s="80">
        <f t="shared" si="75"/>
        <v>100</v>
      </c>
      <c r="S528" s="77">
        <f t="shared" si="76"/>
        <v>695</v>
      </c>
      <c r="T528" s="77">
        <f>50</f>
        <v>50</v>
      </c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</row>
    <row r="529" spans="1:30" ht="15.75" x14ac:dyDescent="0.25">
      <c r="A529" s="32">
        <v>57038</v>
      </c>
      <c r="B529" s="89">
        <v>29</v>
      </c>
      <c r="C529" s="77">
        <f>122.58</f>
        <v>122.58</v>
      </c>
      <c r="D529" s="77">
        <f>297.941</f>
        <v>297.94099999999997</v>
      </c>
      <c r="E529" s="86">
        <f>89.177</f>
        <v>89.177000000000007</v>
      </c>
      <c r="F529" s="77">
        <f>240.302-40-60-100</f>
        <v>40.301999999999992</v>
      </c>
      <c r="G529" s="80">
        <v>40</v>
      </c>
      <c r="H529" s="77">
        <f>60+100</f>
        <v>160</v>
      </c>
      <c r="I529" s="77">
        <f t="shared" si="80"/>
        <v>0</v>
      </c>
      <c r="J529" s="80">
        <v>100</v>
      </c>
      <c r="K529" s="80">
        <v>300</v>
      </c>
      <c r="L529" s="77">
        <f t="shared" ref="L529:L592" si="83">SUM(C529:K529)</f>
        <v>1150</v>
      </c>
      <c r="M529" s="88">
        <v>600</v>
      </c>
      <c r="N529" s="77">
        <f>100</f>
        <v>100</v>
      </c>
      <c r="O529" s="80">
        <v>240</v>
      </c>
      <c r="P529" s="80">
        <v>40</v>
      </c>
      <c r="Q529" s="80">
        <f t="shared" ref="Q529:Q592" si="84">695-R529-O529-P529</f>
        <v>315</v>
      </c>
      <c r="R529" s="80">
        <f t="shared" ref="R529:R592" si="85">200-J529</f>
        <v>100</v>
      </c>
      <c r="S529" s="77">
        <f t="shared" ref="S529:S592" si="86">SUM(O529:R529)</f>
        <v>695</v>
      </c>
      <c r="T529" s="77">
        <f>50</f>
        <v>50</v>
      </c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</row>
    <row r="530" spans="1:30" ht="15.75" x14ac:dyDescent="0.25">
      <c r="A530" s="32">
        <v>57070</v>
      </c>
      <c r="B530" s="89">
        <v>31</v>
      </c>
      <c r="C530" s="77">
        <f>122.58</f>
        <v>122.58</v>
      </c>
      <c r="D530" s="77">
        <f>297.941</f>
        <v>297.94099999999997</v>
      </c>
      <c r="E530" s="86">
        <f>89.177</f>
        <v>89.177000000000007</v>
      </c>
      <c r="F530" s="77">
        <f>240.302-40-60-100</f>
        <v>40.301999999999992</v>
      </c>
      <c r="G530" s="80">
        <v>40</v>
      </c>
      <c r="H530" s="77">
        <f>60+100</f>
        <v>160</v>
      </c>
      <c r="I530" s="77">
        <f t="shared" si="80"/>
        <v>0</v>
      </c>
      <c r="J530" s="80">
        <v>100</v>
      </c>
      <c r="K530" s="80">
        <v>300</v>
      </c>
      <c r="L530" s="77">
        <f t="shared" si="83"/>
        <v>1150</v>
      </c>
      <c r="M530" s="88">
        <v>600</v>
      </c>
      <c r="N530" s="77">
        <f>100</f>
        <v>100</v>
      </c>
      <c r="O530" s="80">
        <v>240</v>
      </c>
      <c r="P530" s="80">
        <v>40</v>
      </c>
      <c r="Q530" s="80">
        <f t="shared" si="84"/>
        <v>315</v>
      </c>
      <c r="R530" s="80">
        <f t="shared" si="85"/>
        <v>100</v>
      </c>
      <c r="S530" s="77">
        <f t="shared" si="86"/>
        <v>695</v>
      </c>
      <c r="T530" s="77">
        <f>50</f>
        <v>50</v>
      </c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</row>
    <row r="531" spans="1:30" ht="15.75" x14ac:dyDescent="0.25">
      <c r="A531" s="32">
        <v>57100</v>
      </c>
      <c r="B531" s="89">
        <v>30</v>
      </c>
      <c r="C531" s="77">
        <f>141.293</f>
        <v>141.29300000000001</v>
      </c>
      <c r="D531" s="77">
        <f>267.993</f>
        <v>267.99299999999999</v>
      </c>
      <c r="E531" s="86">
        <f>115.016</f>
        <v>115.01600000000001</v>
      </c>
      <c r="F531" s="77">
        <f>314.698-40-25-60-100</f>
        <v>89.697999999999979</v>
      </c>
      <c r="G531" s="80">
        <v>40</v>
      </c>
      <c r="H531" s="77">
        <f t="shared" ref="H531:H537" si="87">25+60+100</f>
        <v>185</v>
      </c>
      <c r="I531" s="77">
        <f t="shared" si="80"/>
        <v>0</v>
      </c>
      <c r="J531" s="80">
        <v>100</v>
      </c>
      <c r="K531" s="80">
        <v>300</v>
      </c>
      <c r="L531" s="77">
        <f t="shared" si="83"/>
        <v>1239</v>
      </c>
      <c r="M531" s="88">
        <v>600</v>
      </c>
      <c r="N531" s="77">
        <f>100</f>
        <v>100</v>
      </c>
      <c r="O531" s="80">
        <v>240</v>
      </c>
      <c r="P531" s="80">
        <v>160</v>
      </c>
      <c r="Q531" s="80">
        <f t="shared" si="84"/>
        <v>195</v>
      </c>
      <c r="R531" s="80">
        <f t="shared" si="85"/>
        <v>100</v>
      </c>
      <c r="S531" s="77">
        <f t="shared" si="86"/>
        <v>695</v>
      </c>
      <c r="T531" s="77">
        <f>50</f>
        <v>50</v>
      </c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</row>
    <row r="532" spans="1:30" ht="15.75" x14ac:dyDescent="0.25">
      <c r="A532" s="32">
        <v>57131</v>
      </c>
      <c r="B532" s="89">
        <v>31</v>
      </c>
      <c r="C532" s="77">
        <f>194.205</f>
        <v>194.20500000000001</v>
      </c>
      <c r="D532" s="77">
        <f>267.466</f>
        <v>267.46600000000001</v>
      </c>
      <c r="E532" s="86">
        <f>133.845</f>
        <v>133.845</v>
      </c>
      <c r="F532" s="77">
        <f>278.484-40-25-60-100</f>
        <v>53.48399999999998</v>
      </c>
      <c r="G532" s="80">
        <v>40</v>
      </c>
      <c r="H532" s="77">
        <f t="shared" si="87"/>
        <v>185</v>
      </c>
      <c r="I532" s="77">
        <f t="shared" si="80"/>
        <v>0</v>
      </c>
      <c r="J532" s="80">
        <v>100</v>
      </c>
      <c r="K532" s="80">
        <v>300</v>
      </c>
      <c r="L532" s="77">
        <f t="shared" si="83"/>
        <v>1274</v>
      </c>
      <c r="M532" s="88">
        <v>600</v>
      </c>
      <c r="N532" s="77">
        <f>75</f>
        <v>75</v>
      </c>
      <c r="O532" s="80">
        <v>240</v>
      </c>
      <c r="P532" s="80">
        <v>160</v>
      </c>
      <c r="Q532" s="80">
        <f t="shared" si="84"/>
        <v>195</v>
      </c>
      <c r="R532" s="80">
        <f t="shared" si="85"/>
        <v>100</v>
      </c>
      <c r="S532" s="77">
        <f t="shared" si="86"/>
        <v>695</v>
      </c>
      <c r="T532" s="77">
        <f>50</f>
        <v>50</v>
      </c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</row>
    <row r="533" spans="1:30" ht="15.75" x14ac:dyDescent="0.25">
      <c r="A533" s="32">
        <v>57161</v>
      </c>
      <c r="B533" s="89">
        <v>30</v>
      </c>
      <c r="C533" s="77">
        <f>194.205</f>
        <v>194.20500000000001</v>
      </c>
      <c r="D533" s="77">
        <f>267.466</f>
        <v>267.46600000000001</v>
      </c>
      <c r="E533" s="86">
        <f>133.845</f>
        <v>133.845</v>
      </c>
      <c r="F533" s="77">
        <f>278.484-40-25-60-100</f>
        <v>53.48399999999998</v>
      </c>
      <c r="G533" s="80">
        <v>40</v>
      </c>
      <c r="H533" s="77">
        <f t="shared" si="87"/>
        <v>185</v>
      </c>
      <c r="I533" s="77">
        <f t="shared" si="80"/>
        <v>0</v>
      </c>
      <c r="J533" s="80">
        <v>100</v>
      </c>
      <c r="K533" s="80">
        <v>300</v>
      </c>
      <c r="L533" s="77">
        <f t="shared" si="83"/>
        <v>1274</v>
      </c>
      <c r="M533" s="88">
        <v>600</v>
      </c>
      <c r="N533" s="77">
        <f>30</f>
        <v>30</v>
      </c>
      <c r="O533" s="80">
        <v>240</v>
      </c>
      <c r="P533" s="80">
        <v>160</v>
      </c>
      <c r="Q533" s="80">
        <f t="shared" si="84"/>
        <v>195</v>
      </c>
      <c r="R533" s="80">
        <f t="shared" si="85"/>
        <v>100</v>
      </c>
      <c r="S533" s="77">
        <f t="shared" si="86"/>
        <v>695</v>
      </c>
      <c r="T533" s="77">
        <f>50</f>
        <v>50</v>
      </c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</row>
    <row r="534" spans="1:30" ht="15.75" x14ac:dyDescent="0.25">
      <c r="A534" s="32">
        <v>57192</v>
      </c>
      <c r="B534" s="89">
        <v>31</v>
      </c>
      <c r="C534" s="77">
        <f>194.205</f>
        <v>194.20500000000001</v>
      </c>
      <c r="D534" s="77">
        <f>267.466</f>
        <v>267.46600000000001</v>
      </c>
      <c r="E534" s="86">
        <f>133.845</f>
        <v>133.845</v>
      </c>
      <c r="F534" s="77">
        <f>278.484-40-25-60-100</f>
        <v>53.48399999999998</v>
      </c>
      <c r="G534" s="80">
        <v>40</v>
      </c>
      <c r="H534" s="77">
        <f t="shared" si="87"/>
        <v>185</v>
      </c>
      <c r="I534" s="77">
        <f t="shared" si="80"/>
        <v>0</v>
      </c>
      <c r="J534" s="80">
        <v>100</v>
      </c>
      <c r="K534" s="80">
        <v>300</v>
      </c>
      <c r="L534" s="77">
        <f t="shared" si="83"/>
        <v>1274</v>
      </c>
      <c r="M534" s="88">
        <v>600</v>
      </c>
      <c r="N534" s="77">
        <f>30</f>
        <v>30</v>
      </c>
      <c r="O534" s="80">
        <v>240</v>
      </c>
      <c r="P534" s="80">
        <v>160</v>
      </c>
      <c r="Q534" s="80">
        <f t="shared" si="84"/>
        <v>195</v>
      </c>
      <c r="R534" s="80">
        <f t="shared" si="85"/>
        <v>100</v>
      </c>
      <c r="S534" s="77">
        <f t="shared" si="86"/>
        <v>695</v>
      </c>
      <c r="T534" s="77">
        <f>0</f>
        <v>0</v>
      </c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</row>
    <row r="535" spans="1:30" ht="15.75" x14ac:dyDescent="0.25">
      <c r="A535" s="32">
        <v>57223</v>
      </c>
      <c r="B535" s="89">
        <v>31</v>
      </c>
      <c r="C535" s="77">
        <f>194.205</f>
        <v>194.20500000000001</v>
      </c>
      <c r="D535" s="77">
        <f>267.466</f>
        <v>267.46600000000001</v>
      </c>
      <c r="E535" s="86">
        <f>133.845</f>
        <v>133.845</v>
      </c>
      <c r="F535" s="77">
        <f>278.484-40-25-60-100</f>
        <v>53.48399999999998</v>
      </c>
      <c r="G535" s="80">
        <v>40</v>
      </c>
      <c r="H535" s="77">
        <f t="shared" si="87"/>
        <v>185</v>
      </c>
      <c r="I535" s="77">
        <f t="shared" si="80"/>
        <v>0</v>
      </c>
      <c r="J535" s="80">
        <v>100</v>
      </c>
      <c r="K535" s="80">
        <v>300</v>
      </c>
      <c r="L535" s="77">
        <f t="shared" si="83"/>
        <v>1274</v>
      </c>
      <c r="M535" s="88">
        <v>600</v>
      </c>
      <c r="N535" s="77">
        <f>30</f>
        <v>30</v>
      </c>
      <c r="O535" s="80">
        <v>240</v>
      </c>
      <c r="P535" s="80">
        <v>160</v>
      </c>
      <c r="Q535" s="80">
        <f t="shared" si="84"/>
        <v>195</v>
      </c>
      <c r="R535" s="80">
        <f t="shared" si="85"/>
        <v>100</v>
      </c>
      <c r="S535" s="77">
        <f t="shared" si="86"/>
        <v>695</v>
      </c>
      <c r="T535" s="77">
        <f>0</f>
        <v>0</v>
      </c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</row>
    <row r="536" spans="1:30" ht="15.75" x14ac:dyDescent="0.25">
      <c r="A536" s="32">
        <v>57253</v>
      </c>
      <c r="B536" s="89">
        <v>30</v>
      </c>
      <c r="C536" s="77">
        <f>194.205</f>
        <v>194.20500000000001</v>
      </c>
      <c r="D536" s="77">
        <f>267.466</f>
        <v>267.46600000000001</v>
      </c>
      <c r="E536" s="86">
        <f>133.845</f>
        <v>133.845</v>
      </c>
      <c r="F536" s="77">
        <f>278.484-40-25-60-100</f>
        <v>53.48399999999998</v>
      </c>
      <c r="G536" s="80">
        <v>40</v>
      </c>
      <c r="H536" s="77">
        <f t="shared" si="87"/>
        <v>185</v>
      </c>
      <c r="I536" s="77">
        <f t="shared" si="80"/>
        <v>0</v>
      </c>
      <c r="J536" s="80">
        <v>100</v>
      </c>
      <c r="K536" s="80">
        <v>300</v>
      </c>
      <c r="L536" s="77">
        <f t="shared" si="83"/>
        <v>1274</v>
      </c>
      <c r="M536" s="88">
        <v>600</v>
      </c>
      <c r="N536" s="77">
        <f>30</f>
        <v>30</v>
      </c>
      <c r="O536" s="80">
        <v>240</v>
      </c>
      <c r="P536" s="80">
        <v>160</v>
      </c>
      <c r="Q536" s="80">
        <f t="shared" si="84"/>
        <v>195</v>
      </c>
      <c r="R536" s="80">
        <f t="shared" si="85"/>
        <v>100</v>
      </c>
      <c r="S536" s="77">
        <f t="shared" si="86"/>
        <v>695</v>
      </c>
      <c r="T536" s="77">
        <f>0</f>
        <v>0</v>
      </c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</row>
    <row r="537" spans="1:30" ht="15.75" x14ac:dyDescent="0.25">
      <c r="A537" s="32">
        <v>57284</v>
      </c>
      <c r="B537" s="89">
        <v>31</v>
      </c>
      <c r="C537" s="77">
        <f>131.881</f>
        <v>131.881</v>
      </c>
      <c r="D537" s="77">
        <f>277.167</f>
        <v>277.16699999999997</v>
      </c>
      <c r="E537" s="86">
        <f>79.08</f>
        <v>79.08</v>
      </c>
      <c r="F537" s="77">
        <f>350.872-40-25-60-100</f>
        <v>125.87200000000001</v>
      </c>
      <c r="G537" s="80">
        <v>40</v>
      </c>
      <c r="H537" s="77">
        <f t="shared" si="87"/>
        <v>185</v>
      </c>
      <c r="I537" s="77">
        <f t="shared" si="80"/>
        <v>0</v>
      </c>
      <c r="J537" s="80">
        <v>100</v>
      </c>
      <c r="K537" s="80">
        <v>300</v>
      </c>
      <c r="L537" s="77">
        <f t="shared" si="83"/>
        <v>1239</v>
      </c>
      <c r="M537" s="88">
        <v>600</v>
      </c>
      <c r="N537" s="77">
        <f>75</f>
        <v>75</v>
      </c>
      <c r="O537" s="80">
        <v>240</v>
      </c>
      <c r="P537" s="80">
        <v>160</v>
      </c>
      <c r="Q537" s="80">
        <f t="shared" si="84"/>
        <v>195</v>
      </c>
      <c r="R537" s="80">
        <f t="shared" si="85"/>
        <v>100</v>
      </c>
      <c r="S537" s="77">
        <f t="shared" si="86"/>
        <v>695</v>
      </c>
      <c r="T537" s="77">
        <f>0</f>
        <v>0</v>
      </c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</row>
    <row r="538" spans="1:30" ht="15.75" x14ac:dyDescent="0.25">
      <c r="A538" s="32">
        <v>57314</v>
      </c>
      <c r="B538" s="89">
        <v>30</v>
      </c>
      <c r="C538" s="77">
        <f>122.58</f>
        <v>122.58</v>
      </c>
      <c r="D538" s="77">
        <f>297.941</f>
        <v>297.94099999999997</v>
      </c>
      <c r="E538" s="86">
        <f>89.177</f>
        <v>89.177000000000007</v>
      </c>
      <c r="F538" s="77">
        <f>240.302-40-60-100</f>
        <v>40.301999999999992</v>
      </c>
      <c r="G538" s="80">
        <v>40</v>
      </c>
      <c r="H538" s="77">
        <f>60+100</f>
        <v>160</v>
      </c>
      <c r="I538" s="77">
        <f t="shared" si="80"/>
        <v>0</v>
      </c>
      <c r="J538" s="80">
        <v>100</v>
      </c>
      <c r="K538" s="80">
        <v>300</v>
      </c>
      <c r="L538" s="77">
        <f t="shared" si="83"/>
        <v>1150</v>
      </c>
      <c r="M538" s="88">
        <v>600</v>
      </c>
      <c r="N538" s="77">
        <f>100</f>
        <v>100</v>
      </c>
      <c r="O538" s="80">
        <v>240</v>
      </c>
      <c r="P538" s="80">
        <v>40</v>
      </c>
      <c r="Q538" s="80">
        <f t="shared" si="84"/>
        <v>315</v>
      </c>
      <c r="R538" s="80">
        <f t="shared" si="85"/>
        <v>100</v>
      </c>
      <c r="S538" s="77">
        <f t="shared" si="86"/>
        <v>695</v>
      </c>
      <c r="T538" s="77">
        <f>50</f>
        <v>50</v>
      </c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</row>
    <row r="539" spans="1:30" ht="15.75" x14ac:dyDescent="0.25">
      <c r="A539" s="32">
        <v>57345</v>
      </c>
      <c r="B539" s="89">
        <v>31</v>
      </c>
      <c r="C539" s="77">
        <f>122.58</f>
        <v>122.58</v>
      </c>
      <c r="D539" s="77">
        <f>297.941</f>
        <v>297.94099999999997</v>
      </c>
      <c r="E539" s="86">
        <f>89.177</f>
        <v>89.177000000000007</v>
      </c>
      <c r="F539" s="77">
        <f>240.302-40-60-100</f>
        <v>40.301999999999992</v>
      </c>
      <c r="G539" s="80">
        <v>40</v>
      </c>
      <c r="H539" s="77">
        <f>60+100</f>
        <v>160</v>
      </c>
      <c r="I539" s="77">
        <f t="shared" si="80"/>
        <v>0</v>
      </c>
      <c r="J539" s="80">
        <v>100</v>
      </c>
      <c r="K539" s="80">
        <v>300</v>
      </c>
      <c r="L539" s="77">
        <f t="shared" si="83"/>
        <v>1150</v>
      </c>
      <c r="M539" s="88">
        <v>600</v>
      </c>
      <c r="N539" s="77">
        <f>100</f>
        <v>100</v>
      </c>
      <c r="O539" s="80">
        <v>240</v>
      </c>
      <c r="P539" s="80">
        <v>40</v>
      </c>
      <c r="Q539" s="80">
        <f t="shared" si="84"/>
        <v>315</v>
      </c>
      <c r="R539" s="80">
        <f t="shared" si="85"/>
        <v>100</v>
      </c>
      <c r="S539" s="77">
        <f t="shared" si="86"/>
        <v>695</v>
      </c>
      <c r="T539" s="77">
        <f>50</f>
        <v>50</v>
      </c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</row>
    <row r="540" spans="1:30" ht="15.75" x14ac:dyDescent="0.25">
      <c r="A540" s="32">
        <v>57376</v>
      </c>
      <c r="B540" s="89">
        <v>31</v>
      </c>
      <c r="C540" s="77">
        <f>122.58</f>
        <v>122.58</v>
      </c>
      <c r="D540" s="77">
        <f>297.941</f>
        <v>297.94099999999997</v>
      </c>
      <c r="E540" s="86">
        <f>89.177</f>
        <v>89.177000000000007</v>
      </c>
      <c r="F540" s="77">
        <f>240.302-40-60-100</f>
        <v>40.301999999999992</v>
      </c>
      <c r="G540" s="80">
        <v>40</v>
      </c>
      <c r="H540" s="77">
        <f>60+100</f>
        <v>160</v>
      </c>
      <c r="I540" s="77">
        <f t="shared" si="80"/>
        <v>0</v>
      </c>
      <c r="J540" s="80">
        <v>100</v>
      </c>
      <c r="K540" s="80">
        <v>300</v>
      </c>
      <c r="L540" s="77">
        <f t="shared" si="83"/>
        <v>1150</v>
      </c>
      <c r="M540" s="88">
        <v>600</v>
      </c>
      <c r="N540" s="77">
        <f>100</f>
        <v>100</v>
      </c>
      <c r="O540" s="80">
        <v>240</v>
      </c>
      <c r="P540" s="80">
        <v>40</v>
      </c>
      <c r="Q540" s="80">
        <f t="shared" si="84"/>
        <v>315</v>
      </c>
      <c r="R540" s="80">
        <f t="shared" si="85"/>
        <v>100</v>
      </c>
      <c r="S540" s="77">
        <f t="shared" si="86"/>
        <v>695</v>
      </c>
      <c r="T540" s="77">
        <f>50</f>
        <v>50</v>
      </c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</row>
    <row r="541" spans="1:30" ht="15.75" x14ac:dyDescent="0.25">
      <c r="A541" s="32">
        <v>57404</v>
      </c>
      <c r="B541" s="89">
        <v>28</v>
      </c>
      <c r="C541" s="77">
        <f>122.58</f>
        <v>122.58</v>
      </c>
      <c r="D541" s="77">
        <f>297.941</f>
        <v>297.94099999999997</v>
      </c>
      <c r="E541" s="86">
        <f>89.177</f>
        <v>89.177000000000007</v>
      </c>
      <c r="F541" s="77">
        <f>240.302-40-60-100</f>
        <v>40.301999999999992</v>
      </c>
      <c r="G541" s="80">
        <v>40</v>
      </c>
      <c r="H541" s="77">
        <f>60+100</f>
        <v>160</v>
      </c>
      <c r="I541" s="77">
        <f t="shared" si="80"/>
        <v>0</v>
      </c>
      <c r="J541" s="80">
        <v>100</v>
      </c>
      <c r="K541" s="80">
        <v>300</v>
      </c>
      <c r="L541" s="77">
        <f t="shared" si="83"/>
        <v>1150</v>
      </c>
      <c r="M541" s="88">
        <v>600</v>
      </c>
      <c r="N541" s="77">
        <f>100</f>
        <v>100</v>
      </c>
      <c r="O541" s="80">
        <v>240</v>
      </c>
      <c r="P541" s="80">
        <v>40</v>
      </c>
      <c r="Q541" s="80">
        <f t="shared" si="84"/>
        <v>315</v>
      </c>
      <c r="R541" s="80">
        <f t="shared" si="85"/>
        <v>100</v>
      </c>
      <c r="S541" s="77">
        <f t="shared" si="86"/>
        <v>695</v>
      </c>
      <c r="T541" s="77">
        <f>50</f>
        <v>50</v>
      </c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</row>
    <row r="542" spans="1:30" ht="15.75" x14ac:dyDescent="0.25">
      <c r="A542" s="32">
        <v>57435</v>
      </c>
      <c r="B542" s="89">
        <v>31</v>
      </c>
      <c r="C542" s="77">
        <f>122.58</f>
        <v>122.58</v>
      </c>
      <c r="D542" s="77">
        <f>297.941</f>
        <v>297.94099999999997</v>
      </c>
      <c r="E542" s="86">
        <f>89.177</f>
        <v>89.177000000000007</v>
      </c>
      <c r="F542" s="77">
        <f>240.302-40-60-100</f>
        <v>40.301999999999992</v>
      </c>
      <c r="G542" s="80">
        <v>40</v>
      </c>
      <c r="H542" s="77">
        <f>60+100</f>
        <v>160</v>
      </c>
      <c r="I542" s="77">
        <f t="shared" si="80"/>
        <v>0</v>
      </c>
      <c r="J542" s="80">
        <v>100</v>
      </c>
      <c r="K542" s="80">
        <v>300</v>
      </c>
      <c r="L542" s="77">
        <f t="shared" si="83"/>
        <v>1150</v>
      </c>
      <c r="M542" s="88">
        <v>600</v>
      </c>
      <c r="N542" s="77">
        <f>100</f>
        <v>100</v>
      </c>
      <c r="O542" s="80">
        <v>240</v>
      </c>
      <c r="P542" s="80">
        <v>40</v>
      </c>
      <c r="Q542" s="80">
        <f t="shared" si="84"/>
        <v>315</v>
      </c>
      <c r="R542" s="80">
        <f t="shared" si="85"/>
        <v>100</v>
      </c>
      <c r="S542" s="77">
        <f t="shared" si="86"/>
        <v>695</v>
      </c>
      <c r="T542" s="77">
        <f>50</f>
        <v>50</v>
      </c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</row>
    <row r="543" spans="1:30" ht="15.75" x14ac:dyDescent="0.25">
      <c r="A543" s="32">
        <v>57465</v>
      </c>
      <c r="B543" s="89">
        <v>30</v>
      </c>
      <c r="C543" s="77">
        <f>141.293</f>
        <v>141.29300000000001</v>
      </c>
      <c r="D543" s="77">
        <f>267.993</f>
        <v>267.99299999999999</v>
      </c>
      <c r="E543" s="86">
        <f>115.016</f>
        <v>115.01600000000001</v>
      </c>
      <c r="F543" s="77">
        <f>314.698-40-25-60-100</f>
        <v>89.697999999999979</v>
      </c>
      <c r="G543" s="80">
        <v>40</v>
      </c>
      <c r="H543" s="77">
        <f t="shared" ref="H543:H549" si="88">25+60+100</f>
        <v>185</v>
      </c>
      <c r="I543" s="77">
        <f t="shared" si="80"/>
        <v>0</v>
      </c>
      <c r="J543" s="80">
        <v>100</v>
      </c>
      <c r="K543" s="80">
        <v>300</v>
      </c>
      <c r="L543" s="77">
        <f t="shared" si="83"/>
        <v>1239</v>
      </c>
      <c r="M543" s="88">
        <v>600</v>
      </c>
      <c r="N543" s="77">
        <f>100</f>
        <v>100</v>
      </c>
      <c r="O543" s="80">
        <v>240</v>
      </c>
      <c r="P543" s="80">
        <v>160</v>
      </c>
      <c r="Q543" s="80">
        <f t="shared" si="84"/>
        <v>195</v>
      </c>
      <c r="R543" s="80">
        <f t="shared" si="85"/>
        <v>100</v>
      </c>
      <c r="S543" s="77">
        <f t="shared" si="86"/>
        <v>695</v>
      </c>
      <c r="T543" s="77">
        <f>50</f>
        <v>50</v>
      </c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</row>
    <row r="544" spans="1:30" ht="15.75" x14ac:dyDescent="0.25">
      <c r="A544" s="32">
        <v>57496</v>
      </c>
      <c r="B544" s="89">
        <v>31</v>
      </c>
      <c r="C544" s="77">
        <f>194.205</f>
        <v>194.20500000000001</v>
      </c>
      <c r="D544" s="77">
        <f>267.466</f>
        <v>267.46600000000001</v>
      </c>
      <c r="E544" s="86">
        <f>133.845</f>
        <v>133.845</v>
      </c>
      <c r="F544" s="77">
        <f>278.484-40-25-60-100</f>
        <v>53.48399999999998</v>
      </c>
      <c r="G544" s="80">
        <v>40</v>
      </c>
      <c r="H544" s="77">
        <f t="shared" si="88"/>
        <v>185</v>
      </c>
      <c r="I544" s="77">
        <f t="shared" si="80"/>
        <v>0</v>
      </c>
      <c r="J544" s="80">
        <v>100</v>
      </c>
      <c r="K544" s="80">
        <v>300</v>
      </c>
      <c r="L544" s="77">
        <f t="shared" si="83"/>
        <v>1274</v>
      </c>
      <c r="M544" s="88">
        <v>600</v>
      </c>
      <c r="N544" s="77">
        <f>75</f>
        <v>75</v>
      </c>
      <c r="O544" s="80">
        <v>240</v>
      </c>
      <c r="P544" s="80">
        <v>160</v>
      </c>
      <c r="Q544" s="80">
        <f t="shared" si="84"/>
        <v>195</v>
      </c>
      <c r="R544" s="80">
        <f t="shared" si="85"/>
        <v>100</v>
      </c>
      <c r="S544" s="77">
        <f t="shared" si="86"/>
        <v>695</v>
      </c>
      <c r="T544" s="77">
        <f>50</f>
        <v>50</v>
      </c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</row>
    <row r="545" spans="1:30" ht="15.75" x14ac:dyDescent="0.25">
      <c r="A545" s="32">
        <v>57526</v>
      </c>
      <c r="B545" s="89">
        <v>30</v>
      </c>
      <c r="C545" s="77">
        <f>194.205</f>
        <v>194.20500000000001</v>
      </c>
      <c r="D545" s="77">
        <f>267.466</f>
        <v>267.46600000000001</v>
      </c>
      <c r="E545" s="86">
        <f>133.845</f>
        <v>133.845</v>
      </c>
      <c r="F545" s="77">
        <f>278.484-40-25-60-100</f>
        <v>53.48399999999998</v>
      </c>
      <c r="G545" s="80">
        <v>40</v>
      </c>
      <c r="H545" s="77">
        <f t="shared" si="88"/>
        <v>185</v>
      </c>
      <c r="I545" s="77">
        <f t="shared" si="80"/>
        <v>0</v>
      </c>
      <c r="J545" s="80">
        <v>100</v>
      </c>
      <c r="K545" s="80">
        <v>300</v>
      </c>
      <c r="L545" s="77">
        <f t="shared" si="83"/>
        <v>1274</v>
      </c>
      <c r="M545" s="88">
        <v>600</v>
      </c>
      <c r="N545" s="77">
        <f>30</f>
        <v>30</v>
      </c>
      <c r="O545" s="80">
        <v>240</v>
      </c>
      <c r="P545" s="80">
        <v>160</v>
      </c>
      <c r="Q545" s="80">
        <f t="shared" si="84"/>
        <v>195</v>
      </c>
      <c r="R545" s="80">
        <f t="shared" si="85"/>
        <v>100</v>
      </c>
      <c r="S545" s="77">
        <f t="shared" si="86"/>
        <v>695</v>
      </c>
      <c r="T545" s="77">
        <f>50</f>
        <v>50</v>
      </c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</row>
    <row r="546" spans="1:30" ht="15.75" x14ac:dyDescent="0.25">
      <c r="A546" s="32">
        <v>57557</v>
      </c>
      <c r="B546" s="89">
        <v>31</v>
      </c>
      <c r="C546" s="77">
        <f>194.205</f>
        <v>194.20500000000001</v>
      </c>
      <c r="D546" s="77">
        <f>267.466</f>
        <v>267.46600000000001</v>
      </c>
      <c r="E546" s="86">
        <f>133.845</f>
        <v>133.845</v>
      </c>
      <c r="F546" s="77">
        <f>278.484-40-25-60-100</f>
        <v>53.48399999999998</v>
      </c>
      <c r="G546" s="80">
        <v>40</v>
      </c>
      <c r="H546" s="77">
        <f t="shared" si="88"/>
        <v>185</v>
      </c>
      <c r="I546" s="77">
        <f t="shared" si="80"/>
        <v>0</v>
      </c>
      <c r="J546" s="80">
        <v>100</v>
      </c>
      <c r="K546" s="80">
        <v>300</v>
      </c>
      <c r="L546" s="77">
        <f t="shared" si="83"/>
        <v>1274</v>
      </c>
      <c r="M546" s="88">
        <v>600</v>
      </c>
      <c r="N546" s="77">
        <f>30</f>
        <v>30</v>
      </c>
      <c r="O546" s="80">
        <v>240</v>
      </c>
      <c r="P546" s="80">
        <v>160</v>
      </c>
      <c r="Q546" s="80">
        <f t="shared" si="84"/>
        <v>195</v>
      </c>
      <c r="R546" s="80">
        <f t="shared" si="85"/>
        <v>100</v>
      </c>
      <c r="S546" s="77">
        <f t="shared" si="86"/>
        <v>695</v>
      </c>
      <c r="T546" s="77">
        <f>0</f>
        <v>0</v>
      </c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</row>
    <row r="547" spans="1:30" ht="15.75" x14ac:dyDescent="0.25">
      <c r="A547" s="32">
        <v>57588</v>
      </c>
      <c r="B547" s="89">
        <v>31</v>
      </c>
      <c r="C547" s="77">
        <f>194.205</f>
        <v>194.20500000000001</v>
      </c>
      <c r="D547" s="77">
        <f>267.466</f>
        <v>267.46600000000001</v>
      </c>
      <c r="E547" s="86">
        <f>133.845</f>
        <v>133.845</v>
      </c>
      <c r="F547" s="77">
        <f>278.484-40-25-60-100</f>
        <v>53.48399999999998</v>
      </c>
      <c r="G547" s="80">
        <v>40</v>
      </c>
      <c r="H547" s="77">
        <f t="shared" si="88"/>
        <v>185</v>
      </c>
      <c r="I547" s="77">
        <f t="shared" si="80"/>
        <v>0</v>
      </c>
      <c r="J547" s="80">
        <v>100</v>
      </c>
      <c r="K547" s="80">
        <v>300</v>
      </c>
      <c r="L547" s="77">
        <f t="shared" si="83"/>
        <v>1274</v>
      </c>
      <c r="M547" s="88">
        <v>600</v>
      </c>
      <c r="N547" s="77">
        <f>30</f>
        <v>30</v>
      </c>
      <c r="O547" s="80">
        <v>240</v>
      </c>
      <c r="P547" s="80">
        <v>160</v>
      </c>
      <c r="Q547" s="80">
        <f t="shared" si="84"/>
        <v>195</v>
      </c>
      <c r="R547" s="80">
        <f t="shared" si="85"/>
        <v>100</v>
      </c>
      <c r="S547" s="77">
        <f t="shared" si="86"/>
        <v>695</v>
      </c>
      <c r="T547" s="77">
        <f>0</f>
        <v>0</v>
      </c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</row>
    <row r="548" spans="1:30" ht="15.75" x14ac:dyDescent="0.25">
      <c r="A548" s="32">
        <v>57618</v>
      </c>
      <c r="B548" s="89">
        <v>30</v>
      </c>
      <c r="C548" s="77">
        <f>194.205</f>
        <v>194.20500000000001</v>
      </c>
      <c r="D548" s="77">
        <f>267.466</f>
        <v>267.46600000000001</v>
      </c>
      <c r="E548" s="86">
        <f>133.845</f>
        <v>133.845</v>
      </c>
      <c r="F548" s="77">
        <f>278.484-40-25-60-100</f>
        <v>53.48399999999998</v>
      </c>
      <c r="G548" s="80">
        <v>40</v>
      </c>
      <c r="H548" s="77">
        <f t="shared" si="88"/>
        <v>185</v>
      </c>
      <c r="I548" s="77">
        <f t="shared" si="80"/>
        <v>0</v>
      </c>
      <c r="J548" s="80">
        <v>100</v>
      </c>
      <c r="K548" s="80">
        <v>300</v>
      </c>
      <c r="L548" s="77">
        <f t="shared" si="83"/>
        <v>1274</v>
      </c>
      <c r="M548" s="88">
        <v>600</v>
      </c>
      <c r="N548" s="77">
        <f>30</f>
        <v>30</v>
      </c>
      <c r="O548" s="80">
        <v>240</v>
      </c>
      <c r="P548" s="80">
        <v>160</v>
      </c>
      <c r="Q548" s="80">
        <f t="shared" si="84"/>
        <v>195</v>
      </c>
      <c r="R548" s="80">
        <f t="shared" si="85"/>
        <v>100</v>
      </c>
      <c r="S548" s="77">
        <f t="shared" si="86"/>
        <v>695</v>
      </c>
      <c r="T548" s="77">
        <f>0</f>
        <v>0</v>
      </c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</row>
    <row r="549" spans="1:30" ht="15.75" x14ac:dyDescent="0.25">
      <c r="A549" s="32">
        <v>57649</v>
      </c>
      <c r="B549" s="89">
        <v>31</v>
      </c>
      <c r="C549" s="77">
        <f>131.881</f>
        <v>131.881</v>
      </c>
      <c r="D549" s="77">
        <f>277.167</f>
        <v>277.16699999999997</v>
      </c>
      <c r="E549" s="86">
        <f>79.08</f>
        <v>79.08</v>
      </c>
      <c r="F549" s="77">
        <f>350.872-40-25-60-100</f>
        <v>125.87200000000001</v>
      </c>
      <c r="G549" s="80">
        <v>40</v>
      </c>
      <c r="H549" s="77">
        <f t="shared" si="88"/>
        <v>185</v>
      </c>
      <c r="I549" s="77">
        <f t="shared" si="80"/>
        <v>0</v>
      </c>
      <c r="J549" s="80">
        <v>100</v>
      </c>
      <c r="K549" s="80">
        <v>300</v>
      </c>
      <c r="L549" s="77">
        <f t="shared" si="83"/>
        <v>1239</v>
      </c>
      <c r="M549" s="88">
        <v>600</v>
      </c>
      <c r="N549" s="77">
        <f>75</f>
        <v>75</v>
      </c>
      <c r="O549" s="80">
        <v>240</v>
      </c>
      <c r="P549" s="80">
        <v>160</v>
      </c>
      <c r="Q549" s="80">
        <f t="shared" si="84"/>
        <v>195</v>
      </c>
      <c r="R549" s="80">
        <f t="shared" si="85"/>
        <v>100</v>
      </c>
      <c r="S549" s="77">
        <f t="shared" si="86"/>
        <v>695</v>
      </c>
      <c r="T549" s="77">
        <f>0</f>
        <v>0</v>
      </c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</row>
    <row r="550" spans="1:30" ht="15.75" x14ac:dyDescent="0.25">
      <c r="A550" s="32">
        <v>57679</v>
      </c>
      <c r="B550" s="89">
        <v>30</v>
      </c>
      <c r="C550" s="77">
        <f>122.58</f>
        <v>122.58</v>
      </c>
      <c r="D550" s="77">
        <f>297.941</f>
        <v>297.94099999999997</v>
      </c>
      <c r="E550" s="86">
        <f>89.177</f>
        <v>89.177000000000007</v>
      </c>
      <c r="F550" s="77">
        <f>240.302-40-60-100</f>
        <v>40.301999999999992</v>
      </c>
      <c r="G550" s="80">
        <v>40</v>
      </c>
      <c r="H550" s="77">
        <f>60+100</f>
        <v>160</v>
      </c>
      <c r="I550" s="77">
        <f t="shared" si="80"/>
        <v>0</v>
      </c>
      <c r="J550" s="80">
        <v>100</v>
      </c>
      <c r="K550" s="80">
        <v>300</v>
      </c>
      <c r="L550" s="77">
        <f t="shared" si="83"/>
        <v>1150</v>
      </c>
      <c r="M550" s="88">
        <v>600</v>
      </c>
      <c r="N550" s="77">
        <f>100</f>
        <v>100</v>
      </c>
      <c r="O550" s="80">
        <v>240</v>
      </c>
      <c r="P550" s="80">
        <v>40</v>
      </c>
      <c r="Q550" s="80">
        <f t="shared" si="84"/>
        <v>315</v>
      </c>
      <c r="R550" s="80">
        <f t="shared" si="85"/>
        <v>100</v>
      </c>
      <c r="S550" s="77">
        <f t="shared" si="86"/>
        <v>695</v>
      </c>
      <c r="T550" s="77">
        <f>50</f>
        <v>50</v>
      </c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</row>
    <row r="551" spans="1:30" ht="15.75" x14ac:dyDescent="0.25">
      <c r="A551" s="32">
        <v>57710</v>
      </c>
      <c r="B551" s="89">
        <v>31</v>
      </c>
      <c r="C551" s="77">
        <f>122.58</f>
        <v>122.58</v>
      </c>
      <c r="D551" s="77">
        <f>297.941</f>
        <v>297.94099999999997</v>
      </c>
      <c r="E551" s="86">
        <f>89.177</f>
        <v>89.177000000000007</v>
      </c>
      <c r="F551" s="77">
        <f>240.302-40-60-100</f>
        <v>40.301999999999992</v>
      </c>
      <c r="G551" s="80">
        <v>40</v>
      </c>
      <c r="H551" s="77">
        <f>60+100</f>
        <v>160</v>
      </c>
      <c r="I551" s="77">
        <f t="shared" si="80"/>
        <v>0</v>
      </c>
      <c r="J551" s="80">
        <v>100</v>
      </c>
      <c r="K551" s="80">
        <v>300</v>
      </c>
      <c r="L551" s="77">
        <f t="shared" si="83"/>
        <v>1150</v>
      </c>
      <c r="M551" s="88">
        <v>600</v>
      </c>
      <c r="N551" s="77">
        <f>100</f>
        <v>100</v>
      </c>
      <c r="O551" s="80">
        <v>240</v>
      </c>
      <c r="P551" s="80">
        <v>40</v>
      </c>
      <c r="Q551" s="80">
        <f t="shared" si="84"/>
        <v>315</v>
      </c>
      <c r="R551" s="80">
        <f t="shared" si="85"/>
        <v>100</v>
      </c>
      <c r="S551" s="77">
        <f t="shared" si="86"/>
        <v>695</v>
      </c>
      <c r="T551" s="77">
        <f>50</f>
        <v>50</v>
      </c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</row>
    <row r="552" spans="1:30" ht="15.75" x14ac:dyDescent="0.25">
      <c r="A552" s="32">
        <v>57741</v>
      </c>
      <c r="B552" s="89">
        <v>31</v>
      </c>
      <c r="C552" s="77">
        <f>122.58</f>
        <v>122.58</v>
      </c>
      <c r="D552" s="77">
        <f>297.941</f>
        <v>297.94099999999997</v>
      </c>
      <c r="E552" s="86">
        <f>89.177</f>
        <v>89.177000000000007</v>
      </c>
      <c r="F552" s="77">
        <f>240.302-40-60-100</f>
        <v>40.301999999999992</v>
      </c>
      <c r="G552" s="80">
        <v>40</v>
      </c>
      <c r="H552" s="77">
        <f>60+100</f>
        <v>160</v>
      </c>
      <c r="I552" s="77">
        <f t="shared" si="80"/>
        <v>0</v>
      </c>
      <c r="J552" s="80">
        <v>100</v>
      </c>
      <c r="K552" s="80">
        <v>300</v>
      </c>
      <c r="L552" s="77">
        <f t="shared" si="83"/>
        <v>1150</v>
      </c>
      <c r="M552" s="88">
        <v>600</v>
      </c>
      <c r="N552" s="77">
        <f>100</f>
        <v>100</v>
      </c>
      <c r="O552" s="80">
        <v>240</v>
      </c>
      <c r="P552" s="80">
        <v>40</v>
      </c>
      <c r="Q552" s="80">
        <f t="shared" si="84"/>
        <v>315</v>
      </c>
      <c r="R552" s="80">
        <f t="shared" si="85"/>
        <v>100</v>
      </c>
      <c r="S552" s="77">
        <f t="shared" si="86"/>
        <v>695</v>
      </c>
      <c r="T552" s="77">
        <f>50</f>
        <v>50</v>
      </c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</row>
    <row r="553" spans="1:30" ht="15.75" x14ac:dyDescent="0.25">
      <c r="A553" s="32">
        <v>57769</v>
      </c>
      <c r="B553" s="89">
        <v>28</v>
      </c>
      <c r="C553" s="77">
        <f>122.58</f>
        <v>122.58</v>
      </c>
      <c r="D553" s="77">
        <f>297.941</f>
        <v>297.94099999999997</v>
      </c>
      <c r="E553" s="86">
        <f>89.177</f>
        <v>89.177000000000007</v>
      </c>
      <c r="F553" s="77">
        <f>240.302-40-60-100</f>
        <v>40.301999999999992</v>
      </c>
      <c r="G553" s="80">
        <v>40</v>
      </c>
      <c r="H553" s="77">
        <f>60+100</f>
        <v>160</v>
      </c>
      <c r="I553" s="77">
        <f t="shared" si="80"/>
        <v>0</v>
      </c>
      <c r="J553" s="80">
        <v>100</v>
      </c>
      <c r="K553" s="80">
        <v>300</v>
      </c>
      <c r="L553" s="77">
        <f t="shared" si="83"/>
        <v>1150</v>
      </c>
      <c r="M553" s="88">
        <v>600</v>
      </c>
      <c r="N553" s="77">
        <f>100</f>
        <v>100</v>
      </c>
      <c r="O553" s="80">
        <v>240</v>
      </c>
      <c r="P553" s="80">
        <v>40</v>
      </c>
      <c r="Q553" s="80">
        <f t="shared" si="84"/>
        <v>315</v>
      </c>
      <c r="R553" s="80">
        <f t="shared" si="85"/>
        <v>100</v>
      </c>
      <c r="S553" s="77">
        <f t="shared" si="86"/>
        <v>695</v>
      </c>
      <c r="T553" s="77">
        <f>50</f>
        <v>50</v>
      </c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</row>
    <row r="554" spans="1:30" ht="15.75" x14ac:dyDescent="0.25">
      <c r="A554" s="32">
        <v>57800</v>
      </c>
      <c r="B554" s="89">
        <v>31</v>
      </c>
      <c r="C554" s="77">
        <f>122.58</f>
        <v>122.58</v>
      </c>
      <c r="D554" s="77">
        <f>297.941</f>
        <v>297.94099999999997</v>
      </c>
      <c r="E554" s="86">
        <f>89.177</f>
        <v>89.177000000000007</v>
      </c>
      <c r="F554" s="77">
        <f>240.302-40-60-100</f>
        <v>40.301999999999992</v>
      </c>
      <c r="G554" s="80">
        <v>40</v>
      </c>
      <c r="H554" s="77">
        <f>60+100</f>
        <v>160</v>
      </c>
      <c r="I554" s="77">
        <f t="shared" si="80"/>
        <v>0</v>
      </c>
      <c r="J554" s="80">
        <v>100</v>
      </c>
      <c r="K554" s="80">
        <v>300</v>
      </c>
      <c r="L554" s="77">
        <f t="shared" si="83"/>
        <v>1150</v>
      </c>
      <c r="M554" s="88">
        <v>600</v>
      </c>
      <c r="N554" s="77">
        <f>100</f>
        <v>100</v>
      </c>
      <c r="O554" s="80">
        <v>240</v>
      </c>
      <c r="P554" s="80">
        <v>40</v>
      </c>
      <c r="Q554" s="80">
        <f t="shared" si="84"/>
        <v>315</v>
      </c>
      <c r="R554" s="80">
        <f t="shared" si="85"/>
        <v>100</v>
      </c>
      <c r="S554" s="77">
        <f t="shared" si="86"/>
        <v>695</v>
      </c>
      <c r="T554" s="77">
        <f>50</f>
        <v>50</v>
      </c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</row>
    <row r="555" spans="1:30" ht="15.75" x14ac:dyDescent="0.25">
      <c r="A555" s="32">
        <v>57830</v>
      </c>
      <c r="B555" s="89">
        <v>30</v>
      </c>
      <c r="C555" s="77">
        <f>141.293</f>
        <v>141.29300000000001</v>
      </c>
      <c r="D555" s="77">
        <f>267.993</f>
        <v>267.99299999999999</v>
      </c>
      <c r="E555" s="86">
        <f>115.016</f>
        <v>115.01600000000001</v>
      </c>
      <c r="F555" s="77">
        <f>314.698-40-25-60-100</f>
        <v>89.697999999999979</v>
      </c>
      <c r="G555" s="80">
        <v>40</v>
      </c>
      <c r="H555" s="77">
        <f t="shared" ref="H555:H561" si="89">25+60+100</f>
        <v>185</v>
      </c>
      <c r="I555" s="77">
        <f t="shared" si="80"/>
        <v>0</v>
      </c>
      <c r="J555" s="80">
        <v>100</v>
      </c>
      <c r="K555" s="80">
        <v>300</v>
      </c>
      <c r="L555" s="77">
        <f t="shared" si="83"/>
        <v>1239</v>
      </c>
      <c r="M555" s="88">
        <v>600</v>
      </c>
      <c r="N555" s="77">
        <f>100</f>
        <v>100</v>
      </c>
      <c r="O555" s="80">
        <v>240</v>
      </c>
      <c r="P555" s="80">
        <v>160</v>
      </c>
      <c r="Q555" s="80">
        <f t="shared" si="84"/>
        <v>195</v>
      </c>
      <c r="R555" s="80">
        <f t="shared" si="85"/>
        <v>100</v>
      </c>
      <c r="S555" s="77">
        <f t="shared" si="86"/>
        <v>695</v>
      </c>
      <c r="T555" s="77">
        <f>50</f>
        <v>50</v>
      </c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</row>
    <row r="556" spans="1:30" ht="15.75" x14ac:dyDescent="0.25">
      <c r="A556" s="32">
        <v>57861</v>
      </c>
      <c r="B556" s="89">
        <v>31</v>
      </c>
      <c r="C556" s="77">
        <f>194.205</f>
        <v>194.20500000000001</v>
      </c>
      <c r="D556" s="77">
        <f>267.466</f>
        <v>267.46600000000001</v>
      </c>
      <c r="E556" s="86">
        <f>133.845</f>
        <v>133.845</v>
      </c>
      <c r="F556" s="77">
        <f>278.484-40-25-60-100</f>
        <v>53.48399999999998</v>
      </c>
      <c r="G556" s="80">
        <v>40</v>
      </c>
      <c r="H556" s="77">
        <f t="shared" si="89"/>
        <v>185</v>
      </c>
      <c r="I556" s="77">
        <f t="shared" si="80"/>
        <v>0</v>
      </c>
      <c r="J556" s="80">
        <v>100</v>
      </c>
      <c r="K556" s="80">
        <v>300</v>
      </c>
      <c r="L556" s="77">
        <f t="shared" si="83"/>
        <v>1274</v>
      </c>
      <c r="M556" s="88">
        <v>600</v>
      </c>
      <c r="N556" s="77">
        <f>75</f>
        <v>75</v>
      </c>
      <c r="O556" s="80">
        <v>240</v>
      </c>
      <c r="P556" s="80">
        <v>160</v>
      </c>
      <c r="Q556" s="80">
        <f t="shared" si="84"/>
        <v>195</v>
      </c>
      <c r="R556" s="80">
        <f t="shared" si="85"/>
        <v>100</v>
      </c>
      <c r="S556" s="77">
        <f t="shared" si="86"/>
        <v>695</v>
      </c>
      <c r="T556" s="77">
        <f>50</f>
        <v>50</v>
      </c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</row>
    <row r="557" spans="1:30" ht="15.75" x14ac:dyDescent="0.25">
      <c r="A557" s="32">
        <v>57891</v>
      </c>
      <c r="B557" s="89">
        <v>30</v>
      </c>
      <c r="C557" s="77">
        <f>194.205</f>
        <v>194.20500000000001</v>
      </c>
      <c r="D557" s="77">
        <f>267.466</f>
        <v>267.46600000000001</v>
      </c>
      <c r="E557" s="86">
        <f>133.845</f>
        <v>133.845</v>
      </c>
      <c r="F557" s="77">
        <f>278.484-40-25-60-100</f>
        <v>53.48399999999998</v>
      </c>
      <c r="G557" s="80">
        <v>40</v>
      </c>
      <c r="H557" s="77">
        <f t="shared" si="89"/>
        <v>185</v>
      </c>
      <c r="I557" s="77">
        <f t="shared" si="80"/>
        <v>0</v>
      </c>
      <c r="J557" s="80">
        <v>100</v>
      </c>
      <c r="K557" s="80">
        <v>300</v>
      </c>
      <c r="L557" s="77">
        <f t="shared" si="83"/>
        <v>1274</v>
      </c>
      <c r="M557" s="88">
        <v>600</v>
      </c>
      <c r="N557" s="77">
        <f>30</f>
        <v>30</v>
      </c>
      <c r="O557" s="80">
        <v>240</v>
      </c>
      <c r="P557" s="80">
        <v>160</v>
      </c>
      <c r="Q557" s="80">
        <f t="shared" si="84"/>
        <v>195</v>
      </c>
      <c r="R557" s="80">
        <f t="shared" si="85"/>
        <v>100</v>
      </c>
      <c r="S557" s="77">
        <f t="shared" si="86"/>
        <v>695</v>
      </c>
      <c r="T557" s="77">
        <f>50</f>
        <v>50</v>
      </c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</row>
    <row r="558" spans="1:30" ht="15.75" x14ac:dyDescent="0.25">
      <c r="A558" s="32">
        <v>57922</v>
      </c>
      <c r="B558" s="89">
        <v>31</v>
      </c>
      <c r="C558" s="77">
        <f>194.205</f>
        <v>194.20500000000001</v>
      </c>
      <c r="D558" s="77">
        <f>267.466</f>
        <v>267.46600000000001</v>
      </c>
      <c r="E558" s="86">
        <f>133.845</f>
        <v>133.845</v>
      </c>
      <c r="F558" s="77">
        <f>278.484-40-25-60-100</f>
        <v>53.48399999999998</v>
      </c>
      <c r="G558" s="80">
        <v>40</v>
      </c>
      <c r="H558" s="77">
        <f t="shared" si="89"/>
        <v>185</v>
      </c>
      <c r="I558" s="77">
        <f t="shared" si="80"/>
        <v>0</v>
      </c>
      <c r="J558" s="80">
        <v>100</v>
      </c>
      <c r="K558" s="80">
        <v>300</v>
      </c>
      <c r="L558" s="77">
        <f t="shared" si="83"/>
        <v>1274</v>
      </c>
      <c r="M558" s="88">
        <v>600</v>
      </c>
      <c r="N558" s="77">
        <f>30</f>
        <v>30</v>
      </c>
      <c r="O558" s="80">
        <v>240</v>
      </c>
      <c r="P558" s="80">
        <v>160</v>
      </c>
      <c r="Q558" s="80">
        <f t="shared" si="84"/>
        <v>195</v>
      </c>
      <c r="R558" s="80">
        <f t="shared" si="85"/>
        <v>100</v>
      </c>
      <c r="S558" s="77">
        <f t="shared" si="86"/>
        <v>695</v>
      </c>
      <c r="T558" s="77">
        <f>0</f>
        <v>0</v>
      </c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</row>
    <row r="559" spans="1:30" ht="15.75" x14ac:dyDescent="0.25">
      <c r="A559" s="32">
        <v>57953</v>
      </c>
      <c r="B559" s="89">
        <v>31</v>
      </c>
      <c r="C559" s="77">
        <f>194.205</f>
        <v>194.20500000000001</v>
      </c>
      <c r="D559" s="77">
        <f>267.466</f>
        <v>267.46600000000001</v>
      </c>
      <c r="E559" s="86">
        <f>133.845</f>
        <v>133.845</v>
      </c>
      <c r="F559" s="77">
        <f>278.484-40-25-60-100</f>
        <v>53.48399999999998</v>
      </c>
      <c r="G559" s="80">
        <v>40</v>
      </c>
      <c r="H559" s="77">
        <f t="shared" si="89"/>
        <v>185</v>
      </c>
      <c r="I559" s="77">
        <f t="shared" si="80"/>
        <v>0</v>
      </c>
      <c r="J559" s="80">
        <v>100</v>
      </c>
      <c r="K559" s="80">
        <v>300</v>
      </c>
      <c r="L559" s="77">
        <f t="shared" si="83"/>
        <v>1274</v>
      </c>
      <c r="M559" s="88">
        <v>600</v>
      </c>
      <c r="N559" s="77">
        <f>30</f>
        <v>30</v>
      </c>
      <c r="O559" s="80">
        <v>240</v>
      </c>
      <c r="P559" s="80">
        <v>160</v>
      </c>
      <c r="Q559" s="80">
        <f t="shared" si="84"/>
        <v>195</v>
      </c>
      <c r="R559" s="80">
        <f t="shared" si="85"/>
        <v>100</v>
      </c>
      <c r="S559" s="77">
        <f t="shared" si="86"/>
        <v>695</v>
      </c>
      <c r="T559" s="77">
        <f>0</f>
        <v>0</v>
      </c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</row>
    <row r="560" spans="1:30" ht="15.75" x14ac:dyDescent="0.25">
      <c r="A560" s="32">
        <v>57983</v>
      </c>
      <c r="B560" s="89">
        <v>30</v>
      </c>
      <c r="C560" s="77">
        <f>194.205</f>
        <v>194.20500000000001</v>
      </c>
      <c r="D560" s="77">
        <f>267.466</f>
        <v>267.46600000000001</v>
      </c>
      <c r="E560" s="86">
        <f>133.845</f>
        <v>133.845</v>
      </c>
      <c r="F560" s="77">
        <f>278.484-40-25-60-100</f>
        <v>53.48399999999998</v>
      </c>
      <c r="G560" s="80">
        <v>40</v>
      </c>
      <c r="H560" s="77">
        <f t="shared" si="89"/>
        <v>185</v>
      </c>
      <c r="I560" s="77">
        <f t="shared" si="80"/>
        <v>0</v>
      </c>
      <c r="J560" s="80">
        <v>100</v>
      </c>
      <c r="K560" s="80">
        <v>300</v>
      </c>
      <c r="L560" s="77">
        <f t="shared" si="83"/>
        <v>1274</v>
      </c>
      <c r="M560" s="88">
        <v>600</v>
      </c>
      <c r="N560" s="77">
        <f>30</f>
        <v>30</v>
      </c>
      <c r="O560" s="80">
        <v>240</v>
      </c>
      <c r="P560" s="80">
        <v>160</v>
      </c>
      <c r="Q560" s="80">
        <f t="shared" si="84"/>
        <v>195</v>
      </c>
      <c r="R560" s="80">
        <f t="shared" si="85"/>
        <v>100</v>
      </c>
      <c r="S560" s="77">
        <f t="shared" si="86"/>
        <v>695</v>
      </c>
      <c r="T560" s="77">
        <f>0</f>
        <v>0</v>
      </c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</row>
    <row r="561" spans="1:30" ht="15.75" x14ac:dyDescent="0.25">
      <c r="A561" s="32">
        <v>58014</v>
      </c>
      <c r="B561" s="89">
        <v>31</v>
      </c>
      <c r="C561" s="77">
        <f>131.881</f>
        <v>131.881</v>
      </c>
      <c r="D561" s="77">
        <f>277.167</f>
        <v>277.16699999999997</v>
      </c>
      <c r="E561" s="86">
        <f>79.08</f>
        <v>79.08</v>
      </c>
      <c r="F561" s="77">
        <f>350.872-40-25-60-100</f>
        <v>125.87200000000001</v>
      </c>
      <c r="G561" s="80">
        <v>40</v>
      </c>
      <c r="H561" s="77">
        <f t="shared" si="89"/>
        <v>185</v>
      </c>
      <c r="I561" s="77">
        <f t="shared" si="80"/>
        <v>0</v>
      </c>
      <c r="J561" s="80">
        <v>100</v>
      </c>
      <c r="K561" s="80">
        <v>300</v>
      </c>
      <c r="L561" s="77">
        <f t="shared" si="83"/>
        <v>1239</v>
      </c>
      <c r="M561" s="88">
        <v>600</v>
      </c>
      <c r="N561" s="77">
        <f>75</f>
        <v>75</v>
      </c>
      <c r="O561" s="80">
        <v>240</v>
      </c>
      <c r="P561" s="80">
        <v>160</v>
      </c>
      <c r="Q561" s="80">
        <f t="shared" si="84"/>
        <v>195</v>
      </c>
      <c r="R561" s="80">
        <f t="shared" si="85"/>
        <v>100</v>
      </c>
      <c r="S561" s="77">
        <f t="shared" si="86"/>
        <v>695</v>
      </c>
      <c r="T561" s="77">
        <f>0</f>
        <v>0</v>
      </c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</row>
    <row r="562" spans="1:30" ht="15.75" x14ac:dyDescent="0.25">
      <c r="A562" s="32">
        <v>58044</v>
      </c>
      <c r="B562" s="89">
        <v>30</v>
      </c>
      <c r="C562" s="77">
        <f>122.58</f>
        <v>122.58</v>
      </c>
      <c r="D562" s="77">
        <f>297.941</f>
        <v>297.94099999999997</v>
      </c>
      <c r="E562" s="86">
        <f>89.177</f>
        <v>89.177000000000007</v>
      </c>
      <c r="F562" s="77">
        <f>240.302-40-60-100</f>
        <v>40.301999999999992</v>
      </c>
      <c r="G562" s="80">
        <v>40</v>
      </c>
      <c r="H562" s="77">
        <f>60+100</f>
        <v>160</v>
      </c>
      <c r="I562" s="77">
        <f t="shared" si="80"/>
        <v>0</v>
      </c>
      <c r="J562" s="80">
        <v>100</v>
      </c>
      <c r="K562" s="80">
        <v>300</v>
      </c>
      <c r="L562" s="77">
        <f t="shared" si="83"/>
        <v>1150</v>
      </c>
      <c r="M562" s="88">
        <v>600</v>
      </c>
      <c r="N562" s="77">
        <f>100</f>
        <v>100</v>
      </c>
      <c r="O562" s="80">
        <v>240</v>
      </c>
      <c r="P562" s="80">
        <v>40</v>
      </c>
      <c r="Q562" s="80">
        <f t="shared" si="84"/>
        <v>315</v>
      </c>
      <c r="R562" s="80">
        <f t="shared" si="85"/>
        <v>100</v>
      </c>
      <c r="S562" s="77">
        <f t="shared" si="86"/>
        <v>695</v>
      </c>
      <c r="T562" s="77">
        <f>50</f>
        <v>50</v>
      </c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</row>
    <row r="563" spans="1:30" ht="15.75" x14ac:dyDescent="0.25">
      <c r="A563" s="32">
        <v>58075</v>
      </c>
      <c r="B563" s="89">
        <v>31</v>
      </c>
      <c r="C563" s="77">
        <f>122.58</f>
        <v>122.58</v>
      </c>
      <c r="D563" s="77">
        <f>297.941</f>
        <v>297.94099999999997</v>
      </c>
      <c r="E563" s="86">
        <f>89.177</f>
        <v>89.177000000000007</v>
      </c>
      <c r="F563" s="77">
        <f>240.302-40-60-100</f>
        <v>40.301999999999992</v>
      </c>
      <c r="G563" s="80">
        <v>40</v>
      </c>
      <c r="H563" s="77">
        <f>60+100</f>
        <v>160</v>
      </c>
      <c r="I563" s="77">
        <f t="shared" si="80"/>
        <v>0</v>
      </c>
      <c r="J563" s="80">
        <v>100</v>
      </c>
      <c r="K563" s="80">
        <v>300</v>
      </c>
      <c r="L563" s="77">
        <f t="shared" si="83"/>
        <v>1150</v>
      </c>
      <c r="M563" s="88">
        <v>600</v>
      </c>
      <c r="N563" s="77">
        <f>100</f>
        <v>100</v>
      </c>
      <c r="O563" s="80">
        <v>240</v>
      </c>
      <c r="P563" s="80">
        <v>40</v>
      </c>
      <c r="Q563" s="80">
        <f t="shared" si="84"/>
        <v>315</v>
      </c>
      <c r="R563" s="80">
        <f t="shared" si="85"/>
        <v>100</v>
      </c>
      <c r="S563" s="77">
        <f t="shared" si="86"/>
        <v>695</v>
      </c>
      <c r="T563" s="77">
        <f>50</f>
        <v>50</v>
      </c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</row>
    <row r="564" spans="1:30" ht="15.75" x14ac:dyDescent="0.25">
      <c r="A564" s="32">
        <v>58106</v>
      </c>
      <c r="B564" s="89">
        <v>31</v>
      </c>
      <c r="C564" s="77">
        <f>122.58</f>
        <v>122.58</v>
      </c>
      <c r="D564" s="77">
        <f>297.941</f>
        <v>297.94099999999997</v>
      </c>
      <c r="E564" s="86">
        <f>89.177</f>
        <v>89.177000000000007</v>
      </c>
      <c r="F564" s="77">
        <f>240.302-40-60-100</f>
        <v>40.301999999999992</v>
      </c>
      <c r="G564" s="80">
        <v>40</v>
      </c>
      <c r="H564" s="77">
        <f>60+100</f>
        <v>160</v>
      </c>
      <c r="I564" s="77">
        <f t="shared" ref="I564:I627" si="90">400-J564-K564</f>
        <v>0</v>
      </c>
      <c r="J564" s="80">
        <v>100</v>
      </c>
      <c r="K564" s="80">
        <v>300</v>
      </c>
      <c r="L564" s="77">
        <f t="shared" si="83"/>
        <v>1150</v>
      </c>
      <c r="M564" s="88">
        <v>600</v>
      </c>
      <c r="N564" s="77">
        <f>100</f>
        <v>100</v>
      </c>
      <c r="O564" s="80">
        <v>240</v>
      </c>
      <c r="P564" s="80">
        <v>40</v>
      </c>
      <c r="Q564" s="80">
        <f t="shared" si="84"/>
        <v>315</v>
      </c>
      <c r="R564" s="80">
        <f t="shared" si="85"/>
        <v>100</v>
      </c>
      <c r="S564" s="77">
        <f t="shared" si="86"/>
        <v>695</v>
      </c>
      <c r="T564" s="77">
        <f>50</f>
        <v>50</v>
      </c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</row>
    <row r="565" spans="1:30" ht="15.75" x14ac:dyDescent="0.25">
      <c r="A565" s="32">
        <v>58134</v>
      </c>
      <c r="B565" s="89">
        <v>28</v>
      </c>
      <c r="C565" s="77">
        <f>122.58</f>
        <v>122.58</v>
      </c>
      <c r="D565" s="77">
        <f>297.941</f>
        <v>297.94099999999997</v>
      </c>
      <c r="E565" s="86">
        <f>89.177</f>
        <v>89.177000000000007</v>
      </c>
      <c r="F565" s="77">
        <f>240.302-40-60-100</f>
        <v>40.301999999999992</v>
      </c>
      <c r="G565" s="80">
        <v>40</v>
      </c>
      <c r="H565" s="77">
        <f>60+100</f>
        <v>160</v>
      </c>
      <c r="I565" s="77">
        <f t="shared" si="90"/>
        <v>0</v>
      </c>
      <c r="J565" s="80">
        <v>100</v>
      </c>
      <c r="K565" s="80">
        <v>300</v>
      </c>
      <c r="L565" s="77">
        <f t="shared" si="83"/>
        <v>1150</v>
      </c>
      <c r="M565" s="88">
        <v>600</v>
      </c>
      <c r="N565" s="77">
        <f>100</f>
        <v>100</v>
      </c>
      <c r="O565" s="80">
        <v>240</v>
      </c>
      <c r="P565" s="80">
        <v>40</v>
      </c>
      <c r="Q565" s="80">
        <f t="shared" si="84"/>
        <v>315</v>
      </c>
      <c r="R565" s="80">
        <f t="shared" si="85"/>
        <v>100</v>
      </c>
      <c r="S565" s="77">
        <f t="shared" si="86"/>
        <v>695</v>
      </c>
      <c r="T565" s="77">
        <f>50</f>
        <v>50</v>
      </c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</row>
    <row r="566" spans="1:30" ht="15.75" x14ac:dyDescent="0.25">
      <c r="A566" s="32">
        <v>58165</v>
      </c>
      <c r="B566" s="89">
        <v>31</v>
      </c>
      <c r="C566" s="77">
        <f>122.58</f>
        <v>122.58</v>
      </c>
      <c r="D566" s="77">
        <f>297.941</f>
        <v>297.94099999999997</v>
      </c>
      <c r="E566" s="86">
        <f>89.177</f>
        <v>89.177000000000007</v>
      </c>
      <c r="F566" s="77">
        <f>240.302-40-60-100</f>
        <v>40.301999999999992</v>
      </c>
      <c r="G566" s="80">
        <v>40</v>
      </c>
      <c r="H566" s="77">
        <f>60+100</f>
        <v>160</v>
      </c>
      <c r="I566" s="77">
        <f t="shared" si="90"/>
        <v>0</v>
      </c>
      <c r="J566" s="80">
        <v>100</v>
      </c>
      <c r="K566" s="80">
        <v>300</v>
      </c>
      <c r="L566" s="77">
        <f t="shared" si="83"/>
        <v>1150</v>
      </c>
      <c r="M566" s="88">
        <v>600</v>
      </c>
      <c r="N566" s="77">
        <f>100</f>
        <v>100</v>
      </c>
      <c r="O566" s="80">
        <v>240</v>
      </c>
      <c r="P566" s="80">
        <v>40</v>
      </c>
      <c r="Q566" s="80">
        <f t="shared" si="84"/>
        <v>315</v>
      </c>
      <c r="R566" s="80">
        <f t="shared" si="85"/>
        <v>100</v>
      </c>
      <c r="S566" s="77">
        <f t="shared" si="86"/>
        <v>695</v>
      </c>
      <c r="T566" s="77">
        <f>50</f>
        <v>50</v>
      </c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</row>
    <row r="567" spans="1:30" ht="15.75" x14ac:dyDescent="0.25">
      <c r="A567" s="32">
        <v>58195</v>
      </c>
      <c r="B567" s="89">
        <v>30</v>
      </c>
      <c r="C567" s="77">
        <f>141.293</f>
        <v>141.29300000000001</v>
      </c>
      <c r="D567" s="77">
        <f>267.993</f>
        <v>267.99299999999999</v>
      </c>
      <c r="E567" s="86">
        <f>115.016</f>
        <v>115.01600000000001</v>
      </c>
      <c r="F567" s="77">
        <f>314.698-40-25-60-100</f>
        <v>89.697999999999979</v>
      </c>
      <c r="G567" s="80">
        <v>40</v>
      </c>
      <c r="H567" s="77">
        <f t="shared" ref="H567:H573" si="91">25+60+100</f>
        <v>185</v>
      </c>
      <c r="I567" s="77">
        <f t="shared" si="90"/>
        <v>0</v>
      </c>
      <c r="J567" s="80">
        <v>100</v>
      </c>
      <c r="K567" s="80">
        <v>300</v>
      </c>
      <c r="L567" s="77">
        <f t="shared" si="83"/>
        <v>1239</v>
      </c>
      <c r="M567" s="88">
        <v>600</v>
      </c>
      <c r="N567" s="77">
        <f>100</f>
        <v>100</v>
      </c>
      <c r="O567" s="80">
        <v>240</v>
      </c>
      <c r="P567" s="80">
        <v>160</v>
      </c>
      <c r="Q567" s="80">
        <f t="shared" si="84"/>
        <v>195</v>
      </c>
      <c r="R567" s="80">
        <f t="shared" si="85"/>
        <v>100</v>
      </c>
      <c r="S567" s="77">
        <f t="shared" si="86"/>
        <v>695</v>
      </c>
      <c r="T567" s="77">
        <f>50</f>
        <v>50</v>
      </c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</row>
    <row r="568" spans="1:30" ht="15.75" x14ac:dyDescent="0.25">
      <c r="A568" s="32">
        <v>58226</v>
      </c>
      <c r="B568" s="89">
        <v>31</v>
      </c>
      <c r="C568" s="77">
        <f>194.205</f>
        <v>194.20500000000001</v>
      </c>
      <c r="D568" s="77">
        <f>267.466</f>
        <v>267.46600000000001</v>
      </c>
      <c r="E568" s="86">
        <f>133.845</f>
        <v>133.845</v>
      </c>
      <c r="F568" s="77">
        <f>278.484-40-25-60-100</f>
        <v>53.48399999999998</v>
      </c>
      <c r="G568" s="80">
        <v>40</v>
      </c>
      <c r="H568" s="77">
        <f t="shared" si="91"/>
        <v>185</v>
      </c>
      <c r="I568" s="77">
        <f t="shared" si="90"/>
        <v>0</v>
      </c>
      <c r="J568" s="80">
        <v>100</v>
      </c>
      <c r="K568" s="80">
        <v>300</v>
      </c>
      <c r="L568" s="77">
        <f t="shared" si="83"/>
        <v>1274</v>
      </c>
      <c r="M568" s="88">
        <v>600</v>
      </c>
      <c r="N568" s="77">
        <f>75</f>
        <v>75</v>
      </c>
      <c r="O568" s="80">
        <v>240</v>
      </c>
      <c r="P568" s="80">
        <v>160</v>
      </c>
      <c r="Q568" s="80">
        <f t="shared" si="84"/>
        <v>195</v>
      </c>
      <c r="R568" s="80">
        <f t="shared" si="85"/>
        <v>100</v>
      </c>
      <c r="S568" s="77">
        <f t="shared" si="86"/>
        <v>695</v>
      </c>
      <c r="T568" s="77">
        <f>50</f>
        <v>50</v>
      </c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</row>
    <row r="569" spans="1:30" ht="15.75" x14ac:dyDescent="0.25">
      <c r="A569" s="32">
        <v>58256</v>
      </c>
      <c r="B569" s="89">
        <v>30</v>
      </c>
      <c r="C569" s="77">
        <f>194.205</f>
        <v>194.20500000000001</v>
      </c>
      <c r="D569" s="77">
        <f>267.466</f>
        <v>267.46600000000001</v>
      </c>
      <c r="E569" s="86">
        <f>133.845</f>
        <v>133.845</v>
      </c>
      <c r="F569" s="77">
        <f>278.484-40-25-60-100</f>
        <v>53.48399999999998</v>
      </c>
      <c r="G569" s="80">
        <v>40</v>
      </c>
      <c r="H569" s="77">
        <f t="shared" si="91"/>
        <v>185</v>
      </c>
      <c r="I569" s="77">
        <f t="shared" si="90"/>
        <v>0</v>
      </c>
      <c r="J569" s="80">
        <v>100</v>
      </c>
      <c r="K569" s="80">
        <v>300</v>
      </c>
      <c r="L569" s="77">
        <f t="shared" si="83"/>
        <v>1274</v>
      </c>
      <c r="M569" s="88">
        <v>600</v>
      </c>
      <c r="N569" s="77">
        <f>30</f>
        <v>30</v>
      </c>
      <c r="O569" s="80">
        <v>240</v>
      </c>
      <c r="P569" s="80">
        <v>160</v>
      </c>
      <c r="Q569" s="80">
        <f t="shared" si="84"/>
        <v>195</v>
      </c>
      <c r="R569" s="80">
        <f t="shared" si="85"/>
        <v>100</v>
      </c>
      <c r="S569" s="77">
        <f t="shared" si="86"/>
        <v>695</v>
      </c>
      <c r="T569" s="77">
        <f>50</f>
        <v>50</v>
      </c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</row>
    <row r="570" spans="1:30" ht="15.75" x14ac:dyDescent="0.25">
      <c r="A570" s="32">
        <v>58287</v>
      </c>
      <c r="B570" s="89">
        <v>31</v>
      </c>
      <c r="C570" s="77">
        <f>194.205</f>
        <v>194.20500000000001</v>
      </c>
      <c r="D570" s="77">
        <f>267.466</f>
        <v>267.46600000000001</v>
      </c>
      <c r="E570" s="86">
        <f>133.845</f>
        <v>133.845</v>
      </c>
      <c r="F570" s="77">
        <f>278.484-40-25-60-100</f>
        <v>53.48399999999998</v>
      </c>
      <c r="G570" s="80">
        <v>40</v>
      </c>
      <c r="H570" s="77">
        <f t="shared" si="91"/>
        <v>185</v>
      </c>
      <c r="I570" s="77">
        <f t="shared" si="90"/>
        <v>0</v>
      </c>
      <c r="J570" s="80">
        <v>100</v>
      </c>
      <c r="K570" s="80">
        <v>300</v>
      </c>
      <c r="L570" s="77">
        <f t="shared" si="83"/>
        <v>1274</v>
      </c>
      <c r="M570" s="88">
        <v>600</v>
      </c>
      <c r="N570" s="77">
        <f>30</f>
        <v>30</v>
      </c>
      <c r="O570" s="80">
        <v>240</v>
      </c>
      <c r="P570" s="80">
        <v>160</v>
      </c>
      <c r="Q570" s="80">
        <f t="shared" si="84"/>
        <v>195</v>
      </c>
      <c r="R570" s="80">
        <f t="shared" si="85"/>
        <v>100</v>
      </c>
      <c r="S570" s="77">
        <f t="shared" si="86"/>
        <v>695</v>
      </c>
      <c r="T570" s="77">
        <f>0</f>
        <v>0</v>
      </c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</row>
    <row r="571" spans="1:30" ht="15.75" x14ac:dyDescent="0.25">
      <c r="A571" s="32">
        <v>58318</v>
      </c>
      <c r="B571" s="89">
        <v>31</v>
      </c>
      <c r="C571" s="77">
        <f>194.205</f>
        <v>194.20500000000001</v>
      </c>
      <c r="D571" s="77">
        <f>267.466</f>
        <v>267.46600000000001</v>
      </c>
      <c r="E571" s="86">
        <f>133.845</f>
        <v>133.845</v>
      </c>
      <c r="F571" s="77">
        <f>278.484-40-25-60-100</f>
        <v>53.48399999999998</v>
      </c>
      <c r="G571" s="80">
        <v>40</v>
      </c>
      <c r="H571" s="77">
        <f t="shared" si="91"/>
        <v>185</v>
      </c>
      <c r="I571" s="77">
        <f t="shared" si="90"/>
        <v>0</v>
      </c>
      <c r="J571" s="80">
        <v>100</v>
      </c>
      <c r="K571" s="80">
        <v>300</v>
      </c>
      <c r="L571" s="77">
        <f t="shared" si="83"/>
        <v>1274</v>
      </c>
      <c r="M571" s="88">
        <v>600</v>
      </c>
      <c r="N571" s="77">
        <f>30</f>
        <v>30</v>
      </c>
      <c r="O571" s="80">
        <v>240</v>
      </c>
      <c r="P571" s="80">
        <v>160</v>
      </c>
      <c r="Q571" s="80">
        <f t="shared" si="84"/>
        <v>195</v>
      </c>
      <c r="R571" s="80">
        <f t="shared" si="85"/>
        <v>100</v>
      </c>
      <c r="S571" s="77">
        <f t="shared" si="86"/>
        <v>695</v>
      </c>
      <c r="T571" s="77">
        <f>0</f>
        <v>0</v>
      </c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</row>
    <row r="572" spans="1:30" ht="15.75" x14ac:dyDescent="0.25">
      <c r="A572" s="32">
        <v>58348</v>
      </c>
      <c r="B572" s="89">
        <v>30</v>
      </c>
      <c r="C572" s="77">
        <f>194.205</f>
        <v>194.20500000000001</v>
      </c>
      <c r="D572" s="77">
        <f>267.466</f>
        <v>267.46600000000001</v>
      </c>
      <c r="E572" s="86">
        <f>133.845</f>
        <v>133.845</v>
      </c>
      <c r="F572" s="77">
        <f>278.484-40-25-60-100</f>
        <v>53.48399999999998</v>
      </c>
      <c r="G572" s="80">
        <v>40</v>
      </c>
      <c r="H572" s="77">
        <f t="shared" si="91"/>
        <v>185</v>
      </c>
      <c r="I572" s="77">
        <f t="shared" si="90"/>
        <v>0</v>
      </c>
      <c r="J572" s="80">
        <v>100</v>
      </c>
      <c r="K572" s="80">
        <v>300</v>
      </c>
      <c r="L572" s="77">
        <f t="shared" si="83"/>
        <v>1274</v>
      </c>
      <c r="M572" s="88">
        <v>600</v>
      </c>
      <c r="N572" s="77">
        <f>30</f>
        <v>30</v>
      </c>
      <c r="O572" s="80">
        <v>240</v>
      </c>
      <c r="P572" s="80">
        <v>160</v>
      </c>
      <c r="Q572" s="80">
        <f t="shared" si="84"/>
        <v>195</v>
      </c>
      <c r="R572" s="80">
        <f t="shared" si="85"/>
        <v>100</v>
      </c>
      <c r="S572" s="77">
        <f t="shared" si="86"/>
        <v>695</v>
      </c>
      <c r="T572" s="77">
        <f>0</f>
        <v>0</v>
      </c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</row>
    <row r="573" spans="1:30" ht="15.75" x14ac:dyDescent="0.25">
      <c r="A573" s="32">
        <v>58379</v>
      </c>
      <c r="B573" s="89">
        <v>31</v>
      </c>
      <c r="C573" s="77">
        <f>131.881</f>
        <v>131.881</v>
      </c>
      <c r="D573" s="77">
        <f>277.167</f>
        <v>277.16699999999997</v>
      </c>
      <c r="E573" s="86">
        <f>79.08</f>
        <v>79.08</v>
      </c>
      <c r="F573" s="77">
        <f>350.872-40-25-60-100</f>
        <v>125.87200000000001</v>
      </c>
      <c r="G573" s="80">
        <v>40</v>
      </c>
      <c r="H573" s="77">
        <f t="shared" si="91"/>
        <v>185</v>
      </c>
      <c r="I573" s="77">
        <f t="shared" si="90"/>
        <v>0</v>
      </c>
      <c r="J573" s="80">
        <v>100</v>
      </c>
      <c r="K573" s="80">
        <v>300</v>
      </c>
      <c r="L573" s="77">
        <f t="shared" si="83"/>
        <v>1239</v>
      </c>
      <c r="M573" s="88">
        <v>600</v>
      </c>
      <c r="N573" s="77">
        <f>75</f>
        <v>75</v>
      </c>
      <c r="O573" s="80">
        <v>240</v>
      </c>
      <c r="P573" s="80">
        <v>160</v>
      </c>
      <c r="Q573" s="80">
        <f t="shared" si="84"/>
        <v>195</v>
      </c>
      <c r="R573" s="80">
        <f t="shared" si="85"/>
        <v>100</v>
      </c>
      <c r="S573" s="77">
        <f t="shared" si="86"/>
        <v>695</v>
      </c>
      <c r="T573" s="77">
        <f>0</f>
        <v>0</v>
      </c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</row>
    <row r="574" spans="1:30" ht="15.75" x14ac:dyDescent="0.25">
      <c r="A574" s="32">
        <v>58409</v>
      </c>
      <c r="B574" s="89">
        <v>30</v>
      </c>
      <c r="C574" s="77">
        <f>122.58</f>
        <v>122.58</v>
      </c>
      <c r="D574" s="77">
        <f>297.941</f>
        <v>297.94099999999997</v>
      </c>
      <c r="E574" s="86">
        <f>89.177</f>
        <v>89.177000000000007</v>
      </c>
      <c r="F574" s="77">
        <f>240.302-40-60-100</f>
        <v>40.301999999999992</v>
      </c>
      <c r="G574" s="80">
        <v>40</v>
      </c>
      <c r="H574" s="77">
        <f>60+100</f>
        <v>160</v>
      </c>
      <c r="I574" s="77">
        <f t="shared" si="90"/>
        <v>0</v>
      </c>
      <c r="J574" s="80">
        <v>100</v>
      </c>
      <c r="K574" s="80">
        <v>300</v>
      </c>
      <c r="L574" s="77">
        <f t="shared" si="83"/>
        <v>1150</v>
      </c>
      <c r="M574" s="88">
        <v>600</v>
      </c>
      <c r="N574" s="77">
        <f>100</f>
        <v>100</v>
      </c>
      <c r="O574" s="80">
        <v>240</v>
      </c>
      <c r="P574" s="80">
        <v>40</v>
      </c>
      <c r="Q574" s="80">
        <f t="shared" si="84"/>
        <v>315</v>
      </c>
      <c r="R574" s="80">
        <f t="shared" si="85"/>
        <v>100</v>
      </c>
      <c r="S574" s="77">
        <f t="shared" si="86"/>
        <v>695</v>
      </c>
      <c r="T574" s="77">
        <f>50</f>
        <v>50</v>
      </c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</row>
    <row r="575" spans="1:30" ht="15.75" x14ac:dyDescent="0.25">
      <c r="A575" s="32">
        <v>58440</v>
      </c>
      <c r="B575" s="89">
        <v>31</v>
      </c>
      <c r="C575" s="77">
        <f>122.58</f>
        <v>122.58</v>
      </c>
      <c r="D575" s="77">
        <f>297.941</f>
        <v>297.94099999999997</v>
      </c>
      <c r="E575" s="86">
        <f>89.177</f>
        <v>89.177000000000007</v>
      </c>
      <c r="F575" s="77">
        <f>240.302-40-60-100</f>
        <v>40.301999999999992</v>
      </c>
      <c r="G575" s="80">
        <v>40</v>
      </c>
      <c r="H575" s="77">
        <f>60+100</f>
        <v>160</v>
      </c>
      <c r="I575" s="77">
        <f t="shared" si="90"/>
        <v>0</v>
      </c>
      <c r="J575" s="80">
        <v>100</v>
      </c>
      <c r="K575" s="80">
        <v>300</v>
      </c>
      <c r="L575" s="77">
        <f t="shared" si="83"/>
        <v>1150</v>
      </c>
      <c r="M575" s="88">
        <v>600</v>
      </c>
      <c r="N575" s="77">
        <f>100</f>
        <v>100</v>
      </c>
      <c r="O575" s="80">
        <v>240</v>
      </c>
      <c r="P575" s="80">
        <v>40</v>
      </c>
      <c r="Q575" s="80">
        <f t="shared" si="84"/>
        <v>315</v>
      </c>
      <c r="R575" s="80">
        <f t="shared" si="85"/>
        <v>100</v>
      </c>
      <c r="S575" s="77">
        <f t="shared" si="86"/>
        <v>695</v>
      </c>
      <c r="T575" s="77">
        <f>50</f>
        <v>50</v>
      </c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</row>
    <row r="576" spans="1:30" ht="15.75" x14ac:dyDescent="0.25">
      <c r="A576" s="32">
        <v>58471</v>
      </c>
      <c r="B576" s="89">
        <v>31</v>
      </c>
      <c r="C576" s="77">
        <f>122.58</f>
        <v>122.58</v>
      </c>
      <c r="D576" s="77">
        <f>297.941</f>
        <v>297.94099999999997</v>
      </c>
      <c r="E576" s="86">
        <f>89.177</f>
        <v>89.177000000000007</v>
      </c>
      <c r="F576" s="77">
        <f>240.302-40-60-100</f>
        <v>40.301999999999992</v>
      </c>
      <c r="G576" s="80">
        <v>40</v>
      </c>
      <c r="H576" s="77">
        <f>60+100</f>
        <v>160</v>
      </c>
      <c r="I576" s="77">
        <f t="shared" si="90"/>
        <v>0</v>
      </c>
      <c r="J576" s="80">
        <v>100</v>
      </c>
      <c r="K576" s="80">
        <v>300</v>
      </c>
      <c r="L576" s="77">
        <f t="shared" si="83"/>
        <v>1150</v>
      </c>
      <c r="M576" s="88">
        <v>600</v>
      </c>
      <c r="N576" s="77">
        <f>100</f>
        <v>100</v>
      </c>
      <c r="O576" s="80">
        <v>240</v>
      </c>
      <c r="P576" s="80">
        <v>40</v>
      </c>
      <c r="Q576" s="80">
        <f t="shared" si="84"/>
        <v>315</v>
      </c>
      <c r="R576" s="80">
        <f t="shared" si="85"/>
        <v>100</v>
      </c>
      <c r="S576" s="77">
        <f t="shared" si="86"/>
        <v>695</v>
      </c>
      <c r="T576" s="77">
        <f>50</f>
        <v>50</v>
      </c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</row>
    <row r="577" spans="1:30" ht="15.75" x14ac:dyDescent="0.25">
      <c r="A577" s="32">
        <v>58499</v>
      </c>
      <c r="B577" s="89">
        <v>29</v>
      </c>
      <c r="C577" s="77">
        <f>122.58</f>
        <v>122.58</v>
      </c>
      <c r="D577" s="77">
        <f>297.941</f>
        <v>297.94099999999997</v>
      </c>
      <c r="E577" s="86">
        <f>89.177</f>
        <v>89.177000000000007</v>
      </c>
      <c r="F577" s="77">
        <f>240.302-40-60-100</f>
        <v>40.301999999999992</v>
      </c>
      <c r="G577" s="80">
        <v>40</v>
      </c>
      <c r="H577" s="77">
        <f>60+100</f>
        <v>160</v>
      </c>
      <c r="I577" s="77">
        <f t="shared" si="90"/>
        <v>0</v>
      </c>
      <c r="J577" s="80">
        <v>100</v>
      </c>
      <c r="K577" s="80">
        <v>300</v>
      </c>
      <c r="L577" s="77">
        <f t="shared" si="83"/>
        <v>1150</v>
      </c>
      <c r="M577" s="88">
        <v>600</v>
      </c>
      <c r="N577" s="77">
        <f>100</f>
        <v>100</v>
      </c>
      <c r="O577" s="80">
        <v>240</v>
      </c>
      <c r="P577" s="80">
        <v>40</v>
      </c>
      <c r="Q577" s="80">
        <f t="shared" si="84"/>
        <v>315</v>
      </c>
      <c r="R577" s="80">
        <f t="shared" si="85"/>
        <v>100</v>
      </c>
      <c r="S577" s="77">
        <f t="shared" si="86"/>
        <v>695</v>
      </c>
      <c r="T577" s="77">
        <f>50</f>
        <v>50</v>
      </c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</row>
    <row r="578" spans="1:30" ht="15.75" x14ac:dyDescent="0.25">
      <c r="A578" s="32">
        <v>58531</v>
      </c>
      <c r="B578" s="89">
        <v>31</v>
      </c>
      <c r="C578" s="77">
        <f>122.58</f>
        <v>122.58</v>
      </c>
      <c r="D578" s="77">
        <f>297.941</f>
        <v>297.94099999999997</v>
      </c>
      <c r="E578" s="86">
        <f>89.177</f>
        <v>89.177000000000007</v>
      </c>
      <c r="F578" s="77">
        <f>240.302-40-60-100</f>
        <v>40.301999999999992</v>
      </c>
      <c r="G578" s="80">
        <v>40</v>
      </c>
      <c r="H578" s="77">
        <f>60+100</f>
        <v>160</v>
      </c>
      <c r="I578" s="77">
        <f t="shared" si="90"/>
        <v>0</v>
      </c>
      <c r="J578" s="80">
        <v>100</v>
      </c>
      <c r="K578" s="80">
        <v>300</v>
      </c>
      <c r="L578" s="77">
        <f t="shared" si="83"/>
        <v>1150</v>
      </c>
      <c r="M578" s="88">
        <v>600</v>
      </c>
      <c r="N578" s="77">
        <f>100</f>
        <v>100</v>
      </c>
      <c r="O578" s="80">
        <v>240</v>
      </c>
      <c r="P578" s="80">
        <v>40</v>
      </c>
      <c r="Q578" s="80">
        <f t="shared" si="84"/>
        <v>315</v>
      </c>
      <c r="R578" s="80">
        <f t="shared" si="85"/>
        <v>100</v>
      </c>
      <c r="S578" s="77">
        <f t="shared" si="86"/>
        <v>695</v>
      </c>
      <c r="T578" s="77">
        <f>50</f>
        <v>50</v>
      </c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</row>
    <row r="579" spans="1:30" ht="15.75" x14ac:dyDescent="0.25">
      <c r="A579" s="32">
        <v>58561</v>
      </c>
      <c r="B579" s="89">
        <v>30</v>
      </c>
      <c r="C579" s="77">
        <f>141.293</f>
        <v>141.29300000000001</v>
      </c>
      <c r="D579" s="77">
        <f>267.993</f>
        <v>267.99299999999999</v>
      </c>
      <c r="E579" s="86">
        <f>115.016</f>
        <v>115.01600000000001</v>
      </c>
      <c r="F579" s="77">
        <f>314.698-40-25-60-100</f>
        <v>89.697999999999979</v>
      </c>
      <c r="G579" s="80">
        <v>40</v>
      </c>
      <c r="H579" s="77">
        <f t="shared" ref="H579:H585" si="92">25+60+100</f>
        <v>185</v>
      </c>
      <c r="I579" s="77">
        <f t="shared" si="90"/>
        <v>0</v>
      </c>
      <c r="J579" s="80">
        <v>100</v>
      </c>
      <c r="K579" s="80">
        <v>300</v>
      </c>
      <c r="L579" s="77">
        <f t="shared" si="83"/>
        <v>1239</v>
      </c>
      <c r="M579" s="88">
        <v>600</v>
      </c>
      <c r="N579" s="77">
        <f>100</f>
        <v>100</v>
      </c>
      <c r="O579" s="80">
        <v>240</v>
      </c>
      <c r="P579" s="80">
        <v>160</v>
      </c>
      <c r="Q579" s="80">
        <f t="shared" si="84"/>
        <v>195</v>
      </c>
      <c r="R579" s="80">
        <f t="shared" si="85"/>
        <v>100</v>
      </c>
      <c r="S579" s="77">
        <f t="shared" si="86"/>
        <v>695</v>
      </c>
      <c r="T579" s="77">
        <f>50</f>
        <v>50</v>
      </c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</row>
    <row r="580" spans="1:30" ht="15.75" x14ac:dyDescent="0.25">
      <c r="A580" s="32">
        <v>58592</v>
      </c>
      <c r="B580" s="89">
        <v>31</v>
      </c>
      <c r="C580" s="77">
        <f>194.205</f>
        <v>194.20500000000001</v>
      </c>
      <c r="D580" s="77">
        <f>267.466</f>
        <v>267.46600000000001</v>
      </c>
      <c r="E580" s="86">
        <f>133.845</f>
        <v>133.845</v>
      </c>
      <c r="F580" s="77">
        <f>278.484-40-25-60-100</f>
        <v>53.48399999999998</v>
      </c>
      <c r="G580" s="80">
        <v>40</v>
      </c>
      <c r="H580" s="77">
        <f t="shared" si="92"/>
        <v>185</v>
      </c>
      <c r="I580" s="77">
        <f t="shared" si="90"/>
        <v>0</v>
      </c>
      <c r="J580" s="80">
        <v>100</v>
      </c>
      <c r="K580" s="80">
        <v>300</v>
      </c>
      <c r="L580" s="77">
        <f t="shared" si="83"/>
        <v>1274</v>
      </c>
      <c r="M580" s="88">
        <v>600</v>
      </c>
      <c r="N580" s="77">
        <f>75</f>
        <v>75</v>
      </c>
      <c r="O580" s="80">
        <v>240</v>
      </c>
      <c r="P580" s="80">
        <v>160</v>
      </c>
      <c r="Q580" s="80">
        <f t="shared" si="84"/>
        <v>195</v>
      </c>
      <c r="R580" s="80">
        <f t="shared" si="85"/>
        <v>100</v>
      </c>
      <c r="S580" s="77">
        <f t="shared" si="86"/>
        <v>695</v>
      </c>
      <c r="T580" s="77">
        <f>50</f>
        <v>50</v>
      </c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</row>
    <row r="581" spans="1:30" ht="15.75" x14ac:dyDescent="0.25">
      <c r="A581" s="32">
        <v>58622</v>
      </c>
      <c r="B581" s="89">
        <v>30</v>
      </c>
      <c r="C581" s="77">
        <f>194.205</f>
        <v>194.20500000000001</v>
      </c>
      <c r="D581" s="77">
        <f>267.466</f>
        <v>267.46600000000001</v>
      </c>
      <c r="E581" s="86">
        <f>133.845</f>
        <v>133.845</v>
      </c>
      <c r="F581" s="77">
        <f>278.484-40-25-60-100</f>
        <v>53.48399999999998</v>
      </c>
      <c r="G581" s="80">
        <v>40</v>
      </c>
      <c r="H581" s="77">
        <f t="shared" si="92"/>
        <v>185</v>
      </c>
      <c r="I581" s="77">
        <f t="shared" si="90"/>
        <v>0</v>
      </c>
      <c r="J581" s="80">
        <v>100</v>
      </c>
      <c r="K581" s="80">
        <v>300</v>
      </c>
      <c r="L581" s="77">
        <f t="shared" si="83"/>
        <v>1274</v>
      </c>
      <c r="M581" s="88">
        <v>600</v>
      </c>
      <c r="N581" s="77">
        <f>30</f>
        <v>30</v>
      </c>
      <c r="O581" s="80">
        <v>240</v>
      </c>
      <c r="P581" s="80">
        <v>160</v>
      </c>
      <c r="Q581" s="80">
        <f t="shared" si="84"/>
        <v>195</v>
      </c>
      <c r="R581" s="80">
        <f t="shared" si="85"/>
        <v>100</v>
      </c>
      <c r="S581" s="77">
        <f t="shared" si="86"/>
        <v>695</v>
      </c>
      <c r="T581" s="77">
        <f>50</f>
        <v>50</v>
      </c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</row>
    <row r="582" spans="1:30" ht="15.75" x14ac:dyDescent="0.25">
      <c r="A582" s="32">
        <v>58653</v>
      </c>
      <c r="B582" s="89">
        <v>31</v>
      </c>
      <c r="C582" s="77">
        <f>194.205</f>
        <v>194.20500000000001</v>
      </c>
      <c r="D582" s="77">
        <f>267.466</f>
        <v>267.46600000000001</v>
      </c>
      <c r="E582" s="86">
        <f>133.845</f>
        <v>133.845</v>
      </c>
      <c r="F582" s="77">
        <f>278.484-40-25-60-100</f>
        <v>53.48399999999998</v>
      </c>
      <c r="G582" s="80">
        <v>40</v>
      </c>
      <c r="H582" s="77">
        <f t="shared" si="92"/>
        <v>185</v>
      </c>
      <c r="I582" s="77">
        <f t="shared" si="90"/>
        <v>0</v>
      </c>
      <c r="J582" s="80">
        <v>100</v>
      </c>
      <c r="K582" s="80">
        <v>300</v>
      </c>
      <c r="L582" s="77">
        <f t="shared" si="83"/>
        <v>1274</v>
      </c>
      <c r="M582" s="88">
        <v>600</v>
      </c>
      <c r="N582" s="77">
        <f>30</f>
        <v>30</v>
      </c>
      <c r="O582" s="80">
        <v>240</v>
      </c>
      <c r="P582" s="80">
        <v>160</v>
      </c>
      <c r="Q582" s="80">
        <f t="shared" si="84"/>
        <v>195</v>
      </c>
      <c r="R582" s="80">
        <f t="shared" si="85"/>
        <v>100</v>
      </c>
      <c r="S582" s="77">
        <f t="shared" si="86"/>
        <v>695</v>
      </c>
      <c r="T582" s="77">
        <f>0</f>
        <v>0</v>
      </c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</row>
    <row r="583" spans="1:30" ht="15.75" x14ac:dyDescent="0.25">
      <c r="A583" s="32">
        <v>58684</v>
      </c>
      <c r="B583" s="89">
        <v>31</v>
      </c>
      <c r="C583" s="77">
        <f>194.205</f>
        <v>194.20500000000001</v>
      </c>
      <c r="D583" s="77">
        <f>267.466</f>
        <v>267.46600000000001</v>
      </c>
      <c r="E583" s="86">
        <f>133.845</f>
        <v>133.845</v>
      </c>
      <c r="F583" s="77">
        <f>278.484-40-25-60-100</f>
        <v>53.48399999999998</v>
      </c>
      <c r="G583" s="80">
        <v>40</v>
      </c>
      <c r="H583" s="77">
        <f t="shared" si="92"/>
        <v>185</v>
      </c>
      <c r="I583" s="77">
        <f t="shared" si="90"/>
        <v>0</v>
      </c>
      <c r="J583" s="80">
        <v>100</v>
      </c>
      <c r="K583" s="80">
        <v>300</v>
      </c>
      <c r="L583" s="77">
        <f t="shared" si="83"/>
        <v>1274</v>
      </c>
      <c r="M583" s="88">
        <v>600</v>
      </c>
      <c r="N583" s="77">
        <f>30</f>
        <v>30</v>
      </c>
      <c r="O583" s="80">
        <v>240</v>
      </c>
      <c r="P583" s="80">
        <v>160</v>
      </c>
      <c r="Q583" s="80">
        <f t="shared" si="84"/>
        <v>195</v>
      </c>
      <c r="R583" s="80">
        <f t="shared" si="85"/>
        <v>100</v>
      </c>
      <c r="S583" s="77">
        <f t="shared" si="86"/>
        <v>695</v>
      </c>
      <c r="T583" s="77">
        <f>0</f>
        <v>0</v>
      </c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</row>
    <row r="584" spans="1:30" ht="15.75" x14ac:dyDescent="0.25">
      <c r="A584" s="32">
        <v>58714</v>
      </c>
      <c r="B584" s="89">
        <v>30</v>
      </c>
      <c r="C584" s="77">
        <f>194.205</f>
        <v>194.20500000000001</v>
      </c>
      <c r="D584" s="77">
        <f>267.466</f>
        <v>267.46600000000001</v>
      </c>
      <c r="E584" s="86">
        <f>133.845</f>
        <v>133.845</v>
      </c>
      <c r="F584" s="77">
        <f>278.484-40-25-60-100</f>
        <v>53.48399999999998</v>
      </c>
      <c r="G584" s="80">
        <v>40</v>
      </c>
      <c r="H584" s="77">
        <f t="shared" si="92"/>
        <v>185</v>
      </c>
      <c r="I584" s="77">
        <f t="shared" si="90"/>
        <v>0</v>
      </c>
      <c r="J584" s="80">
        <v>100</v>
      </c>
      <c r="K584" s="80">
        <v>300</v>
      </c>
      <c r="L584" s="77">
        <f t="shared" si="83"/>
        <v>1274</v>
      </c>
      <c r="M584" s="88">
        <v>600</v>
      </c>
      <c r="N584" s="77">
        <f>30</f>
        <v>30</v>
      </c>
      <c r="O584" s="80">
        <v>240</v>
      </c>
      <c r="P584" s="80">
        <v>160</v>
      </c>
      <c r="Q584" s="80">
        <f t="shared" si="84"/>
        <v>195</v>
      </c>
      <c r="R584" s="80">
        <f t="shared" si="85"/>
        <v>100</v>
      </c>
      <c r="S584" s="77">
        <f t="shared" si="86"/>
        <v>695</v>
      </c>
      <c r="T584" s="77">
        <f>0</f>
        <v>0</v>
      </c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</row>
    <row r="585" spans="1:30" ht="15.75" x14ac:dyDescent="0.25">
      <c r="A585" s="32">
        <v>58745</v>
      </c>
      <c r="B585" s="89">
        <v>31</v>
      </c>
      <c r="C585" s="77">
        <f>131.881</f>
        <v>131.881</v>
      </c>
      <c r="D585" s="77">
        <f>277.167</f>
        <v>277.16699999999997</v>
      </c>
      <c r="E585" s="86">
        <f>79.08</f>
        <v>79.08</v>
      </c>
      <c r="F585" s="77">
        <f>350.872-40-25-60-100</f>
        <v>125.87200000000001</v>
      </c>
      <c r="G585" s="80">
        <v>40</v>
      </c>
      <c r="H585" s="77">
        <f t="shared" si="92"/>
        <v>185</v>
      </c>
      <c r="I585" s="77">
        <f t="shared" si="90"/>
        <v>0</v>
      </c>
      <c r="J585" s="80">
        <v>100</v>
      </c>
      <c r="K585" s="80">
        <v>300</v>
      </c>
      <c r="L585" s="77">
        <f t="shared" si="83"/>
        <v>1239</v>
      </c>
      <c r="M585" s="88">
        <v>600</v>
      </c>
      <c r="N585" s="77">
        <f>75</f>
        <v>75</v>
      </c>
      <c r="O585" s="80">
        <v>240</v>
      </c>
      <c r="P585" s="80">
        <v>160</v>
      </c>
      <c r="Q585" s="80">
        <f t="shared" si="84"/>
        <v>195</v>
      </c>
      <c r="R585" s="80">
        <f t="shared" si="85"/>
        <v>100</v>
      </c>
      <c r="S585" s="77">
        <f t="shared" si="86"/>
        <v>695</v>
      </c>
      <c r="T585" s="77">
        <f>0</f>
        <v>0</v>
      </c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</row>
    <row r="586" spans="1:30" ht="15.75" x14ac:dyDescent="0.25">
      <c r="A586" s="32">
        <v>58775</v>
      </c>
      <c r="B586" s="89">
        <v>30</v>
      </c>
      <c r="C586" s="77">
        <f>122.58</f>
        <v>122.58</v>
      </c>
      <c r="D586" s="77">
        <f>297.941</f>
        <v>297.94099999999997</v>
      </c>
      <c r="E586" s="86">
        <f>89.177</f>
        <v>89.177000000000007</v>
      </c>
      <c r="F586" s="77">
        <f>240.302-40-60-100</f>
        <v>40.301999999999992</v>
      </c>
      <c r="G586" s="80">
        <v>40</v>
      </c>
      <c r="H586" s="77">
        <f>60+100</f>
        <v>160</v>
      </c>
      <c r="I586" s="77">
        <f t="shared" si="90"/>
        <v>0</v>
      </c>
      <c r="J586" s="80">
        <v>100</v>
      </c>
      <c r="K586" s="80">
        <v>300</v>
      </c>
      <c r="L586" s="77">
        <f t="shared" si="83"/>
        <v>1150</v>
      </c>
      <c r="M586" s="88">
        <v>600</v>
      </c>
      <c r="N586" s="77">
        <f>100</f>
        <v>100</v>
      </c>
      <c r="O586" s="80">
        <v>240</v>
      </c>
      <c r="P586" s="80">
        <v>40</v>
      </c>
      <c r="Q586" s="80">
        <f t="shared" si="84"/>
        <v>315</v>
      </c>
      <c r="R586" s="80">
        <f t="shared" si="85"/>
        <v>100</v>
      </c>
      <c r="S586" s="77">
        <f t="shared" si="86"/>
        <v>695</v>
      </c>
      <c r="T586" s="77">
        <f>50</f>
        <v>50</v>
      </c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</row>
    <row r="587" spans="1:30" ht="15.75" x14ac:dyDescent="0.25">
      <c r="A587" s="32">
        <v>58806</v>
      </c>
      <c r="B587" s="89">
        <v>31</v>
      </c>
      <c r="C587" s="77">
        <f>122.58</f>
        <v>122.58</v>
      </c>
      <c r="D587" s="77">
        <f>297.941</f>
        <v>297.94099999999997</v>
      </c>
      <c r="E587" s="86">
        <f>89.177</f>
        <v>89.177000000000007</v>
      </c>
      <c r="F587" s="77">
        <f>240.302-40-60-100</f>
        <v>40.301999999999992</v>
      </c>
      <c r="G587" s="80">
        <v>40</v>
      </c>
      <c r="H587" s="77">
        <f>60+100</f>
        <v>160</v>
      </c>
      <c r="I587" s="77">
        <f t="shared" si="90"/>
        <v>0</v>
      </c>
      <c r="J587" s="80">
        <v>100</v>
      </c>
      <c r="K587" s="80">
        <v>300</v>
      </c>
      <c r="L587" s="77">
        <f t="shared" si="83"/>
        <v>1150</v>
      </c>
      <c r="M587" s="88">
        <v>600</v>
      </c>
      <c r="N587" s="77">
        <f>100</f>
        <v>100</v>
      </c>
      <c r="O587" s="80">
        <v>240</v>
      </c>
      <c r="P587" s="80">
        <v>40</v>
      </c>
      <c r="Q587" s="80">
        <f t="shared" si="84"/>
        <v>315</v>
      </c>
      <c r="R587" s="80">
        <f t="shared" si="85"/>
        <v>100</v>
      </c>
      <c r="S587" s="77">
        <f t="shared" si="86"/>
        <v>695</v>
      </c>
      <c r="T587" s="77">
        <f>50</f>
        <v>50</v>
      </c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</row>
    <row r="588" spans="1:30" ht="15.75" x14ac:dyDescent="0.25">
      <c r="A588" s="32">
        <v>58837</v>
      </c>
      <c r="B588" s="89">
        <v>31</v>
      </c>
      <c r="C588" s="77">
        <f>122.58</f>
        <v>122.58</v>
      </c>
      <c r="D588" s="77">
        <f>297.941</f>
        <v>297.94099999999997</v>
      </c>
      <c r="E588" s="86">
        <f>89.177</f>
        <v>89.177000000000007</v>
      </c>
      <c r="F588" s="77">
        <f>240.302-40-60-100</f>
        <v>40.301999999999992</v>
      </c>
      <c r="G588" s="80">
        <v>40</v>
      </c>
      <c r="H588" s="77">
        <f>60+100</f>
        <v>160</v>
      </c>
      <c r="I588" s="77">
        <f t="shared" si="90"/>
        <v>0</v>
      </c>
      <c r="J588" s="80">
        <v>100</v>
      </c>
      <c r="K588" s="80">
        <v>300</v>
      </c>
      <c r="L588" s="77">
        <f t="shared" si="83"/>
        <v>1150</v>
      </c>
      <c r="M588" s="88">
        <v>600</v>
      </c>
      <c r="N588" s="77">
        <f>100</f>
        <v>100</v>
      </c>
      <c r="O588" s="80">
        <v>240</v>
      </c>
      <c r="P588" s="80">
        <v>40</v>
      </c>
      <c r="Q588" s="80">
        <f t="shared" si="84"/>
        <v>315</v>
      </c>
      <c r="R588" s="80">
        <f t="shared" si="85"/>
        <v>100</v>
      </c>
      <c r="S588" s="77">
        <f t="shared" si="86"/>
        <v>695</v>
      </c>
      <c r="T588" s="77">
        <f>50</f>
        <v>50</v>
      </c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</row>
    <row r="589" spans="1:30" ht="15.75" x14ac:dyDescent="0.25">
      <c r="A589" s="32">
        <v>58865</v>
      </c>
      <c r="B589" s="89">
        <v>28</v>
      </c>
      <c r="C589" s="77">
        <f>122.58</f>
        <v>122.58</v>
      </c>
      <c r="D589" s="77">
        <f>297.941</f>
        <v>297.94099999999997</v>
      </c>
      <c r="E589" s="86">
        <f>89.177</f>
        <v>89.177000000000007</v>
      </c>
      <c r="F589" s="77">
        <f>240.302-40-60-100</f>
        <v>40.301999999999992</v>
      </c>
      <c r="G589" s="80">
        <v>40</v>
      </c>
      <c r="H589" s="77">
        <f>60+100</f>
        <v>160</v>
      </c>
      <c r="I589" s="77">
        <f t="shared" si="90"/>
        <v>0</v>
      </c>
      <c r="J589" s="80">
        <v>100</v>
      </c>
      <c r="K589" s="80">
        <v>300</v>
      </c>
      <c r="L589" s="77">
        <f t="shared" si="83"/>
        <v>1150</v>
      </c>
      <c r="M589" s="88">
        <v>600</v>
      </c>
      <c r="N589" s="77">
        <f>100</f>
        <v>100</v>
      </c>
      <c r="O589" s="80">
        <v>240</v>
      </c>
      <c r="P589" s="80">
        <v>40</v>
      </c>
      <c r="Q589" s="80">
        <f t="shared" si="84"/>
        <v>315</v>
      </c>
      <c r="R589" s="80">
        <f t="shared" si="85"/>
        <v>100</v>
      </c>
      <c r="S589" s="77">
        <f t="shared" si="86"/>
        <v>695</v>
      </c>
      <c r="T589" s="77">
        <f>50</f>
        <v>50</v>
      </c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</row>
    <row r="590" spans="1:30" ht="15.75" x14ac:dyDescent="0.25">
      <c r="A590" s="32">
        <v>58893</v>
      </c>
      <c r="B590" s="89">
        <v>31</v>
      </c>
      <c r="C590" s="77">
        <f>122.58</f>
        <v>122.58</v>
      </c>
      <c r="D590" s="77">
        <f>297.941</f>
        <v>297.94099999999997</v>
      </c>
      <c r="E590" s="86">
        <f>89.177</f>
        <v>89.177000000000007</v>
      </c>
      <c r="F590" s="77">
        <f>240.302-40-60-100</f>
        <v>40.301999999999992</v>
      </c>
      <c r="G590" s="80">
        <v>40</v>
      </c>
      <c r="H590" s="77">
        <f>60+100</f>
        <v>160</v>
      </c>
      <c r="I590" s="77">
        <f t="shared" si="90"/>
        <v>0</v>
      </c>
      <c r="J590" s="80">
        <v>100</v>
      </c>
      <c r="K590" s="80">
        <v>300</v>
      </c>
      <c r="L590" s="77">
        <f t="shared" si="83"/>
        <v>1150</v>
      </c>
      <c r="M590" s="88">
        <v>600</v>
      </c>
      <c r="N590" s="77">
        <f>100</f>
        <v>100</v>
      </c>
      <c r="O590" s="80">
        <v>240</v>
      </c>
      <c r="P590" s="80">
        <v>40</v>
      </c>
      <c r="Q590" s="80">
        <f t="shared" si="84"/>
        <v>315</v>
      </c>
      <c r="R590" s="80">
        <f t="shared" si="85"/>
        <v>100</v>
      </c>
      <c r="S590" s="77">
        <f t="shared" si="86"/>
        <v>695</v>
      </c>
      <c r="T590" s="77">
        <f>50</f>
        <v>50</v>
      </c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</row>
    <row r="591" spans="1:30" ht="15.75" x14ac:dyDescent="0.25">
      <c r="A591" s="32">
        <v>58926</v>
      </c>
      <c r="B591" s="89">
        <v>30</v>
      </c>
      <c r="C591" s="77">
        <f>141.293</f>
        <v>141.29300000000001</v>
      </c>
      <c r="D591" s="77">
        <f>267.993</f>
        <v>267.99299999999999</v>
      </c>
      <c r="E591" s="86">
        <f>115.016</f>
        <v>115.01600000000001</v>
      </c>
      <c r="F591" s="77">
        <f>314.698-40-25-60-100</f>
        <v>89.697999999999979</v>
      </c>
      <c r="G591" s="80">
        <v>40</v>
      </c>
      <c r="H591" s="77">
        <f t="shared" ref="H591:H597" si="93">25+60+100</f>
        <v>185</v>
      </c>
      <c r="I591" s="77">
        <f t="shared" si="90"/>
        <v>0</v>
      </c>
      <c r="J591" s="80">
        <v>100</v>
      </c>
      <c r="K591" s="80">
        <v>300</v>
      </c>
      <c r="L591" s="77">
        <f t="shared" si="83"/>
        <v>1239</v>
      </c>
      <c r="M591" s="88">
        <v>600</v>
      </c>
      <c r="N591" s="77">
        <f>100</f>
        <v>100</v>
      </c>
      <c r="O591" s="80">
        <v>240</v>
      </c>
      <c r="P591" s="80">
        <v>160</v>
      </c>
      <c r="Q591" s="80">
        <f t="shared" si="84"/>
        <v>195</v>
      </c>
      <c r="R591" s="80">
        <f t="shared" si="85"/>
        <v>100</v>
      </c>
      <c r="S591" s="77">
        <f t="shared" si="86"/>
        <v>695</v>
      </c>
      <c r="T591" s="77">
        <f>50</f>
        <v>50</v>
      </c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</row>
    <row r="592" spans="1:30" ht="15.75" x14ac:dyDescent="0.25">
      <c r="A592" s="32">
        <v>58957</v>
      </c>
      <c r="B592" s="89">
        <v>31</v>
      </c>
      <c r="C592" s="77">
        <f>194.205</f>
        <v>194.20500000000001</v>
      </c>
      <c r="D592" s="77">
        <f>267.466</f>
        <v>267.46600000000001</v>
      </c>
      <c r="E592" s="86">
        <f>133.845</f>
        <v>133.845</v>
      </c>
      <c r="F592" s="77">
        <f>278.484-40-25-60-100</f>
        <v>53.48399999999998</v>
      </c>
      <c r="G592" s="80">
        <v>40</v>
      </c>
      <c r="H592" s="77">
        <f t="shared" si="93"/>
        <v>185</v>
      </c>
      <c r="I592" s="77">
        <f t="shared" si="90"/>
        <v>0</v>
      </c>
      <c r="J592" s="80">
        <v>100</v>
      </c>
      <c r="K592" s="80">
        <v>300</v>
      </c>
      <c r="L592" s="77">
        <f t="shared" si="83"/>
        <v>1274</v>
      </c>
      <c r="M592" s="88">
        <v>600</v>
      </c>
      <c r="N592" s="77">
        <f>75</f>
        <v>75</v>
      </c>
      <c r="O592" s="80">
        <v>240</v>
      </c>
      <c r="P592" s="80">
        <v>160</v>
      </c>
      <c r="Q592" s="80">
        <f t="shared" si="84"/>
        <v>195</v>
      </c>
      <c r="R592" s="80">
        <f t="shared" si="85"/>
        <v>100</v>
      </c>
      <c r="S592" s="77">
        <f t="shared" si="86"/>
        <v>695</v>
      </c>
      <c r="T592" s="77">
        <f>50</f>
        <v>50</v>
      </c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</row>
    <row r="593" spans="1:30" ht="15.75" x14ac:dyDescent="0.25">
      <c r="A593" s="32">
        <v>58987</v>
      </c>
      <c r="B593" s="89">
        <v>30</v>
      </c>
      <c r="C593" s="77">
        <f>194.205</f>
        <v>194.20500000000001</v>
      </c>
      <c r="D593" s="77">
        <f>267.466</f>
        <v>267.46600000000001</v>
      </c>
      <c r="E593" s="86">
        <f>133.845</f>
        <v>133.845</v>
      </c>
      <c r="F593" s="77">
        <f>278.484-40-25-60-100</f>
        <v>53.48399999999998</v>
      </c>
      <c r="G593" s="80">
        <v>40</v>
      </c>
      <c r="H593" s="77">
        <f t="shared" si="93"/>
        <v>185</v>
      </c>
      <c r="I593" s="77">
        <f t="shared" si="90"/>
        <v>0</v>
      </c>
      <c r="J593" s="80">
        <v>100</v>
      </c>
      <c r="K593" s="80">
        <v>300</v>
      </c>
      <c r="L593" s="77">
        <f t="shared" ref="L593:L656" si="94">SUM(C593:K593)</f>
        <v>1274</v>
      </c>
      <c r="M593" s="88">
        <v>600</v>
      </c>
      <c r="N593" s="77">
        <f>30</f>
        <v>30</v>
      </c>
      <c r="O593" s="80">
        <v>240</v>
      </c>
      <c r="P593" s="80">
        <v>160</v>
      </c>
      <c r="Q593" s="80">
        <f t="shared" ref="Q593:Q656" si="95">695-R593-O593-P593</f>
        <v>195</v>
      </c>
      <c r="R593" s="80">
        <f t="shared" ref="R593:R656" si="96">200-J593</f>
        <v>100</v>
      </c>
      <c r="S593" s="77">
        <f t="shared" ref="S593:S656" si="97">SUM(O593:R593)</f>
        <v>695</v>
      </c>
      <c r="T593" s="77">
        <f>50</f>
        <v>50</v>
      </c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</row>
    <row r="594" spans="1:30" ht="15.75" x14ac:dyDescent="0.25">
      <c r="A594" s="32">
        <v>59018</v>
      </c>
      <c r="B594" s="89">
        <v>31</v>
      </c>
      <c r="C594" s="77">
        <f>194.205</f>
        <v>194.20500000000001</v>
      </c>
      <c r="D594" s="77">
        <f>267.466</f>
        <v>267.46600000000001</v>
      </c>
      <c r="E594" s="86">
        <f>133.845</f>
        <v>133.845</v>
      </c>
      <c r="F594" s="77">
        <f>278.484-40-25-60-100</f>
        <v>53.48399999999998</v>
      </c>
      <c r="G594" s="80">
        <v>40</v>
      </c>
      <c r="H594" s="77">
        <f t="shared" si="93"/>
        <v>185</v>
      </c>
      <c r="I594" s="77">
        <f t="shared" si="90"/>
        <v>0</v>
      </c>
      <c r="J594" s="80">
        <v>100</v>
      </c>
      <c r="K594" s="80">
        <v>300</v>
      </c>
      <c r="L594" s="77">
        <f t="shared" si="94"/>
        <v>1274</v>
      </c>
      <c r="M594" s="88">
        <v>600</v>
      </c>
      <c r="N594" s="77">
        <f>30</f>
        <v>30</v>
      </c>
      <c r="O594" s="80">
        <v>240</v>
      </c>
      <c r="P594" s="80">
        <v>160</v>
      </c>
      <c r="Q594" s="80">
        <f t="shared" si="95"/>
        <v>195</v>
      </c>
      <c r="R594" s="80">
        <f t="shared" si="96"/>
        <v>100</v>
      </c>
      <c r="S594" s="77">
        <f t="shared" si="97"/>
        <v>695</v>
      </c>
      <c r="T594" s="77">
        <f>0</f>
        <v>0</v>
      </c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</row>
    <row r="595" spans="1:30" ht="15.75" x14ac:dyDescent="0.25">
      <c r="A595" s="32">
        <v>59049</v>
      </c>
      <c r="B595" s="89">
        <v>31</v>
      </c>
      <c r="C595" s="77">
        <f>194.205</f>
        <v>194.20500000000001</v>
      </c>
      <c r="D595" s="77">
        <f>267.466</f>
        <v>267.46600000000001</v>
      </c>
      <c r="E595" s="86">
        <f>133.845</f>
        <v>133.845</v>
      </c>
      <c r="F595" s="77">
        <f>278.484-40-25-60-100</f>
        <v>53.48399999999998</v>
      </c>
      <c r="G595" s="80">
        <v>40</v>
      </c>
      <c r="H595" s="77">
        <f t="shared" si="93"/>
        <v>185</v>
      </c>
      <c r="I595" s="77">
        <f t="shared" si="90"/>
        <v>0</v>
      </c>
      <c r="J595" s="80">
        <v>100</v>
      </c>
      <c r="K595" s="80">
        <v>300</v>
      </c>
      <c r="L595" s="77">
        <f t="shared" si="94"/>
        <v>1274</v>
      </c>
      <c r="M595" s="88">
        <v>600</v>
      </c>
      <c r="N595" s="77">
        <f>30</f>
        <v>30</v>
      </c>
      <c r="O595" s="80">
        <v>240</v>
      </c>
      <c r="P595" s="80">
        <v>160</v>
      </c>
      <c r="Q595" s="80">
        <f t="shared" si="95"/>
        <v>195</v>
      </c>
      <c r="R595" s="80">
        <f t="shared" si="96"/>
        <v>100</v>
      </c>
      <c r="S595" s="77">
        <f t="shared" si="97"/>
        <v>695</v>
      </c>
      <c r="T595" s="77">
        <f>0</f>
        <v>0</v>
      </c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</row>
    <row r="596" spans="1:30" ht="15.75" x14ac:dyDescent="0.25">
      <c r="A596" s="32">
        <v>59079</v>
      </c>
      <c r="B596" s="89">
        <v>30</v>
      </c>
      <c r="C596" s="77">
        <f>194.205</f>
        <v>194.20500000000001</v>
      </c>
      <c r="D596" s="77">
        <f>267.466</f>
        <v>267.46600000000001</v>
      </c>
      <c r="E596" s="86">
        <f>133.845</f>
        <v>133.845</v>
      </c>
      <c r="F596" s="77">
        <f>278.484-40-25-60-100</f>
        <v>53.48399999999998</v>
      </c>
      <c r="G596" s="80">
        <v>40</v>
      </c>
      <c r="H596" s="77">
        <f t="shared" si="93"/>
        <v>185</v>
      </c>
      <c r="I596" s="77">
        <f t="shared" si="90"/>
        <v>0</v>
      </c>
      <c r="J596" s="80">
        <v>100</v>
      </c>
      <c r="K596" s="80">
        <v>300</v>
      </c>
      <c r="L596" s="77">
        <f t="shared" si="94"/>
        <v>1274</v>
      </c>
      <c r="M596" s="88">
        <v>600</v>
      </c>
      <c r="N596" s="77">
        <f>30</f>
        <v>30</v>
      </c>
      <c r="O596" s="80">
        <v>240</v>
      </c>
      <c r="P596" s="80">
        <v>160</v>
      </c>
      <c r="Q596" s="80">
        <f t="shared" si="95"/>
        <v>195</v>
      </c>
      <c r="R596" s="80">
        <f t="shared" si="96"/>
        <v>100</v>
      </c>
      <c r="S596" s="77">
        <f t="shared" si="97"/>
        <v>695</v>
      </c>
      <c r="T596" s="77">
        <f>0</f>
        <v>0</v>
      </c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</row>
    <row r="597" spans="1:30" ht="15.75" x14ac:dyDescent="0.25">
      <c r="A597" s="32">
        <v>59110</v>
      </c>
      <c r="B597" s="89">
        <v>31</v>
      </c>
      <c r="C597" s="77">
        <f>131.881</f>
        <v>131.881</v>
      </c>
      <c r="D597" s="77">
        <f>277.167</f>
        <v>277.16699999999997</v>
      </c>
      <c r="E597" s="86">
        <f>79.08</f>
        <v>79.08</v>
      </c>
      <c r="F597" s="77">
        <f>350.872-40-25-60-100</f>
        <v>125.87200000000001</v>
      </c>
      <c r="G597" s="80">
        <v>40</v>
      </c>
      <c r="H597" s="77">
        <f t="shared" si="93"/>
        <v>185</v>
      </c>
      <c r="I597" s="77">
        <f t="shared" si="90"/>
        <v>0</v>
      </c>
      <c r="J597" s="80">
        <v>100</v>
      </c>
      <c r="K597" s="80">
        <v>300</v>
      </c>
      <c r="L597" s="77">
        <f t="shared" si="94"/>
        <v>1239</v>
      </c>
      <c r="M597" s="88">
        <v>600</v>
      </c>
      <c r="N597" s="77">
        <f>75</f>
        <v>75</v>
      </c>
      <c r="O597" s="80">
        <v>240</v>
      </c>
      <c r="P597" s="80">
        <v>160</v>
      </c>
      <c r="Q597" s="80">
        <f t="shared" si="95"/>
        <v>195</v>
      </c>
      <c r="R597" s="80">
        <f t="shared" si="96"/>
        <v>100</v>
      </c>
      <c r="S597" s="77">
        <f t="shared" si="97"/>
        <v>695</v>
      </c>
      <c r="T597" s="77">
        <f>0</f>
        <v>0</v>
      </c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</row>
    <row r="598" spans="1:30" ht="15.75" x14ac:dyDescent="0.25">
      <c r="A598" s="32">
        <v>59140</v>
      </c>
      <c r="B598" s="89">
        <v>30</v>
      </c>
      <c r="C598" s="77">
        <f>122.58</f>
        <v>122.58</v>
      </c>
      <c r="D598" s="77">
        <f>297.941</f>
        <v>297.94099999999997</v>
      </c>
      <c r="E598" s="86">
        <f>89.177</f>
        <v>89.177000000000007</v>
      </c>
      <c r="F598" s="77">
        <f>240.302-40-60-100</f>
        <v>40.301999999999992</v>
      </c>
      <c r="G598" s="80">
        <v>40</v>
      </c>
      <c r="H598" s="77">
        <f>60+100</f>
        <v>160</v>
      </c>
      <c r="I598" s="77">
        <f t="shared" si="90"/>
        <v>0</v>
      </c>
      <c r="J598" s="80">
        <v>100</v>
      </c>
      <c r="K598" s="80">
        <v>300</v>
      </c>
      <c r="L598" s="77">
        <f t="shared" si="94"/>
        <v>1150</v>
      </c>
      <c r="M598" s="88">
        <v>600</v>
      </c>
      <c r="N598" s="77">
        <f>100</f>
        <v>100</v>
      </c>
      <c r="O598" s="80">
        <v>240</v>
      </c>
      <c r="P598" s="80">
        <v>40</v>
      </c>
      <c r="Q598" s="80">
        <f t="shared" si="95"/>
        <v>315</v>
      </c>
      <c r="R598" s="80">
        <f t="shared" si="96"/>
        <v>100</v>
      </c>
      <c r="S598" s="77">
        <f t="shared" si="97"/>
        <v>695</v>
      </c>
      <c r="T598" s="77">
        <f>50</f>
        <v>50</v>
      </c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</row>
    <row r="599" spans="1:30" ht="15.75" x14ac:dyDescent="0.25">
      <c r="A599" s="32">
        <v>59171</v>
      </c>
      <c r="B599" s="89">
        <v>31</v>
      </c>
      <c r="C599" s="77">
        <f>122.58</f>
        <v>122.58</v>
      </c>
      <c r="D599" s="77">
        <f>297.941</f>
        <v>297.94099999999997</v>
      </c>
      <c r="E599" s="86">
        <f>89.177</f>
        <v>89.177000000000007</v>
      </c>
      <c r="F599" s="77">
        <f>240.302-40-60-100</f>
        <v>40.301999999999992</v>
      </c>
      <c r="G599" s="80">
        <v>40</v>
      </c>
      <c r="H599" s="77">
        <f>60+100</f>
        <v>160</v>
      </c>
      <c r="I599" s="77">
        <f t="shared" si="90"/>
        <v>0</v>
      </c>
      <c r="J599" s="80">
        <v>100</v>
      </c>
      <c r="K599" s="80">
        <v>300</v>
      </c>
      <c r="L599" s="77">
        <f t="shared" si="94"/>
        <v>1150</v>
      </c>
      <c r="M599" s="88">
        <v>600</v>
      </c>
      <c r="N599" s="77">
        <f>100</f>
        <v>100</v>
      </c>
      <c r="O599" s="80">
        <v>240</v>
      </c>
      <c r="P599" s="80">
        <v>40</v>
      </c>
      <c r="Q599" s="80">
        <f t="shared" si="95"/>
        <v>315</v>
      </c>
      <c r="R599" s="80">
        <f t="shared" si="96"/>
        <v>100</v>
      </c>
      <c r="S599" s="77">
        <f t="shared" si="97"/>
        <v>695</v>
      </c>
      <c r="T599" s="77">
        <f>50</f>
        <v>50</v>
      </c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</row>
    <row r="600" spans="1:30" ht="15.75" x14ac:dyDescent="0.25">
      <c r="A600" s="32">
        <v>59202</v>
      </c>
      <c r="B600" s="89">
        <f t="shared" ref="B600:B663" si="98">EOMONTH(A600,0)-EOMONTH(A600,-1)</f>
        <v>31</v>
      </c>
      <c r="C600" s="77">
        <f>122.58</f>
        <v>122.58</v>
      </c>
      <c r="D600" s="77">
        <f>297.941</f>
        <v>297.94099999999997</v>
      </c>
      <c r="E600" s="86">
        <f>89.177</f>
        <v>89.177000000000007</v>
      </c>
      <c r="F600" s="77">
        <f>240.302-40-60-100</f>
        <v>40.301999999999992</v>
      </c>
      <c r="G600" s="80">
        <v>40</v>
      </c>
      <c r="H600" s="77">
        <f>60+100</f>
        <v>160</v>
      </c>
      <c r="I600" s="77">
        <f t="shared" si="90"/>
        <v>0</v>
      </c>
      <c r="J600" s="80">
        <v>100</v>
      </c>
      <c r="K600" s="80">
        <v>300</v>
      </c>
      <c r="L600" s="77">
        <f t="shared" si="94"/>
        <v>1150</v>
      </c>
      <c r="M600" s="88">
        <v>600</v>
      </c>
      <c r="N600" s="77">
        <f>100</f>
        <v>100</v>
      </c>
      <c r="O600" s="80">
        <v>240</v>
      </c>
      <c r="P600" s="80">
        <v>40</v>
      </c>
      <c r="Q600" s="80">
        <f t="shared" si="95"/>
        <v>315</v>
      </c>
      <c r="R600" s="80">
        <f t="shared" si="96"/>
        <v>100</v>
      </c>
      <c r="S600" s="77">
        <f t="shared" si="97"/>
        <v>695</v>
      </c>
      <c r="T600" s="77">
        <f>50</f>
        <v>50</v>
      </c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</row>
    <row r="601" spans="1:30" ht="15.75" x14ac:dyDescent="0.25">
      <c r="A601" s="32">
        <v>59230</v>
      </c>
      <c r="B601" s="89">
        <f t="shared" si="98"/>
        <v>28</v>
      </c>
      <c r="C601" s="77">
        <f>122.58</f>
        <v>122.58</v>
      </c>
      <c r="D601" s="77">
        <f>297.941</f>
        <v>297.94099999999997</v>
      </c>
      <c r="E601" s="86">
        <f>89.177</f>
        <v>89.177000000000007</v>
      </c>
      <c r="F601" s="77">
        <f>240.302-40-60-100</f>
        <v>40.301999999999992</v>
      </c>
      <c r="G601" s="80">
        <v>40</v>
      </c>
      <c r="H601" s="77">
        <f>60+100</f>
        <v>160</v>
      </c>
      <c r="I601" s="77">
        <f t="shared" si="90"/>
        <v>0</v>
      </c>
      <c r="J601" s="80">
        <v>100</v>
      </c>
      <c r="K601" s="80">
        <v>300</v>
      </c>
      <c r="L601" s="77">
        <f t="shared" si="94"/>
        <v>1150</v>
      </c>
      <c r="M601" s="88">
        <v>600</v>
      </c>
      <c r="N601" s="77">
        <f>100</f>
        <v>100</v>
      </c>
      <c r="O601" s="80">
        <v>240</v>
      </c>
      <c r="P601" s="80">
        <v>40</v>
      </c>
      <c r="Q601" s="80">
        <f t="shared" si="95"/>
        <v>315</v>
      </c>
      <c r="R601" s="80">
        <f t="shared" si="96"/>
        <v>100</v>
      </c>
      <c r="S601" s="77">
        <f t="shared" si="97"/>
        <v>695</v>
      </c>
      <c r="T601" s="77">
        <f>50</f>
        <v>50</v>
      </c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</row>
    <row r="602" spans="1:30" ht="15.75" x14ac:dyDescent="0.25">
      <c r="A602" s="32">
        <v>59261</v>
      </c>
      <c r="B602" s="89">
        <f t="shared" si="98"/>
        <v>31</v>
      </c>
      <c r="C602" s="77">
        <f>122.58</f>
        <v>122.58</v>
      </c>
      <c r="D602" s="77">
        <f>297.941</f>
        <v>297.94099999999997</v>
      </c>
      <c r="E602" s="86">
        <f>89.177</f>
        <v>89.177000000000007</v>
      </c>
      <c r="F602" s="77">
        <f>240.302-40-60-100</f>
        <v>40.301999999999992</v>
      </c>
      <c r="G602" s="80">
        <v>40</v>
      </c>
      <c r="H602" s="77">
        <f>60+100</f>
        <v>160</v>
      </c>
      <c r="I602" s="77">
        <f t="shared" si="90"/>
        <v>0</v>
      </c>
      <c r="J602" s="80">
        <v>100</v>
      </c>
      <c r="K602" s="80">
        <v>300</v>
      </c>
      <c r="L602" s="77">
        <f t="shared" si="94"/>
        <v>1150</v>
      </c>
      <c r="M602" s="88">
        <v>600</v>
      </c>
      <c r="N602" s="77">
        <f>100</f>
        <v>100</v>
      </c>
      <c r="O602" s="80">
        <v>240</v>
      </c>
      <c r="P602" s="80">
        <v>40</v>
      </c>
      <c r="Q602" s="80">
        <f t="shared" si="95"/>
        <v>315</v>
      </c>
      <c r="R602" s="80">
        <f t="shared" si="96"/>
        <v>100</v>
      </c>
      <c r="S602" s="77">
        <f t="shared" si="97"/>
        <v>695</v>
      </c>
      <c r="T602" s="77">
        <f>50</f>
        <v>50</v>
      </c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</row>
    <row r="603" spans="1:30" ht="15.75" x14ac:dyDescent="0.25">
      <c r="A603" s="32">
        <v>59291</v>
      </c>
      <c r="B603" s="89">
        <f t="shared" si="98"/>
        <v>30</v>
      </c>
      <c r="C603" s="77">
        <f>141.293</f>
        <v>141.29300000000001</v>
      </c>
      <c r="D603" s="77">
        <f>267.993</f>
        <v>267.99299999999999</v>
      </c>
      <c r="E603" s="86">
        <f>115.016</f>
        <v>115.01600000000001</v>
      </c>
      <c r="F603" s="77">
        <f>314.698-40-25-60-100</f>
        <v>89.697999999999979</v>
      </c>
      <c r="G603" s="80">
        <v>40</v>
      </c>
      <c r="H603" s="77">
        <f t="shared" ref="H603:H609" si="99">25+60+100</f>
        <v>185</v>
      </c>
      <c r="I603" s="77">
        <f t="shared" si="90"/>
        <v>0</v>
      </c>
      <c r="J603" s="80">
        <v>100</v>
      </c>
      <c r="K603" s="80">
        <v>300</v>
      </c>
      <c r="L603" s="77">
        <f t="shared" si="94"/>
        <v>1239</v>
      </c>
      <c r="M603" s="88">
        <v>600</v>
      </c>
      <c r="N603" s="77">
        <f>100</f>
        <v>100</v>
      </c>
      <c r="O603" s="80">
        <v>240</v>
      </c>
      <c r="P603" s="80">
        <v>40</v>
      </c>
      <c r="Q603" s="80">
        <f t="shared" si="95"/>
        <v>315</v>
      </c>
      <c r="R603" s="80">
        <f t="shared" si="96"/>
        <v>100</v>
      </c>
      <c r="S603" s="77">
        <f t="shared" si="97"/>
        <v>695</v>
      </c>
      <c r="T603" s="77">
        <f>50</f>
        <v>50</v>
      </c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</row>
    <row r="604" spans="1:30" ht="15.75" x14ac:dyDescent="0.25">
      <c r="A604" s="32">
        <v>59322</v>
      </c>
      <c r="B604" s="89">
        <f t="shared" si="98"/>
        <v>31</v>
      </c>
      <c r="C604" s="77">
        <f>194.205</f>
        <v>194.20500000000001</v>
      </c>
      <c r="D604" s="77">
        <f>267.466</f>
        <v>267.46600000000001</v>
      </c>
      <c r="E604" s="86">
        <f>133.845</f>
        <v>133.845</v>
      </c>
      <c r="F604" s="77">
        <f>278.484-40-25-60-100</f>
        <v>53.48399999999998</v>
      </c>
      <c r="G604" s="80">
        <v>40</v>
      </c>
      <c r="H604" s="77">
        <f t="shared" si="99"/>
        <v>185</v>
      </c>
      <c r="I604" s="77">
        <f t="shared" si="90"/>
        <v>0</v>
      </c>
      <c r="J604" s="80">
        <v>100</v>
      </c>
      <c r="K604" s="80">
        <v>300</v>
      </c>
      <c r="L604" s="77">
        <f t="shared" si="94"/>
        <v>1274</v>
      </c>
      <c r="M604" s="88">
        <v>600</v>
      </c>
      <c r="N604" s="77">
        <f>75</f>
        <v>75</v>
      </c>
      <c r="O604" s="80">
        <v>240</v>
      </c>
      <c r="P604" s="80">
        <v>40</v>
      </c>
      <c r="Q604" s="80">
        <f t="shared" si="95"/>
        <v>315</v>
      </c>
      <c r="R604" s="80">
        <f t="shared" si="96"/>
        <v>100</v>
      </c>
      <c r="S604" s="77">
        <f t="shared" si="97"/>
        <v>695</v>
      </c>
      <c r="T604" s="77">
        <f>50</f>
        <v>50</v>
      </c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</row>
    <row r="605" spans="1:30" ht="15.75" x14ac:dyDescent="0.25">
      <c r="A605" s="32">
        <v>59352</v>
      </c>
      <c r="B605" s="89">
        <f t="shared" si="98"/>
        <v>30</v>
      </c>
      <c r="C605" s="77">
        <f>194.205</f>
        <v>194.20500000000001</v>
      </c>
      <c r="D605" s="77">
        <f>267.466</f>
        <v>267.46600000000001</v>
      </c>
      <c r="E605" s="86">
        <f>133.845</f>
        <v>133.845</v>
      </c>
      <c r="F605" s="77">
        <f>278.484-40-25-60-100</f>
        <v>53.48399999999998</v>
      </c>
      <c r="G605" s="80">
        <v>40</v>
      </c>
      <c r="H605" s="77">
        <f t="shared" si="99"/>
        <v>185</v>
      </c>
      <c r="I605" s="77">
        <f t="shared" si="90"/>
        <v>0</v>
      </c>
      <c r="J605" s="80">
        <v>100</v>
      </c>
      <c r="K605" s="80">
        <v>300</v>
      </c>
      <c r="L605" s="77">
        <f t="shared" si="94"/>
        <v>1274</v>
      </c>
      <c r="M605" s="88">
        <v>600</v>
      </c>
      <c r="N605" s="77">
        <f>30</f>
        <v>30</v>
      </c>
      <c r="O605" s="80">
        <v>240</v>
      </c>
      <c r="P605" s="80">
        <v>40</v>
      </c>
      <c r="Q605" s="80">
        <f t="shared" si="95"/>
        <v>315</v>
      </c>
      <c r="R605" s="80">
        <f t="shared" si="96"/>
        <v>100</v>
      </c>
      <c r="S605" s="77">
        <f t="shared" si="97"/>
        <v>695</v>
      </c>
      <c r="T605" s="77">
        <f>50</f>
        <v>50</v>
      </c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</row>
    <row r="606" spans="1:30" ht="15.75" x14ac:dyDescent="0.25">
      <c r="A606" s="32">
        <v>59383</v>
      </c>
      <c r="B606" s="89">
        <f t="shared" si="98"/>
        <v>31</v>
      </c>
      <c r="C606" s="77">
        <f>194.205</f>
        <v>194.20500000000001</v>
      </c>
      <c r="D606" s="77">
        <f>267.466</f>
        <v>267.46600000000001</v>
      </c>
      <c r="E606" s="86">
        <f>133.845</f>
        <v>133.845</v>
      </c>
      <c r="F606" s="77">
        <f>278.484-40-25-60-100</f>
        <v>53.48399999999998</v>
      </c>
      <c r="G606" s="80">
        <v>40</v>
      </c>
      <c r="H606" s="77">
        <f t="shared" si="99"/>
        <v>185</v>
      </c>
      <c r="I606" s="77">
        <f t="shared" si="90"/>
        <v>0</v>
      </c>
      <c r="J606" s="80">
        <v>100</v>
      </c>
      <c r="K606" s="80">
        <v>300</v>
      </c>
      <c r="L606" s="77">
        <f t="shared" si="94"/>
        <v>1274</v>
      </c>
      <c r="M606" s="88">
        <v>600</v>
      </c>
      <c r="N606" s="77">
        <f>30</f>
        <v>30</v>
      </c>
      <c r="O606" s="80">
        <v>240</v>
      </c>
      <c r="P606" s="80">
        <v>40</v>
      </c>
      <c r="Q606" s="80">
        <f t="shared" si="95"/>
        <v>315</v>
      </c>
      <c r="R606" s="80">
        <f t="shared" si="96"/>
        <v>100</v>
      </c>
      <c r="S606" s="77">
        <f t="shared" si="97"/>
        <v>695</v>
      </c>
      <c r="T606" s="77">
        <f>0</f>
        <v>0</v>
      </c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</row>
    <row r="607" spans="1:30" ht="15.75" x14ac:dyDescent="0.25">
      <c r="A607" s="32">
        <v>59414</v>
      </c>
      <c r="B607" s="89">
        <f t="shared" si="98"/>
        <v>31</v>
      </c>
      <c r="C607" s="77">
        <f>194.205</f>
        <v>194.20500000000001</v>
      </c>
      <c r="D607" s="77">
        <f>267.466</f>
        <v>267.46600000000001</v>
      </c>
      <c r="E607" s="86">
        <f>133.845</f>
        <v>133.845</v>
      </c>
      <c r="F607" s="77">
        <f>278.484-40-25-60-100</f>
        <v>53.48399999999998</v>
      </c>
      <c r="G607" s="80">
        <v>40</v>
      </c>
      <c r="H607" s="77">
        <f t="shared" si="99"/>
        <v>185</v>
      </c>
      <c r="I607" s="77">
        <f t="shared" si="90"/>
        <v>0</v>
      </c>
      <c r="J607" s="80">
        <v>100</v>
      </c>
      <c r="K607" s="80">
        <v>300</v>
      </c>
      <c r="L607" s="77">
        <f t="shared" si="94"/>
        <v>1274</v>
      </c>
      <c r="M607" s="88">
        <v>600</v>
      </c>
      <c r="N607" s="77">
        <f>30</f>
        <v>30</v>
      </c>
      <c r="O607" s="80">
        <v>240</v>
      </c>
      <c r="P607" s="80">
        <v>40</v>
      </c>
      <c r="Q607" s="80">
        <f t="shared" si="95"/>
        <v>315</v>
      </c>
      <c r="R607" s="80">
        <f t="shared" si="96"/>
        <v>100</v>
      </c>
      <c r="S607" s="77">
        <f t="shared" si="97"/>
        <v>695</v>
      </c>
      <c r="T607" s="77">
        <f>0</f>
        <v>0</v>
      </c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</row>
    <row r="608" spans="1:30" ht="15.75" x14ac:dyDescent="0.25">
      <c r="A608" s="32">
        <v>59444</v>
      </c>
      <c r="B608" s="89">
        <f t="shared" si="98"/>
        <v>30</v>
      </c>
      <c r="C608" s="77">
        <f>194.205</f>
        <v>194.20500000000001</v>
      </c>
      <c r="D608" s="77">
        <f>267.466</f>
        <v>267.46600000000001</v>
      </c>
      <c r="E608" s="86">
        <f>133.845</f>
        <v>133.845</v>
      </c>
      <c r="F608" s="77">
        <f>278.484-40-25-60-100</f>
        <v>53.48399999999998</v>
      </c>
      <c r="G608" s="80">
        <v>40</v>
      </c>
      <c r="H608" s="77">
        <f t="shared" si="99"/>
        <v>185</v>
      </c>
      <c r="I608" s="77">
        <f t="shared" si="90"/>
        <v>0</v>
      </c>
      <c r="J608" s="80">
        <v>100</v>
      </c>
      <c r="K608" s="80">
        <v>300</v>
      </c>
      <c r="L608" s="77">
        <f t="shared" si="94"/>
        <v>1274</v>
      </c>
      <c r="M608" s="88">
        <v>600</v>
      </c>
      <c r="N608" s="77">
        <f>30</f>
        <v>30</v>
      </c>
      <c r="O608" s="80">
        <v>240</v>
      </c>
      <c r="P608" s="80">
        <v>40</v>
      </c>
      <c r="Q608" s="80">
        <f t="shared" si="95"/>
        <v>315</v>
      </c>
      <c r="R608" s="80">
        <f t="shared" si="96"/>
        <v>100</v>
      </c>
      <c r="S608" s="77">
        <f t="shared" si="97"/>
        <v>695</v>
      </c>
      <c r="T608" s="77">
        <f>0</f>
        <v>0</v>
      </c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</row>
    <row r="609" spans="1:30" ht="15.75" x14ac:dyDescent="0.25">
      <c r="A609" s="32">
        <v>59475</v>
      </c>
      <c r="B609" s="89">
        <f t="shared" si="98"/>
        <v>31</v>
      </c>
      <c r="C609" s="77">
        <f>131.881</f>
        <v>131.881</v>
      </c>
      <c r="D609" s="77">
        <f>277.167</f>
        <v>277.16699999999997</v>
      </c>
      <c r="E609" s="86">
        <f>79.08</f>
        <v>79.08</v>
      </c>
      <c r="F609" s="77">
        <f>350.872-40-25-60-100</f>
        <v>125.87200000000001</v>
      </c>
      <c r="G609" s="80">
        <v>40</v>
      </c>
      <c r="H609" s="77">
        <f t="shared" si="99"/>
        <v>185</v>
      </c>
      <c r="I609" s="77">
        <f t="shared" si="90"/>
        <v>0</v>
      </c>
      <c r="J609" s="80">
        <v>100</v>
      </c>
      <c r="K609" s="80">
        <v>300</v>
      </c>
      <c r="L609" s="77">
        <f t="shared" si="94"/>
        <v>1239</v>
      </c>
      <c r="M609" s="88">
        <v>600</v>
      </c>
      <c r="N609" s="77">
        <f>75</f>
        <v>75</v>
      </c>
      <c r="O609" s="80">
        <v>240</v>
      </c>
      <c r="P609" s="80">
        <v>40</v>
      </c>
      <c r="Q609" s="80">
        <f t="shared" si="95"/>
        <v>315</v>
      </c>
      <c r="R609" s="80">
        <f t="shared" si="96"/>
        <v>100</v>
      </c>
      <c r="S609" s="77">
        <f t="shared" si="97"/>
        <v>695</v>
      </c>
      <c r="T609" s="77">
        <f>0</f>
        <v>0</v>
      </c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</row>
    <row r="610" spans="1:30" ht="15.75" x14ac:dyDescent="0.25">
      <c r="A610" s="32">
        <v>59505</v>
      </c>
      <c r="B610" s="89">
        <f t="shared" si="98"/>
        <v>30</v>
      </c>
      <c r="C610" s="77">
        <f>122.58</f>
        <v>122.58</v>
      </c>
      <c r="D610" s="77">
        <f>297.941</f>
        <v>297.94099999999997</v>
      </c>
      <c r="E610" s="86">
        <f>89.177</f>
        <v>89.177000000000007</v>
      </c>
      <c r="F610" s="77">
        <f>240.302-40-60-100</f>
        <v>40.301999999999992</v>
      </c>
      <c r="G610" s="80">
        <v>40</v>
      </c>
      <c r="H610" s="77">
        <f>60+100</f>
        <v>160</v>
      </c>
      <c r="I610" s="77">
        <f t="shared" si="90"/>
        <v>0</v>
      </c>
      <c r="J610" s="80">
        <v>100</v>
      </c>
      <c r="K610" s="80">
        <v>300</v>
      </c>
      <c r="L610" s="77">
        <f t="shared" si="94"/>
        <v>1150</v>
      </c>
      <c r="M610" s="88">
        <v>600</v>
      </c>
      <c r="N610" s="77">
        <f>100</f>
        <v>100</v>
      </c>
      <c r="O610" s="80">
        <v>240</v>
      </c>
      <c r="P610" s="80">
        <v>40</v>
      </c>
      <c r="Q610" s="80">
        <f t="shared" si="95"/>
        <v>315</v>
      </c>
      <c r="R610" s="80">
        <f t="shared" si="96"/>
        <v>100</v>
      </c>
      <c r="S610" s="77">
        <f t="shared" si="97"/>
        <v>695</v>
      </c>
      <c r="T610" s="77">
        <f>50</f>
        <v>50</v>
      </c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</row>
    <row r="611" spans="1:30" ht="15.75" x14ac:dyDescent="0.25">
      <c r="A611" s="32">
        <v>59536</v>
      </c>
      <c r="B611" s="89">
        <f t="shared" si="98"/>
        <v>31</v>
      </c>
      <c r="C611" s="77">
        <f>122.58</f>
        <v>122.58</v>
      </c>
      <c r="D611" s="77">
        <f>297.941</f>
        <v>297.94099999999997</v>
      </c>
      <c r="E611" s="86">
        <f>89.177</f>
        <v>89.177000000000007</v>
      </c>
      <c r="F611" s="77">
        <f>240.302-40-60-100</f>
        <v>40.301999999999992</v>
      </c>
      <c r="G611" s="80">
        <v>40</v>
      </c>
      <c r="H611" s="77">
        <f>60+100</f>
        <v>160</v>
      </c>
      <c r="I611" s="77">
        <f t="shared" si="90"/>
        <v>0</v>
      </c>
      <c r="J611" s="80">
        <v>100</v>
      </c>
      <c r="K611" s="80">
        <v>300</v>
      </c>
      <c r="L611" s="77">
        <f t="shared" si="94"/>
        <v>1150</v>
      </c>
      <c r="M611" s="88">
        <v>600</v>
      </c>
      <c r="N611" s="77">
        <f>100</f>
        <v>100</v>
      </c>
      <c r="O611" s="80">
        <v>240</v>
      </c>
      <c r="P611" s="80">
        <v>40</v>
      </c>
      <c r="Q611" s="80">
        <f t="shared" si="95"/>
        <v>315</v>
      </c>
      <c r="R611" s="80">
        <f t="shared" si="96"/>
        <v>100</v>
      </c>
      <c r="S611" s="77">
        <f t="shared" si="97"/>
        <v>695</v>
      </c>
      <c r="T611" s="77">
        <f>50</f>
        <v>50</v>
      </c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</row>
    <row r="612" spans="1:30" ht="15.75" x14ac:dyDescent="0.25">
      <c r="A612" s="32">
        <v>59567</v>
      </c>
      <c r="B612" s="89">
        <f t="shared" si="98"/>
        <v>31</v>
      </c>
      <c r="C612" s="77">
        <f>122.58</f>
        <v>122.58</v>
      </c>
      <c r="D612" s="77">
        <f>297.941</f>
        <v>297.94099999999997</v>
      </c>
      <c r="E612" s="86">
        <f>89.177</f>
        <v>89.177000000000007</v>
      </c>
      <c r="F612" s="77">
        <f>240.302-40-60-100</f>
        <v>40.301999999999992</v>
      </c>
      <c r="G612" s="80">
        <v>40</v>
      </c>
      <c r="H612" s="77">
        <f>60+100</f>
        <v>160</v>
      </c>
      <c r="I612" s="77">
        <f t="shared" si="90"/>
        <v>0</v>
      </c>
      <c r="J612" s="80">
        <v>100</v>
      </c>
      <c r="K612" s="80">
        <v>300</v>
      </c>
      <c r="L612" s="77">
        <f t="shared" si="94"/>
        <v>1150</v>
      </c>
      <c r="M612" s="88">
        <v>600</v>
      </c>
      <c r="N612" s="77">
        <f>100</f>
        <v>100</v>
      </c>
      <c r="O612" s="80">
        <v>240</v>
      </c>
      <c r="P612" s="80">
        <v>40</v>
      </c>
      <c r="Q612" s="80">
        <f t="shared" si="95"/>
        <v>315</v>
      </c>
      <c r="R612" s="80">
        <f t="shared" si="96"/>
        <v>100</v>
      </c>
      <c r="S612" s="77">
        <f t="shared" si="97"/>
        <v>695</v>
      </c>
      <c r="T612" s="77">
        <f>50</f>
        <v>50</v>
      </c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</row>
    <row r="613" spans="1:30" ht="15.75" x14ac:dyDescent="0.25">
      <c r="A613" s="32">
        <v>59595</v>
      </c>
      <c r="B613" s="89">
        <f t="shared" si="98"/>
        <v>28</v>
      </c>
      <c r="C613" s="77">
        <f>122.58</f>
        <v>122.58</v>
      </c>
      <c r="D613" s="77">
        <f>297.941</f>
        <v>297.94099999999997</v>
      </c>
      <c r="E613" s="86">
        <f>89.177</f>
        <v>89.177000000000007</v>
      </c>
      <c r="F613" s="77">
        <f>240.302-40-60-100</f>
        <v>40.301999999999992</v>
      </c>
      <c r="G613" s="80">
        <v>40</v>
      </c>
      <c r="H613" s="77">
        <f>60+100</f>
        <v>160</v>
      </c>
      <c r="I613" s="77">
        <f t="shared" si="90"/>
        <v>0</v>
      </c>
      <c r="J613" s="80">
        <v>100</v>
      </c>
      <c r="K613" s="80">
        <v>300</v>
      </c>
      <c r="L613" s="77">
        <f t="shared" si="94"/>
        <v>1150</v>
      </c>
      <c r="M613" s="88">
        <v>600</v>
      </c>
      <c r="N613" s="77">
        <f>100</f>
        <v>100</v>
      </c>
      <c r="O613" s="80">
        <v>240</v>
      </c>
      <c r="P613" s="80">
        <v>40</v>
      </c>
      <c r="Q613" s="80">
        <f t="shared" si="95"/>
        <v>315</v>
      </c>
      <c r="R613" s="80">
        <f t="shared" si="96"/>
        <v>100</v>
      </c>
      <c r="S613" s="77">
        <f t="shared" si="97"/>
        <v>695</v>
      </c>
      <c r="T613" s="77">
        <f>50</f>
        <v>50</v>
      </c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</row>
    <row r="614" spans="1:30" ht="15.75" x14ac:dyDescent="0.25">
      <c r="A614" s="32">
        <v>59626</v>
      </c>
      <c r="B614" s="89">
        <f t="shared" si="98"/>
        <v>31</v>
      </c>
      <c r="C614" s="77">
        <f>122.58</f>
        <v>122.58</v>
      </c>
      <c r="D614" s="77">
        <f>297.941</f>
        <v>297.94099999999997</v>
      </c>
      <c r="E614" s="86">
        <f>89.177</f>
        <v>89.177000000000007</v>
      </c>
      <c r="F614" s="77">
        <f>240.302-40-60-100</f>
        <v>40.301999999999992</v>
      </c>
      <c r="G614" s="80">
        <v>40</v>
      </c>
      <c r="H614" s="77">
        <f>60+100</f>
        <v>160</v>
      </c>
      <c r="I614" s="77">
        <f t="shared" si="90"/>
        <v>0</v>
      </c>
      <c r="J614" s="80">
        <v>100</v>
      </c>
      <c r="K614" s="80">
        <v>300</v>
      </c>
      <c r="L614" s="77">
        <f t="shared" si="94"/>
        <v>1150</v>
      </c>
      <c r="M614" s="88">
        <v>600</v>
      </c>
      <c r="N614" s="77">
        <f>100</f>
        <v>100</v>
      </c>
      <c r="O614" s="80">
        <v>240</v>
      </c>
      <c r="P614" s="80">
        <v>40</v>
      </c>
      <c r="Q614" s="80">
        <f t="shared" si="95"/>
        <v>315</v>
      </c>
      <c r="R614" s="80">
        <f t="shared" si="96"/>
        <v>100</v>
      </c>
      <c r="S614" s="77">
        <f t="shared" si="97"/>
        <v>695</v>
      </c>
      <c r="T614" s="77">
        <f>50</f>
        <v>50</v>
      </c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</row>
    <row r="615" spans="1:30" ht="15.75" x14ac:dyDescent="0.25">
      <c r="A615" s="32">
        <v>59656</v>
      </c>
      <c r="B615" s="89">
        <f t="shared" si="98"/>
        <v>30</v>
      </c>
      <c r="C615" s="77">
        <f>141.293</f>
        <v>141.29300000000001</v>
      </c>
      <c r="D615" s="77">
        <f>267.993</f>
        <v>267.99299999999999</v>
      </c>
      <c r="E615" s="86">
        <f>115.016</f>
        <v>115.01600000000001</v>
      </c>
      <c r="F615" s="77">
        <f>314.698-40-25-60-100</f>
        <v>89.697999999999979</v>
      </c>
      <c r="G615" s="80">
        <v>40</v>
      </c>
      <c r="H615" s="77">
        <f t="shared" ref="H615:H621" si="100">25+60+100</f>
        <v>185</v>
      </c>
      <c r="I615" s="77">
        <f t="shared" si="90"/>
        <v>0</v>
      </c>
      <c r="J615" s="80">
        <v>100</v>
      </c>
      <c r="K615" s="80">
        <v>300</v>
      </c>
      <c r="L615" s="77">
        <f t="shared" si="94"/>
        <v>1239</v>
      </c>
      <c r="M615" s="88">
        <v>600</v>
      </c>
      <c r="N615" s="77">
        <f>100</f>
        <v>100</v>
      </c>
      <c r="O615" s="80">
        <v>240</v>
      </c>
      <c r="P615" s="80">
        <v>40</v>
      </c>
      <c r="Q615" s="80">
        <f t="shared" si="95"/>
        <v>315</v>
      </c>
      <c r="R615" s="80">
        <f t="shared" si="96"/>
        <v>100</v>
      </c>
      <c r="S615" s="77">
        <f t="shared" si="97"/>
        <v>695</v>
      </c>
      <c r="T615" s="77">
        <f>50</f>
        <v>50</v>
      </c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</row>
    <row r="616" spans="1:30" ht="15.75" x14ac:dyDescent="0.25">
      <c r="A616" s="32">
        <v>59687</v>
      </c>
      <c r="B616" s="89">
        <f t="shared" si="98"/>
        <v>31</v>
      </c>
      <c r="C616" s="77">
        <f>194.205</f>
        <v>194.20500000000001</v>
      </c>
      <c r="D616" s="77">
        <f>267.466</f>
        <v>267.46600000000001</v>
      </c>
      <c r="E616" s="86">
        <f>133.845</f>
        <v>133.845</v>
      </c>
      <c r="F616" s="77">
        <f>278.484-40-25-60-100</f>
        <v>53.48399999999998</v>
      </c>
      <c r="G616" s="80">
        <v>40</v>
      </c>
      <c r="H616" s="77">
        <f t="shared" si="100"/>
        <v>185</v>
      </c>
      <c r="I616" s="77">
        <f t="shared" si="90"/>
        <v>0</v>
      </c>
      <c r="J616" s="80">
        <v>100</v>
      </c>
      <c r="K616" s="80">
        <v>300</v>
      </c>
      <c r="L616" s="77">
        <f t="shared" si="94"/>
        <v>1274</v>
      </c>
      <c r="M616" s="88">
        <v>600</v>
      </c>
      <c r="N616" s="77">
        <f>75</f>
        <v>75</v>
      </c>
      <c r="O616" s="80">
        <v>240</v>
      </c>
      <c r="P616" s="80">
        <v>40</v>
      </c>
      <c r="Q616" s="80">
        <f t="shared" si="95"/>
        <v>315</v>
      </c>
      <c r="R616" s="80">
        <f t="shared" si="96"/>
        <v>100</v>
      </c>
      <c r="S616" s="77">
        <f t="shared" si="97"/>
        <v>695</v>
      </c>
      <c r="T616" s="77">
        <f>50</f>
        <v>50</v>
      </c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</row>
    <row r="617" spans="1:30" ht="15.75" x14ac:dyDescent="0.25">
      <c r="A617" s="32">
        <v>59717</v>
      </c>
      <c r="B617" s="89">
        <f t="shared" si="98"/>
        <v>30</v>
      </c>
      <c r="C617" s="77">
        <f>194.205</f>
        <v>194.20500000000001</v>
      </c>
      <c r="D617" s="77">
        <f>267.466</f>
        <v>267.46600000000001</v>
      </c>
      <c r="E617" s="86">
        <f>133.845</f>
        <v>133.845</v>
      </c>
      <c r="F617" s="77">
        <f>278.484-40-25-60-100</f>
        <v>53.48399999999998</v>
      </c>
      <c r="G617" s="80">
        <v>40</v>
      </c>
      <c r="H617" s="77">
        <f t="shared" si="100"/>
        <v>185</v>
      </c>
      <c r="I617" s="77">
        <f t="shared" si="90"/>
        <v>0</v>
      </c>
      <c r="J617" s="80">
        <v>100</v>
      </c>
      <c r="K617" s="80">
        <v>300</v>
      </c>
      <c r="L617" s="77">
        <f t="shared" si="94"/>
        <v>1274</v>
      </c>
      <c r="M617" s="88">
        <v>600</v>
      </c>
      <c r="N617" s="77">
        <f>30</f>
        <v>30</v>
      </c>
      <c r="O617" s="80">
        <v>240</v>
      </c>
      <c r="P617" s="80">
        <v>40</v>
      </c>
      <c r="Q617" s="80">
        <f t="shared" si="95"/>
        <v>315</v>
      </c>
      <c r="R617" s="80">
        <f t="shared" si="96"/>
        <v>100</v>
      </c>
      <c r="S617" s="77">
        <f t="shared" si="97"/>
        <v>695</v>
      </c>
      <c r="T617" s="77">
        <f>50</f>
        <v>50</v>
      </c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</row>
    <row r="618" spans="1:30" ht="15.75" x14ac:dyDescent="0.25">
      <c r="A618" s="32">
        <v>59748</v>
      </c>
      <c r="B618" s="89">
        <f t="shared" si="98"/>
        <v>31</v>
      </c>
      <c r="C618" s="77">
        <f>194.205</f>
        <v>194.20500000000001</v>
      </c>
      <c r="D618" s="77">
        <f>267.466</f>
        <v>267.46600000000001</v>
      </c>
      <c r="E618" s="86">
        <f>133.845</f>
        <v>133.845</v>
      </c>
      <c r="F618" s="77">
        <f>278.484-40-25-60-100</f>
        <v>53.48399999999998</v>
      </c>
      <c r="G618" s="80">
        <v>40</v>
      </c>
      <c r="H618" s="77">
        <f t="shared" si="100"/>
        <v>185</v>
      </c>
      <c r="I618" s="77">
        <f t="shared" si="90"/>
        <v>0</v>
      </c>
      <c r="J618" s="80">
        <v>100</v>
      </c>
      <c r="K618" s="80">
        <v>300</v>
      </c>
      <c r="L618" s="77">
        <f t="shared" si="94"/>
        <v>1274</v>
      </c>
      <c r="M618" s="88">
        <v>600</v>
      </c>
      <c r="N618" s="77">
        <f>30</f>
        <v>30</v>
      </c>
      <c r="O618" s="80">
        <v>240</v>
      </c>
      <c r="P618" s="80">
        <v>40</v>
      </c>
      <c r="Q618" s="80">
        <f t="shared" si="95"/>
        <v>315</v>
      </c>
      <c r="R618" s="80">
        <f t="shared" si="96"/>
        <v>100</v>
      </c>
      <c r="S618" s="77">
        <f t="shared" si="97"/>
        <v>695</v>
      </c>
      <c r="T618" s="77">
        <f>0</f>
        <v>0</v>
      </c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</row>
    <row r="619" spans="1:30" ht="15.75" x14ac:dyDescent="0.25">
      <c r="A619" s="32">
        <v>59779</v>
      </c>
      <c r="B619" s="89">
        <f t="shared" si="98"/>
        <v>31</v>
      </c>
      <c r="C619" s="77">
        <f>194.205</f>
        <v>194.20500000000001</v>
      </c>
      <c r="D619" s="77">
        <f>267.466</f>
        <v>267.46600000000001</v>
      </c>
      <c r="E619" s="86">
        <f>133.845</f>
        <v>133.845</v>
      </c>
      <c r="F619" s="77">
        <f>278.484-40-25-60-100</f>
        <v>53.48399999999998</v>
      </c>
      <c r="G619" s="80">
        <v>40</v>
      </c>
      <c r="H619" s="77">
        <f t="shared" si="100"/>
        <v>185</v>
      </c>
      <c r="I619" s="77">
        <f t="shared" si="90"/>
        <v>0</v>
      </c>
      <c r="J619" s="80">
        <v>100</v>
      </c>
      <c r="K619" s="80">
        <v>300</v>
      </c>
      <c r="L619" s="77">
        <f t="shared" si="94"/>
        <v>1274</v>
      </c>
      <c r="M619" s="88">
        <v>600</v>
      </c>
      <c r="N619" s="77">
        <f>30</f>
        <v>30</v>
      </c>
      <c r="O619" s="80">
        <v>240</v>
      </c>
      <c r="P619" s="80">
        <v>40</v>
      </c>
      <c r="Q619" s="80">
        <f t="shared" si="95"/>
        <v>315</v>
      </c>
      <c r="R619" s="80">
        <f t="shared" si="96"/>
        <v>100</v>
      </c>
      <c r="S619" s="77">
        <f t="shared" si="97"/>
        <v>695</v>
      </c>
      <c r="T619" s="77">
        <f>0</f>
        <v>0</v>
      </c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</row>
    <row r="620" spans="1:30" ht="15.75" x14ac:dyDescent="0.25">
      <c r="A620" s="32">
        <v>59809</v>
      </c>
      <c r="B620" s="89">
        <f t="shared" si="98"/>
        <v>30</v>
      </c>
      <c r="C620" s="77">
        <f>194.205</f>
        <v>194.20500000000001</v>
      </c>
      <c r="D620" s="77">
        <f>267.466</f>
        <v>267.46600000000001</v>
      </c>
      <c r="E620" s="86">
        <f>133.845</f>
        <v>133.845</v>
      </c>
      <c r="F620" s="77">
        <f>278.484-40-25-60-100</f>
        <v>53.48399999999998</v>
      </c>
      <c r="G620" s="80">
        <v>40</v>
      </c>
      <c r="H620" s="77">
        <f t="shared" si="100"/>
        <v>185</v>
      </c>
      <c r="I620" s="77">
        <f t="shared" si="90"/>
        <v>0</v>
      </c>
      <c r="J620" s="80">
        <v>100</v>
      </c>
      <c r="K620" s="80">
        <v>300</v>
      </c>
      <c r="L620" s="77">
        <f t="shared" si="94"/>
        <v>1274</v>
      </c>
      <c r="M620" s="88">
        <v>600</v>
      </c>
      <c r="N620" s="77">
        <f>30</f>
        <v>30</v>
      </c>
      <c r="O620" s="80">
        <v>240</v>
      </c>
      <c r="P620" s="80">
        <v>40</v>
      </c>
      <c r="Q620" s="80">
        <f t="shared" si="95"/>
        <v>315</v>
      </c>
      <c r="R620" s="80">
        <f t="shared" si="96"/>
        <v>100</v>
      </c>
      <c r="S620" s="77">
        <f t="shared" si="97"/>
        <v>695</v>
      </c>
      <c r="T620" s="77">
        <f>0</f>
        <v>0</v>
      </c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</row>
    <row r="621" spans="1:30" ht="15.75" x14ac:dyDescent="0.25">
      <c r="A621" s="32">
        <v>59840</v>
      </c>
      <c r="B621" s="89">
        <f t="shared" si="98"/>
        <v>31</v>
      </c>
      <c r="C621" s="77">
        <f>131.881</f>
        <v>131.881</v>
      </c>
      <c r="D621" s="77">
        <f>277.167</f>
        <v>277.16699999999997</v>
      </c>
      <c r="E621" s="86">
        <f>79.08</f>
        <v>79.08</v>
      </c>
      <c r="F621" s="77">
        <f>350.872-40-25-60-100</f>
        <v>125.87200000000001</v>
      </c>
      <c r="G621" s="80">
        <v>40</v>
      </c>
      <c r="H621" s="77">
        <f t="shared" si="100"/>
        <v>185</v>
      </c>
      <c r="I621" s="77">
        <f t="shared" si="90"/>
        <v>0</v>
      </c>
      <c r="J621" s="80">
        <v>100</v>
      </c>
      <c r="K621" s="80">
        <v>300</v>
      </c>
      <c r="L621" s="77">
        <f t="shared" si="94"/>
        <v>1239</v>
      </c>
      <c r="M621" s="88">
        <v>600</v>
      </c>
      <c r="N621" s="77">
        <f>75</f>
        <v>75</v>
      </c>
      <c r="O621" s="80">
        <v>240</v>
      </c>
      <c r="P621" s="80">
        <v>40</v>
      </c>
      <c r="Q621" s="80">
        <f t="shared" si="95"/>
        <v>315</v>
      </c>
      <c r="R621" s="80">
        <f t="shared" si="96"/>
        <v>100</v>
      </c>
      <c r="S621" s="77">
        <f t="shared" si="97"/>
        <v>695</v>
      </c>
      <c r="T621" s="77">
        <f>0</f>
        <v>0</v>
      </c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</row>
    <row r="622" spans="1:30" ht="15.75" x14ac:dyDescent="0.25">
      <c r="A622" s="32">
        <v>59870</v>
      </c>
      <c r="B622" s="89">
        <f t="shared" si="98"/>
        <v>30</v>
      </c>
      <c r="C622" s="77">
        <f>122.58</f>
        <v>122.58</v>
      </c>
      <c r="D622" s="77">
        <f>297.941</f>
        <v>297.94099999999997</v>
      </c>
      <c r="E622" s="86">
        <f>89.177</f>
        <v>89.177000000000007</v>
      </c>
      <c r="F622" s="77">
        <f>240.302-40-60-100</f>
        <v>40.301999999999992</v>
      </c>
      <c r="G622" s="80">
        <v>40</v>
      </c>
      <c r="H622" s="77">
        <f>60+100</f>
        <v>160</v>
      </c>
      <c r="I622" s="77">
        <f t="shared" si="90"/>
        <v>0</v>
      </c>
      <c r="J622" s="80">
        <v>100</v>
      </c>
      <c r="K622" s="80">
        <v>300</v>
      </c>
      <c r="L622" s="77">
        <f t="shared" si="94"/>
        <v>1150</v>
      </c>
      <c r="M622" s="88">
        <v>600</v>
      </c>
      <c r="N622" s="77">
        <f>100</f>
        <v>100</v>
      </c>
      <c r="O622" s="80">
        <v>240</v>
      </c>
      <c r="P622" s="80">
        <v>40</v>
      </c>
      <c r="Q622" s="80">
        <f t="shared" si="95"/>
        <v>315</v>
      </c>
      <c r="R622" s="80">
        <f t="shared" si="96"/>
        <v>100</v>
      </c>
      <c r="S622" s="77">
        <f t="shared" si="97"/>
        <v>695</v>
      </c>
      <c r="T622" s="77">
        <f>50</f>
        <v>50</v>
      </c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</row>
    <row r="623" spans="1:30" ht="15.75" x14ac:dyDescent="0.25">
      <c r="A623" s="32">
        <v>59901</v>
      </c>
      <c r="B623" s="89">
        <f t="shared" si="98"/>
        <v>31</v>
      </c>
      <c r="C623" s="77">
        <f>122.58</f>
        <v>122.58</v>
      </c>
      <c r="D623" s="77">
        <f>297.941</f>
        <v>297.94099999999997</v>
      </c>
      <c r="E623" s="86">
        <f>89.177</f>
        <v>89.177000000000007</v>
      </c>
      <c r="F623" s="77">
        <f>240.302-40-60-100</f>
        <v>40.301999999999992</v>
      </c>
      <c r="G623" s="80">
        <v>40</v>
      </c>
      <c r="H623" s="77">
        <f>60+100</f>
        <v>160</v>
      </c>
      <c r="I623" s="77">
        <f t="shared" si="90"/>
        <v>0</v>
      </c>
      <c r="J623" s="80">
        <v>100</v>
      </c>
      <c r="K623" s="80">
        <v>300</v>
      </c>
      <c r="L623" s="77">
        <f t="shared" si="94"/>
        <v>1150</v>
      </c>
      <c r="M623" s="88">
        <v>600</v>
      </c>
      <c r="N623" s="77">
        <f>100</f>
        <v>100</v>
      </c>
      <c r="O623" s="80">
        <v>240</v>
      </c>
      <c r="P623" s="80">
        <v>40</v>
      </c>
      <c r="Q623" s="80">
        <f t="shared" si="95"/>
        <v>315</v>
      </c>
      <c r="R623" s="80">
        <f t="shared" si="96"/>
        <v>100</v>
      </c>
      <c r="S623" s="77">
        <f t="shared" si="97"/>
        <v>695</v>
      </c>
      <c r="T623" s="77">
        <f>50</f>
        <v>50</v>
      </c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</row>
    <row r="624" spans="1:30" ht="15.75" x14ac:dyDescent="0.25">
      <c r="A624" s="32">
        <v>59932</v>
      </c>
      <c r="B624" s="89">
        <f t="shared" si="98"/>
        <v>31</v>
      </c>
      <c r="C624" s="77">
        <f>122.58</f>
        <v>122.58</v>
      </c>
      <c r="D624" s="77">
        <f>297.941</f>
        <v>297.94099999999997</v>
      </c>
      <c r="E624" s="86">
        <f>89.177</f>
        <v>89.177000000000007</v>
      </c>
      <c r="F624" s="77">
        <f>240.302-40-60-100</f>
        <v>40.301999999999992</v>
      </c>
      <c r="G624" s="80">
        <v>40</v>
      </c>
      <c r="H624" s="77">
        <f>60+100</f>
        <v>160</v>
      </c>
      <c r="I624" s="77">
        <f t="shared" si="90"/>
        <v>0</v>
      </c>
      <c r="J624" s="80">
        <v>100</v>
      </c>
      <c r="K624" s="80">
        <v>300</v>
      </c>
      <c r="L624" s="77">
        <f t="shared" si="94"/>
        <v>1150</v>
      </c>
      <c r="M624" s="88">
        <v>600</v>
      </c>
      <c r="N624" s="77">
        <f>100</f>
        <v>100</v>
      </c>
      <c r="O624" s="80">
        <v>240</v>
      </c>
      <c r="P624" s="80">
        <v>40</v>
      </c>
      <c r="Q624" s="80">
        <f t="shared" si="95"/>
        <v>315</v>
      </c>
      <c r="R624" s="80">
        <f t="shared" si="96"/>
        <v>100</v>
      </c>
      <c r="S624" s="77">
        <f t="shared" si="97"/>
        <v>695</v>
      </c>
      <c r="T624" s="77">
        <f>50</f>
        <v>50</v>
      </c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</row>
    <row r="625" spans="1:30" ht="15.75" x14ac:dyDescent="0.25">
      <c r="A625" s="32">
        <v>59961</v>
      </c>
      <c r="B625" s="89">
        <f t="shared" si="98"/>
        <v>29</v>
      </c>
      <c r="C625" s="77">
        <f>122.58</f>
        <v>122.58</v>
      </c>
      <c r="D625" s="77">
        <f>297.941</f>
        <v>297.94099999999997</v>
      </c>
      <c r="E625" s="86">
        <f>89.177</f>
        <v>89.177000000000007</v>
      </c>
      <c r="F625" s="77">
        <f>240.302-40-60-100</f>
        <v>40.301999999999992</v>
      </c>
      <c r="G625" s="80">
        <v>40</v>
      </c>
      <c r="H625" s="77">
        <f>60+100</f>
        <v>160</v>
      </c>
      <c r="I625" s="77">
        <f t="shared" si="90"/>
        <v>0</v>
      </c>
      <c r="J625" s="80">
        <v>100</v>
      </c>
      <c r="K625" s="80">
        <v>300</v>
      </c>
      <c r="L625" s="77">
        <f t="shared" si="94"/>
        <v>1150</v>
      </c>
      <c r="M625" s="88">
        <v>600</v>
      </c>
      <c r="N625" s="77">
        <f>100</f>
        <v>100</v>
      </c>
      <c r="O625" s="80">
        <v>240</v>
      </c>
      <c r="P625" s="80">
        <v>40</v>
      </c>
      <c r="Q625" s="80">
        <f t="shared" si="95"/>
        <v>315</v>
      </c>
      <c r="R625" s="80">
        <f t="shared" si="96"/>
        <v>100</v>
      </c>
      <c r="S625" s="77">
        <f t="shared" si="97"/>
        <v>695</v>
      </c>
      <c r="T625" s="77">
        <f>50</f>
        <v>50</v>
      </c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</row>
    <row r="626" spans="1:30" ht="15.75" x14ac:dyDescent="0.25">
      <c r="A626" s="32">
        <v>59992</v>
      </c>
      <c r="B626" s="89">
        <f t="shared" si="98"/>
        <v>31</v>
      </c>
      <c r="C626" s="77">
        <f>122.58</f>
        <v>122.58</v>
      </c>
      <c r="D626" s="77">
        <f>297.941</f>
        <v>297.94099999999997</v>
      </c>
      <c r="E626" s="86">
        <f>89.177</f>
        <v>89.177000000000007</v>
      </c>
      <c r="F626" s="77">
        <f>240.302-40-60-100</f>
        <v>40.301999999999992</v>
      </c>
      <c r="G626" s="80">
        <v>40</v>
      </c>
      <c r="H626" s="77">
        <f>60+100</f>
        <v>160</v>
      </c>
      <c r="I626" s="77">
        <f t="shared" si="90"/>
        <v>0</v>
      </c>
      <c r="J626" s="80">
        <v>100</v>
      </c>
      <c r="K626" s="80">
        <v>300</v>
      </c>
      <c r="L626" s="77">
        <f t="shared" si="94"/>
        <v>1150</v>
      </c>
      <c r="M626" s="88">
        <v>600</v>
      </c>
      <c r="N626" s="77">
        <f>100</f>
        <v>100</v>
      </c>
      <c r="O626" s="80">
        <v>240</v>
      </c>
      <c r="P626" s="80">
        <v>40</v>
      </c>
      <c r="Q626" s="80">
        <f t="shared" si="95"/>
        <v>315</v>
      </c>
      <c r="R626" s="80">
        <f t="shared" si="96"/>
        <v>100</v>
      </c>
      <c r="S626" s="77">
        <f t="shared" si="97"/>
        <v>695</v>
      </c>
      <c r="T626" s="77">
        <f>50</f>
        <v>50</v>
      </c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</row>
    <row r="627" spans="1:30" ht="15.75" x14ac:dyDescent="0.25">
      <c r="A627" s="32">
        <v>60022</v>
      </c>
      <c r="B627" s="89">
        <f t="shared" si="98"/>
        <v>30</v>
      </c>
      <c r="C627" s="77">
        <f>141.293</f>
        <v>141.29300000000001</v>
      </c>
      <c r="D627" s="77">
        <f>267.993</f>
        <v>267.99299999999999</v>
      </c>
      <c r="E627" s="86">
        <f>115.016</f>
        <v>115.01600000000001</v>
      </c>
      <c r="F627" s="77">
        <f>314.698-40-25-60-100</f>
        <v>89.697999999999979</v>
      </c>
      <c r="G627" s="80">
        <v>40</v>
      </c>
      <c r="H627" s="77">
        <f t="shared" ref="H627:H633" si="101">25+60+100</f>
        <v>185</v>
      </c>
      <c r="I627" s="77">
        <f t="shared" si="90"/>
        <v>0</v>
      </c>
      <c r="J627" s="80">
        <v>100</v>
      </c>
      <c r="K627" s="80">
        <v>300</v>
      </c>
      <c r="L627" s="77">
        <f t="shared" si="94"/>
        <v>1239</v>
      </c>
      <c r="M627" s="88">
        <v>600</v>
      </c>
      <c r="N627" s="77">
        <f>100</f>
        <v>100</v>
      </c>
      <c r="O627" s="80">
        <v>240</v>
      </c>
      <c r="P627" s="80">
        <v>40</v>
      </c>
      <c r="Q627" s="80">
        <f t="shared" si="95"/>
        <v>315</v>
      </c>
      <c r="R627" s="80">
        <f t="shared" si="96"/>
        <v>100</v>
      </c>
      <c r="S627" s="77">
        <f t="shared" si="97"/>
        <v>695</v>
      </c>
      <c r="T627" s="77">
        <f>50</f>
        <v>50</v>
      </c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</row>
    <row r="628" spans="1:30" ht="15.75" x14ac:dyDescent="0.25">
      <c r="A628" s="32">
        <v>60053</v>
      </c>
      <c r="B628" s="89">
        <f t="shared" si="98"/>
        <v>31</v>
      </c>
      <c r="C628" s="77">
        <f>194.205</f>
        <v>194.20500000000001</v>
      </c>
      <c r="D628" s="77">
        <f>267.466</f>
        <v>267.46600000000001</v>
      </c>
      <c r="E628" s="86">
        <f>133.845</f>
        <v>133.845</v>
      </c>
      <c r="F628" s="77">
        <f>278.484-40-25-60-100</f>
        <v>53.48399999999998</v>
      </c>
      <c r="G628" s="80">
        <v>40</v>
      </c>
      <c r="H628" s="77">
        <f t="shared" si="101"/>
        <v>185</v>
      </c>
      <c r="I628" s="77">
        <f t="shared" ref="I628:I691" si="102">400-J628-K628</f>
        <v>0</v>
      </c>
      <c r="J628" s="80">
        <v>100</v>
      </c>
      <c r="K628" s="80">
        <v>300</v>
      </c>
      <c r="L628" s="77">
        <f t="shared" si="94"/>
        <v>1274</v>
      </c>
      <c r="M628" s="88">
        <v>600</v>
      </c>
      <c r="N628" s="77">
        <f>75</f>
        <v>75</v>
      </c>
      <c r="O628" s="80">
        <v>240</v>
      </c>
      <c r="P628" s="80">
        <v>40</v>
      </c>
      <c r="Q628" s="80">
        <f t="shared" si="95"/>
        <v>315</v>
      </c>
      <c r="R628" s="80">
        <f t="shared" si="96"/>
        <v>100</v>
      </c>
      <c r="S628" s="77">
        <f t="shared" si="97"/>
        <v>695</v>
      </c>
      <c r="T628" s="77">
        <f>50</f>
        <v>50</v>
      </c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</row>
    <row r="629" spans="1:30" ht="15.75" x14ac:dyDescent="0.25">
      <c r="A629" s="32">
        <v>60083</v>
      </c>
      <c r="B629" s="89">
        <f t="shared" si="98"/>
        <v>30</v>
      </c>
      <c r="C629" s="77">
        <f>194.205</f>
        <v>194.20500000000001</v>
      </c>
      <c r="D629" s="77">
        <f>267.466</f>
        <v>267.46600000000001</v>
      </c>
      <c r="E629" s="86">
        <f>133.845</f>
        <v>133.845</v>
      </c>
      <c r="F629" s="77">
        <f>278.484-40-25-60-100</f>
        <v>53.48399999999998</v>
      </c>
      <c r="G629" s="80">
        <v>40</v>
      </c>
      <c r="H629" s="77">
        <f t="shared" si="101"/>
        <v>185</v>
      </c>
      <c r="I629" s="77">
        <f t="shared" si="102"/>
        <v>0</v>
      </c>
      <c r="J629" s="80">
        <v>100</v>
      </c>
      <c r="K629" s="80">
        <v>300</v>
      </c>
      <c r="L629" s="77">
        <f t="shared" si="94"/>
        <v>1274</v>
      </c>
      <c r="M629" s="88">
        <v>600</v>
      </c>
      <c r="N629" s="77">
        <f>30</f>
        <v>30</v>
      </c>
      <c r="O629" s="80">
        <v>240</v>
      </c>
      <c r="P629" s="80">
        <v>40</v>
      </c>
      <c r="Q629" s="80">
        <f t="shared" si="95"/>
        <v>315</v>
      </c>
      <c r="R629" s="80">
        <f t="shared" si="96"/>
        <v>100</v>
      </c>
      <c r="S629" s="77">
        <f t="shared" si="97"/>
        <v>695</v>
      </c>
      <c r="T629" s="77">
        <f>50</f>
        <v>50</v>
      </c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</row>
    <row r="630" spans="1:30" ht="15.75" x14ac:dyDescent="0.25">
      <c r="A630" s="32">
        <v>60114</v>
      </c>
      <c r="B630" s="89">
        <f t="shared" si="98"/>
        <v>31</v>
      </c>
      <c r="C630" s="77">
        <f>194.205</f>
        <v>194.20500000000001</v>
      </c>
      <c r="D630" s="77">
        <f>267.466</f>
        <v>267.46600000000001</v>
      </c>
      <c r="E630" s="86">
        <f>133.845</f>
        <v>133.845</v>
      </c>
      <c r="F630" s="77">
        <f>278.484-40-25-60-100</f>
        <v>53.48399999999998</v>
      </c>
      <c r="G630" s="80">
        <v>40</v>
      </c>
      <c r="H630" s="77">
        <f t="shared" si="101"/>
        <v>185</v>
      </c>
      <c r="I630" s="77">
        <f t="shared" si="102"/>
        <v>0</v>
      </c>
      <c r="J630" s="80">
        <v>100</v>
      </c>
      <c r="K630" s="80">
        <v>300</v>
      </c>
      <c r="L630" s="77">
        <f t="shared" si="94"/>
        <v>1274</v>
      </c>
      <c r="M630" s="88">
        <v>600</v>
      </c>
      <c r="N630" s="77">
        <f>30</f>
        <v>30</v>
      </c>
      <c r="O630" s="80">
        <v>240</v>
      </c>
      <c r="P630" s="80">
        <v>40</v>
      </c>
      <c r="Q630" s="80">
        <f t="shared" si="95"/>
        <v>315</v>
      </c>
      <c r="R630" s="80">
        <f t="shared" si="96"/>
        <v>100</v>
      </c>
      <c r="S630" s="77">
        <f t="shared" si="97"/>
        <v>695</v>
      </c>
      <c r="T630" s="77">
        <f>0</f>
        <v>0</v>
      </c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</row>
    <row r="631" spans="1:30" ht="15.75" x14ac:dyDescent="0.25">
      <c r="A631" s="32">
        <v>60145</v>
      </c>
      <c r="B631" s="89">
        <f t="shared" si="98"/>
        <v>31</v>
      </c>
      <c r="C631" s="77">
        <f>194.205</f>
        <v>194.20500000000001</v>
      </c>
      <c r="D631" s="77">
        <f>267.466</f>
        <v>267.46600000000001</v>
      </c>
      <c r="E631" s="86">
        <f>133.845</f>
        <v>133.845</v>
      </c>
      <c r="F631" s="77">
        <f>278.484-40-25-60-100</f>
        <v>53.48399999999998</v>
      </c>
      <c r="G631" s="80">
        <v>40</v>
      </c>
      <c r="H631" s="77">
        <f t="shared" si="101"/>
        <v>185</v>
      </c>
      <c r="I631" s="77">
        <f t="shared" si="102"/>
        <v>0</v>
      </c>
      <c r="J631" s="80">
        <v>100</v>
      </c>
      <c r="K631" s="80">
        <v>300</v>
      </c>
      <c r="L631" s="77">
        <f t="shared" si="94"/>
        <v>1274</v>
      </c>
      <c r="M631" s="88">
        <v>600</v>
      </c>
      <c r="N631" s="77">
        <f>30</f>
        <v>30</v>
      </c>
      <c r="O631" s="80">
        <v>240</v>
      </c>
      <c r="P631" s="80">
        <v>40</v>
      </c>
      <c r="Q631" s="80">
        <f t="shared" si="95"/>
        <v>315</v>
      </c>
      <c r="R631" s="80">
        <f t="shared" si="96"/>
        <v>100</v>
      </c>
      <c r="S631" s="77">
        <f t="shared" si="97"/>
        <v>695</v>
      </c>
      <c r="T631" s="77">
        <f>0</f>
        <v>0</v>
      </c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</row>
    <row r="632" spans="1:30" ht="15.75" x14ac:dyDescent="0.25">
      <c r="A632" s="32">
        <v>60175</v>
      </c>
      <c r="B632" s="89">
        <f t="shared" si="98"/>
        <v>30</v>
      </c>
      <c r="C632" s="77">
        <f>194.205</f>
        <v>194.20500000000001</v>
      </c>
      <c r="D632" s="77">
        <f>267.466</f>
        <v>267.46600000000001</v>
      </c>
      <c r="E632" s="86">
        <f>133.845</f>
        <v>133.845</v>
      </c>
      <c r="F632" s="77">
        <f>278.484-40-25-60-100</f>
        <v>53.48399999999998</v>
      </c>
      <c r="G632" s="80">
        <v>40</v>
      </c>
      <c r="H632" s="77">
        <f t="shared" si="101"/>
        <v>185</v>
      </c>
      <c r="I632" s="77">
        <f t="shared" si="102"/>
        <v>0</v>
      </c>
      <c r="J632" s="80">
        <v>100</v>
      </c>
      <c r="K632" s="80">
        <v>300</v>
      </c>
      <c r="L632" s="77">
        <f t="shared" si="94"/>
        <v>1274</v>
      </c>
      <c r="M632" s="88">
        <v>600</v>
      </c>
      <c r="N632" s="77">
        <f>30</f>
        <v>30</v>
      </c>
      <c r="O632" s="80">
        <v>240</v>
      </c>
      <c r="P632" s="80">
        <v>40</v>
      </c>
      <c r="Q632" s="80">
        <f t="shared" si="95"/>
        <v>315</v>
      </c>
      <c r="R632" s="80">
        <f t="shared" si="96"/>
        <v>100</v>
      </c>
      <c r="S632" s="77">
        <f t="shared" si="97"/>
        <v>695</v>
      </c>
      <c r="T632" s="77">
        <f>0</f>
        <v>0</v>
      </c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</row>
    <row r="633" spans="1:30" ht="15.75" x14ac:dyDescent="0.25">
      <c r="A633" s="32">
        <v>60206</v>
      </c>
      <c r="B633" s="89">
        <f t="shared" si="98"/>
        <v>31</v>
      </c>
      <c r="C633" s="77">
        <f>131.881</f>
        <v>131.881</v>
      </c>
      <c r="D633" s="77">
        <f>277.167</f>
        <v>277.16699999999997</v>
      </c>
      <c r="E633" s="86">
        <f>79.08</f>
        <v>79.08</v>
      </c>
      <c r="F633" s="77">
        <f>350.872-40-25-60-100</f>
        <v>125.87200000000001</v>
      </c>
      <c r="G633" s="80">
        <v>40</v>
      </c>
      <c r="H633" s="77">
        <f t="shared" si="101"/>
        <v>185</v>
      </c>
      <c r="I633" s="77">
        <f t="shared" si="102"/>
        <v>0</v>
      </c>
      <c r="J633" s="80">
        <v>100</v>
      </c>
      <c r="K633" s="80">
        <v>300</v>
      </c>
      <c r="L633" s="77">
        <f t="shared" si="94"/>
        <v>1239</v>
      </c>
      <c r="M633" s="88">
        <v>600</v>
      </c>
      <c r="N633" s="77">
        <f>75</f>
        <v>75</v>
      </c>
      <c r="O633" s="80">
        <v>240</v>
      </c>
      <c r="P633" s="80">
        <v>40</v>
      </c>
      <c r="Q633" s="80">
        <f t="shared" si="95"/>
        <v>315</v>
      </c>
      <c r="R633" s="80">
        <f t="shared" si="96"/>
        <v>100</v>
      </c>
      <c r="S633" s="77">
        <f t="shared" si="97"/>
        <v>695</v>
      </c>
      <c r="T633" s="77">
        <f>0</f>
        <v>0</v>
      </c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</row>
    <row r="634" spans="1:30" ht="15.75" x14ac:dyDescent="0.25">
      <c r="A634" s="32">
        <v>60236</v>
      </c>
      <c r="B634" s="89">
        <f t="shared" si="98"/>
        <v>30</v>
      </c>
      <c r="C634" s="77">
        <f>122.58</f>
        <v>122.58</v>
      </c>
      <c r="D634" s="77">
        <f>297.941</f>
        <v>297.94099999999997</v>
      </c>
      <c r="E634" s="86">
        <f>89.177</f>
        <v>89.177000000000007</v>
      </c>
      <c r="F634" s="77">
        <f>240.302-40-60-100</f>
        <v>40.301999999999992</v>
      </c>
      <c r="G634" s="80">
        <v>40</v>
      </c>
      <c r="H634" s="77">
        <f>60+100</f>
        <v>160</v>
      </c>
      <c r="I634" s="77">
        <f t="shared" si="102"/>
        <v>0</v>
      </c>
      <c r="J634" s="80">
        <v>100</v>
      </c>
      <c r="K634" s="80">
        <v>300</v>
      </c>
      <c r="L634" s="77">
        <f t="shared" si="94"/>
        <v>1150</v>
      </c>
      <c r="M634" s="88">
        <v>600</v>
      </c>
      <c r="N634" s="77">
        <f>100</f>
        <v>100</v>
      </c>
      <c r="O634" s="80">
        <v>240</v>
      </c>
      <c r="P634" s="80">
        <v>40</v>
      </c>
      <c r="Q634" s="80">
        <f t="shared" si="95"/>
        <v>315</v>
      </c>
      <c r="R634" s="80">
        <f t="shared" si="96"/>
        <v>100</v>
      </c>
      <c r="S634" s="77">
        <f t="shared" si="97"/>
        <v>695</v>
      </c>
      <c r="T634" s="77">
        <f>50</f>
        <v>50</v>
      </c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</row>
    <row r="635" spans="1:30" ht="15.75" x14ac:dyDescent="0.25">
      <c r="A635" s="32">
        <v>60267</v>
      </c>
      <c r="B635" s="89">
        <f t="shared" si="98"/>
        <v>31</v>
      </c>
      <c r="C635" s="77">
        <f>122.58</f>
        <v>122.58</v>
      </c>
      <c r="D635" s="77">
        <f>297.941</f>
        <v>297.94099999999997</v>
      </c>
      <c r="E635" s="86">
        <f>89.177</f>
        <v>89.177000000000007</v>
      </c>
      <c r="F635" s="77">
        <f>240.302-40-60-100</f>
        <v>40.301999999999992</v>
      </c>
      <c r="G635" s="80">
        <v>40</v>
      </c>
      <c r="H635" s="77">
        <f>60+100</f>
        <v>160</v>
      </c>
      <c r="I635" s="77">
        <f t="shared" si="102"/>
        <v>0</v>
      </c>
      <c r="J635" s="80">
        <v>100</v>
      </c>
      <c r="K635" s="80">
        <v>300</v>
      </c>
      <c r="L635" s="77">
        <f t="shared" si="94"/>
        <v>1150</v>
      </c>
      <c r="M635" s="88">
        <v>600</v>
      </c>
      <c r="N635" s="77">
        <f>100</f>
        <v>100</v>
      </c>
      <c r="O635" s="80">
        <v>240</v>
      </c>
      <c r="P635" s="80">
        <v>40</v>
      </c>
      <c r="Q635" s="80">
        <f t="shared" si="95"/>
        <v>315</v>
      </c>
      <c r="R635" s="80">
        <f t="shared" si="96"/>
        <v>100</v>
      </c>
      <c r="S635" s="77">
        <f t="shared" si="97"/>
        <v>695</v>
      </c>
      <c r="T635" s="77">
        <f>50</f>
        <v>50</v>
      </c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</row>
    <row r="636" spans="1:30" ht="15.75" x14ac:dyDescent="0.25">
      <c r="A636" s="32">
        <v>60298</v>
      </c>
      <c r="B636" s="89">
        <f t="shared" si="98"/>
        <v>31</v>
      </c>
      <c r="C636" s="77">
        <f>122.58</f>
        <v>122.58</v>
      </c>
      <c r="D636" s="77">
        <f>297.941</f>
        <v>297.94099999999997</v>
      </c>
      <c r="E636" s="86">
        <f>89.177</f>
        <v>89.177000000000007</v>
      </c>
      <c r="F636" s="77">
        <f>240.302-40-60-100</f>
        <v>40.301999999999992</v>
      </c>
      <c r="G636" s="80">
        <v>40</v>
      </c>
      <c r="H636" s="77">
        <f>60+100</f>
        <v>160</v>
      </c>
      <c r="I636" s="77">
        <f t="shared" si="102"/>
        <v>0</v>
      </c>
      <c r="J636" s="80">
        <v>100</v>
      </c>
      <c r="K636" s="80">
        <v>300</v>
      </c>
      <c r="L636" s="77">
        <f t="shared" si="94"/>
        <v>1150</v>
      </c>
      <c r="M636" s="88">
        <v>600</v>
      </c>
      <c r="N636" s="77">
        <f>100</f>
        <v>100</v>
      </c>
      <c r="O636" s="80">
        <v>240</v>
      </c>
      <c r="P636" s="80">
        <v>40</v>
      </c>
      <c r="Q636" s="80">
        <f t="shared" si="95"/>
        <v>315</v>
      </c>
      <c r="R636" s="80">
        <f t="shared" si="96"/>
        <v>100</v>
      </c>
      <c r="S636" s="77">
        <f t="shared" si="97"/>
        <v>695</v>
      </c>
      <c r="T636" s="77">
        <f>50</f>
        <v>50</v>
      </c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</row>
    <row r="637" spans="1:30" ht="15.75" x14ac:dyDescent="0.25">
      <c r="A637" s="32">
        <v>60326</v>
      </c>
      <c r="B637" s="89">
        <f t="shared" si="98"/>
        <v>28</v>
      </c>
      <c r="C637" s="77">
        <f>122.58</f>
        <v>122.58</v>
      </c>
      <c r="D637" s="77">
        <f>297.941</f>
        <v>297.94099999999997</v>
      </c>
      <c r="E637" s="86">
        <f>89.177</f>
        <v>89.177000000000007</v>
      </c>
      <c r="F637" s="77">
        <f>240.302-40-60-100</f>
        <v>40.301999999999992</v>
      </c>
      <c r="G637" s="80">
        <v>40</v>
      </c>
      <c r="H637" s="77">
        <f>60+100</f>
        <v>160</v>
      </c>
      <c r="I637" s="77">
        <f t="shared" si="102"/>
        <v>0</v>
      </c>
      <c r="J637" s="80">
        <v>100</v>
      </c>
      <c r="K637" s="80">
        <v>300</v>
      </c>
      <c r="L637" s="77">
        <f t="shared" si="94"/>
        <v>1150</v>
      </c>
      <c r="M637" s="88">
        <v>600</v>
      </c>
      <c r="N637" s="77">
        <f>100</f>
        <v>100</v>
      </c>
      <c r="O637" s="80">
        <v>240</v>
      </c>
      <c r="P637" s="80">
        <v>40</v>
      </c>
      <c r="Q637" s="80">
        <f t="shared" si="95"/>
        <v>315</v>
      </c>
      <c r="R637" s="80">
        <f t="shared" si="96"/>
        <v>100</v>
      </c>
      <c r="S637" s="77">
        <f t="shared" si="97"/>
        <v>695</v>
      </c>
      <c r="T637" s="77">
        <f>50</f>
        <v>50</v>
      </c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</row>
    <row r="638" spans="1:30" ht="15.75" x14ac:dyDescent="0.25">
      <c r="A638" s="32">
        <v>60357</v>
      </c>
      <c r="B638" s="89">
        <f t="shared" si="98"/>
        <v>31</v>
      </c>
      <c r="C638" s="77">
        <f>122.58</f>
        <v>122.58</v>
      </c>
      <c r="D638" s="77">
        <f>297.941</f>
        <v>297.94099999999997</v>
      </c>
      <c r="E638" s="86">
        <f>89.177</f>
        <v>89.177000000000007</v>
      </c>
      <c r="F638" s="77">
        <f>240.302-40-60-100</f>
        <v>40.301999999999992</v>
      </c>
      <c r="G638" s="80">
        <v>40</v>
      </c>
      <c r="H638" s="77">
        <f>60+100</f>
        <v>160</v>
      </c>
      <c r="I638" s="77">
        <f t="shared" si="102"/>
        <v>0</v>
      </c>
      <c r="J638" s="80">
        <v>100</v>
      </c>
      <c r="K638" s="80">
        <v>300</v>
      </c>
      <c r="L638" s="77">
        <f t="shared" si="94"/>
        <v>1150</v>
      </c>
      <c r="M638" s="88">
        <v>600</v>
      </c>
      <c r="N638" s="77">
        <f>100</f>
        <v>100</v>
      </c>
      <c r="O638" s="80">
        <v>240</v>
      </c>
      <c r="P638" s="80">
        <v>40</v>
      </c>
      <c r="Q638" s="80">
        <f t="shared" si="95"/>
        <v>315</v>
      </c>
      <c r="R638" s="80">
        <f t="shared" si="96"/>
        <v>100</v>
      </c>
      <c r="S638" s="77">
        <f t="shared" si="97"/>
        <v>695</v>
      </c>
      <c r="T638" s="77">
        <f>50</f>
        <v>50</v>
      </c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</row>
    <row r="639" spans="1:30" ht="15.75" x14ac:dyDescent="0.25">
      <c r="A639" s="32">
        <v>60387</v>
      </c>
      <c r="B639" s="89">
        <f t="shared" si="98"/>
        <v>30</v>
      </c>
      <c r="C639" s="77">
        <f>141.293</f>
        <v>141.29300000000001</v>
      </c>
      <c r="D639" s="77">
        <f>267.993</f>
        <v>267.99299999999999</v>
      </c>
      <c r="E639" s="86">
        <f>115.016</f>
        <v>115.01600000000001</v>
      </c>
      <c r="F639" s="77">
        <f>314.698-40-25-60-100</f>
        <v>89.697999999999979</v>
      </c>
      <c r="G639" s="80">
        <v>40</v>
      </c>
      <c r="H639" s="77">
        <f t="shared" ref="H639:H645" si="103">25+60+100</f>
        <v>185</v>
      </c>
      <c r="I639" s="77">
        <f t="shared" si="102"/>
        <v>0</v>
      </c>
      <c r="J639" s="80">
        <v>100</v>
      </c>
      <c r="K639" s="80">
        <v>300</v>
      </c>
      <c r="L639" s="77">
        <f t="shared" si="94"/>
        <v>1239</v>
      </c>
      <c r="M639" s="88">
        <v>600</v>
      </c>
      <c r="N639" s="77">
        <f>100</f>
        <v>100</v>
      </c>
      <c r="O639" s="80">
        <v>240</v>
      </c>
      <c r="P639" s="80">
        <v>40</v>
      </c>
      <c r="Q639" s="80">
        <f t="shared" si="95"/>
        <v>315</v>
      </c>
      <c r="R639" s="80">
        <f t="shared" si="96"/>
        <v>100</v>
      </c>
      <c r="S639" s="77">
        <f t="shared" si="97"/>
        <v>695</v>
      </c>
      <c r="T639" s="77">
        <f>50</f>
        <v>50</v>
      </c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</row>
    <row r="640" spans="1:30" ht="15.75" x14ac:dyDescent="0.25">
      <c r="A640" s="32">
        <v>60418</v>
      </c>
      <c r="B640" s="89">
        <f t="shared" si="98"/>
        <v>31</v>
      </c>
      <c r="C640" s="77">
        <f>194.205</f>
        <v>194.20500000000001</v>
      </c>
      <c r="D640" s="77">
        <f>267.466</f>
        <v>267.46600000000001</v>
      </c>
      <c r="E640" s="86">
        <f>133.845</f>
        <v>133.845</v>
      </c>
      <c r="F640" s="77">
        <f>278.484-40-25-60-100</f>
        <v>53.48399999999998</v>
      </c>
      <c r="G640" s="80">
        <v>40</v>
      </c>
      <c r="H640" s="77">
        <f t="shared" si="103"/>
        <v>185</v>
      </c>
      <c r="I640" s="77">
        <f t="shared" si="102"/>
        <v>0</v>
      </c>
      <c r="J640" s="80">
        <v>100</v>
      </c>
      <c r="K640" s="80">
        <v>300</v>
      </c>
      <c r="L640" s="77">
        <f t="shared" si="94"/>
        <v>1274</v>
      </c>
      <c r="M640" s="88">
        <v>600</v>
      </c>
      <c r="N640" s="77">
        <f>75</f>
        <v>75</v>
      </c>
      <c r="O640" s="80">
        <v>240</v>
      </c>
      <c r="P640" s="80">
        <v>40</v>
      </c>
      <c r="Q640" s="80">
        <f t="shared" si="95"/>
        <v>315</v>
      </c>
      <c r="R640" s="80">
        <f t="shared" si="96"/>
        <v>100</v>
      </c>
      <c r="S640" s="77">
        <f t="shared" si="97"/>
        <v>695</v>
      </c>
      <c r="T640" s="77">
        <f>50</f>
        <v>50</v>
      </c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</row>
    <row r="641" spans="1:30" ht="15.75" x14ac:dyDescent="0.25">
      <c r="A641" s="32">
        <v>60448</v>
      </c>
      <c r="B641" s="89">
        <f t="shared" si="98"/>
        <v>30</v>
      </c>
      <c r="C641" s="77">
        <f>194.205</f>
        <v>194.20500000000001</v>
      </c>
      <c r="D641" s="77">
        <f>267.466</f>
        <v>267.46600000000001</v>
      </c>
      <c r="E641" s="86">
        <f>133.845</f>
        <v>133.845</v>
      </c>
      <c r="F641" s="77">
        <f>278.484-40-25-60-100</f>
        <v>53.48399999999998</v>
      </c>
      <c r="G641" s="80">
        <v>40</v>
      </c>
      <c r="H641" s="77">
        <f t="shared" si="103"/>
        <v>185</v>
      </c>
      <c r="I641" s="77">
        <f t="shared" si="102"/>
        <v>0</v>
      </c>
      <c r="J641" s="80">
        <v>100</v>
      </c>
      <c r="K641" s="80">
        <v>300</v>
      </c>
      <c r="L641" s="77">
        <f t="shared" si="94"/>
        <v>1274</v>
      </c>
      <c r="M641" s="88">
        <v>600</v>
      </c>
      <c r="N641" s="77">
        <f>30</f>
        <v>30</v>
      </c>
      <c r="O641" s="80">
        <v>240</v>
      </c>
      <c r="P641" s="80">
        <v>40</v>
      </c>
      <c r="Q641" s="80">
        <f t="shared" si="95"/>
        <v>315</v>
      </c>
      <c r="R641" s="80">
        <f t="shared" si="96"/>
        <v>100</v>
      </c>
      <c r="S641" s="77">
        <f t="shared" si="97"/>
        <v>695</v>
      </c>
      <c r="T641" s="77">
        <f>50</f>
        <v>50</v>
      </c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</row>
    <row r="642" spans="1:30" ht="15.75" x14ac:dyDescent="0.25">
      <c r="A642" s="32">
        <v>60479</v>
      </c>
      <c r="B642" s="89">
        <f t="shared" si="98"/>
        <v>31</v>
      </c>
      <c r="C642" s="77">
        <f>194.205</f>
        <v>194.20500000000001</v>
      </c>
      <c r="D642" s="77">
        <f>267.466</f>
        <v>267.46600000000001</v>
      </c>
      <c r="E642" s="86">
        <f>133.845</f>
        <v>133.845</v>
      </c>
      <c r="F642" s="77">
        <f>278.484-40-25-60-100</f>
        <v>53.48399999999998</v>
      </c>
      <c r="G642" s="80">
        <v>40</v>
      </c>
      <c r="H642" s="77">
        <f t="shared" si="103"/>
        <v>185</v>
      </c>
      <c r="I642" s="77">
        <f t="shared" si="102"/>
        <v>0</v>
      </c>
      <c r="J642" s="80">
        <v>100</v>
      </c>
      <c r="K642" s="80">
        <v>300</v>
      </c>
      <c r="L642" s="77">
        <f t="shared" si="94"/>
        <v>1274</v>
      </c>
      <c r="M642" s="88">
        <v>600</v>
      </c>
      <c r="N642" s="77">
        <f>30</f>
        <v>30</v>
      </c>
      <c r="O642" s="80">
        <v>240</v>
      </c>
      <c r="P642" s="80">
        <v>40</v>
      </c>
      <c r="Q642" s="80">
        <f t="shared" si="95"/>
        <v>315</v>
      </c>
      <c r="R642" s="80">
        <f t="shared" si="96"/>
        <v>100</v>
      </c>
      <c r="S642" s="77">
        <f t="shared" si="97"/>
        <v>695</v>
      </c>
      <c r="T642" s="77">
        <f>0</f>
        <v>0</v>
      </c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</row>
    <row r="643" spans="1:30" ht="15.75" x14ac:dyDescent="0.25">
      <c r="A643" s="32">
        <v>60510</v>
      </c>
      <c r="B643" s="89">
        <f t="shared" si="98"/>
        <v>31</v>
      </c>
      <c r="C643" s="77">
        <f>194.205</f>
        <v>194.20500000000001</v>
      </c>
      <c r="D643" s="77">
        <f>267.466</f>
        <v>267.46600000000001</v>
      </c>
      <c r="E643" s="86">
        <f>133.845</f>
        <v>133.845</v>
      </c>
      <c r="F643" s="77">
        <f>278.484-40-25-60-100</f>
        <v>53.48399999999998</v>
      </c>
      <c r="G643" s="80">
        <v>40</v>
      </c>
      <c r="H643" s="77">
        <f t="shared" si="103"/>
        <v>185</v>
      </c>
      <c r="I643" s="77">
        <f t="shared" si="102"/>
        <v>0</v>
      </c>
      <c r="J643" s="80">
        <v>100</v>
      </c>
      <c r="K643" s="80">
        <v>300</v>
      </c>
      <c r="L643" s="77">
        <f t="shared" si="94"/>
        <v>1274</v>
      </c>
      <c r="M643" s="88">
        <v>600</v>
      </c>
      <c r="N643" s="77">
        <f>30</f>
        <v>30</v>
      </c>
      <c r="O643" s="80">
        <v>240</v>
      </c>
      <c r="P643" s="80">
        <v>40</v>
      </c>
      <c r="Q643" s="80">
        <f t="shared" si="95"/>
        <v>315</v>
      </c>
      <c r="R643" s="80">
        <f t="shared" si="96"/>
        <v>100</v>
      </c>
      <c r="S643" s="77">
        <f t="shared" si="97"/>
        <v>695</v>
      </c>
      <c r="T643" s="77">
        <f>0</f>
        <v>0</v>
      </c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</row>
    <row r="644" spans="1:30" ht="15.75" x14ac:dyDescent="0.25">
      <c r="A644" s="32">
        <v>60540</v>
      </c>
      <c r="B644" s="89">
        <f t="shared" si="98"/>
        <v>30</v>
      </c>
      <c r="C644" s="77">
        <f>194.205</f>
        <v>194.20500000000001</v>
      </c>
      <c r="D644" s="77">
        <f>267.466</f>
        <v>267.46600000000001</v>
      </c>
      <c r="E644" s="86">
        <f>133.845</f>
        <v>133.845</v>
      </c>
      <c r="F644" s="77">
        <f>278.484-40-25-60-100</f>
        <v>53.48399999999998</v>
      </c>
      <c r="G644" s="80">
        <v>40</v>
      </c>
      <c r="H644" s="77">
        <f t="shared" si="103"/>
        <v>185</v>
      </c>
      <c r="I644" s="77">
        <f t="shared" si="102"/>
        <v>0</v>
      </c>
      <c r="J644" s="80">
        <v>100</v>
      </c>
      <c r="K644" s="80">
        <v>300</v>
      </c>
      <c r="L644" s="77">
        <f t="shared" si="94"/>
        <v>1274</v>
      </c>
      <c r="M644" s="88">
        <v>600</v>
      </c>
      <c r="N644" s="77">
        <f>30</f>
        <v>30</v>
      </c>
      <c r="O644" s="80">
        <v>240</v>
      </c>
      <c r="P644" s="80">
        <v>40</v>
      </c>
      <c r="Q644" s="80">
        <f t="shared" si="95"/>
        <v>315</v>
      </c>
      <c r="R644" s="80">
        <f t="shared" si="96"/>
        <v>100</v>
      </c>
      <c r="S644" s="77">
        <f t="shared" si="97"/>
        <v>695</v>
      </c>
      <c r="T644" s="77">
        <f>0</f>
        <v>0</v>
      </c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</row>
    <row r="645" spans="1:30" ht="15.75" x14ac:dyDescent="0.25">
      <c r="A645" s="32">
        <v>60571</v>
      </c>
      <c r="B645" s="89">
        <f t="shared" si="98"/>
        <v>31</v>
      </c>
      <c r="C645" s="77">
        <f>131.881</f>
        <v>131.881</v>
      </c>
      <c r="D645" s="77">
        <f>277.167</f>
        <v>277.16699999999997</v>
      </c>
      <c r="E645" s="86">
        <f>79.08</f>
        <v>79.08</v>
      </c>
      <c r="F645" s="77">
        <f>350.872-40-25-60-100</f>
        <v>125.87200000000001</v>
      </c>
      <c r="G645" s="80">
        <v>40</v>
      </c>
      <c r="H645" s="77">
        <f t="shared" si="103"/>
        <v>185</v>
      </c>
      <c r="I645" s="77">
        <f t="shared" si="102"/>
        <v>0</v>
      </c>
      <c r="J645" s="80">
        <v>100</v>
      </c>
      <c r="K645" s="80">
        <v>300</v>
      </c>
      <c r="L645" s="77">
        <f t="shared" si="94"/>
        <v>1239</v>
      </c>
      <c r="M645" s="88">
        <v>600</v>
      </c>
      <c r="N645" s="77">
        <f>75</f>
        <v>75</v>
      </c>
      <c r="O645" s="80">
        <v>240</v>
      </c>
      <c r="P645" s="80">
        <v>40</v>
      </c>
      <c r="Q645" s="80">
        <f t="shared" si="95"/>
        <v>315</v>
      </c>
      <c r="R645" s="80">
        <f t="shared" si="96"/>
        <v>100</v>
      </c>
      <c r="S645" s="77">
        <f t="shared" si="97"/>
        <v>695</v>
      </c>
      <c r="T645" s="77">
        <f>0</f>
        <v>0</v>
      </c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</row>
    <row r="646" spans="1:30" ht="15.75" x14ac:dyDescent="0.25">
      <c r="A646" s="32">
        <v>60601</v>
      </c>
      <c r="B646" s="89">
        <f t="shared" si="98"/>
        <v>30</v>
      </c>
      <c r="C646" s="77">
        <f>122.58</f>
        <v>122.58</v>
      </c>
      <c r="D646" s="77">
        <f>297.941</f>
        <v>297.94099999999997</v>
      </c>
      <c r="E646" s="86">
        <f>89.177</f>
        <v>89.177000000000007</v>
      </c>
      <c r="F646" s="77">
        <f>240.302-40-60-100</f>
        <v>40.301999999999992</v>
      </c>
      <c r="G646" s="80">
        <v>40</v>
      </c>
      <c r="H646" s="77">
        <f>60+100</f>
        <v>160</v>
      </c>
      <c r="I646" s="77">
        <f t="shared" si="102"/>
        <v>0</v>
      </c>
      <c r="J646" s="80">
        <v>100</v>
      </c>
      <c r="K646" s="80">
        <v>300</v>
      </c>
      <c r="L646" s="77">
        <f t="shared" si="94"/>
        <v>1150</v>
      </c>
      <c r="M646" s="88">
        <v>600</v>
      </c>
      <c r="N646" s="77">
        <f>100</f>
        <v>100</v>
      </c>
      <c r="O646" s="80">
        <v>240</v>
      </c>
      <c r="P646" s="80">
        <v>40</v>
      </c>
      <c r="Q646" s="80">
        <f t="shared" si="95"/>
        <v>315</v>
      </c>
      <c r="R646" s="80">
        <f t="shared" si="96"/>
        <v>100</v>
      </c>
      <c r="S646" s="77">
        <f t="shared" si="97"/>
        <v>695</v>
      </c>
      <c r="T646" s="77">
        <f>50</f>
        <v>50</v>
      </c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</row>
    <row r="647" spans="1:30" ht="15.75" x14ac:dyDescent="0.25">
      <c r="A647" s="32">
        <v>60632</v>
      </c>
      <c r="B647" s="89">
        <f t="shared" si="98"/>
        <v>31</v>
      </c>
      <c r="C647" s="77">
        <f>122.58</f>
        <v>122.58</v>
      </c>
      <c r="D647" s="77">
        <f>297.941</f>
        <v>297.94099999999997</v>
      </c>
      <c r="E647" s="86">
        <f>89.177</f>
        <v>89.177000000000007</v>
      </c>
      <c r="F647" s="77">
        <f>240.302-40-60-100</f>
        <v>40.301999999999992</v>
      </c>
      <c r="G647" s="80">
        <v>40</v>
      </c>
      <c r="H647" s="77">
        <f>60+100</f>
        <v>160</v>
      </c>
      <c r="I647" s="77">
        <f t="shared" si="102"/>
        <v>0</v>
      </c>
      <c r="J647" s="80">
        <v>100</v>
      </c>
      <c r="K647" s="80">
        <v>300</v>
      </c>
      <c r="L647" s="77">
        <f t="shared" si="94"/>
        <v>1150</v>
      </c>
      <c r="M647" s="88">
        <v>600</v>
      </c>
      <c r="N647" s="77">
        <f>100</f>
        <v>100</v>
      </c>
      <c r="O647" s="80">
        <v>240</v>
      </c>
      <c r="P647" s="80">
        <v>40</v>
      </c>
      <c r="Q647" s="80">
        <f t="shared" si="95"/>
        <v>315</v>
      </c>
      <c r="R647" s="80">
        <f t="shared" si="96"/>
        <v>100</v>
      </c>
      <c r="S647" s="77">
        <f t="shared" si="97"/>
        <v>695</v>
      </c>
      <c r="T647" s="77">
        <f>50</f>
        <v>50</v>
      </c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</row>
    <row r="648" spans="1:30" ht="15.75" x14ac:dyDescent="0.25">
      <c r="A648" s="32">
        <v>60663</v>
      </c>
      <c r="B648" s="89">
        <f t="shared" si="98"/>
        <v>31</v>
      </c>
      <c r="C648" s="77">
        <f>122.58</f>
        <v>122.58</v>
      </c>
      <c r="D648" s="77">
        <f>297.941</f>
        <v>297.94099999999997</v>
      </c>
      <c r="E648" s="86">
        <f>89.177</f>
        <v>89.177000000000007</v>
      </c>
      <c r="F648" s="77">
        <f>240.302-40-60-100</f>
        <v>40.301999999999992</v>
      </c>
      <c r="G648" s="80">
        <v>40</v>
      </c>
      <c r="H648" s="77">
        <f>60+100</f>
        <v>160</v>
      </c>
      <c r="I648" s="77">
        <f t="shared" si="102"/>
        <v>0</v>
      </c>
      <c r="J648" s="80">
        <v>100</v>
      </c>
      <c r="K648" s="80">
        <v>300</v>
      </c>
      <c r="L648" s="77">
        <f t="shared" si="94"/>
        <v>1150</v>
      </c>
      <c r="M648" s="88">
        <v>600</v>
      </c>
      <c r="N648" s="77">
        <f>100</f>
        <v>100</v>
      </c>
      <c r="O648" s="80">
        <v>240</v>
      </c>
      <c r="P648" s="80">
        <v>40</v>
      </c>
      <c r="Q648" s="80">
        <f t="shared" si="95"/>
        <v>315</v>
      </c>
      <c r="R648" s="80">
        <f t="shared" si="96"/>
        <v>100</v>
      </c>
      <c r="S648" s="77">
        <f t="shared" si="97"/>
        <v>695</v>
      </c>
      <c r="T648" s="77">
        <f>50</f>
        <v>50</v>
      </c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</row>
    <row r="649" spans="1:30" ht="15.75" x14ac:dyDescent="0.25">
      <c r="A649" s="32">
        <v>60691</v>
      </c>
      <c r="B649" s="89">
        <f t="shared" si="98"/>
        <v>28</v>
      </c>
      <c r="C649" s="77">
        <f>122.58</f>
        <v>122.58</v>
      </c>
      <c r="D649" s="77">
        <f>297.941</f>
        <v>297.94099999999997</v>
      </c>
      <c r="E649" s="86">
        <f>89.177</f>
        <v>89.177000000000007</v>
      </c>
      <c r="F649" s="77">
        <f>240.302-40-60-100</f>
        <v>40.301999999999992</v>
      </c>
      <c r="G649" s="80">
        <v>40</v>
      </c>
      <c r="H649" s="77">
        <f>60+100</f>
        <v>160</v>
      </c>
      <c r="I649" s="77">
        <f t="shared" si="102"/>
        <v>0</v>
      </c>
      <c r="J649" s="80">
        <v>100</v>
      </c>
      <c r="K649" s="80">
        <v>300</v>
      </c>
      <c r="L649" s="77">
        <f t="shared" si="94"/>
        <v>1150</v>
      </c>
      <c r="M649" s="88">
        <v>600</v>
      </c>
      <c r="N649" s="77">
        <f>100</f>
        <v>100</v>
      </c>
      <c r="O649" s="80">
        <v>240</v>
      </c>
      <c r="P649" s="80">
        <v>40</v>
      </c>
      <c r="Q649" s="80">
        <f t="shared" si="95"/>
        <v>315</v>
      </c>
      <c r="R649" s="80">
        <f t="shared" si="96"/>
        <v>100</v>
      </c>
      <c r="S649" s="77">
        <f t="shared" si="97"/>
        <v>695</v>
      </c>
      <c r="T649" s="77">
        <f>50</f>
        <v>50</v>
      </c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</row>
    <row r="650" spans="1:30" ht="15.75" x14ac:dyDescent="0.25">
      <c r="A650" s="32">
        <v>60722</v>
      </c>
      <c r="B650" s="89">
        <f t="shared" si="98"/>
        <v>31</v>
      </c>
      <c r="C650" s="77">
        <f>122.58</f>
        <v>122.58</v>
      </c>
      <c r="D650" s="77">
        <f>297.941</f>
        <v>297.94099999999997</v>
      </c>
      <c r="E650" s="86">
        <f>89.177</f>
        <v>89.177000000000007</v>
      </c>
      <c r="F650" s="77">
        <f>240.302-40-60-100</f>
        <v>40.301999999999992</v>
      </c>
      <c r="G650" s="80">
        <v>40</v>
      </c>
      <c r="H650" s="77">
        <f>60+100</f>
        <v>160</v>
      </c>
      <c r="I650" s="77">
        <f t="shared" si="102"/>
        <v>0</v>
      </c>
      <c r="J650" s="80">
        <v>100</v>
      </c>
      <c r="K650" s="80">
        <v>300</v>
      </c>
      <c r="L650" s="77">
        <f t="shared" si="94"/>
        <v>1150</v>
      </c>
      <c r="M650" s="88">
        <v>600</v>
      </c>
      <c r="N650" s="77">
        <f>100</f>
        <v>100</v>
      </c>
      <c r="O650" s="80">
        <v>240</v>
      </c>
      <c r="P650" s="80">
        <v>40</v>
      </c>
      <c r="Q650" s="80">
        <f t="shared" si="95"/>
        <v>315</v>
      </c>
      <c r="R650" s="80">
        <f t="shared" si="96"/>
        <v>100</v>
      </c>
      <c r="S650" s="77">
        <f t="shared" si="97"/>
        <v>695</v>
      </c>
      <c r="T650" s="77">
        <f>50</f>
        <v>50</v>
      </c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</row>
    <row r="651" spans="1:30" ht="15.75" x14ac:dyDescent="0.25">
      <c r="A651" s="32">
        <v>60752</v>
      </c>
      <c r="B651" s="89">
        <f t="shared" si="98"/>
        <v>30</v>
      </c>
      <c r="C651" s="77">
        <f>141.293</f>
        <v>141.29300000000001</v>
      </c>
      <c r="D651" s="77">
        <f>267.993</f>
        <v>267.99299999999999</v>
      </c>
      <c r="E651" s="86">
        <f>115.016</f>
        <v>115.01600000000001</v>
      </c>
      <c r="F651" s="77">
        <f>314.698-40-25-60-100</f>
        <v>89.697999999999979</v>
      </c>
      <c r="G651" s="80">
        <v>40</v>
      </c>
      <c r="H651" s="77">
        <f t="shared" ref="H651:H657" si="104">25+60+100</f>
        <v>185</v>
      </c>
      <c r="I651" s="77">
        <f t="shared" si="102"/>
        <v>0</v>
      </c>
      <c r="J651" s="80">
        <v>100</v>
      </c>
      <c r="K651" s="80">
        <v>300</v>
      </c>
      <c r="L651" s="77">
        <f t="shared" si="94"/>
        <v>1239</v>
      </c>
      <c r="M651" s="88">
        <v>600</v>
      </c>
      <c r="N651" s="77">
        <f>100</f>
        <v>100</v>
      </c>
      <c r="O651" s="80">
        <v>240</v>
      </c>
      <c r="P651" s="80">
        <v>40</v>
      </c>
      <c r="Q651" s="80">
        <f t="shared" si="95"/>
        <v>315</v>
      </c>
      <c r="R651" s="80">
        <f t="shared" si="96"/>
        <v>100</v>
      </c>
      <c r="S651" s="77">
        <f t="shared" si="97"/>
        <v>695</v>
      </c>
      <c r="T651" s="77">
        <f>50</f>
        <v>50</v>
      </c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</row>
    <row r="652" spans="1:30" ht="15.75" x14ac:dyDescent="0.25">
      <c r="A652" s="32">
        <v>60783</v>
      </c>
      <c r="B652" s="89">
        <f t="shared" si="98"/>
        <v>31</v>
      </c>
      <c r="C652" s="77">
        <f>194.205</f>
        <v>194.20500000000001</v>
      </c>
      <c r="D652" s="77">
        <f>267.466</f>
        <v>267.46600000000001</v>
      </c>
      <c r="E652" s="86">
        <f>133.845</f>
        <v>133.845</v>
      </c>
      <c r="F652" s="77">
        <f>278.484-40-25-60-100</f>
        <v>53.48399999999998</v>
      </c>
      <c r="G652" s="80">
        <v>40</v>
      </c>
      <c r="H652" s="77">
        <f t="shared" si="104"/>
        <v>185</v>
      </c>
      <c r="I652" s="77">
        <f t="shared" si="102"/>
        <v>0</v>
      </c>
      <c r="J652" s="80">
        <v>100</v>
      </c>
      <c r="K652" s="80">
        <v>300</v>
      </c>
      <c r="L652" s="77">
        <f t="shared" si="94"/>
        <v>1274</v>
      </c>
      <c r="M652" s="88">
        <v>600</v>
      </c>
      <c r="N652" s="77">
        <f>75</f>
        <v>75</v>
      </c>
      <c r="O652" s="80">
        <v>240</v>
      </c>
      <c r="P652" s="80">
        <v>40</v>
      </c>
      <c r="Q652" s="80">
        <f t="shared" si="95"/>
        <v>315</v>
      </c>
      <c r="R652" s="80">
        <f t="shared" si="96"/>
        <v>100</v>
      </c>
      <c r="S652" s="77">
        <f t="shared" si="97"/>
        <v>695</v>
      </c>
      <c r="T652" s="77">
        <f>50</f>
        <v>50</v>
      </c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</row>
    <row r="653" spans="1:30" ht="15.75" x14ac:dyDescent="0.25">
      <c r="A653" s="32">
        <v>60813</v>
      </c>
      <c r="B653" s="89">
        <f t="shared" si="98"/>
        <v>30</v>
      </c>
      <c r="C653" s="77">
        <f>194.205</f>
        <v>194.20500000000001</v>
      </c>
      <c r="D653" s="77">
        <f>267.466</f>
        <v>267.46600000000001</v>
      </c>
      <c r="E653" s="86">
        <f>133.845</f>
        <v>133.845</v>
      </c>
      <c r="F653" s="77">
        <f>278.484-40-25-60-100</f>
        <v>53.48399999999998</v>
      </c>
      <c r="G653" s="80">
        <v>40</v>
      </c>
      <c r="H653" s="77">
        <f t="shared" si="104"/>
        <v>185</v>
      </c>
      <c r="I653" s="77">
        <f t="shared" si="102"/>
        <v>0</v>
      </c>
      <c r="J653" s="80">
        <v>100</v>
      </c>
      <c r="K653" s="80">
        <v>300</v>
      </c>
      <c r="L653" s="77">
        <f t="shared" si="94"/>
        <v>1274</v>
      </c>
      <c r="M653" s="88">
        <v>600</v>
      </c>
      <c r="N653" s="77">
        <f>30</f>
        <v>30</v>
      </c>
      <c r="O653" s="80">
        <v>240</v>
      </c>
      <c r="P653" s="80">
        <v>40</v>
      </c>
      <c r="Q653" s="80">
        <f t="shared" si="95"/>
        <v>315</v>
      </c>
      <c r="R653" s="80">
        <f t="shared" si="96"/>
        <v>100</v>
      </c>
      <c r="S653" s="77">
        <f t="shared" si="97"/>
        <v>695</v>
      </c>
      <c r="T653" s="77">
        <f>50</f>
        <v>50</v>
      </c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</row>
    <row r="654" spans="1:30" ht="15.75" x14ac:dyDescent="0.25">
      <c r="A654" s="32">
        <v>60844</v>
      </c>
      <c r="B654" s="89">
        <f t="shared" si="98"/>
        <v>31</v>
      </c>
      <c r="C654" s="77">
        <f>194.205</f>
        <v>194.20500000000001</v>
      </c>
      <c r="D654" s="77">
        <f>267.466</f>
        <v>267.46600000000001</v>
      </c>
      <c r="E654" s="86">
        <f>133.845</f>
        <v>133.845</v>
      </c>
      <c r="F654" s="77">
        <f>278.484-40-25-60-100</f>
        <v>53.48399999999998</v>
      </c>
      <c r="G654" s="80">
        <v>40</v>
      </c>
      <c r="H654" s="77">
        <f t="shared" si="104"/>
        <v>185</v>
      </c>
      <c r="I654" s="77">
        <f t="shared" si="102"/>
        <v>0</v>
      </c>
      <c r="J654" s="80">
        <v>100</v>
      </c>
      <c r="K654" s="80">
        <v>300</v>
      </c>
      <c r="L654" s="77">
        <f t="shared" si="94"/>
        <v>1274</v>
      </c>
      <c r="M654" s="88">
        <v>600</v>
      </c>
      <c r="N654" s="77">
        <f>30</f>
        <v>30</v>
      </c>
      <c r="O654" s="80">
        <v>240</v>
      </c>
      <c r="P654" s="80">
        <v>40</v>
      </c>
      <c r="Q654" s="80">
        <f t="shared" si="95"/>
        <v>315</v>
      </c>
      <c r="R654" s="80">
        <f t="shared" si="96"/>
        <v>100</v>
      </c>
      <c r="S654" s="77">
        <f t="shared" si="97"/>
        <v>695</v>
      </c>
      <c r="T654" s="77">
        <f>0</f>
        <v>0</v>
      </c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</row>
    <row r="655" spans="1:30" ht="15.75" x14ac:dyDescent="0.25">
      <c r="A655" s="32">
        <v>60875</v>
      </c>
      <c r="B655" s="89">
        <f t="shared" si="98"/>
        <v>31</v>
      </c>
      <c r="C655" s="77">
        <f>194.205</f>
        <v>194.20500000000001</v>
      </c>
      <c r="D655" s="77">
        <f>267.466</f>
        <v>267.46600000000001</v>
      </c>
      <c r="E655" s="86">
        <f>133.845</f>
        <v>133.845</v>
      </c>
      <c r="F655" s="77">
        <f>278.484-40-25-60-100</f>
        <v>53.48399999999998</v>
      </c>
      <c r="G655" s="80">
        <v>40</v>
      </c>
      <c r="H655" s="77">
        <f t="shared" si="104"/>
        <v>185</v>
      </c>
      <c r="I655" s="77">
        <f t="shared" si="102"/>
        <v>0</v>
      </c>
      <c r="J655" s="80">
        <v>100</v>
      </c>
      <c r="K655" s="80">
        <v>300</v>
      </c>
      <c r="L655" s="77">
        <f t="shared" si="94"/>
        <v>1274</v>
      </c>
      <c r="M655" s="88">
        <v>600</v>
      </c>
      <c r="N655" s="77">
        <f>30</f>
        <v>30</v>
      </c>
      <c r="O655" s="80">
        <v>240</v>
      </c>
      <c r="P655" s="80">
        <v>40</v>
      </c>
      <c r="Q655" s="80">
        <f t="shared" si="95"/>
        <v>315</v>
      </c>
      <c r="R655" s="80">
        <f t="shared" si="96"/>
        <v>100</v>
      </c>
      <c r="S655" s="77">
        <f t="shared" si="97"/>
        <v>695</v>
      </c>
      <c r="T655" s="77">
        <f>0</f>
        <v>0</v>
      </c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</row>
    <row r="656" spans="1:30" ht="15.75" x14ac:dyDescent="0.25">
      <c r="A656" s="32">
        <v>60905</v>
      </c>
      <c r="B656" s="89">
        <f t="shared" si="98"/>
        <v>30</v>
      </c>
      <c r="C656" s="77">
        <f>194.205</f>
        <v>194.20500000000001</v>
      </c>
      <c r="D656" s="77">
        <f>267.466</f>
        <v>267.46600000000001</v>
      </c>
      <c r="E656" s="86">
        <f>133.845</f>
        <v>133.845</v>
      </c>
      <c r="F656" s="77">
        <f>278.484-40-25-60-100</f>
        <v>53.48399999999998</v>
      </c>
      <c r="G656" s="80">
        <v>40</v>
      </c>
      <c r="H656" s="77">
        <f t="shared" si="104"/>
        <v>185</v>
      </c>
      <c r="I656" s="77">
        <f t="shared" si="102"/>
        <v>0</v>
      </c>
      <c r="J656" s="80">
        <v>100</v>
      </c>
      <c r="K656" s="80">
        <v>300</v>
      </c>
      <c r="L656" s="77">
        <f t="shared" si="94"/>
        <v>1274</v>
      </c>
      <c r="M656" s="88">
        <v>600</v>
      </c>
      <c r="N656" s="77">
        <f>30</f>
        <v>30</v>
      </c>
      <c r="O656" s="80">
        <v>240</v>
      </c>
      <c r="P656" s="80">
        <v>40</v>
      </c>
      <c r="Q656" s="80">
        <f t="shared" si="95"/>
        <v>315</v>
      </c>
      <c r="R656" s="80">
        <f t="shared" si="96"/>
        <v>100</v>
      </c>
      <c r="S656" s="77">
        <f t="shared" si="97"/>
        <v>695</v>
      </c>
      <c r="T656" s="77">
        <f>0</f>
        <v>0</v>
      </c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</row>
    <row r="657" spans="1:30" ht="15.75" x14ac:dyDescent="0.25">
      <c r="A657" s="32">
        <v>60936</v>
      </c>
      <c r="B657" s="89">
        <f t="shared" si="98"/>
        <v>31</v>
      </c>
      <c r="C657" s="77">
        <f>131.881</f>
        <v>131.881</v>
      </c>
      <c r="D657" s="77">
        <f>277.167</f>
        <v>277.16699999999997</v>
      </c>
      <c r="E657" s="86">
        <f>79.08</f>
        <v>79.08</v>
      </c>
      <c r="F657" s="77">
        <f>350.872-40-25-60-100</f>
        <v>125.87200000000001</v>
      </c>
      <c r="G657" s="80">
        <v>40</v>
      </c>
      <c r="H657" s="77">
        <f t="shared" si="104"/>
        <v>185</v>
      </c>
      <c r="I657" s="77">
        <f t="shared" si="102"/>
        <v>0</v>
      </c>
      <c r="J657" s="80">
        <v>100</v>
      </c>
      <c r="K657" s="80">
        <v>300</v>
      </c>
      <c r="L657" s="77">
        <f t="shared" ref="L657:L720" si="105">SUM(C657:K657)</f>
        <v>1239</v>
      </c>
      <c r="M657" s="88">
        <v>600</v>
      </c>
      <c r="N657" s="77">
        <f>75</f>
        <v>75</v>
      </c>
      <c r="O657" s="80">
        <v>240</v>
      </c>
      <c r="P657" s="80">
        <v>40</v>
      </c>
      <c r="Q657" s="80">
        <f t="shared" ref="Q657:Q720" si="106">695-R657-O657-P657</f>
        <v>315</v>
      </c>
      <c r="R657" s="80">
        <f t="shared" ref="R657:R720" si="107">200-J657</f>
        <v>100</v>
      </c>
      <c r="S657" s="77">
        <f t="shared" ref="S657:S720" si="108">SUM(O657:R657)</f>
        <v>695</v>
      </c>
      <c r="T657" s="77">
        <f>0</f>
        <v>0</v>
      </c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</row>
    <row r="658" spans="1:30" ht="15.75" x14ac:dyDescent="0.25">
      <c r="A658" s="32">
        <v>60966</v>
      </c>
      <c r="B658" s="89">
        <f t="shared" si="98"/>
        <v>30</v>
      </c>
      <c r="C658" s="77">
        <f>122.58</f>
        <v>122.58</v>
      </c>
      <c r="D658" s="77">
        <f>297.941</f>
        <v>297.94099999999997</v>
      </c>
      <c r="E658" s="86">
        <f>89.177</f>
        <v>89.177000000000007</v>
      </c>
      <c r="F658" s="77">
        <f>240.302-40-60-100</f>
        <v>40.301999999999992</v>
      </c>
      <c r="G658" s="80">
        <v>40</v>
      </c>
      <c r="H658" s="77">
        <f>60+100</f>
        <v>160</v>
      </c>
      <c r="I658" s="77">
        <f t="shared" si="102"/>
        <v>0</v>
      </c>
      <c r="J658" s="80">
        <v>100</v>
      </c>
      <c r="K658" s="80">
        <v>300</v>
      </c>
      <c r="L658" s="77">
        <f t="shared" si="105"/>
        <v>1150</v>
      </c>
      <c r="M658" s="88">
        <v>600</v>
      </c>
      <c r="N658" s="77">
        <f>100</f>
        <v>100</v>
      </c>
      <c r="O658" s="80">
        <v>240</v>
      </c>
      <c r="P658" s="80">
        <v>40</v>
      </c>
      <c r="Q658" s="80">
        <f t="shared" si="106"/>
        <v>315</v>
      </c>
      <c r="R658" s="80">
        <f t="shared" si="107"/>
        <v>100</v>
      </c>
      <c r="S658" s="77">
        <f t="shared" si="108"/>
        <v>695</v>
      </c>
      <c r="T658" s="77">
        <f>50</f>
        <v>50</v>
      </c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</row>
    <row r="659" spans="1:30" ht="15.75" x14ac:dyDescent="0.25">
      <c r="A659" s="32">
        <v>60997</v>
      </c>
      <c r="B659" s="89">
        <f t="shared" si="98"/>
        <v>31</v>
      </c>
      <c r="C659" s="77">
        <f>122.58</f>
        <v>122.58</v>
      </c>
      <c r="D659" s="77">
        <f>297.941</f>
        <v>297.94099999999997</v>
      </c>
      <c r="E659" s="86">
        <f>89.177</f>
        <v>89.177000000000007</v>
      </c>
      <c r="F659" s="77">
        <f>240.302-40-60-100</f>
        <v>40.301999999999992</v>
      </c>
      <c r="G659" s="80">
        <v>40</v>
      </c>
      <c r="H659" s="77">
        <f>60+100</f>
        <v>160</v>
      </c>
      <c r="I659" s="77">
        <f t="shared" si="102"/>
        <v>0</v>
      </c>
      <c r="J659" s="80">
        <v>100</v>
      </c>
      <c r="K659" s="80">
        <v>300</v>
      </c>
      <c r="L659" s="77">
        <f t="shared" si="105"/>
        <v>1150</v>
      </c>
      <c r="M659" s="88">
        <v>600</v>
      </c>
      <c r="N659" s="77">
        <f>100</f>
        <v>100</v>
      </c>
      <c r="O659" s="80">
        <v>240</v>
      </c>
      <c r="P659" s="80">
        <v>40</v>
      </c>
      <c r="Q659" s="80">
        <f t="shared" si="106"/>
        <v>315</v>
      </c>
      <c r="R659" s="80">
        <f t="shared" si="107"/>
        <v>100</v>
      </c>
      <c r="S659" s="77">
        <f t="shared" si="108"/>
        <v>695</v>
      </c>
      <c r="T659" s="77">
        <f>50</f>
        <v>50</v>
      </c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</row>
    <row r="660" spans="1:30" ht="15.75" x14ac:dyDescent="0.25">
      <c r="A660" s="32">
        <v>61028</v>
      </c>
      <c r="B660" s="89">
        <f t="shared" si="98"/>
        <v>31</v>
      </c>
      <c r="C660" s="77">
        <f>122.58</f>
        <v>122.58</v>
      </c>
      <c r="D660" s="77">
        <f>297.941</f>
        <v>297.94099999999997</v>
      </c>
      <c r="E660" s="86">
        <f>89.177</f>
        <v>89.177000000000007</v>
      </c>
      <c r="F660" s="77">
        <f>240.302-40-60-100</f>
        <v>40.301999999999992</v>
      </c>
      <c r="G660" s="80">
        <v>40</v>
      </c>
      <c r="H660" s="77">
        <f>60+100</f>
        <v>160</v>
      </c>
      <c r="I660" s="77">
        <f t="shared" si="102"/>
        <v>0</v>
      </c>
      <c r="J660" s="80">
        <v>100</v>
      </c>
      <c r="K660" s="80">
        <v>300</v>
      </c>
      <c r="L660" s="77">
        <f t="shared" si="105"/>
        <v>1150</v>
      </c>
      <c r="M660" s="88">
        <v>600</v>
      </c>
      <c r="N660" s="77">
        <f>100</f>
        <v>100</v>
      </c>
      <c r="O660" s="80">
        <v>240</v>
      </c>
      <c r="P660" s="80">
        <v>40</v>
      </c>
      <c r="Q660" s="80">
        <f t="shared" si="106"/>
        <v>315</v>
      </c>
      <c r="R660" s="80">
        <f t="shared" si="107"/>
        <v>100</v>
      </c>
      <c r="S660" s="77">
        <f t="shared" si="108"/>
        <v>695</v>
      </c>
      <c r="T660" s="77">
        <f>50</f>
        <v>50</v>
      </c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</row>
    <row r="661" spans="1:30" ht="15.75" x14ac:dyDescent="0.25">
      <c r="A661" s="32">
        <v>61056</v>
      </c>
      <c r="B661" s="89">
        <f t="shared" si="98"/>
        <v>28</v>
      </c>
      <c r="C661" s="77">
        <f>122.58</f>
        <v>122.58</v>
      </c>
      <c r="D661" s="77">
        <f>297.941</f>
        <v>297.94099999999997</v>
      </c>
      <c r="E661" s="86">
        <f>89.177</f>
        <v>89.177000000000007</v>
      </c>
      <c r="F661" s="77">
        <f>240.302-40-60-100</f>
        <v>40.301999999999992</v>
      </c>
      <c r="G661" s="80">
        <v>40</v>
      </c>
      <c r="H661" s="77">
        <f>60+100</f>
        <v>160</v>
      </c>
      <c r="I661" s="77">
        <f t="shared" si="102"/>
        <v>0</v>
      </c>
      <c r="J661" s="80">
        <v>100</v>
      </c>
      <c r="K661" s="80">
        <v>300</v>
      </c>
      <c r="L661" s="77">
        <f t="shared" si="105"/>
        <v>1150</v>
      </c>
      <c r="M661" s="88">
        <v>600</v>
      </c>
      <c r="N661" s="77">
        <f>100</f>
        <v>100</v>
      </c>
      <c r="O661" s="80">
        <v>240</v>
      </c>
      <c r="P661" s="80">
        <v>40</v>
      </c>
      <c r="Q661" s="80">
        <f t="shared" si="106"/>
        <v>315</v>
      </c>
      <c r="R661" s="80">
        <f t="shared" si="107"/>
        <v>100</v>
      </c>
      <c r="S661" s="77">
        <f t="shared" si="108"/>
        <v>695</v>
      </c>
      <c r="T661" s="77">
        <f>50</f>
        <v>50</v>
      </c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</row>
    <row r="662" spans="1:30" ht="15.75" x14ac:dyDescent="0.25">
      <c r="A662" s="32">
        <v>61087</v>
      </c>
      <c r="B662" s="89">
        <f t="shared" si="98"/>
        <v>31</v>
      </c>
      <c r="C662" s="77">
        <f>122.58</f>
        <v>122.58</v>
      </c>
      <c r="D662" s="77">
        <f>297.941</f>
        <v>297.94099999999997</v>
      </c>
      <c r="E662" s="86">
        <f>89.177</f>
        <v>89.177000000000007</v>
      </c>
      <c r="F662" s="77">
        <f>240.302-40-60-100</f>
        <v>40.301999999999992</v>
      </c>
      <c r="G662" s="80">
        <v>40</v>
      </c>
      <c r="H662" s="77">
        <f>60+100</f>
        <v>160</v>
      </c>
      <c r="I662" s="77">
        <f t="shared" si="102"/>
        <v>0</v>
      </c>
      <c r="J662" s="80">
        <v>100</v>
      </c>
      <c r="K662" s="80">
        <v>300</v>
      </c>
      <c r="L662" s="77">
        <f t="shared" si="105"/>
        <v>1150</v>
      </c>
      <c r="M662" s="88">
        <v>600</v>
      </c>
      <c r="N662" s="77">
        <f>100</f>
        <v>100</v>
      </c>
      <c r="O662" s="80">
        <v>240</v>
      </c>
      <c r="P662" s="80">
        <v>40</v>
      </c>
      <c r="Q662" s="80">
        <f t="shared" si="106"/>
        <v>315</v>
      </c>
      <c r="R662" s="80">
        <f t="shared" si="107"/>
        <v>100</v>
      </c>
      <c r="S662" s="77">
        <f t="shared" si="108"/>
        <v>695</v>
      </c>
      <c r="T662" s="77">
        <f>50</f>
        <v>50</v>
      </c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</row>
    <row r="663" spans="1:30" ht="15.75" x14ac:dyDescent="0.25">
      <c r="A663" s="32">
        <v>61117</v>
      </c>
      <c r="B663" s="89">
        <f t="shared" si="98"/>
        <v>30</v>
      </c>
      <c r="C663" s="77">
        <f>141.293</f>
        <v>141.29300000000001</v>
      </c>
      <c r="D663" s="77">
        <f>267.993</f>
        <v>267.99299999999999</v>
      </c>
      <c r="E663" s="86">
        <f>115.016</f>
        <v>115.01600000000001</v>
      </c>
      <c r="F663" s="77">
        <f>314.698-40-25-60-100</f>
        <v>89.697999999999979</v>
      </c>
      <c r="G663" s="80">
        <v>40</v>
      </c>
      <c r="H663" s="77">
        <f t="shared" ref="H663:H669" si="109">25+60+100</f>
        <v>185</v>
      </c>
      <c r="I663" s="77">
        <f t="shared" si="102"/>
        <v>0</v>
      </c>
      <c r="J663" s="80">
        <v>100</v>
      </c>
      <c r="K663" s="80">
        <v>300</v>
      </c>
      <c r="L663" s="77">
        <f t="shared" si="105"/>
        <v>1239</v>
      </c>
      <c r="M663" s="88">
        <v>600</v>
      </c>
      <c r="N663" s="77">
        <f>100</f>
        <v>100</v>
      </c>
      <c r="O663" s="80">
        <v>240</v>
      </c>
      <c r="P663" s="80">
        <v>40</v>
      </c>
      <c r="Q663" s="80">
        <f t="shared" si="106"/>
        <v>315</v>
      </c>
      <c r="R663" s="80">
        <f t="shared" si="107"/>
        <v>100</v>
      </c>
      <c r="S663" s="77">
        <f t="shared" si="108"/>
        <v>695</v>
      </c>
      <c r="T663" s="77">
        <f>50</f>
        <v>50</v>
      </c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</row>
    <row r="664" spans="1:30" ht="15.75" x14ac:dyDescent="0.25">
      <c r="A664" s="32">
        <v>61148</v>
      </c>
      <c r="B664" s="89">
        <f t="shared" ref="B664:B727" si="110">EOMONTH(A664,0)-EOMONTH(A664,-1)</f>
        <v>31</v>
      </c>
      <c r="C664" s="77">
        <f>194.205</f>
        <v>194.20500000000001</v>
      </c>
      <c r="D664" s="77">
        <f>267.466</f>
        <v>267.46600000000001</v>
      </c>
      <c r="E664" s="86">
        <f>133.845</f>
        <v>133.845</v>
      </c>
      <c r="F664" s="77">
        <f>278.484-40-25-60-100</f>
        <v>53.48399999999998</v>
      </c>
      <c r="G664" s="80">
        <v>40</v>
      </c>
      <c r="H664" s="77">
        <f t="shared" si="109"/>
        <v>185</v>
      </c>
      <c r="I664" s="77">
        <f t="shared" si="102"/>
        <v>0</v>
      </c>
      <c r="J664" s="80">
        <v>100</v>
      </c>
      <c r="K664" s="80">
        <v>300</v>
      </c>
      <c r="L664" s="77">
        <f t="shared" si="105"/>
        <v>1274</v>
      </c>
      <c r="M664" s="88">
        <v>600</v>
      </c>
      <c r="N664" s="77">
        <f>75</f>
        <v>75</v>
      </c>
      <c r="O664" s="80">
        <v>240</v>
      </c>
      <c r="P664" s="80">
        <v>40</v>
      </c>
      <c r="Q664" s="80">
        <f t="shared" si="106"/>
        <v>315</v>
      </c>
      <c r="R664" s="80">
        <f t="shared" si="107"/>
        <v>100</v>
      </c>
      <c r="S664" s="77">
        <f t="shared" si="108"/>
        <v>695</v>
      </c>
      <c r="T664" s="77">
        <f>50</f>
        <v>50</v>
      </c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</row>
    <row r="665" spans="1:30" ht="15.75" x14ac:dyDescent="0.25">
      <c r="A665" s="32">
        <v>61178</v>
      </c>
      <c r="B665" s="89">
        <f t="shared" si="110"/>
        <v>30</v>
      </c>
      <c r="C665" s="77">
        <f>194.205</f>
        <v>194.20500000000001</v>
      </c>
      <c r="D665" s="77">
        <f>267.466</f>
        <v>267.46600000000001</v>
      </c>
      <c r="E665" s="86">
        <f>133.845</f>
        <v>133.845</v>
      </c>
      <c r="F665" s="77">
        <f>278.484-40-25-60-100</f>
        <v>53.48399999999998</v>
      </c>
      <c r="G665" s="80">
        <v>40</v>
      </c>
      <c r="H665" s="77">
        <f t="shared" si="109"/>
        <v>185</v>
      </c>
      <c r="I665" s="77">
        <f t="shared" si="102"/>
        <v>0</v>
      </c>
      <c r="J665" s="80">
        <v>100</v>
      </c>
      <c r="K665" s="80">
        <v>300</v>
      </c>
      <c r="L665" s="77">
        <f t="shared" si="105"/>
        <v>1274</v>
      </c>
      <c r="M665" s="88">
        <v>600</v>
      </c>
      <c r="N665" s="77">
        <f>30</f>
        <v>30</v>
      </c>
      <c r="O665" s="80">
        <v>240</v>
      </c>
      <c r="P665" s="80">
        <v>40</v>
      </c>
      <c r="Q665" s="80">
        <f t="shared" si="106"/>
        <v>315</v>
      </c>
      <c r="R665" s="80">
        <f t="shared" si="107"/>
        <v>100</v>
      </c>
      <c r="S665" s="77">
        <f t="shared" si="108"/>
        <v>695</v>
      </c>
      <c r="T665" s="77">
        <f>50</f>
        <v>50</v>
      </c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</row>
    <row r="666" spans="1:30" ht="15.75" x14ac:dyDescent="0.25">
      <c r="A666" s="32">
        <v>61209</v>
      </c>
      <c r="B666" s="89">
        <f t="shared" si="110"/>
        <v>31</v>
      </c>
      <c r="C666" s="77">
        <f>194.205</f>
        <v>194.20500000000001</v>
      </c>
      <c r="D666" s="77">
        <f>267.466</f>
        <v>267.46600000000001</v>
      </c>
      <c r="E666" s="86">
        <f>133.845</f>
        <v>133.845</v>
      </c>
      <c r="F666" s="77">
        <f>278.484-40-25-60-100</f>
        <v>53.48399999999998</v>
      </c>
      <c r="G666" s="80">
        <v>40</v>
      </c>
      <c r="H666" s="77">
        <f t="shared" si="109"/>
        <v>185</v>
      </c>
      <c r="I666" s="77">
        <f t="shared" si="102"/>
        <v>0</v>
      </c>
      <c r="J666" s="80">
        <v>100</v>
      </c>
      <c r="K666" s="80">
        <v>300</v>
      </c>
      <c r="L666" s="77">
        <f t="shared" si="105"/>
        <v>1274</v>
      </c>
      <c r="M666" s="88">
        <v>600</v>
      </c>
      <c r="N666" s="77">
        <f>30</f>
        <v>30</v>
      </c>
      <c r="O666" s="80">
        <v>240</v>
      </c>
      <c r="P666" s="80">
        <v>40</v>
      </c>
      <c r="Q666" s="80">
        <f t="shared" si="106"/>
        <v>315</v>
      </c>
      <c r="R666" s="80">
        <f t="shared" si="107"/>
        <v>100</v>
      </c>
      <c r="S666" s="77">
        <f t="shared" si="108"/>
        <v>695</v>
      </c>
      <c r="T666" s="77">
        <f>0</f>
        <v>0</v>
      </c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</row>
    <row r="667" spans="1:30" ht="15.75" x14ac:dyDescent="0.25">
      <c r="A667" s="32">
        <v>61240</v>
      </c>
      <c r="B667" s="89">
        <f t="shared" si="110"/>
        <v>31</v>
      </c>
      <c r="C667" s="77">
        <f>194.205</f>
        <v>194.20500000000001</v>
      </c>
      <c r="D667" s="77">
        <f>267.466</f>
        <v>267.46600000000001</v>
      </c>
      <c r="E667" s="86">
        <f>133.845</f>
        <v>133.845</v>
      </c>
      <c r="F667" s="77">
        <f>278.484-40-25-60-100</f>
        <v>53.48399999999998</v>
      </c>
      <c r="G667" s="80">
        <v>40</v>
      </c>
      <c r="H667" s="77">
        <f t="shared" si="109"/>
        <v>185</v>
      </c>
      <c r="I667" s="77">
        <f t="shared" si="102"/>
        <v>0</v>
      </c>
      <c r="J667" s="80">
        <v>100</v>
      </c>
      <c r="K667" s="80">
        <v>300</v>
      </c>
      <c r="L667" s="77">
        <f t="shared" si="105"/>
        <v>1274</v>
      </c>
      <c r="M667" s="88">
        <v>600</v>
      </c>
      <c r="N667" s="77">
        <f>30</f>
        <v>30</v>
      </c>
      <c r="O667" s="80">
        <v>240</v>
      </c>
      <c r="P667" s="80">
        <v>40</v>
      </c>
      <c r="Q667" s="80">
        <f t="shared" si="106"/>
        <v>315</v>
      </c>
      <c r="R667" s="80">
        <f t="shared" si="107"/>
        <v>100</v>
      </c>
      <c r="S667" s="77">
        <f t="shared" si="108"/>
        <v>695</v>
      </c>
      <c r="T667" s="77">
        <f>0</f>
        <v>0</v>
      </c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</row>
    <row r="668" spans="1:30" ht="15.75" x14ac:dyDescent="0.25">
      <c r="A668" s="32">
        <v>61270</v>
      </c>
      <c r="B668" s="89">
        <f t="shared" si="110"/>
        <v>30</v>
      </c>
      <c r="C668" s="77">
        <f>194.205</f>
        <v>194.20500000000001</v>
      </c>
      <c r="D668" s="77">
        <f>267.466</f>
        <v>267.46600000000001</v>
      </c>
      <c r="E668" s="86">
        <f>133.845</f>
        <v>133.845</v>
      </c>
      <c r="F668" s="77">
        <f>278.484-40-25-60-100</f>
        <v>53.48399999999998</v>
      </c>
      <c r="G668" s="80">
        <v>40</v>
      </c>
      <c r="H668" s="77">
        <f t="shared" si="109"/>
        <v>185</v>
      </c>
      <c r="I668" s="77">
        <f t="shared" si="102"/>
        <v>0</v>
      </c>
      <c r="J668" s="80">
        <v>100</v>
      </c>
      <c r="K668" s="80">
        <v>300</v>
      </c>
      <c r="L668" s="77">
        <f t="shared" si="105"/>
        <v>1274</v>
      </c>
      <c r="M668" s="88">
        <v>600</v>
      </c>
      <c r="N668" s="77">
        <f>30</f>
        <v>30</v>
      </c>
      <c r="O668" s="80">
        <v>240</v>
      </c>
      <c r="P668" s="80">
        <v>40</v>
      </c>
      <c r="Q668" s="80">
        <f t="shared" si="106"/>
        <v>315</v>
      </c>
      <c r="R668" s="80">
        <f t="shared" si="107"/>
        <v>100</v>
      </c>
      <c r="S668" s="77">
        <f t="shared" si="108"/>
        <v>695</v>
      </c>
      <c r="T668" s="77">
        <f>0</f>
        <v>0</v>
      </c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</row>
    <row r="669" spans="1:30" ht="15.75" x14ac:dyDescent="0.25">
      <c r="A669" s="32">
        <v>61301</v>
      </c>
      <c r="B669" s="89">
        <f t="shared" si="110"/>
        <v>31</v>
      </c>
      <c r="C669" s="77">
        <f>131.881</f>
        <v>131.881</v>
      </c>
      <c r="D669" s="77">
        <f>277.167</f>
        <v>277.16699999999997</v>
      </c>
      <c r="E669" s="86">
        <f>79.08</f>
        <v>79.08</v>
      </c>
      <c r="F669" s="77">
        <f>350.872-40-25-60-100</f>
        <v>125.87200000000001</v>
      </c>
      <c r="G669" s="80">
        <v>40</v>
      </c>
      <c r="H669" s="77">
        <f t="shared" si="109"/>
        <v>185</v>
      </c>
      <c r="I669" s="77">
        <f t="shared" si="102"/>
        <v>0</v>
      </c>
      <c r="J669" s="80">
        <v>100</v>
      </c>
      <c r="K669" s="80">
        <v>300</v>
      </c>
      <c r="L669" s="77">
        <f t="shared" si="105"/>
        <v>1239</v>
      </c>
      <c r="M669" s="88">
        <v>600</v>
      </c>
      <c r="N669" s="77">
        <f>75</f>
        <v>75</v>
      </c>
      <c r="O669" s="80">
        <v>240</v>
      </c>
      <c r="P669" s="80">
        <v>40</v>
      </c>
      <c r="Q669" s="80">
        <f t="shared" si="106"/>
        <v>315</v>
      </c>
      <c r="R669" s="80">
        <f t="shared" si="107"/>
        <v>100</v>
      </c>
      <c r="S669" s="77">
        <f t="shared" si="108"/>
        <v>695</v>
      </c>
      <c r="T669" s="77">
        <f>0</f>
        <v>0</v>
      </c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</row>
    <row r="670" spans="1:30" ht="15.75" x14ac:dyDescent="0.25">
      <c r="A670" s="32">
        <v>61331</v>
      </c>
      <c r="B670" s="89">
        <f t="shared" si="110"/>
        <v>30</v>
      </c>
      <c r="C670" s="77">
        <f>122.58</f>
        <v>122.58</v>
      </c>
      <c r="D670" s="77">
        <f>297.941</f>
        <v>297.94099999999997</v>
      </c>
      <c r="E670" s="86">
        <f>89.177</f>
        <v>89.177000000000007</v>
      </c>
      <c r="F670" s="77">
        <f>240.302-40-60-100</f>
        <v>40.301999999999992</v>
      </c>
      <c r="G670" s="80">
        <v>40</v>
      </c>
      <c r="H670" s="77">
        <f>60+100</f>
        <v>160</v>
      </c>
      <c r="I670" s="77">
        <f t="shared" si="102"/>
        <v>0</v>
      </c>
      <c r="J670" s="80">
        <v>100</v>
      </c>
      <c r="K670" s="80">
        <v>300</v>
      </c>
      <c r="L670" s="77">
        <f t="shared" si="105"/>
        <v>1150</v>
      </c>
      <c r="M670" s="88">
        <v>600</v>
      </c>
      <c r="N670" s="77">
        <f>100</f>
        <v>100</v>
      </c>
      <c r="O670" s="80">
        <v>240</v>
      </c>
      <c r="P670" s="80">
        <v>40</v>
      </c>
      <c r="Q670" s="80">
        <f t="shared" si="106"/>
        <v>315</v>
      </c>
      <c r="R670" s="80">
        <f t="shared" si="107"/>
        <v>100</v>
      </c>
      <c r="S670" s="77">
        <f t="shared" si="108"/>
        <v>695</v>
      </c>
      <c r="T670" s="77">
        <f>50</f>
        <v>50</v>
      </c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</row>
    <row r="671" spans="1:30" ht="15.75" x14ac:dyDescent="0.25">
      <c r="A671" s="32">
        <v>61362</v>
      </c>
      <c r="B671" s="89">
        <f t="shared" si="110"/>
        <v>31</v>
      </c>
      <c r="C671" s="77">
        <f>122.58</f>
        <v>122.58</v>
      </c>
      <c r="D671" s="77">
        <f>297.941</f>
        <v>297.94099999999997</v>
      </c>
      <c r="E671" s="86">
        <f>89.177</f>
        <v>89.177000000000007</v>
      </c>
      <c r="F671" s="77">
        <f>240.302-40-60-100</f>
        <v>40.301999999999992</v>
      </c>
      <c r="G671" s="80">
        <v>40</v>
      </c>
      <c r="H671" s="77">
        <f>60+100</f>
        <v>160</v>
      </c>
      <c r="I671" s="77">
        <f t="shared" si="102"/>
        <v>0</v>
      </c>
      <c r="J671" s="80">
        <v>100</v>
      </c>
      <c r="K671" s="80">
        <v>300</v>
      </c>
      <c r="L671" s="77">
        <f t="shared" si="105"/>
        <v>1150</v>
      </c>
      <c r="M671" s="88">
        <v>600</v>
      </c>
      <c r="N671" s="77">
        <f>100</f>
        <v>100</v>
      </c>
      <c r="O671" s="80">
        <v>240</v>
      </c>
      <c r="P671" s="80">
        <v>40</v>
      </c>
      <c r="Q671" s="80">
        <f t="shared" si="106"/>
        <v>315</v>
      </c>
      <c r="R671" s="80">
        <f t="shared" si="107"/>
        <v>100</v>
      </c>
      <c r="S671" s="77">
        <f t="shared" si="108"/>
        <v>695</v>
      </c>
      <c r="T671" s="77">
        <f>50</f>
        <v>50</v>
      </c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</row>
    <row r="672" spans="1:30" ht="15.75" x14ac:dyDescent="0.25">
      <c r="A672" s="32">
        <v>61393</v>
      </c>
      <c r="B672" s="89">
        <f t="shared" si="110"/>
        <v>31</v>
      </c>
      <c r="C672" s="77">
        <f>122.58</f>
        <v>122.58</v>
      </c>
      <c r="D672" s="77">
        <f>297.941</f>
        <v>297.94099999999997</v>
      </c>
      <c r="E672" s="86">
        <f>89.177</f>
        <v>89.177000000000007</v>
      </c>
      <c r="F672" s="77">
        <f>240.302-40-60-100</f>
        <v>40.301999999999992</v>
      </c>
      <c r="G672" s="80">
        <v>40</v>
      </c>
      <c r="H672" s="77">
        <f>60+100</f>
        <v>160</v>
      </c>
      <c r="I672" s="77">
        <f t="shared" si="102"/>
        <v>0</v>
      </c>
      <c r="J672" s="80">
        <v>100</v>
      </c>
      <c r="K672" s="80">
        <v>300</v>
      </c>
      <c r="L672" s="77">
        <f t="shared" si="105"/>
        <v>1150</v>
      </c>
      <c r="M672" s="88">
        <v>600</v>
      </c>
      <c r="N672" s="77">
        <f>100</f>
        <v>100</v>
      </c>
      <c r="O672" s="80">
        <v>240</v>
      </c>
      <c r="P672" s="80">
        <v>40</v>
      </c>
      <c r="Q672" s="80">
        <f t="shared" si="106"/>
        <v>315</v>
      </c>
      <c r="R672" s="80">
        <f t="shared" si="107"/>
        <v>100</v>
      </c>
      <c r="S672" s="77">
        <f t="shared" si="108"/>
        <v>695</v>
      </c>
      <c r="T672" s="77">
        <f>50</f>
        <v>50</v>
      </c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</row>
    <row r="673" spans="1:30" ht="15.75" x14ac:dyDescent="0.25">
      <c r="A673" s="32">
        <v>61422</v>
      </c>
      <c r="B673" s="89">
        <f t="shared" si="110"/>
        <v>29</v>
      </c>
      <c r="C673" s="77">
        <f>122.58</f>
        <v>122.58</v>
      </c>
      <c r="D673" s="77">
        <f>297.941</f>
        <v>297.94099999999997</v>
      </c>
      <c r="E673" s="86">
        <f>89.177</f>
        <v>89.177000000000007</v>
      </c>
      <c r="F673" s="77">
        <f>240.302-40-60-100</f>
        <v>40.301999999999992</v>
      </c>
      <c r="G673" s="80">
        <v>40</v>
      </c>
      <c r="H673" s="77">
        <f>60+100</f>
        <v>160</v>
      </c>
      <c r="I673" s="77">
        <f t="shared" si="102"/>
        <v>0</v>
      </c>
      <c r="J673" s="80">
        <v>100</v>
      </c>
      <c r="K673" s="80">
        <v>300</v>
      </c>
      <c r="L673" s="77">
        <f t="shared" si="105"/>
        <v>1150</v>
      </c>
      <c r="M673" s="88">
        <v>600</v>
      </c>
      <c r="N673" s="77">
        <f>100</f>
        <v>100</v>
      </c>
      <c r="O673" s="80">
        <v>240</v>
      </c>
      <c r="P673" s="80">
        <v>40</v>
      </c>
      <c r="Q673" s="80">
        <f t="shared" si="106"/>
        <v>315</v>
      </c>
      <c r="R673" s="80">
        <f t="shared" si="107"/>
        <v>100</v>
      </c>
      <c r="S673" s="77">
        <f t="shared" si="108"/>
        <v>695</v>
      </c>
      <c r="T673" s="77">
        <f>50</f>
        <v>50</v>
      </c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</row>
    <row r="674" spans="1:30" ht="15.75" x14ac:dyDescent="0.25">
      <c r="A674" s="32">
        <v>61453</v>
      </c>
      <c r="B674" s="89">
        <f t="shared" si="110"/>
        <v>31</v>
      </c>
      <c r="C674" s="77">
        <f>122.58</f>
        <v>122.58</v>
      </c>
      <c r="D674" s="77">
        <f>297.941</f>
        <v>297.94099999999997</v>
      </c>
      <c r="E674" s="86">
        <f>89.177</f>
        <v>89.177000000000007</v>
      </c>
      <c r="F674" s="77">
        <f>240.302-40-60-100</f>
        <v>40.301999999999992</v>
      </c>
      <c r="G674" s="80">
        <v>40</v>
      </c>
      <c r="H674" s="77">
        <f>60+100</f>
        <v>160</v>
      </c>
      <c r="I674" s="77">
        <f t="shared" si="102"/>
        <v>0</v>
      </c>
      <c r="J674" s="80">
        <v>100</v>
      </c>
      <c r="K674" s="80">
        <v>300</v>
      </c>
      <c r="L674" s="77">
        <f t="shared" si="105"/>
        <v>1150</v>
      </c>
      <c r="M674" s="88">
        <v>600</v>
      </c>
      <c r="N674" s="77">
        <f>100</f>
        <v>100</v>
      </c>
      <c r="O674" s="80">
        <v>240</v>
      </c>
      <c r="P674" s="80">
        <v>40</v>
      </c>
      <c r="Q674" s="80">
        <f t="shared" si="106"/>
        <v>315</v>
      </c>
      <c r="R674" s="80">
        <f t="shared" si="107"/>
        <v>100</v>
      </c>
      <c r="S674" s="77">
        <f t="shared" si="108"/>
        <v>695</v>
      </c>
      <c r="T674" s="77">
        <f>50</f>
        <v>50</v>
      </c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</row>
    <row r="675" spans="1:30" ht="15.75" x14ac:dyDescent="0.25">
      <c r="A675" s="32">
        <v>61483</v>
      </c>
      <c r="B675" s="89">
        <f t="shared" si="110"/>
        <v>30</v>
      </c>
      <c r="C675" s="77">
        <f>141.293</f>
        <v>141.29300000000001</v>
      </c>
      <c r="D675" s="77">
        <f>267.993</f>
        <v>267.99299999999999</v>
      </c>
      <c r="E675" s="86">
        <f>115.016</f>
        <v>115.01600000000001</v>
      </c>
      <c r="F675" s="77">
        <f>314.698-40-25-60-100</f>
        <v>89.697999999999979</v>
      </c>
      <c r="G675" s="80">
        <v>40</v>
      </c>
      <c r="H675" s="77">
        <f t="shared" ref="H675:H681" si="111">25+60+100</f>
        <v>185</v>
      </c>
      <c r="I675" s="77">
        <f t="shared" si="102"/>
        <v>0</v>
      </c>
      <c r="J675" s="80">
        <v>100</v>
      </c>
      <c r="K675" s="80">
        <v>300</v>
      </c>
      <c r="L675" s="77">
        <f t="shared" si="105"/>
        <v>1239</v>
      </c>
      <c r="M675" s="88">
        <v>600</v>
      </c>
      <c r="N675" s="77">
        <f>100</f>
        <v>100</v>
      </c>
      <c r="O675" s="80">
        <v>240</v>
      </c>
      <c r="P675" s="80">
        <v>40</v>
      </c>
      <c r="Q675" s="80">
        <f t="shared" si="106"/>
        <v>315</v>
      </c>
      <c r="R675" s="80">
        <f t="shared" si="107"/>
        <v>100</v>
      </c>
      <c r="S675" s="77">
        <f t="shared" si="108"/>
        <v>695</v>
      </c>
      <c r="T675" s="77">
        <f>50</f>
        <v>50</v>
      </c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</row>
    <row r="676" spans="1:30" ht="15.75" x14ac:dyDescent="0.25">
      <c r="A676" s="32">
        <v>61514</v>
      </c>
      <c r="B676" s="89">
        <f t="shared" si="110"/>
        <v>31</v>
      </c>
      <c r="C676" s="77">
        <f>194.205</f>
        <v>194.20500000000001</v>
      </c>
      <c r="D676" s="77">
        <f>267.466</f>
        <v>267.46600000000001</v>
      </c>
      <c r="E676" s="86">
        <f>133.845</f>
        <v>133.845</v>
      </c>
      <c r="F676" s="77">
        <f>278.484-40-25-60-100</f>
        <v>53.48399999999998</v>
      </c>
      <c r="G676" s="80">
        <v>40</v>
      </c>
      <c r="H676" s="77">
        <f t="shared" si="111"/>
        <v>185</v>
      </c>
      <c r="I676" s="77">
        <f t="shared" si="102"/>
        <v>0</v>
      </c>
      <c r="J676" s="80">
        <v>100</v>
      </c>
      <c r="K676" s="80">
        <v>300</v>
      </c>
      <c r="L676" s="77">
        <f t="shared" si="105"/>
        <v>1274</v>
      </c>
      <c r="M676" s="88">
        <v>600</v>
      </c>
      <c r="N676" s="77">
        <f>75</f>
        <v>75</v>
      </c>
      <c r="O676" s="80">
        <v>240</v>
      </c>
      <c r="P676" s="80">
        <v>40</v>
      </c>
      <c r="Q676" s="80">
        <f t="shared" si="106"/>
        <v>315</v>
      </c>
      <c r="R676" s="80">
        <f t="shared" si="107"/>
        <v>100</v>
      </c>
      <c r="S676" s="77">
        <f t="shared" si="108"/>
        <v>695</v>
      </c>
      <c r="T676" s="77">
        <f>50</f>
        <v>50</v>
      </c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</row>
    <row r="677" spans="1:30" ht="15.75" x14ac:dyDescent="0.25">
      <c r="A677" s="32">
        <v>61544</v>
      </c>
      <c r="B677" s="89">
        <f t="shared" si="110"/>
        <v>30</v>
      </c>
      <c r="C677" s="77">
        <f>194.205</f>
        <v>194.20500000000001</v>
      </c>
      <c r="D677" s="77">
        <f>267.466</f>
        <v>267.46600000000001</v>
      </c>
      <c r="E677" s="86">
        <f>133.845</f>
        <v>133.845</v>
      </c>
      <c r="F677" s="77">
        <f>278.484-40-25-60-100</f>
        <v>53.48399999999998</v>
      </c>
      <c r="G677" s="80">
        <v>40</v>
      </c>
      <c r="H677" s="77">
        <f t="shared" si="111"/>
        <v>185</v>
      </c>
      <c r="I677" s="77">
        <f t="shared" si="102"/>
        <v>0</v>
      </c>
      <c r="J677" s="80">
        <v>100</v>
      </c>
      <c r="K677" s="80">
        <v>300</v>
      </c>
      <c r="L677" s="77">
        <f t="shared" si="105"/>
        <v>1274</v>
      </c>
      <c r="M677" s="88">
        <v>600</v>
      </c>
      <c r="N677" s="77">
        <f>30</f>
        <v>30</v>
      </c>
      <c r="O677" s="80">
        <v>240</v>
      </c>
      <c r="P677" s="80">
        <v>40</v>
      </c>
      <c r="Q677" s="80">
        <f t="shared" si="106"/>
        <v>315</v>
      </c>
      <c r="R677" s="80">
        <f t="shared" si="107"/>
        <v>100</v>
      </c>
      <c r="S677" s="77">
        <f t="shared" si="108"/>
        <v>695</v>
      </c>
      <c r="T677" s="77">
        <f>50</f>
        <v>50</v>
      </c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</row>
    <row r="678" spans="1:30" ht="15.75" x14ac:dyDescent="0.25">
      <c r="A678" s="32">
        <v>61575</v>
      </c>
      <c r="B678" s="89">
        <f t="shared" si="110"/>
        <v>31</v>
      </c>
      <c r="C678" s="77">
        <f>194.205</f>
        <v>194.20500000000001</v>
      </c>
      <c r="D678" s="77">
        <f>267.466</f>
        <v>267.46600000000001</v>
      </c>
      <c r="E678" s="86">
        <f>133.845</f>
        <v>133.845</v>
      </c>
      <c r="F678" s="77">
        <f>278.484-40-25-60-100</f>
        <v>53.48399999999998</v>
      </c>
      <c r="G678" s="80">
        <v>40</v>
      </c>
      <c r="H678" s="77">
        <f t="shared" si="111"/>
        <v>185</v>
      </c>
      <c r="I678" s="77">
        <f t="shared" si="102"/>
        <v>0</v>
      </c>
      <c r="J678" s="80">
        <v>100</v>
      </c>
      <c r="K678" s="80">
        <v>300</v>
      </c>
      <c r="L678" s="77">
        <f t="shared" si="105"/>
        <v>1274</v>
      </c>
      <c r="M678" s="88">
        <v>600</v>
      </c>
      <c r="N678" s="77">
        <f>30</f>
        <v>30</v>
      </c>
      <c r="O678" s="80">
        <v>240</v>
      </c>
      <c r="P678" s="80">
        <v>40</v>
      </c>
      <c r="Q678" s="80">
        <f t="shared" si="106"/>
        <v>315</v>
      </c>
      <c r="R678" s="80">
        <f t="shared" si="107"/>
        <v>100</v>
      </c>
      <c r="S678" s="77">
        <f t="shared" si="108"/>
        <v>695</v>
      </c>
      <c r="T678" s="77">
        <f>0</f>
        <v>0</v>
      </c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</row>
    <row r="679" spans="1:30" ht="15.75" x14ac:dyDescent="0.25">
      <c r="A679" s="32">
        <v>61606</v>
      </c>
      <c r="B679" s="89">
        <f t="shared" si="110"/>
        <v>31</v>
      </c>
      <c r="C679" s="77">
        <f>194.205</f>
        <v>194.20500000000001</v>
      </c>
      <c r="D679" s="77">
        <f>267.466</f>
        <v>267.46600000000001</v>
      </c>
      <c r="E679" s="86">
        <f>133.845</f>
        <v>133.845</v>
      </c>
      <c r="F679" s="77">
        <f>278.484-40-25-60-100</f>
        <v>53.48399999999998</v>
      </c>
      <c r="G679" s="80">
        <v>40</v>
      </c>
      <c r="H679" s="77">
        <f t="shared" si="111"/>
        <v>185</v>
      </c>
      <c r="I679" s="77">
        <f t="shared" si="102"/>
        <v>0</v>
      </c>
      <c r="J679" s="80">
        <v>100</v>
      </c>
      <c r="K679" s="80">
        <v>300</v>
      </c>
      <c r="L679" s="77">
        <f t="shared" si="105"/>
        <v>1274</v>
      </c>
      <c r="M679" s="88">
        <v>600</v>
      </c>
      <c r="N679" s="77">
        <f>30</f>
        <v>30</v>
      </c>
      <c r="O679" s="80">
        <v>240</v>
      </c>
      <c r="P679" s="80">
        <v>40</v>
      </c>
      <c r="Q679" s="80">
        <f t="shared" si="106"/>
        <v>315</v>
      </c>
      <c r="R679" s="80">
        <f t="shared" si="107"/>
        <v>100</v>
      </c>
      <c r="S679" s="77">
        <f t="shared" si="108"/>
        <v>695</v>
      </c>
      <c r="T679" s="77">
        <f>0</f>
        <v>0</v>
      </c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</row>
    <row r="680" spans="1:30" ht="15.75" x14ac:dyDescent="0.25">
      <c r="A680" s="32">
        <v>61636</v>
      </c>
      <c r="B680" s="89">
        <f t="shared" si="110"/>
        <v>30</v>
      </c>
      <c r="C680" s="77">
        <f>194.205</f>
        <v>194.20500000000001</v>
      </c>
      <c r="D680" s="77">
        <f>267.466</f>
        <v>267.46600000000001</v>
      </c>
      <c r="E680" s="86">
        <f>133.845</f>
        <v>133.845</v>
      </c>
      <c r="F680" s="77">
        <f>278.484-40-25-60-100</f>
        <v>53.48399999999998</v>
      </c>
      <c r="G680" s="80">
        <v>40</v>
      </c>
      <c r="H680" s="77">
        <f t="shared" si="111"/>
        <v>185</v>
      </c>
      <c r="I680" s="77">
        <f t="shared" si="102"/>
        <v>0</v>
      </c>
      <c r="J680" s="80">
        <v>100</v>
      </c>
      <c r="K680" s="80">
        <v>300</v>
      </c>
      <c r="L680" s="77">
        <f t="shared" si="105"/>
        <v>1274</v>
      </c>
      <c r="M680" s="88">
        <v>600</v>
      </c>
      <c r="N680" s="77">
        <f>30</f>
        <v>30</v>
      </c>
      <c r="O680" s="80">
        <v>240</v>
      </c>
      <c r="P680" s="80">
        <v>40</v>
      </c>
      <c r="Q680" s="80">
        <f t="shared" si="106"/>
        <v>315</v>
      </c>
      <c r="R680" s="80">
        <f t="shared" si="107"/>
        <v>100</v>
      </c>
      <c r="S680" s="77">
        <f t="shared" si="108"/>
        <v>695</v>
      </c>
      <c r="T680" s="77">
        <f>0</f>
        <v>0</v>
      </c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</row>
    <row r="681" spans="1:30" ht="15.75" x14ac:dyDescent="0.25">
      <c r="A681" s="32">
        <v>61667</v>
      </c>
      <c r="B681" s="89">
        <f t="shared" si="110"/>
        <v>31</v>
      </c>
      <c r="C681" s="77">
        <f>131.881</f>
        <v>131.881</v>
      </c>
      <c r="D681" s="77">
        <f>277.167</f>
        <v>277.16699999999997</v>
      </c>
      <c r="E681" s="86">
        <f>79.08</f>
        <v>79.08</v>
      </c>
      <c r="F681" s="77">
        <f>350.872-40-25-60-100</f>
        <v>125.87200000000001</v>
      </c>
      <c r="G681" s="80">
        <v>40</v>
      </c>
      <c r="H681" s="77">
        <f t="shared" si="111"/>
        <v>185</v>
      </c>
      <c r="I681" s="77">
        <f t="shared" si="102"/>
        <v>0</v>
      </c>
      <c r="J681" s="80">
        <v>100</v>
      </c>
      <c r="K681" s="80">
        <v>300</v>
      </c>
      <c r="L681" s="77">
        <f t="shared" si="105"/>
        <v>1239</v>
      </c>
      <c r="M681" s="88">
        <v>600</v>
      </c>
      <c r="N681" s="77">
        <f>75</f>
        <v>75</v>
      </c>
      <c r="O681" s="80">
        <v>240</v>
      </c>
      <c r="P681" s="80">
        <v>40</v>
      </c>
      <c r="Q681" s="80">
        <f t="shared" si="106"/>
        <v>315</v>
      </c>
      <c r="R681" s="80">
        <f t="shared" si="107"/>
        <v>100</v>
      </c>
      <c r="S681" s="77">
        <f t="shared" si="108"/>
        <v>695</v>
      </c>
      <c r="T681" s="77">
        <f>0</f>
        <v>0</v>
      </c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</row>
    <row r="682" spans="1:30" ht="15.75" x14ac:dyDescent="0.25">
      <c r="A682" s="32">
        <v>61697</v>
      </c>
      <c r="B682" s="89">
        <f t="shared" si="110"/>
        <v>30</v>
      </c>
      <c r="C682" s="77">
        <f>122.58</f>
        <v>122.58</v>
      </c>
      <c r="D682" s="77">
        <f>297.941</f>
        <v>297.94099999999997</v>
      </c>
      <c r="E682" s="86">
        <f>89.177</f>
        <v>89.177000000000007</v>
      </c>
      <c r="F682" s="77">
        <f>240.302-40-60-100</f>
        <v>40.301999999999992</v>
      </c>
      <c r="G682" s="80">
        <v>40</v>
      </c>
      <c r="H682" s="77">
        <f>60+100</f>
        <v>160</v>
      </c>
      <c r="I682" s="77">
        <f t="shared" si="102"/>
        <v>0</v>
      </c>
      <c r="J682" s="80">
        <v>100</v>
      </c>
      <c r="K682" s="80">
        <v>300</v>
      </c>
      <c r="L682" s="77">
        <f t="shared" si="105"/>
        <v>1150</v>
      </c>
      <c r="M682" s="88">
        <v>600</v>
      </c>
      <c r="N682" s="77">
        <f>100</f>
        <v>100</v>
      </c>
      <c r="O682" s="80">
        <v>240</v>
      </c>
      <c r="P682" s="80">
        <v>40</v>
      </c>
      <c r="Q682" s="80">
        <f t="shared" si="106"/>
        <v>315</v>
      </c>
      <c r="R682" s="80">
        <f t="shared" si="107"/>
        <v>100</v>
      </c>
      <c r="S682" s="77">
        <f t="shared" si="108"/>
        <v>695</v>
      </c>
      <c r="T682" s="77">
        <f>50</f>
        <v>50</v>
      </c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</row>
    <row r="683" spans="1:30" ht="15.75" x14ac:dyDescent="0.25">
      <c r="A683" s="32">
        <v>61728</v>
      </c>
      <c r="B683" s="89">
        <f t="shared" si="110"/>
        <v>31</v>
      </c>
      <c r="C683" s="77">
        <f>122.58</f>
        <v>122.58</v>
      </c>
      <c r="D683" s="77">
        <f>297.941</f>
        <v>297.94099999999997</v>
      </c>
      <c r="E683" s="86">
        <f>89.177</f>
        <v>89.177000000000007</v>
      </c>
      <c r="F683" s="77">
        <f>240.302-40-60-100</f>
        <v>40.301999999999992</v>
      </c>
      <c r="G683" s="80">
        <v>40</v>
      </c>
      <c r="H683" s="77">
        <f>60+100</f>
        <v>160</v>
      </c>
      <c r="I683" s="77">
        <f t="shared" si="102"/>
        <v>0</v>
      </c>
      <c r="J683" s="80">
        <v>100</v>
      </c>
      <c r="K683" s="80">
        <v>300</v>
      </c>
      <c r="L683" s="77">
        <f t="shared" si="105"/>
        <v>1150</v>
      </c>
      <c r="M683" s="88">
        <v>600</v>
      </c>
      <c r="N683" s="77">
        <f>100</f>
        <v>100</v>
      </c>
      <c r="O683" s="80">
        <v>240</v>
      </c>
      <c r="P683" s="80">
        <v>40</v>
      </c>
      <c r="Q683" s="80">
        <f t="shared" si="106"/>
        <v>315</v>
      </c>
      <c r="R683" s="80">
        <f t="shared" si="107"/>
        <v>100</v>
      </c>
      <c r="S683" s="77">
        <f t="shared" si="108"/>
        <v>695</v>
      </c>
      <c r="T683" s="77">
        <f>50</f>
        <v>50</v>
      </c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</row>
    <row r="684" spans="1:30" ht="15.75" x14ac:dyDescent="0.25">
      <c r="A684" s="32">
        <v>61759</v>
      </c>
      <c r="B684" s="89">
        <f t="shared" si="110"/>
        <v>31</v>
      </c>
      <c r="C684" s="77">
        <f>122.58</f>
        <v>122.58</v>
      </c>
      <c r="D684" s="77">
        <f>297.941</f>
        <v>297.94099999999997</v>
      </c>
      <c r="E684" s="86">
        <f>89.177</f>
        <v>89.177000000000007</v>
      </c>
      <c r="F684" s="77">
        <f>240.302-40-60-100</f>
        <v>40.301999999999992</v>
      </c>
      <c r="G684" s="80">
        <v>40</v>
      </c>
      <c r="H684" s="77">
        <f>60+100</f>
        <v>160</v>
      </c>
      <c r="I684" s="77">
        <f t="shared" si="102"/>
        <v>0</v>
      </c>
      <c r="J684" s="80">
        <v>100</v>
      </c>
      <c r="K684" s="80">
        <v>300</v>
      </c>
      <c r="L684" s="77">
        <f t="shared" si="105"/>
        <v>1150</v>
      </c>
      <c r="M684" s="88">
        <v>600</v>
      </c>
      <c r="N684" s="77">
        <f>100</f>
        <v>100</v>
      </c>
      <c r="O684" s="80">
        <v>240</v>
      </c>
      <c r="P684" s="80">
        <v>40</v>
      </c>
      <c r="Q684" s="80">
        <f t="shared" si="106"/>
        <v>315</v>
      </c>
      <c r="R684" s="80">
        <f t="shared" si="107"/>
        <v>100</v>
      </c>
      <c r="S684" s="77">
        <f t="shared" si="108"/>
        <v>695</v>
      </c>
      <c r="T684" s="77">
        <f>50</f>
        <v>50</v>
      </c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</row>
    <row r="685" spans="1:30" ht="15.75" x14ac:dyDescent="0.25">
      <c r="A685" s="32">
        <v>61787</v>
      </c>
      <c r="B685" s="89">
        <f t="shared" si="110"/>
        <v>28</v>
      </c>
      <c r="C685" s="77">
        <f>122.58</f>
        <v>122.58</v>
      </c>
      <c r="D685" s="77">
        <f>297.941</f>
        <v>297.94099999999997</v>
      </c>
      <c r="E685" s="86">
        <f>89.177</f>
        <v>89.177000000000007</v>
      </c>
      <c r="F685" s="77">
        <f>240.302-40-60-100</f>
        <v>40.301999999999992</v>
      </c>
      <c r="G685" s="80">
        <v>40</v>
      </c>
      <c r="H685" s="77">
        <f>60+100</f>
        <v>160</v>
      </c>
      <c r="I685" s="77">
        <f t="shared" si="102"/>
        <v>0</v>
      </c>
      <c r="J685" s="80">
        <v>100</v>
      </c>
      <c r="K685" s="80">
        <v>300</v>
      </c>
      <c r="L685" s="77">
        <f t="shared" si="105"/>
        <v>1150</v>
      </c>
      <c r="M685" s="88">
        <v>600</v>
      </c>
      <c r="N685" s="77">
        <f>100</f>
        <v>100</v>
      </c>
      <c r="O685" s="80">
        <v>240</v>
      </c>
      <c r="P685" s="80">
        <v>40</v>
      </c>
      <c r="Q685" s="80">
        <f t="shared" si="106"/>
        <v>315</v>
      </c>
      <c r="R685" s="80">
        <f t="shared" si="107"/>
        <v>100</v>
      </c>
      <c r="S685" s="77">
        <f t="shared" si="108"/>
        <v>695</v>
      </c>
      <c r="T685" s="77">
        <f>50</f>
        <v>50</v>
      </c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</row>
    <row r="686" spans="1:30" ht="15.75" x14ac:dyDescent="0.25">
      <c r="A686" s="32">
        <v>61818</v>
      </c>
      <c r="B686" s="89">
        <f t="shared" si="110"/>
        <v>31</v>
      </c>
      <c r="C686" s="77">
        <f>122.58</f>
        <v>122.58</v>
      </c>
      <c r="D686" s="77">
        <f>297.941</f>
        <v>297.94099999999997</v>
      </c>
      <c r="E686" s="86">
        <f>89.177</f>
        <v>89.177000000000007</v>
      </c>
      <c r="F686" s="77">
        <f>240.302-40-60-100</f>
        <v>40.301999999999992</v>
      </c>
      <c r="G686" s="80">
        <v>40</v>
      </c>
      <c r="H686" s="77">
        <f>60+100</f>
        <v>160</v>
      </c>
      <c r="I686" s="77">
        <f t="shared" si="102"/>
        <v>0</v>
      </c>
      <c r="J686" s="80">
        <v>100</v>
      </c>
      <c r="K686" s="80">
        <v>300</v>
      </c>
      <c r="L686" s="77">
        <f t="shared" si="105"/>
        <v>1150</v>
      </c>
      <c r="M686" s="88">
        <v>600</v>
      </c>
      <c r="N686" s="77">
        <f>100</f>
        <v>100</v>
      </c>
      <c r="O686" s="80">
        <v>240</v>
      </c>
      <c r="P686" s="80">
        <v>40</v>
      </c>
      <c r="Q686" s="80">
        <f t="shared" si="106"/>
        <v>315</v>
      </c>
      <c r="R686" s="80">
        <f t="shared" si="107"/>
        <v>100</v>
      </c>
      <c r="S686" s="77">
        <f t="shared" si="108"/>
        <v>695</v>
      </c>
      <c r="T686" s="77">
        <f>50</f>
        <v>50</v>
      </c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</row>
    <row r="687" spans="1:30" ht="15.75" x14ac:dyDescent="0.25">
      <c r="A687" s="32">
        <v>61848</v>
      </c>
      <c r="B687" s="89">
        <f t="shared" si="110"/>
        <v>30</v>
      </c>
      <c r="C687" s="77">
        <f>141.293</f>
        <v>141.29300000000001</v>
      </c>
      <c r="D687" s="77">
        <f>267.993</f>
        <v>267.99299999999999</v>
      </c>
      <c r="E687" s="86">
        <f>115.016</f>
        <v>115.01600000000001</v>
      </c>
      <c r="F687" s="77">
        <f>314.698-40-25-60-100</f>
        <v>89.697999999999979</v>
      </c>
      <c r="G687" s="80">
        <v>40</v>
      </c>
      <c r="H687" s="77">
        <f t="shared" ref="H687:H693" si="112">25+60+100</f>
        <v>185</v>
      </c>
      <c r="I687" s="77">
        <f t="shared" si="102"/>
        <v>0</v>
      </c>
      <c r="J687" s="80">
        <v>100</v>
      </c>
      <c r="K687" s="80">
        <v>300</v>
      </c>
      <c r="L687" s="77">
        <f t="shared" si="105"/>
        <v>1239</v>
      </c>
      <c r="M687" s="88">
        <v>600</v>
      </c>
      <c r="N687" s="77">
        <f>100</f>
        <v>100</v>
      </c>
      <c r="O687" s="80">
        <v>240</v>
      </c>
      <c r="P687" s="80">
        <v>40</v>
      </c>
      <c r="Q687" s="80">
        <f t="shared" si="106"/>
        <v>315</v>
      </c>
      <c r="R687" s="80">
        <f t="shared" si="107"/>
        <v>100</v>
      </c>
      <c r="S687" s="77">
        <f t="shared" si="108"/>
        <v>695</v>
      </c>
      <c r="T687" s="77">
        <f>50</f>
        <v>50</v>
      </c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</row>
    <row r="688" spans="1:30" ht="15.75" x14ac:dyDescent="0.25">
      <c r="A688" s="32">
        <v>61879</v>
      </c>
      <c r="B688" s="89">
        <f t="shared" si="110"/>
        <v>31</v>
      </c>
      <c r="C688" s="77">
        <f>194.205</f>
        <v>194.20500000000001</v>
      </c>
      <c r="D688" s="77">
        <f>267.466</f>
        <v>267.46600000000001</v>
      </c>
      <c r="E688" s="86">
        <f>133.845</f>
        <v>133.845</v>
      </c>
      <c r="F688" s="77">
        <f>278.484-40-25-60-100</f>
        <v>53.48399999999998</v>
      </c>
      <c r="G688" s="80">
        <v>40</v>
      </c>
      <c r="H688" s="77">
        <f t="shared" si="112"/>
        <v>185</v>
      </c>
      <c r="I688" s="77">
        <f t="shared" si="102"/>
        <v>0</v>
      </c>
      <c r="J688" s="80">
        <v>100</v>
      </c>
      <c r="K688" s="80">
        <v>300</v>
      </c>
      <c r="L688" s="77">
        <f t="shared" si="105"/>
        <v>1274</v>
      </c>
      <c r="M688" s="88">
        <v>600</v>
      </c>
      <c r="N688" s="77">
        <f>75</f>
        <v>75</v>
      </c>
      <c r="O688" s="80">
        <v>240</v>
      </c>
      <c r="P688" s="80">
        <v>40</v>
      </c>
      <c r="Q688" s="80">
        <f t="shared" si="106"/>
        <v>315</v>
      </c>
      <c r="R688" s="80">
        <f t="shared" si="107"/>
        <v>100</v>
      </c>
      <c r="S688" s="77">
        <f t="shared" si="108"/>
        <v>695</v>
      </c>
      <c r="T688" s="77">
        <f>50</f>
        <v>50</v>
      </c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</row>
    <row r="689" spans="1:30" ht="15.75" x14ac:dyDescent="0.25">
      <c r="A689" s="32">
        <v>61909</v>
      </c>
      <c r="B689" s="89">
        <f t="shared" si="110"/>
        <v>30</v>
      </c>
      <c r="C689" s="77">
        <f>194.205</f>
        <v>194.20500000000001</v>
      </c>
      <c r="D689" s="77">
        <f>267.466</f>
        <v>267.46600000000001</v>
      </c>
      <c r="E689" s="86">
        <f>133.845</f>
        <v>133.845</v>
      </c>
      <c r="F689" s="77">
        <f>278.484-40-25-60-100</f>
        <v>53.48399999999998</v>
      </c>
      <c r="G689" s="80">
        <v>40</v>
      </c>
      <c r="H689" s="77">
        <f t="shared" si="112"/>
        <v>185</v>
      </c>
      <c r="I689" s="77">
        <f t="shared" si="102"/>
        <v>0</v>
      </c>
      <c r="J689" s="80">
        <v>100</v>
      </c>
      <c r="K689" s="80">
        <v>300</v>
      </c>
      <c r="L689" s="77">
        <f t="shared" si="105"/>
        <v>1274</v>
      </c>
      <c r="M689" s="88">
        <v>600</v>
      </c>
      <c r="N689" s="77">
        <f>30</f>
        <v>30</v>
      </c>
      <c r="O689" s="80">
        <v>240</v>
      </c>
      <c r="P689" s="80">
        <v>40</v>
      </c>
      <c r="Q689" s="80">
        <f t="shared" si="106"/>
        <v>315</v>
      </c>
      <c r="R689" s="80">
        <f t="shared" si="107"/>
        <v>100</v>
      </c>
      <c r="S689" s="77">
        <f t="shared" si="108"/>
        <v>695</v>
      </c>
      <c r="T689" s="77">
        <f>50</f>
        <v>50</v>
      </c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</row>
    <row r="690" spans="1:30" ht="15.75" x14ac:dyDescent="0.25">
      <c r="A690" s="32">
        <v>61940</v>
      </c>
      <c r="B690" s="89">
        <f t="shared" si="110"/>
        <v>31</v>
      </c>
      <c r="C690" s="77">
        <f>194.205</f>
        <v>194.20500000000001</v>
      </c>
      <c r="D690" s="77">
        <f>267.466</f>
        <v>267.46600000000001</v>
      </c>
      <c r="E690" s="86">
        <f>133.845</f>
        <v>133.845</v>
      </c>
      <c r="F690" s="77">
        <f>278.484-40-25-60-100</f>
        <v>53.48399999999998</v>
      </c>
      <c r="G690" s="80">
        <v>40</v>
      </c>
      <c r="H690" s="77">
        <f t="shared" si="112"/>
        <v>185</v>
      </c>
      <c r="I690" s="77">
        <f t="shared" si="102"/>
        <v>0</v>
      </c>
      <c r="J690" s="80">
        <v>100</v>
      </c>
      <c r="K690" s="80">
        <v>300</v>
      </c>
      <c r="L690" s="77">
        <f t="shared" si="105"/>
        <v>1274</v>
      </c>
      <c r="M690" s="88">
        <v>600</v>
      </c>
      <c r="N690" s="77">
        <f>30</f>
        <v>30</v>
      </c>
      <c r="O690" s="80">
        <v>240</v>
      </c>
      <c r="P690" s="80">
        <v>40</v>
      </c>
      <c r="Q690" s="80">
        <f t="shared" si="106"/>
        <v>315</v>
      </c>
      <c r="R690" s="80">
        <f t="shared" si="107"/>
        <v>100</v>
      </c>
      <c r="S690" s="77">
        <f t="shared" si="108"/>
        <v>695</v>
      </c>
      <c r="T690" s="77">
        <f>0</f>
        <v>0</v>
      </c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</row>
    <row r="691" spans="1:30" ht="15.75" x14ac:dyDescent="0.25">
      <c r="A691" s="32">
        <v>61971</v>
      </c>
      <c r="B691" s="89">
        <f t="shared" si="110"/>
        <v>31</v>
      </c>
      <c r="C691" s="77">
        <f>194.205</f>
        <v>194.20500000000001</v>
      </c>
      <c r="D691" s="77">
        <f>267.466</f>
        <v>267.46600000000001</v>
      </c>
      <c r="E691" s="86">
        <f>133.845</f>
        <v>133.845</v>
      </c>
      <c r="F691" s="77">
        <f>278.484-40-25-60-100</f>
        <v>53.48399999999998</v>
      </c>
      <c r="G691" s="80">
        <v>40</v>
      </c>
      <c r="H691" s="77">
        <f t="shared" si="112"/>
        <v>185</v>
      </c>
      <c r="I691" s="77">
        <f t="shared" si="102"/>
        <v>0</v>
      </c>
      <c r="J691" s="80">
        <v>100</v>
      </c>
      <c r="K691" s="80">
        <v>300</v>
      </c>
      <c r="L691" s="77">
        <f t="shared" si="105"/>
        <v>1274</v>
      </c>
      <c r="M691" s="88">
        <v>600</v>
      </c>
      <c r="N691" s="77">
        <f>30</f>
        <v>30</v>
      </c>
      <c r="O691" s="80">
        <v>240</v>
      </c>
      <c r="P691" s="80">
        <v>40</v>
      </c>
      <c r="Q691" s="80">
        <f t="shared" si="106"/>
        <v>315</v>
      </c>
      <c r="R691" s="80">
        <f t="shared" si="107"/>
        <v>100</v>
      </c>
      <c r="S691" s="77">
        <f t="shared" si="108"/>
        <v>695</v>
      </c>
      <c r="T691" s="77">
        <f>0</f>
        <v>0</v>
      </c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</row>
    <row r="692" spans="1:30" ht="15.75" x14ac:dyDescent="0.25">
      <c r="A692" s="32">
        <v>62001</v>
      </c>
      <c r="B692" s="89">
        <f t="shared" si="110"/>
        <v>30</v>
      </c>
      <c r="C692" s="77">
        <f>194.205</f>
        <v>194.20500000000001</v>
      </c>
      <c r="D692" s="77">
        <f>267.466</f>
        <v>267.46600000000001</v>
      </c>
      <c r="E692" s="86">
        <f>133.845</f>
        <v>133.845</v>
      </c>
      <c r="F692" s="77">
        <f>278.484-40-25-60-100</f>
        <v>53.48399999999998</v>
      </c>
      <c r="G692" s="80">
        <v>40</v>
      </c>
      <c r="H692" s="77">
        <f t="shared" si="112"/>
        <v>185</v>
      </c>
      <c r="I692" s="77">
        <f t="shared" ref="I692:I755" si="113">400-J692-K692</f>
        <v>0</v>
      </c>
      <c r="J692" s="80">
        <v>100</v>
      </c>
      <c r="K692" s="80">
        <v>300</v>
      </c>
      <c r="L692" s="77">
        <f t="shared" si="105"/>
        <v>1274</v>
      </c>
      <c r="M692" s="88">
        <v>600</v>
      </c>
      <c r="N692" s="77">
        <f>30</f>
        <v>30</v>
      </c>
      <c r="O692" s="80">
        <v>240</v>
      </c>
      <c r="P692" s="80">
        <v>40</v>
      </c>
      <c r="Q692" s="80">
        <f t="shared" si="106"/>
        <v>315</v>
      </c>
      <c r="R692" s="80">
        <f t="shared" si="107"/>
        <v>100</v>
      </c>
      <c r="S692" s="77">
        <f t="shared" si="108"/>
        <v>695</v>
      </c>
      <c r="T692" s="77">
        <f>0</f>
        <v>0</v>
      </c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</row>
    <row r="693" spans="1:30" ht="15.75" x14ac:dyDescent="0.25">
      <c r="A693" s="32">
        <v>62032</v>
      </c>
      <c r="B693" s="89">
        <f t="shared" si="110"/>
        <v>31</v>
      </c>
      <c r="C693" s="77">
        <f>131.881</f>
        <v>131.881</v>
      </c>
      <c r="D693" s="77">
        <f>277.167</f>
        <v>277.16699999999997</v>
      </c>
      <c r="E693" s="86">
        <f>79.08</f>
        <v>79.08</v>
      </c>
      <c r="F693" s="77">
        <f>350.872-40-25-60-100</f>
        <v>125.87200000000001</v>
      </c>
      <c r="G693" s="80">
        <v>40</v>
      </c>
      <c r="H693" s="77">
        <f t="shared" si="112"/>
        <v>185</v>
      </c>
      <c r="I693" s="77">
        <f t="shared" si="113"/>
        <v>0</v>
      </c>
      <c r="J693" s="80">
        <v>100</v>
      </c>
      <c r="K693" s="80">
        <v>300</v>
      </c>
      <c r="L693" s="77">
        <f t="shared" si="105"/>
        <v>1239</v>
      </c>
      <c r="M693" s="88">
        <v>600</v>
      </c>
      <c r="N693" s="77">
        <f>75</f>
        <v>75</v>
      </c>
      <c r="O693" s="80">
        <v>240</v>
      </c>
      <c r="P693" s="80">
        <v>40</v>
      </c>
      <c r="Q693" s="80">
        <f t="shared" si="106"/>
        <v>315</v>
      </c>
      <c r="R693" s="80">
        <f t="shared" si="107"/>
        <v>100</v>
      </c>
      <c r="S693" s="77">
        <f t="shared" si="108"/>
        <v>695</v>
      </c>
      <c r="T693" s="77">
        <f>0</f>
        <v>0</v>
      </c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</row>
    <row r="694" spans="1:30" ht="15.75" x14ac:dyDescent="0.25">
      <c r="A694" s="32">
        <v>62062</v>
      </c>
      <c r="B694" s="89">
        <f t="shared" si="110"/>
        <v>30</v>
      </c>
      <c r="C694" s="77">
        <f>122.58</f>
        <v>122.58</v>
      </c>
      <c r="D694" s="77">
        <f>297.941</f>
        <v>297.94099999999997</v>
      </c>
      <c r="E694" s="86">
        <f>89.177</f>
        <v>89.177000000000007</v>
      </c>
      <c r="F694" s="77">
        <f>240.302-40-60-100</f>
        <v>40.301999999999992</v>
      </c>
      <c r="G694" s="80">
        <v>40</v>
      </c>
      <c r="H694" s="77">
        <f>60+100</f>
        <v>160</v>
      </c>
      <c r="I694" s="77">
        <f t="shared" si="113"/>
        <v>0</v>
      </c>
      <c r="J694" s="80">
        <v>100</v>
      </c>
      <c r="K694" s="80">
        <v>300</v>
      </c>
      <c r="L694" s="77">
        <f t="shared" si="105"/>
        <v>1150</v>
      </c>
      <c r="M694" s="88">
        <v>600</v>
      </c>
      <c r="N694" s="77">
        <f>100</f>
        <v>100</v>
      </c>
      <c r="O694" s="80">
        <v>240</v>
      </c>
      <c r="P694" s="80">
        <v>40</v>
      </c>
      <c r="Q694" s="80">
        <f t="shared" si="106"/>
        <v>315</v>
      </c>
      <c r="R694" s="80">
        <f t="shared" si="107"/>
        <v>100</v>
      </c>
      <c r="S694" s="77">
        <f t="shared" si="108"/>
        <v>695</v>
      </c>
      <c r="T694" s="77">
        <f>50</f>
        <v>50</v>
      </c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</row>
    <row r="695" spans="1:30" ht="15.75" x14ac:dyDescent="0.25">
      <c r="A695" s="32">
        <v>62093</v>
      </c>
      <c r="B695" s="89">
        <f t="shared" si="110"/>
        <v>31</v>
      </c>
      <c r="C695" s="77">
        <f>122.58</f>
        <v>122.58</v>
      </c>
      <c r="D695" s="77">
        <f>297.941</f>
        <v>297.94099999999997</v>
      </c>
      <c r="E695" s="86">
        <f>89.177</f>
        <v>89.177000000000007</v>
      </c>
      <c r="F695" s="77">
        <f>240.302-40-60-100</f>
        <v>40.301999999999992</v>
      </c>
      <c r="G695" s="80">
        <v>40</v>
      </c>
      <c r="H695" s="77">
        <f>60+100</f>
        <v>160</v>
      </c>
      <c r="I695" s="77">
        <f t="shared" si="113"/>
        <v>0</v>
      </c>
      <c r="J695" s="80">
        <v>100</v>
      </c>
      <c r="K695" s="80">
        <v>300</v>
      </c>
      <c r="L695" s="77">
        <f t="shared" si="105"/>
        <v>1150</v>
      </c>
      <c r="M695" s="88">
        <v>600</v>
      </c>
      <c r="N695" s="77">
        <f>100</f>
        <v>100</v>
      </c>
      <c r="O695" s="80">
        <v>240</v>
      </c>
      <c r="P695" s="80">
        <v>40</v>
      </c>
      <c r="Q695" s="80">
        <f t="shared" si="106"/>
        <v>315</v>
      </c>
      <c r="R695" s="80">
        <f t="shared" si="107"/>
        <v>100</v>
      </c>
      <c r="S695" s="77">
        <f t="shared" si="108"/>
        <v>695</v>
      </c>
      <c r="T695" s="77">
        <f>50</f>
        <v>50</v>
      </c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</row>
    <row r="696" spans="1:30" ht="15.75" x14ac:dyDescent="0.25">
      <c r="A696" s="32">
        <v>62124</v>
      </c>
      <c r="B696" s="89">
        <f t="shared" si="110"/>
        <v>31</v>
      </c>
      <c r="C696" s="77">
        <f>122.58</f>
        <v>122.58</v>
      </c>
      <c r="D696" s="77">
        <f>297.941</f>
        <v>297.94099999999997</v>
      </c>
      <c r="E696" s="86">
        <f>89.177</f>
        <v>89.177000000000007</v>
      </c>
      <c r="F696" s="77">
        <f>240.302-40-60-100</f>
        <v>40.301999999999992</v>
      </c>
      <c r="G696" s="80">
        <v>40</v>
      </c>
      <c r="H696" s="77">
        <f>60+100</f>
        <v>160</v>
      </c>
      <c r="I696" s="77">
        <f t="shared" si="113"/>
        <v>0</v>
      </c>
      <c r="J696" s="80">
        <v>100</v>
      </c>
      <c r="K696" s="80">
        <v>300</v>
      </c>
      <c r="L696" s="77">
        <f t="shared" si="105"/>
        <v>1150</v>
      </c>
      <c r="M696" s="88">
        <v>600</v>
      </c>
      <c r="N696" s="77">
        <f>100</f>
        <v>100</v>
      </c>
      <c r="O696" s="80">
        <v>240</v>
      </c>
      <c r="P696" s="80">
        <v>40</v>
      </c>
      <c r="Q696" s="80">
        <f t="shared" si="106"/>
        <v>315</v>
      </c>
      <c r="R696" s="80">
        <f t="shared" si="107"/>
        <v>100</v>
      </c>
      <c r="S696" s="77">
        <f t="shared" si="108"/>
        <v>695</v>
      </c>
      <c r="T696" s="77">
        <f>50</f>
        <v>50</v>
      </c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</row>
    <row r="697" spans="1:30" ht="15.75" x14ac:dyDescent="0.25">
      <c r="A697" s="32">
        <v>62152</v>
      </c>
      <c r="B697" s="89">
        <f t="shared" si="110"/>
        <v>28</v>
      </c>
      <c r="C697" s="77">
        <f>122.58</f>
        <v>122.58</v>
      </c>
      <c r="D697" s="77">
        <f>297.941</f>
        <v>297.94099999999997</v>
      </c>
      <c r="E697" s="86">
        <f>89.177</f>
        <v>89.177000000000007</v>
      </c>
      <c r="F697" s="77">
        <f>240.302-40-60-100</f>
        <v>40.301999999999992</v>
      </c>
      <c r="G697" s="80">
        <v>40</v>
      </c>
      <c r="H697" s="77">
        <f>60+100</f>
        <v>160</v>
      </c>
      <c r="I697" s="77">
        <f t="shared" si="113"/>
        <v>0</v>
      </c>
      <c r="J697" s="80">
        <v>100</v>
      </c>
      <c r="K697" s="80">
        <v>300</v>
      </c>
      <c r="L697" s="77">
        <f t="shared" si="105"/>
        <v>1150</v>
      </c>
      <c r="M697" s="88">
        <v>600</v>
      </c>
      <c r="N697" s="77">
        <f>100</f>
        <v>100</v>
      </c>
      <c r="O697" s="80">
        <v>240</v>
      </c>
      <c r="P697" s="80">
        <v>40</v>
      </c>
      <c r="Q697" s="80">
        <f t="shared" si="106"/>
        <v>315</v>
      </c>
      <c r="R697" s="80">
        <f t="shared" si="107"/>
        <v>100</v>
      </c>
      <c r="S697" s="77">
        <f t="shared" si="108"/>
        <v>695</v>
      </c>
      <c r="T697" s="77">
        <f>50</f>
        <v>50</v>
      </c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</row>
    <row r="698" spans="1:30" ht="15.75" x14ac:dyDescent="0.25">
      <c r="A698" s="32">
        <v>62183</v>
      </c>
      <c r="B698" s="89">
        <f t="shared" si="110"/>
        <v>31</v>
      </c>
      <c r="C698" s="77">
        <f>122.58</f>
        <v>122.58</v>
      </c>
      <c r="D698" s="77">
        <f>297.941</f>
        <v>297.94099999999997</v>
      </c>
      <c r="E698" s="86">
        <f>89.177</f>
        <v>89.177000000000007</v>
      </c>
      <c r="F698" s="77">
        <f>240.302-40-60-100</f>
        <v>40.301999999999992</v>
      </c>
      <c r="G698" s="80">
        <v>40</v>
      </c>
      <c r="H698" s="77">
        <f>60+100</f>
        <v>160</v>
      </c>
      <c r="I698" s="77">
        <f t="shared" si="113"/>
        <v>0</v>
      </c>
      <c r="J698" s="80">
        <v>100</v>
      </c>
      <c r="K698" s="80">
        <v>300</v>
      </c>
      <c r="L698" s="77">
        <f t="shared" si="105"/>
        <v>1150</v>
      </c>
      <c r="M698" s="88">
        <v>600</v>
      </c>
      <c r="N698" s="77">
        <f>100</f>
        <v>100</v>
      </c>
      <c r="O698" s="80">
        <v>240</v>
      </c>
      <c r="P698" s="80">
        <v>40</v>
      </c>
      <c r="Q698" s="80">
        <f t="shared" si="106"/>
        <v>315</v>
      </c>
      <c r="R698" s="80">
        <f t="shared" si="107"/>
        <v>100</v>
      </c>
      <c r="S698" s="77">
        <f t="shared" si="108"/>
        <v>695</v>
      </c>
      <c r="T698" s="77">
        <f>50</f>
        <v>50</v>
      </c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</row>
    <row r="699" spans="1:30" ht="15.75" x14ac:dyDescent="0.25">
      <c r="A699" s="32">
        <v>62213</v>
      </c>
      <c r="B699" s="89">
        <f t="shared" si="110"/>
        <v>30</v>
      </c>
      <c r="C699" s="77">
        <f>141.293</f>
        <v>141.29300000000001</v>
      </c>
      <c r="D699" s="77">
        <f>267.993</f>
        <v>267.99299999999999</v>
      </c>
      <c r="E699" s="86">
        <f>115.016</f>
        <v>115.01600000000001</v>
      </c>
      <c r="F699" s="77">
        <f>314.698-40-25-60-100</f>
        <v>89.697999999999979</v>
      </c>
      <c r="G699" s="80">
        <v>40</v>
      </c>
      <c r="H699" s="77">
        <f t="shared" ref="H699:H705" si="114">25+60+100</f>
        <v>185</v>
      </c>
      <c r="I699" s="77">
        <f t="shared" si="113"/>
        <v>0</v>
      </c>
      <c r="J699" s="80">
        <v>100</v>
      </c>
      <c r="K699" s="80">
        <v>300</v>
      </c>
      <c r="L699" s="77">
        <f t="shared" si="105"/>
        <v>1239</v>
      </c>
      <c r="M699" s="88">
        <v>600</v>
      </c>
      <c r="N699" s="77">
        <f>100</f>
        <v>100</v>
      </c>
      <c r="O699" s="80">
        <v>240</v>
      </c>
      <c r="P699" s="80">
        <v>40</v>
      </c>
      <c r="Q699" s="80">
        <f t="shared" si="106"/>
        <v>315</v>
      </c>
      <c r="R699" s="80">
        <f t="shared" si="107"/>
        <v>100</v>
      </c>
      <c r="S699" s="77">
        <f t="shared" si="108"/>
        <v>695</v>
      </c>
      <c r="T699" s="77">
        <f>50</f>
        <v>50</v>
      </c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</row>
    <row r="700" spans="1:30" ht="15.75" x14ac:dyDescent="0.25">
      <c r="A700" s="32">
        <v>62244</v>
      </c>
      <c r="B700" s="89">
        <f t="shared" si="110"/>
        <v>31</v>
      </c>
      <c r="C700" s="77">
        <f>194.205</f>
        <v>194.20500000000001</v>
      </c>
      <c r="D700" s="77">
        <f>267.466</f>
        <v>267.46600000000001</v>
      </c>
      <c r="E700" s="86">
        <f>133.845</f>
        <v>133.845</v>
      </c>
      <c r="F700" s="77">
        <f>278.484-40-25-60-100</f>
        <v>53.48399999999998</v>
      </c>
      <c r="G700" s="80">
        <v>40</v>
      </c>
      <c r="H700" s="77">
        <f t="shared" si="114"/>
        <v>185</v>
      </c>
      <c r="I700" s="77">
        <f t="shared" si="113"/>
        <v>0</v>
      </c>
      <c r="J700" s="80">
        <v>100</v>
      </c>
      <c r="K700" s="80">
        <v>300</v>
      </c>
      <c r="L700" s="77">
        <f t="shared" si="105"/>
        <v>1274</v>
      </c>
      <c r="M700" s="88">
        <v>600</v>
      </c>
      <c r="N700" s="77">
        <f>75</f>
        <v>75</v>
      </c>
      <c r="O700" s="80">
        <v>240</v>
      </c>
      <c r="P700" s="80">
        <v>40</v>
      </c>
      <c r="Q700" s="80">
        <f t="shared" si="106"/>
        <v>315</v>
      </c>
      <c r="R700" s="80">
        <f t="shared" si="107"/>
        <v>100</v>
      </c>
      <c r="S700" s="77">
        <f t="shared" si="108"/>
        <v>695</v>
      </c>
      <c r="T700" s="77">
        <f>50</f>
        <v>50</v>
      </c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</row>
    <row r="701" spans="1:30" ht="15.75" x14ac:dyDescent="0.25">
      <c r="A701" s="32">
        <v>62274</v>
      </c>
      <c r="B701" s="89">
        <f t="shared" si="110"/>
        <v>30</v>
      </c>
      <c r="C701" s="77">
        <f>194.205</f>
        <v>194.20500000000001</v>
      </c>
      <c r="D701" s="77">
        <f>267.466</f>
        <v>267.46600000000001</v>
      </c>
      <c r="E701" s="86">
        <f>133.845</f>
        <v>133.845</v>
      </c>
      <c r="F701" s="77">
        <f>278.484-40-25-60-100</f>
        <v>53.48399999999998</v>
      </c>
      <c r="G701" s="80">
        <v>40</v>
      </c>
      <c r="H701" s="77">
        <f t="shared" si="114"/>
        <v>185</v>
      </c>
      <c r="I701" s="77">
        <f t="shared" si="113"/>
        <v>0</v>
      </c>
      <c r="J701" s="80">
        <v>100</v>
      </c>
      <c r="K701" s="80">
        <v>300</v>
      </c>
      <c r="L701" s="77">
        <f t="shared" si="105"/>
        <v>1274</v>
      </c>
      <c r="M701" s="88">
        <v>600</v>
      </c>
      <c r="N701" s="77">
        <f>30</f>
        <v>30</v>
      </c>
      <c r="O701" s="80">
        <v>240</v>
      </c>
      <c r="P701" s="80">
        <v>40</v>
      </c>
      <c r="Q701" s="80">
        <f t="shared" si="106"/>
        <v>315</v>
      </c>
      <c r="R701" s="80">
        <f t="shared" si="107"/>
        <v>100</v>
      </c>
      <c r="S701" s="77">
        <f t="shared" si="108"/>
        <v>695</v>
      </c>
      <c r="T701" s="77">
        <f>50</f>
        <v>50</v>
      </c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</row>
    <row r="702" spans="1:30" ht="15.75" x14ac:dyDescent="0.25">
      <c r="A702" s="32">
        <v>62305</v>
      </c>
      <c r="B702" s="89">
        <f t="shared" si="110"/>
        <v>31</v>
      </c>
      <c r="C702" s="77">
        <f>194.205</f>
        <v>194.20500000000001</v>
      </c>
      <c r="D702" s="77">
        <f>267.466</f>
        <v>267.46600000000001</v>
      </c>
      <c r="E702" s="86">
        <f>133.845</f>
        <v>133.845</v>
      </c>
      <c r="F702" s="77">
        <f>278.484-40-25-60-100</f>
        <v>53.48399999999998</v>
      </c>
      <c r="G702" s="80">
        <v>40</v>
      </c>
      <c r="H702" s="77">
        <f t="shared" si="114"/>
        <v>185</v>
      </c>
      <c r="I702" s="77">
        <f t="shared" si="113"/>
        <v>0</v>
      </c>
      <c r="J702" s="80">
        <v>100</v>
      </c>
      <c r="K702" s="80">
        <v>300</v>
      </c>
      <c r="L702" s="77">
        <f t="shared" si="105"/>
        <v>1274</v>
      </c>
      <c r="M702" s="88">
        <v>600</v>
      </c>
      <c r="N702" s="77">
        <f>30</f>
        <v>30</v>
      </c>
      <c r="O702" s="80">
        <v>240</v>
      </c>
      <c r="P702" s="80">
        <v>40</v>
      </c>
      <c r="Q702" s="80">
        <f t="shared" si="106"/>
        <v>315</v>
      </c>
      <c r="R702" s="80">
        <f t="shared" si="107"/>
        <v>100</v>
      </c>
      <c r="S702" s="77">
        <f t="shared" si="108"/>
        <v>695</v>
      </c>
      <c r="T702" s="77">
        <f>0</f>
        <v>0</v>
      </c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</row>
    <row r="703" spans="1:30" ht="15.75" x14ac:dyDescent="0.25">
      <c r="A703" s="32">
        <v>62336</v>
      </c>
      <c r="B703" s="89">
        <f t="shared" si="110"/>
        <v>31</v>
      </c>
      <c r="C703" s="77">
        <f>194.205</f>
        <v>194.20500000000001</v>
      </c>
      <c r="D703" s="77">
        <f>267.466</f>
        <v>267.46600000000001</v>
      </c>
      <c r="E703" s="86">
        <f>133.845</f>
        <v>133.845</v>
      </c>
      <c r="F703" s="77">
        <f>278.484-40-25-60-100</f>
        <v>53.48399999999998</v>
      </c>
      <c r="G703" s="80">
        <v>40</v>
      </c>
      <c r="H703" s="77">
        <f t="shared" si="114"/>
        <v>185</v>
      </c>
      <c r="I703" s="77">
        <f t="shared" si="113"/>
        <v>0</v>
      </c>
      <c r="J703" s="80">
        <v>100</v>
      </c>
      <c r="K703" s="80">
        <v>300</v>
      </c>
      <c r="L703" s="77">
        <f t="shared" si="105"/>
        <v>1274</v>
      </c>
      <c r="M703" s="88">
        <v>600</v>
      </c>
      <c r="N703" s="77">
        <f>30</f>
        <v>30</v>
      </c>
      <c r="O703" s="80">
        <v>240</v>
      </c>
      <c r="P703" s="80">
        <v>40</v>
      </c>
      <c r="Q703" s="80">
        <f t="shared" si="106"/>
        <v>315</v>
      </c>
      <c r="R703" s="80">
        <f t="shared" si="107"/>
        <v>100</v>
      </c>
      <c r="S703" s="77">
        <f t="shared" si="108"/>
        <v>695</v>
      </c>
      <c r="T703" s="77">
        <f>0</f>
        <v>0</v>
      </c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</row>
    <row r="704" spans="1:30" ht="15.75" x14ac:dyDescent="0.25">
      <c r="A704" s="32">
        <v>62366</v>
      </c>
      <c r="B704" s="89">
        <f t="shared" si="110"/>
        <v>30</v>
      </c>
      <c r="C704" s="77">
        <f>194.205</f>
        <v>194.20500000000001</v>
      </c>
      <c r="D704" s="77">
        <f>267.466</f>
        <v>267.46600000000001</v>
      </c>
      <c r="E704" s="86">
        <f>133.845</f>
        <v>133.845</v>
      </c>
      <c r="F704" s="77">
        <f>278.484-40-25-60-100</f>
        <v>53.48399999999998</v>
      </c>
      <c r="G704" s="80">
        <v>40</v>
      </c>
      <c r="H704" s="77">
        <f t="shared" si="114"/>
        <v>185</v>
      </c>
      <c r="I704" s="77">
        <f t="shared" si="113"/>
        <v>0</v>
      </c>
      <c r="J704" s="80">
        <v>100</v>
      </c>
      <c r="K704" s="80">
        <v>300</v>
      </c>
      <c r="L704" s="77">
        <f t="shared" si="105"/>
        <v>1274</v>
      </c>
      <c r="M704" s="88">
        <v>600</v>
      </c>
      <c r="N704" s="77">
        <f>30</f>
        <v>30</v>
      </c>
      <c r="O704" s="80">
        <v>240</v>
      </c>
      <c r="P704" s="80">
        <v>40</v>
      </c>
      <c r="Q704" s="80">
        <f t="shared" si="106"/>
        <v>315</v>
      </c>
      <c r="R704" s="80">
        <f t="shared" si="107"/>
        <v>100</v>
      </c>
      <c r="S704" s="77">
        <f t="shared" si="108"/>
        <v>695</v>
      </c>
      <c r="T704" s="77">
        <f>0</f>
        <v>0</v>
      </c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</row>
    <row r="705" spans="1:30" ht="15.75" x14ac:dyDescent="0.25">
      <c r="A705" s="32">
        <v>62397</v>
      </c>
      <c r="B705" s="89">
        <f t="shared" si="110"/>
        <v>31</v>
      </c>
      <c r="C705" s="77">
        <f>131.881</f>
        <v>131.881</v>
      </c>
      <c r="D705" s="77">
        <f>277.167</f>
        <v>277.16699999999997</v>
      </c>
      <c r="E705" s="86">
        <f>79.08</f>
        <v>79.08</v>
      </c>
      <c r="F705" s="77">
        <f>350.872-40-25-60-100</f>
        <v>125.87200000000001</v>
      </c>
      <c r="G705" s="80">
        <v>40</v>
      </c>
      <c r="H705" s="77">
        <f t="shared" si="114"/>
        <v>185</v>
      </c>
      <c r="I705" s="77">
        <f t="shared" si="113"/>
        <v>0</v>
      </c>
      <c r="J705" s="80">
        <v>100</v>
      </c>
      <c r="K705" s="80">
        <v>300</v>
      </c>
      <c r="L705" s="77">
        <f t="shared" si="105"/>
        <v>1239</v>
      </c>
      <c r="M705" s="88">
        <v>600</v>
      </c>
      <c r="N705" s="77">
        <f>75</f>
        <v>75</v>
      </c>
      <c r="O705" s="80">
        <v>240</v>
      </c>
      <c r="P705" s="80">
        <v>40</v>
      </c>
      <c r="Q705" s="80">
        <f t="shared" si="106"/>
        <v>315</v>
      </c>
      <c r="R705" s="80">
        <f t="shared" si="107"/>
        <v>100</v>
      </c>
      <c r="S705" s="77">
        <f t="shared" si="108"/>
        <v>695</v>
      </c>
      <c r="T705" s="77">
        <f>0</f>
        <v>0</v>
      </c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</row>
    <row r="706" spans="1:30" ht="15.75" x14ac:dyDescent="0.25">
      <c r="A706" s="32">
        <v>62427</v>
      </c>
      <c r="B706" s="89">
        <f t="shared" si="110"/>
        <v>30</v>
      </c>
      <c r="C706" s="77">
        <f>122.58</f>
        <v>122.58</v>
      </c>
      <c r="D706" s="77">
        <f>297.941</f>
        <v>297.94099999999997</v>
      </c>
      <c r="E706" s="86">
        <f>89.177</f>
        <v>89.177000000000007</v>
      </c>
      <c r="F706" s="77">
        <f>240.302-40-60-100</f>
        <v>40.301999999999992</v>
      </c>
      <c r="G706" s="80">
        <v>40</v>
      </c>
      <c r="H706" s="77">
        <f>60+100</f>
        <v>160</v>
      </c>
      <c r="I706" s="77">
        <f t="shared" si="113"/>
        <v>0</v>
      </c>
      <c r="J706" s="80">
        <v>100</v>
      </c>
      <c r="K706" s="80">
        <v>300</v>
      </c>
      <c r="L706" s="77">
        <f t="shared" si="105"/>
        <v>1150</v>
      </c>
      <c r="M706" s="88">
        <v>600</v>
      </c>
      <c r="N706" s="77">
        <f>100</f>
        <v>100</v>
      </c>
      <c r="O706" s="80">
        <v>240</v>
      </c>
      <c r="P706" s="80">
        <v>40</v>
      </c>
      <c r="Q706" s="80">
        <f t="shared" si="106"/>
        <v>315</v>
      </c>
      <c r="R706" s="80">
        <f t="shared" si="107"/>
        <v>100</v>
      </c>
      <c r="S706" s="77">
        <f t="shared" si="108"/>
        <v>695</v>
      </c>
      <c r="T706" s="77">
        <f>50</f>
        <v>50</v>
      </c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</row>
    <row r="707" spans="1:30" ht="15.75" x14ac:dyDescent="0.25">
      <c r="A707" s="32">
        <v>62458</v>
      </c>
      <c r="B707" s="89">
        <f t="shared" si="110"/>
        <v>31</v>
      </c>
      <c r="C707" s="77">
        <f>122.58</f>
        <v>122.58</v>
      </c>
      <c r="D707" s="77">
        <f>297.941</f>
        <v>297.94099999999997</v>
      </c>
      <c r="E707" s="86">
        <f>89.177</f>
        <v>89.177000000000007</v>
      </c>
      <c r="F707" s="77">
        <f>240.302-40-60-100</f>
        <v>40.301999999999992</v>
      </c>
      <c r="G707" s="80">
        <v>40</v>
      </c>
      <c r="H707" s="77">
        <f>60+100</f>
        <v>160</v>
      </c>
      <c r="I707" s="77">
        <f t="shared" si="113"/>
        <v>0</v>
      </c>
      <c r="J707" s="80">
        <v>100</v>
      </c>
      <c r="K707" s="80">
        <v>300</v>
      </c>
      <c r="L707" s="77">
        <f t="shared" si="105"/>
        <v>1150</v>
      </c>
      <c r="M707" s="88">
        <v>600</v>
      </c>
      <c r="N707" s="77">
        <f>100</f>
        <v>100</v>
      </c>
      <c r="O707" s="80">
        <v>240</v>
      </c>
      <c r="P707" s="80">
        <v>40</v>
      </c>
      <c r="Q707" s="80">
        <f t="shared" si="106"/>
        <v>315</v>
      </c>
      <c r="R707" s="80">
        <f t="shared" si="107"/>
        <v>100</v>
      </c>
      <c r="S707" s="77">
        <f t="shared" si="108"/>
        <v>695</v>
      </c>
      <c r="T707" s="77">
        <f>50</f>
        <v>50</v>
      </c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</row>
    <row r="708" spans="1:30" ht="15.75" x14ac:dyDescent="0.25">
      <c r="A708" s="32">
        <v>62489</v>
      </c>
      <c r="B708" s="89">
        <f t="shared" si="110"/>
        <v>31</v>
      </c>
      <c r="C708" s="77">
        <f>122.58</f>
        <v>122.58</v>
      </c>
      <c r="D708" s="77">
        <f>297.941</f>
        <v>297.94099999999997</v>
      </c>
      <c r="E708" s="86">
        <f>89.177</f>
        <v>89.177000000000007</v>
      </c>
      <c r="F708" s="77">
        <f>240.302-40-60-100</f>
        <v>40.301999999999992</v>
      </c>
      <c r="G708" s="80">
        <v>40</v>
      </c>
      <c r="H708" s="77">
        <f>60+100</f>
        <v>160</v>
      </c>
      <c r="I708" s="77">
        <f t="shared" si="113"/>
        <v>0</v>
      </c>
      <c r="J708" s="80">
        <v>100</v>
      </c>
      <c r="K708" s="80">
        <v>300</v>
      </c>
      <c r="L708" s="77">
        <f t="shared" si="105"/>
        <v>1150</v>
      </c>
      <c r="M708" s="88">
        <v>600</v>
      </c>
      <c r="N708" s="77">
        <f>100</f>
        <v>100</v>
      </c>
      <c r="O708" s="80">
        <v>240</v>
      </c>
      <c r="P708" s="80">
        <v>40</v>
      </c>
      <c r="Q708" s="80">
        <f t="shared" si="106"/>
        <v>315</v>
      </c>
      <c r="R708" s="80">
        <f t="shared" si="107"/>
        <v>100</v>
      </c>
      <c r="S708" s="77">
        <f t="shared" si="108"/>
        <v>695</v>
      </c>
      <c r="T708" s="77">
        <f>50</f>
        <v>50</v>
      </c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</row>
    <row r="709" spans="1:30" ht="15.75" x14ac:dyDescent="0.25">
      <c r="A709" s="32">
        <v>62517</v>
      </c>
      <c r="B709" s="89">
        <f t="shared" si="110"/>
        <v>28</v>
      </c>
      <c r="C709" s="77">
        <f>122.58</f>
        <v>122.58</v>
      </c>
      <c r="D709" s="77">
        <f>297.941</f>
        <v>297.94099999999997</v>
      </c>
      <c r="E709" s="86">
        <f>89.177</f>
        <v>89.177000000000007</v>
      </c>
      <c r="F709" s="77">
        <f>240.302-40-60-100</f>
        <v>40.301999999999992</v>
      </c>
      <c r="G709" s="80">
        <v>40</v>
      </c>
      <c r="H709" s="77">
        <f>60+100</f>
        <v>160</v>
      </c>
      <c r="I709" s="77">
        <f t="shared" si="113"/>
        <v>0</v>
      </c>
      <c r="J709" s="80">
        <v>100</v>
      </c>
      <c r="K709" s="80">
        <v>300</v>
      </c>
      <c r="L709" s="77">
        <f t="shared" si="105"/>
        <v>1150</v>
      </c>
      <c r="M709" s="88">
        <v>600</v>
      </c>
      <c r="N709" s="77">
        <f>100</f>
        <v>100</v>
      </c>
      <c r="O709" s="80">
        <v>240</v>
      </c>
      <c r="P709" s="80">
        <v>40</v>
      </c>
      <c r="Q709" s="80">
        <f t="shared" si="106"/>
        <v>315</v>
      </c>
      <c r="R709" s="80">
        <f t="shared" si="107"/>
        <v>100</v>
      </c>
      <c r="S709" s="77">
        <f t="shared" si="108"/>
        <v>695</v>
      </c>
      <c r="T709" s="77">
        <f>50</f>
        <v>50</v>
      </c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</row>
    <row r="710" spans="1:30" ht="15.75" x14ac:dyDescent="0.25">
      <c r="A710" s="32">
        <v>62548</v>
      </c>
      <c r="B710" s="89">
        <f t="shared" si="110"/>
        <v>31</v>
      </c>
      <c r="C710" s="77">
        <f>122.58</f>
        <v>122.58</v>
      </c>
      <c r="D710" s="77">
        <f>297.941</f>
        <v>297.94099999999997</v>
      </c>
      <c r="E710" s="86">
        <f>89.177</f>
        <v>89.177000000000007</v>
      </c>
      <c r="F710" s="77">
        <f>240.302-40-60-100</f>
        <v>40.301999999999992</v>
      </c>
      <c r="G710" s="80">
        <v>40</v>
      </c>
      <c r="H710" s="77">
        <f>60+100</f>
        <v>160</v>
      </c>
      <c r="I710" s="77">
        <f t="shared" si="113"/>
        <v>0</v>
      </c>
      <c r="J710" s="80">
        <v>100</v>
      </c>
      <c r="K710" s="80">
        <v>300</v>
      </c>
      <c r="L710" s="77">
        <f t="shared" si="105"/>
        <v>1150</v>
      </c>
      <c r="M710" s="88">
        <v>600</v>
      </c>
      <c r="N710" s="77">
        <f>100</f>
        <v>100</v>
      </c>
      <c r="O710" s="80">
        <v>240</v>
      </c>
      <c r="P710" s="80">
        <v>40</v>
      </c>
      <c r="Q710" s="80">
        <f t="shared" si="106"/>
        <v>315</v>
      </c>
      <c r="R710" s="80">
        <f t="shared" si="107"/>
        <v>100</v>
      </c>
      <c r="S710" s="77">
        <f t="shared" si="108"/>
        <v>695</v>
      </c>
      <c r="T710" s="77">
        <f>50</f>
        <v>50</v>
      </c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</row>
    <row r="711" spans="1:30" ht="15.75" x14ac:dyDescent="0.25">
      <c r="A711" s="32">
        <v>62578</v>
      </c>
      <c r="B711" s="89">
        <f t="shared" si="110"/>
        <v>30</v>
      </c>
      <c r="C711" s="77">
        <f>141.293</f>
        <v>141.29300000000001</v>
      </c>
      <c r="D711" s="77">
        <f>267.993</f>
        <v>267.99299999999999</v>
      </c>
      <c r="E711" s="86">
        <f>115.016</f>
        <v>115.01600000000001</v>
      </c>
      <c r="F711" s="77">
        <f>314.698-40-25-60-100</f>
        <v>89.697999999999979</v>
      </c>
      <c r="G711" s="80">
        <v>40</v>
      </c>
      <c r="H711" s="77">
        <f t="shared" ref="H711:H717" si="115">25+60+100</f>
        <v>185</v>
      </c>
      <c r="I711" s="77">
        <f t="shared" si="113"/>
        <v>0</v>
      </c>
      <c r="J711" s="80">
        <v>100</v>
      </c>
      <c r="K711" s="80">
        <v>300</v>
      </c>
      <c r="L711" s="77">
        <f t="shared" si="105"/>
        <v>1239</v>
      </c>
      <c r="M711" s="88">
        <v>600</v>
      </c>
      <c r="N711" s="77">
        <f>100</f>
        <v>100</v>
      </c>
      <c r="O711" s="80">
        <v>240</v>
      </c>
      <c r="P711" s="80">
        <v>40</v>
      </c>
      <c r="Q711" s="80">
        <f t="shared" si="106"/>
        <v>315</v>
      </c>
      <c r="R711" s="80">
        <f t="shared" si="107"/>
        <v>100</v>
      </c>
      <c r="S711" s="77">
        <f t="shared" si="108"/>
        <v>695</v>
      </c>
      <c r="T711" s="77">
        <f>50</f>
        <v>50</v>
      </c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</row>
    <row r="712" spans="1:30" ht="15.75" x14ac:dyDescent="0.25">
      <c r="A712" s="32">
        <v>62609</v>
      </c>
      <c r="B712" s="89">
        <f t="shared" si="110"/>
        <v>31</v>
      </c>
      <c r="C712" s="77">
        <f>194.205</f>
        <v>194.20500000000001</v>
      </c>
      <c r="D712" s="77">
        <f>267.466</f>
        <v>267.46600000000001</v>
      </c>
      <c r="E712" s="86">
        <f>133.845</f>
        <v>133.845</v>
      </c>
      <c r="F712" s="77">
        <f>278.484-40-25-60-100</f>
        <v>53.48399999999998</v>
      </c>
      <c r="G712" s="80">
        <v>40</v>
      </c>
      <c r="H712" s="77">
        <f t="shared" si="115"/>
        <v>185</v>
      </c>
      <c r="I712" s="77">
        <f t="shared" si="113"/>
        <v>0</v>
      </c>
      <c r="J712" s="80">
        <v>100</v>
      </c>
      <c r="K712" s="80">
        <v>300</v>
      </c>
      <c r="L712" s="77">
        <f t="shared" si="105"/>
        <v>1274</v>
      </c>
      <c r="M712" s="88">
        <v>600</v>
      </c>
      <c r="N712" s="77">
        <f>75</f>
        <v>75</v>
      </c>
      <c r="O712" s="80">
        <v>240</v>
      </c>
      <c r="P712" s="80">
        <v>40</v>
      </c>
      <c r="Q712" s="80">
        <f t="shared" si="106"/>
        <v>315</v>
      </c>
      <c r="R712" s="80">
        <f t="shared" si="107"/>
        <v>100</v>
      </c>
      <c r="S712" s="77">
        <f t="shared" si="108"/>
        <v>695</v>
      </c>
      <c r="T712" s="77">
        <f>50</f>
        <v>50</v>
      </c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</row>
    <row r="713" spans="1:30" ht="15.75" x14ac:dyDescent="0.25">
      <c r="A713" s="32">
        <v>62639</v>
      </c>
      <c r="B713" s="89">
        <f t="shared" si="110"/>
        <v>30</v>
      </c>
      <c r="C713" s="77">
        <f>194.205</f>
        <v>194.20500000000001</v>
      </c>
      <c r="D713" s="77">
        <f>267.466</f>
        <v>267.46600000000001</v>
      </c>
      <c r="E713" s="86">
        <f>133.845</f>
        <v>133.845</v>
      </c>
      <c r="F713" s="77">
        <f>278.484-40-25-60-100</f>
        <v>53.48399999999998</v>
      </c>
      <c r="G713" s="80">
        <v>40</v>
      </c>
      <c r="H713" s="77">
        <f t="shared" si="115"/>
        <v>185</v>
      </c>
      <c r="I713" s="77">
        <f t="shared" si="113"/>
        <v>0</v>
      </c>
      <c r="J713" s="80">
        <v>100</v>
      </c>
      <c r="K713" s="80">
        <v>300</v>
      </c>
      <c r="L713" s="77">
        <f t="shared" si="105"/>
        <v>1274</v>
      </c>
      <c r="M713" s="88">
        <v>600</v>
      </c>
      <c r="N713" s="77">
        <f>30</f>
        <v>30</v>
      </c>
      <c r="O713" s="80">
        <v>240</v>
      </c>
      <c r="P713" s="80">
        <v>40</v>
      </c>
      <c r="Q713" s="80">
        <f t="shared" si="106"/>
        <v>315</v>
      </c>
      <c r="R713" s="80">
        <f t="shared" si="107"/>
        <v>100</v>
      </c>
      <c r="S713" s="77">
        <f t="shared" si="108"/>
        <v>695</v>
      </c>
      <c r="T713" s="77">
        <f>50</f>
        <v>50</v>
      </c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</row>
    <row r="714" spans="1:30" ht="15.75" x14ac:dyDescent="0.25">
      <c r="A714" s="32">
        <v>62670</v>
      </c>
      <c r="B714" s="89">
        <f t="shared" si="110"/>
        <v>31</v>
      </c>
      <c r="C714" s="77">
        <f>194.205</f>
        <v>194.20500000000001</v>
      </c>
      <c r="D714" s="77">
        <f>267.466</f>
        <v>267.46600000000001</v>
      </c>
      <c r="E714" s="86">
        <f>133.845</f>
        <v>133.845</v>
      </c>
      <c r="F714" s="77">
        <f>278.484-40-25-60-100</f>
        <v>53.48399999999998</v>
      </c>
      <c r="G714" s="80">
        <v>40</v>
      </c>
      <c r="H714" s="77">
        <f t="shared" si="115"/>
        <v>185</v>
      </c>
      <c r="I714" s="77">
        <f t="shared" si="113"/>
        <v>0</v>
      </c>
      <c r="J714" s="80">
        <v>100</v>
      </c>
      <c r="K714" s="80">
        <v>300</v>
      </c>
      <c r="L714" s="77">
        <f t="shared" si="105"/>
        <v>1274</v>
      </c>
      <c r="M714" s="88">
        <v>600</v>
      </c>
      <c r="N714" s="77">
        <f>30</f>
        <v>30</v>
      </c>
      <c r="O714" s="80">
        <v>240</v>
      </c>
      <c r="P714" s="80">
        <v>40</v>
      </c>
      <c r="Q714" s="80">
        <f t="shared" si="106"/>
        <v>315</v>
      </c>
      <c r="R714" s="80">
        <f t="shared" si="107"/>
        <v>100</v>
      </c>
      <c r="S714" s="77">
        <f t="shared" si="108"/>
        <v>695</v>
      </c>
      <c r="T714" s="77">
        <f>0</f>
        <v>0</v>
      </c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</row>
    <row r="715" spans="1:30" ht="15.75" x14ac:dyDescent="0.25">
      <c r="A715" s="32">
        <v>62701</v>
      </c>
      <c r="B715" s="89">
        <f t="shared" si="110"/>
        <v>31</v>
      </c>
      <c r="C715" s="77">
        <f>194.205</f>
        <v>194.20500000000001</v>
      </c>
      <c r="D715" s="77">
        <f>267.466</f>
        <v>267.46600000000001</v>
      </c>
      <c r="E715" s="86">
        <f>133.845</f>
        <v>133.845</v>
      </c>
      <c r="F715" s="77">
        <f>278.484-40-25-60-100</f>
        <v>53.48399999999998</v>
      </c>
      <c r="G715" s="80">
        <v>40</v>
      </c>
      <c r="H715" s="77">
        <f t="shared" si="115"/>
        <v>185</v>
      </c>
      <c r="I715" s="77">
        <f t="shared" si="113"/>
        <v>0</v>
      </c>
      <c r="J715" s="80">
        <v>100</v>
      </c>
      <c r="K715" s="80">
        <v>300</v>
      </c>
      <c r="L715" s="77">
        <f t="shared" si="105"/>
        <v>1274</v>
      </c>
      <c r="M715" s="88">
        <v>600</v>
      </c>
      <c r="N715" s="77">
        <f>30</f>
        <v>30</v>
      </c>
      <c r="O715" s="80">
        <v>240</v>
      </c>
      <c r="P715" s="80">
        <v>40</v>
      </c>
      <c r="Q715" s="80">
        <f t="shared" si="106"/>
        <v>315</v>
      </c>
      <c r="R715" s="80">
        <f t="shared" si="107"/>
        <v>100</v>
      </c>
      <c r="S715" s="77">
        <f t="shared" si="108"/>
        <v>695</v>
      </c>
      <c r="T715" s="77">
        <f>0</f>
        <v>0</v>
      </c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</row>
    <row r="716" spans="1:30" ht="15.75" x14ac:dyDescent="0.25">
      <c r="A716" s="32">
        <v>62731</v>
      </c>
      <c r="B716" s="89">
        <f t="shared" si="110"/>
        <v>30</v>
      </c>
      <c r="C716" s="77">
        <f>194.205</f>
        <v>194.20500000000001</v>
      </c>
      <c r="D716" s="77">
        <f>267.466</f>
        <v>267.46600000000001</v>
      </c>
      <c r="E716" s="86">
        <f>133.845</f>
        <v>133.845</v>
      </c>
      <c r="F716" s="77">
        <f>278.484-40-25-60-100</f>
        <v>53.48399999999998</v>
      </c>
      <c r="G716" s="80">
        <v>40</v>
      </c>
      <c r="H716" s="77">
        <f t="shared" si="115"/>
        <v>185</v>
      </c>
      <c r="I716" s="77">
        <f t="shared" si="113"/>
        <v>0</v>
      </c>
      <c r="J716" s="80">
        <v>100</v>
      </c>
      <c r="K716" s="80">
        <v>300</v>
      </c>
      <c r="L716" s="77">
        <f t="shared" si="105"/>
        <v>1274</v>
      </c>
      <c r="M716" s="88">
        <v>600</v>
      </c>
      <c r="N716" s="77">
        <f>30</f>
        <v>30</v>
      </c>
      <c r="O716" s="80">
        <v>240</v>
      </c>
      <c r="P716" s="80">
        <v>40</v>
      </c>
      <c r="Q716" s="80">
        <f t="shared" si="106"/>
        <v>315</v>
      </c>
      <c r="R716" s="80">
        <f t="shared" si="107"/>
        <v>100</v>
      </c>
      <c r="S716" s="77">
        <f t="shared" si="108"/>
        <v>695</v>
      </c>
      <c r="T716" s="77">
        <f>0</f>
        <v>0</v>
      </c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</row>
    <row r="717" spans="1:30" ht="15.75" x14ac:dyDescent="0.25">
      <c r="A717" s="32">
        <v>62762</v>
      </c>
      <c r="B717" s="89">
        <f t="shared" si="110"/>
        <v>31</v>
      </c>
      <c r="C717" s="77">
        <f>131.881</f>
        <v>131.881</v>
      </c>
      <c r="D717" s="77">
        <f>277.167</f>
        <v>277.16699999999997</v>
      </c>
      <c r="E717" s="86">
        <f>79.08</f>
        <v>79.08</v>
      </c>
      <c r="F717" s="77">
        <f>350.872-40-25-60-100</f>
        <v>125.87200000000001</v>
      </c>
      <c r="G717" s="80">
        <v>40</v>
      </c>
      <c r="H717" s="77">
        <f t="shared" si="115"/>
        <v>185</v>
      </c>
      <c r="I717" s="77">
        <f t="shared" si="113"/>
        <v>0</v>
      </c>
      <c r="J717" s="80">
        <v>100</v>
      </c>
      <c r="K717" s="80">
        <v>300</v>
      </c>
      <c r="L717" s="77">
        <f t="shared" si="105"/>
        <v>1239</v>
      </c>
      <c r="M717" s="88">
        <v>600</v>
      </c>
      <c r="N717" s="77">
        <f>75</f>
        <v>75</v>
      </c>
      <c r="O717" s="80">
        <v>240</v>
      </c>
      <c r="P717" s="80">
        <v>40</v>
      </c>
      <c r="Q717" s="80">
        <f t="shared" si="106"/>
        <v>315</v>
      </c>
      <c r="R717" s="80">
        <f t="shared" si="107"/>
        <v>100</v>
      </c>
      <c r="S717" s="77">
        <f t="shared" si="108"/>
        <v>695</v>
      </c>
      <c r="T717" s="77">
        <f>0</f>
        <v>0</v>
      </c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</row>
    <row r="718" spans="1:30" ht="15.75" x14ac:dyDescent="0.25">
      <c r="A718" s="32">
        <v>62792</v>
      </c>
      <c r="B718" s="89">
        <f t="shared" si="110"/>
        <v>30</v>
      </c>
      <c r="C718" s="77">
        <f>122.58</f>
        <v>122.58</v>
      </c>
      <c r="D718" s="77">
        <f>297.941</f>
        <v>297.94099999999997</v>
      </c>
      <c r="E718" s="86">
        <f>89.177</f>
        <v>89.177000000000007</v>
      </c>
      <c r="F718" s="77">
        <f>240.302-40-60-100</f>
        <v>40.301999999999992</v>
      </c>
      <c r="G718" s="80">
        <v>40</v>
      </c>
      <c r="H718" s="77">
        <f>60+100</f>
        <v>160</v>
      </c>
      <c r="I718" s="77">
        <f t="shared" si="113"/>
        <v>0</v>
      </c>
      <c r="J718" s="80">
        <v>100</v>
      </c>
      <c r="K718" s="80">
        <v>300</v>
      </c>
      <c r="L718" s="77">
        <f t="shared" si="105"/>
        <v>1150</v>
      </c>
      <c r="M718" s="88">
        <v>600</v>
      </c>
      <c r="N718" s="77">
        <f>100</f>
        <v>100</v>
      </c>
      <c r="O718" s="80">
        <v>240</v>
      </c>
      <c r="P718" s="80">
        <v>40</v>
      </c>
      <c r="Q718" s="80">
        <f t="shared" si="106"/>
        <v>315</v>
      </c>
      <c r="R718" s="80">
        <f t="shared" si="107"/>
        <v>100</v>
      </c>
      <c r="S718" s="77">
        <f t="shared" si="108"/>
        <v>695</v>
      </c>
      <c r="T718" s="77">
        <f>50</f>
        <v>50</v>
      </c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</row>
    <row r="719" spans="1:30" ht="15.75" x14ac:dyDescent="0.25">
      <c r="A719" s="32">
        <v>62823</v>
      </c>
      <c r="B719" s="89">
        <f t="shared" si="110"/>
        <v>31</v>
      </c>
      <c r="C719" s="77">
        <f>122.58</f>
        <v>122.58</v>
      </c>
      <c r="D719" s="77">
        <f>297.941</f>
        <v>297.94099999999997</v>
      </c>
      <c r="E719" s="86">
        <f>89.177</f>
        <v>89.177000000000007</v>
      </c>
      <c r="F719" s="77">
        <f>240.302-40-60-100</f>
        <v>40.301999999999992</v>
      </c>
      <c r="G719" s="80">
        <v>40</v>
      </c>
      <c r="H719" s="77">
        <f>60+100</f>
        <v>160</v>
      </c>
      <c r="I719" s="77">
        <f t="shared" si="113"/>
        <v>0</v>
      </c>
      <c r="J719" s="80">
        <v>100</v>
      </c>
      <c r="K719" s="80">
        <v>300</v>
      </c>
      <c r="L719" s="77">
        <f t="shared" si="105"/>
        <v>1150</v>
      </c>
      <c r="M719" s="88">
        <v>600</v>
      </c>
      <c r="N719" s="77">
        <f>100</f>
        <v>100</v>
      </c>
      <c r="O719" s="80">
        <v>240</v>
      </c>
      <c r="P719" s="80">
        <v>40</v>
      </c>
      <c r="Q719" s="80">
        <f t="shared" si="106"/>
        <v>315</v>
      </c>
      <c r="R719" s="80">
        <f t="shared" si="107"/>
        <v>100</v>
      </c>
      <c r="S719" s="77">
        <f t="shared" si="108"/>
        <v>695</v>
      </c>
      <c r="T719" s="77">
        <f>50</f>
        <v>50</v>
      </c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</row>
    <row r="720" spans="1:30" ht="15.75" x14ac:dyDescent="0.25">
      <c r="A720" s="32">
        <v>62854</v>
      </c>
      <c r="B720" s="89">
        <f t="shared" si="110"/>
        <v>31</v>
      </c>
      <c r="C720" s="77">
        <f>122.58</f>
        <v>122.58</v>
      </c>
      <c r="D720" s="77">
        <f>297.941</f>
        <v>297.94099999999997</v>
      </c>
      <c r="E720" s="86">
        <f>89.177</f>
        <v>89.177000000000007</v>
      </c>
      <c r="F720" s="77">
        <f>240.302-40-60-100</f>
        <v>40.301999999999992</v>
      </c>
      <c r="G720" s="80">
        <v>40</v>
      </c>
      <c r="H720" s="77">
        <f>60+100</f>
        <v>160</v>
      </c>
      <c r="I720" s="77">
        <f t="shared" si="113"/>
        <v>0</v>
      </c>
      <c r="J720" s="80">
        <v>100</v>
      </c>
      <c r="K720" s="80">
        <v>300</v>
      </c>
      <c r="L720" s="77">
        <f t="shared" si="105"/>
        <v>1150</v>
      </c>
      <c r="M720" s="88">
        <v>600</v>
      </c>
      <c r="N720" s="77">
        <f>100</f>
        <v>100</v>
      </c>
      <c r="O720" s="80">
        <v>240</v>
      </c>
      <c r="P720" s="80">
        <v>40</v>
      </c>
      <c r="Q720" s="80">
        <f t="shared" si="106"/>
        <v>315</v>
      </c>
      <c r="R720" s="80">
        <f t="shared" si="107"/>
        <v>100</v>
      </c>
      <c r="S720" s="77">
        <f t="shared" si="108"/>
        <v>695</v>
      </c>
      <c r="T720" s="77">
        <f>50</f>
        <v>50</v>
      </c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</row>
    <row r="721" spans="1:30" ht="15.75" x14ac:dyDescent="0.25">
      <c r="A721" s="32">
        <v>62883</v>
      </c>
      <c r="B721" s="89">
        <f t="shared" si="110"/>
        <v>29</v>
      </c>
      <c r="C721" s="77">
        <f>122.58</f>
        <v>122.58</v>
      </c>
      <c r="D721" s="77">
        <f>297.941</f>
        <v>297.94099999999997</v>
      </c>
      <c r="E721" s="86">
        <f>89.177</f>
        <v>89.177000000000007</v>
      </c>
      <c r="F721" s="77">
        <f>240.302-40-60-100</f>
        <v>40.301999999999992</v>
      </c>
      <c r="G721" s="80">
        <v>40</v>
      </c>
      <c r="H721" s="77">
        <f>60+100</f>
        <v>160</v>
      </c>
      <c r="I721" s="77">
        <f t="shared" si="113"/>
        <v>0</v>
      </c>
      <c r="J721" s="80">
        <v>100</v>
      </c>
      <c r="K721" s="80">
        <v>300</v>
      </c>
      <c r="L721" s="77">
        <f t="shared" ref="L721:L784" si="116">SUM(C721:K721)</f>
        <v>1150</v>
      </c>
      <c r="M721" s="88">
        <v>600</v>
      </c>
      <c r="N721" s="77">
        <f>100</f>
        <v>100</v>
      </c>
      <c r="O721" s="80">
        <v>240</v>
      </c>
      <c r="P721" s="80">
        <v>40</v>
      </c>
      <c r="Q721" s="80">
        <f t="shared" ref="Q721:Q784" si="117">695-R721-O721-P721</f>
        <v>315</v>
      </c>
      <c r="R721" s="80">
        <f t="shared" ref="R721:R784" si="118">200-J721</f>
        <v>100</v>
      </c>
      <c r="S721" s="77">
        <f t="shared" ref="S721:S784" si="119">SUM(O721:R721)</f>
        <v>695</v>
      </c>
      <c r="T721" s="77">
        <f>50</f>
        <v>50</v>
      </c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</row>
    <row r="722" spans="1:30" ht="15.75" x14ac:dyDescent="0.25">
      <c r="A722" s="32">
        <v>62914</v>
      </c>
      <c r="B722" s="89">
        <f t="shared" si="110"/>
        <v>31</v>
      </c>
      <c r="C722" s="77">
        <f>122.58</f>
        <v>122.58</v>
      </c>
      <c r="D722" s="77">
        <f>297.941</f>
        <v>297.94099999999997</v>
      </c>
      <c r="E722" s="86">
        <f>89.177</f>
        <v>89.177000000000007</v>
      </c>
      <c r="F722" s="77">
        <f>240.302-40-60-100</f>
        <v>40.301999999999992</v>
      </c>
      <c r="G722" s="80">
        <v>40</v>
      </c>
      <c r="H722" s="77">
        <f>60+100</f>
        <v>160</v>
      </c>
      <c r="I722" s="77">
        <f t="shared" si="113"/>
        <v>0</v>
      </c>
      <c r="J722" s="80">
        <v>100</v>
      </c>
      <c r="K722" s="80">
        <v>300</v>
      </c>
      <c r="L722" s="77">
        <f t="shared" si="116"/>
        <v>1150</v>
      </c>
      <c r="M722" s="88">
        <v>600</v>
      </c>
      <c r="N722" s="77">
        <f>100</f>
        <v>100</v>
      </c>
      <c r="O722" s="80">
        <v>240</v>
      </c>
      <c r="P722" s="80">
        <v>40</v>
      </c>
      <c r="Q722" s="80">
        <f t="shared" si="117"/>
        <v>315</v>
      </c>
      <c r="R722" s="80">
        <f t="shared" si="118"/>
        <v>100</v>
      </c>
      <c r="S722" s="77">
        <f t="shared" si="119"/>
        <v>695</v>
      </c>
      <c r="T722" s="77">
        <f>50</f>
        <v>50</v>
      </c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</row>
    <row r="723" spans="1:30" ht="15.75" x14ac:dyDescent="0.25">
      <c r="A723" s="32">
        <v>62944</v>
      </c>
      <c r="B723" s="89">
        <f t="shared" si="110"/>
        <v>30</v>
      </c>
      <c r="C723" s="77">
        <f>141.293</f>
        <v>141.29300000000001</v>
      </c>
      <c r="D723" s="77">
        <f>267.993</f>
        <v>267.99299999999999</v>
      </c>
      <c r="E723" s="86">
        <f>115.016</f>
        <v>115.01600000000001</v>
      </c>
      <c r="F723" s="77">
        <f>314.698-40-25-60-100</f>
        <v>89.697999999999979</v>
      </c>
      <c r="G723" s="80">
        <v>40</v>
      </c>
      <c r="H723" s="77">
        <f t="shared" ref="H723:H729" si="120">25+60+100</f>
        <v>185</v>
      </c>
      <c r="I723" s="77">
        <f t="shared" si="113"/>
        <v>0</v>
      </c>
      <c r="J723" s="80">
        <v>100</v>
      </c>
      <c r="K723" s="80">
        <v>300</v>
      </c>
      <c r="L723" s="77">
        <f t="shared" si="116"/>
        <v>1239</v>
      </c>
      <c r="M723" s="88">
        <v>600</v>
      </c>
      <c r="N723" s="77">
        <f>100</f>
        <v>100</v>
      </c>
      <c r="O723" s="80">
        <v>240</v>
      </c>
      <c r="P723" s="80">
        <v>40</v>
      </c>
      <c r="Q723" s="80">
        <f t="shared" si="117"/>
        <v>315</v>
      </c>
      <c r="R723" s="80">
        <f t="shared" si="118"/>
        <v>100</v>
      </c>
      <c r="S723" s="77">
        <f t="shared" si="119"/>
        <v>695</v>
      </c>
      <c r="T723" s="77">
        <f>50</f>
        <v>50</v>
      </c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</row>
    <row r="724" spans="1:30" ht="15.75" x14ac:dyDescent="0.25">
      <c r="A724" s="32">
        <v>62975</v>
      </c>
      <c r="B724" s="89">
        <f t="shared" si="110"/>
        <v>31</v>
      </c>
      <c r="C724" s="77">
        <f>194.205</f>
        <v>194.20500000000001</v>
      </c>
      <c r="D724" s="77">
        <f>267.466</f>
        <v>267.46600000000001</v>
      </c>
      <c r="E724" s="86">
        <f>133.845</f>
        <v>133.845</v>
      </c>
      <c r="F724" s="77">
        <f>278.484-40-25-60-100</f>
        <v>53.48399999999998</v>
      </c>
      <c r="G724" s="80">
        <v>40</v>
      </c>
      <c r="H724" s="77">
        <f t="shared" si="120"/>
        <v>185</v>
      </c>
      <c r="I724" s="77">
        <f t="shared" si="113"/>
        <v>0</v>
      </c>
      <c r="J724" s="80">
        <v>100</v>
      </c>
      <c r="K724" s="80">
        <v>300</v>
      </c>
      <c r="L724" s="77">
        <f t="shared" si="116"/>
        <v>1274</v>
      </c>
      <c r="M724" s="88">
        <v>600</v>
      </c>
      <c r="N724" s="77">
        <f>75</f>
        <v>75</v>
      </c>
      <c r="O724" s="80">
        <v>240</v>
      </c>
      <c r="P724" s="80">
        <v>40</v>
      </c>
      <c r="Q724" s="80">
        <f t="shared" si="117"/>
        <v>315</v>
      </c>
      <c r="R724" s="80">
        <f t="shared" si="118"/>
        <v>100</v>
      </c>
      <c r="S724" s="77">
        <f t="shared" si="119"/>
        <v>695</v>
      </c>
      <c r="T724" s="77">
        <f>50</f>
        <v>50</v>
      </c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</row>
    <row r="725" spans="1:30" ht="15.75" x14ac:dyDescent="0.25">
      <c r="A725" s="32">
        <v>63005</v>
      </c>
      <c r="B725" s="89">
        <f t="shared" si="110"/>
        <v>30</v>
      </c>
      <c r="C725" s="77">
        <f>194.205</f>
        <v>194.20500000000001</v>
      </c>
      <c r="D725" s="77">
        <f>267.466</f>
        <v>267.46600000000001</v>
      </c>
      <c r="E725" s="86">
        <f>133.845</f>
        <v>133.845</v>
      </c>
      <c r="F725" s="77">
        <f>278.484-40-25-60-100</f>
        <v>53.48399999999998</v>
      </c>
      <c r="G725" s="80">
        <v>40</v>
      </c>
      <c r="H725" s="77">
        <f t="shared" si="120"/>
        <v>185</v>
      </c>
      <c r="I725" s="77">
        <f t="shared" si="113"/>
        <v>0</v>
      </c>
      <c r="J725" s="80">
        <v>100</v>
      </c>
      <c r="K725" s="80">
        <v>300</v>
      </c>
      <c r="L725" s="77">
        <f t="shared" si="116"/>
        <v>1274</v>
      </c>
      <c r="M725" s="88">
        <v>600</v>
      </c>
      <c r="N725" s="77">
        <f>30</f>
        <v>30</v>
      </c>
      <c r="O725" s="80">
        <v>240</v>
      </c>
      <c r="P725" s="80">
        <v>40</v>
      </c>
      <c r="Q725" s="80">
        <f t="shared" si="117"/>
        <v>315</v>
      </c>
      <c r="R725" s="80">
        <f t="shared" si="118"/>
        <v>100</v>
      </c>
      <c r="S725" s="77">
        <f t="shared" si="119"/>
        <v>695</v>
      </c>
      <c r="T725" s="77">
        <f>50</f>
        <v>50</v>
      </c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</row>
    <row r="726" spans="1:30" ht="15.75" x14ac:dyDescent="0.25">
      <c r="A726" s="32">
        <v>63036</v>
      </c>
      <c r="B726" s="89">
        <f t="shared" si="110"/>
        <v>31</v>
      </c>
      <c r="C726" s="77">
        <f>194.205</f>
        <v>194.20500000000001</v>
      </c>
      <c r="D726" s="77">
        <f>267.466</f>
        <v>267.46600000000001</v>
      </c>
      <c r="E726" s="86">
        <f>133.845</f>
        <v>133.845</v>
      </c>
      <c r="F726" s="77">
        <f>278.484-40-25-60-100</f>
        <v>53.48399999999998</v>
      </c>
      <c r="G726" s="80">
        <v>40</v>
      </c>
      <c r="H726" s="77">
        <f t="shared" si="120"/>
        <v>185</v>
      </c>
      <c r="I726" s="77">
        <f t="shared" si="113"/>
        <v>0</v>
      </c>
      <c r="J726" s="80">
        <v>100</v>
      </c>
      <c r="K726" s="80">
        <v>300</v>
      </c>
      <c r="L726" s="77">
        <f t="shared" si="116"/>
        <v>1274</v>
      </c>
      <c r="M726" s="88">
        <v>600</v>
      </c>
      <c r="N726" s="77">
        <f>30</f>
        <v>30</v>
      </c>
      <c r="O726" s="80">
        <v>240</v>
      </c>
      <c r="P726" s="80">
        <v>40</v>
      </c>
      <c r="Q726" s="80">
        <f t="shared" si="117"/>
        <v>315</v>
      </c>
      <c r="R726" s="80">
        <f t="shared" si="118"/>
        <v>100</v>
      </c>
      <c r="S726" s="77">
        <f t="shared" si="119"/>
        <v>695</v>
      </c>
      <c r="T726" s="77">
        <f>0</f>
        <v>0</v>
      </c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</row>
    <row r="727" spans="1:30" ht="15.75" x14ac:dyDescent="0.25">
      <c r="A727" s="32">
        <v>63067</v>
      </c>
      <c r="B727" s="89">
        <f t="shared" si="110"/>
        <v>31</v>
      </c>
      <c r="C727" s="77">
        <f>194.205</f>
        <v>194.20500000000001</v>
      </c>
      <c r="D727" s="77">
        <f>267.466</f>
        <v>267.46600000000001</v>
      </c>
      <c r="E727" s="86">
        <f>133.845</f>
        <v>133.845</v>
      </c>
      <c r="F727" s="77">
        <f>278.484-40-25-60-100</f>
        <v>53.48399999999998</v>
      </c>
      <c r="G727" s="80">
        <v>40</v>
      </c>
      <c r="H727" s="77">
        <f t="shared" si="120"/>
        <v>185</v>
      </c>
      <c r="I727" s="77">
        <f t="shared" si="113"/>
        <v>0</v>
      </c>
      <c r="J727" s="80">
        <v>100</v>
      </c>
      <c r="K727" s="80">
        <v>300</v>
      </c>
      <c r="L727" s="77">
        <f t="shared" si="116"/>
        <v>1274</v>
      </c>
      <c r="M727" s="88">
        <v>600</v>
      </c>
      <c r="N727" s="77">
        <f>30</f>
        <v>30</v>
      </c>
      <c r="O727" s="80">
        <v>240</v>
      </c>
      <c r="P727" s="80">
        <v>40</v>
      </c>
      <c r="Q727" s="80">
        <f t="shared" si="117"/>
        <v>315</v>
      </c>
      <c r="R727" s="80">
        <f t="shared" si="118"/>
        <v>100</v>
      </c>
      <c r="S727" s="77">
        <f t="shared" si="119"/>
        <v>695</v>
      </c>
      <c r="T727" s="77">
        <f>0</f>
        <v>0</v>
      </c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</row>
    <row r="728" spans="1:30" ht="15.75" x14ac:dyDescent="0.25">
      <c r="A728" s="32">
        <v>63097</v>
      </c>
      <c r="B728" s="89">
        <f t="shared" ref="B728:B791" si="121">EOMONTH(A728,0)-EOMONTH(A728,-1)</f>
        <v>30</v>
      </c>
      <c r="C728" s="77">
        <f>194.205</f>
        <v>194.20500000000001</v>
      </c>
      <c r="D728" s="77">
        <f>267.466</f>
        <v>267.46600000000001</v>
      </c>
      <c r="E728" s="86">
        <f>133.845</f>
        <v>133.845</v>
      </c>
      <c r="F728" s="77">
        <f>278.484-40-25-60-100</f>
        <v>53.48399999999998</v>
      </c>
      <c r="G728" s="80">
        <v>40</v>
      </c>
      <c r="H728" s="77">
        <f t="shared" si="120"/>
        <v>185</v>
      </c>
      <c r="I728" s="77">
        <f t="shared" si="113"/>
        <v>0</v>
      </c>
      <c r="J728" s="80">
        <v>100</v>
      </c>
      <c r="K728" s="80">
        <v>300</v>
      </c>
      <c r="L728" s="77">
        <f t="shared" si="116"/>
        <v>1274</v>
      </c>
      <c r="M728" s="88">
        <v>600</v>
      </c>
      <c r="N728" s="77">
        <f>30</f>
        <v>30</v>
      </c>
      <c r="O728" s="80">
        <v>240</v>
      </c>
      <c r="P728" s="80">
        <v>40</v>
      </c>
      <c r="Q728" s="80">
        <f t="shared" si="117"/>
        <v>315</v>
      </c>
      <c r="R728" s="80">
        <f t="shared" si="118"/>
        <v>100</v>
      </c>
      <c r="S728" s="77">
        <f t="shared" si="119"/>
        <v>695</v>
      </c>
      <c r="T728" s="77">
        <f>0</f>
        <v>0</v>
      </c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</row>
    <row r="729" spans="1:30" ht="15.75" x14ac:dyDescent="0.25">
      <c r="A729" s="32">
        <v>63128</v>
      </c>
      <c r="B729" s="89">
        <f t="shared" si="121"/>
        <v>31</v>
      </c>
      <c r="C729" s="77">
        <f>131.881</f>
        <v>131.881</v>
      </c>
      <c r="D729" s="77">
        <f>277.167</f>
        <v>277.16699999999997</v>
      </c>
      <c r="E729" s="86">
        <f>79.08</f>
        <v>79.08</v>
      </c>
      <c r="F729" s="77">
        <f>350.872-40-25-60-100</f>
        <v>125.87200000000001</v>
      </c>
      <c r="G729" s="80">
        <v>40</v>
      </c>
      <c r="H729" s="77">
        <f t="shared" si="120"/>
        <v>185</v>
      </c>
      <c r="I729" s="77">
        <f t="shared" si="113"/>
        <v>0</v>
      </c>
      <c r="J729" s="80">
        <v>100</v>
      </c>
      <c r="K729" s="80">
        <v>300</v>
      </c>
      <c r="L729" s="77">
        <f t="shared" si="116"/>
        <v>1239</v>
      </c>
      <c r="M729" s="88">
        <v>600</v>
      </c>
      <c r="N729" s="77">
        <f>75</f>
        <v>75</v>
      </c>
      <c r="O729" s="80">
        <v>240</v>
      </c>
      <c r="P729" s="80">
        <v>40</v>
      </c>
      <c r="Q729" s="80">
        <f t="shared" si="117"/>
        <v>315</v>
      </c>
      <c r="R729" s="80">
        <f t="shared" si="118"/>
        <v>100</v>
      </c>
      <c r="S729" s="77">
        <f t="shared" si="119"/>
        <v>695</v>
      </c>
      <c r="T729" s="77">
        <f>0</f>
        <v>0</v>
      </c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</row>
    <row r="730" spans="1:30" ht="15.75" x14ac:dyDescent="0.25">
      <c r="A730" s="32">
        <v>63158</v>
      </c>
      <c r="B730" s="89">
        <f t="shared" si="121"/>
        <v>30</v>
      </c>
      <c r="C730" s="77">
        <f>122.58</f>
        <v>122.58</v>
      </c>
      <c r="D730" s="77">
        <f>297.941</f>
        <v>297.94099999999997</v>
      </c>
      <c r="E730" s="86">
        <f>89.177</f>
        <v>89.177000000000007</v>
      </c>
      <c r="F730" s="77">
        <f>240.302-40-60-100</f>
        <v>40.301999999999992</v>
      </c>
      <c r="G730" s="80">
        <v>40</v>
      </c>
      <c r="H730" s="77">
        <f>60+100</f>
        <v>160</v>
      </c>
      <c r="I730" s="77">
        <f t="shared" si="113"/>
        <v>0</v>
      </c>
      <c r="J730" s="80">
        <v>100</v>
      </c>
      <c r="K730" s="80">
        <v>300</v>
      </c>
      <c r="L730" s="77">
        <f t="shared" si="116"/>
        <v>1150</v>
      </c>
      <c r="M730" s="88">
        <v>600</v>
      </c>
      <c r="N730" s="77">
        <f>100</f>
        <v>100</v>
      </c>
      <c r="O730" s="80">
        <v>240</v>
      </c>
      <c r="P730" s="80">
        <v>40</v>
      </c>
      <c r="Q730" s="80">
        <f t="shared" si="117"/>
        <v>315</v>
      </c>
      <c r="R730" s="80">
        <f t="shared" si="118"/>
        <v>100</v>
      </c>
      <c r="S730" s="77">
        <f t="shared" si="119"/>
        <v>695</v>
      </c>
      <c r="T730" s="77">
        <f>50</f>
        <v>50</v>
      </c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</row>
    <row r="731" spans="1:30" ht="15.75" x14ac:dyDescent="0.25">
      <c r="A731" s="32">
        <v>63189</v>
      </c>
      <c r="B731" s="89">
        <f t="shared" si="121"/>
        <v>31</v>
      </c>
      <c r="C731" s="77">
        <f>122.58</f>
        <v>122.58</v>
      </c>
      <c r="D731" s="77">
        <f>297.941</f>
        <v>297.94099999999997</v>
      </c>
      <c r="E731" s="86">
        <f>89.177</f>
        <v>89.177000000000007</v>
      </c>
      <c r="F731" s="77">
        <f>240.302-40-60-100</f>
        <v>40.301999999999992</v>
      </c>
      <c r="G731" s="80">
        <v>40</v>
      </c>
      <c r="H731" s="77">
        <f>60+100</f>
        <v>160</v>
      </c>
      <c r="I731" s="77">
        <f t="shared" si="113"/>
        <v>0</v>
      </c>
      <c r="J731" s="80">
        <v>100</v>
      </c>
      <c r="K731" s="80">
        <v>300</v>
      </c>
      <c r="L731" s="77">
        <f t="shared" si="116"/>
        <v>1150</v>
      </c>
      <c r="M731" s="88">
        <v>600</v>
      </c>
      <c r="N731" s="77">
        <f>100</f>
        <v>100</v>
      </c>
      <c r="O731" s="80">
        <v>240</v>
      </c>
      <c r="P731" s="80">
        <v>40</v>
      </c>
      <c r="Q731" s="80">
        <f t="shared" si="117"/>
        <v>315</v>
      </c>
      <c r="R731" s="80">
        <f t="shared" si="118"/>
        <v>100</v>
      </c>
      <c r="S731" s="77">
        <f t="shared" si="119"/>
        <v>695</v>
      </c>
      <c r="T731" s="77">
        <f>50</f>
        <v>50</v>
      </c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</row>
    <row r="732" spans="1:30" ht="15.75" x14ac:dyDescent="0.25">
      <c r="A732" s="32">
        <v>63220</v>
      </c>
      <c r="B732" s="89">
        <f t="shared" si="121"/>
        <v>31</v>
      </c>
      <c r="C732" s="77">
        <f>122.58</f>
        <v>122.58</v>
      </c>
      <c r="D732" s="77">
        <f>297.941</f>
        <v>297.94099999999997</v>
      </c>
      <c r="E732" s="86">
        <f>89.177</f>
        <v>89.177000000000007</v>
      </c>
      <c r="F732" s="77">
        <f>240.302-40-60-100</f>
        <v>40.301999999999992</v>
      </c>
      <c r="G732" s="80">
        <v>40</v>
      </c>
      <c r="H732" s="77">
        <f>60+100</f>
        <v>160</v>
      </c>
      <c r="I732" s="77">
        <f t="shared" si="113"/>
        <v>0</v>
      </c>
      <c r="J732" s="80">
        <v>100</v>
      </c>
      <c r="K732" s="80">
        <v>300</v>
      </c>
      <c r="L732" s="77">
        <f t="shared" si="116"/>
        <v>1150</v>
      </c>
      <c r="M732" s="88">
        <v>600</v>
      </c>
      <c r="N732" s="77">
        <f>100</f>
        <v>100</v>
      </c>
      <c r="O732" s="80">
        <v>240</v>
      </c>
      <c r="P732" s="80">
        <v>40</v>
      </c>
      <c r="Q732" s="80">
        <f t="shared" si="117"/>
        <v>315</v>
      </c>
      <c r="R732" s="80">
        <f t="shared" si="118"/>
        <v>100</v>
      </c>
      <c r="S732" s="77">
        <f t="shared" si="119"/>
        <v>695</v>
      </c>
      <c r="T732" s="77">
        <f>50</f>
        <v>50</v>
      </c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</row>
    <row r="733" spans="1:30" ht="15.75" x14ac:dyDescent="0.25">
      <c r="A733" s="32">
        <v>63248</v>
      </c>
      <c r="B733" s="89">
        <f t="shared" si="121"/>
        <v>28</v>
      </c>
      <c r="C733" s="77">
        <f>122.58</f>
        <v>122.58</v>
      </c>
      <c r="D733" s="77">
        <f>297.941</f>
        <v>297.94099999999997</v>
      </c>
      <c r="E733" s="86">
        <f>89.177</f>
        <v>89.177000000000007</v>
      </c>
      <c r="F733" s="77">
        <f>240.302-40-60-100</f>
        <v>40.301999999999992</v>
      </c>
      <c r="G733" s="80">
        <v>40</v>
      </c>
      <c r="H733" s="77">
        <f>60+100</f>
        <v>160</v>
      </c>
      <c r="I733" s="77">
        <f t="shared" si="113"/>
        <v>0</v>
      </c>
      <c r="J733" s="80">
        <v>100</v>
      </c>
      <c r="K733" s="80">
        <v>300</v>
      </c>
      <c r="L733" s="77">
        <f t="shared" si="116"/>
        <v>1150</v>
      </c>
      <c r="M733" s="88">
        <v>600</v>
      </c>
      <c r="N733" s="77">
        <f>100</f>
        <v>100</v>
      </c>
      <c r="O733" s="80">
        <v>240</v>
      </c>
      <c r="P733" s="80">
        <v>40</v>
      </c>
      <c r="Q733" s="80">
        <f t="shared" si="117"/>
        <v>315</v>
      </c>
      <c r="R733" s="80">
        <f t="shared" si="118"/>
        <v>100</v>
      </c>
      <c r="S733" s="77">
        <f t="shared" si="119"/>
        <v>695</v>
      </c>
      <c r="T733" s="77">
        <f>50</f>
        <v>50</v>
      </c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</row>
    <row r="734" spans="1:30" ht="15.75" x14ac:dyDescent="0.25">
      <c r="A734" s="32">
        <v>63279</v>
      </c>
      <c r="B734" s="89">
        <f t="shared" si="121"/>
        <v>31</v>
      </c>
      <c r="C734" s="77">
        <f>122.58</f>
        <v>122.58</v>
      </c>
      <c r="D734" s="77">
        <f>297.941</f>
        <v>297.94099999999997</v>
      </c>
      <c r="E734" s="86">
        <f>89.177</f>
        <v>89.177000000000007</v>
      </c>
      <c r="F734" s="77">
        <f>240.302-40-60-100</f>
        <v>40.301999999999992</v>
      </c>
      <c r="G734" s="80">
        <v>40</v>
      </c>
      <c r="H734" s="77">
        <f>60+100</f>
        <v>160</v>
      </c>
      <c r="I734" s="77">
        <f t="shared" si="113"/>
        <v>0</v>
      </c>
      <c r="J734" s="80">
        <v>100</v>
      </c>
      <c r="K734" s="80">
        <v>300</v>
      </c>
      <c r="L734" s="77">
        <f t="shared" si="116"/>
        <v>1150</v>
      </c>
      <c r="M734" s="88">
        <v>600</v>
      </c>
      <c r="N734" s="77">
        <f>100</f>
        <v>100</v>
      </c>
      <c r="O734" s="80">
        <v>240</v>
      </c>
      <c r="P734" s="80">
        <v>40</v>
      </c>
      <c r="Q734" s="80">
        <f t="shared" si="117"/>
        <v>315</v>
      </c>
      <c r="R734" s="80">
        <f t="shared" si="118"/>
        <v>100</v>
      </c>
      <c r="S734" s="77">
        <f t="shared" si="119"/>
        <v>695</v>
      </c>
      <c r="T734" s="77">
        <f>50</f>
        <v>50</v>
      </c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</row>
    <row r="735" spans="1:30" ht="15.75" x14ac:dyDescent="0.25">
      <c r="A735" s="32">
        <v>63309</v>
      </c>
      <c r="B735" s="89">
        <f t="shared" si="121"/>
        <v>30</v>
      </c>
      <c r="C735" s="77">
        <f>141.293</f>
        <v>141.29300000000001</v>
      </c>
      <c r="D735" s="77">
        <f>267.993</f>
        <v>267.99299999999999</v>
      </c>
      <c r="E735" s="86">
        <f>115.016</f>
        <v>115.01600000000001</v>
      </c>
      <c r="F735" s="77">
        <f>314.698-40-25-60-100</f>
        <v>89.697999999999979</v>
      </c>
      <c r="G735" s="80">
        <v>40</v>
      </c>
      <c r="H735" s="77">
        <f t="shared" ref="H735:H741" si="122">25+60+100</f>
        <v>185</v>
      </c>
      <c r="I735" s="77">
        <f t="shared" si="113"/>
        <v>0</v>
      </c>
      <c r="J735" s="80">
        <v>100</v>
      </c>
      <c r="K735" s="80">
        <v>300</v>
      </c>
      <c r="L735" s="77">
        <f t="shared" si="116"/>
        <v>1239</v>
      </c>
      <c r="M735" s="88">
        <v>600</v>
      </c>
      <c r="N735" s="77">
        <f>100</f>
        <v>100</v>
      </c>
      <c r="O735" s="80">
        <v>240</v>
      </c>
      <c r="P735" s="80">
        <v>40</v>
      </c>
      <c r="Q735" s="80">
        <f t="shared" si="117"/>
        <v>315</v>
      </c>
      <c r="R735" s="80">
        <f t="shared" si="118"/>
        <v>100</v>
      </c>
      <c r="S735" s="77">
        <f t="shared" si="119"/>
        <v>695</v>
      </c>
      <c r="T735" s="77">
        <f>50</f>
        <v>50</v>
      </c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</row>
    <row r="736" spans="1:30" ht="15.75" x14ac:dyDescent="0.25">
      <c r="A736" s="32">
        <v>63340</v>
      </c>
      <c r="B736" s="89">
        <f t="shared" si="121"/>
        <v>31</v>
      </c>
      <c r="C736" s="77">
        <f>194.205</f>
        <v>194.20500000000001</v>
      </c>
      <c r="D736" s="77">
        <f>267.466</f>
        <v>267.46600000000001</v>
      </c>
      <c r="E736" s="86">
        <f>133.845</f>
        <v>133.845</v>
      </c>
      <c r="F736" s="77">
        <f>278.484-40-25-60-100</f>
        <v>53.48399999999998</v>
      </c>
      <c r="G736" s="80">
        <v>40</v>
      </c>
      <c r="H736" s="77">
        <f t="shared" si="122"/>
        <v>185</v>
      </c>
      <c r="I736" s="77">
        <f t="shared" si="113"/>
        <v>0</v>
      </c>
      <c r="J736" s="80">
        <v>100</v>
      </c>
      <c r="K736" s="80">
        <v>300</v>
      </c>
      <c r="L736" s="77">
        <f t="shared" si="116"/>
        <v>1274</v>
      </c>
      <c r="M736" s="88">
        <v>600</v>
      </c>
      <c r="N736" s="77">
        <f>75</f>
        <v>75</v>
      </c>
      <c r="O736" s="80">
        <v>240</v>
      </c>
      <c r="P736" s="80">
        <v>40</v>
      </c>
      <c r="Q736" s="80">
        <f t="shared" si="117"/>
        <v>315</v>
      </c>
      <c r="R736" s="80">
        <f t="shared" si="118"/>
        <v>100</v>
      </c>
      <c r="S736" s="77">
        <f t="shared" si="119"/>
        <v>695</v>
      </c>
      <c r="T736" s="77">
        <f>50</f>
        <v>50</v>
      </c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</row>
    <row r="737" spans="1:30" ht="15.75" x14ac:dyDescent="0.25">
      <c r="A737" s="32">
        <v>63370</v>
      </c>
      <c r="B737" s="89">
        <f t="shared" si="121"/>
        <v>30</v>
      </c>
      <c r="C737" s="77">
        <f>194.205</f>
        <v>194.20500000000001</v>
      </c>
      <c r="D737" s="77">
        <f>267.466</f>
        <v>267.46600000000001</v>
      </c>
      <c r="E737" s="86">
        <f>133.845</f>
        <v>133.845</v>
      </c>
      <c r="F737" s="77">
        <f>278.484-40-25-60-100</f>
        <v>53.48399999999998</v>
      </c>
      <c r="G737" s="80">
        <v>40</v>
      </c>
      <c r="H737" s="77">
        <f t="shared" si="122"/>
        <v>185</v>
      </c>
      <c r="I737" s="77">
        <f t="shared" si="113"/>
        <v>0</v>
      </c>
      <c r="J737" s="80">
        <v>100</v>
      </c>
      <c r="K737" s="80">
        <v>300</v>
      </c>
      <c r="L737" s="77">
        <f t="shared" si="116"/>
        <v>1274</v>
      </c>
      <c r="M737" s="88">
        <v>600</v>
      </c>
      <c r="N737" s="77">
        <f>30</f>
        <v>30</v>
      </c>
      <c r="O737" s="80">
        <v>240</v>
      </c>
      <c r="P737" s="80">
        <v>40</v>
      </c>
      <c r="Q737" s="80">
        <f t="shared" si="117"/>
        <v>315</v>
      </c>
      <c r="R737" s="80">
        <f t="shared" si="118"/>
        <v>100</v>
      </c>
      <c r="S737" s="77">
        <f t="shared" si="119"/>
        <v>695</v>
      </c>
      <c r="T737" s="77">
        <f>50</f>
        <v>50</v>
      </c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</row>
    <row r="738" spans="1:30" ht="15.75" x14ac:dyDescent="0.25">
      <c r="A738" s="32">
        <v>63401</v>
      </c>
      <c r="B738" s="89">
        <f t="shared" si="121"/>
        <v>31</v>
      </c>
      <c r="C738" s="77">
        <f>194.205</f>
        <v>194.20500000000001</v>
      </c>
      <c r="D738" s="77">
        <f>267.466</f>
        <v>267.46600000000001</v>
      </c>
      <c r="E738" s="86">
        <f>133.845</f>
        <v>133.845</v>
      </c>
      <c r="F738" s="77">
        <f>278.484-40-25-60-100</f>
        <v>53.48399999999998</v>
      </c>
      <c r="G738" s="80">
        <v>40</v>
      </c>
      <c r="H738" s="77">
        <f t="shared" si="122"/>
        <v>185</v>
      </c>
      <c r="I738" s="77">
        <f t="shared" si="113"/>
        <v>0</v>
      </c>
      <c r="J738" s="80">
        <v>100</v>
      </c>
      <c r="K738" s="80">
        <v>300</v>
      </c>
      <c r="L738" s="77">
        <f t="shared" si="116"/>
        <v>1274</v>
      </c>
      <c r="M738" s="88">
        <v>600</v>
      </c>
      <c r="N738" s="77">
        <f>30</f>
        <v>30</v>
      </c>
      <c r="O738" s="80">
        <v>240</v>
      </c>
      <c r="P738" s="80">
        <v>40</v>
      </c>
      <c r="Q738" s="80">
        <f t="shared" si="117"/>
        <v>315</v>
      </c>
      <c r="R738" s="80">
        <f t="shared" si="118"/>
        <v>100</v>
      </c>
      <c r="S738" s="77">
        <f t="shared" si="119"/>
        <v>695</v>
      </c>
      <c r="T738" s="77">
        <f>0</f>
        <v>0</v>
      </c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</row>
    <row r="739" spans="1:30" ht="15.75" x14ac:dyDescent="0.25">
      <c r="A739" s="32">
        <v>63432</v>
      </c>
      <c r="B739" s="89">
        <f t="shared" si="121"/>
        <v>31</v>
      </c>
      <c r="C739" s="77">
        <f>194.205</f>
        <v>194.20500000000001</v>
      </c>
      <c r="D739" s="77">
        <f>267.466</f>
        <v>267.46600000000001</v>
      </c>
      <c r="E739" s="86">
        <f>133.845</f>
        <v>133.845</v>
      </c>
      <c r="F739" s="77">
        <f>278.484-40-25-60-100</f>
        <v>53.48399999999998</v>
      </c>
      <c r="G739" s="80">
        <v>40</v>
      </c>
      <c r="H739" s="77">
        <f t="shared" si="122"/>
        <v>185</v>
      </c>
      <c r="I739" s="77">
        <f t="shared" si="113"/>
        <v>0</v>
      </c>
      <c r="J739" s="80">
        <v>100</v>
      </c>
      <c r="K739" s="80">
        <v>300</v>
      </c>
      <c r="L739" s="77">
        <f t="shared" si="116"/>
        <v>1274</v>
      </c>
      <c r="M739" s="88">
        <v>600</v>
      </c>
      <c r="N739" s="77">
        <f>30</f>
        <v>30</v>
      </c>
      <c r="O739" s="80">
        <v>240</v>
      </c>
      <c r="P739" s="80">
        <v>40</v>
      </c>
      <c r="Q739" s="80">
        <f t="shared" si="117"/>
        <v>315</v>
      </c>
      <c r="R739" s="80">
        <f t="shared" si="118"/>
        <v>100</v>
      </c>
      <c r="S739" s="77">
        <f t="shared" si="119"/>
        <v>695</v>
      </c>
      <c r="T739" s="77">
        <f>0</f>
        <v>0</v>
      </c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</row>
    <row r="740" spans="1:30" ht="15.75" x14ac:dyDescent="0.25">
      <c r="A740" s="32">
        <v>63462</v>
      </c>
      <c r="B740" s="89">
        <f t="shared" si="121"/>
        <v>30</v>
      </c>
      <c r="C740" s="77">
        <f>194.205</f>
        <v>194.20500000000001</v>
      </c>
      <c r="D740" s="77">
        <f>267.466</f>
        <v>267.46600000000001</v>
      </c>
      <c r="E740" s="86">
        <f>133.845</f>
        <v>133.845</v>
      </c>
      <c r="F740" s="77">
        <f>278.484-40-25-60-100</f>
        <v>53.48399999999998</v>
      </c>
      <c r="G740" s="80">
        <v>40</v>
      </c>
      <c r="H740" s="77">
        <f t="shared" si="122"/>
        <v>185</v>
      </c>
      <c r="I740" s="77">
        <f t="shared" si="113"/>
        <v>0</v>
      </c>
      <c r="J740" s="80">
        <v>100</v>
      </c>
      <c r="K740" s="80">
        <v>300</v>
      </c>
      <c r="L740" s="77">
        <f t="shared" si="116"/>
        <v>1274</v>
      </c>
      <c r="M740" s="88">
        <v>600</v>
      </c>
      <c r="N740" s="77">
        <f>30</f>
        <v>30</v>
      </c>
      <c r="O740" s="80">
        <v>240</v>
      </c>
      <c r="P740" s="80">
        <v>40</v>
      </c>
      <c r="Q740" s="80">
        <f t="shared" si="117"/>
        <v>315</v>
      </c>
      <c r="R740" s="80">
        <f t="shared" si="118"/>
        <v>100</v>
      </c>
      <c r="S740" s="77">
        <f t="shared" si="119"/>
        <v>695</v>
      </c>
      <c r="T740" s="77">
        <f>0</f>
        <v>0</v>
      </c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</row>
    <row r="741" spans="1:30" ht="15.75" x14ac:dyDescent="0.25">
      <c r="A741" s="32">
        <v>63493</v>
      </c>
      <c r="B741" s="89">
        <f t="shared" si="121"/>
        <v>31</v>
      </c>
      <c r="C741" s="77">
        <f>131.881</f>
        <v>131.881</v>
      </c>
      <c r="D741" s="77">
        <f>277.167</f>
        <v>277.16699999999997</v>
      </c>
      <c r="E741" s="86">
        <f>79.08</f>
        <v>79.08</v>
      </c>
      <c r="F741" s="77">
        <f>350.872-40-25-60-100</f>
        <v>125.87200000000001</v>
      </c>
      <c r="G741" s="80">
        <v>40</v>
      </c>
      <c r="H741" s="77">
        <f t="shared" si="122"/>
        <v>185</v>
      </c>
      <c r="I741" s="77">
        <f t="shared" si="113"/>
        <v>0</v>
      </c>
      <c r="J741" s="80">
        <v>100</v>
      </c>
      <c r="K741" s="80">
        <v>300</v>
      </c>
      <c r="L741" s="77">
        <f t="shared" si="116"/>
        <v>1239</v>
      </c>
      <c r="M741" s="88">
        <v>600</v>
      </c>
      <c r="N741" s="77">
        <f>75</f>
        <v>75</v>
      </c>
      <c r="O741" s="80">
        <v>240</v>
      </c>
      <c r="P741" s="80">
        <v>40</v>
      </c>
      <c r="Q741" s="80">
        <f t="shared" si="117"/>
        <v>315</v>
      </c>
      <c r="R741" s="80">
        <f t="shared" si="118"/>
        <v>100</v>
      </c>
      <c r="S741" s="77">
        <f t="shared" si="119"/>
        <v>695</v>
      </c>
      <c r="T741" s="77">
        <f>0</f>
        <v>0</v>
      </c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</row>
    <row r="742" spans="1:30" ht="15.75" x14ac:dyDescent="0.25">
      <c r="A742" s="32">
        <v>63523</v>
      </c>
      <c r="B742" s="89">
        <f t="shared" si="121"/>
        <v>30</v>
      </c>
      <c r="C742" s="77">
        <f>122.58</f>
        <v>122.58</v>
      </c>
      <c r="D742" s="77">
        <f>297.941</f>
        <v>297.94099999999997</v>
      </c>
      <c r="E742" s="86">
        <f>89.177</f>
        <v>89.177000000000007</v>
      </c>
      <c r="F742" s="77">
        <f>240.302-40-60-100</f>
        <v>40.301999999999992</v>
      </c>
      <c r="G742" s="80">
        <v>40</v>
      </c>
      <c r="H742" s="77">
        <f>60+100</f>
        <v>160</v>
      </c>
      <c r="I742" s="77">
        <f t="shared" si="113"/>
        <v>0</v>
      </c>
      <c r="J742" s="80">
        <v>100</v>
      </c>
      <c r="K742" s="80">
        <v>300</v>
      </c>
      <c r="L742" s="77">
        <f t="shared" si="116"/>
        <v>1150</v>
      </c>
      <c r="M742" s="88">
        <v>600</v>
      </c>
      <c r="N742" s="77">
        <f>100</f>
        <v>100</v>
      </c>
      <c r="O742" s="80">
        <v>240</v>
      </c>
      <c r="P742" s="80">
        <v>40</v>
      </c>
      <c r="Q742" s="80">
        <f t="shared" si="117"/>
        <v>315</v>
      </c>
      <c r="R742" s="80">
        <f t="shared" si="118"/>
        <v>100</v>
      </c>
      <c r="S742" s="77">
        <f t="shared" si="119"/>
        <v>695</v>
      </c>
      <c r="T742" s="77">
        <f>50</f>
        <v>50</v>
      </c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</row>
    <row r="743" spans="1:30" ht="15.75" x14ac:dyDescent="0.25">
      <c r="A743" s="32">
        <v>63554</v>
      </c>
      <c r="B743" s="89">
        <f t="shared" si="121"/>
        <v>31</v>
      </c>
      <c r="C743" s="77">
        <f>122.58</f>
        <v>122.58</v>
      </c>
      <c r="D743" s="77">
        <f>297.941</f>
        <v>297.94099999999997</v>
      </c>
      <c r="E743" s="86">
        <f>89.177</f>
        <v>89.177000000000007</v>
      </c>
      <c r="F743" s="77">
        <f>240.302-40-60-100</f>
        <v>40.301999999999992</v>
      </c>
      <c r="G743" s="80">
        <v>40</v>
      </c>
      <c r="H743" s="77">
        <f>60+100</f>
        <v>160</v>
      </c>
      <c r="I743" s="77">
        <f t="shared" si="113"/>
        <v>0</v>
      </c>
      <c r="J743" s="80">
        <v>100</v>
      </c>
      <c r="K743" s="80">
        <v>300</v>
      </c>
      <c r="L743" s="77">
        <f t="shared" si="116"/>
        <v>1150</v>
      </c>
      <c r="M743" s="88">
        <v>600</v>
      </c>
      <c r="N743" s="77">
        <f>100</f>
        <v>100</v>
      </c>
      <c r="O743" s="80">
        <v>240</v>
      </c>
      <c r="P743" s="80">
        <v>40</v>
      </c>
      <c r="Q743" s="80">
        <f t="shared" si="117"/>
        <v>315</v>
      </c>
      <c r="R743" s="80">
        <f t="shared" si="118"/>
        <v>100</v>
      </c>
      <c r="S743" s="77">
        <f t="shared" si="119"/>
        <v>695</v>
      </c>
      <c r="T743" s="77">
        <f>50</f>
        <v>50</v>
      </c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</row>
    <row r="744" spans="1:30" ht="15.75" x14ac:dyDescent="0.25">
      <c r="A744" s="32">
        <v>63585</v>
      </c>
      <c r="B744" s="89">
        <f t="shared" si="121"/>
        <v>31</v>
      </c>
      <c r="C744" s="77">
        <f>122.58</f>
        <v>122.58</v>
      </c>
      <c r="D744" s="77">
        <f>297.941</f>
        <v>297.94099999999997</v>
      </c>
      <c r="E744" s="86">
        <f>89.177</f>
        <v>89.177000000000007</v>
      </c>
      <c r="F744" s="77">
        <f>240.302-40-60-100</f>
        <v>40.301999999999992</v>
      </c>
      <c r="G744" s="80">
        <v>40</v>
      </c>
      <c r="H744" s="77">
        <f>60+100</f>
        <v>160</v>
      </c>
      <c r="I744" s="77">
        <f t="shared" si="113"/>
        <v>0</v>
      </c>
      <c r="J744" s="80">
        <v>100</v>
      </c>
      <c r="K744" s="80">
        <v>300</v>
      </c>
      <c r="L744" s="77">
        <f t="shared" si="116"/>
        <v>1150</v>
      </c>
      <c r="M744" s="88">
        <v>600</v>
      </c>
      <c r="N744" s="77">
        <f>100</f>
        <v>100</v>
      </c>
      <c r="O744" s="80">
        <v>240</v>
      </c>
      <c r="P744" s="80">
        <v>40</v>
      </c>
      <c r="Q744" s="80">
        <f t="shared" si="117"/>
        <v>315</v>
      </c>
      <c r="R744" s="80">
        <f t="shared" si="118"/>
        <v>100</v>
      </c>
      <c r="S744" s="77">
        <f t="shared" si="119"/>
        <v>695</v>
      </c>
      <c r="T744" s="77">
        <f>50</f>
        <v>50</v>
      </c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</row>
    <row r="745" spans="1:30" ht="15.75" x14ac:dyDescent="0.25">
      <c r="A745" s="32">
        <v>63613</v>
      </c>
      <c r="B745" s="89">
        <f t="shared" si="121"/>
        <v>28</v>
      </c>
      <c r="C745" s="77">
        <f>122.58</f>
        <v>122.58</v>
      </c>
      <c r="D745" s="77">
        <f>297.941</f>
        <v>297.94099999999997</v>
      </c>
      <c r="E745" s="86">
        <f>89.177</f>
        <v>89.177000000000007</v>
      </c>
      <c r="F745" s="77">
        <f>240.302-40-60-100</f>
        <v>40.301999999999992</v>
      </c>
      <c r="G745" s="80">
        <v>40</v>
      </c>
      <c r="H745" s="77">
        <f>60+100</f>
        <v>160</v>
      </c>
      <c r="I745" s="77">
        <f t="shared" si="113"/>
        <v>0</v>
      </c>
      <c r="J745" s="80">
        <v>100</v>
      </c>
      <c r="K745" s="80">
        <v>300</v>
      </c>
      <c r="L745" s="77">
        <f t="shared" si="116"/>
        <v>1150</v>
      </c>
      <c r="M745" s="88">
        <v>600</v>
      </c>
      <c r="N745" s="77">
        <f>100</f>
        <v>100</v>
      </c>
      <c r="O745" s="80">
        <v>240</v>
      </c>
      <c r="P745" s="80">
        <v>40</v>
      </c>
      <c r="Q745" s="80">
        <f t="shared" si="117"/>
        <v>315</v>
      </c>
      <c r="R745" s="80">
        <f t="shared" si="118"/>
        <v>100</v>
      </c>
      <c r="S745" s="77">
        <f t="shared" si="119"/>
        <v>695</v>
      </c>
      <c r="T745" s="77">
        <f>50</f>
        <v>50</v>
      </c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</row>
    <row r="746" spans="1:30" ht="15.75" x14ac:dyDescent="0.25">
      <c r="A746" s="32">
        <v>63644</v>
      </c>
      <c r="B746" s="89">
        <f t="shared" si="121"/>
        <v>31</v>
      </c>
      <c r="C746" s="77">
        <f>122.58</f>
        <v>122.58</v>
      </c>
      <c r="D746" s="77">
        <f>297.941</f>
        <v>297.94099999999997</v>
      </c>
      <c r="E746" s="86">
        <f>89.177</f>
        <v>89.177000000000007</v>
      </c>
      <c r="F746" s="77">
        <f>240.302-40-60-100</f>
        <v>40.301999999999992</v>
      </c>
      <c r="G746" s="80">
        <v>40</v>
      </c>
      <c r="H746" s="77">
        <f>60+100</f>
        <v>160</v>
      </c>
      <c r="I746" s="77">
        <f t="shared" si="113"/>
        <v>0</v>
      </c>
      <c r="J746" s="80">
        <v>100</v>
      </c>
      <c r="K746" s="80">
        <v>300</v>
      </c>
      <c r="L746" s="77">
        <f t="shared" si="116"/>
        <v>1150</v>
      </c>
      <c r="M746" s="88">
        <v>600</v>
      </c>
      <c r="N746" s="77">
        <f>100</f>
        <v>100</v>
      </c>
      <c r="O746" s="80">
        <v>240</v>
      </c>
      <c r="P746" s="80">
        <v>40</v>
      </c>
      <c r="Q746" s="80">
        <f t="shared" si="117"/>
        <v>315</v>
      </c>
      <c r="R746" s="80">
        <f t="shared" si="118"/>
        <v>100</v>
      </c>
      <c r="S746" s="77">
        <f t="shared" si="119"/>
        <v>695</v>
      </c>
      <c r="T746" s="77">
        <f>50</f>
        <v>50</v>
      </c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</row>
    <row r="747" spans="1:30" ht="15.75" x14ac:dyDescent="0.25">
      <c r="A747" s="32">
        <v>63674</v>
      </c>
      <c r="B747" s="89">
        <f t="shared" si="121"/>
        <v>30</v>
      </c>
      <c r="C747" s="77">
        <f>141.293</f>
        <v>141.29300000000001</v>
      </c>
      <c r="D747" s="77">
        <f>267.993</f>
        <v>267.99299999999999</v>
      </c>
      <c r="E747" s="86">
        <f>115.016</f>
        <v>115.01600000000001</v>
      </c>
      <c r="F747" s="77">
        <f>314.698-40-25-60-100</f>
        <v>89.697999999999979</v>
      </c>
      <c r="G747" s="80">
        <v>40</v>
      </c>
      <c r="H747" s="77">
        <f t="shared" ref="H747:H753" si="123">25+60+100</f>
        <v>185</v>
      </c>
      <c r="I747" s="77">
        <f t="shared" si="113"/>
        <v>0</v>
      </c>
      <c r="J747" s="80">
        <v>100</v>
      </c>
      <c r="K747" s="80">
        <v>300</v>
      </c>
      <c r="L747" s="77">
        <f t="shared" si="116"/>
        <v>1239</v>
      </c>
      <c r="M747" s="88">
        <v>600</v>
      </c>
      <c r="N747" s="77">
        <f>100</f>
        <v>100</v>
      </c>
      <c r="O747" s="80">
        <v>240</v>
      </c>
      <c r="P747" s="80">
        <v>40</v>
      </c>
      <c r="Q747" s="80">
        <f t="shared" si="117"/>
        <v>315</v>
      </c>
      <c r="R747" s="80">
        <f t="shared" si="118"/>
        <v>100</v>
      </c>
      <c r="S747" s="77">
        <f t="shared" si="119"/>
        <v>695</v>
      </c>
      <c r="T747" s="77">
        <f>50</f>
        <v>50</v>
      </c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</row>
    <row r="748" spans="1:30" ht="15.75" x14ac:dyDescent="0.25">
      <c r="A748" s="32">
        <v>63705</v>
      </c>
      <c r="B748" s="89">
        <f t="shared" si="121"/>
        <v>31</v>
      </c>
      <c r="C748" s="77">
        <f>194.205</f>
        <v>194.20500000000001</v>
      </c>
      <c r="D748" s="77">
        <f>267.466</f>
        <v>267.46600000000001</v>
      </c>
      <c r="E748" s="86">
        <f>133.845</f>
        <v>133.845</v>
      </c>
      <c r="F748" s="77">
        <f>278.484-40-25-60-100</f>
        <v>53.48399999999998</v>
      </c>
      <c r="G748" s="80">
        <v>40</v>
      </c>
      <c r="H748" s="77">
        <f t="shared" si="123"/>
        <v>185</v>
      </c>
      <c r="I748" s="77">
        <f t="shared" si="113"/>
        <v>0</v>
      </c>
      <c r="J748" s="80">
        <v>100</v>
      </c>
      <c r="K748" s="80">
        <v>300</v>
      </c>
      <c r="L748" s="77">
        <f t="shared" si="116"/>
        <v>1274</v>
      </c>
      <c r="M748" s="88">
        <v>600</v>
      </c>
      <c r="N748" s="77">
        <f>75</f>
        <v>75</v>
      </c>
      <c r="O748" s="80">
        <v>240</v>
      </c>
      <c r="P748" s="80">
        <v>40</v>
      </c>
      <c r="Q748" s="80">
        <f t="shared" si="117"/>
        <v>315</v>
      </c>
      <c r="R748" s="80">
        <f t="shared" si="118"/>
        <v>100</v>
      </c>
      <c r="S748" s="77">
        <f t="shared" si="119"/>
        <v>695</v>
      </c>
      <c r="T748" s="77">
        <f>50</f>
        <v>50</v>
      </c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</row>
    <row r="749" spans="1:30" ht="15.75" x14ac:dyDescent="0.25">
      <c r="A749" s="32">
        <v>63735</v>
      </c>
      <c r="B749" s="89">
        <f t="shared" si="121"/>
        <v>30</v>
      </c>
      <c r="C749" s="77">
        <f>194.205</f>
        <v>194.20500000000001</v>
      </c>
      <c r="D749" s="77">
        <f>267.466</f>
        <v>267.46600000000001</v>
      </c>
      <c r="E749" s="86">
        <f>133.845</f>
        <v>133.845</v>
      </c>
      <c r="F749" s="77">
        <f>278.484-40-25-60-100</f>
        <v>53.48399999999998</v>
      </c>
      <c r="G749" s="80">
        <v>40</v>
      </c>
      <c r="H749" s="77">
        <f t="shared" si="123"/>
        <v>185</v>
      </c>
      <c r="I749" s="77">
        <f t="shared" si="113"/>
        <v>0</v>
      </c>
      <c r="J749" s="80">
        <v>100</v>
      </c>
      <c r="K749" s="80">
        <v>300</v>
      </c>
      <c r="L749" s="77">
        <f t="shared" si="116"/>
        <v>1274</v>
      </c>
      <c r="M749" s="88">
        <v>600</v>
      </c>
      <c r="N749" s="77">
        <f>30</f>
        <v>30</v>
      </c>
      <c r="O749" s="80">
        <v>240</v>
      </c>
      <c r="P749" s="80">
        <v>40</v>
      </c>
      <c r="Q749" s="80">
        <f t="shared" si="117"/>
        <v>315</v>
      </c>
      <c r="R749" s="80">
        <f t="shared" si="118"/>
        <v>100</v>
      </c>
      <c r="S749" s="77">
        <f t="shared" si="119"/>
        <v>695</v>
      </c>
      <c r="T749" s="77">
        <f>50</f>
        <v>50</v>
      </c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</row>
    <row r="750" spans="1:30" ht="15.75" x14ac:dyDescent="0.25">
      <c r="A750" s="32">
        <v>63766</v>
      </c>
      <c r="B750" s="89">
        <f t="shared" si="121"/>
        <v>31</v>
      </c>
      <c r="C750" s="77">
        <f>194.205</f>
        <v>194.20500000000001</v>
      </c>
      <c r="D750" s="77">
        <f>267.466</f>
        <v>267.46600000000001</v>
      </c>
      <c r="E750" s="86">
        <f>133.845</f>
        <v>133.845</v>
      </c>
      <c r="F750" s="77">
        <f>278.484-40-25-60-100</f>
        <v>53.48399999999998</v>
      </c>
      <c r="G750" s="80">
        <v>40</v>
      </c>
      <c r="H750" s="77">
        <f t="shared" si="123"/>
        <v>185</v>
      </c>
      <c r="I750" s="77">
        <f t="shared" si="113"/>
        <v>0</v>
      </c>
      <c r="J750" s="80">
        <v>100</v>
      </c>
      <c r="K750" s="80">
        <v>300</v>
      </c>
      <c r="L750" s="77">
        <f t="shared" si="116"/>
        <v>1274</v>
      </c>
      <c r="M750" s="88">
        <v>600</v>
      </c>
      <c r="N750" s="77">
        <f>30</f>
        <v>30</v>
      </c>
      <c r="O750" s="80">
        <v>240</v>
      </c>
      <c r="P750" s="80">
        <v>40</v>
      </c>
      <c r="Q750" s="80">
        <f t="shared" si="117"/>
        <v>315</v>
      </c>
      <c r="R750" s="80">
        <f t="shared" si="118"/>
        <v>100</v>
      </c>
      <c r="S750" s="77">
        <f t="shared" si="119"/>
        <v>695</v>
      </c>
      <c r="T750" s="77">
        <f>0</f>
        <v>0</v>
      </c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</row>
    <row r="751" spans="1:30" ht="15.75" x14ac:dyDescent="0.25">
      <c r="A751" s="32">
        <v>63797</v>
      </c>
      <c r="B751" s="89">
        <f t="shared" si="121"/>
        <v>31</v>
      </c>
      <c r="C751" s="77">
        <f>194.205</f>
        <v>194.20500000000001</v>
      </c>
      <c r="D751" s="77">
        <f>267.466</f>
        <v>267.46600000000001</v>
      </c>
      <c r="E751" s="86">
        <f>133.845</f>
        <v>133.845</v>
      </c>
      <c r="F751" s="77">
        <f>278.484-40-25-60-100</f>
        <v>53.48399999999998</v>
      </c>
      <c r="G751" s="80">
        <v>40</v>
      </c>
      <c r="H751" s="77">
        <f t="shared" si="123"/>
        <v>185</v>
      </c>
      <c r="I751" s="77">
        <f t="shared" si="113"/>
        <v>0</v>
      </c>
      <c r="J751" s="80">
        <v>100</v>
      </c>
      <c r="K751" s="80">
        <v>300</v>
      </c>
      <c r="L751" s="77">
        <f t="shared" si="116"/>
        <v>1274</v>
      </c>
      <c r="M751" s="88">
        <v>600</v>
      </c>
      <c r="N751" s="77">
        <f>30</f>
        <v>30</v>
      </c>
      <c r="O751" s="80">
        <v>240</v>
      </c>
      <c r="P751" s="80">
        <v>40</v>
      </c>
      <c r="Q751" s="80">
        <f t="shared" si="117"/>
        <v>315</v>
      </c>
      <c r="R751" s="80">
        <f t="shared" si="118"/>
        <v>100</v>
      </c>
      <c r="S751" s="77">
        <f t="shared" si="119"/>
        <v>695</v>
      </c>
      <c r="T751" s="77">
        <f>0</f>
        <v>0</v>
      </c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</row>
    <row r="752" spans="1:30" ht="15.75" x14ac:dyDescent="0.25">
      <c r="A752" s="32">
        <v>63827</v>
      </c>
      <c r="B752" s="89">
        <f t="shared" si="121"/>
        <v>30</v>
      </c>
      <c r="C752" s="77">
        <f>194.205</f>
        <v>194.20500000000001</v>
      </c>
      <c r="D752" s="77">
        <f>267.466</f>
        <v>267.46600000000001</v>
      </c>
      <c r="E752" s="86">
        <f>133.845</f>
        <v>133.845</v>
      </c>
      <c r="F752" s="77">
        <f>278.484-40-25-60-100</f>
        <v>53.48399999999998</v>
      </c>
      <c r="G752" s="80">
        <v>40</v>
      </c>
      <c r="H752" s="77">
        <f t="shared" si="123"/>
        <v>185</v>
      </c>
      <c r="I752" s="77">
        <f t="shared" si="113"/>
        <v>0</v>
      </c>
      <c r="J752" s="80">
        <v>100</v>
      </c>
      <c r="K752" s="80">
        <v>300</v>
      </c>
      <c r="L752" s="77">
        <f t="shared" si="116"/>
        <v>1274</v>
      </c>
      <c r="M752" s="88">
        <v>600</v>
      </c>
      <c r="N752" s="77">
        <f>30</f>
        <v>30</v>
      </c>
      <c r="O752" s="80">
        <v>240</v>
      </c>
      <c r="P752" s="80">
        <v>40</v>
      </c>
      <c r="Q752" s="80">
        <f t="shared" si="117"/>
        <v>315</v>
      </c>
      <c r="R752" s="80">
        <f t="shared" si="118"/>
        <v>100</v>
      </c>
      <c r="S752" s="77">
        <f t="shared" si="119"/>
        <v>695</v>
      </c>
      <c r="T752" s="77">
        <f>0</f>
        <v>0</v>
      </c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</row>
    <row r="753" spans="1:30" ht="15.75" x14ac:dyDescent="0.25">
      <c r="A753" s="32">
        <v>63858</v>
      </c>
      <c r="B753" s="89">
        <f t="shared" si="121"/>
        <v>31</v>
      </c>
      <c r="C753" s="77">
        <f>131.881</f>
        <v>131.881</v>
      </c>
      <c r="D753" s="77">
        <f>277.167</f>
        <v>277.16699999999997</v>
      </c>
      <c r="E753" s="86">
        <f>79.08</f>
        <v>79.08</v>
      </c>
      <c r="F753" s="77">
        <f>350.872-40-25-60-100</f>
        <v>125.87200000000001</v>
      </c>
      <c r="G753" s="80">
        <v>40</v>
      </c>
      <c r="H753" s="77">
        <f t="shared" si="123"/>
        <v>185</v>
      </c>
      <c r="I753" s="77">
        <f t="shared" si="113"/>
        <v>0</v>
      </c>
      <c r="J753" s="80">
        <v>100</v>
      </c>
      <c r="K753" s="80">
        <v>300</v>
      </c>
      <c r="L753" s="77">
        <f t="shared" si="116"/>
        <v>1239</v>
      </c>
      <c r="M753" s="88">
        <v>600</v>
      </c>
      <c r="N753" s="77">
        <f>75</f>
        <v>75</v>
      </c>
      <c r="O753" s="80">
        <v>240</v>
      </c>
      <c r="P753" s="80">
        <v>40</v>
      </c>
      <c r="Q753" s="80">
        <f t="shared" si="117"/>
        <v>315</v>
      </c>
      <c r="R753" s="80">
        <f t="shared" si="118"/>
        <v>100</v>
      </c>
      <c r="S753" s="77">
        <f t="shared" si="119"/>
        <v>695</v>
      </c>
      <c r="T753" s="77">
        <f>0</f>
        <v>0</v>
      </c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</row>
    <row r="754" spans="1:30" ht="15.75" x14ac:dyDescent="0.25">
      <c r="A754" s="32">
        <v>63888</v>
      </c>
      <c r="B754" s="89">
        <f t="shared" si="121"/>
        <v>30</v>
      </c>
      <c r="C754" s="77">
        <f>122.58</f>
        <v>122.58</v>
      </c>
      <c r="D754" s="77">
        <f>297.941</f>
        <v>297.94099999999997</v>
      </c>
      <c r="E754" s="86">
        <f>89.177</f>
        <v>89.177000000000007</v>
      </c>
      <c r="F754" s="77">
        <f>240.302-40-60-100</f>
        <v>40.301999999999992</v>
      </c>
      <c r="G754" s="80">
        <v>40</v>
      </c>
      <c r="H754" s="77">
        <f>60+100</f>
        <v>160</v>
      </c>
      <c r="I754" s="77">
        <f t="shared" si="113"/>
        <v>0</v>
      </c>
      <c r="J754" s="80">
        <v>100</v>
      </c>
      <c r="K754" s="80">
        <v>300</v>
      </c>
      <c r="L754" s="77">
        <f t="shared" si="116"/>
        <v>1150</v>
      </c>
      <c r="M754" s="88">
        <v>600</v>
      </c>
      <c r="N754" s="77">
        <f>100</f>
        <v>100</v>
      </c>
      <c r="O754" s="80">
        <v>240</v>
      </c>
      <c r="P754" s="80">
        <v>40</v>
      </c>
      <c r="Q754" s="80">
        <f t="shared" si="117"/>
        <v>315</v>
      </c>
      <c r="R754" s="80">
        <f t="shared" si="118"/>
        <v>100</v>
      </c>
      <c r="S754" s="77">
        <f t="shared" si="119"/>
        <v>695</v>
      </c>
      <c r="T754" s="77">
        <f>50</f>
        <v>50</v>
      </c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</row>
    <row r="755" spans="1:30" ht="15.75" x14ac:dyDescent="0.25">
      <c r="A755" s="32">
        <v>63919</v>
      </c>
      <c r="B755" s="89">
        <f t="shared" si="121"/>
        <v>31</v>
      </c>
      <c r="C755" s="77">
        <f>122.58</f>
        <v>122.58</v>
      </c>
      <c r="D755" s="77">
        <f>297.941</f>
        <v>297.94099999999997</v>
      </c>
      <c r="E755" s="86">
        <f>89.177</f>
        <v>89.177000000000007</v>
      </c>
      <c r="F755" s="77">
        <f>240.302-40-60-100</f>
        <v>40.301999999999992</v>
      </c>
      <c r="G755" s="80">
        <v>40</v>
      </c>
      <c r="H755" s="77">
        <f>60+100</f>
        <v>160</v>
      </c>
      <c r="I755" s="77">
        <f t="shared" si="113"/>
        <v>0</v>
      </c>
      <c r="J755" s="80">
        <v>100</v>
      </c>
      <c r="K755" s="80">
        <v>300</v>
      </c>
      <c r="L755" s="77">
        <f t="shared" si="116"/>
        <v>1150</v>
      </c>
      <c r="M755" s="88">
        <v>600</v>
      </c>
      <c r="N755" s="77">
        <f>100</f>
        <v>100</v>
      </c>
      <c r="O755" s="80">
        <v>240</v>
      </c>
      <c r="P755" s="80">
        <v>40</v>
      </c>
      <c r="Q755" s="80">
        <f t="shared" si="117"/>
        <v>315</v>
      </c>
      <c r="R755" s="80">
        <f t="shared" si="118"/>
        <v>100</v>
      </c>
      <c r="S755" s="77">
        <f t="shared" si="119"/>
        <v>695</v>
      </c>
      <c r="T755" s="77">
        <f>50</f>
        <v>50</v>
      </c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</row>
    <row r="756" spans="1:30" ht="15.75" x14ac:dyDescent="0.25">
      <c r="A756" s="32">
        <v>63950</v>
      </c>
      <c r="B756" s="89">
        <f t="shared" si="121"/>
        <v>31</v>
      </c>
      <c r="C756" s="77">
        <f>122.58</f>
        <v>122.58</v>
      </c>
      <c r="D756" s="77">
        <f>297.941</f>
        <v>297.94099999999997</v>
      </c>
      <c r="E756" s="86">
        <f>89.177</f>
        <v>89.177000000000007</v>
      </c>
      <c r="F756" s="77">
        <f>240.302-40-60-100</f>
        <v>40.301999999999992</v>
      </c>
      <c r="G756" s="80">
        <v>40</v>
      </c>
      <c r="H756" s="77">
        <f>60+100</f>
        <v>160</v>
      </c>
      <c r="I756" s="77">
        <f t="shared" ref="I756:I819" si="124">400-J756-K756</f>
        <v>0</v>
      </c>
      <c r="J756" s="80">
        <v>100</v>
      </c>
      <c r="K756" s="80">
        <v>300</v>
      </c>
      <c r="L756" s="77">
        <f t="shared" si="116"/>
        <v>1150</v>
      </c>
      <c r="M756" s="88">
        <v>600</v>
      </c>
      <c r="N756" s="77">
        <f>100</f>
        <v>100</v>
      </c>
      <c r="O756" s="80">
        <v>240</v>
      </c>
      <c r="P756" s="80">
        <v>40</v>
      </c>
      <c r="Q756" s="80">
        <f t="shared" si="117"/>
        <v>315</v>
      </c>
      <c r="R756" s="80">
        <f t="shared" si="118"/>
        <v>100</v>
      </c>
      <c r="S756" s="77">
        <f t="shared" si="119"/>
        <v>695</v>
      </c>
      <c r="T756" s="77">
        <f>50</f>
        <v>50</v>
      </c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</row>
    <row r="757" spans="1:30" ht="15.75" x14ac:dyDescent="0.25">
      <c r="A757" s="32">
        <v>63978</v>
      </c>
      <c r="B757" s="89">
        <f t="shared" si="121"/>
        <v>28</v>
      </c>
      <c r="C757" s="77">
        <f>122.58</f>
        <v>122.58</v>
      </c>
      <c r="D757" s="77">
        <f>297.941</f>
        <v>297.94099999999997</v>
      </c>
      <c r="E757" s="86">
        <f>89.177</f>
        <v>89.177000000000007</v>
      </c>
      <c r="F757" s="77">
        <f>240.302-40-60-100</f>
        <v>40.301999999999992</v>
      </c>
      <c r="G757" s="80">
        <v>40</v>
      </c>
      <c r="H757" s="77">
        <f>60+100</f>
        <v>160</v>
      </c>
      <c r="I757" s="77">
        <f t="shared" si="124"/>
        <v>0</v>
      </c>
      <c r="J757" s="80">
        <v>100</v>
      </c>
      <c r="K757" s="80">
        <v>300</v>
      </c>
      <c r="L757" s="77">
        <f t="shared" si="116"/>
        <v>1150</v>
      </c>
      <c r="M757" s="88">
        <v>600</v>
      </c>
      <c r="N757" s="77">
        <f>100</f>
        <v>100</v>
      </c>
      <c r="O757" s="80">
        <v>240</v>
      </c>
      <c r="P757" s="80">
        <v>40</v>
      </c>
      <c r="Q757" s="80">
        <f t="shared" si="117"/>
        <v>315</v>
      </c>
      <c r="R757" s="80">
        <f t="shared" si="118"/>
        <v>100</v>
      </c>
      <c r="S757" s="77">
        <f t="shared" si="119"/>
        <v>695</v>
      </c>
      <c r="T757" s="77">
        <f>50</f>
        <v>50</v>
      </c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</row>
    <row r="758" spans="1:30" ht="15.75" x14ac:dyDescent="0.25">
      <c r="A758" s="32">
        <v>64009</v>
      </c>
      <c r="B758" s="89">
        <f t="shared" si="121"/>
        <v>31</v>
      </c>
      <c r="C758" s="77">
        <f>122.58</f>
        <v>122.58</v>
      </c>
      <c r="D758" s="77">
        <f>297.941</f>
        <v>297.94099999999997</v>
      </c>
      <c r="E758" s="86">
        <f>89.177</f>
        <v>89.177000000000007</v>
      </c>
      <c r="F758" s="77">
        <f>240.302-40-60-100</f>
        <v>40.301999999999992</v>
      </c>
      <c r="G758" s="80">
        <v>40</v>
      </c>
      <c r="H758" s="77">
        <f>60+100</f>
        <v>160</v>
      </c>
      <c r="I758" s="77">
        <f t="shared" si="124"/>
        <v>0</v>
      </c>
      <c r="J758" s="80">
        <v>100</v>
      </c>
      <c r="K758" s="80">
        <v>300</v>
      </c>
      <c r="L758" s="77">
        <f t="shared" si="116"/>
        <v>1150</v>
      </c>
      <c r="M758" s="88">
        <v>600</v>
      </c>
      <c r="N758" s="77">
        <f>100</f>
        <v>100</v>
      </c>
      <c r="O758" s="80">
        <v>240</v>
      </c>
      <c r="P758" s="80">
        <v>40</v>
      </c>
      <c r="Q758" s="80">
        <f t="shared" si="117"/>
        <v>315</v>
      </c>
      <c r="R758" s="80">
        <f t="shared" si="118"/>
        <v>100</v>
      </c>
      <c r="S758" s="77">
        <f t="shared" si="119"/>
        <v>695</v>
      </c>
      <c r="T758" s="77">
        <f>50</f>
        <v>50</v>
      </c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</row>
    <row r="759" spans="1:30" ht="15.75" x14ac:dyDescent="0.25">
      <c r="A759" s="32">
        <v>64039</v>
      </c>
      <c r="B759" s="89">
        <f t="shared" si="121"/>
        <v>30</v>
      </c>
      <c r="C759" s="77">
        <f>141.293</f>
        <v>141.29300000000001</v>
      </c>
      <c r="D759" s="77">
        <f>267.993</f>
        <v>267.99299999999999</v>
      </c>
      <c r="E759" s="86">
        <f>115.016</f>
        <v>115.01600000000001</v>
      </c>
      <c r="F759" s="77">
        <f>314.698-40-25-60-100</f>
        <v>89.697999999999979</v>
      </c>
      <c r="G759" s="80">
        <v>40</v>
      </c>
      <c r="H759" s="77">
        <f t="shared" ref="H759:H765" si="125">25+60+100</f>
        <v>185</v>
      </c>
      <c r="I759" s="77">
        <f t="shared" si="124"/>
        <v>0</v>
      </c>
      <c r="J759" s="80">
        <v>100</v>
      </c>
      <c r="K759" s="80">
        <v>300</v>
      </c>
      <c r="L759" s="77">
        <f t="shared" si="116"/>
        <v>1239</v>
      </c>
      <c r="M759" s="88">
        <v>600</v>
      </c>
      <c r="N759" s="77">
        <f>100</f>
        <v>100</v>
      </c>
      <c r="O759" s="80">
        <v>240</v>
      </c>
      <c r="P759" s="80">
        <v>40</v>
      </c>
      <c r="Q759" s="80">
        <f t="shared" si="117"/>
        <v>315</v>
      </c>
      <c r="R759" s="80">
        <f t="shared" si="118"/>
        <v>100</v>
      </c>
      <c r="S759" s="77">
        <f t="shared" si="119"/>
        <v>695</v>
      </c>
      <c r="T759" s="77">
        <f>50</f>
        <v>50</v>
      </c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</row>
    <row r="760" spans="1:30" ht="15.75" x14ac:dyDescent="0.25">
      <c r="A760" s="32">
        <v>64070</v>
      </c>
      <c r="B760" s="89">
        <f t="shared" si="121"/>
        <v>31</v>
      </c>
      <c r="C760" s="77">
        <f>194.205</f>
        <v>194.20500000000001</v>
      </c>
      <c r="D760" s="77">
        <f>267.466</f>
        <v>267.46600000000001</v>
      </c>
      <c r="E760" s="86">
        <f>133.845</f>
        <v>133.845</v>
      </c>
      <c r="F760" s="77">
        <f>278.484-40-25-60-100</f>
        <v>53.48399999999998</v>
      </c>
      <c r="G760" s="80">
        <v>40</v>
      </c>
      <c r="H760" s="77">
        <f t="shared" si="125"/>
        <v>185</v>
      </c>
      <c r="I760" s="77">
        <f t="shared" si="124"/>
        <v>0</v>
      </c>
      <c r="J760" s="80">
        <v>100</v>
      </c>
      <c r="K760" s="80">
        <v>300</v>
      </c>
      <c r="L760" s="77">
        <f t="shared" si="116"/>
        <v>1274</v>
      </c>
      <c r="M760" s="88">
        <v>600</v>
      </c>
      <c r="N760" s="77">
        <f>75</f>
        <v>75</v>
      </c>
      <c r="O760" s="80">
        <v>240</v>
      </c>
      <c r="P760" s="80">
        <v>40</v>
      </c>
      <c r="Q760" s="80">
        <f t="shared" si="117"/>
        <v>315</v>
      </c>
      <c r="R760" s="80">
        <f t="shared" si="118"/>
        <v>100</v>
      </c>
      <c r="S760" s="77">
        <f t="shared" si="119"/>
        <v>695</v>
      </c>
      <c r="T760" s="77">
        <f>50</f>
        <v>50</v>
      </c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</row>
    <row r="761" spans="1:30" ht="15.75" x14ac:dyDescent="0.25">
      <c r="A761" s="32">
        <v>64100</v>
      </c>
      <c r="B761" s="89">
        <f t="shared" si="121"/>
        <v>30</v>
      </c>
      <c r="C761" s="77">
        <f>194.205</f>
        <v>194.20500000000001</v>
      </c>
      <c r="D761" s="77">
        <f>267.466</f>
        <v>267.46600000000001</v>
      </c>
      <c r="E761" s="86">
        <f>133.845</f>
        <v>133.845</v>
      </c>
      <c r="F761" s="77">
        <f>278.484-40-25-60-100</f>
        <v>53.48399999999998</v>
      </c>
      <c r="G761" s="80">
        <v>40</v>
      </c>
      <c r="H761" s="77">
        <f t="shared" si="125"/>
        <v>185</v>
      </c>
      <c r="I761" s="77">
        <f t="shared" si="124"/>
        <v>0</v>
      </c>
      <c r="J761" s="80">
        <v>100</v>
      </c>
      <c r="K761" s="80">
        <v>300</v>
      </c>
      <c r="L761" s="77">
        <f t="shared" si="116"/>
        <v>1274</v>
      </c>
      <c r="M761" s="88">
        <v>600</v>
      </c>
      <c r="N761" s="77">
        <f>30</f>
        <v>30</v>
      </c>
      <c r="O761" s="80">
        <v>240</v>
      </c>
      <c r="P761" s="80">
        <v>40</v>
      </c>
      <c r="Q761" s="80">
        <f t="shared" si="117"/>
        <v>315</v>
      </c>
      <c r="R761" s="80">
        <f t="shared" si="118"/>
        <v>100</v>
      </c>
      <c r="S761" s="77">
        <f t="shared" si="119"/>
        <v>695</v>
      </c>
      <c r="T761" s="77">
        <f>50</f>
        <v>50</v>
      </c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</row>
    <row r="762" spans="1:30" ht="15.75" x14ac:dyDescent="0.25">
      <c r="A762" s="32">
        <v>64131</v>
      </c>
      <c r="B762" s="89">
        <f t="shared" si="121"/>
        <v>31</v>
      </c>
      <c r="C762" s="77">
        <f>194.205</f>
        <v>194.20500000000001</v>
      </c>
      <c r="D762" s="77">
        <f>267.466</f>
        <v>267.46600000000001</v>
      </c>
      <c r="E762" s="86">
        <f>133.845</f>
        <v>133.845</v>
      </c>
      <c r="F762" s="77">
        <f>278.484-40-25-60-100</f>
        <v>53.48399999999998</v>
      </c>
      <c r="G762" s="80">
        <v>40</v>
      </c>
      <c r="H762" s="77">
        <f t="shared" si="125"/>
        <v>185</v>
      </c>
      <c r="I762" s="77">
        <f t="shared" si="124"/>
        <v>0</v>
      </c>
      <c r="J762" s="80">
        <v>100</v>
      </c>
      <c r="K762" s="80">
        <v>300</v>
      </c>
      <c r="L762" s="77">
        <f t="shared" si="116"/>
        <v>1274</v>
      </c>
      <c r="M762" s="88">
        <v>600</v>
      </c>
      <c r="N762" s="77">
        <f>30</f>
        <v>30</v>
      </c>
      <c r="O762" s="80">
        <v>240</v>
      </c>
      <c r="P762" s="80">
        <v>40</v>
      </c>
      <c r="Q762" s="80">
        <f t="shared" si="117"/>
        <v>315</v>
      </c>
      <c r="R762" s="80">
        <f t="shared" si="118"/>
        <v>100</v>
      </c>
      <c r="S762" s="77">
        <f t="shared" si="119"/>
        <v>695</v>
      </c>
      <c r="T762" s="77">
        <f>0</f>
        <v>0</v>
      </c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</row>
    <row r="763" spans="1:30" ht="15.75" x14ac:dyDescent="0.25">
      <c r="A763" s="32">
        <v>64162</v>
      </c>
      <c r="B763" s="89">
        <f t="shared" si="121"/>
        <v>31</v>
      </c>
      <c r="C763" s="77">
        <f>194.205</f>
        <v>194.20500000000001</v>
      </c>
      <c r="D763" s="77">
        <f>267.466</f>
        <v>267.46600000000001</v>
      </c>
      <c r="E763" s="86">
        <f>133.845</f>
        <v>133.845</v>
      </c>
      <c r="F763" s="77">
        <f>278.484-40-25-60-100</f>
        <v>53.48399999999998</v>
      </c>
      <c r="G763" s="80">
        <v>40</v>
      </c>
      <c r="H763" s="77">
        <f t="shared" si="125"/>
        <v>185</v>
      </c>
      <c r="I763" s="77">
        <f t="shared" si="124"/>
        <v>0</v>
      </c>
      <c r="J763" s="80">
        <v>100</v>
      </c>
      <c r="K763" s="80">
        <v>300</v>
      </c>
      <c r="L763" s="77">
        <f t="shared" si="116"/>
        <v>1274</v>
      </c>
      <c r="M763" s="88">
        <v>600</v>
      </c>
      <c r="N763" s="77">
        <f>30</f>
        <v>30</v>
      </c>
      <c r="O763" s="80">
        <v>240</v>
      </c>
      <c r="P763" s="80">
        <v>40</v>
      </c>
      <c r="Q763" s="80">
        <f t="shared" si="117"/>
        <v>315</v>
      </c>
      <c r="R763" s="80">
        <f t="shared" si="118"/>
        <v>100</v>
      </c>
      <c r="S763" s="77">
        <f t="shared" si="119"/>
        <v>695</v>
      </c>
      <c r="T763" s="77">
        <f>0</f>
        <v>0</v>
      </c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</row>
    <row r="764" spans="1:30" ht="15.75" x14ac:dyDescent="0.25">
      <c r="A764" s="32">
        <v>64192</v>
      </c>
      <c r="B764" s="89">
        <f t="shared" si="121"/>
        <v>30</v>
      </c>
      <c r="C764" s="77">
        <f>194.205</f>
        <v>194.20500000000001</v>
      </c>
      <c r="D764" s="77">
        <f>267.466</f>
        <v>267.46600000000001</v>
      </c>
      <c r="E764" s="86">
        <f>133.845</f>
        <v>133.845</v>
      </c>
      <c r="F764" s="77">
        <f>278.484-40-25-60-100</f>
        <v>53.48399999999998</v>
      </c>
      <c r="G764" s="80">
        <v>40</v>
      </c>
      <c r="H764" s="77">
        <f t="shared" si="125"/>
        <v>185</v>
      </c>
      <c r="I764" s="77">
        <f t="shared" si="124"/>
        <v>0</v>
      </c>
      <c r="J764" s="80">
        <v>100</v>
      </c>
      <c r="K764" s="80">
        <v>300</v>
      </c>
      <c r="L764" s="77">
        <f t="shared" si="116"/>
        <v>1274</v>
      </c>
      <c r="M764" s="88">
        <v>600</v>
      </c>
      <c r="N764" s="77">
        <f>30</f>
        <v>30</v>
      </c>
      <c r="O764" s="80">
        <v>240</v>
      </c>
      <c r="P764" s="80">
        <v>40</v>
      </c>
      <c r="Q764" s="80">
        <f t="shared" si="117"/>
        <v>315</v>
      </c>
      <c r="R764" s="80">
        <f t="shared" si="118"/>
        <v>100</v>
      </c>
      <c r="S764" s="77">
        <f t="shared" si="119"/>
        <v>695</v>
      </c>
      <c r="T764" s="77">
        <f>0</f>
        <v>0</v>
      </c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</row>
    <row r="765" spans="1:30" ht="15.75" x14ac:dyDescent="0.25">
      <c r="A765" s="32">
        <v>64223</v>
      </c>
      <c r="B765" s="89">
        <f t="shared" si="121"/>
        <v>31</v>
      </c>
      <c r="C765" s="77">
        <f>131.881</f>
        <v>131.881</v>
      </c>
      <c r="D765" s="77">
        <f>277.167</f>
        <v>277.16699999999997</v>
      </c>
      <c r="E765" s="86">
        <f>79.08</f>
        <v>79.08</v>
      </c>
      <c r="F765" s="77">
        <f>350.872-40-25-60-100</f>
        <v>125.87200000000001</v>
      </c>
      <c r="G765" s="80">
        <v>40</v>
      </c>
      <c r="H765" s="77">
        <f t="shared" si="125"/>
        <v>185</v>
      </c>
      <c r="I765" s="77">
        <f t="shared" si="124"/>
        <v>0</v>
      </c>
      <c r="J765" s="80">
        <v>100</v>
      </c>
      <c r="K765" s="80">
        <v>300</v>
      </c>
      <c r="L765" s="77">
        <f t="shared" si="116"/>
        <v>1239</v>
      </c>
      <c r="M765" s="88">
        <v>600</v>
      </c>
      <c r="N765" s="77">
        <f>75</f>
        <v>75</v>
      </c>
      <c r="O765" s="80">
        <v>240</v>
      </c>
      <c r="P765" s="80">
        <v>40</v>
      </c>
      <c r="Q765" s="80">
        <f t="shared" si="117"/>
        <v>315</v>
      </c>
      <c r="R765" s="80">
        <f t="shared" si="118"/>
        <v>100</v>
      </c>
      <c r="S765" s="77">
        <f t="shared" si="119"/>
        <v>695</v>
      </c>
      <c r="T765" s="77">
        <f>0</f>
        <v>0</v>
      </c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</row>
    <row r="766" spans="1:30" ht="15.75" x14ac:dyDescent="0.25">
      <c r="A766" s="32">
        <v>64253</v>
      </c>
      <c r="B766" s="89">
        <f t="shared" si="121"/>
        <v>30</v>
      </c>
      <c r="C766" s="77">
        <f>122.58</f>
        <v>122.58</v>
      </c>
      <c r="D766" s="77">
        <f>297.941</f>
        <v>297.94099999999997</v>
      </c>
      <c r="E766" s="86">
        <f>89.177</f>
        <v>89.177000000000007</v>
      </c>
      <c r="F766" s="77">
        <f>240.302-40-60-100</f>
        <v>40.301999999999992</v>
      </c>
      <c r="G766" s="80">
        <v>40</v>
      </c>
      <c r="H766" s="77">
        <f>60+100</f>
        <v>160</v>
      </c>
      <c r="I766" s="77">
        <f t="shared" si="124"/>
        <v>0</v>
      </c>
      <c r="J766" s="80">
        <v>100</v>
      </c>
      <c r="K766" s="80">
        <v>300</v>
      </c>
      <c r="L766" s="77">
        <f t="shared" si="116"/>
        <v>1150</v>
      </c>
      <c r="M766" s="88">
        <v>600</v>
      </c>
      <c r="N766" s="77">
        <f>100</f>
        <v>100</v>
      </c>
      <c r="O766" s="80">
        <v>240</v>
      </c>
      <c r="P766" s="80">
        <v>40</v>
      </c>
      <c r="Q766" s="80">
        <f t="shared" si="117"/>
        <v>315</v>
      </c>
      <c r="R766" s="80">
        <f t="shared" si="118"/>
        <v>100</v>
      </c>
      <c r="S766" s="77">
        <f t="shared" si="119"/>
        <v>695</v>
      </c>
      <c r="T766" s="77">
        <f>50</f>
        <v>50</v>
      </c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</row>
    <row r="767" spans="1:30" ht="15.75" x14ac:dyDescent="0.25">
      <c r="A767" s="32">
        <v>64284</v>
      </c>
      <c r="B767" s="89">
        <f t="shared" si="121"/>
        <v>31</v>
      </c>
      <c r="C767" s="77">
        <f>122.58</f>
        <v>122.58</v>
      </c>
      <c r="D767" s="77">
        <f>297.941</f>
        <v>297.94099999999997</v>
      </c>
      <c r="E767" s="86">
        <f>89.177</f>
        <v>89.177000000000007</v>
      </c>
      <c r="F767" s="77">
        <f>240.302-40-60-100</f>
        <v>40.301999999999992</v>
      </c>
      <c r="G767" s="80">
        <v>40</v>
      </c>
      <c r="H767" s="77">
        <f>60+100</f>
        <v>160</v>
      </c>
      <c r="I767" s="77">
        <f t="shared" si="124"/>
        <v>0</v>
      </c>
      <c r="J767" s="80">
        <v>100</v>
      </c>
      <c r="K767" s="80">
        <v>300</v>
      </c>
      <c r="L767" s="77">
        <f t="shared" si="116"/>
        <v>1150</v>
      </c>
      <c r="M767" s="88">
        <v>600</v>
      </c>
      <c r="N767" s="77">
        <f>100</f>
        <v>100</v>
      </c>
      <c r="O767" s="80">
        <v>240</v>
      </c>
      <c r="P767" s="80">
        <v>40</v>
      </c>
      <c r="Q767" s="80">
        <f t="shared" si="117"/>
        <v>315</v>
      </c>
      <c r="R767" s="80">
        <f t="shared" si="118"/>
        <v>100</v>
      </c>
      <c r="S767" s="77">
        <f t="shared" si="119"/>
        <v>695</v>
      </c>
      <c r="T767" s="77">
        <f>50</f>
        <v>50</v>
      </c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</row>
    <row r="768" spans="1:30" ht="15.75" x14ac:dyDescent="0.25">
      <c r="A768" s="32">
        <v>64315</v>
      </c>
      <c r="B768" s="89">
        <f t="shared" si="121"/>
        <v>31</v>
      </c>
      <c r="C768" s="77">
        <f>122.58</f>
        <v>122.58</v>
      </c>
      <c r="D768" s="77">
        <f>297.941</f>
        <v>297.94099999999997</v>
      </c>
      <c r="E768" s="86">
        <f>89.177</f>
        <v>89.177000000000007</v>
      </c>
      <c r="F768" s="77">
        <f>240.302-40-60-100</f>
        <v>40.301999999999992</v>
      </c>
      <c r="G768" s="80">
        <v>40</v>
      </c>
      <c r="H768" s="77">
        <f>60+100</f>
        <v>160</v>
      </c>
      <c r="I768" s="77">
        <f t="shared" si="124"/>
        <v>0</v>
      </c>
      <c r="J768" s="80">
        <v>100</v>
      </c>
      <c r="K768" s="80">
        <v>300</v>
      </c>
      <c r="L768" s="77">
        <f t="shared" si="116"/>
        <v>1150</v>
      </c>
      <c r="M768" s="88">
        <v>600</v>
      </c>
      <c r="N768" s="77">
        <f>100</f>
        <v>100</v>
      </c>
      <c r="O768" s="80">
        <v>240</v>
      </c>
      <c r="P768" s="80">
        <v>40</v>
      </c>
      <c r="Q768" s="80">
        <f t="shared" si="117"/>
        <v>315</v>
      </c>
      <c r="R768" s="80">
        <f t="shared" si="118"/>
        <v>100</v>
      </c>
      <c r="S768" s="77">
        <f t="shared" si="119"/>
        <v>695</v>
      </c>
      <c r="T768" s="77">
        <f>50</f>
        <v>50</v>
      </c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</row>
    <row r="769" spans="1:30" ht="15.75" x14ac:dyDescent="0.25">
      <c r="A769" s="32">
        <v>64344</v>
      </c>
      <c r="B769" s="89">
        <f t="shared" si="121"/>
        <v>29</v>
      </c>
      <c r="C769" s="77">
        <f>122.58</f>
        <v>122.58</v>
      </c>
      <c r="D769" s="77">
        <f>297.941</f>
        <v>297.94099999999997</v>
      </c>
      <c r="E769" s="86">
        <f>89.177</f>
        <v>89.177000000000007</v>
      </c>
      <c r="F769" s="77">
        <f>240.302-40-60-100</f>
        <v>40.301999999999992</v>
      </c>
      <c r="G769" s="80">
        <v>40</v>
      </c>
      <c r="H769" s="77">
        <f>60+100</f>
        <v>160</v>
      </c>
      <c r="I769" s="77">
        <f t="shared" si="124"/>
        <v>0</v>
      </c>
      <c r="J769" s="80">
        <v>100</v>
      </c>
      <c r="K769" s="80">
        <v>300</v>
      </c>
      <c r="L769" s="77">
        <f t="shared" si="116"/>
        <v>1150</v>
      </c>
      <c r="M769" s="88">
        <v>600</v>
      </c>
      <c r="N769" s="77">
        <f>100</f>
        <v>100</v>
      </c>
      <c r="O769" s="80">
        <v>240</v>
      </c>
      <c r="P769" s="80">
        <v>40</v>
      </c>
      <c r="Q769" s="80">
        <f t="shared" si="117"/>
        <v>315</v>
      </c>
      <c r="R769" s="80">
        <f t="shared" si="118"/>
        <v>100</v>
      </c>
      <c r="S769" s="77">
        <f t="shared" si="119"/>
        <v>695</v>
      </c>
      <c r="T769" s="77">
        <f>50</f>
        <v>50</v>
      </c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</row>
    <row r="770" spans="1:30" ht="15.75" x14ac:dyDescent="0.25">
      <c r="A770" s="32">
        <v>64375</v>
      </c>
      <c r="B770" s="89">
        <f t="shared" si="121"/>
        <v>31</v>
      </c>
      <c r="C770" s="77">
        <f>122.58</f>
        <v>122.58</v>
      </c>
      <c r="D770" s="77">
        <f>297.941</f>
        <v>297.94099999999997</v>
      </c>
      <c r="E770" s="86">
        <f>89.177</f>
        <v>89.177000000000007</v>
      </c>
      <c r="F770" s="77">
        <f>240.302-40-60-100</f>
        <v>40.301999999999992</v>
      </c>
      <c r="G770" s="80">
        <v>40</v>
      </c>
      <c r="H770" s="77">
        <f>60+100</f>
        <v>160</v>
      </c>
      <c r="I770" s="77">
        <f t="shared" si="124"/>
        <v>0</v>
      </c>
      <c r="J770" s="80">
        <v>100</v>
      </c>
      <c r="K770" s="80">
        <v>300</v>
      </c>
      <c r="L770" s="77">
        <f t="shared" si="116"/>
        <v>1150</v>
      </c>
      <c r="M770" s="88">
        <v>600</v>
      </c>
      <c r="N770" s="77">
        <f>100</f>
        <v>100</v>
      </c>
      <c r="O770" s="80">
        <v>240</v>
      </c>
      <c r="P770" s="80">
        <v>40</v>
      </c>
      <c r="Q770" s="80">
        <f t="shared" si="117"/>
        <v>315</v>
      </c>
      <c r="R770" s="80">
        <f t="shared" si="118"/>
        <v>100</v>
      </c>
      <c r="S770" s="77">
        <f t="shared" si="119"/>
        <v>695</v>
      </c>
      <c r="T770" s="77">
        <f>50</f>
        <v>50</v>
      </c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</row>
    <row r="771" spans="1:30" ht="15.75" x14ac:dyDescent="0.25">
      <c r="A771" s="32">
        <v>64405</v>
      </c>
      <c r="B771" s="89">
        <f t="shared" si="121"/>
        <v>30</v>
      </c>
      <c r="C771" s="77">
        <f>141.293</f>
        <v>141.29300000000001</v>
      </c>
      <c r="D771" s="77">
        <f>267.993</f>
        <v>267.99299999999999</v>
      </c>
      <c r="E771" s="86">
        <f>115.016</f>
        <v>115.01600000000001</v>
      </c>
      <c r="F771" s="77">
        <f>314.698-40-25-60-100</f>
        <v>89.697999999999979</v>
      </c>
      <c r="G771" s="80">
        <v>40</v>
      </c>
      <c r="H771" s="77">
        <f t="shared" ref="H771:H777" si="126">25+60+100</f>
        <v>185</v>
      </c>
      <c r="I771" s="77">
        <f t="shared" si="124"/>
        <v>0</v>
      </c>
      <c r="J771" s="80">
        <v>100</v>
      </c>
      <c r="K771" s="80">
        <v>300</v>
      </c>
      <c r="L771" s="77">
        <f t="shared" si="116"/>
        <v>1239</v>
      </c>
      <c r="M771" s="88">
        <v>600</v>
      </c>
      <c r="N771" s="77">
        <f>100</f>
        <v>100</v>
      </c>
      <c r="O771" s="80">
        <v>240</v>
      </c>
      <c r="P771" s="80">
        <v>40</v>
      </c>
      <c r="Q771" s="80">
        <f t="shared" si="117"/>
        <v>315</v>
      </c>
      <c r="R771" s="80">
        <f t="shared" si="118"/>
        <v>100</v>
      </c>
      <c r="S771" s="77">
        <f t="shared" si="119"/>
        <v>695</v>
      </c>
      <c r="T771" s="77">
        <f>50</f>
        <v>50</v>
      </c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</row>
    <row r="772" spans="1:30" ht="15.75" x14ac:dyDescent="0.25">
      <c r="A772" s="32">
        <v>64436</v>
      </c>
      <c r="B772" s="89">
        <f t="shared" si="121"/>
        <v>31</v>
      </c>
      <c r="C772" s="77">
        <f>194.205</f>
        <v>194.20500000000001</v>
      </c>
      <c r="D772" s="77">
        <f>267.466</f>
        <v>267.46600000000001</v>
      </c>
      <c r="E772" s="86">
        <f>133.845</f>
        <v>133.845</v>
      </c>
      <c r="F772" s="77">
        <f>278.484-40-25-60-100</f>
        <v>53.48399999999998</v>
      </c>
      <c r="G772" s="80">
        <v>40</v>
      </c>
      <c r="H772" s="77">
        <f t="shared" si="126"/>
        <v>185</v>
      </c>
      <c r="I772" s="77">
        <f t="shared" si="124"/>
        <v>0</v>
      </c>
      <c r="J772" s="80">
        <v>100</v>
      </c>
      <c r="K772" s="80">
        <v>300</v>
      </c>
      <c r="L772" s="77">
        <f t="shared" si="116"/>
        <v>1274</v>
      </c>
      <c r="M772" s="88">
        <v>600</v>
      </c>
      <c r="N772" s="77">
        <f>75</f>
        <v>75</v>
      </c>
      <c r="O772" s="80">
        <v>240</v>
      </c>
      <c r="P772" s="80">
        <v>40</v>
      </c>
      <c r="Q772" s="80">
        <f t="shared" si="117"/>
        <v>315</v>
      </c>
      <c r="R772" s="80">
        <f t="shared" si="118"/>
        <v>100</v>
      </c>
      <c r="S772" s="77">
        <f t="shared" si="119"/>
        <v>695</v>
      </c>
      <c r="T772" s="77">
        <f>50</f>
        <v>50</v>
      </c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</row>
    <row r="773" spans="1:30" ht="15.75" x14ac:dyDescent="0.25">
      <c r="A773" s="32">
        <v>64466</v>
      </c>
      <c r="B773" s="89">
        <f t="shared" si="121"/>
        <v>30</v>
      </c>
      <c r="C773" s="77">
        <f>194.205</f>
        <v>194.20500000000001</v>
      </c>
      <c r="D773" s="77">
        <f>267.466</f>
        <v>267.46600000000001</v>
      </c>
      <c r="E773" s="86">
        <f>133.845</f>
        <v>133.845</v>
      </c>
      <c r="F773" s="77">
        <f>278.484-40-25-60-100</f>
        <v>53.48399999999998</v>
      </c>
      <c r="G773" s="80">
        <v>40</v>
      </c>
      <c r="H773" s="77">
        <f t="shared" si="126"/>
        <v>185</v>
      </c>
      <c r="I773" s="77">
        <f t="shared" si="124"/>
        <v>0</v>
      </c>
      <c r="J773" s="80">
        <v>100</v>
      </c>
      <c r="K773" s="80">
        <v>300</v>
      </c>
      <c r="L773" s="77">
        <f t="shared" si="116"/>
        <v>1274</v>
      </c>
      <c r="M773" s="88">
        <v>600</v>
      </c>
      <c r="N773" s="77">
        <f>30</f>
        <v>30</v>
      </c>
      <c r="O773" s="80">
        <v>240</v>
      </c>
      <c r="P773" s="80">
        <v>40</v>
      </c>
      <c r="Q773" s="80">
        <f t="shared" si="117"/>
        <v>315</v>
      </c>
      <c r="R773" s="80">
        <f t="shared" si="118"/>
        <v>100</v>
      </c>
      <c r="S773" s="77">
        <f t="shared" si="119"/>
        <v>695</v>
      </c>
      <c r="T773" s="77">
        <f>50</f>
        <v>50</v>
      </c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</row>
    <row r="774" spans="1:30" ht="15.75" x14ac:dyDescent="0.25">
      <c r="A774" s="32">
        <v>64497</v>
      </c>
      <c r="B774" s="89">
        <f t="shared" si="121"/>
        <v>31</v>
      </c>
      <c r="C774" s="77">
        <f>194.205</f>
        <v>194.20500000000001</v>
      </c>
      <c r="D774" s="77">
        <f>267.466</f>
        <v>267.46600000000001</v>
      </c>
      <c r="E774" s="86">
        <f>133.845</f>
        <v>133.845</v>
      </c>
      <c r="F774" s="77">
        <f>278.484-40-25-60-100</f>
        <v>53.48399999999998</v>
      </c>
      <c r="G774" s="80">
        <v>40</v>
      </c>
      <c r="H774" s="77">
        <f t="shared" si="126"/>
        <v>185</v>
      </c>
      <c r="I774" s="77">
        <f t="shared" si="124"/>
        <v>0</v>
      </c>
      <c r="J774" s="80">
        <v>100</v>
      </c>
      <c r="K774" s="80">
        <v>300</v>
      </c>
      <c r="L774" s="77">
        <f t="shared" si="116"/>
        <v>1274</v>
      </c>
      <c r="M774" s="88">
        <v>600</v>
      </c>
      <c r="N774" s="77">
        <f>30</f>
        <v>30</v>
      </c>
      <c r="O774" s="80">
        <v>240</v>
      </c>
      <c r="P774" s="80">
        <v>40</v>
      </c>
      <c r="Q774" s="80">
        <f t="shared" si="117"/>
        <v>315</v>
      </c>
      <c r="R774" s="80">
        <f t="shared" si="118"/>
        <v>100</v>
      </c>
      <c r="S774" s="77">
        <f t="shared" si="119"/>
        <v>695</v>
      </c>
      <c r="T774" s="77">
        <f>0</f>
        <v>0</v>
      </c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</row>
    <row r="775" spans="1:30" ht="15.75" x14ac:dyDescent="0.25">
      <c r="A775" s="32">
        <v>64528</v>
      </c>
      <c r="B775" s="89">
        <f t="shared" si="121"/>
        <v>31</v>
      </c>
      <c r="C775" s="77">
        <f>194.205</f>
        <v>194.20500000000001</v>
      </c>
      <c r="D775" s="77">
        <f>267.466</f>
        <v>267.46600000000001</v>
      </c>
      <c r="E775" s="86">
        <f>133.845</f>
        <v>133.845</v>
      </c>
      <c r="F775" s="77">
        <f>278.484-40-25-60-100</f>
        <v>53.48399999999998</v>
      </c>
      <c r="G775" s="80">
        <v>40</v>
      </c>
      <c r="H775" s="77">
        <f t="shared" si="126"/>
        <v>185</v>
      </c>
      <c r="I775" s="77">
        <f t="shared" si="124"/>
        <v>0</v>
      </c>
      <c r="J775" s="80">
        <v>100</v>
      </c>
      <c r="K775" s="80">
        <v>300</v>
      </c>
      <c r="L775" s="77">
        <f t="shared" si="116"/>
        <v>1274</v>
      </c>
      <c r="M775" s="88">
        <v>600</v>
      </c>
      <c r="N775" s="77">
        <f>30</f>
        <v>30</v>
      </c>
      <c r="O775" s="80">
        <v>240</v>
      </c>
      <c r="P775" s="80">
        <v>40</v>
      </c>
      <c r="Q775" s="80">
        <f t="shared" si="117"/>
        <v>315</v>
      </c>
      <c r="R775" s="80">
        <f t="shared" si="118"/>
        <v>100</v>
      </c>
      <c r="S775" s="77">
        <f t="shared" si="119"/>
        <v>695</v>
      </c>
      <c r="T775" s="77">
        <f>0</f>
        <v>0</v>
      </c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</row>
    <row r="776" spans="1:30" ht="15.75" x14ac:dyDescent="0.25">
      <c r="A776" s="32">
        <v>64558</v>
      </c>
      <c r="B776" s="89">
        <f t="shared" si="121"/>
        <v>30</v>
      </c>
      <c r="C776" s="77">
        <f>194.205</f>
        <v>194.20500000000001</v>
      </c>
      <c r="D776" s="77">
        <f>267.466</f>
        <v>267.46600000000001</v>
      </c>
      <c r="E776" s="86">
        <f>133.845</f>
        <v>133.845</v>
      </c>
      <c r="F776" s="77">
        <f>278.484-40-25-60-100</f>
        <v>53.48399999999998</v>
      </c>
      <c r="G776" s="80">
        <v>40</v>
      </c>
      <c r="H776" s="77">
        <f t="shared" si="126"/>
        <v>185</v>
      </c>
      <c r="I776" s="77">
        <f t="shared" si="124"/>
        <v>0</v>
      </c>
      <c r="J776" s="80">
        <v>100</v>
      </c>
      <c r="K776" s="80">
        <v>300</v>
      </c>
      <c r="L776" s="77">
        <f t="shared" si="116"/>
        <v>1274</v>
      </c>
      <c r="M776" s="88">
        <v>600</v>
      </c>
      <c r="N776" s="77">
        <f>30</f>
        <v>30</v>
      </c>
      <c r="O776" s="80">
        <v>240</v>
      </c>
      <c r="P776" s="80">
        <v>40</v>
      </c>
      <c r="Q776" s="80">
        <f t="shared" si="117"/>
        <v>315</v>
      </c>
      <c r="R776" s="80">
        <f t="shared" si="118"/>
        <v>100</v>
      </c>
      <c r="S776" s="77">
        <f t="shared" si="119"/>
        <v>695</v>
      </c>
      <c r="T776" s="77">
        <f>0</f>
        <v>0</v>
      </c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</row>
    <row r="777" spans="1:30" ht="15.75" x14ac:dyDescent="0.25">
      <c r="A777" s="32">
        <v>64589</v>
      </c>
      <c r="B777" s="89">
        <f t="shared" si="121"/>
        <v>31</v>
      </c>
      <c r="C777" s="77">
        <f>131.881</f>
        <v>131.881</v>
      </c>
      <c r="D777" s="77">
        <f>277.167</f>
        <v>277.16699999999997</v>
      </c>
      <c r="E777" s="86">
        <f>79.08</f>
        <v>79.08</v>
      </c>
      <c r="F777" s="77">
        <f>350.872-40-25-60-100</f>
        <v>125.87200000000001</v>
      </c>
      <c r="G777" s="80">
        <v>40</v>
      </c>
      <c r="H777" s="77">
        <f t="shared" si="126"/>
        <v>185</v>
      </c>
      <c r="I777" s="77">
        <f t="shared" si="124"/>
        <v>0</v>
      </c>
      <c r="J777" s="80">
        <v>100</v>
      </c>
      <c r="K777" s="80">
        <v>300</v>
      </c>
      <c r="L777" s="77">
        <f t="shared" si="116"/>
        <v>1239</v>
      </c>
      <c r="M777" s="88">
        <v>600</v>
      </c>
      <c r="N777" s="77">
        <f>75</f>
        <v>75</v>
      </c>
      <c r="O777" s="80">
        <v>240</v>
      </c>
      <c r="P777" s="80">
        <v>40</v>
      </c>
      <c r="Q777" s="80">
        <f t="shared" si="117"/>
        <v>315</v>
      </c>
      <c r="R777" s="80">
        <f t="shared" si="118"/>
        <v>100</v>
      </c>
      <c r="S777" s="77">
        <f t="shared" si="119"/>
        <v>695</v>
      </c>
      <c r="T777" s="77">
        <f>0</f>
        <v>0</v>
      </c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</row>
    <row r="778" spans="1:30" ht="15.75" x14ac:dyDescent="0.25">
      <c r="A778" s="32">
        <v>64619</v>
      </c>
      <c r="B778" s="89">
        <f t="shared" si="121"/>
        <v>30</v>
      </c>
      <c r="C778" s="77">
        <f>122.58</f>
        <v>122.58</v>
      </c>
      <c r="D778" s="77">
        <f>297.941</f>
        <v>297.94099999999997</v>
      </c>
      <c r="E778" s="86">
        <f>89.177</f>
        <v>89.177000000000007</v>
      </c>
      <c r="F778" s="77">
        <f>240.302-40-60-100</f>
        <v>40.301999999999992</v>
      </c>
      <c r="G778" s="80">
        <v>40</v>
      </c>
      <c r="H778" s="77">
        <f>60+100</f>
        <v>160</v>
      </c>
      <c r="I778" s="77">
        <f t="shared" si="124"/>
        <v>0</v>
      </c>
      <c r="J778" s="80">
        <v>100</v>
      </c>
      <c r="K778" s="80">
        <v>300</v>
      </c>
      <c r="L778" s="77">
        <f t="shared" si="116"/>
        <v>1150</v>
      </c>
      <c r="M778" s="88">
        <v>600</v>
      </c>
      <c r="N778" s="77">
        <f>100</f>
        <v>100</v>
      </c>
      <c r="O778" s="80">
        <v>240</v>
      </c>
      <c r="P778" s="80">
        <v>40</v>
      </c>
      <c r="Q778" s="80">
        <f t="shared" si="117"/>
        <v>315</v>
      </c>
      <c r="R778" s="80">
        <f t="shared" si="118"/>
        <v>100</v>
      </c>
      <c r="S778" s="77">
        <f t="shared" si="119"/>
        <v>695</v>
      </c>
      <c r="T778" s="77">
        <f>50</f>
        <v>50</v>
      </c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</row>
    <row r="779" spans="1:30" ht="15.75" x14ac:dyDescent="0.25">
      <c r="A779" s="32">
        <v>64650</v>
      </c>
      <c r="B779" s="89">
        <f t="shared" si="121"/>
        <v>31</v>
      </c>
      <c r="C779" s="77">
        <f>122.58</f>
        <v>122.58</v>
      </c>
      <c r="D779" s="77">
        <f>297.941</f>
        <v>297.94099999999997</v>
      </c>
      <c r="E779" s="86">
        <f>89.177</f>
        <v>89.177000000000007</v>
      </c>
      <c r="F779" s="77">
        <f>240.302-40-60-100</f>
        <v>40.301999999999992</v>
      </c>
      <c r="G779" s="80">
        <v>40</v>
      </c>
      <c r="H779" s="77">
        <f>60+100</f>
        <v>160</v>
      </c>
      <c r="I779" s="77">
        <f t="shared" si="124"/>
        <v>0</v>
      </c>
      <c r="J779" s="80">
        <v>100</v>
      </c>
      <c r="K779" s="80">
        <v>300</v>
      </c>
      <c r="L779" s="77">
        <f t="shared" si="116"/>
        <v>1150</v>
      </c>
      <c r="M779" s="88">
        <v>600</v>
      </c>
      <c r="N779" s="77">
        <f>100</f>
        <v>100</v>
      </c>
      <c r="O779" s="80">
        <v>240</v>
      </c>
      <c r="P779" s="80">
        <v>40</v>
      </c>
      <c r="Q779" s="80">
        <f t="shared" si="117"/>
        <v>315</v>
      </c>
      <c r="R779" s="80">
        <f t="shared" si="118"/>
        <v>100</v>
      </c>
      <c r="S779" s="77">
        <f t="shared" si="119"/>
        <v>695</v>
      </c>
      <c r="T779" s="77">
        <f>50</f>
        <v>50</v>
      </c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</row>
    <row r="780" spans="1:30" ht="15.75" x14ac:dyDescent="0.25">
      <c r="A780" s="32">
        <v>64681</v>
      </c>
      <c r="B780" s="89">
        <f t="shared" si="121"/>
        <v>31</v>
      </c>
      <c r="C780" s="77">
        <f>122.58</f>
        <v>122.58</v>
      </c>
      <c r="D780" s="77">
        <f>297.941</f>
        <v>297.94099999999997</v>
      </c>
      <c r="E780" s="86">
        <f>89.177</f>
        <v>89.177000000000007</v>
      </c>
      <c r="F780" s="77">
        <f>240.302-40-60-100</f>
        <v>40.301999999999992</v>
      </c>
      <c r="G780" s="80">
        <v>40</v>
      </c>
      <c r="H780" s="77">
        <f>60+100</f>
        <v>160</v>
      </c>
      <c r="I780" s="77">
        <f t="shared" si="124"/>
        <v>0</v>
      </c>
      <c r="J780" s="80">
        <v>100</v>
      </c>
      <c r="K780" s="80">
        <v>300</v>
      </c>
      <c r="L780" s="77">
        <f t="shared" si="116"/>
        <v>1150</v>
      </c>
      <c r="M780" s="88">
        <v>600</v>
      </c>
      <c r="N780" s="77">
        <f>100</f>
        <v>100</v>
      </c>
      <c r="O780" s="80">
        <v>240</v>
      </c>
      <c r="P780" s="80">
        <v>40</v>
      </c>
      <c r="Q780" s="80">
        <f t="shared" si="117"/>
        <v>315</v>
      </c>
      <c r="R780" s="80">
        <f t="shared" si="118"/>
        <v>100</v>
      </c>
      <c r="S780" s="77">
        <f t="shared" si="119"/>
        <v>695</v>
      </c>
      <c r="T780" s="77">
        <f>50</f>
        <v>50</v>
      </c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</row>
    <row r="781" spans="1:30" ht="15.75" x14ac:dyDescent="0.25">
      <c r="A781" s="32">
        <v>64709</v>
      </c>
      <c r="B781" s="89">
        <f t="shared" si="121"/>
        <v>28</v>
      </c>
      <c r="C781" s="77">
        <f>122.58</f>
        <v>122.58</v>
      </c>
      <c r="D781" s="77">
        <f>297.941</f>
        <v>297.94099999999997</v>
      </c>
      <c r="E781" s="86">
        <f>89.177</f>
        <v>89.177000000000007</v>
      </c>
      <c r="F781" s="77">
        <f>240.302-40-60-100</f>
        <v>40.301999999999992</v>
      </c>
      <c r="G781" s="80">
        <v>40</v>
      </c>
      <c r="H781" s="77">
        <f>60+100</f>
        <v>160</v>
      </c>
      <c r="I781" s="77">
        <f t="shared" si="124"/>
        <v>0</v>
      </c>
      <c r="J781" s="80">
        <v>100</v>
      </c>
      <c r="K781" s="80">
        <v>300</v>
      </c>
      <c r="L781" s="77">
        <f t="shared" si="116"/>
        <v>1150</v>
      </c>
      <c r="M781" s="88">
        <v>600</v>
      </c>
      <c r="N781" s="77">
        <f>100</f>
        <v>100</v>
      </c>
      <c r="O781" s="80">
        <v>240</v>
      </c>
      <c r="P781" s="80">
        <v>40</v>
      </c>
      <c r="Q781" s="80">
        <f t="shared" si="117"/>
        <v>315</v>
      </c>
      <c r="R781" s="80">
        <f t="shared" si="118"/>
        <v>100</v>
      </c>
      <c r="S781" s="77">
        <f t="shared" si="119"/>
        <v>695</v>
      </c>
      <c r="T781" s="77">
        <f>50</f>
        <v>50</v>
      </c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</row>
    <row r="782" spans="1:30" ht="15.75" x14ac:dyDescent="0.25">
      <c r="A782" s="32">
        <v>64740</v>
      </c>
      <c r="B782" s="89">
        <f t="shared" si="121"/>
        <v>31</v>
      </c>
      <c r="C782" s="77">
        <f>122.58</f>
        <v>122.58</v>
      </c>
      <c r="D782" s="77">
        <f>297.941</f>
        <v>297.94099999999997</v>
      </c>
      <c r="E782" s="86">
        <f>89.177</f>
        <v>89.177000000000007</v>
      </c>
      <c r="F782" s="77">
        <f>240.302-40-60-100</f>
        <v>40.301999999999992</v>
      </c>
      <c r="G782" s="80">
        <v>40</v>
      </c>
      <c r="H782" s="77">
        <f>60+100</f>
        <v>160</v>
      </c>
      <c r="I782" s="77">
        <f t="shared" si="124"/>
        <v>0</v>
      </c>
      <c r="J782" s="80">
        <v>100</v>
      </c>
      <c r="K782" s="80">
        <v>300</v>
      </c>
      <c r="L782" s="77">
        <f t="shared" si="116"/>
        <v>1150</v>
      </c>
      <c r="M782" s="88">
        <v>600</v>
      </c>
      <c r="N782" s="77">
        <f>100</f>
        <v>100</v>
      </c>
      <c r="O782" s="80">
        <v>240</v>
      </c>
      <c r="P782" s="80">
        <v>40</v>
      </c>
      <c r="Q782" s="80">
        <f t="shared" si="117"/>
        <v>315</v>
      </c>
      <c r="R782" s="80">
        <f t="shared" si="118"/>
        <v>100</v>
      </c>
      <c r="S782" s="77">
        <f t="shared" si="119"/>
        <v>695</v>
      </c>
      <c r="T782" s="77">
        <f>50</f>
        <v>50</v>
      </c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</row>
    <row r="783" spans="1:30" ht="15.75" x14ac:dyDescent="0.25">
      <c r="A783" s="32">
        <v>64770</v>
      </c>
      <c r="B783" s="89">
        <f t="shared" si="121"/>
        <v>30</v>
      </c>
      <c r="C783" s="77">
        <f>141.293</f>
        <v>141.29300000000001</v>
      </c>
      <c r="D783" s="77">
        <f>267.993</f>
        <v>267.99299999999999</v>
      </c>
      <c r="E783" s="86">
        <f>115.016</f>
        <v>115.01600000000001</v>
      </c>
      <c r="F783" s="77">
        <f>314.698-40-25-60-100</f>
        <v>89.697999999999979</v>
      </c>
      <c r="G783" s="80">
        <v>40</v>
      </c>
      <c r="H783" s="77">
        <f t="shared" ref="H783:H789" si="127">25+60+100</f>
        <v>185</v>
      </c>
      <c r="I783" s="77">
        <f t="shared" si="124"/>
        <v>0</v>
      </c>
      <c r="J783" s="80">
        <v>100</v>
      </c>
      <c r="K783" s="80">
        <v>300</v>
      </c>
      <c r="L783" s="77">
        <f t="shared" si="116"/>
        <v>1239</v>
      </c>
      <c r="M783" s="88">
        <v>600</v>
      </c>
      <c r="N783" s="77">
        <f>100</f>
        <v>100</v>
      </c>
      <c r="O783" s="80">
        <v>240</v>
      </c>
      <c r="P783" s="80">
        <v>40</v>
      </c>
      <c r="Q783" s="80">
        <f t="shared" si="117"/>
        <v>315</v>
      </c>
      <c r="R783" s="80">
        <f t="shared" si="118"/>
        <v>100</v>
      </c>
      <c r="S783" s="77">
        <f t="shared" si="119"/>
        <v>695</v>
      </c>
      <c r="T783" s="77">
        <f>50</f>
        <v>50</v>
      </c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</row>
    <row r="784" spans="1:30" ht="15.75" x14ac:dyDescent="0.25">
      <c r="A784" s="32">
        <v>64801</v>
      </c>
      <c r="B784" s="89">
        <f t="shared" si="121"/>
        <v>31</v>
      </c>
      <c r="C784" s="77">
        <f>194.205</f>
        <v>194.20500000000001</v>
      </c>
      <c r="D784" s="77">
        <f>267.466</f>
        <v>267.46600000000001</v>
      </c>
      <c r="E784" s="86">
        <f>133.845</f>
        <v>133.845</v>
      </c>
      <c r="F784" s="77">
        <f>278.484-40-25-60-100</f>
        <v>53.48399999999998</v>
      </c>
      <c r="G784" s="80">
        <v>40</v>
      </c>
      <c r="H784" s="77">
        <f t="shared" si="127"/>
        <v>185</v>
      </c>
      <c r="I784" s="77">
        <f t="shared" si="124"/>
        <v>0</v>
      </c>
      <c r="J784" s="80">
        <v>100</v>
      </c>
      <c r="K784" s="80">
        <v>300</v>
      </c>
      <c r="L784" s="77">
        <f t="shared" si="116"/>
        <v>1274</v>
      </c>
      <c r="M784" s="88">
        <v>600</v>
      </c>
      <c r="N784" s="77">
        <f>75</f>
        <v>75</v>
      </c>
      <c r="O784" s="80">
        <v>240</v>
      </c>
      <c r="P784" s="80">
        <v>40</v>
      </c>
      <c r="Q784" s="80">
        <f t="shared" si="117"/>
        <v>315</v>
      </c>
      <c r="R784" s="80">
        <f t="shared" si="118"/>
        <v>100</v>
      </c>
      <c r="S784" s="77">
        <f t="shared" si="119"/>
        <v>695</v>
      </c>
      <c r="T784" s="77">
        <f>50</f>
        <v>50</v>
      </c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</row>
    <row r="785" spans="1:30" ht="15.75" x14ac:dyDescent="0.25">
      <c r="A785" s="32">
        <v>64831</v>
      </c>
      <c r="B785" s="89">
        <f t="shared" si="121"/>
        <v>30</v>
      </c>
      <c r="C785" s="77">
        <f>194.205</f>
        <v>194.20500000000001</v>
      </c>
      <c r="D785" s="77">
        <f>267.466</f>
        <v>267.46600000000001</v>
      </c>
      <c r="E785" s="86">
        <f>133.845</f>
        <v>133.845</v>
      </c>
      <c r="F785" s="77">
        <f>278.484-40-25-60-100</f>
        <v>53.48399999999998</v>
      </c>
      <c r="G785" s="80">
        <v>40</v>
      </c>
      <c r="H785" s="77">
        <f t="shared" si="127"/>
        <v>185</v>
      </c>
      <c r="I785" s="77">
        <f t="shared" si="124"/>
        <v>0</v>
      </c>
      <c r="J785" s="80">
        <v>100</v>
      </c>
      <c r="K785" s="80">
        <v>300</v>
      </c>
      <c r="L785" s="77">
        <f t="shared" ref="L785:L848" si="128">SUM(C785:K785)</f>
        <v>1274</v>
      </c>
      <c r="M785" s="88">
        <v>600</v>
      </c>
      <c r="N785" s="77">
        <f>30</f>
        <v>30</v>
      </c>
      <c r="O785" s="80">
        <v>240</v>
      </c>
      <c r="P785" s="80">
        <v>40</v>
      </c>
      <c r="Q785" s="80">
        <f t="shared" ref="Q785:Q848" si="129">695-R785-O785-P785</f>
        <v>315</v>
      </c>
      <c r="R785" s="80">
        <f t="shared" ref="R785:R848" si="130">200-J785</f>
        <v>100</v>
      </c>
      <c r="S785" s="77">
        <f t="shared" ref="S785:S848" si="131">SUM(O785:R785)</f>
        <v>695</v>
      </c>
      <c r="T785" s="77">
        <f>50</f>
        <v>50</v>
      </c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</row>
    <row r="786" spans="1:30" ht="15.75" x14ac:dyDescent="0.25">
      <c r="A786" s="32">
        <v>64862</v>
      </c>
      <c r="B786" s="89">
        <f t="shared" si="121"/>
        <v>31</v>
      </c>
      <c r="C786" s="77">
        <f>194.205</f>
        <v>194.20500000000001</v>
      </c>
      <c r="D786" s="77">
        <f>267.466</f>
        <v>267.46600000000001</v>
      </c>
      <c r="E786" s="86">
        <f>133.845</f>
        <v>133.845</v>
      </c>
      <c r="F786" s="77">
        <f>278.484-40-25-60-100</f>
        <v>53.48399999999998</v>
      </c>
      <c r="G786" s="80">
        <v>40</v>
      </c>
      <c r="H786" s="77">
        <f t="shared" si="127"/>
        <v>185</v>
      </c>
      <c r="I786" s="77">
        <f t="shared" si="124"/>
        <v>0</v>
      </c>
      <c r="J786" s="80">
        <v>100</v>
      </c>
      <c r="K786" s="80">
        <v>300</v>
      </c>
      <c r="L786" s="77">
        <f t="shared" si="128"/>
        <v>1274</v>
      </c>
      <c r="M786" s="88">
        <v>600</v>
      </c>
      <c r="N786" s="77">
        <f>30</f>
        <v>30</v>
      </c>
      <c r="O786" s="80">
        <v>240</v>
      </c>
      <c r="P786" s="80">
        <v>40</v>
      </c>
      <c r="Q786" s="80">
        <f t="shared" si="129"/>
        <v>315</v>
      </c>
      <c r="R786" s="80">
        <f t="shared" si="130"/>
        <v>100</v>
      </c>
      <c r="S786" s="77">
        <f t="shared" si="131"/>
        <v>695</v>
      </c>
      <c r="T786" s="77">
        <f>0</f>
        <v>0</v>
      </c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</row>
    <row r="787" spans="1:30" ht="15.75" x14ac:dyDescent="0.25">
      <c r="A787" s="32">
        <v>64893</v>
      </c>
      <c r="B787" s="89">
        <f t="shared" si="121"/>
        <v>31</v>
      </c>
      <c r="C787" s="77">
        <f>194.205</f>
        <v>194.20500000000001</v>
      </c>
      <c r="D787" s="77">
        <f>267.466</f>
        <v>267.46600000000001</v>
      </c>
      <c r="E787" s="86">
        <f>133.845</f>
        <v>133.845</v>
      </c>
      <c r="F787" s="77">
        <f>278.484-40-25-60-100</f>
        <v>53.48399999999998</v>
      </c>
      <c r="G787" s="80">
        <v>40</v>
      </c>
      <c r="H787" s="77">
        <f t="shared" si="127"/>
        <v>185</v>
      </c>
      <c r="I787" s="77">
        <f t="shared" si="124"/>
        <v>0</v>
      </c>
      <c r="J787" s="80">
        <v>100</v>
      </c>
      <c r="K787" s="80">
        <v>300</v>
      </c>
      <c r="L787" s="77">
        <f t="shared" si="128"/>
        <v>1274</v>
      </c>
      <c r="M787" s="88">
        <v>600</v>
      </c>
      <c r="N787" s="77">
        <f>30</f>
        <v>30</v>
      </c>
      <c r="O787" s="80">
        <v>240</v>
      </c>
      <c r="P787" s="80">
        <v>40</v>
      </c>
      <c r="Q787" s="80">
        <f t="shared" si="129"/>
        <v>315</v>
      </c>
      <c r="R787" s="80">
        <f t="shared" si="130"/>
        <v>100</v>
      </c>
      <c r="S787" s="77">
        <f t="shared" si="131"/>
        <v>695</v>
      </c>
      <c r="T787" s="77">
        <f>0</f>
        <v>0</v>
      </c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</row>
    <row r="788" spans="1:30" ht="15.75" x14ac:dyDescent="0.25">
      <c r="A788" s="32">
        <v>64923</v>
      </c>
      <c r="B788" s="89">
        <f t="shared" si="121"/>
        <v>30</v>
      </c>
      <c r="C788" s="77">
        <f>194.205</f>
        <v>194.20500000000001</v>
      </c>
      <c r="D788" s="77">
        <f>267.466</f>
        <v>267.46600000000001</v>
      </c>
      <c r="E788" s="86">
        <f>133.845</f>
        <v>133.845</v>
      </c>
      <c r="F788" s="77">
        <f>278.484-40-25-60-100</f>
        <v>53.48399999999998</v>
      </c>
      <c r="G788" s="80">
        <v>40</v>
      </c>
      <c r="H788" s="77">
        <f t="shared" si="127"/>
        <v>185</v>
      </c>
      <c r="I788" s="77">
        <f t="shared" si="124"/>
        <v>0</v>
      </c>
      <c r="J788" s="80">
        <v>100</v>
      </c>
      <c r="K788" s="80">
        <v>300</v>
      </c>
      <c r="L788" s="77">
        <f t="shared" si="128"/>
        <v>1274</v>
      </c>
      <c r="M788" s="88">
        <v>600</v>
      </c>
      <c r="N788" s="77">
        <f>30</f>
        <v>30</v>
      </c>
      <c r="O788" s="80">
        <v>240</v>
      </c>
      <c r="P788" s="80">
        <v>40</v>
      </c>
      <c r="Q788" s="80">
        <f t="shared" si="129"/>
        <v>315</v>
      </c>
      <c r="R788" s="80">
        <f t="shared" si="130"/>
        <v>100</v>
      </c>
      <c r="S788" s="77">
        <f t="shared" si="131"/>
        <v>695</v>
      </c>
      <c r="T788" s="77">
        <f>0</f>
        <v>0</v>
      </c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</row>
    <row r="789" spans="1:30" ht="15.75" x14ac:dyDescent="0.25">
      <c r="A789" s="32">
        <v>64954</v>
      </c>
      <c r="B789" s="89">
        <f t="shared" si="121"/>
        <v>31</v>
      </c>
      <c r="C789" s="77">
        <f>131.881</f>
        <v>131.881</v>
      </c>
      <c r="D789" s="77">
        <f>277.167</f>
        <v>277.16699999999997</v>
      </c>
      <c r="E789" s="86">
        <f>79.08</f>
        <v>79.08</v>
      </c>
      <c r="F789" s="77">
        <f>350.872-40-25-60-100</f>
        <v>125.87200000000001</v>
      </c>
      <c r="G789" s="80">
        <v>40</v>
      </c>
      <c r="H789" s="77">
        <f t="shared" si="127"/>
        <v>185</v>
      </c>
      <c r="I789" s="77">
        <f t="shared" si="124"/>
        <v>0</v>
      </c>
      <c r="J789" s="80">
        <v>100</v>
      </c>
      <c r="K789" s="80">
        <v>300</v>
      </c>
      <c r="L789" s="77">
        <f t="shared" si="128"/>
        <v>1239</v>
      </c>
      <c r="M789" s="88">
        <v>600</v>
      </c>
      <c r="N789" s="77">
        <f>75</f>
        <v>75</v>
      </c>
      <c r="O789" s="80">
        <v>240</v>
      </c>
      <c r="P789" s="80">
        <v>40</v>
      </c>
      <c r="Q789" s="80">
        <f t="shared" si="129"/>
        <v>315</v>
      </c>
      <c r="R789" s="80">
        <f t="shared" si="130"/>
        <v>100</v>
      </c>
      <c r="S789" s="77">
        <f t="shared" si="131"/>
        <v>695</v>
      </c>
      <c r="T789" s="77">
        <f>0</f>
        <v>0</v>
      </c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</row>
    <row r="790" spans="1:30" ht="15.75" x14ac:dyDescent="0.25">
      <c r="A790" s="32">
        <v>64984</v>
      </c>
      <c r="B790" s="89">
        <f t="shared" si="121"/>
        <v>30</v>
      </c>
      <c r="C790" s="77">
        <f>122.58</f>
        <v>122.58</v>
      </c>
      <c r="D790" s="77">
        <f>297.941</f>
        <v>297.94099999999997</v>
      </c>
      <c r="E790" s="86">
        <f>89.177</f>
        <v>89.177000000000007</v>
      </c>
      <c r="F790" s="77">
        <f>240.302-40-60-100</f>
        <v>40.301999999999992</v>
      </c>
      <c r="G790" s="80">
        <v>40</v>
      </c>
      <c r="H790" s="77">
        <f>60+100</f>
        <v>160</v>
      </c>
      <c r="I790" s="77">
        <f t="shared" si="124"/>
        <v>0</v>
      </c>
      <c r="J790" s="80">
        <v>100</v>
      </c>
      <c r="K790" s="80">
        <v>300</v>
      </c>
      <c r="L790" s="77">
        <f t="shared" si="128"/>
        <v>1150</v>
      </c>
      <c r="M790" s="88">
        <v>600</v>
      </c>
      <c r="N790" s="77">
        <f>100</f>
        <v>100</v>
      </c>
      <c r="O790" s="80">
        <v>240</v>
      </c>
      <c r="P790" s="80">
        <v>40</v>
      </c>
      <c r="Q790" s="80">
        <f t="shared" si="129"/>
        <v>315</v>
      </c>
      <c r="R790" s="80">
        <f t="shared" si="130"/>
        <v>100</v>
      </c>
      <c r="S790" s="77">
        <f t="shared" si="131"/>
        <v>695</v>
      </c>
      <c r="T790" s="77">
        <f>50</f>
        <v>50</v>
      </c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</row>
    <row r="791" spans="1:30" ht="15.75" x14ac:dyDescent="0.25">
      <c r="A791" s="32">
        <v>65015</v>
      </c>
      <c r="B791" s="89">
        <f t="shared" si="121"/>
        <v>31</v>
      </c>
      <c r="C791" s="77">
        <f>122.58</f>
        <v>122.58</v>
      </c>
      <c r="D791" s="77">
        <f>297.941</f>
        <v>297.94099999999997</v>
      </c>
      <c r="E791" s="86">
        <f>89.177</f>
        <v>89.177000000000007</v>
      </c>
      <c r="F791" s="77">
        <f>240.302-40-60-100</f>
        <v>40.301999999999992</v>
      </c>
      <c r="G791" s="80">
        <v>40</v>
      </c>
      <c r="H791" s="77">
        <f>60+100</f>
        <v>160</v>
      </c>
      <c r="I791" s="77">
        <f t="shared" si="124"/>
        <v>0</v>
      </c>
      <c r="J791" s="80">
        <v>100</v>
      </c>
      <c r="K791" s="80">
        <v>300</v>
      </c>
      <c r="L791" s="77">
        <f t="shared" si="128"/>
        <v>1150</v>
      </c>
      <c r="M791" s="88">
        <v>600</v>
      </c>
      <c r="N791" s="77">
        <f>100</f>
        <v>100</v>
      </c>
      <c r="O791" s="80">
        <v>240</v>
      </c>
      <c r="P791" s="80">
        <v>40</v>
      </c>
      <c r="Q791" s="80">
        <f t="shared" si="129"/>
        <v>315</v>
      </c>
      <c r="R791" s="80">
        <f t="shared" si="130"/>
        <v>100</v>
      </c>
      <c r="S791" s="77">
        <f t="shared" si="131"/>
        <v>695</v>
      </c>
      <c r="T791" s="77">
        <f>50</f>
        <v>50</v>
      </c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</row>
    <row r="792" spans="1:30" ht="15.75" x14ac:dyDescent="0.25">
      <c r="A792" s="32">
        <v>65046</v>
      </c>
      <c r="B792" s="89">
        <f t="shared" ref="B792:B855" si="132">EOMONTH(A792,0)-EOMONTH(A792,-1)</f>
        <v>31</v>
      </c>
      <c r="C792" s="77">
        <f>122.58</f>
        <v>122.58</v>
      </c>
      <c r="D792" s="77">
        <f>297.941</f>
        <v>297.94099999999997</v>
      </c>
      <c r="E792" s="86">
        <f>89.177</f>
        <v>89.177000000000007</v>
      </c>
      <c r="F792" s="77">
        <f>240.302-40-60-100</f>
        <v>40.301999999999992</v>
      </c>
      <c r="G792" s="80">
        <v>40</v>
      </c>
      <c r="H792" s="77">
        <f>60+100</f>
        <v>160</v>
      </c>
      <c r="I792" s="77">
        <f t="shared" si="124"/>
        <v>0</v>
      </c>
      <c r="J792" s="80">
        <v>100</v>
      </c>
      <c r="K792" s="80">
        <v>300</v>
      </c>
      <c r="L792" s="77">
        <f t="shared" si="128"/>
        <v>1150</v>
      </c>
      <c r="M792" s="88">
        <v>600</v>
      </c>
      <c r="N792" s="77">
        <f>100</f>
        <v>100</v>
      </c>
      <c r="O792" s="80">
        <v>240</v>
      </c>
      <c r="P792" s="80">
        <v>40</v>
      </c>
      <c r="Q792" s="80">
        <f t="shared" si="129"/>
        <v>315</v>
      </c>
      <c r="R792" s="80">
        <f t="shared" si="130"/>
        <v>100</v>
      </c>
      <c r="S792" s="77">
        <f t="shared" si="131"/>
        <v>695</v>
      </c>
      <c r="T792" s="77">
        <f>50</f>
        <v>50</v>
      </c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</row>
    <row r="793" spans="1:30" ht="15.75" x14ac:dyDescent="0.25">
      <c r="A793" s="32">
        <v>65074</v>
      </c>
      <c r="B793" s="89">
        <f t="shared" si="132"/>
        <v>28</v>
      </c>
      <c r="C793" s="77">
        <f>122.58</f>
        <v>122.58</v>
      </c>
      <c r="D793" s="77">
        <f>297.941</f>
        <v>297.94099999999997</v>
      </c>
      <c r="E793" s="86">
        <f>89.177</f>
        <v>89.177000000000007</v>
      </c>
      <c r="F793" s="77">
        <f>240.302-40-60-100</f>
        <v>40.301999999999992</v>
      </c>
      <c r="G793" s="80">
        <v>40</v>
      </c>
      <c r="H793" s="77">
        <f>60+100</f>
        <v>160</v>
      </c>
      <c r="I793" s="77">
        <f t="shared" si="124"/>
        <v>0</v>
      </c>
      <c r="J793" s="80">
        <v>100</v>
      </c>
      <c r="K793" s="80">
        <v>300</v>
      </c>
      <c r="L793" s="77">
        <f t="shared" si="128"/>
        <v>1150</v>
      </c>
      <c r="M793" s="88">
        <v>600</v>
      </c>
      <c r="N793" s="77">
        <f>100</f>
        <v>100</v>
      </c>
      <c r="O793" s="80">
        <v>240</v>
      </c>
      <c r="P793" s="80">
        <v>40</v>
      </c>
      <c r="Q793" s="80">
        <f t="shared" si="129"/>
        <v>315</v>
      </c>
      <c r="R793" s="80">
        <f t="shared" si="130"/>
        <v>100</v>
      </c>
      <c r="S793" s="77">
        <f t="shared" si="131"/>
        <v>695</v>
      </c>
      <c r="T793" s="77">
        <f>50</f>
        <v>50</v>
      </c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</row>
    <row r="794" spans="1:30" ht="15.75" x14ac:dyDescent="0.25">
      <c r="A794" s="32">
        <v>65105</v>
      </c>
      <c r="B794" s="89">
        <f t="shared" si="132"/>
        <v>31</v>
      </c>
      <c r="C794" s="77">
        <f>122.58</f>
        <v>122.58</v>
      </c>
      <c r="D794" s="77">
        <f>297.941</f>
        <v>297.94099999999997</v>
      </c>
      <c r="E794" s="86">
        <f>89.177</f>
        <v>89.177000000000007</v>
      </c>
      <c r="F794" s="77">
        <f>240.302-40-60-100</f>
        <v>40.301999999999992</v>
      </c>
      <c r="G794" s="80">
        <v>40</v>
      </c>
      <c r="H794" s="77">
        <f>60+100</f>
        <v>160</v>
      </c>
      <c r="I794" s="77">
        <f t="shared" si="124"/>
        <v>0</v>
      </c>
      <c r="J794" s="80">
        <v>100</v>
      </c>
      <c r="K794" s="80">
        <v>300</v>
      </c>
      <c r="L794" s="77">
        <f t="shared" si="128"/>
        <v>1150</v>
      </c>
      <c r="M794" s="88">
        <v>600</v>
      </c>
      <c r="N794" s="77">
        <f>100</f>
        <v>100</v>
      </c>
      <c r="O794" s="80">
        <v>240</v>
      </c>
      <c r="P794" s="80">
        <v>40</v>
      </c>
      <c r="Q794" s="80">
        <f t="shared" si="129"/>
        <v>315</v>
      </c>
      <c r="R794" s="80">
        <f t="shared" si="130"/>
        <v>100</v>
      </c>
      <c r="S794" s="77">
        <f t="shared" si="131"/>
        <v>695</v>
      </c>
      <c r="T794" s="77">
        <f>50</f>
        <v>50</v>
      </c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</row>
    <row r="795" spans="1:30" ht="15.75" x14ac:dyDescent="0.25">
      <c r="A795" s="32">
        <v>65135</v>
      </c>
      <c r="B795" s="89">
        <f t="shared" si="132"/>
        <v>30</v>
      </c>
      <c r="C795" s="77">
        <f>141.293</f>
        <v>141.29300000000001</v>
      </c>
      <c r="D795" s="77">
        <f>267.993</f>
        <v>267.99299999999999</v>
      </c>
      <c r="E795" s="86">
        <f>115.016</f>
        <v>115.01600000000001</v>
      </c>
      <c r="F795" s="77">
        <f>314.698-40-25-60-100</f>
        <v>89.697999999999979</v>
      </c>
      <c r="G795" s="80">
        <v>40</v>
      </c>
      <c r="H795" s="77">
        <f t="shared" ref="H795:H801" si="133">25+60+100</f>
        <v>185</v>
      </c>
      <c r="I795" s="77">
        <f t="shared" si="124"/>
        <v>0</v>
      </c>
      <c r="J795" s="80">
        <v>100</v>
      </c>
      <c r="K795" s="80">
        <v>300</v>
      </c>
      <c r="L795" s="77">
        <f t="shared" si="128"/>
        <v>1239</v>
      </c>
      <c r="M795" s="88">
        <v>600</v>
      </c>
      <c r="N795" s="77">
        <f>100</f>
        <v>100</v>
      </c>
      <c r="O795" s="80">
        <v>240</v>
      </c>
      <c r="P795" s="80">
        <v>40</v>
      </c>
      <c r="Q795" s="80">
        <f t="shared" si="129"/>
        <v>315</v>
      </c>
      <c r="R795" s="80">
        <f t="shared" si="130"/>
        <v>100</v>
      </c>
      <c r="S795" s="77">
        <f t="shared" si="131"/>
        <v>695</v>
      </c>
      <c r="T795" s="77">
        <f>50</f>
        <v>50</v>
      </c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</row>
    <row r="796" spans="1:30" ht="15.75" x14ac:dyDescent="0.25">
      <c r="A796" s="32">
        <v>65166</v>
      </c>
      <c r="B796" s="89">
        <f t="shared" si="132"/>
        <v>31</v>
      </c>
      <c r="C796" s="77">
        <f>194.205</f>
        <v>194.20500000000001</v>
      </c>
      <c r="D796" s="77">
        <f>267.466</f>
        <v>267.46600000000001</v>
      </c>
      <c r="E796" s="86">
        <f>133.845</f>
        <v>133.845</v>
      </c>
      <c r="F796" s="77">
        <f>278.484-40-25-60-100</f>
        <v>53.48399999999998</v>
      </c>
      <c r="G796" s="80">
        <v>40</v>
      </c>
      <c r="H796" s="77">
        <f t="shared" si="133"/>
        <v>185</v>
      </c>
      <c r="I796" s="77">
        <f t="shared" si="124"/>
        <v>0</v>
      </c>
      <c r="J796" s="80">
        <v>100</v>
      </c>
      <c r="K796" s="80">
        <v>300</v>
      </c>
      <c r="L796" s="77">
        <f t="shared" si="128"/>
        <v>1274</v>
      </c>
      <c r="M796" s="88">
        <v>600</v>
      </c>
      <c r="N796" s="77">
        <f>75</f>
        <v>75</v>
      </c>
      <c r="O796" s="80">
        <v>240</v>
      </c>
      <c r="P796" s="80">
        <v>40</v>
      </c>
      <c r="Q796" s="80">
        <f t="shared" si="129"/>
        <v>315</v>
      </c>
      <c r="R796" s="80">
        <f t="shared" si="130"/>
        <v>100</v>
      </c>
      <c r="S796" s="77">
        <f t="shared" si="131"/>
        <v>695</v>
      </c>
      <c r="T796" s="77">
        <f>50</f>
        <v>50</v>
      </c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</row>
    <row r="797" spans="1:30" ht="15.75" x14ac:dyDescent="0.25">
      <c r="A797" s="32">
        <v>65196</v>
      </c>
      <c r="B797" s="89">
        <f t="shared" si="132"/>
        <v>30</v>
      </c>
      <c r="C797" s="77">
        <f>194.205</f>
        <v>194.20500000000001</v>
      </c>
      <c r="D797" s="77">
        <f>267.466</f>
        <v>267.46600000000001</v>
      </c>
      <c r="E797" s="86">
        <f>133.845</f>
        <v>133.845</v>
      </c>
      <c r="F797" s="77">
        <f>278.484-40-25-60-100</f>
        <v>53.48399999999998</v>
      </c>
      <c r="G797" s="80">
        <v>40</v>
      </c>
      <c r="H797" s="77">
        <f t="shared" si="133"/>
        <v>185</v>
      </c>
      <c r="I797" s="77">
        <f t="shared" si="124"/>
        <v>0</v>
      </c>
      <c r="J797" s="80">
        <v>100</v>
      </c>
      <c r="K797" s="80">
        <v>300</v>
      </c>
      <c r="L797" s="77">
        <f t="shared" si="128"/>
        <v>1274</v>
      </c>
      <c r="M797" s="88">
        <v>600</v>
      </c>
      <c r="N797" s="77">
        <f>30</f>
        <v>30</v>
      </c>
      <c r="O797" s="80">
        <v>240</v>
      </c>
      <c r="P797" s="80">
        <v>40</v>
      </c>
      <c r="Q797" s="80">
        <f t="shared" si="129"/>
        <v>315</v>
      </c>
      <c r="R797" s="80">
        <f t="shared" si="130"/>
        <v>100</v>
      </c>
      <c r="S797" s="77">
        <f t="shared" si="131"/>
        <v>695</v>
      </c>
      <c r="T797" s="77">
        <f>50</f>
        <v>50</v>
      </c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</row>
    <row r="798" spans="1:30" ht="15.75" x14ac:dyDescent="0.25">
      <c r="A798" s="32">
        <v>65227</v>
      </c>
      <c r="B798" s="89">
        <f t="shared" si="132"/>
        <v>31</v>
      </c>
      <c r="C798" s="77">
        <f>194.205</f>
        <v>194.20500000000001</v>
      </c>
      <c r="D798" s="77">
        <f>267.466</f>
        <v>267.46600000000001</v>
      </c>
      <c r="E798" s="86">
        <f>133.845</f>
        <v>133.845</v>
      </c>
      <c r="F798" s="77">
        <f>278.484-40-25-60-100</f>
        <v>53.48399999999998</v>
      </c>
      <c r="G798" s="80">
        <v>40</v>
      </c>
      <c r="H798" s="77">
        <f t="shared" si="133"/>
        <v>185</v>
      </c>
      <c r="I798" s="77">
        <f t="shared" si="124"/>
        <v>0</v>
      </c>
      <c r="J798" s="80">
        <v>100</v>
      </c>
      <c r="K798" s="80">
        <v>300</v>
      </c>
      <c r="L798" s="77">
        <f t="shared" si="128"/>
        <v>1274</v>
      </c>
      <c r="M798" s="88">
        <v>600</v>
      </c>
      <c r="N798" s="77">
        <f>30</f>
        <v>30</v>
      </c>
      <c r="O798" s="80">
        <v>240</v>
      </c>
      <c r="P798" s="80">
        <v>40</v>
      </c>
      <c r="Q798" s="80">
        <f t="shared" si="129"/>
        <v>315</v>
      </c>
      <c r="R798" s="80">
        <f t="shared" si="130"/>
        <v>100</v>
      </c>
      <c r="S798" s="77">
        <f t="shared" si="131"/>
        <v>695</v>
      </c>
      <c r="T798" s="77">
        <f>0</f>
        <v>0</v>
      </c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</row>
    <row r="799" spans="1:30" ht="15.75" x14ac:dyDescent="0.25">
      <c r="A799" s="32">
        <v>65258</v>
      </c>
      <c r="B799" s="89">
        <f t="shared" si="132"/>
        <v>31</v>
      </c>
      <c r="C799" s="77">
        <f>194.205</f>
        <v>194.20500000000001</v>
      </c>
      <c r="D799" s="77">
        <f>267.466</f>
        <v>267.46600000000001</v>
      </c>
      <c r="E799" s="86">
        <f>133.845</f>
        <v>133.845</v>
      </c>
      <c r="F799" s="77">
        <f>278.484-40-25-60-100</f>
        <v>53.48399999999998</v>
      </c>
      <c r="G799" s="80">
        <v>40</v>
      </c>
      <c r="H799" s="77">
        <f t="shared" si="133"/>
        <v>185</v>
      </c>
      <c r="I799" s="77">
        <f t="shared" si="124"/>
        <v>0</v>
      </c>
      <c r="J799" s="80">
        <v>100</v>
      </c>
      <c r="K799" s="80">
        <v>300</v>
      </c>
      <c r="L799" s="77">
        <f t="shared" si="128"/>
        <v>1274</v>
      </c>
      <c r="M799" s="88">
        <v>600</v>
      </c>
      <c r="N799" s="77">
        <f>30</f>
        <v>30</v>
      </c>
      <c r="O799" s="80">
        <v>240</v>
      </c>
      <c r="P799" s="80">
        <v>40</v>
      </c>
      <c r="Q799" s="80">
        <f t="shared" si="129"/>
        <v>315</v>
      </c>
      <c r="R799" s="80">
        <f t="shared" si="130"/>
        <v>100</v>
      </c>
      <c r="S799" s="77">
        <f t="shared" si="131"/>
        <v>695</v>
      </c>
      <c r="T799" s="77">
        <f>0</f>
        <v>0</v>
      </c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</row>
    <row r="800" spans="1:30" ht="15.75" x14ac:dyDescent="0.25">
      <c r="A800" s="32">
        <v>65288</v>
      </c>
      <c r="B800" s="89">
        <f t="shared" si="132"/>
        <v>30</v>
      </c>
      <c r="C800" s="77">
        <f>194.205</f>
        <v>194.20500000000001</v>
      </c>
      <c r="D800" s="77">
        <f>267.466</f>
        <v>267.46600000000001</v>
      </c>
      <c r="E800" s="86">
        <f>133.845</f>
        <v>133.845</v>
      </c>
      <c r="F800" s="77">
        <f>278.484-40-25-60-100</f>
        <v>53.48399999999998</v>
      </c>
      <c r="G800" s="80">
        <v>40</v>
      </c>
      <c r="H800" s="77">
        <f t="shared" si="133"/>
        <v>185</v>
      </c>
      <c r="I800" s="77">
        <f t="shared" si="124"/>
        <v>0</v>
      </c>
      <c r="J800" s="80">
        <v>100</v>
      </c>
      <c r="K800" s="80">
        <v>300</v>
      </c>
      <c r="L800" s="77">
        <f t="shared" si="128"/>
        <v>1274</v>
      </c>
      <c r="M800" s="88">
        <v>600</v>
      </c>
      <c r="N800" s="77">
        <f>30</f>
        <v>30</v>
      </c>
      <c r="O800" s="80">
        <v>240</v>
      </c>
      <c r="P800" s="80">
        <v>40</v>
      </c>
      <c r="Q800" s="80">
        <f t="shared" si="129"/>
        <v>315</v>
      </c>
      <c r="R800" s="80">
        <f t="shared" si="130"/>
        <v>100</v>
      </c>
      <c r="S800" s="77">
        <f t="shared" si="131"/>
        <v>695</v>
      </c>
      <c r="T800" s="77">
        <f>0</f>
        <v>0</v>
      </c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</row>
    <row r="801" spans="1:30" ht="15.75" x14ac:dyDescent="0.25">
      <c r="A801" s="32">
        <v>65319</v>
      </c>
      <c r="B801" s="89">
        <f t="shared" si="132"/>
        <v>31</v>
      </c>
      <c r="C801" s="77">
        <f>131.881</f>
        <v>131.881</v>
      </c>
      <c r="D801" s="77">
        <f>277.167</f>
        <v>277.16699999999997</v>
      </c>
      <c r="E801" s="86">
        <f>79.08</f>
        <v>79.08</v>
      </c>
      <c r="F801" s="77">
        <f>350.872-40-25-60-100</f>
        <v>125.87200000000001</v>
      </c>
      <c r="G801" s="80">
        <v>40</v>
      </c>
      <c r="H801" s="77">
        <f t="shared" si="133"/>
        <v>185</v>
      </c>
      <c r="I801" s="77">
        <f t="shared" si="124"/>
        <v>0</v>
      </c>
      <c r="J801" s="80">
        <v>100</v>
      </c>
      <c r="K801" s="80">
        <v>300</v>
      </c>
      <c r="L801" s="77">
        <f t="shared" si="128"/>
        <v>1239</v>
      </c>
      <c r="M801" s="88">
        <v>600</v>
      </c>
      <c r="N801" s="77">
        <f>75</f>
        <v>75</v>
      </c>
      <c r="O801" s="80">
        <v>240</v>
      </c>
      <c r="P801" s="80">
        <v>40</v>
      </c>
      <c r="Q801" s="80">
        <f t="shared" si="129"/>
        <v>315</v>
      </c>
      <c r="R801" s="80">
        <f t="shared" si="130"/>
        <v>100</v>
      </c>
      <c r="S801" s="77">
        <f t="shared" si="131"/>
        <v>695</v>
      </c>
      <c r="T801" s="77">
        <f>0</f>
        <v>0</v>
      </c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</row>
    <row r="802" spans="1:30" ht="15.75" x14ac:dyDescent="0.25">
      <c r="A802" s="32">
        <v>65349</v>
      </c>
      <c r="B802" s="89">
        <f t="shared" si="132"/>
        <v>30</v>
      </c>
      <c r="C802" s="77">
        <f>122.58</f>
        <v>122.58</v>
      </c>
      <c r="D802" s="77">
        <f>297.941</f>
        <v>297.94099999999997</v>
      </c>
      <c r="E802" s="86">
        <f>89.177</f>
        <v>89.177000000000007</v>
      </c>
      <c r="F802" s="77">
        <f>240.302-40-60-100</f>
        <v>40.301999999999992</v>
      </c>
      <c r="G802" s="80">
        <v>40</v>
      </c>
      <c r="H802" s="77">
        <f>60+100</f>
        <v>160</v>
      </c>
      <c r="I802" s="77">
        <f t="shared" si="124"/>
        <v>0</v>
      </c>
      <c r="J802" s="80">
        <v>100</v>
      </c>
      <c r="K802" s="80">
        <v>300</v>
      </c>
      <c r="L802" s="77">
        <f t="shared" si="128"/>
        <v>1150</v>
      </c>
      <c r="M802" s="88">
        <v>600</v>
      </c>
      <c r="N802" s="77">
        <f>100</f>
        <v>100</v>
      </c>
      <c r="O802" s="80">
        <v>240</v>
      </c>
      <c r="P802" s="80">
        <v>40</v>
      </c>
      <c r="Q802" s="80">
        <f t="shared" si="129"/>
        <v>315</v>
      </c>
      <c r="R802" s="80">
        <f t="shared" si="130"/>
        <v>100</v>
      </c>
      <c r="S802" s="77">
        <f t="shared" si="131"/>
        <v>695</v>
      </c>
      <c r="T802" s="77">
        <f>50</f>
        <v>50</v>
      </c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</row>
    <row r="803" spans="1:30" ht="15.75" x14ac:dyDescent="0.25">
      <c r="A803" s="32">
        <v>65380</v>
      </c>
      <c r="B803" s="89">
        <f t="shared" si="132"/>
        <v>31</v>
      </c>
      <c r="C803" s="77">
        <f>122.58</f>
        <v>122.58</v>
      </c>
      <c r="D803" s="77">
        <f>297.941</f>
        <v>297.94099999999997</v>
      </c>
      <c r="E803" s="86">
        <f>89.177</f>
        <v>89.177000000000007</v>
      </c>
      <c r="F803" s="77">
        <f>240.302-40-60-100</f>
        <v>40.301999999999992</v>
      </c>
      <c r="G803" s="80">
        <v>40</v>
      </c>
      <c r="H803" s="77">
        <f>60+100</f>
        <v>160</v>
      </c>
      <c r="I803" s="77">
        <f t="shared" si="124"/>
        <v>0</v>
      </c>
      <c r="J803" s="80">
        <v>100</v>
      </c>
      <c r="K803" s="80">
        <v>300</v>
      </c>
      <c r="L803" s="77">
        <f t="shared" si="128"/>
        <v>1150</v>
      </c>
      <c r="M803" s="88">
        <v>600</v>
      </c>
      <c r="N803" s="77">
        <f>100</f>
        <v>100</v>
      </c>
      <c r="O803" s="80">
        <v>240</v>
      </c>
      <c r="P803" s="80">
        <v>40</v>
      </c>
      <c r="Q803" s="80">
        <f t="shared" si="129"/>
        <v>315</v>
      </c>
      <c r="R803" s="80">
        <f t="shared" si="130"/>
        <v>100</v>
      </c>
      <c r="S803" s="77">
        <f t="shared" si="131"/>
        <v>695</v>
      </c>
      <c r="T803" s="77">
        <f>50</f>
        <v>50</v>
      </c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</row>
    <row r="804" spans="1:30" ht="15.75" x14ac:dyDescent="0.25">
      <c r="A804" s="32">
        <v>65411</v>
      </c>
      <c r="B804" s="89">
        <f t="shared" si="132"/>
        <v>31</v>
      </c>
      <c r="C804" s="77">
        <f>122.58</f>
        <v>122.58</v>
      </c>
      <c r="D804" s="77">
        <f>297.941</f>
        <v>297.94099999999997</v>
      </c>
      <c r="E804" s="86">
        <f>89.177</f>
        <v>89.177000000000007</v>
      </c>
      <c r="F804" s="77">
        <f>240.302-40-60-100</f>
        <v>40.301999999999992</v>
      </c>
      <c r="G804" s="80">
        <v>40</v>
      </c>
      <c r="H804" s="77">
        <f>60+100</f>
        <v>160</v>
      </c>
      <c r="I804" s="77">
        <f t="shared" si="124"/>
        <v>0</v>
      </c>
      <c r="J804" s="80">
        <v>100</v>
      </c>
      <c r="K804" s="80">
        <v>300</v>
      </c>
      <c r="L804" s="77">
        <f t="shared" si="128"/>
        <v>1150</v>
      </c>
      <c r="M804" s="88">
        <v>600</v>
      </c>
      <c r="N804" s="77">
        <f>100</f>
        <v>100</v>
      </c>
      <c r="O804" s="80">
        <v>240</v>
      </c>
      <c r="P804" s="80">
        <v>40</v>
      </c>
      <c r="Q804" s="80">
        <f t="shared" si="129"/>
        <v>315</v>
      </c>
      <c r="R804" s="80">
        <f t="shared" si="130"/>
        <v>100</v>
      </c>
      <c r="S804" s="77">
        <f t="shared" si="131"/>
        <v>695</v>
      </c>
      <c r="T804" s="77">
        <f>50</f>
        <v>50</v>
      </c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</row>
    <row r="805" spans="1:30" ht="15.75" x14ac:dyDescent="0.25">
      <c r="A805" s="32">
        <v>65439</v>
      </c>
      <c r="B805" s="89">
        <f t="shared" si="132"/>
        <v>28</v>
      </c>
      <c r="C805" s="77">
        <f>122.58</f>
        <v>122.58</v>
      </c>
      <c r="D805" s="77">
        <f>297.941</f>
        <v>297.94099999999997</v>
      </c>
      <c r="E805" s="86">
        <f>89.177</f>
        <v>89.177000000000007</v>
      </c>
      <c r="F805" s="77">
        <f>240.302-40-60-100</f>
        <v>40.301999999999992</v>
      </c>
      <c r="G805" s="80">
        <v>40</v>
      </c>
      <c r="H805" s="77">
        <f>60+100</f>
        <v>160</v>
      </c>
      <c r="I805" s="77">
        <f t="shared" si="124"/>
        <v>0</v>
      </c>
      <c r="J805" s="80">
        <v>100</v>
      </c>
      <c r="K805" s="80">
        <v>300</v>
      </c>
      <c r="L805" s="77">
        <f t="shared" si="128"/>
        <v>1150</v>
      </c>
      <c r="M805" s="88">
        <v>600</v>
      </c>
      <c r="N805" s="77">
        <f>100</f>
        <v>100</v>
      </c>
      <c r="O805" s="80">
        <v>240</v>
      </c>
      <c r="P805" s="80">
        <v>40</v>
      </c>
      <c r="Q805" s="80">
        <f t="shared" si="129"/>
        <v>315</v>
      </c>
      <c r="R805" s="80">
        <f t="shared" si="130"/>
        <v>100</v>
      </c>
      <c r="S805" s="77">
        <f t="shared" si="131"/>
        <v>695</v>
      </c>
      <c r="T805" s="77">
        <f>50</f>
        <v>50</v>
      </c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</row>
    <row r="806" spans="1:30" ht="15.75" x14ac:dyDescent="0.25">
      <c r="A806" s="32">
        <v>65470</v>
      </c>
      <c r="B806" s="89">
        <f t="shared" si="132"/>
        <v>31</v>
      </c>
      <c r="C806" s="77">
        <f>122.58</f>
        <v>122.58</v>
      </c>
      <c r="D806" s="77">
        <f>297.941</f>
        <v>297.94099999999997</v>
      </c>
      <c r="E806" s="86">
        <f>89.177</f>
        <v>89.177000000000007</v>
      </c>
      <c r="F806" s="77">
        <f>240.302-40-60-100</f>
        <v>40.301999999999992</v>
      </c>
      <c r="G806" s="80">
        <v>40</v>
      </c>
      <c r="H806" s="77">
        <f>60+100</f>
        <v>160</v>
      </c>
      <c r="I806" s="77">
        <f t="shared" si="124"/>
        <v>0</v>
      </c>
      <c r="J806" s="80">
        <v>100</v>
      </c>
      <c r="K806" s="80">
        <v>300</v>
      </c>
      <c r="L806" s="77">
        <f t="shared" si="128"/>
        <v>1150</v>
      </c>
      <c r="M806" s="88">
        <v>600</v>
      </c>
      <c r="N806" s="77">
        <f>100</f>
        <v>100</v>
      </c>
      <c r="O806" s="80">
        <v>240</v>
      </c>
      <c r="P806" s="80">
        <v>40</v>
      </c>
      <c r="Q806" s="80">
        <f t="shared" si="129"/>
        <v>315</v>
      </c>
      <c r="R806" s="80">
        <f t="shared" si="130"/>
        <v>100</v>
      </c>
      <c r="S806" s="77">
        <f t="shared" si="131"/>
        <v>695</v>
      </c>
      <c r="T806" s="77">
        <f>50</f>
        <v>50</v>
      </c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</row>
    <row r="807" spans="1:30" ht="15.75" x14ac:dyDescent="0.25">
      <c r="A807" s="32">
        <v>65500</v>
      </c>
      <c r="B807" s="89">
        <f t="shared" si="132"/>
        <v>30</v>
      </c>
      <c r="C807" s="77">
        <f>141.293</f>
        <v>141.29300000000001</v>
      </c>
      <c r="D807" s="77">
        <f>267.993</f>
        <v>267.99299999999999</v>
      </c>
      <c r="E807" s="86">
        <f>115.016</f>
        <v>115.01600000000001</v>
      </c>
      <c r="F807" s="77">
        <f>314.698-40-25-60-100</f>
        <v>89.697999999999979</v>
      </c>
      <c r="G807" s="80">
        <v>40</v>
      </c>
      <c r="H807" s="77">
        <f t="shared" ref="H807:H813" si="134">25+60+100</f>
        <v>185</v>
      </c>
      <c r="I807" s="77">
        <f t="shared" si="124"/>
        <v>0</v>
      </c>
      <c r="J807" s="80">
        <v>100</v>
      </c>
      <c r="K807" s="80">
        <v>300</v>
      </c>
      <c r="L807" s="77">
        <f t="shared" si="128"/>
        <v>1239</v>
      </c>
      <c r="M807" s="88">
        <v>600</v>
      </c>
      <c r="N807" s="77">
        <f>100</f>
        <v>100</v>
      </c>
      <c r="O807" s="80">
        <v>240</v>
      </c>
      <c r="P807" s="80">
        <v>40</v>
      </c>
      <c r="Q807" s="80">
        <f t="shared" si="129"/>
        <v>315</v>
      </c>
      <c r="R807" s="80">
        <f t="shared" si="130"/>
        <v>100</v>
      </c>
      <c r="S807" s="77">
        <f t="shared" si="131"/>
        <v>695</v>
      </c>
      <c r="T807" s="77">
        <f>50</f>
        <v>50</v>
      </c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</row>
    <row r="808" spans="1:30" ht="15.75" x14ac:dyDescent="0.25">
      <c r="A808" s="32">
        <v>65531</v>
      </c>
      <c r="B808" s="89">
        <f t="shared" si="132"/>
        <v>31</v>
      </c>
      <c r="C808" s="77">
        <f>194.205</f>
        <v>194.20500000000001</v>
      </c>
      <c r="D808" s="77">
        <f>267.466</f>
        <v>267.46600000000001</v>
      </c>
      <c r="E808" s="86">
        <f>133.845</f>
        <v>133.845</v>
      </c>
      <c r="F808" s="77">
        <f>278.484-40-25-60-100</f>
        <v>53.48399999999998</v>
      </c>
      <c r="G808" s="80">
        <v>40</v>
      </c>
      <c r="H808" s="77">
        <f t="shared" si="134"/>
        <v>185</v>
      </c>
      <c r="I808" s="77">
        <f t="shared" si="124"/>
        <v>0</v>
      </c>
      <c r="J808" s="80">
        <v>100</v>
      </c>
      <c r="K808" s="80">
        <v>300</v>
      </c>
      <c r="L808" s="77">
        <f t="shared" si="128"/>
        <v>1274</v>
      </c>
      <c r="M808" s="88">
        <v>600</v>
      </c>
      <c r="N808" s="77">
        <f>75</f>
        <v>75</v>
      </c>
      <c r="O808" s="80">
        <v>240</v>
      </c>
      <c r="P808" s="80">
        <v>40</v>
      </c>
      <c r="Q808" s="80">
        <f t="shared" si="129"/>
        <v>315</v>
      </c>
      <c r="R808" s="80">
        <f t="shared" si="130"/>
        <v>100</v>
      </c>
      <c r="S808" s="77">
        <f t="shared" si="131"/>
        <v>695</v>
      </c>
      <c r="T808" s="77">
        <f>50</f>
        <v>50</v>
      </c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</row>
    <row r="809" spans="1:30" ht="15.75" x14ac:dyDescent="0.25">
      <c r="A809" s="32">
        <v>65561</v>
      </c>
      <c r="B809" s="89">
        <f t="shared" si="132"/>
        <v>30</v>
      </c>
      <c r="C809" s="77">
        <f>194.205</f>
        <v>194.20500000000001</v>
      </c>
      <c r="D809" s="77">
        <f>267.466</f>
        <v>267.46600000000001</v>
      </c>
      <c r="E809" s="86">
        <f>133.845</f>
        <v>133.845</v>
      </c>
      <c r="F809" s="77">
        <f>278.484-40-25-60-100</f>
        <v>53.48399999999998</v>
      </c>
      <c r="G809" s="80">
        <v>40</v>
      </c>
      <c r="H809" s="77">
        <f t="shared" si="134"/>
        <v>185</v>
      </c>
      <c r="I809" s="77">
        <f t="shared" si="124"/>
        <v>0</v>
      </c>
      <c r="J809" s="80">
        <v>100</v>
      </c>
      <c r="K809" s="80">
        <v>300</v>
      </c>
      <c r="L809" s="77">
        <f t="shared" si="128"/>
        <v>1274</v>
      </c>
      <c r="M809" s="88">
        <v>600</v>
      </c>
      <c r="N809" s="77">
        <f>30</f>
        <v>30</v>
      </c>
      <c r="O809" s="80">
        <v>240</v>
      </c>
      <c r="P809" s="80">
        <v>40</v>
      </c>
      <c r="Q809" s="80">
        <f t="shared" si="129"/>
        <v>315</v>
      </c>
      <c r="R809" s="80">
        <f t="shared" si="130"/>
        <v>100</v>
      </c>
      <c r="S809" s="77">
        <f t="shared" si="131"/>
        <v>695</v>
      </c>
      <c r="T809" s="77">
        <f>50</f>
        <v>50</v>
      </c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</row>
    <row r="810" spans="1:30" ht="15.75" x14ac:dyDescent="0.25">
      <c r="A810" s="32">
        <v>65592</v>
      </c>
      <c r="B810" s="89">
        <f t="shared" si="132"/>
        <v>31</v>
      </c>
      <c r="C810" s="77">
        <f>194.205</f>
        <v>194.20500000000001</v>
      </c>
      <c r="D810" s="77">
        <f>267.466</f>
        <v>267.46600000000001</v>
      </c>
      <c r="E810" s="86">
        <f>133.845</f>
        <v>133.845</v>
      </c>
      <c r="F810" s="77">
        <f>278.484-40-25-60-100</f>
        <v>53.48399999999998</v>
      </c>
      <c r="G810" s="80">
        <v>40</v>
      </c>
      <c r="H810" s="77">
        <f t="shared" si="134"/>
        <v>185</v>
      </c>
      <c r="I810" s="77">
        <f t="shared" si="124"/>
        <v>0</v>
      </c>
      <c r="J810" s="80">
        <v>100</v>
      </c>
      <c r="K810" s="80">
        <v>300</v>
      </c>
      <c r="L810" s="77">
        <f t="shared" si="128"/>
        <v>1274</v>
      </c>
      <c r="M810" s="88">
        <v>600</v>
      </c>
      <c r="N810" s="77">
        <f>30</f>
        <v>30</v>
      </c>
      <c r="O810" s="80">
        <v>240</v>
      </c>
      <c r="P810" s="80">
        <v>40</v>
      </c>
      <c r="Q810" s="80">
        <f t="shared" si="129"/>
        <v>315</v>
      </c>
      <c r="R810" s="80">
        <f t="shared" si="130"/>
        <v>100</v>
      </c>
      <c r="S810" s="77">
        <f t="shared" si="131"/>
        <v>695</v>
      </c>
      <c r="T810" s="77">
        <f>0</f>
        <v>0</v>
      </c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</row>
    <row r="811" spans="1:30" ht="15.75" x14ac:dyDescent="0.25">
      <c r="A811" s="32">
        <v>65623</v>
      </c>
      <c r="B811" s="89">
        <f t="shared" si="132"/>
        <v>31</v>
      </c>
      <c r="C811" s="77">
        <f>194.205</f>
        <v>194.20500000000001</v>
      </c>
      <c r="D811" s="77">
        <f>267.466</f>
        <v>267.46600000000001</v>
      </c>
      <c r="E811" s="86">
        <f>133.845</f>
        <v>133.845</v>
      </c>
      <c r="F811" s="77">
        <f>278.484-40-25-60-100</f>
        <v>53.48399999999998</v>
      </c>
      <c r="G811" s="80">
        <v>40</v>
      </c>
      <c r="H811" s="77">
        <f t="shared" si="134"/>
        <v>185</v>
      </c>
      <c r="I811" s="77">
        <f t="shared" si="124"/>
        <v>0</v>
      </c>
      <c r="J811" s="80">
        <v>100</v>
      </c>
      <c r="K811" s="80">
        <v>300</v>
      </c>
      <c r="L811" s="77">
        <f t="shared" si="128"/>
        <v>1274</v>
      </c>
      <c r="M811" s="88">
        <v>600</v>
      </c>
      <c r="N811" s="77">
        <f>30</f>
        <v>30</v>
      </c>
      <c r="O811" s="80">
        <v>240</v>
      </c>
      <c r="P811" s="80">
        <v>40</v>
      </c>
      <c r="Q811" s="80">
        <f t="shared" si="129"/>
        <v>315</v>
      </c>
      <c r="R811" s="80">
        <f t="shared" si="130"/>
        <v>100</v>
      </c>
      <c r="S811" s="77">
        <f t="shared" si="131"/>
        <v>695</v>
      </c>
      <c r="T811" s="77">
        <f>0</f>
        <v>0</v>
      </c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</row>
    <row r="812" spans="1:30" ht="15.75" x14ac:dyDescent="0.25">
      <c r="A812" s="32">
        <v>65653</v>
      </c>
      <c r="B812" s="89">
        <f t="shared" si="132"/>
        <v>30</v>
      </c>
      <c r="C812" s="77">
        <f>194.205</f>
        <v>194.20500000000001</v>
      </c>
      <c r="D812" s="77">
        <f>267.466</f>
        <v>267.46600000000001</v>
      </c>
      <c r="E812" s="86">
        <f>133.845</f>
        <v>133.845</v>
      </c>
      <c r="F812" s="77">
        <f>278.484-40-25-60-100</f>
        <v>53.48399999999998</v>
      </c>
      <c r="G812" s="80">
        <v>40</v>
      </c>
      <c r="H812" s="77">
        <f t="shared" si="134"/>
        <v>185</v>
      </c>
      <c r="I812" s="77">
        <f t="shared" si="124"/>
        <v>0</v>
      </c>
      <c r="J812" s="80">
        <v>100</v>
      </c>
      <c r="K812" s="80">
        <v>300</v>
      </c>
      <c r="L812" s="77">
        <f t="shared" si="128"/>
        <v>1274</v>
      </c>
      <c r="M812" s="88">
        <v>600</v>
      </c>
      <c r="N812" s="77">
        <f>30</f>
        <v>30</v>
      </c>
      <c r="O812" s="80">
        <v>240</v>
      </c>
      <c r="P812" s="80">
        <v>40</v>
      </c>
      <c r="Q812" s="80">
        <f t="shared" si="129"/>
        <v>315</v>
      </c>
      <c r="R812" s="80">
        <f t="shared" si="130"/>
        <v>100</v>
      </c>
      <c r="S812" s="77">
        <f t="shared" si="131"/>
        <v>695</v>
      </c>
      <c r="T812" s="77">
        <f>0</f>
        <v>0</v>
      </c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</row>
    <row r="813" spans="1:30" ht="15.75" x14ac:dyDescent="0.25">
      <c r="A813" s="32">
        <v>65684</v>
      </c>
      <c r="B813" s="89">
        <f t="shared" si="132"/>
        <v>31</v>
      </c>
      <c r="C813" s="77">
        <f>131.881</f>
        <v>131.881</v>
      </c>
      <c r="D813" s="77">
        <f>277.167</f>
        <v>277.16699999999997</v>
      </c>
      <c r="E813" s="86">
        <f>79.08</f>
        <v>79.08</v>
      </c>
      <c r="F813" s="77">
        <f>350.872-40-25-60-100</f>
        <v>125.87200000000001</v>
      </c>
      <c r="G813" s="80">
        <v>40</v>
      </c>
      <c r="H813" s="77">
        <f t="shared" si="134"/>
        <v>185</v>
      </c>
      <c r="I813" s="77">
        <f t="shared" si="124"/>
        <v>0</v>
      </c>
      <c r="J813" s="80">
        <v>100</v>
      </c>
      <c r="K813" s="80">
        <v>300</v>
      </c>
      <c r="L813" s="77">
        <f t="shared" si="128"/>
        <v>1239</v>
      </c>
      <c r="M813" s="88">
        <v>600</v>
      </c>
      <c r="N813" s="77">
        <f>75</f>
        <v>75</v>
      </c>
      <c r="O813" s="80">
        <v>240</v>
      </c>
      <c r="P813" s="80">
        <v>40</v>
      </c>
      <c r="Q813" s="80">
        <f t="shared" si="129"/>
        <v>315</v>
      </c>
      <c r="R813" s="80">
        <f t="shared" si="130"/>
        <v>100</v>
      </c>
      <c r="S813" s="77">
        <f t="shared" si="131"/>
        <v>695</v>
      </c>
      <c r="T813" s="77">
        <f>0</f>
        <v>0</v>
      </c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</row>
    <row r="814" spans="1:30" ht="15.75" x14ac:dyDescent="0.25">
      <c r="A814" s="32">
        <v>65714</v>
      </c>
      <c r="B814" s="89">
        <f t="shared" si="132"/>
        <v>30</v>
      </c>
      <c r="C814" s="77">
        <f>122.58</f>
        <v>122.58</v>
      </c>
      <c r="D814" s="77">
        <f>297.941</f>
        <v>297.94099999999997</v>
      </c>
      <c r="E814" s="86">
        <f>89.177</f>
        <v>89.177000000000007</v>
      </c>
      <c r="F814" s="77">
        <f>240.302-40-60-100</f>
        <v>40.301999999999992</v>
      </c>
      <c r="G814" s="80">
        <v>40</v>
      </c>
      <c r="H814" s="77">
        <f>60+100</f>
        <v>160</v>
      </c>
      <c r="I814" s="77">
        <f t="shared" si="124"/>
        <v>0</v>
      </c>
      <c r="J814" s="80">
        <v>100</v>
      </c>
      <c r="K814" s="80">
        <v>300</v>
      </c>
      <c r="L814" s="77">
        <f t="shared" si="128"/>
        <v>1150</v>
      </c>
      <c r="M814" s="88">
        <v>600</v>
      </c>
      <c r="N814" s="77">
        <f>100</f>
        <v>100</v>
      </c>
      <c r="O814" s="80">
        <v>240</v>
      </c>
      <c r="P814" s="80">
        <v>40</v>
      </c>
      <c r="Q814" s="80">
        <f t="shared" si="129"/>
        <v>315</v>
      </c>
      <c r="R814" s="80">
        <f t="shared" si="130"/>
        <v>100</v>
      </c>
      <c r="S814" s="77">
        <f t="shared" si="131"/>
        <v>695</v>
      </c>
      <c r="T814" s="77">
        <f>50</f>
        <v>50</v>
      </c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</row>
    <row r="815" spans="1:30" ht="15.75" x14ac:dyDescent="0.25">
      <c r="A815" s="32">
        <v>65745</v>
      </c>
      <c r="B815" s="89">
        <f t="shared" si="132"/>
        <v>31</v>
      </c>
      <c r="C815" s="77">
        <f>122.58</f>
        <v>122.58</v>
      </c>
      <c r="D815" s="77">
        <f>297.941</f>
        <v>297.94099999999997</v>
      </c>
      <c r="E815" s="86">
        <f>89.177</f>
        <v>89.177000000000007</v>
      </c>
      <c r="F815" s="77">
        <f>240.302-40-60-100</f>
        <v>40.301999999999992</v>
      </c>
      <c r="G815" s="80">
        <v>40</v>
      </c>
      <c r="H815" s="77">
        <f>60+100</f>
        <v>160</v>
      </c>
      <c r="I815" s="77">
        <f t="shared" si="124"/>
        <v>0</v>
      </c>
      <c r="J815" s="80">
        <v>100</v>
      </c>
      <c r="K815" s="80">
        <v>300</v>
      </c>
      <c r="L815" s="77">
        <f t="shared" si="128"/>
        <v>1150</v>
      </c>
      <c r="M815" s="88">
        <v>600</v>
      </c>
      <c r="N815" s="77">
        <f>100</f>
        <v>100</v>
      </c>
      <c r="O815" s="80">
        <v>240</v>
      </c>
      <c r="P815" s="80">
        <v>40</v>
      </c>
      <c r="Q815" s="80">
        <f t="shared" si="129"/>
        <v>315</v>
      </c>
      <c r="R815" s="80">
        <f t="shared" si="130"/>
        <v>100</v>
      </c>
      <c r="S815" s="77">
        <f t="shared" si="131"/>
        <v>695</v>
      </c>
      <c r="T815" s="77">
        <f>50</f>
        <v>50</v>
      </c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</row>
    <row r="816" spans="1:30" ht="15.75" x14ac:dyDescent="0.25">
      <c r="A816" s="32">
        <v>65776</v>
      </c>
      <c r="B816" s="89">
        <f t="shared" si="132"/>
        <v>31</v>
      </c>
      <c r="C816" s="77">
        <f>122.58</f>
        <v>122.58</v>
      </c>
      <c r="D816" s="77">
        <f>297.941</f>
        <v>297.94099999999997</v>
      </c>
      <c r="E816" s="86">
        <f>89.177</f>
        <v>89.177000000000007</v>
      </c>
      <c r="F816" s="77">
        <f>240.302-40-60-100</f>
        <v>40.301999999999992</v>
      </c>
      <c r="G816" s="80">
        <v>40</v>
      </c>
      <c r="H816" s="77">
        <f>60+100</f>
        <v>160</v>
      </c>
      <c r="I816" s="77">
        <f t="shared" si="124"/>
        <v>0</v>
      </c>
      <c r="J816" s="80">
        <v>100</v>
      </c>
      <c r="K816" s="80">
        <v>300</v>
      </c>
      <c r="L816" s="77">
        <f t="shared" si="128"/>
        <v>1150</v>
      </c>
      <c r="M816" s="88">
        <v>600</v>
      </c>
      <c r="N816" s="77">
        <f>100</f>
        <v>100</v>
      </c>
      <c r="O816" s="80">
        <v>240</v>
      </c>
      <c r="P816" s="80">
        <v>40</v>
      </c>
      <c r="Q816" s="80">
        <f t="shared" si="129"/>
        <v>315</v>
      </c>
      <c r="R816" s="80">
        <f t="shared" si="130"/>
        <v>100</v>
      </c>
      <c r="S816" s="77">
        <f t="shared" si="131"/>
        <v>695</v>
      </c>
      <c r="T816" s="77">
        <f>50</f>
        <v>50</v>
      </c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</row>
    <row r="817" spans="1:30" ht="15.75" x14ac:dyDescent="0.25">
      <c r="A817" s="32">
        <v>65805</v>
      </c>
      <c r="B817" s="89">
        <f t="shared" si="132"/>
        <v>29</v>
      </c>
      <c r="C817" s="77">
        <f>122.58</f>
        <v>122.58</v>
      </c>
      <c r="D817" s="77">
        <f>297.941</f>
        <v>297.94099999999997</v>
      </c>
      <c r="E817" s="86">
        <f>89.177</f>
        <v>89.177000000000007</v>
      </c>
      <c r="F817" s="77">
        <f>240.302-40-60-100</f>
        <v>40.301999999999992</v>
      </c>
      <c r="G817" s="80">
        <v>40</v>
      </c>
      <c r="H817" s="77">
        <f>60+100</f>
        <v>160</v>
      </c>
      <c r="I817" s="77">
        <f t="shared" si="124"/>
        <v>0</v>
      </c>
      <c r="J817" s="80">
        <v>100</v>
      </c>
      <c r="K817" s="80">
        <v>300</v>
      </c>
      <c r="L817" s="77">
        <f t="shared" si="128"/>
        <v>1150</v>
      </c>
      <c r="M817" s="88">
        <v>600</v>
      </c>
      <c r="N817" s="77">
        <f>100</f>
        <v>100</v>
      </c>
      <c r="O817" s="80">
        <v>240</v>
      </c>
      <c r="P817" s="80">
        <v>40</v>
      </c>
      <c r="Q817" s="80">
        <f t="shared" si="129"/>
        <v>315</v>
      </c>
      <c r="R817" s="80">
        <f t="shared" si="130"/>
        <v>100</v>
      </c>
      <c r="S817" s="77">
        <f t="shared" si="131"/>
        <v>695</v>
      </c>
      <c r="T817" s="77">
        <f>50</f>
        <v>50</v>
      </c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</row>
    <row r="818" spans="1:30" ht="15.75" x14ac:dyDescent="0.25">
      <c r="A818" s="32">
        <v>65836</v>
      </c>
      <c r="B818" s="89">
        <f t="shared" si="132"/>
        <v>31</v>
      </c>
      <c r="C818" s="77">
        <f>122.58</f>
        <v>122.58</v>
      </c>
      <c r="D818" s="77">
        <f>297.941</f>
        <v>297.94099999999997</v>
      </c>
      <c r="E818" s="86">
        <f>89.177</f>
        <v>89.177000000000007</v>
      </c>
      <c r="F818" s="77">
        <f>240.302-40-60-100</f>
        <v>40.301999999999992</v>
      </c>
      <c r="G818" s="80">
        <v>40</v>
      </c>
      <c r="H818" s="77">
        <f>60+100</f>
        <v>160</v>
      </c>
      <c r="I818" s="77">
        <f t="shared" si="124"/>
        <v>0</v>
      </c>
      <c r="J818" s="80">
        <v>100</v>
      </c>
      <c r="K818" s="80">
        <v>300</v>
      </c>
      <c r="L818" s="77">
        <f t="shared" si="128"/>
        <v>1150</v>
      </c>
      <c r="M818" s="88">
        <v>600</v>
      </c>
      <c r="N818" s="77">
        <f>100</f>
        <v>100</v>
      </c>
      <c r="O818" s="80">
        <v>240</v>
      </c>
      <c r="P818" s="80">
        <v>40</v>
      </c>
      <c r="Q818" s="80">
        <f t="shared" si="129"/>
        <v>315</v>
      </c>
      <c r="R818" s="80">
        <f t="shared" si="130"/>
        <v>100</v>
      </c>
      <c r="S818" s="77">
        <f t="shared" si="131"/>
        <v>695</v>
      </c>
      <c r="T818" s="77">
        <f>50</f>
        <v>50</v>
      </c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</row>
    <row r="819" spans="1:30" ht="15.75" x14ac:dyDescent="0.25">
      <c r="A819" s="32">
        <v>65866</v>
      </c>
      <c r="B819" s="89">
        <f t="shared" si="132"/>
        <v>30</v>
      </c>
      <c r="C819" s="77">
        <f>141.293</f>
        <v>141.29300000000001</v>
      </c>
      <c r="D819" s="77">
        <f>267.993</f>
        <v>267.99299999999999</v>
      </c>
      <c r="E819" s="86">
        <f>115.016</f>
        <v>115.01600000000001</v>
      </c>
      <c r="F819" s="77">
        <f>314.698-40-25-60-100</f>
        <v>89.697999999999979</v>
      </c>
      <c r="G819" s="80">
        <v>40</v>
      </c>
      <c r="H819" s="77">
        <f t="shared" ref="H819:H825" si="135">25+60+100</f>
        <v>185</v>
      </c>
      <c r="I819" s="77">
        <f t="shared" si="124"/>
        <v>0</v>
      </c>
      <c r="J819" s="80">
        <v>100</v>
      </c>
      <c r="K819" s="80">
        <v>300</v>
      </c>
      <c r="L819" s="77">
        <f t="shared" si="128"/>
        <v>1239</v>
      </c>
      <c r="M819" s="88">
        <v>600</v>
      </c>
      <c r="N819" s="77">
        <f>100</f>
        <v>100</v>
      </c>
      <c r="O819" s="80">
        <v>240</v>
      </c>
      <c r="P819" s="80">
        <v>40</v>
      </c>
      <c r="Q819" s="80">
        <f t="shared" si="129"/>
        <v>315</v>
      </c>
      <c r="R819" s="80">
        <f t="shared" si="130"/>
        <v>100</v>
      </c>
      <c r="S819" s="77">
        <f t="shared" si="131"/>
        <v>695</v>
      </c>
      <c r="T819" s="77">
        <f>50</f>
        <v>50</v>
      </c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</row>
    <row r="820" spans="1:30" ht="15.75" x14ac:dyDescent="0.25">
      <c r="A820" s="32">
        <v>65897</v>
      </c>
      <c r="B820" s="89">
        <f t="shared" si="132"/>
        <v>31</v>
      </c>
      <c r="C820" s="77">
        <f>194.205</f>
        <v>194.20500000000001</v>
      </c>
      <c r="D820" s="77">
        <f>267.466</f>
        <v>267.46600000000001</v>
      </c>
      <c r="E820" s="86">
        <f>133.845</f>
        <v>133.845</v>
      </c>
      <c r="F820" s="77">
        <f>278.484-40-25-60-100</f>
        <v>53.48399999999998</v>
      </c>
      <c r="G820" s="80">
        <v>40</v>
      </c>
      <c r="H820" s="77">
        <f t="shared" si="135"/>
        <v>185</v>
      </c>
      <c r="I820" s="77">
        <f t="shared" ref="I820:I883" si="136">400-J820-K820</f>
        <v>0</v>
      </c>
      <c r="J820" s="80">
        <v>100</v>
      </c>
      <c r="K820" s="80">
        <v>300</v>
      </c>
      <c r="L820" s="77">
        <f t="shared" si="128"/>
        <v>1274</v>
      </c>
      <c r="M820" s="88">
        <v>600</v>
      </c>
      <c r="N820" s="77">
        <f>75</f>
        <v>75</v>
      </c>
      <c r="O820" s="80">
        <v>240</v>
      </c>
      <c r="P820" s="80">
        <v>40</v>
      </c>
      <c r="Q820" s="80">
        <f t="shared" si="129"/>
        <v>315</v>
      </c>
      <c r="R820" s="80">
        <f t="shared" si="130"/>
        <v>100</v>
      </c>
      <c r="S820" s="77">
        <f t="shared" si="131"/>
        <v>695</v>
      </c>
      <c r="T820" s="77">
        <f>50</f>
        <v>50</v>
      </c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</row>
    <row r="821" spans="1:30" ht="15.75" x14ac:dyDescent="0.25">
      <c r="A821" s="32">
        <v>65927</v>
      </c>
      <c r="B821" s="89">
        <f t="shared" si="132"/>
        <v>30</v>
      </c>
      <c r="C821" s="77">
        <f>194.205</f>
        <v>194.20500000000001</v>
      </c>
      <c r="D821" s="77">
        <f>267.466</f>
        <v>267.46600000000001</v>
      </c>
      <c r="E821" s="86">
        <f>133.845</f>
        <v>133.845</v>
      </c>
      <c r="F821" s="77">
        <f>278.484-40-25-60-100</f>
        <v>53.48399999999998</v>
      </c>
      <c r="G821" s="80">
        <v>40</v>
      </c>
      <c r="H821" s="77">
        <f t="shared" si="135"/>
        <v>185</v>
      </c>
      <c r="I821" s="77">
        <f t="shared" si="136"/>
        <v>0</v>
      </c>
      <c r="J821" s="80">
        <v>100</v>
      </c>
      <c r="K821" s="80">
        <v>300</v>
      </c>
      <c r="L821" s="77">
        <f t="shared" si="128"/>
        <v>1274</v>
      </c>
      <c r="M821" s="88">
        <v>600</v>
      </c>
      <c r="N821" s="77">
        <f>30</f>
        <v>30</v>
      </c>
      <c r="O821" s="80">
        <v>240</v>
      </c>
      <c r="P821" s="80">
        <v>40</v>
      </c>
      <c r="Q821" s="80">
        <f t="shared" si="129"/>
        <v>315</v>
      </c>
      <c r="R821" s="80">
        <f t="shared" si="130"/>
        <v>100</v>
      </c>
      <c r="S821" s="77">
        <f t="shared" si="131"/>
        <v>695</v>
      </c>
      <c r="T821" s="77">
        <f>50</f>
        <v>50</v>
      </c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</row>
    <row r="822" spans="1:30" ht="15.75" x14ac:dyDescent="0.25">
      <c r="A822" s="32">
        <v>65958</v>
      </c>
      <c r="B822" s="89">
        <f t="shared" si="132"/>
        <v>31</v>
      </c>
      <c r="C822" s="77">
        <f>194.205</f>
        <v>194.20500000000001</v>
      </c>
      <c r="D822" s="77">
        <f>267.466</f>
        <v>267.46600000000001</v>
      </c>
      <c r="E822" s="86">
        <f>133.845</f>
        <v>133.845</v>
      </c>
      <c r="F822" s="77">
        <f>278.484-40-25-60-100</f>
        <v>53.48399999999998</v>
      </c>
      <c r="G822" s="80">
        <v>40</v>
      </c>
      <c r="H822" s="77">
        <f t="shared" si="135"/>
        <v>185</v>
      </c>
      <c r="I822" s="77">
        <f t="shared" si="136"/>
        <v>0</v>
      </c>
      <c r="J822" s="80">
        <v>100</v>
      </c>
      <c r="K822" s="80">
        <v>300</v>
      </c>
      <c r="L822" s="77">
        <f t="shared" si="128"/>
        <v>1274</v>
      </c>
      <c r="M822" s="88">
        <v>600</v>
      </c>
      <c r="N822" s="77">
        <f>30</f>
        <v>30</v>
      </c>
      <c r="O822" s="80">
        <v>240</v>
      </c>
      <c r="P822" s="80">
        <v>40</v>
      </c>
      <c r="Q822" s="80">
        <f t="shared" si="129"/>
        <v>315</v>
      </c>
      <c r="R822" s="80">
        <f t="shared" si="130"/>
        <v>100</v>
      </c>
      <c r="S822" s="77">
        <f t="shared" si="131"/>
        <v>695</v>
      </c>
      <c r="T822" s="77">
        <f>0</f>
        <v>0</v>
      </c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</row>
    <row r="823" spans="1:30" ht="15.75" x14ac:dyDescent="0.25">
      <c r="A823" s="32">
        <v>65989</v>
      </c>
      <c r="B823" s="89">
        <f t="shared" si="132"/>
        <v>31</v>
      </c>
      <c r="C823" s="77">
        <f>194.205</f>
        <v>194.20500000000001</v>
      </c>
      <c r="D823" s="77">
        <f>267.466</f>
        <v>267.46600000000001</v>
      </c>
      <c r="E823" s="86">
        <f>133.845</f>
        <v>133.845</v>
      </c>
      <c r="F823" s="77">
        <f>278.484-40-25-60-100</f>
        <v>53.48399999999998</v>
      </c>
      <c r="G823" s="80">
        <v>40</v>
      </c>
      <c r="H823" s="77">
        <f t="shared" si="135"/>
        <v>185</v>
      </c>
      <c r="I823" s="77">
        <f t="shared" si="136"/>
        <v>0</v>
      </c>
      <c r="J823" s="80">
        <v>100</v>
      </c>
      <c r="K823" s="80">
        <v>300</v>
      </c>
      <c r="L823" s="77">
        <f t="shared" si="128"/>
        <v>1274</v>
      </c>
      <c r="M823" s="88">
        <v>600</v>
      </c>
      <c r="N823" s="77">
        <f>30</f>
        <v>30</v>
      </c>
      <c r="O823" s="80">
        <v>240</v>
      </c>
      <c r="P823" s="80">
        <v>40</v>
      </c>
      <c r="Q823" s="80">
        <f t="shared" si="129"/>
        <v>315</v>
      </c>
      <c r="R823" s="80">
        <f t="shared" si="130"/>
        <v>100</v>
      </c>
      <c r="S823" s="77">
        <f t="shared" si="131"/>
        <v>695</v>
      </c>
      <c r="T823" s="77">
        <f>0</f>
        <v>0</v>
      </c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</row>
    <row r="824" spans="1:30" ht="15.75" x14ac:dyDescent="0.25">
      <c r="A824" s="32">
        <v>66019</v>
      </c>
      <c r="B824" s="89">
        <f t="shared" si="132"/>
        <v>30</v>
      </c>
      <c r="C824" s="77">
        <f>194.205</f>
        <v>194.20500000000001</v>
      </c>
      <c r="D824" s="77">
        <f>267.466</f>
        <v>267.46600000000001</v>
      </c>
      <c r="E824" s="86">
        <f>133.845</f>
        <v>133.845</v>
      </c>
      <c r="F824" s="77">
        <f>278.484-40-25-60-100</f>
        <v>53.48399999999998</v>
      </c>
      <c r="G824" s="80">
        <v>40</v>
      </c>
      <c r="H824" s="77">
        <f t="shared" si="135"/>
        <v>185</v>
      </c>
      <c r="I824" s="77">
        <f t="shared" si="136"/>
        <v>0</v>
      </c>
      <c r="J824" s="80">
        <v>100</v>
      </c>
      <c r="K824" s="80">
        <v>300</v>
      </c>
      <c r="L824" s="77">
        <f t="shared" si="128"/>
        <v>1274</v>
      </c>
      <c r="M824" s="88">
        <v>600</v>
      </c>
      <c r="N824" s="77">
        <f>30</f>
        <v>30</v>
      </c>
      <c r="O824" s="80">
        <v>240</v>
      </c>
      <c r="P824" s="80">
        <v>40</v>
      </c>
      <c r="Q824" s="80">
        <f t="shared" si="129"/>
        <v>315</v>
      </c>
      <c r="R824" s="80">
        <f t="shared" si="130"/>
        <v>100</v>
      </c>
      <c r="S824" s="77">
        <f t="shared" si="131"/>
        <v>695</v>
      </c>
      <c r="T824" s="77">
        <f>0</f>
        <v>0</v>
      </c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</row>
    <row r="825" spans="1:30" ht="15.75" x14ac:dyDescent="0.25">
      <c r="A825" s="32">
        <v>66050</v>
      </c>
      <c r="B825" s="89">
        <f t="shared" si="132"/>
        <v>31</v>
      </c>
      <c r="C825" s="77">
        <f>131.881</f>
        <v>131.881</v>
      </c>
      <c r="D825" s="77">
        <f>277.167</f>
        <v>277.16699999999997</v>
      </c>
      <c r="E825" s="86">
        <f>79.08</f>
        <v>79.08</v>
      </c>
      <c r="F825" s="77">
        <f>350.872-40-25-60-100</f>
        <v>125.87200000000001</v>
      </c>
      <c r="G825" s="80">
        <v>40</v>
      </c>
      <c r="H825" s="77">
        <f t="shared" si="135"/>
        <v>185</v>
      </c>
      <c r="I825" s="77">
        <f t="shared" si="136"/>
        <v>0</v>
      </c>
      <c r="J825" s="80">
        <v>100</v>
      </c>
      <c r="K825" s="80">
        <v>300</v>
      </c>
      <c r="L825" s="77">
        <f t="shared" si="128"/>
        <v>1239</v>
      </c>
      <c r="M825" s="88">
        <v>600</v>
      </c>
      <c r="N825" s="77">
        <f>75</f>
        <v>75</v>
      </c>
      <c r="O825" s="80">
        <v>240</v>
      </c>
      <c r="P825" s="80">
        <v>40</v>
      </c>
      <c r="Q825" s="80">
        <f t="shared" si="129"/>
        <v>315</v>
      </c>
      <c r="R825" s="80">
        <f t="shared" si="130"/>
        <v>100</v>
      </c>
      <c r="S825" s="77">
        <f t="shared" si="131"/>
        <v>695</v>
      </c>
      <c r="T825" s="77">
        <f>0</f>
        <v>0</v>
      </c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</row>
    <row r="826" spans="1:30" ht="15.75" x14ac:dyDescent="0.25">
      <c r="A826" s="32">
        <v>66080</v>
      </c>
      <c r="B826" s="89">
        <f t="shared" si="132"/>
        <v>30</v>
      </c>
      <c r="C826" s="77">
        <f>122.58</f>
        <v>122.58</v>
      </c>
      <c r="D826" s="77">
        <f>297.941</f>
        <v>297.94099999999997</v>
      </c>
      <c r="E826" s="86">
        <f>89.177</f>
        <v>89.177000000000007</v>
      </c>
      <c r="F826" s="77">
        <f>240.302-40-60-100</f>
        <v>40.301999999999992</v>
      </c>
      <c r="G826" s="80">
        <v>40</v>
      </c>
      <c r="H826" s="77">
        <f>60+100</f>
        <v>160</v>
      </c>
      <c r="I826" s="77">
        <f t="shared" si="136"/>
        <v>0</v>
      </c>
      <c r="J826" s="80">
        <v>100</v>
      </c>
      <c r="K826" s="80">
        <v>300</v>
      </c>
      <c r="L826" s="77">
        <f t="shared" si="128"/>
        <v>1150</v>
      </c>
      <c r="M826" s="88">
        <v>600</v>
      </c>
      <c r="N826" s="77">
        <f>100</f>
        <v>100</v>
      </c>
      <c r="O826" s="80">
        <v>240</v>
      </c>
      <c r="P826" s="80">
        <v>40</v>
      </c>
      <c r="Q826" s="80">
        <f t="shared" si="129"/>
        <v>315</v>
      </c>
      <c r="R826" s="80">
        <f t="shared" si="130"/>
        <v>100</v>
      </c>
      <c r="S826" s="77">
        <f t="shared" si="131"/>
        <v>695</v>
      </c>
      <c r="T826" s="77">
        <f>50</f>
        <v>50</v>
      </c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</row>
    <row r="827" spans="1:30" ht="15.75" x14ac:dyDescent="0.25">
      <c r="A827" s="32">
        <v>66111</v>
      </c>
      <c r="B827" s="89">
        <f t="shared" si="132"/>
        <v>31</v>
      </c>
      <c r="C827" s="77">
        <f>122.58</f>
        <v>122.58</v>
      </c>
      <c r="D827" s="77">
        <f>297.941</f>
        <v>297.94099999999997</v>
      </c>
      <c r="E827" s="86">
        <f>89.177</f>
        <v>89.177000000000007</v>
      </c>
      <c r="F827" s="77">
        <f>240.302-40-60-100</f>
        <v>40.301999999999992</v>
      </c>
      <c r="G827" s="80">
        <v>40</v>
      </c>
      <c r="H827" s="77">
        <f>60+100</f>
        <v>160</v>
      </c>
      <c r="I827" s="77">
        <f t="shared" si="136"/>
        <v>0</v>
      </c>
      <c r="J827" s="80">
        <v>100</v>
      </c>
      <c r="K827" s="80">
        <v>300</v>
      </c>
      <c r="L827" s="77">
        <f t="shared" si="128"/>
        <v>1150</v>
      </c>
      <c r="M827" s="88">
        <v>600</v>
      </c>
      <c r="N827" s="77">
        <f>100</f>
        <v>100</v>
      </c>
      <c r="O827" s="80">
        <v>240</v>
      </c>
      <c r="P827" s="80">
        <v>40</v>
      </c>
      <c r="Q827" s="80">
        <f t="shared" si="129"/>
        <v>315</v>
      </c>
      <c r="R827" s="80">
        <f t="shared" si="130"/>
        <v>100</v>
      </c>
      <c r="S827" s="77">
        <f t="shared" si="131"/>
        <v>695</v>
      </c>
      <c r="T827" s="77">
        <f>50</f>
        <v>50</v>
      </c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</row>
    <row r="828" spans="1:30" ht="15.75" x14ac:dyDescent="0.25">
      <c r="A828" s="32">
        <v>66142</v>
      </c>
      <c r="B828" s="89">
        <f t="shared" si="132"/>
        <v>31</v>
      </c>
      <c r="C828" s="77">
        <f>122.58</f>
        <v>122.58</v>
      </c>
      <c r="D828" s="77">
        <f>297.941</f>
        <v>297.94099999999997</v>
      </c>
      <c r="E828" s="86">
        <f>89.177</f>
        <v>89.177000000000007</v>
      </c>
      <c r="F828" s="77">
        <f>240.302-40-60-100</f>
        <v>40.301999999999992</v>
      </c>
      <c r="G828" s="80">
        <v>40</v>
      </c>
      <c r="H828" s="77">
        <f>60+100</f>
        <v>160</v>
      </c>
      <c r="I828" s="77">
        <f t="shared" si="136"/>
        <v>0</v>
      </c>
      <c r="J828" s="80">
        <v>100</v>
      </c>
      <c r="K828" s="80">
        <v>300</v>
      </c>
      <c r="L828" s="77">
        <f t="shared" si="128"/>
        <v>1150</v>
      </c>
      <c r="M828" s="88">
        <v>600</v>
      </c>
      <c r="N828" s="77">
        <f>100</f>
        <v>100</v>
      </c>
      <c r="O828" s="80">
        <v>240</v>
      </c>
      <c r="P828" s="80">
        <v>40</v>
      </c>
      <c r="Q828" s="80">
        <f t="shared" si="129"/>
        <v>315</v>
      </c>
      <c r="R828" s="80">
        <f t="shared" si="130"/>
        <v>100</v>
      </c>
      <c r="S828" s="77">
        <f t="shared" si="131"/>
        <v>695</v>
      </c>
      <c r="T828" s="77">
        <f>50</f>
        <v>50</v>
      </c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</row>
    <row r="829" spans="1:30" ht="15.75" x14ac:dyDescent="0.25">
      <c r="A829" s="32">
        <v>66170</v>
      </c>
      <c r="B829" s="89">
        <f t="shared" si="132"/>
        <v>28</v>
      </c>
      <c r="C829" s="77">
        <f>122.58</f>
        <v>122.58</v>
      </c>
      <c r="D829" s="77">
        <f>297.941</f>
        <v>297.94099999999997</v>
      </c>
      <c r="E829" s="86">
        <f>89.177</f>
        <v>89.177000000000007</v>
      </c>
      <c r="F829" s="77">
        <f>240.302-40-60-100</f>
        <v>40.301999999999992</v>
      </c>
      <c r="G829" s="80">
        <v>40</v>
      </c>
      <c r="H829" s="77">
        <f>60+100</f>
        <v>160</v>
      </c>
      <c r="I829" s="77">
        <f t="shared" si="136"/>
        <v>0</v>
      </c>
      <c r="J829" s="80">
        <v>100</v>
      </c>
      <c r="K829" s="80">
        <v>300</v>
      </c>
      <c r="L829" s="77">
        <f t="shared" si="128"/>
        <v>1150</v>
      </c>
      <c r="M829" s="88">
        <v>600</v>
      </c>
      <c r="N829" s="77">
        <f>100</f>
        <v>100</v>
      </c>
      <c r="O829" s="80">
        <v>240</v>
      </c>
      <c r="P829" s="80">
        <v>40</v>
      </c>
      <c r="Q829" s="80">
        <f t="shared" si="129"/>
        <v>315</v>
      </c>
      <c r="R829" s="80">
        <f t="shared" si="130"/>
        <v>100</v>
      </c>
      <c r="S829" s="77">
        <f t="shared" si="131"/>
        <v>695</v>
      </c>
      <c r="T829" s="77">
        <f>50</f>
        <v>50</v>
      </c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</row>
    <row r="830" spans="1:30" ht="15.75" x14ac:dyDescent="0.25">
      <c r="A830" s="32">
        <v>66201</v>
      </c>
      <c r="B830" s="89">
        <f t="shared" si="132"/>
        <v>31</v>
      </c>
      <c r="C830" s="77">
        <f>122.58</f>
        <v>122.58</v>
      </c>
      <c r="D830" s="77">
        <f>297.941</f>
        <v>297.94099999999997</v>
      </c>
      <c r="E830" s="86">
        <f>89.177</f>
        <v>89.177000000000007</v>
      </c>
      <c r="F830" s="77">
        <f>240.302-40-60-100</f>
        <v>40.301999999999992</v>
      </c>
      <c r="G830" s="80">
        <v>40</v>
      </c>
      <c r="H830" s="77">
        <f>60+100</f>
        <v>160</v>
      </c>
      <c r="I830" s="77">
        <f t="shared" si="136"/>
        <v>0</v>
      </c>
      <c r="J830" s="80">
        <v>100</v>
      </c>
      <c r="K830" s="80">
        <v>300</v>
      </c>
      <c r="L830" s="77">
        <f t="shared" si="128"/>
        <v>1150</v>
      </c>
      <c r="M830" s="88">
        <v>600</v>
      </c>
      <c r="N830" s="77">
        <f>100</f>
        <v>100</v>
      </c>
      <c r="O830" s="80">
        <v>240</v>
      </c>
      <c r="P830" s="80">
        <v>40</v>
      </c>
      <c r="Q830" s="80">
        <f t="shared" si="129"/>
        <v>315</v>
      </c>
      <c r="R830" s="80">
        <f t="shared" si="130"/>
        <v>100</v>
      </c>
      <c r="S830" s="77">
        <f t="shared" si="131"/>
        <v>695</v>
      </c>
      <c r="T830" s="77">
        <f>50</f>
        <v>50</v>
      </c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</row>
    <row r="831" spans="1:30" ht="15.75" x14ac:dyDescent="0.25">
      <c r="A831" s="32">
        <v>66231</v>
      </c>
      <c r="B831" s="89">
        <f t="shared" si="132"/>
        <v>30</v>
      </c>
      <c r="C831" s="77">
        <f>141.293</f>
        <v>141.29300000000001</v>
      </c>
      <c r="D831" s="77">
        <f>267.993</f>
        <v>267.99299999999999</v>
      </c>
      <c r="E831" s="86">
        <f>115.016</f>
        <v>115.01600000000001</v>
      </c>
      <c r="F831" s="77">
        <f>314.698-40-25-60-100</f>
        <v>89.697999999999979</v>
      </c>
      <c r="G831" s="80">
        <v>40</v>
      </c>
      <c r="H831" s="77">
        <f t="shared" ref="H831:H837" si="137">25+60+100</f>
        <v>185</v>
      </c>
      <c r="I831" s="77">
        <f t="shared" si="136"/>
        <v>0</v>
      </c>
      <c r="J831" s="80">
        <v>100</v>
      </c>
      <c r="K831" s="80">
        <v>300</v>
      </c>
      <c r="L831" s="77">
        <f t="shared" si="128"/>
        <v>1239</v>
      </c>
      <c r="M831" s="88">
        <v>600</v>
      </c>
      <c r="N831" s="77">
        <f>100</f>
        <v>100</v>
      </c>
      <c r="O831" s="80">
        <v>240</v>
      </c>
      <c r="P831" s="80">
        <v>40</v>
      </c>
      <c r="Q831" s="80">
        <f t="shared" si="129"/>
        <v>315</v>
      </c>
      <c r="R831" s="80">
        <f t="shared" si="130"/>
        <v>100</v>
      </c>
      <c r="S831" s="77">
        <f t="shared" si="131"/>
        <v>695</v>
      </c>
      <c r="T831" s="77">
        <f>50</f>
        <v>50</v>
      </c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</row>
    <row r="832" spans="1:30" ht="15.75" x14ac:dyDescent="0.25">
      <c r="A832" s="32">
        <v>66262</v>
      </c>
      <c r="B832" s="89">
        <f t="shared" si="132"/>
        <v>31</v>
      </c>
      <c r="C832" s="77">
        <f>194.205</f>
        <v>194.20500000000001</v>
      </c>
      <c r="D832" s="77">
        <f>267.466</f>
        <v>267.46600000000001</v>
      </c>
      <c r="E832" s="86">
        <f>133.845</f>
        <v>133.845</v>
      </c>
      <c r="F832" s="77">
        <f>278.484-40-25-60-100</f>
        <v>53.48399999999998</v>
      </c>
      <c r="G832" s="80">
        <v>40</v>
      </c>
      <c r="H832" s="77">
        <f t="shared" si="137"/>
        <v>185</v>
      </c>
      <c r="I832" s="77">
        <f t="shared" si="136"/>
        <v>0</v>
      </c>
      <c r="J832" s="80">
        <v>100</v>
      </c>
      <c r="K832" s="80">
        <v>300</v>
      </c>
      <c r="L832" s="77">
        <f t="shared" si="128"/>
        <v>1274</v>
      </c>
      <c r="M832" s="88">
        <v>600</v>
      </c>
      <c r="N832" s="77">
        <f>75</f>
        <v>75</v>
      </c>
      <c r="O832" s="80">
        <v>240</v>
      </c>
      <c r="P832" s="80">
        <v>40</v>
      </c>
      <c r="Q832" s="80">
        <f t="shared" si="129"/>
        <v>315</v>
      </c>
      <c r="R832" s="80">
        <f t="shared" si="130"/>
        <v>100</v>
      </c>
      <c r="S832" s="77">
        <f t="shared" si="131"/>
        <v>695</v>
      </c>
      <c r="T832" s="77">
        <f>50</f>
        <v>50</v>
      </c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</row>
    <row r="833" spans="1:30" ht="15.75" x14ac:dyDescent="0.25">
      <c r="A833" s="32">
        <v>66292</v>
      </c>
      <c r="B833" s="89">
        <f t="shared" si="132"/>
        <v>30</v>
      </c>
      <c r="C833" s="77">
        <f>194.205</f>
        <v>194.20500000000001</v>
      </c>
      <c r="D833" s="77">
        <f>267.466</f>
        <v>267.46600000000001</v>
      </c>
      <c r="E833" s="86">
        <f>133.845</f>
        <v>133.845</v>
      </c>
      <c r="F833" s="77">
        <f>278.484-40-25-60-100</f>
        <v>53.48399999999998</v>
      </c>
      <c r="G833" s="80">
        <v>40</v>
      </c>
      <c r="H833" s="77">
        <f t="shared" si="137"/>
        <v>185</v>
      </c>
      <c r="I833" s="77">
        <f t="shared" si="136"/>
        <v>0</v>
      </c>
      <c r="J833" s="80">
        <v>100</v>
      </c>
      <c r="K833" s="80">
        <v>300</v>
      </c>
      <c r="L833" s="77">
        <f t="shared" si="128"/>
        <v>1274</v>
      </c>
      <c r="M833" s="88">
        <v>600</v>
      </c>
      <c r="N833" s="77">
        <f>30</f>
        <v>30</v>
      </c>
      <c r="O833" s="80">
        <v>240</v>
      </c>
      <c r="P833" s="80">
        <v>40</v>
      </c>
      <c r="Q833" s="80">
        <f t="shared" si="129"/>
        <v>315</v>
      </c>
      <c r="R833" s="80">
        <f t="shared" si="130"/>
        <v>100</v>
      </c>
      <c r="S833" s="77">
        <f t="shared" si="131"/>
        <v>695</v>
      </c>
      <c r="T833" s="77">
        <f>50</f>
        <v>50</v>
      </c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</row>
    <row r="834" spans="1:30" ht="15.75" x14ac:dyDescent="0.25">
      <c r="A834" s="32">
        <v>66323</v>
      </c>
      <c r="B834" s="89">
        <f t="shared" si="132"/>
        <v>31</v>
      </c>
      <c r="C834" s="77">
        <f>194.205</f>
        <v>194.20500000000001</v>
      </c>
      <c r="D834" s="77">
        <f>267.466</f>
        <v>267.46600000000001</v>
      </c>
      <c r="E834" s="86">
        <f>133.845</f>
        <v>133.845</v>
      </c>
      <c r="F834" s="77">
        <f>278.484-40-25-60-100</f>
        <v>53.48399999999998</v>
      </c>
      <c r="G834" s="80">
        <v>40</v>
      </c>
      <c r="H834" s="77">
        <f t="shared" si="137"/>
        <v>185</v>
      </c>
      <c r="I834" s="77">
        <f t="shared" si="136"/>
        <v>0</v>
      </c>
      <c r="J834" s="80">
        <v>100</v>
      </c>
      <c r="K834" s="80">
        <v>300</v>
      </c>
      <c r="L834" s="77">
        <f t="shared" si="128"/>
        <v>1274</v>
      </c>
      <c r="M834" s="88">
        <v>600</v>
      </c>
      <c r="N834" s="77">
        <f>30</f>
        <v>30</v>
      </c>
      <c r="O834" s="80">
        <v>240</v>
      </c>
      <c r="P834" s="80">
        <v>40</v>
      </c>
      <c r="Q834" s="80">
        <f t="shared" si="129"/>
        <v>315</v>
      </c>
      <c r="R834" s="80">
        <f t="shared" si="130"/>
        <v>100</v>
      </c>
      <c r="S834" s="77">
        <f t="shared" si="131"/>
        <v>695</v>
      </c>
      <c r="T834" s="77">
        <f>0</f>
        <v>0</v>
      </c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</row>
    <row r="835" spans="1:30" ht="15.75" x14ac:dyDescent="0.25">
      <c r="A835" s="32">
        <v>66354</v>
      </c>
      <c r="B835" s="89">
        <f t="shared" si="132"/>
        <v>31</v>
      </c>
      <c r="C835" s="77">
        <f>194.205</f>
        <v>194.20500000000001</v>
      </c>
      <c r="D835" s="77">
        <f>267.466</f>
        <v>267.46600000000001</v>
      </c>
      <c r="E835" s="86">
        <f>133.845</f>
        <v>133.845</v>
      </c>
      <c r="F835" s="77">
        <f>278.484-40-25-60-100</f>
        <v>53.48399999999998</v>
      </c>
      <c r="G835" s="80">
        <v>40</v>
      </c>
      <c r="H835" s="77">
        <f t="shared" si="137"/>
        <v>185</v>
      </c>
      <c r="I835" s="77">
        <f t="shared" si="136"/>
        <v>0</v>
      </c>
      <c r="J835" s="80">
        <v>100</v>
      </c>
      <c r="K835" s="80">
        <v>300</v>
      </c>
      <c r="L835" s="77">
        <f t="shared" si="128"/>
        <v>1274</v>
      </c>
      <c r="M835" s="88">
        <v>600</v>
      </c>
      <c r="N835" s="77">
        <f>30</f>
        <v>30</v>
      </c>
      <c r="O835" s="80">
        <v>240</v>
      </c>
      <c r="P835" s="80">
        <v>40</v>
      </c>
      <c r="Q835" s="80">
        <f t="shared" si="129"/>
        <v>315</v>
      </c>
      <c r="R835" s="80">
        <f t="shared" si="130"/>
        <v>100</v>
      </c>
      <c r="S835" s="77">
        <f t="shared" si="131"/>
        <v>695</v>
      </c>
      <c r="T835" s="77">
        <f>0</f>
        <v>0</v>
      </c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</row>
    <row r="836" spans="1:30" ht="15.75" x14ac:dyDescent="0.25">
      <c r="A836" s="32">
        <v>66384</v>
      </c>
      <c r="B836" s="89">
        <f t="shared" si="132"/>
        <v>30</v>
      </c>
      <c r="C836" s="77">
        <f>194.205</f>
        <v>194.20500000000001</v>
      </c>
      <c r="D836" s="77">
        <f>267.466</f>
        <v>267.46600000000001</v>
      </c>
      <c r="E836" s="86">
        <f>133.845</f>
        <v>133.845</v>
      </c>
      <c r="F836" s="77">
        <f>278.484-40-25-60-100</f>
        <v>53.48399999999998</v>
      </c>
      <c r="G836" s="80">
        <v>40</v>
      </c>
      <c r="H836" s="77">
        <f t="shared" si="137"/>
        <v>185</v>
      </c>
      <c r="I836" s="77">
        <f t="shared" si="136"/>
        <v>0</v>
      </c>
      <c r="J836" s="80">
        <v>100</v>
      </c>
      <c r="K836" s="80">
        <v>300</v>
      </c>
      <c r="L836" s="77">
        <f t="shared" si="128"/>
        <v>1274</v>
      </c>
      <c r="M836" s="88">
        <v>600</v>
      </c>
      <c r="N836" s="77">
        <f>30</f>
        <v>30</v>
      </c>
      <c r="O836" s="80">
        <v>240</v>
      </c>
      <c r="P836" s="80">
        <v>40</v>
      </c>
      <c r="Q836" s="80">
        <f t="shared" si="129"/>
        <v>315</v>
      </c>
      <c r="R836" s="80">
        <f t="shared" si="130"/>
        <v>100</v>
      </c>
      <c r="S836" s="77">
        <f t="shared" si="131"/>
        <v>695</v>
      </c>
      <c r="T836" s="77">
        <f>0</f>
        <v>0</v>
      </c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</row>
    <row r="837" spans="1:30" ht="15.75" x14ac:dyDescent="0.25">
      <c r="A837" s="32">
        <v>66415</v>
      </c>
      <c r="B837" s="89">
        <f t="shared" si="132"/>
        <v>31</v>
      </c>
      <c r="C837" s="77">
        <f>131.881</f>
        <v>131.881</v>
      </c>
      <c r="D837" s="77">
        <f>277.167</f>
        <v>277.16699999999997</v>
      </c>
      <c r="E837" s="86">
        <f>79.08</f>
        <v>79.08</v>
      </c>
      <c r="F837" s="77">
        <f>350.872-40-25-60-100</f>
        <v>125.87200000000001</v>
      </c>
      <c r="G837" s="80">
        <v>40</v>
      </c>
      <c r="H837" s="77">
        <f t="shared" si="137"/>
        <v>185</v>
      </c>
      <c r="I837" s="77">
        <f t="shared" si="136"/>
        <v>0</v>
      </c>
      <c r="J837" s="80">
        <v>100</v>
      </c>
      <c r="K837" s="80">
        <v>300</v>
      </c>
      <c r="L837" s="77">
        <f t="shared" si="128"/>
        <v>1239</v>
      </c>
      <c r="M837" s="88">
        <v>600</v>
      </c>
      <c r="N837" s="77">
        <f>75</f>
        <v>75</v>
      </c>
      <c r="O837" s="80">
        <v>240</v>
      </c>
      <c r="P837" s="80">
        <v>40</v>
      </c>
      <c r="Q837" s="80">
        <f t="shared" si="129"/>
        <v>315</v>
      </c>
      <c r="R837" s="80">
        <f t="shared" si="130"/>
        <v>100</v>
      </c>
      <c r="S837" s="77">
        <f t="shared" si="131"/>
        <v>695</v>
      </c>
      <c r="T837" s="77">
        <f>0</f>
        <v>0</v>
      </c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</row>
    <row r="838" spans="1:30" ht="15.75" x14ac:dyDescent="0.25">
      <c r="A838" s="32">
        <v>66445</v>
      </c>
      <c r="B838" s="89">
        <f t="shared" si="132"/>
        <v>30</v>
      </c>
      <c r="C838" s="77">
        <f>122.58</f>
        <v>122.58</v>
      </c>
      <c r="D838" s="77">
        <f>297.941</f>
        <v>297.94099999999997</v>
      </c>
      <c r="E838" s="86">
        <f>89.177</f>
        <v>89.177000000000007</v>
      </c>
      <c r="F838" s="77">
        <f>240.302-40-60-100</f>
        <v>40.301999999999992</v>
      </c>
      <c r="G838" s="80">
        <v>40</v>
      </c>
      <c r="H838" s="77">
        <f>60+100</f>
        <v>160</v>
      </c>
      <c r="I838" s="77">
        <f t="shared" si="136"/>
        <v>0</v>
      </c>
      <c r="J838" s="80">
        <v>100</v>
      </c>
      <c r="K838" s="80">
        <v>300</v>
      </c>
      <c r="L838" s="77">
        <f t="shared" si="128"/>
        <v>1150</v>
      </c>
      <c r="M838" s="88">
        <v>600</v>
      </c>
      <c r="N838" s="77">
        <f>100</f>
        <v>100</v>
      </c>
      <c r="O838" s="80">
        <v>240</v>
      </c>
      <c r="P838" s="80">
        <v>40</v>
      </c>
      <c r="Q838" s="80">
        <f t="shared" si="129"/>
        <v>315</v>
      </c>
      <c r="R838" s="80">
        <f t="shared" si="130"/>
        <v>100</v>
      </c>
      <c r="S838" s="77">
        <f t="shared" si="131"/>
        <v>695</v>
      </c>
      <c r="T838" s="77">
        <f>50</f>
        <v>50</v>
      </c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</row>
    <row r="839" spans="1:30" ht="15.75" x14ac:dyDescent="0.25">
      <c r="A839" s="32">
        <v>66476</v>
      </c>
      <c r="B839" s="89">
        <f t="shared" si="132"/>
        <v>31</v>
      </c>
      <c r="C839" s="77">
        <f>122.58</f>
        <v>122.58</v>
      </c>
      <c r="D839" s="77">
        <f>297.941</f>
        <v>297.94099999999997</v>
      </c>
      <c r="E839" s="86">
        <f>89.177</f>
        <v>89.177000000000007</v>
      </c>
      <c r="F839" s="77">
        <f>240.302-40-60-100</f>
        <v>40.301999999999992</v>
      </c>
      <c r="G839" s="80">
        <v>40</v>
      </c>
      <c r="H839" s="77">
        <f>60+100</f>
        <v>160</v>
      </c>
      <c r="I839" s="77">
        <f t="shared" si="136"/>
        <v>0</v>
      </c>
      <c r="J839" s="80">
        <v>100</v>
      </c>
      <c r="K839" s="80">
        <v>300</v>
      </c>
      <c r="L839" s="77">
        <f t="shared" si="128"/>
        <v>1150</v>
      </c>
      <c r="M839" s="88">
        <v>600</v>
      </c>
      <c r="N839" s="77">
        <f>100</f>
        <v>100</v>
      </c>
      <c r="O839" s="80">
        <v>240</v>
      </c>
      <c r="P839" s="80">
        <v>40</v>
      </c>
      <c r="Q839" s="80">
        <f t="shared" si="129"/>
        <v>315</v>
      </c>
      <c r="R839" s="80">
        <f t="shared" si="130"/>
        <v>100</v>
      </c>
      <c r="S839" s="77">
        <f t="shared" si="131"/>
        <v>695</v>
      </c>
      <c r="T839" s="77">
        <f>50</f>
        <v>50</v>
      </c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</row>
    <row r="840" spans="1:30" ht="15.75" x14ac:dyDescent="0.25">
      <c r="A840" s="32">
        <v>66507</v>
      </c>
      <c r="B840" s="89">
        <f t="shared" si="132"/>
        <v>31</v>
      </c>
      <c r="C840" s="77">
        <f>122.58</f>
        <v>122.58</v>
      </c>
      <c r="D840" s="77">
        <f>297.941</f>
        <v>297.94099999999997</v>
      </c>
      <c r="E840" s="86">
        <f>89.177</f>
        <v>89.177000000000007</v>
      </c>
      <c r="F840" s="77">
        <f>240.302-40-60-100</f>
        <v>40.301999999999992</v>
      </c>
      <c r="G840" s="80">
        <v>40</v>
      </c>
      <c r="H840" s="77">
        <f>60+100</f>
        <v>160</v>
      </c>
      <c r="I840" s="77">
        <f t="shared" si="136"/>
        <v>0</v>
      </c>
      <c r="J840" s="80">
        <v>100</v>
      </c>
      <c r="K840" s="80">
        <v>300</v>
      </c>
      <c r="L840" s="77">
        <f t="shared" si="128"/>
        <v>1150</v>
      </c>
      <c r="M840" s="88">
        <v>600</v>
      </c>
      <c r="N840" s="77">
        <f>100</f>
        <v>100</v>
      </c>
      <c r="O840" s="80">
        <v>240</v>
      </c>
      <c r="P840" s="80">
        <v>40</v>
      </c>
      <c r="Q840" s="80">
        <f t="shared" si="129"/>
        <v>315</v>
      </c>
      <c r="R840" s="80">
        <f t="shared" si="130"/>
        <v>100</v>
      </c>
      <c r="S840" s="77">
        <f t="shared" si="131"/>
        <v>695</v>
      </c>
      <c r="T840" s="77">
        <f>50</f>
        <v>50</v>
      </c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</row>
    <row r="841" spans="1:30" ht="15.75" x14ac:dyDescent="0.25">
      <c r="A841" s="32">
        <v>66535</v>
      </c>
      <c r="B841" s="89">
        <f t="shared" si="132"/>
        <v>28</v>
      </c>
      <c r="C841" s="77">
        <f>122.58</f>
        <v>122.58</v>
      </c>
      <c r="D841" s="77">
        <f>297.941</f>
        <v>297.94099999999997</v>
      </c>
      <c r="E841" s="86">
        <f>89.177</f>
        <v>89.177000000000007</v>
      </c>
      <c r="F841" s="77">
        <f>240.302-40-60-100</f>
        <v>40.301999999999992</v>
      </c>
      <c r="G841" s="80">
        <v>40</v>
      </c>
      <c r="H841" s="77">
        <f>60+100</f>
        <v>160</v>
      </c>
      <c r="I841" s="77">
        <f t="shared" si="136"/>
        <v>0</v>
      </c>
      <c r="J841" s="80">
        <v>100</v>
      </c>
      <c r="K841" s="80">
        <v>300</v>
      </c>
      <c r="L841" s="77">
        <f t="shared" si="128"/>
        <v>1150</v>
      </c>
      <c r="M841" s="88">
        <v>600</v>
      </c>
      <c r="N841" s="77">
        <f>100</f>
        <v>100</v>
      </c>
      <c r="O841" s="80">
        <v>240</v>
      </c>
      <c r="P841" s="80">
        <v>40</v>
      </c>
      <c r="Q841" s="80">
        <f t="shared" si="129"/>
        <v>315</v>
      </c>
      <c r="R841" s="80">
        <f t="shared" si="130"/>
        <v>100</v>
      </c>
      <c r="S841" s="77">
        <f t="shared" si="131"/>
        <v>695</v>
      </c>
      <c r="T841" s="77">
        <f>50</f>
        <v>50</v>
      </c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</row>
    <row r="842" spans="1:30" ht="15.75" x14ac:dyDescent="0.25">
      <c r="A842" s="32">
        <v>66566</v>
      </c>
      <c r="B842" s="89">
        <f t="shared" si="132"/>
        <v>31</v>
      </c>
      <c r="C842" s="77">
        <f>122.58</f>
        <v>122.58</v>
      </c>
      <c r="D842" s="77">
        <f>297.941</f>
        <v>297.94099999999997</v>
      </c>
      <c r="E842" s="86">
        <f>89.177</f>
        <v>89.177000000000007</v>
      </c>
      <c r="F842" s="77">
        <f>240.302-40-60-100</f>
        <v>40.301999999999992</v>
      </c>
      <c r="G842" s="80">
        <v>40</v>
      </c>
      <c r="H842" s="77">
        <f>60+100</f>
        <v>160</v>
      </c>
      <c r="I842" s="77">
        <f t="shared" si="136"/>
        <v>0</v>
      </c>
      <c r="J842" s="80">
        <v>100</v>
      </c>
      <c r="K842" s="80">
        <v>300</v>
      </c>
      <c r="L842" s="77">
        <f t="shared" si="128"/>
        <v>1150</v>
      </c>
      <c r="M842" s="88">
        <v>600</v>
      </c>
      <c r="N842" s="77">
        <f>100</f>
        <v>100</v>
      </c>
      <c r="O842" s="80">
        <v>240</v>
      </c>
      <c r="P842" s="80">
        <v>40</v>
      </c>
      <c r="Q842" s="80">
        <f t="shared" si="129"/>
        <v>315</v>
      </c>
      <c r="R842" s="80">
        <f t="shared" si="130"/>
        <v>100</v>
      </c>
      <c r="S842" s="77">
        <f t="shared" si="131"/>
        <v>695</v>
      </c>
      <c r="T842" s="77">
        <f>50</f>
        <v>50</v>
      </c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</row>
    <row r="843" spans="1:30" ht="15.75" x14ac:dyDescent="0.25">
      <c r="A843" s="32">
        <v>66596</v>
      </c>
      <c r="B843" s="89">
        <f t="shared" si="132"/>
        <v>30</v>
      </c>
      <c r="C843" s="77">
        <f>141.293</f>
        <v>141.29300000000001</v>
      </c>
      <c r="D843" s="77">
        <f>267.993</f>
        <v>267.99299999999999</v>
      </c>
      <c r="E843" s="86">
        <f>115.016</f>
        <v>115.01600000000001</v>
      </c>
      <c r="F843" s="77">
        <f>314.698-40-25-60-100</f>
        <v>89.697999999999979</v>
      </c>
      <c r="G843" s="80">
        <v>40</v>
      </c>
      <c r="H843" s="77">
        <f t="shared" ref="H843:H849" si="138">25+60+100</f>
        <v>185</v>
      </c>
      <c r="I843" s="77">
        <f t="shared" si="136"/>
        <v>0</v>
      </c>
      <c r="J843" s="80">
        <v>100</v>
      </c>
      <c r="K843" s="80">
        <v>300</v>
      </c>
      <c r="L843" s="77">
        <f t="shared" si="128"/>
        <v>1239</v>
      </c>
      <c r="M843" s="88">
        <v>600</v>
      </c>
      <c r="N843" s="77">
        <f>100</f>
        <v>100</v>
      </c>
      <c r="O843" s="80">
        <v>240</v>
      </c>
      <c r="P843" s="80">
        <v>40</v>
      </c>
      <c r="Q843" s="80">
        <f t="shared" si="129"/>
        <v>315</v>
      </c>
      <c r="R843" s="80">
        <f t="shared" si="130"/>
        <v>100</v>
      </c>
      <c r="S843" s="77">
        <f t="shared" si="131"/>
        <v>695</v>
      </c>
      <c r="T843" s="77">
        <f>50</f>
        <v>50</v>
      </c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</row>
    <row r="844" spans="1:30" ht="15.75" x14ac:dyDescent="0.25">
      <c r="A844" s="32">
        <v>66627</v>
      </c>
      <c r="B844" s="89">
        <f t="shared" si="132"/>
        <v>31</v>
      </c>
      <c r="C844" s="77">
        <f>194.205</f>
        <v>194.20500000000001</v>
      </c>
      <c r="D844" s="77">
        <f>267.466</f>
        <v>267.46600000000001</v>
      </c>
      <c r="E844" s="86">
        <f>133.845</f>
        <v>133.845</v>
      </c>
      <c r="F844" s="77">
        <f>278.484-40-25-60-100</f>
        <v>53.48399999999998</v>
      </c>
      <c r="G844" s="80">
        <v>40</v>
      </c>
      <c r="H844" s="77">
        <f t="shared" si="138"/>
        <v>185</v>
      </c>
      <c r="I844" s="77">
        <f t="shared" si="136"/>
        <v>0</v>
      </c>
      <c r="J844" s="80">
        <v>100</v>
      </c>
      <c r="K844" s="80">
        <v>300</v>
      </c>
      <c r="L844" s="77">
        <f t="shared" si="128"/>
        <v>1274</v>
      </c>
      <c r="M844" s="88">
        <v>600</v>
      </c>
      <c r="N844" s="77">
        <f>75</f>
        <v>75</v>
      </c>
      <c r="O844" s="80">
        <v>240</v>
      </c>
      <c r="P844" s="80">
        <v>40</v>
      </c>
      <c r="Q844" s="80">
        <f t="shared" si="129"/>
        <v>315</v>
      </c>
      <c r="R844" s="80">
        <f t="shared" si="130"/>
        <v>100</v>
      </c>
      <c r="S844" s="77">
        <f t="shared" si="131"/>
        <v>695</v>
      </c>
      <c r="T844" s="77">
        <f>50</f>
        <v>50</v>
      </c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</row>
    <row r="845" spans="1:30" ht="15.75" x14ac:dyDescent="0.25">
      <c r="A845" s="32">
        <v>66657</v>
      </c>
      <c r="B845" s="89">
        <f t="shared" si="132"/>
        <v>30</v>
      </c>
      <c r="C845" s="77">
        <f>194.205</f>
        <v>194.20500000000001</v>
      </c>
      <c r="D845" s="77">
        <f>267.466</f>
        <v>267.46600000000001</v>
      </c>
      <c r="E845" s="86">
        <f>133.845</f>
        <v>133.845</v>
      </c>
      <c r="F845" s="77">
        <f>278.484-40-25-60-100</f>
        <v>53.48399999999998</v>
      </c>
      <c r="G845" s="80">
        <v>40</v>
      </c>
      <c r="H845" s="77">
        <f t="shared" si="138"/>
        <v>185</v>
      </c>
      <c r="I845" s="77">
        <f t="shared" si="136"/>
        <v>0</v>
      </c>
      <c r="J845" s="80">
        <v>100</v>
      </c>
      <c r="K845" s="80">
        <v>300</v>
      </c>
      <c r="L845" s="77">
        <f t="shared" si="128"/>
        <v>1274</v>
      </c>
      <c r="M845" s="88">
        <v>600</v>
      </c>
      <c r="N845" s="77">
        <f>30</f>
        <v>30</v>
      </c>
      <c r="O845" s="80">
        <v>240</v>
      </c>
      <c r="P845" s="80">
        <v>40</v>
      </c>
      <c r="Q845" s="80">
        <f t="shared" si="129"/>
        <v>315</v>
      </c>
      <c r="R845" s="80">
        <f t="shared" si="130"/>
        <v>100</v>
      </c>
      <c r="S845" s="77">
        <f t="shared" si="131"/>
        <v>695</v>
      </c>
      <c r="T845" s="77">
        <f>50</f>
        <v>50</v>
      </c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</row>
    <row r="846" spans="1:30" ht="15.75" x14ac:dyDescent="0.25">
      <c r="A846" s="32">
        <v>66688</v>
      </c>
      <c r="B846" s="89">
        <f t="shared" si="132"/>
        <v>31</v>
      </c>
      <c r="C846" s="77">
        <f>194.205</f>
        <v>194.20500000000001</v>
      </c>
      <c r="D846" s="77">
        <f>267.466</f>
        <v>267.46600000000001</v>
      </c>
      <c r="E846" s="86">
        <f>133.845</f>
        <v>133.845</v>
      </c>
      <c r="F846" s="77">
        <f>278.484-40-25-60-100</f>
        <v>53.48399999999998</v>
      </c>
      <c r="G846" s="80">
        <v>40</v>
      </c>
      <c r="H846" s="77">
        <f t="shared" si="138"/>
        <v>185</v>
      </c>
      <c r="I846" s="77">
        <f t="shared" si="136"/>
        <v>0</v>
      </c>
      <c r="J846" s="80">
        <v>100</v>
      </c>
      <c r="K846" s="80">
        <v>300</v>
      </c>
      <c r="L846" s="77">
        <f t="shared" si="128"/>
        <v>1274</v>
      </c>
      <c r="M846" s="88">
        <v>600</v>
      </c>
      <c r="N846" s="77">
        <f>30</f>
        <v>30</v>
      </c>
      <c r="O846" s="80">
        <v>240</v>
      </c>
      <c r="P846" s="80">
        <v>40</v>
      </c>
      <c r="Q846" s="80">
        <f t="shared" si="129"/>
        <v>315</v>
      </c>
      <c r="R846" s="80">
        <f t="shared" si="130"/>
        <v>100</v>
      </c>
      <c r="S846" s="77">
        <f t="shared" si="131"/>
        <v>695</v>
      </c>
      <c r="T846" s="77">
        <f>0</f>
        <v>0</v>
      </c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</row>
    <row r="847" spans="1:30" ht="15.75" x14ac:dyDescent="0.25">
      <c r="A847" s="32">
        <v>66719</v>
      </c>
      <c r="B847" s="89">
        <f t="shared" si="132"/>
        <v>31</v>
      </c>
      <c r="C847" s="77">
        <f>194.205</f>
        <v>194.20500000000001</v>
      </c>
      <c r="D847" s="77">
        <f>267.466</f>
        <v>267.46600000000001</v>
      </c>
      <c r="E847" s="86">
        <f>133.845</f>
        <v>133.845</v>
      </c>
      <c r="F847" s="77">
        <f>278.484-40-25-60-100</f>
        <v>53.48399999999998</v>
      </c>
      <c r="G847" s="80">
        <v>40</v>
      </c>
      <c r="H847" s="77">
        <f t="shared" si="138"/>
        <v>185</v>
      </c>
      <c r="I847" s="77">
        <f t="shared" si="136"/>
        <v>0</v>
      </c>
      <c r="J847" s="80">
        <v>100</v>
      </c>
      <c r="K847" s="80">
        <v>300</v>
      </c>
      <c r="L847" s="77">
        <f t="shared" si="128"/>
        <v>1274</v>
      </c>
      <c r="M847" s="88">
        <v>600</v>
      </c>
      <c r="N847" s="77">
        <f>30</f>
        <v>30</v>
      </c>
      <c r="O847" s="80">
        <v>240</v>
      </c>
      <c r="P847" s="80">
        <v>40</v>
      </c>
      <c r="Q847" s="80">
        <f t="shared" si="129"/>
        <v>315</v>
      </c>
      <c r="R847" s="80">
        <f t="shared" si="130"/>
        <v>100</v>
      </c>
      <c r="S847" s="77">
        <f t="shared" si="131"/>
        <v>695</v>
      </c>
      <c r="T847" s="77">
        <f>0</f>
        <v>0</v>
      </c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</row>
    <row r="848" spans="1:30" ht="15.75" x14ac:dyDescent="0.25">
      <c r="A848" s="32">
        <v>66749</v>
      </c>
      <c r="B848" s="89">
        <f t="shared" si="132"/>
        <v>30</v>
      </c>
      <c r="C848" s="77">
        <f>194.205</f>
        <v>194.20500000000001</v>
      </c>
      <c r="D848" s="77">
        <f>267.466</f>
        <v>267.46600000000001</v>
      </c>
      <c r="E848" s="86">
        <f>133.845</f>
        <v>133.845</v>
      </c>
      <c r="F848" s="77">
        <f>278.484-40-25-60-100</f>
        <v>53.48399999999998</v>
      </c>
      <c r="G848" s="80">
        <v>40</v>
      </c>
      <c r="H848" s="77">
        <f t="shared" si="138"/>
        <v>185</v>
      </c>
      <c r="I848" s="77">
        <f t="shared" si="136"/>
        <v>0</v>
      </c>
      <c r="J848" s="80">
        <v>100</v>
      </c>
      <c r="K848" s="80">
        <v>300</v>
      </c>
      <c r="L848" s="77">
        <f t="shared" si="128"/>
        <v>1274</v>
      </c>
      <c r="M848" s="88">
        <v>600</v>
      </c>
      <c r="N848" s="77">
        <f>30</f>
        <v>30</v>
      </c>
      <c r="O848" s="80">
        <v>240</v>
      </c>
      <c r="P848" s="80">
        <v>40</v>
      </c>
      <c r="Q848" s="80">
        <f t="shared" si="129"/>
        <v>315</v>
      </c>
      <c r="R848" s="80">
        <f t="shared" si="130"/>
        <v>100</v>
      </c>
      <c r="S848" s="77">
        <f t="shared" si="131"/>
        <v>695</v>
      </c>
      <c r="T848" s="77">
        <f>0</f>
        <v>0</v>
      </c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</row>
    <row r="849" spans="1:30" ht="15.75" x14ac:dyDescent="0.25">
      <c r="A849" s="32">
        <v>66780</v>
      </c>
      <c r="B849" s="89">
        <f t="shared" si="132"/>
        <v>31</v>
      </c>
      <c r="C849" s="77">
        <f>131.881</f>
        <v>131.881</v>
      </c>
      <c r="D849" s="77">
        <f>277.167</f>
        <v>277.16699999999997</v>
      </c>
      <c r="E849" s="86">
        <f>79.08</f>
        <v>79.08</v>
      </c>
      <c r="F849" s="77">
        <f>350.872-40-25-60-100</f>
        <v>125.87200000000001</v>
      </c>
      <c r="G849" s="80">
        <v>40</v>
      </c>
      <c r="H849" s="77">
        <f t="shared" si="138"/>
        <v>185</v>
      </c>
      <c r="I849" s="77">
        <f t="shared" si="136"/>
        <v>0</v>
      </c>
      <c r="J849" s="80">
        <v>100</v>
      </c>
      <c r="K849" s="80">
        <v>300</v>
      </c>
      <c r="L849" s="77">
        <f t="shared" ref="L849:L912" si="139">SUM(C849:K849)</f>
        <v>1239</v>
      </c>
      <c r="M849" s="88">
        <v>600</v>
      </c>
      <c r="N849" s="77">
        <f>75</f>
        <v>75</v>
      </c>
      <c r="O849" s="80">
        <v>240</v>
      </c>
      <c r="P849" s="80">
        <v>40</v>
      </c>
      <c r="Q849" s="80">
        <f t="shared" ref="Q849:Q912" si="140">695-R849-O849-P849</f>
        <v>315</v>
      </c>
      <c r="R849" s="80">
        <f t="shared" ref="R849:R912" si="141">200-J849</f>
        <v>100</v>
      </c>
      <c r="S849" s="77">
        <f t="shared" ref="S849:S912" si="142">SUM(O849:R849)</f>
        <v>695</v>
      </c>
      <c r="T849" s="77">
        <f>0</f>
        <v>0</v>
      </c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</row>
    <row r="850" spans="1:30" ht="15.75" x14ac:dyDescent="0.25">
      <c r="A850" s="32">
        <v>66810</v>
      </c>
      <c r="B850" s="89">
        <f t="shared" si="132"/>
        <v>30</v>
      </c>
      <c r="C850" s="77">
        <f>122.58</f>
        <v>122.58</v>
      </c>
      <c r="D850" s="77">
        <f>297.941</f>
        <v>297.94099999999997</v>
      </c>
      <c r="E850" s="86">
        <f>89.177</f>
        <v>89.177000000000007</v>
      </c>
      <c r="F850" s="77">
        <f>240.302-40-60-100</f>
        <v>40.301999999999992</v>
      </c>
      <c r="G850" s="80">
        <v>40</v>
      </c>
      <c r="H850" s="77">
        <f>60+100</f>
        <v>160</v>
      </c>
      <c r="I850" s="77">
        <f t="shared" si="136"/>
        <v>0</v>
      </c>
      <c r="J850" s="80">
        <v>100</v>
      </c>
      <c r="K850" s="80">
        <v>300</v>
      </c>
      <c r="L850" s="77">
        <f t="shared" si="139"/>
        <v>1150</v>
      </c>
      <c r="M850" s="88">
        <v>600</v>
      </c>
      <c r="N850" s="77">
        <f>100</f>
        <v>100</v>
      </c>
      <c r="O850" s="80">
        <v>240</v>
      </c>
      <c r="P850" s="80">
        <v>40</v>
      </c>
      <c r="Q850" s="80">
        <f t="shared" si="140"/>
        <v>315</v>
      </c>
      <c r="R850" s="80">
        <f t="shared" si="141"/>
        <v>100</v>
      </c>
      <c r="S850" s="77">
        <f t="shared" si="142"/>
        <v>695</v>
      </c>
      <c r="T850" s="77">
        <f>50</f>
        <v>50</v>
      </c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</row>
    <row r="851" spans="1:30" ht="15.75" x14ac:dyDescent="0.25">
      <c r="A851" s="32">
        <v>66841</v>
      </c>
      <c r="B851" s="89">
        <f t="shared" si="132"/>
        <v>31</v>
      </c>
      <c r="C851" s="77">
        <f>122.58</f>
        <v>122.58</v>
      </c>
      <c r="D851" s="77">
        <f>297.941</f>
        <v>297.94099999999997</v>
      </c>
      <c r="E851" s="86">
        <f>89.177</f>
        <v>89.177000000000007</v>
      </c>
      <c r="F851" s="77">
        <f>240.302-40-60-100</f>
        <v>40.301999999999992</v>
      </c>
      <c r="G851" s="80">
        <v>40</v>
      </c>
      <c r="H851" s="77">
        <f>60+100</f>
        <v>160</v>
      </c>
      <c r="I851" s="77">
        <f t="shared" si="136"/>
        <v>0</v>
      </c>
      <c r="J851" s="80">
        <v>100</v>
      </c>
      <c r="K851" s="80">
        <v>300</v>
      </c>
      <c r="L851" s="77">
        <f t="shared" si="139"/>
        <v>1150</v>
      </c>
      <c r="M851" s="88">
        <v>600</v>
      </c>
      <c r="N851" s="77">
        <f>100</f>
        <v>100</v>
      </c>
      <c r="O851" s="80">
        <v>240</v>
      </c>
      <c r="P851" s="80">
        <v>40</v>
      </c>
      <c r="Q851" s="80">
        <f t="shared" si="140"/>
        <v>315</v>
      </c>
      <c r="R851" s="80">
        <f t="shared" si="141"/>
        <v>100</v>
      </c>
      <c r="S851" s="77">
        <f t="shared" si="142"/>
        <v>695</v>
      </c>
      <c r="T851" s="77">
        <f>50</f>
        <v>50</v>
      </c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</row>
    <row r="852" spans="1:30" ht="15.75" x14ac:dyDescent="0.25">
      <c r="A852" s="32">
        <v>66872</v>
      </c>
      <c r="B852" s="89">
        <f t="shared" si="132"/>
        <v>31</v>
      </c>
      <c r="C852" s="77">
        <f>122.58</f>
        <v>122.58</v>
      </c>
      <c r="D852" s="77">
        <f>297.941</f>
        <v>297.94099999999997</v>
      </c>
      <c r="E852" s="86">
        <f>89.177</f>
        <v>89.177000000000007</v>
      </c>
      <c r="F852" s="77">
        <f>240.302-40-60-100</f>
        <v>40.301999999999992</v>
      </c>
      <c r="G852" s="80">
        <v>40</v>
      </c>
      <c r="H852" s="77">
        <f>60+100</f>
        <v>160</v>
      </c>
      <c r="I852" s="77">
        <f t="shared" si="136"/>
        <v>0</v>
      </c>
      <c r="J852" s="80">
        <v>100</v>
      </c>
      <c r="K852" s="80">
        <v>300</v>
      </c>
      <c r="L852" s="77">
        <f t="shared" si="139"/>
        <v>1150</v>
      </c>
      <c r="M852" s="88">
        <v>600</v>
      </c>
      <c r="N852" s="77">
        <f>100</f>
        <v>100</v>
      </c>
      <c r="O852" s="80">
        <v>240</v>
      </c>
      <c r="P852" s="80">
        <v>40</v>
      </c>
      <c r="Q852" s="80">
        <f t="shared" si="140"/>
        <v>315</v>
      </c>
      <c r="R852" s="80">
        <f t="shared" si="141"/>
        <v>100</v>
      </c>
      <c r="S852" s="77">
        <f t="shared" si="142"/>
        <v>695</v>
      </c>
      <c r="T852" s="77">
        <f>50</f>
        <v>50</v>
      </c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</row>
    <row r="853" spans="1:30" ht="15.75" x14ac:dyDescent="0.25">
      <c r="A853" s="32">
        <v>66900</v>
      </c>
      <c r="B853" s="89">
        <f t="shared" si="132"/>
        <v>28</v>
      </c>
      <c r="C853" s="77">
        <f>122.58</f>
        <v>122.58</v>
      </c>
      <c r="D853" s="77">
        <f>297.941</f>
        <v>297.94099999999997</v>
      </c>
      <c r="E853" s="86">
        <f>89.177</f>
        <v>89.177000000000007</v>
      </c>
      <c r="F853" s="77">
        <f>240.302-40-60-100</f>
        <v>40.301999999999992</v>
      </c>
      <c r="G853" s="80">
        <v>40</v>
      </c>
      <c r="H853" s="77">
        <f>60+100</f>
        <v>160</v>
      </c>
      <c r="I853" s="77">
        <f t="shared" si="136"/>
        <v>0</v>
      </c>
      <c r="J853" s="80">
        <v>100</v>
      </c>
      <c r="K853" s="80">
        <v>300</v>
      </c>
      <c r="L853" s="77">
        <f t="shared" si="139"/>
        <v>1150</v>
      </c>
      <c r="M853" s="88">
        <v>600</v>
      </c>
      <c r="N853" s="77">
        <f>100</f>
        <v>100</v>
      </c>
      <c r="O853" s="80">
        <v>240</v>
      </c>
      <c r="P853" s="80">
        <v>40</v>
      </c>
      <c r="Q853" s="80">
        <f t="shared" si="140"/>
        <v>315</v>
      </c>
      <c r="R853" s="80">
        <f t="shared" si="141"/>
        <v>100</v>
      </c>
      <c r="S853" s="77">
        <f t="shared" si="142"/>
        <v>695</v>
      </c>
      <c r="T853" s="77">
        <f>50</f>
        <v>50</v>
      </c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</row>
    <row r="854" spans="1:30" ht="15.75" x14ac:dyDescent="0.25">
      <c r="A854" s="32">
        <v>66931</v>
      </c>
      <c r="B854" s="89">
        <f t="shared" si="132"/>
        <v>31</v>
      </c>
      <c r="C854" s="77">
        <f>122.58</f>
        <v>122.58</v>
      </c>
      <c r="D854" s="77">
        <f>297.941</f>
        <v>297.94099999999997</v>
      </c>
      <c r="E854" s="86">
        <f>89.177</f>
        <v>89.177000000000007</v>
      </c>
      <c r="F854" s="77">
        <f>240.302-40-60-100</f>
        <v>40.301999999999992</v>
      </c>
      <c r="G854" s="80">
        <v>40</v>
      </c>
      <c r="H854" s="77">
        <f>60+100</f>
        <v>160</v>
      </c>
      <c r="I854" s="77">
        <f t="shared" si="136"/>
        <v>0</v>
      </c>
      <c r="J854" s="80">
        <v>100</v>
      </c>
      <c r="K854" s="80">
        <v>300</v>
      </c>
      <c r="L854" s="77">
        <f t="shared" si="139"/>
        <v>1150</v>
      </c>
      <c r="M854" s="88">
        <v>600</v>
      </c>
      <c r="N854" s="77">
        <f>100</f>
        <v>100</v>
      </c>
      <c r="O854" s="80">
        <v>240</v>
      </c>
      <c r="P854" s="80">
        <v>40</v>
      </c>
      <c r="Q854" s="80">
        <f t="shared" si="140"/>
        <v>315</v>
      </c>
      <c r="R854" s="80">
        <f t="shared" si="141"/>
        <v>100</v>
      </c>
      <c r="S854" s="77">
        <f t="shared" si="142"/>
        <v>695</v>
      </c>
      <c r="T854" s="77">
        <f>50</f>
        <v>50</v>
      </c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</row>
    <row r="855" spans="1:30" ht="15.75" x14ac:dyDescent="0.25">
      <c r="A855" s="32">
        <v>66961</v>
      </c>
      <c r="B855" s="89">
        <f t="shared" si="132"/>
        <v>30</v>
      </c>
      <c r="C855" s="77">
        <f>141.293</f>
        <v>141.29300000000001</v>
      </c>
      <c r="D855" s="77">
        <f>267.993</f>
        <v>267.99299999999999</v>
      </c>
      <c r="E855" s="86">
        <f>115.016</f>
        <v>115.01600000000001</v>
      </c>
      <c r="F855" s="77">
        <f>314.698-40-25-60-100</f>
        <v>89.697999999999979</v>
      </c>
      <c r="G855" s="80">
        <v>40</v>
      </c>
      <c r="H855" s="77">
        <f t="shared" ref="H855:H861" si="143">25+60+100</f>
        <v>185</v>
      </c>
      <c r="I855" s="77">
        <f t="shared" si="136"/>
        <v>0</v>
      </c>
      <c r="J855" s="80">
        <v>100</v>
      </c>
      <c r="K855" s="80">
        <v>300</v>
      </c>
      <c r="L855" s="77">
        <f t="shared" si="139"/>
        <v>1239</v>
      </c>
      <c r="M855" s="88">
        <v>600</v>
      </c>
      <c r="N855" s="77">
        <f>100</f>
        <v>100</v>
      </c>
      <c r="O855" s="80">
        <v>240</v>
      </c>
      <c r="P855" s="80">
        <v>40</v>
      </c>
      <c r="Q855" s="80">
        <f t="shared" si="140"/>
        <v>315</v>
      </c>
      <c r="R855" s="80">
        <f t="shared" si="141"/>
        <v>100</v>
      </c>
      <c r="S855" s="77">
        <f t="shared" si="142"/>
        <v>695</v>
      </c>
      <c r="T855" s="77">
        <f>50</f>
        <v>50</v>
      </c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</row>
    <row r="856" spans="1:30" ht="15.75" x14ac:dyDescent="0.25">
      <c r="A856" s="32">
        <v>66992</v>
      </c>
      <c r="B856" s="89">
        <f t="shared" ref="B856:B919" si="144">EOMONTH(A856,0)-EOMONTH(A856,-1)</f>
        <v>31</v>
      </c>
      <c r="C856" s="77">
        <f>194.205</f>
        <v>194.20500000000001</v>
      </c>
      <c r="D856" s="77">
        <f>267.466</f>
        <v>267.46600000000001</v>
      </c>
      <c r="E856" s="86">
        <f>133.845</f>
        <v>133.845</v>
      </c>
      <c r="F856" s="77">
        <f>278.484-40-25-60-100</f>
        <v>53.48399999999998</v>
      </c>
      <c r="G856" s="80">
        <v>40</v>
      </c>
      <c r="H856" s="77">
        <f t="shared" si="143"/>
        <v>185</v>
      </c>
      <c r="I856" s="77">
        <f t="shared" si="136"/>
        <v>0</v>
      </c>
      <c r="J856" s="80">
        <v>100</v>
      </c>
      <c r="K856" s="80">
        <v>300</v>
      </c>
      <c r="L856" s="77">
        <f t="shared" si="139"/>
        <v>1274</v>
      </c>
      <c r="M856" s="88">
        <v>600</v>
      </c>
      <c r="N856" s="77">
        <f>75</f>
        <v>75</v>
      </c>
      <c r="O856" s="80">
        <v>240</v>
      </c>
      <c r="P856" s="80">
        <v>40</v>
      </c>
      <c r="Q856" s="80">
        <f t="shared" si="140"/>
        <v>315</v>
      </c>
      <c r="R856" s="80">
        <f t="shared" si="141"/>
        <v>100</v>
      </c>
      <c r="S856" s="77">
        <f t="shared" si="142"/>
        <v>695</v>
      </c>
      <c r="T856" s="77">
        <f>50</f>
        <v>50</v>
      </c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</row>
    <row r="857" spans="1:30" ht="15.75" x14ac:dyDescent="0.25">
      <c r="A857" s="32">
        <v>67022</v>
      </c>
      <c r="B857" s="89">
        <f t="shared" si="144"/>
        <v>30</v>
      </c>
      <c r="C857" s="77">
        <f>194.205</f>
        <v>194.20500000000001</v>
      </c>
      <c r="D857" s="77">
        <f>267.466</f>
        <v>267.46600000000001</v>
      </c>
      <c r="E857" s="86">
        <f>133.845</f>
        <v>133.845</v>
      </c>
      <c r="F857" s="77">
        <f>278.484-40-25-60-100</f>
        <v>53.48399999999998</v>
      </c>
      <c r="G857" s="80">
        <v>40</v>
      </c>
      <c r="H857" s="77">
        <f t="shared" si="143"/>
        <v>185</v>
      </c>
      <c r="I857" s="77">
        <f t="shared" si="136"/>
        <v>0</v>
      </c>
      <c r="J857" s="80">
        <v>100</v>
      </c>
      <c r="K857" s="80">
        <v>300</v>
      </c>
      <c r="L857" s="77">
        <f t="shared" si="139"/>
        <v>1274</v>
      </c>
      <c r="M857" s="88">
        <v>600</v>
      </c>
      <c r="N857" s="77">
        <f>30</f>
        <v>30</v>
      </c>
      <c r="O857" s="80">
        <v>240</v>
      </c>
      <c r="P857" s="80">
        <v>40</v>
      </c>
      <c r="Q857" s="80">
        <f t="shared" si="140"/>
        <v>315</v>
      </c>
      <c r="R857" s="80">
        <f t="shared" si="141"/>
        <v>100</v>
      </c>
      <c r="S857" s="77">
        <f t="shared" si="142"/>
        <v>695</v>
      </c>
      <c r="T857" s="77">
        <f>50</f>
        <v>50</v>
      </c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</row>
    <row r="858" spans="1:30" ht="15.75" x14ac:dyDescent="0.25">
      <c r="A858" s="32">
        <v>67053</v>
      </c>
      <c r="B858" s="89">
        <f t="shared" si="144"/>
        <v>31</v>
      </c>
      <c r="C858" s="77">
        <f>194.205</f>
        <v>194.20500000000001</v>
      </c>
      <c r="D858" s="77">
        <f>267.466</f>
        <v>267.46600000000001</v>
      </c>
      <c r="E858" s="86">
        <f>133.845</f>
        <v>133.845</v>
      </c>
      <c r="F858" s="77">
        <f>278.484-40-25-60-100</f>
        <v>53.48399999999998</v>
      </c>
      <c r="G858" s="80">
        <v>40</v>
      </c>
      <c r="H858" s="77">
        <f t="shared" si="143"/>
        <v>185</v>
      </c>
      <c r="I858" s="77">
        <f t="shared" si="136"/>
        <v>0</v>
      </c>
      <c r="J858" s="80">
        <v>100</v>
      </c>
      <c r="K858" s="80">
        <v>300</v>
      </c>
      <c r="L858" s="77">
        <f t="shared" si="139"/>
        <v>1274</v>
      </c>
      <c r="M858" s="88">
        <v>600</v>
      </c>
      <c r="N858" s="77">
        <f>30</f>
        <v>30</v>
      </c>
      <c r="O858" s="80">
        <v>240</v>
      </c>
      <c r="P858" s="80">
        <v>40</v>
      </c>
      <c r="Q858" s="80">
        <f t="shared" si="140"/>
        <v>315</v>
      </c>
      <c r="R858" s="80">
        <f t="shared" si="141"/>
        <v>100</v>
      </c>
      <c r="S858" s="77">
        <f t="shared" si="142"/>
        <v>695</v>
      </c>
      <c r="T858" s="77">
        <f>0</f>
        <v>0</v>
      </c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</row>
    <row r="859" spans="1:30" ht="15.75" x14ac:dyDescent="0.25">
      <c r="A859" s="32">
        <v>67084</v>
      </c>
      <c r="B859" s="89">
        <f t="shared" si="144"/>
        <v>31</v>
      </c>
      <c r="C859" s="77">
        <f>194.205</f>
        <v>194.20500000000001</v>
      </c>
      <c r="D859" s="77">
        <f>267.466</f>
        <v>267.46600000000001</v>
      </c>
      <c r="E859" s="86">
        <f>133.845</f>
        <v>133.845</v>
      </c>
      <c r="F859" s="77">
        <f>278.484-40-25-60-100</f>
        <v>53.48399999999998</v>
      </c>
      <c r="G859" s="80">
        <v>40</v>
      </c>
      <c r="H859" s="77">
        <f t="shared" si="143"/>
        <v>185</v>
      </c>
      <c r="I859" s="77">
        <f t="shared" si="136"/>
        <v>0</v>
      </c>
      <c r="J859" s="80">
        <v>100</v>
      </c>
      <c r="K859" s="80">
        <v>300</v>
      </c>
      <c r="L859" s="77">
        <f t="shared" si="139"/>
        <v>1274</v>
      </c>
      <c r="M859" s="88">
        <v>600</v>
      </c>
      <c r="N859" s="77">
        <f>30</f>
        <v>30</v>
      </c>
      <c r="O859" s="80">
        <v>240</v>
      </c>
      <c r="P859" s="80">
        <v>40</v>
      </c>
      <c r="Q859" s="80">
        <f t="shared" si="140"/>
        <v>315</v>
      </c>
      <c r="R859" s="80">
        <f t="shared" si="141"/>
        <v>100</v>
      </c>
      <c r="S859" s="77">
        <f t="shared" si="142"/>
        <v>695</v>
      </c>
      <c r="T859" s="77">
        <f>0</f>
        <v>0</v>
      </c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</row>
    <row r="860" spans="1:30" ht="15.75" x14ac:dyDescent="0.25">
      <c r="A860" s="32">
        <v>67114</v>
      </c>
      <c r="B860" s="89">
        <f t="shared" si="144"/>
        <v>30</v>
      </c>
      <c r="C860" s="77">
        <f>194.205</f>
        <v>194.20500000000001</v>
      </c>
      <c r="D860" s="77">
        <f>267.466</f>
        <v>267.46600000000001</v>
      </c>
      <c r="E860" s="86">
        <f>133.845</f>
        <v>133.845</v>
      </c>
      <c r="F860" s="77">
        <f>278.484-40-25-60-100</f>
        <v>53.48399999999998</v>
      </c>
      <c r="G860" s="80">
        <v>40</v>
      </c>
      <c r="H860" s="77">
        <f t="shared" si="143"/>
        <v>185</v>
      </c>
      <c r="I860" s="77">
        <f t="shared" si="136"/>
        <v>0</v>
      </c>
      <c r="J860" s="80">
        <v>100</v>
      </c>
      <c r="K860" s="80">
        <v>300</v>
      </c>
      <c r="L860" s="77">
        <f t="shared" si="139"/>
        <v>1274</v>
      </c>
      <c r="M860" s="88">
        <v>600</v>
      </c>
      <c r="N860" s="77">
        <f>30</f>
        <v>30</v>
      </c>
      <c r="O860" s="80">
        <v>240</v>
      </c>
      <c r="P860" s="80">
        <v>40</v>
      </c>
      <c r="Q860" s="80">
        <f t="shared" si="140"/>
        <v>315</v>
      </c>
      <c r="R860" s="80">
        <f t="shared" si="141"/>
        <v>100</v>
      </c>
      <c r="S860" s="77">
        <f t="shared" si="142"/>
        <v>695</v>
      </c>
      <c r="T860" s="77">
        <f>0</f>
        <v>0</v>
      </c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</row>
    <row r="861" spans="1:30" ht="15.75" x14ac:dyDescent="0.25">
      <c r="A861" s="32">
        <v>67145</v>
      </c>
      <c r="B861" s="89">
        <f t="shared" si="144"/>
        <v>31</v>
      </c>
      <c r="C861" s="77">
        <f>131.881</f>
        <v>131.881</v>
      </c>
      <c r="D861" s="77">
        <f>277.167</f>
        <v>277.16699999999997</v>
      </c>
      <c r="E861" s="86">
        <f>79.08</f>
        <v>79.08</v>
      </c>
      <c r="F861" s="77">
        <f>350.872-40-25-60-100</f>
        <v>125.87200000000001</v>
      </c>
      <c r="G861" s="80">
        <v>40</v>
      </c>
      <c r="H861" s="77">
        <f t="shared" si="143"/>
        <v>185</v>
      </c>
      <c r="I861" s="77">
        <f t="shared" si="136"/>
        <v>0</v>
      </c>
      <c r="J861" s="80">
        <v>100</v>
      </c>
      <c r="K861" s="80">
        <v>300</v>
      </c>
      <c r="L861" s="77">
        <f t="shared" si="139"/>
        <v>1239</v>
      </c>
      <c r="M861" s="88">
        <v>600</v>
      </c>
      <c r="N861" s="77">
        <f>75</f>
        <v>75</v>
      </c>
      <c r="O861" s="80">
        <v>240</v>
      </c>
      <c r="P861" s="80">
        <v>40</v>
      </c>
      <c r="Q861" s="80">
        <f t="shared" si="140"/>
        <v>315</v>
      </c>
      <c r="R861" s="80">
        <f t="shared" si="141"/>
        <v>100</v>
      </c>
      <c r="S861" s="77">
        <f t="shared" si="142"/>
        <v>695</v>
      </c>
      <c r="T861" s="77">
        <f>0</f>
        <v>0</v>
      </c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</row>
    <row r="862" spans="1:30" ht="15.75" x14ac:dyDescent="0.25">
      <c r="A862" s="32">
        <v>67175</v>
      </c>
      <c r="B862" s="89">
        <f t="shared" si="144"/>
        <v>30</v>
      </c>
      <c r="C862" s="77">
        <f>122.58</f>
        <v>122.58</v>
      </c>
      <c r="D862" s="77">
        <f>297.941</f>
        <v>297.94099999999997</v>
      </c>
      <c r="E862" s="86">
        <f>89.177</f>
        <v>89.177000000000007</v>
      </c>
      <c r="F862" s="77">
        <f>240.302-40-60-100</f>
        <v>40.301999999999992</v>
      </c>
      <c r="G862" s="80">
        <v>40</v>
      </c>
      <c r="H862" s="77">
        <f>60+100</f>
        <v>160</v>
      </c>
      <c r="I862" s="77">
        <f t="shared" si="136"/>
        <v>0</v>
      </c>
      <c r="J862" s="80">
        <v>100</v>
      </c>
      <c r="K862" s="80">
        <v>300</v>
      </c>
      <c r="L862" s="77">
        <f t="shared" si="139"/>
        <v>1150</v>
      </c>
      <c r="M862" s="88">
        <v>600</v>
      </c>
      <c r="N862" s="77">
        <f>100</f>
        <v>100</v>
      </c>
      <c r="O862" s="80">
        <v>240</v>
      </c>
      <c r="P862" s="80">
        <v>40</v>
      </c>
      <c r="Q862" s="80">
        <f t="shared" si="140"/>
        <v>315</v>
      </c>
      <c r="R862" s="80">
        <f t="shared" si="141"/>
        <v>100</v>
      </c>
      <c r="S862" s="77">
        <f t="shared" si="142"/>
        <v>695</v>
      </c>
      <c r="T862" s="77">
        <f>50</f>
        <v>50</v>
      </c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</row>
    <row r="863" spans="1:30" ht="15.75" x14ac:dyDescent="0.25">
      <c r="A863" s="32">
        <v>67206</v>
      </c>
      <c r="B863" s="89">
        <f t="shared" si="144"/>
        <v>31</v>
      </c>
      <c r="C863" s="77">
        <f>122.58</f>
        <v>122.58</v>
      </c>
      <c r="D863" s="77">
        <f>297.941</f>
        <v>297.94099999999997</v>
      </c>
      <c r="E863" s="86">
        <f>89.177</f>
        <v>89.177000000000007</v>
      </c>
      <c r="F863" s="77">
        <f>240.302-40-60-100</f>
        <v>40.301999999999992</v>
      </c>
      <c r="G863" s="80">
        <v>40</v>
      </c>
      <c r="H863" s="77">
        <f>60+100</f>
        <v>160</v>
      </c>
      <c r="I863" s="77">
        <f t="shared" si="136"/>
        <v>0</v>
      </c>
      <c r="J863" s="80">
        <v>100</v>
      </c>
      <c r="K863" s="80">
        <v>300</v>
      </c>
      <c r="L863" s="77">
        <f t="shared" si="139"/>
        <v>1150</v>
      </c>
      <c r="M863" s="88">
        <v>600</v>
      </c>
      <c r="N863" s="77">
        <f>100</f>
        <v>100</v>
      </c>
      <c r="O863" s="80">
        <v>240</v>
      </c>
      <c r="P863" s="80">
        <v>40</v>
      </c>
      <c r="Q863" s="80">
        <f t="shared" si="140"/>
        <v>315</v>
      </c>
      <c r="R863" s="80">
        <f t="shared" si="141"/>
        <v>100</v>
      </c>
      <c r="S863" s="77">
        <f t="shared" si="142"/>
        <v>695</v>
      </c>
      <c r="T863" s="77">
        <f>50</f>
        <v>50</v>
      </c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</row>
    <row r="864" spans="1:30" ht="15.75" x14ac:dyDescent="0.25">
      <c r="A864" s="32">
        <v>67237</v>
      </c>
      <c r="B864" s="89">
        <f t="shared" si="144"/>
        <v>31</v>
      </c>
      <c r="C864" s="77">
        <f>122.58</f>
        <v>122.58</v>
      </c>
      <c r="D864" s="77">
        <f>297.941</f>
        <v>297.94099999999997</v>
      </c>
      <c r="E864" s="86">
        <f>89.177</f>
        <v>89.177000000000007</v>
      </c>
      <c r="F864" s="77">
        <f>240.302-40-60-100</f>
        <v>40.301999999999992</v>
      </c>
      <c r="G864" s="80">
        <v>40</v>
      </c>
      <c r="H864" s="77">
        <f>60+100</f>
        <v>160</v>
      </c>
      <c r="I864" s="77">
        <f t="shared" si="136"/>
        <v>0</v>
      </c>
      <c r="J864" s="80">
        <v>100</v>
      </c>
      <c r="K864" s="80">
        <v>300</v>
      </c>
      <c r="L864" s="77">
        <f t="shared" si="139"/>
        <v>1150</v>
      </c>
      <c r="M864" s="88">
        <v>600</v>
      </c>
      <c r="N864" s="77">
        <f>100</f>
        <v>100</v>
      </c>
      <c r="O864" s="80">
        <v>240</v>
      </c>
      <c r="P864" s="80">
        <v>40</v>
      </c>
      <c r="Q864" s="80">
        <f t="shared" si="140"/>
        <v>315</v>
      </c>
      <c r="R864" s="80">
        <f t="shared" si="141"/>
        <v>100</v>
      </c>
      <c r="S864" s="77">
        <f t="shared" si="142"/>
        <v>695</v>
      </c>
      <c r="T864" s="77">
        <f>50</f>
        <v>50</v>
      </c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</row>
    <row r="865" spans="1:30" ht="15.75" x14ac:dyDescent="0.25">
      <c r="A865" s="32">
        <v>67266</v>
      </c>
      <c r="B865" s="89">
        <f t="shared" si="144"/>
        <v>29</v>
      </c>
      <c r="C865" s="77">
        <f>122.58</f>
        <v>122.58</v>
      </c>
      <c r="D865" s="77">
        <f>297.941</f>
        <v>297.94099999999997</v>
      </c>
      <c r="E865" s="86">
        <f>89.177</f>
        <v>89.177000000000007</v>
      </c>
      <c r="F865" s="77">
        <f>240.302-40-60-100</f>
        <v>40.301999999999992</v>
      </c>
      <c r="G865" s="80">
        <v>40</v>
      </c>
      <c r="H865" s="77">
        <f>60+100</f>
        <v>160</v>
      </c>
      <c r="I865" s="77">
        <f t="shared" si="136"/>
        <v>0</v>
      </c>
      <c r="J865" s="80">
        <v>100</v>
      </c>
      <c r="K865" s="80">
        <v>300</v>
      </c>
      <c r="L865" s="77">
        <f t="shared" si="139"/>
        <v>1150</v>
      </c>
      <c r="M865" s="88">
        <v>600</v>
      </c>
      <c r="N865" s="77">
        <f>100</f>
        <v>100</v>
      </c>
      <c r="O865" s="80">
        <v>240</v>
      </c>
      <c r="P865" s="80">
        <v>40</v>
      </c>
      <c r="Q865" s="80">
        <f t="shared" si="140"/>
        <v>315</v>
      </c>
      <c r="R865" s="80">
        <f t="shared" si="141"/>
        <v>100</v>
      </c>
      <c r="S865" s="77">
        <f t="shared" si="142"/>
        <v>695</v>
      </c>
      <c r="T865" s="77">
        <f>50</f>
        <v>50</v>
      </c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</row>
    <row r="866" spans="1:30" ht="15.75" x14ac:dyDescent="0.25">
      <c r="A866" s="32">
        <v>67297</v>
      </c>
      <c r="B866" s="89">
        <f t="shared" si="144"/>
        <v>31</v>
      </c>
      <c r="C866" s="77">
        <f>122.58</f>
        <v>122.58</v>
      </c>
      <c r="D866" s="77">
        <f>297.941</f>
        <v>297.94099999999997</v>
      </c>
      <c r="E866" s="86">
        <f>89.177</f>
        <v>89.177000000000007</v>
      </c>
      <c r="F866" s="77">
        <f>240.302-40-60-100</f>
        <v>40.301999999999992</v>
      </c>
      <c r="G866" s="80">
        <v>40</v>
      </c>
      <c r="H866" s="77">
        <f>60+100</f>
        <v>160</v>
      </c>
      <c r="I866" s="77">
        <f t="shared" si="136"/>
        <v>0</v>
      </c>
      <c r="J866" s="80">
        <v>100</v>
      </c>
      <c r="K866" s="80">
        <v>300</v>
      </c>
      <c r="L866" s="77">
        <f t="shared" si="139"/>
        <v>1150</v>
      </c>
      <c r="M866" s="88">
        <v>600</v>
      </c>
      <c r="N866" s="77">
        <f>100</f>
        <v>100</v>
      </c>
      <c r="O866" s="80">
        <v>240</v>
      </c>
      <c r="P866" s="80">
        <v>40</v>
      </c>
      <c r="Q866" s="80">
        <f t="shared" si="140"/>
        <v>315</v>
      </c>
      <c r="R866" s="80">
        <f t="shared" si="141"/>
        <v>100</v>
      </c>
      <c r="S866" s="77">
        <f t="shared" si="142"/>
        <v>695</v>
      </c>
      <c r="T866" s="77">
        <f>50</f>
        <v>50</v>
      </c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</row>
    <row r="867" spans="1:30" ht="15.75" x14ac:dyDescent="0.25">
      <c r="A867" s="32">
        <v>67327</v>
      </c>
      <c r="B867" s="89">
        <f t="shared" si="144"/>
        <v>30</v>
      </c>
      <c r="C867" s="77">
        <f>141.293</f>
        <v>141.29300000000001</v>
      </c>
      <c r="D867" s="77">
        <f>267.993</f>
        <v>267.99299999999999</v>
      </c>
      <c r="E867" s="86">
        <f>115.016</f>
        <v>115.01600000000001</v>
      </c>
      <c r="F867" s="77">
        <f>314.698-40-25-60-100</f>
        <v>89.697999999999979</v>
      </c>
      <c r="G867" s="80">
        <v>40</v>
      </c>
      <c r="H867" s="77">
        <f t="shared" ref="H867:H873" si="145">25+60+100</f>
        <v>185</v>
      </c>
      <c r="I867" s="77">
        <f t="shared" si="136"/>
        <v>0</v>
      </c>
      <c r="J867" s="80">
        <v>100</v>
      </c>
      <c r="K867" s="80">
        <v>300</v>
      </c>
      <c r="L867" s="77">
        <f t="shared" si="139"/>
        <v>1239</v>
      </c>
      <c r="M867" s="88">
        <v>600</v>
      </c>
      <c r="N867" s="77">
        <f>100</f>
        <v>100</v>
      </c>
      <c r="O867" s="80">
        <v>240</v>
      </c>
      <c r="P867" s="80">
        <v>40</v>
      </c>
      <c r="Q867" s="80">
        <f t="shared" si="140"/>
        <v>315</v>
      </c>
      <c r="R867" s="80">
        <f t="shared" si="141"/>
        <v>100</v>
      </c>
      <c r="S867" s="77">
        <f t="shared" si="142"/>
        <v>695</v>
      </c>
      <c r="T867" s="77">
        <f>50</f>
        <v>50</v>
      </c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</row>
    <row r="868" spans="1:30" ht="15.75" x14ac:dyDescent="0.25">
      <c r="A868" s="32">
        <v>67358</v>
      </c>
      <c r="B868" s="89">
        <f t="shared" si="144"/>
        <v>31</v>
      </c>
      <c r="C868" s="77">
        <f>194.205</f>
        <v>194.20500000000001</v>
      </c>
      <c r="D868" s="77">
        <f>267.466</f>
        <v>267.46600000000001</v>
      </c>
      <c r="E868" s="86">
        <f>133.845</f>
        <v>133.845</v>
      </c>
      <c r="F868" s="77">
        <f>278.484-40-25-60-100</f>
        <v>53.48399999999998</v>
      </c>
      <c r="G868" s="80">
        <v>40</v>
      </c>
      <c r="H868" s="77">
        <f t="shared" si="145"/>
        <v>185</v>
      </c>
      <c r="I868" s="77">
        <f t="shared" si="136"/>
        <v>0</v>
      </c>
      <c r="J868" s="80">
        <v>100</v>
      </c>
      <c r="K868" s="80">
        <v>300</v>
      </c>
      <c r="L868" s="77">
        <f t="shared" si="139"/>
        <v>1274</v>
      </c>
      <c r="M868" s="88">
        <v>600</v>
      </c>
      <c r="N868" s="77">
        <f>75</f>
        <v>75</v>
      </c>
      <c r="O868" s="80">
        <v>240</v>
      </c>
      <c r="P868" s="80">
        <v>40</v>
      </c>
      <c r="Q868" s="80">
        <f t="shared" si="140"/>
        <v>315</v>
      </c>
      <c r="R868" s="80">
        <f t="shared" si="141"/>
        <v>100</v>
      </c>
      <c r="S868" s="77">
        <f t="shared" si="142"/>
        <v>695</v>
      </c>
      <c r="T868" s="77">
        <f>50</f>
        <v>50</v>
      </c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</row>
    <row r="869" spans="1:30" ht="15.75" x14ac:dyDescent="0.25">
      <c r="A869" s="32">
        <v>67388</v>
      </c>
      <c r="B869" s="89">
        <f t="shared" si="144"/>
        <v>30</v>
      </c>
      <c r="C869" s="77">
        <f>194.205</f>
        <v>194.20500000000001</v>
      </c>
      <c r="D869" s="77">
        <f>267.466</f>
        <v>267.46600000000001</v>
      </c>
      <c r="E869" s="86">
        <f>133.845</f>
        <v>133.845</v>
      </c>
      <c r="F869" s="77">
        <f>278.484-40-25-60-100</f>
        <v>53.48399999999998</v>
      </c>
      <c r="G869" s="80">
        <v>40</v>
      </c>
      <c r="H869" s="77">
        <f t="shared" si="145"/>
        <v>185</v>
      </c>
      <c r="I869" s="77">
        <f t="shared" si="136"/>
        <v>0</v>
      </c>
      <c r="J869" s="80">
        <v>100</v>
      </c>
      <c r="K869" s="80">
        <v>300</v>
      </c>
      <c r="L869" s="77">
        <f t="shared" si="139"/>
        <v>1274</v>
      </c>
      <c r="M869" s="88">
        <v>600</v>
      </c>
      <c r="N869" s="77">
        <f>30</f>
        <v>30</v>
      </c>
      <c r="O869" s="80">
        <v>240</v>
      </c>
      <c r="P869" s="80">
        <v>40</v>
      </c>
      <c r="Q869" s="80">
        <f t="shared" si="140"/>
        <v>315</v>
      </c>
      <c r="R869" s="80">
        <f t="shared" si="141"/>
        <v>100</v>
      </c>
      <c r="S869" s="77">
        <f t="shared" si="142"/>
        <v>695</v>
      </c>
      <c r="T869" s="77">
        <f>50</f>
        <v>50</v>
      </c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</row>
    <row r="870" spans="1:30" ht="15.75" x14ac:dyDescent="0.25">
      <c r="A870" s="32">
        <v>67419</v>
      </c>
      <c r="B870" s="89">
        <f t="shared" si="144"/>
        <v>31</v>
      </c>
      <c r="C870" s="77">
        <f>194.205</f>
        <v>194.20500000000001</v>
      </c>
      <c r="D870" s="77">
        <f>267.466</f>
        <v>267.46600000000001</v>
      </c>
      <c r="E870" s="86">
        <f>133.845</f>
        <v>133.845</v>
      </c>
      <c r="F870" s="77">
        <f>278.484-40-25-60-100</f>
        <v>53.48399999999998</v>
      </c>
      <c r="G870" s="80">
        <v>40</v>
      </c>
      <c r="H870" s="77">
        <f t="shared" si="145"/>
        <v>185</v>
      </c>
      <c r="I870" s="77">
        <f t="shared" si="136"/>
        <v>0</v>
      </c>
      <c r="J870" s="80">
        <v>100</v>
      </c>
      <c r="K870" s="80">
        <v>300</v>
      </c>
      <c r="L870" s="77">
        <f t="shared" si="139"/>
        <v>1274</v>
      </c>
      <c r="M870" s="88">
        <v>600</v>
      </c>
      <c r="N870" s="77">
        <f>30</f>
        <v>30</v>
      </c>
      <c r="O870" s="80">
        <v>240</v>
      </c>
      <c r="P870" s="80">
        <v>40</v>
      </c>
      <c r="Q870" s="80">
        <f t="shared" si="140"/>
        <v>315</v>
      </c>
      <c r="R870" s="80">
        <f t="shared" si="141"/>
        <v>100</v>
      </c>
      <c r="S870" s="77">
        <f t="shared" si="142"/>
        <v>695</v>
      </c>
      <c r="T870" s="77">
        <f>0</f>
        <v>0</v>
      </c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</row>
    <row r="871" spans="1:30" ht="15.75" x14ac:dyDescent="0.25">
      <c r="A871" s="32">
        <v>67450</v>
      </c>
      <c r="B871" s="89">
        <f t="shared" si="144"/>
        <v>31</v>
      </c>
      <c r="C871" s="77">
        <f>194.205</f>
        <v>194.20500000000001</v>
      </c>
      <c r="D871" s="77">
        <f>267.466</f>
        <v>267.46600000000001</v>
      </c>
      <c r="E871" s="86">
        <f>133.845</f>
        <v>133.845</v>
      </c>
      <c r="F871" s="77">
        <f>278.484-40-25-60-100</f>
        <v>53.48399999999998</v>
      </c>
      <c r="G871" s="80">
        <v>40</v>
      </c>
      <c r="H871" s="77">
        <f t="shared" si="145"/>
        <v>185</v>
      </c>
      <c r="I871" s="77">
        <f t="shared" si="136"/>
        <v>0</v>
      </c>
      <c r="J871" s="80">
        <v>100</v>
      </c>
      <c r="K871" s="80">
        <v>300</v>
      </c>
      <c r="L871" s="77">
        <f t="shared" si="139"/>
        <v>1274</v>
      </c>
      <c r="M871" s="88">
        <v>600</v>
      </c>
      <c r="N871" s="77">
        <f>30</f>
        <v>30</v>
      </c>
      <c r="O871" s="80">
        <v>240</v>
      </c>
      <c r="P871" s="80">
        <v>40</v>
      </c>
      <c r="Q871" s="80">
        <f t="shared" si="140"/>
        <v>315</v>
      </c>
      <c r="R871" s="80">
        <f t="shared" si="141"/>
        <v>100</v>
      </c>
      <c r="S871" s="77">
        <f t="shared" si="142"/>
        <v>695</v>
      </c>
      <c r="T871" s="77">
        <f>0</f>
        <v>0</v>
      </c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</row>
    <row r="872" spans="1:30" ht="15.75" x14ac:dyDescent="0.25">
      <c r="A872" s="32">
        <v>67480</v>
      </c>
      <c r="B872" s="89">
        <f t="shared" si="144"/>
        <v>30</v>
      </c>
      <c r="C872" s="77">
        <f>194.205</f>
        <v>194.20500000000001</v>
      </c>
      <c r="D872" s="77">
        <f>267.466</f>
        <v>267.46600000000001</v>
      </c>
      <c r="E872" s="86">
        <f>133.845</f>
        <v>133.845</v>
      </c>
      <c r="F872" s="77">
        <f>278.484-40-25-60-100</f>
        <v>53.48399999999998</v>
      </c>
      <c r="G872" s="80">
        <v>40</v>
      </c>
      <c r="H872" s="77">
        <f t="shared" si="145"/>
        <v>185</v>
      </c>
      <c r="I872" s="77">
        <f t="shared" si="136"/>
        <v>0</v>
      </c>
      <c r="J872" s="80">
        <v>100</v>
      </c>
      <c r="K872" s="80">
        <v>300</v>
      </c>
      <c r="L872" s="77">
        <f t="shared" si="139"/>
        <v>1274</v>
      </c>
      <c r="M872" s="88">
        <v>600</v>
      </c>
      <c r="N872" s="77">
        <f>30</f>
        <v>30</v>
      </c>
      <c r="O872" s="80">
        <v>240</v>
      </c>
      <c r="P872" s="80">
        <v>40</v>
      </c>
      <c r="Q872" s="80">
        <f t="shared" si="140"/>
        <v>315</v>
      </c>
      <c r="R872" s="80">
        <f t="shared" si="141"/>
        <v>100</v>
      </c>
      <c r="S872" s="77">
        <f t="shared" si="142"/>
        <v>695</v>
      </c>
      <c r="T872" s="77">
        <f>0</f>
        <v>0</v>
      </c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</row>
    <row r="873" spans="1:30" ht="15.75" x14ac:dyDescent="0.25">
      <c r="A873" s="32">
        <v>67511</v>
      </c>
      <c r="B873" s="89">
        <f t="shared" si="144"/>
        <v>31</v>
      </c>
      <c r="C873" s="77">
        <f>131.881</f>
        <v>131.881</v>
      </c>
      <c r="D873" s="77">
        <f>277.167</f>
        <v>277.16699999999997</v>
      </c>
      <c r="E873" s="86">
        <f>79.08</f>
        <v>79.08</v>
      </c>
      <c r="F873" s="77">
        <f>350.872-40-25-60-100</f>
        <v>125.87200000000001</v>
      </c>
      <c r="G873" s="80">
        <v>40</v>
      </c>
      <c r="H873" s="77">
        <f t="shared" si="145"/>
        <v>185</v>
      </c>
      <c r="I873" s="77">
        <f t="shared" si="136"/>
        <v>0</v>
      </c>
      <c r="J873" s="80">
        <v>100</v>
      </c>
      <c r="K873" s="80">
        <v>300</v>
      </c>
      <c r="L873" s="77">
        <f t="shared" si="139"/>
        <v>1239</v>
      </c>
      <c r="M873" s="88">
        <v>600</v>
      </c>
      <c r="N873" s="77">
        <f>75</f>
        <v>75</v>
      </c>
      <c r="O873" s="80">
        <v>240</v>
      </c>
      <c r="P873" s="80">
        <v>40</v>
      </c>
      <c r="Q873" s="80">
        <f t="shared" si="140"/>
        <v>315</v>
      </c>
      <c r="R873" s="80">
        <f t="shared" si="141"/>
        <v>100</v>
      </c>
      <c r="S873" s="77">
        <f t="shared" si="142"/>
        <v>695</v>
      </c>
      <c r="T873" s="77">
        <f>0</f>
        <v>0</v>
      </c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</row>
    <row r="874" spans="1:30" ht="15.75" x14ac:dyDescent="0.25">
      <c r="A874" s="32">
        <v>67541</v>
      </c>
      <c r="B874" s="89">
        <f t="shared" si="144"/>
        <v>30</v>
      </c>
      <c r="C874" s="77">
        <f>122.58</f>
        <v>122.58</v>
      </c>
      <c r="D874" s="77">
        <f>297.941</f>
        <v>297.94099999999997</v>
      </c>
      <c r="E874" s="86">
        <f>89.177</f>
        <v>89.177000000000007</v>
      </c>
      <c r="F874" s="77">
        <f>240.302-40-60-100</f>
        <v>40.301999999999992</v>
      </c>
      <c r="G874" s="80">
        <v>40</v>
      </c>
      <c r="H874" s="77">
        <f>60+100</f>
        <v>160</v>
      </c>
      <c r="I874" s="77">
        <f t="shared" si="136"/>
        <v>0</v>
      </c>
      <c r="J874" s="80">
        <v>100</v>
      </c>
      <c r="K874" s="80">
        <v>300</v>
      </c>
      <c r="L874" s="77">
        <f t="shared" si="139"/>
        <v>1150</v>
      </c>
      <c r="M874" s="88">
        <v>600</v>
      </c>
      <c r="N874" s="77">
        <f>100</f>
        <v>100</v>
      </c>
      <c r="O874" s="80">
        <v>240</v>
      </c>
      <c r="P874" s="80">
        <v>40</v>
      </c>
      <c r="Q874" s="80">
        <f t="shared" si="140"/>
        <v>315</v>
      </c>
      <c r="R874" s="80">
        <f t="shared" si="141"/>
        <v>100</v>
      </c>
      <c r="S874" s="77">
        <f t="shared" si="142"/>
        <v>695</v>
      </c>
      <c r="T874" s="77">
        <f>50</f>
        <v>50</v>
      </c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</row>
    <row r="875" spans="1:30" ht="15.75" x14ac:dyDescent="0.25">
      <c r="A875" s="32">
        <v>67572</v>
      </c>
      <c r="B875" s="89">
        <f t="shared" si="144"/>
        <v>31</v>
      </c>
      <c r="C875" s="77">
        <f>122.58</f>
        <v>122.58</v>
      </c>
      <c r="D875" s="77">
        <f>297.941</f>
        <v>297.94099999999997</v>
      </c>
      <c r="E875" s="86">
        <f>89.177</f>
        <v>89.177000000000007</v>
      </c>
      <c r="F875" s="77">
        <f>240.302-40-60-100</f>
        <v>40.301999999999992</v>
      </c>
      <c r="G875" s="80">
        <v>40</v>
      </c>
      <c r="H875" s="77">
        <f>60+100</f>
        <v>160</v>
      </c>
      <c r="I875" s="77">
        <f t="shared" si="136"/>
        <v>0</v>
      </c>
      <c r="J875" s="80">
        <v>100</v>
      </c>
      <c r="K875" s="80">
        <v>300</v>
      </c>
      <c r="L875" s="77">
        <f t="shared" si="139"/>
        <v>1150</v>
      </c>
      <c r="M875" s="88">
        <v>600</v>
      </c>
      <c r="N875" s="77">
        <f>100</f>
        <v>100</v>
      </c>
      <c r="O875" s="80">
        <v>240</v>
      </c>
      <c r="P875" s="80">
        <v>40</v>
      </c>
      <c r="Q875" s="80">
        <f t="shared" si="140"/>
        <v>315</v>
      </c>
      <c r="R875" s="80">
        <f t="shared" si="141"/>
        <v>100</v>
      </c>
      <c r="S875" s="77">
        <f t="shared" si="142"/>
        <v>695</v>
      </c>
      <c r="T875" s="77">
        <f>50</f>
        <v>50</v>
      </c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</row>
    <row r="876" spans="1:30" ht="15.75" x14ac:dyDescent="0.25">
      <c r="A876" s="32">
        <v>67603</v>
      </c>
      <c r="B876" s="89">
        <f t="shared" si="144"/>
        <v>31</v>
      </c>
      <c r="C876" s="77">
        <f>122.58</f>
        <v>122.58</v>
      </c>
      <c r="D876" s="77">
        <f>297.941</f>
        <v>297.94099999999997</v>
      </c>
      <c r="E876" s="86">
        <f>89.177</f>
        <v>89.177000000000007</v>
      </c>
      <c r="F876" s="77">
        <f>240.302-40-60-100</f>
        <v>40.301999999999992</v>
      </c>
      <c r="G876" s="80">
        <v>40</v>
      </c>
      <c r="H876" s="77">
        <f>60+100</f>
        <v>160</v>
      </c>
      <c r="I876" s="77">
        <f t="shared" si="136"/>
        <v>0</v>
      </c>
      <c r="J876" s="80">
        <v>100</v>
      </c>
      <c r="K876" s="80">
        <v>300</v>
      </c>
      <c r="L876" s="77">
        <f t="shared" si="139"/>
        <v>1150</v>
      </c>
      <c r="M876" s="88">
        <v>600</v>
      </c>
      <c r="N876" s="77">
        <f>100</f>
        <v>100</v>
      </c>
      <c r="O876" s="80">
        <v>240</v>
      </c>
      <c r="P876" s="80">
        <v>40</v>
      </c>
      <c r="Q876" s="80">
        <f t="shared" si="140"/>
        <v>315</v>
      </c>
      <c r="R876" s="80">
        <f t="shared" si="141"/>
        <v>100</v>
      </c>
      <c r="S876" s="77">
        <f t="shared" si="142"/>
        <v>695</v>
      </c>
      <c r="T876" s="77">
        <f>50</f>
        <v>50</v>
      </c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</row>
    <row r="877" spans="1:30" ht="15.75" x14ac:dyDescent="0.25">
      <c r="A877" s="32">
        <v>67631</v>
      </c>
      <c r="B877" s="89">
        <f t="shared" si="144"/>
        <v>28</v>
      </c>
      <c r="C877" s="77">
        <f>122.58</f>
        <v>122.58</v>
      </c>
      <c r="D877" s="77">
        <f>297.941</f>
        <v>297.94099999999997</v>
      </c>
      <c r="E877" s="86">
        <f>89.177</f>
        <v>89.177000000000007</v>
      </c>
      <c r="F877" s="77">
        <f>240.302-40-60-100</f>
        <v>40.301999999999992</v>
      </c>
      <c r="G877" s="80">
        <v>40</v>
      </c>
      <c r="H877" s="77">
        <f>60+100</f>
        <v>160</v>
      </c>
      <c r="I877" s="77">
        <f t="shared" si="136"/>
        <v>0</v>
      </c>
      <c r="J877" s="80">
        <v>100</v>
      </c>
      <c r="K877" s="80">
        <v>300</v>
      </c>
      <c r="L877" s="77">
        <f t="shared" si="139"/>
        <v>1150</v>
      </c>
      <c r="M877" s="88">
        <v>600</v>
      </c>
      <c r="N877" s="77">
        <f>100</f>
        <v>100</v>
      </c>
      <c r="O877" s="80">
        <v>240</v>
      </c>
      <c r="P877" s="80">
        <v>40</v>
      </c>
      <c r="Q877" s="80">
        <f t="shared" si="140"/>
        <v>315</v>
      </c>
      <c r="R877" s="80">
        <f t="shared" si="141"/>
        <v>100</v>
      </c>
      <c r="S877" s="77">
        <f t="shared" si="142"/>
        <v>695</v>
      </c>
      <c r="T877" s="77">
        <f>50</f>
        <v>50</v>
      </c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</row>
    <row r="878" spans="1:30" ht="15.75" x14ac:dyDescent="0.25">
      <c r="A878" s="32">
        <v>67662</v>
      </c>
      <c r="B878" s="89">
        <f t="shared" si="144"/>
        <v>31</v>
      </c>
      <c r="C878" s="77">
        <f>122.58</f>
        <v>122.58</v>
      </c>
      <c r="D878" s="77">
        <f>297.941</f>
        <v>297.94099999999997</v>
      </c>
      <c r="E878" s="86">
        <f>89.177</f>
        <v>89.177000000000007</v>
      </c>
      <c r="F878" s="77">
        <f>240.302-40-60-100</f>
        <v>40.301999999999992</v>
      </c>
      <c r="G878" s="80">
        <v>40</v>
      </c>
      <c r="H878" s="77">
        <f>60+100</f>
        <v>160</v>
      </c>
      <c r="I878" s="77">
        <f t="shared" si="136"/>
        <v>0</v>
      </c>
      <c r="J878" s="80">
        <v>100</v>
      </c>
      <c r="K878" s="80">
        <v>300</v>
      </c>
      <c r="L878" s="77">
        <f t="shared" si="139"/>
        <v>1150</v>
      </c>
      <c r="M878" s="88">
        <v>600</v>
      </c>
      <c r="N878" s="77">
        <f>100</f>
        <v>100</v>
      </c>
      <c r="O878" s="80">
        <v>240</v>
      </c>
      <c r="P878" s="80">
        <v>40</v>
      </c>
      <c r="Q878" s="80">
        <f t="shared" si="140"/>
        <v>315</v>
      </c>
      <c r="R878" s="80">
        <f t="shared" si="141"/>
        <v>100</v>
      </c>
      <c r="S878" s="77">
        <f t="shared" si="142"/>
        <v>695</v>
      </c>
      <c r="T878" s="77">
        <f>50</f>
        <v>50</v>
      </c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</row>
    <row r="879" spans="1:30" ht="15.75" x14ac:dyDescent="0.25">
      <c r="A879" s="32">
        <v>67692</v>
      </c>
      <c r="B879" s="89">
        <f t="shared" si="144"/>
        <v>30</v>
      </c>
      <c r="C879" s="77">
        <f>141.293</f>
        <v>141.29300000000001</v>
      </c>
      <c r="D879" s="77">
        <f>267.993</f>
        <v>267.99299999999999</v>
      </c>
      <c r="E879" s="86">
        <f>115.016</f>
        <v>115.01600000000001</v>
      </c>
      <c r="F879" s="77">
        <f>314.698-40-25-60-100</f>
        <v>89.697999999999979</v>
      </c>
      <c r="G879" s="80">
        <v>40</v>
      </c>
      <c r="H879" s="77">
        <f t="shared" ref="H879:H885" si="146">25+60+100</f>
        <v>185</v>
      </c>
      <c r="I879" s="77">
        <f t="shared" si="136"/>
        <v>0</v>
      </c>
      <c r="J879" s="80">
        <v>100</v>
      </c>
      <c r="K879" s="80">
        <v>300</v>
      </c>
      <c r="L879" s="77">
        <f t="shared" si="139"/>
        <v>1239</v>
      </c>
      <c r="M879" s="88">
        <v>600</v>
      </c>
      <c r="N879" s="77">
        <f>100</f>
        <v>100</v>
      </c>
      <c r="O879" s="80">
        <v>240</v>
      </c>
      <c r="P879" s="80">
        <v>40</v>
      </c>
      <c r="Q879" s="80">
        <f t="shared" si="140"/>
        <v>315</v>
      </c>
      <c r="R879" s="80">
        <f t="shared" si="141"/>
        <v>100</v>
      </c>
      <c r="S879" s="77">
        <f t="shared" si="142"/>
        <v>695</v>
      </c>
      <c r="T879" s="77">
        <f>50</f>
        <v>50</v>
      </c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</row>
    <row r="880" spans="1:30" ht="15.75" x14ac:dyDescent="0.25">
      <c r="A880" s="32">
        <v>67723</v>
      </c>
      <c r="B880" s="89">
        <f t="shared" si="144"/>
        <v>31</v>
      </c>
      <c r="C880" s="77">
        <f>194.205</f>
        <v>194.20500000000001</v>
      </c>
      <c r="D880" s="77">
        <f>267.466</f>
        <v>267.46600000000001</v>
      </c>
      <c r="E880" s="86">
        <f>133.845</f>
        <v>133.845</v>
      </c>
      <c r="F880" s="77">
        <f>278.484-40-25-60-100</f>
        <v>53.48399999999998</v>
      </c>
      <c r="G880" s="80">
        <v>40</v>
      </c>
      <c r="H880" s="77">
        <f t="shared" si="146"/>
        <v>185</v>
      </c>
      <c r="I880" s="77">
        <f t="shared" si="136"/>
        <v>0</v>
      </c>
      <c r="J880" s="80">
        <v>100</v>
      </c>
      <c r="K880" s="80">
        <v>300</v>
      </c>
      <c r="L880" s="77">
        <f t="shared" si="139"/>
        <v>1274</v>
      </c>
      <c r="M880" s="88">
        <v>600</v>
      </c>
      <c r="N880" s="77">
        <f>75</f>
        <v>75</v>
      </c>
      <c r="O880" s="80">
        <v>240</v>
      </c>
      <c r="P880" s="80">
        <v>40</v>
      </c>
      <c r="Q880" s="80">
        <f t="shared" si="140"/>
        <v>315</v>
      </c>
      <c r="R880" s="80">
        <f t="shared" si="141"/>
        <v>100</v>
      </c>
      <c r="S880" s="77">
        <f t="shared" si="142"/>
        <v>695</v>
      </c>
      <c r="T880" s="77">
        <f>50</f>
        <v>50</v>
      </c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</row>
    <row r="881" spans="1:30" ht="15.75" x14ac:dyDescent="0.25">
      <c r="A881" s="32">
        <v>67753</v>
      </c>
      <c r="B881" s="89">
        <f t="shared" si="144"/>
        <v>30</v>
      </c>
      <c r="C881" s="77">
        <f>194.205</f>
        <v>194.20500000000001</v>
      </c>
      <c r="D881" s="77">
        <f>267.466</f>
        <v>267.46600000000001</v>
      </c>
      <c r="E881" s="86">
        <f>133.845</f>
        <v>133.845</v>
      </c>
      <c r="F881" s="77">
        <f>278.484-40-25-60-100</f>
        <v>53.48399999999998</v>
      </c>
      <c r="G881" s="80">
        <v>40</v>
      </c>
      <c r="H881" s="77">
        <f t="shared" si="146"/>
        <v>185</v>
      </c>
      <c r="I881" s="77">
        <f t="shared" si="136"/>
        <v>0</v>
      </c>
      <c r="J881" s="80">
        <v>100</v>
      </c>
      <c r="K881" s="80">
        <v>300</v>
      </c>
      <c r="L881" s="77">
        <f t="shared" si="139"/>
        <v>1274</v>
      </c>
      <c r="M881" s="88">
        <v>600</v>
      </c>
      <c r="N881" s="77">
        <f>30</f>
        <v>30</v>
      </c>
      <c r="O881" s="80">
        <v>240</v>
      </c>
      <c r="P881" s="80">
        <v>40</v>
      </c>
      <c r="Q881" s="80">
        <f t="shared" si="140"/>
        <v>315</v>
      </c>
      <c r="R881" s="80">
        <f t="shared" si="141"/>
        <v>100</v>
      </c>
      <c r="S881" s="77">
        <f t="shared" si="142"/>
        <v>695</v>
      </c>
      <c r="T881" s="77">
        <f>50</f>
        <v>50</v>
      </c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</row>
    <row r="882" spans="1:30" ht="15.75" x14ac:dyDescent="0.25">
      <c r="A882" s="32">
        <v>67784</v>
      </c>
      <c r="B882" s="89">
        <f t="shared" si="144"/>
        <v>31</v>
      </c>
      <c r="C882" s="77">
        <f>194.205</f>
        <v>194.20500000000001</v>
      </c>
      <c r="D882" s="77">
        <f>267.466</f>
        <v>267.46600000000001</v>
      </c>
      <c r="E882" s="86">
        <f>133.845</f>
        <v>133.845</v>
      </c>
      <c r="F882" s="77">
        <f>278.484-40-25-60-100</f>
        <v>53.48399999999998</v>
      </c>
      <c r="G882" s="80">
        <v>40</v>
      </c>
      <c r="H882" s="77">
        <f t="shared" si="146"/>
        <v>185</v>
      </c>
      <c r="I882" s="77">
        <f t="shared" si="136"/>
        <v>0</v>
      </c>
      <c r="J882" s="80">
        <v>100</v>
      </c>
      <c r="K882" s="80">
        <v>300</v>
      </c>
      <c r="L882" s="77">
        <f t="shared" si="139"/>
        <v>1274</v>
      </c>
      <c r="M882" s="88">
        <v>600</v>
      </c>
      <c r="N882" s="77">
        <f>30</f>
        <v>30</v>
      </c>
      <c r="O882" s="80">
        <v>240</v>
      </c>
      <c r="P882" s="80">
        <v>40</v>
      </c>
      <c r="Q882" s="80">
        <f t="shared" si="140"/>
        <v>315</v>
      </c>
      <c r="R882" s="80">
        <f t="shared" si="141"/>
        <v>100</v>
      </c>
      <c r="S882" s="77">
        <f t="shared" si="142"/>
        <v>695</v>
      </c>
      <c r="T882" s="77">
        <f>0</f>
        <v>0</v>
      </c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</row>
    <row r="883" spans="1:30" ht="15.75" x14ac:dyDescent="0.25">
      <c r="A883" s="32">
        <v>67815</v>
      </c>
      <c r="B883" s="89">
        <f t="shared" si="144"/>
        <v>31</v>
      </c>
      <c r="C883" s="77">
        <f>194.205</f>
        <v>194.20500000000001</v>
      </c>
      <c r="D883" s="77">
        <f>267.466</f>
        <v>267.46600000000001</v>
      </c>
      <c r="E883" s="86">
        <f>133.845</f>
        <v>133.845</v>
      </c>
      <c r="F883" s="77">
        <f>278.484-40-25-60-100</f>
        <v>53.48399999999998</v>
      </c>
      <c r="G883" s="80">
        <v>40</v>
      </c>
      <c r="H883" s="77">
        <f t="shared" si="146"/>
        <v>185</v>
      </c>
      <c r="I883" s="77">
        <f t="shared" si="136"/>
        <v>0</v>
      </c>
      <c r="J883" s="80">
        <v>100</v>
      </c>
      <c r="K883" s="80">
        <v>300</v>
      </c>
      <c r="L883" s="77">
        <f t="shared" si="139"/>
        <v>1274</v>
      </c>
      <c r="M883" s="88">
        <v>600</v>
      </c>
      <c r="N883" s="77">
        <f>30</f>
        <v>30</v>
      </c>
      <c r="O883" s="80">
        <v>240</v>
      </c>
      <c r="P883" s="80">
        <v>40</v>
      </c>
      <c r="Q883" s="80">
        <f t="shared" si="140"/>
        <v>315</v>
      </c>
      <c r="R883" s="80">
        <f t="shared" si="141"/>
        <v>100</v>
      </c>
      <c r="S883" s="77">
        <f t="shared" si="142"/>
        <v>695</v>
      </c>
      <c r="T883" s="77">
        <f>0</f>
        <v>0</v>
      </c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</row>
    <row r="884" spans="1:30" ht="15.75" x14ac:dyDescent="0.25">
      <c r="A884" s="32">
        <v>67845</v>
      </c>
      <c r="B884" s="89">
        <f t="shared" si="144"/>
        <v>30</v>
      </c>
      <c r="C884" s="77">
        <f>194.205</f>
        <v>194.20500000000001</v>
      </c>
      <c r="D884" s="77">
        <f>267.466</f>
        <v>267.46600000000001</v>
      </c>
      <c r="E884" s="86">
        <f>133.845</f>
        <v>133.845</v>
      </c>
      <c r="F884" s="77">
        <f>278.484-40-25-60-100</f>
        <v>53.48399999999998</v>
      </c>
      <c r="G884" s="80">
        <v>40</v>
      </c>
      <c r="H884" s="77">
        <f t="shared" si="146"/>
        <v>185</v>
      </c>
      <c r="I884" s="77">
        <f t="shared" ref="I884:I947" si="147">400-J884-K884</f>
        <v>0</v>
      </c>
      <c r="J884" s="80">
        <v>100</v>
      </c>
      <c r="K884" s="80">
        <v>300</v>
      </c>
      <c r="L884" s="77">
        <f t="shared" si="139"/>
        <v>1274</v>
      </c>
      <c r="M884" s="88">
        <v>600</v>
      </c>
      <c r="N884" s="77">
        <f>30</f>
        <v>30</v>
      </c>
      <c r="O884" s="80">
        <v>240</v>
      </c>
      <c r="P884" s="80">
        <v>40</v>
      </c>
      <c r="Q884" s="80">
        <f t="shared" si="140"/>
        <v>315</v>
      </c>
      <c r="R884" s="80">
        <f t="shared" si="141"/>
        <v>100</v>
      </c>
      <c r="S884" s="77">
        <f t="shared" si="142"/>
        <v>695</v>
      </c>
      <c r="T884" s="77">
        <f>0</f>
        <v>0</v>
      </c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</row>
    <row r="885" spans="1:30" ht="15.75" x14ac:dyDescent="0.25">
      <c r="A885" s="32">
        <v>67876</v>
      </c>
      <c r="B885" s="89">
        <f t="shared" si="144"/>
        <v>31</v>
      </c>
      <c r="C885" s="77">
        <f>131.881</f>
        <v>131.881</v>
      </c>
      <c r="D885" s="77">
        <f>277.167</f>
        <v>277.16699999999997</v>
      </c>
      <c r="E885" s="86">
        <f>79.08</f>
        <v>79.08</v>
      </c>
      <c r="F885" s="77">
        <f>350.872-40-25-60-100</f>
        <v>125.87200000000001</v>
      </c>
      <c r="G885" s="80">
        <v>40</v>
      </c>
      <c r="H885" s="77">
        <f t="shared" si="146"/>
        <v>185</v>
      </c>
      <c r="I885" s="77">
        <f t="shared" si="147"/>
        <v>0</v>
      </c>
      <c r="J885" s="80">
        <v>100</v>
      </c>
      <c r="K885" s="80">
        <v>300</v>
      </c>
      <c r="L885" s="77">
        <f t="shared" si="139"/>
        <v>1239</v>
      </c>
      <c r="M885" s="88">
        <v>600</v>
      </c>
      <c r="N885" s="77">
        <f>75</f>
        <v>75</v>
      </c>
      <c r="O885" s="80">
        <v>240</v>
      </c>
      <c r="P885" s="80">
        <v>40</v>
      </c>
      <c r="Q885" s="80">
        <f t="shared" si="140"/>
        <v>315</v>
      </c>
      <c r="R885" s="80">
        <f t="shared" si="141"/>
        <v>100</v>
      </c>
      <c r="S885" s="77">
        <f t="shared" si="142"/>
        <v>695</v>
      </c>
      <c r="T885" s="77">
        <f>0</f>
        <v>0</v>
      </c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</row>
    <row r="886" spans="1:30" ht="15.75" x14ac:dyDescent="0.25">
      <c r="A886" s="32">
        <v>67906</v>
      </c>
      <c r="B886" s="89">
        <f t="shared" si="144"/>
        <v>30</v>
      </c>
      <c r="C886" s="77">
        <f>122.58</f>
        <v>122.58</v>
      </c>
      <c r="D886" s="77">
        <f>297.941</f>
        <v>297.94099999999997</v>
      </c>
      <c r="E886" s="86">
        <f>89.177</f>
        <v>89.177000000000007</v>
      </c>
      <c r="F886" s="77">
        <f>240.302-40-60-100</f>
        <v>40.301999999999992</v>
      </c>
      <c r="G886" s="80">
        <v>40</v>
      </c>
      <c r="H886" s="77">
        <f>60+100</f>
        <v>160</v>
      </c>
      <c r="I886" s="77">
        <f t="shared" si="147"/>
        <v>0</v>
      </c>
      <c r="J886" s="80">
        <v>100</v>
      </c>
      <c r="K886" s="80">
        <v>300</v>
      </c>
      <c r="L886" s="77">
        <f t="shared" si="139"/>
        <v>1150</v>
      </c>
      <c r="M886" s="88">
        <v>600</v>
      </c>
      <c r="N886" s="77">
        <f>100</f>
        <v>100</v>
      </c>
      <c r="O886" s="80">
        <v>240</v>
      </c>
      <c r="P886" s="80">
        <v>40</v>
      </c>
      <c r="Q886" s="80">
        <f t="shared" si="140"/>
        <v>315</v>
      </c>
      <c r="R886" s="80">
        <f t="shared" si="141"/>
        <v>100</v>
      </c>
      <c r="S886" s="77">
        <f t="shared" si="142"/>
        <v>695</v>
      </c>
      <c r="T886" s="77">
        <f>50</f>
        <v>50</v>
      </c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</row>
    <row r="887" spans="1:30" ht="15.75" x14ac:dyDescent="0.25">
      <c r="A887" s="32">
        <v>67937</v>
      </c>
      <c r="B887" s="89">
        <f t="shared" si="144"/>
        <v>31</v>
      </c>
      <c r="C887" s="77">
        <f>122.58</f>
        <v>122.58</v>
      </c>
      <c r="D887" s="77">
        <f>297.941</f>
        <v>297.94099999999997</v>
      </c>
      <c r="E887" s="86">
        <f>89.177</f>
        <v>89.177000000000007</v>
      </c>
      <c r="F887" s="77">
        <f>240.302-40-60-100</f>
        <v>40.301999999999992</v>
      </c>
      <c r="G887" s="80">
        <v>40</v>
      </c>
      <c r="H887" s="77">
        <f>60+100</f>
        <v>160</v>
      </c>
      <c r="I887" s="77">
        <f t="shared" si="147"/>
        <v>0</v>
      </c>
      <c r="J887" s="80">
        <v>100</v>
      </c>
      <c r="K887" s="80">
        <v>300</v>
      </c>
      <c r="L887" s="77">
        <f t="shared" si="139"/>
        <v>1150</v>
      </c>
      <c r="M887" s="88">
        <v>600</v>
      </c>
      <c r="N887" s="77">
        <f>100</f>
        <v>100</v>
      </c>
      <c r="O887" s="80">
        <v>240</v>
      </c>
      <c r="P887" s="80">
        <v>40</v>
      </c>
      <c r="Q887" s="80">
        <f t="shared" si="140"/>
        <v>315</v>
      </c>
      <c r="R887" s="80">
        <f t="shared" si="141"/>
        <v>100</v>
      </c>
      <c r="S887" s="77">
        <f t="shared" si="142"/>
        <v>695</v>
      </c>
      <c r="T887" s="77">
        <f>50</f>
        <v>50</v>
      </c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</row>
    <row r="888" spans="1:30" ht="15.75" x14ac:dyDescent="0.25">
      <c r="A888" s="32">
        <v>67968</v>
      </c>
      <c r="B888" s="89">
        <f t="shared" si="144"/>
        <v>31</v>
      </c>
      <c r="C888" s="77">
        <f>122.58</f>
        <v>122.58</v>
      </c>
      <c r="D888" s="77">
        <f>297.941</f>
        <v>297.94099999999997</v>
      </c>
      <c r="E888" s="86">
        <f>89.177</f>
        <v>89.177000000000007</v>
      </c>
      <c r="F888" s="77">
        <f>240.302-40-60-100</f>
        <v>40.301999999999992</v>
      </c>
      <c r="G888" s="80">
        <v>40</v>
      </c>
      <c r="H888" s="77">
        <f>60+100</f>
        <v>160</v>
      </c>
      <c r="I888" s="77">
        <f t="shared" si="147"/>
        <v>0</v>
      </c>
      <c r="J888" s="80">
        <v>100</v>
      </c>
      <c r="K888" s="80">
        <v>300</v>
      </c>
      <c r="L888" s="77">
        <f t="shared" si="139"/>
        <v>1150</v>
      </c>
      <c r="M888" s="88">
        <v>600</v>
      </c>
      <c r="N888" s="77">
        <f>100</f>
        <v>100</v>
      </c>
      <c r="O888" s="80">
        <v>240</v>
      </c>
      <c r="P888" s="80">
        <v>40</v>
      </c>
      <c r="Q888" s="80">
        <f t="shared" si="140"/>
        <v>315</v>
      </c>
      <c r="R888" s="80">
        <f t="shared" si="141"/>
        <v>100</v>
      </c>
      <c r="S888" s="77">
        <f t="shared" si="142"/>
        <v>695</v>
      </c>
      <c r="T888" s="77">
        <f>50</f>
        <v>50</v>
      </c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</row>
    <row r="889" spans="1:30" ht="15.75" x14ac:dyDescent="0.25">
      <c r="A889" s="32">
        <v>67996</v>
      </c>
      <c r="B889" s="89">
        <f t="shared" si="144"/>
        <v>28</v>
      </c>
      <c r="C889" s="77">
        <f>122.58</f>
        <v>122.58</v>
      </c>
      <c r="D889" s="77">
        <f>297.941</f>
        <v>297.94099999999997</v>
      </c>
      <c r="E889" s="86">
        <f>89.177</f>
        <v>89.177000000000007</v>
      </c>
      <c r="F889" s="77">
        <f>240.302-40-60-100</f>
        <v>40.301999999999992</v>
      </c>
      <c r="G889" s="80">
        <v>40</v>
      </c>
      <c r="H889" s="77">
        <f>60+100</f>
        <v>160</v>
      </c>
      <c r="I889" s="77">
        <f t="shared" si="147"/>
        <v>0</v>
      </c>
      <c r="J889" s="80">
        <v>100</v>
      </c>
      <c r="K889" s="80">
        <v>300</v>
      </c>
      <c r="L889" s="77">
        <f t="shared" si="139"/>
        <v>1150</v>
      </c>
      <c r="M889" s="88">
        <v>600</v>
      </c>
      <c r="N889" s="77">
        <f>100</f>
        <v>100</v>
      </c>
      <c r="O889" s="80">
        <v>240</v>
      </c>
      <c r="P889" s="80">
        <v>40</v>
      </c>
      <c r="Q889" s="80">
        <f t="shared" si="140"/>
        <v>315</v>
      </c>
      <c r="R889" s="80">
        <f t="shared" si="141"/>
        <v>100</v>
      </c>
      <c r="S889" s="77">
        <f t="shared" si="142"/>
        <v>695</v>
      </c>
      <c r="T889" s="77">
        <f>50</f>
        <v>50</v>
      </c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</row>
    <row r="890" spans="1:30" ht="15.75" x14ac:dyDescent="0.25">
      <c r="A890" s="32">
        <v>68027</v>
      </c>
      <c r="B890" s="89">
        <f t="shared" si="144"/>
        <v>31</v>
      </c>
      <c r="C890" s="77">
        <f>122.58</f>
        <v>122.58</v>
      </c>
      <c r="D890" s="77">
        <f>297.941</f>
        <v>297.94099999999997</v>
      </c>
      <c r="E890" s="86">
        <f>89.177</f>
        <v>89.177000000000007</v>
      </c>
      <c r="F890" s="77">
        <f>240.302-40-60-100</f>
        <v>40.301999999999992</v>
      </c>
      <c r="G890" s="80">
        <v>40</v>
      </c>
      <c r="H890" s="77">
        <f>60+100</f>
        <v>160</v>
      </c>
      <c r="I890" s="77">
        <f t="shared" si="147"/>
        <v>0</v>
      </c>
      <c r="J890" s="80">
        <v>100</v>
      </c>
      <c r="K890" s="80">
        <v>300</v>
      </c>
      <c r="L890" s="77">
        <f t="shared" si="139"/>
        <v>1150</v>
      </c>
      <c r="M890" s="88">
        <v>600</v>
      </c>
      <c r="N890" s="77">
        <f>100</f>
        <v>100</v>
      </c>
      <c r="O890" s="80">
        <v>240</v>
      </c>
      <c r="P890" s="80">
        <v>40</v>
      </c>
      <c r="Q890" s="80">
        <f t="shared" si="140"/>
        <v>315</v>
      </c>
      <c r="R890" s="80">
        <f t="shared" si="141"/>
        <v>100</v>
      </c>
      <c r="S890" s="77">
        <f t="shared" si="142"/>
        <v>695</v>
      </c>
      <c r="T890" s="77">
        <f>50</f>
        <v>50</v>
      </c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</row>
    <row r="891" spans="1:30" ht="15.75" x14ac:dyDescent="0.25">
      <c r="A891" s="32">
        <v>68057</v>
      </c>
      <c r="B891" s="89">
        <f t="shared" si="144"/>
        <v>30</v>
      </c>
      <c r="C891" s="77">
        <f>141.293</f>
        <v>141.29300000000001</v>
      </c>
      <c r="D891" s="77">
        <f>267.993</f>
        <v>267.99299999999999</v>
      </c>
      <c r="E891" s="86">
        <f>115.016</f>
        <v>115.01600000000001</v>
      </c>
      <c r="F891" s="77">
        <f>314.698-40-25-60-100</f>
        <v>89.697999999999979</v>
      </c>
      <c r="G891" s="80">
        <v>40</v>
      </c>
      <c r="H891" s="77">
        <f t="shared" ref="H891:H897" si="148">25+60+100</f>
        <v>185</v>
      </c>
      <c r="I891" s="77">
        <f t="shared" si="147"/>
        <v>0</v>
      </c>
      <c r="J891" s="80">
        <v>100</v>
      </c>
      <c r="K891" s="80">
        <v>300</v>
      </c>
      <c r="L891" s="77">
        <f t="shared" si="139"/>
        <v>1239</v>
      </c>
      <c r="M891" s="88">
        <v>600</v>
      </c>
      <c r="N891" s="77">
        <f>100</f>
        <v>100</v>
      </c>
      <c r="O891" s="80">
        <v>240</v>
      </c>
      <c r="P891" s="80">
        <v>40</v>
      </c>
      <c r="Q891" s="80">
        <f t="shared" si="140"/>
        <v>315</v>
      </c>
      <c r="R891" s="80">
        <f t="shared" si="141"/>
        <v>100</v>
      </c>
      <c r="S891" s="77">
        <f t="shared" si="142"/>
        <v>695</v>
      </c>
      <c r="T891" s="77">
        <f>50</f>
        <v>50</v>
      </c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</row>
    <row r="892" spans="1:30" ht="15.75" x14ac:dyDescent="0.25">
      <c r="A892" s="32">
        <v>68088</v>
      </c>
      <c r="B892" s="89">
        <f t="shared" si="144"/>
        <v>31</v>
      </c>
      <c r="C892" s="77">
        <f>194.205</f>
        <v>194.20500000000001</v>
      </c>
      <c r="D892" s="77">
        <f>267.466</f>
        <v>267.46600000000001</v>
      </c>
      <c r="E892" s="86">
        <f>133.845</f>
        <v>133.845</v>
      </c>
      <c r="F892" s="77">
        <f>278.484-40-25-60-100</f>
        <v>53.48399999999998</v>
      </c>
      <c r="G892" s="80">
        <v>40</v>
      </c>
      <c r="H892" s="77">
        <f t="shared" si="148"/>
        <v>185</v>
      </c>
      <c r="I892" s="77">
        <f t="shared" si="147"/>
        <v>0</v>
      </c>
      <c r="J892" s="80">
        <v>100</v>
      </c>
      <c r="K892" s="80">
        <v>300</v>
      </c>
      <c r="L892" s="77">
        <f t="shared" si="139"/>
        <v>1274</v>
      </c>
      <c r="M892" s="88">
        <v>600</v>
      </c>
      <c r="N892" s="77">
        <f>75</f>
        <v>75</v>
      </c>
      <c r="O892" s="80">
        <v>240</v>
      </c>
      <c r="P892" s="80">
        <v>40</v>
      </c>
      <c r="Q892" s="80">
        <f t="shared" si="140"/>
        <v>315</v>
      </c>
      <c r="R892" s="80">
        <f t="shared" si="141"/>
        <v>100</v>
      </c>
      <c r="S892" s="77">
        <f t="shared" si="142"/>
        <v>695</v>
      </c>
      <c r="T892" s="77">
        <f>50</f>
        <v>50</v>
      </c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</row>
    <row r="893" spans="1:30" ht="15.75" x14ac:dyDescent="0.25">
      <c r="A893" s="32">
        <v>68118</v>
      </c>
      <c r="B893" s="89">
        <f t="shared" si="144"/>
        <v>30</v>
      </c>
      <c r="C893" s="77">
        <f>194.205</f>
        <v>194.20500000000001</v>
      </c>
      <c r="D893" s="77">
        <f>267.466</f>
        <v>267.46600000000001</v>
      </c>
      <c r="E893" s="86">
        <f>133.845</f>
        <v>133.845</v>
      </c>
      <c r="F893" s="77">
        <f>278.484-40-25-60-100</f>
        <v>53.48399999999998</v>
      </c>
      <c r="G893" s="80">
        <v>40</v>
      </c>
      <c r="H893" s="77">
        <f t="shared" si="148"/>
        <v>185</v>
      </c>
      <c r="I893" s="77">
        <f t="shared" si="147"/>
        <v>0</v>
      </c>
      <c r="J893" s="80">
        <v>100</v>
      </c>
      <c r="K893" s="80">
        <v>300</v>
      </c>
      <c r="L893" s="77">
        <f t="shared" si="139"/>
        <v>1274</v>
      </c>
      <c r="M893" s="88">
        <v>600</v>
      </c>
      <c r="N893" s="77">
        <f>30</f>
        <v>30</v>
      </c>
      <c r="O893" s="80">
        <v>240</v>
      </c>
      <c r="P893" s="80">
        <v>40</v>
      </c>
      <c r="Q893" s="80">
        <f t="shared" si="140"/>
        <v>315</v>
      </c>
      <c r="R893" s="80">
        <f t="shared" si="141"/>
        <v>100</v>
      </c>
      <c r="S893" s="77">
        <f t="shared" si="142"/>
        <v>695</v>
      </c>
      <c r="T893" s="77">
        <f>50</f>
        <v>50</v>
      </c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</row>
    <row r="894" spans="1:30" ht="15.75" x14ac:dyDescent="0.25">
      <c r="A894" s="32">
        <v>68149</v>
      </c>
      <c r="B894" s="89">
        <f t="shared" si="144"/>
        <v>31</v>
      </c>
      <c r="C894" s="77">
        <f>194.205</f>
        <v>194.20500000000001</v>
      </c>
      <c r="D894" s="77">
        <f>267.466</f>
        <v>267.46600000000001</v>
      </c>
      <c r="E894" s="86">
        <f>133.845</f>
        <v>133.845</v>
      </c>
      <c r="F894" s="77">
        <f>278.484-40-25-60-100</f>
        <v>53.48399999999998</v>
      </c>
      <c r="G894" s="80">
        <v>40</v>
      </c>
      <c r="H894" s="77">
        <f t="shared" si="148"/>
        <v>185</v>
      </c>
      <c r="I894" s="77">
        <f t="shared" si="147"/>
        <v>0</v>
      </c>
      <c r="J894" s="80">
        <v>100</v>
      </c>
      <c r="K894" s="80">
        <v>300</v>
      </c>
      <c r="L894" s="77">
        <f t="shared" si="139"/>
        <v>1274</v>
      </c>
      <c r="M894" s="88">
        <v>600</v>
      </c>
      <c r="N894" s="77">
        <f>30</f>
        <v>30</v>
      </c>
      <c r="O894" s="80">
        <v>240</v>
      </c>
      <c r="P894" s="80">
        <v>40</v>
      </c>
      <c r="Q894" s="80">
        <f t="shared" si="140"/>
        <v>315</v>
      </c>
      <c r="R894" s="80">
        <f t="shared" si="141"/>
        <v>100</v>
      </c>
      <c r="S894" s="77">
        <f t="shared" si="142"/>
        <v>695</v>
      </c>
      <c r="T894" s="77">
        <f>0</f>
        <v>0</v>
      </c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</row>
    <row r="895" spans="1:30" ht="15.75" x14ac:dyDescent="0.25">
      <c r="A895" s="32">
        <v>68180</v>
      </c>
      <c r="B895" s="89">
        <f t="shared" si="144"/>
        <v>31</v>
      </c>
      <c r="C895" s="77">
        <f>194.205</f>
        <v>194.20500000000001</v>
      </c>
      <c r="D895" s="77">
        <f>267.466</f>
        <v>267.46600000000001</v>
      </c>
      <c r="E895" s="86">
        <f>133.845</f>
        <v>133.845</v>
      </c>
      <c r="F895" s="77">
        <f>278.484-40-25-60-100</f>
        <v>53.48399999999998</v>
      </c>
      <c r="G895" s="80">
        <v>40</v>
      </c>
      <c r="H895" s="77">
        <f t="shared" si="148"/>
        <v>185</v>
      </c>
      <c r="I895" s="77">
        <f t="shared" si="147"/>
        <v>0</v>
      </c>
      <c r="J895" s="80">
        <v>100</v>
      </c>
      <c r="K895" s="80">
        <v>300</v>
      </c>
      <c r="L895" s="77">
        <f t="shared" si="139"/>
        <v>1274</v>
      </c>
      <c r="M895" s="88">
        <v>600</v>
      </c>
      <c r="N895" s="77">
        <f>30</f>
        <v>30</v>
      </c>
      <c r="O895" s="80">
        <v>240</v>
      </c>
      <c r="P895" s="80">
        <v>40</v>
      </c>
      <c r="Q895" s="80">
        <f t="shared" si="140"/>
        <v>315</v>
      </c>
      <c r="R895" s="80">
        <f t="shared" si="141"/>
        <v>100</v>
      </c>
      <c r="S895" s="77">
        <f t="shared" si="142"/>
        <v>695</v>
      </c>
      <c r="T895" s="77">
        <f>0</f>
        <v>0</v>
      </c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</row>
    <row r="896" spans="1:30" ht="15.75" x14ac:dyDescent="0.25">
      <c r="A896" s="32">
        <v>68210</v>
      </c>
      <c r="B896" s="89">
        <f t="shared" si="144"/>
        <v>30</v>
      </c>
      <c r="C896" s="77">
        <f>194.205</f>
        <v>194.20500000000001</v>
      </c>
      <c r="D896" s="77">
        <f>267.466</f>
        <v>267.46600000000001</v>
      </c>
      <c r="E896" s="86">
        <f>133.845</f>
        <v>133.845</v>
      </c>
      <c r="F896" s="77">
        <f>278.484-40-25-60-100</f>
        <v>53.48399999999998</v>
      </c>
      <c r="G896" s="80">
        <v>40</v>
      </c>
      <c r="H896" s="77">
        <f t="shared" si="148"/>
        <v>185</v>
      </c>
      <c r="I896" s="77">
        <f t="shared" si="147"/>
        <v>0</v>
      </c>
      <c r="J896" s="80">
        <v>100</v>
      </c>
      <c r="K896" s="80">
        <v>300</v>
      </c>
      <c r="L896" s="77">
        <f t="shared" si="139"/>
        <v>1274</v>
      </c>
      <c r="M896" s="88">
        <v>600</v>
      </c>
      <c r="N896" s="77">
        <f>30</f>
        <v>30</v>
      </c>
      <c r="O896" s="80">
        <v>240</v>
      </c>
      <c r="P896" s="80">
        <v>40</v>
      </c>
      <c r="Q896" s="80">
        <f t="shared" si="140"/>
        <v>315</v>
      </c>
      <c r="R896" s="80">
        <f t="shared" si="141"/>
        <v>100</v>
      </c>
      <c r="S896" s="77">
        <f t="shared" si="142"/>
        <v>695</v>
      </c>
      <c r="T896" s="77">
        <f>0</f>
        <v>0</v>
      </c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</row>
    <row r="897" spans="1:30" ht="15.75" x14ac:dyDescent="0.25">
      <c r="A897" s="32">
        <v>68241</v>
      </c>
      <c r="B897" s="89">
        <f t="shared" si="144"/>
        <v>31</v>
      </c>
      <c r="C897" s="77">
        <f>131.881</f>
        <v>131.881</v>
      </c>
      <c r="D897" s="77">
        <f>277.167</f>
        <v>277.16699999999997</v>
      </c>
      <c r="E897" s="86">
        <f>79.08</f>
        <v>79.08</v>
      </c>
      <c r="F897" s="77">
        <f>350.872-40-25-60-100</f>
        <v>125.87200000000001</v>
      </c>
      <c r="G897" s="80">
        <v>40</v>
      </c>
      <c r="H897" s="77">
        <f t="shared" si="148"/>
        <v>185</v>
      </c>
      <c r="I897" s="77">
        <f t="shared" si="147"/>
        <v>0</v>
      </c>
      <c r="J897" s="80">
        <v>100</v>
      </c>
      <c r="K897" s="80">
        <v>300</v>
      </c>
      <c r="L897" s="77">
        <f t="shared" si="139"/>
        <v>1239</v>
      </c>
      <c r="M897" s="88">
        <v>600</v>
      </c>
      <c r="N897" s="77">
        <f>75</f>
        <v>75</v>
      </c>
      <c r="O897" s="80">
        <v>240</v>
      </c>
      <c r="P897" s="80">
        <v>40</v>
      </c>
      <c r="Q897" s="80">
        <f t="shared" si="140"/>
        <v>315</v>
      </c>
      <c r="R897" s="80">
        <f t="shared" si="141"/>
        <v>100</v>
      </c>
      <c r="S897" s="77">
        <f t="shared" si="142"/>
        <v>695</v>
      </c>
      <c r="T897" s="77">
        <f>0</f>
        <v>0</v>
      </c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</row>
    <row r="898" spans="1:30" ht="15.75" x14ac:dyDescent="0.25">
      <c r="A898" s="32">
        <v>68271</v>
      </c>
      <c r="B898" s="89">
        <f t="shared" si="144"/>
        <v>30</v>
      </c>
      <c r="C898" s="77">
        <f>122.58</f>
        <v>122.58</v>
      </c>
      <c r="D898" s="77">
        <f>297.941</f>
        <v>297.94099999999997</v>
      </c>
      <c r="E898" s="86">
        <f>89.177</f>
        <v>89.177000000000007</v>
      </c>
      <c r="F898" s="77">
        <f>240.302-40-60-100</f>
        <v>40.301999999999992</v>
      </c>
      <c r="G898" s="80">
        <v>40</v>
      </c>
      <c r="H898" s="77">
        <f>60+100</f>
        <v>160</v>
      </c>
      <c r="I898" s="77">
        <f t="shared" si="147"/>
        <v>0</v>
      </c>
      <c r="J898" s="80">
        <v>100</v>
      </c>
      <c r="K898" s="80">
        <v>300</v>
      </c>
      <c r="L898" s="77">
        <f t="shared" si="139"/>
        <v>1150</v>
      </c>
      <c r="M898" s="88">
        <v>600</v>
      </c>
      <c r="N898" s="77">
        <f>100</f>
        <v>100</v>
      </c>
      <c r="O898" s="80">
        <v>240</v>
      </c>
      <c r="P898" s="80">
        <v>40</v>
      </c>
      <c r="Q898" s="80">
        <f t="shared" si="140"/>
        <v>315</v>
      </c>
      <c r="R898" s="80">
        <f t="shared" si="141"/>
        <v>100</v>
      </c>
      <c r="S898" s="77">
        <f t="shared" si="142"/>
        <v>695</v>
      </c>
      <c r="T898" s="77">
        <f>50</f>
        <v>50</v>
      </c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</row>
    <row r="899" spans="1:30" ht="15.75" x14ac:dyDescent="0.25">
      <c r="A899" s="32">
        <v>68302</v>
      </c>
      <c r="B899" s="89">
        <f t="shared" si="144"/>
        <v>31</v>
      </c>
      <c r="C899" s="77">
        <f>122.58</f>
        <v>122.58</v>
      </c>
      <c r="D899" s="77">
        <f>297.941</f>
        <v>297.94099999999997</v>
      </c>
      <c r="E899" s="86">
        <f>89.177</f>
        <v>89.177000000000007</v>
      </c>
      <c r="F899" s="77">
        <f>240.302-40-60-100</f>
        <v>40.301999999999992</v>
      </c>
      <c r="G899" s="80">
        <v>40</v>
      </c>
      <c r="H899" s="77">
        <f>60+100</f>
        <v>160</v>
      </c>
      <c r="I899" s="77">
        <f t="shared" si="147"/>
        <v>0</v>
      </c>
      <c r="J899" s="80">
        <v>100</v>
      </c>
      <c r="K899" s="80">
        <v>300</v>
      </c>
      <c r="L899" s="77">
        <f t="shared" si="139"/>
        <v>1150</v>
      </c>
      <c r="M899" s="88">
        <v>600</v>
      </c>
      <c r="N899" s="77">
        <f>100</f>
        <v>100</v>
      </c>
      <c r="O899" s="80">
        <v>240</v>
      </c>
      <c r="P899" s="80">
        <v>40</v>
      </c>
      <c r="Q899" s="80">
        <f t="shared" si="140"/>
        <v>315</v>
      </c>
      <c r="R899" s="80">
        <f t="shared" si="141"/>
        <v>100</v>
      </c>
      <c r="S899" s="77">
        <f t="shared" si="142"/>
        <v>695</v>
      </c>
      <c r="T899" s="77">
        <f>50</f>
        <v>50</v>
      </c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</row>
    <row r="900" spans="1:30" ht="15.75" x14ac:dyDescent="0.25">
      <c r="A900" s="32">
        <v>68333</v>
      </c>
      <c r="B900" s="89">
        <f t="shared" si="144"/>
        <v>31</v>
      </c>
      <c r="C900" s="77">
        <f>122.58</f>
        <v>122.58</v>
      </c>
      <c r="D900" s="77">
        <f>297.941</f>
        <v>297.94099999999997</v>
      </c>
      <c r="E900" s="86">
        <f>89.177</f>
        <v>89.177000000000007</v>
      </c>
      <c r="F900" s="77">
        <f>240.302-40-60-100</f>
        <v>40.301999999999992</v>
      </c>
      <c r="G900" s="80">
        <v>40</v>
      </c>
      <c r="H900" s="77">
        <f>60+100</f>
        <v>160</v>
      </c>
      <c r="I900" s="77">
        <f t="shared" si="147"/>
        <v>0</v>
      </c>
      <c r="J900" s="80">
        <v>100</v>
      </c>
      <c r="K900" s="80">
        <v>300</v>
      </c>
      <c r="L900" s="77">
        <f t="shared" si="139"/>
        <v>1150</v>
      </c>
      <c r="M900" s="88">
        <v>600</v>
      </c>
      <c r="N900" s="77">
        <f>100</f>
        <v>100</v>
      </c>
      <c r="O900" s="80">
        <v>240</v>
      </c>
      <c r="P900" s="80">
        <v>40</v>
      </c>
      <c r="Q900" s="80">
        <f t="shared" si="140"/>
        <v>315</v>
      </c>
      <c r="R900" s="80">
        <f t="shared" si="141"/>
        <v>100</v>
      </c>
      <c r="S900" s="77">
        <f t="shared" si="142"/>
        <v>695</v>
      </c>
      <c r="T900" s="77">
        <f>50</f>
        <v>50</v>
      </c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</row>
    <row r="901" spans="1:30" ht="15.75" x14ac:dyDescent="0.25">
      <c r="A901" s="32">
        <v>68361</v>
      </c>
      <c r="B901" s="89">
        <f t="shared" si="144"/>
        <v>28</v>
      </c>
      <c r="C901" s="77">
        <f>122.58</f>
        <v>122.58</v>
      </c>
      <c r="D901" s="77">
        <f>297.941</f>
        <v>297.94099999999997</v>
      </c>
      <c r="E901" s="86">
        <f>89.177</f>
        <v>89.177000000000007</v>
      </c>
      <c r="F901" s="77">
        <f>240.302-40-60-100</f>
        <v>40.301999999999992</v>
      </c>
      <c r="G901" s="80">
        <v>40</v>
      </c>
      <c r="H901" s="77">
        <f>60+100</f>
        <v>160</v>
      </c>
      <c r="I901" s="77">
        <f t="shared" si="147"/>
        <v>0</v>
      </c>
      <c r="J901" s="80">
        <v>100</v>
      </c>
      <c r="K901" s="80">
        <v>300</v>
      </c>
      <c r="L901" s="77">
        <f t="shared" si="139"/>
        <v>1150</v>
      </c>
      <c r="M901" s="88">
        <v>600</v>
      </c>
      <c r="N901" s="77">
        <f>100</f>
        <v>100</v>
      </c>
      <c r="O901" s="80">
        <v>240</v>
      </c>
      <c r="P901" s="80">
        <v>40</v>
      </c>
      <c r="Q901" s="80">
        <f t="shared" si="140"/>
        <v>315</v>
      </c>
      <c r="R901" s="80">
        <f t="shared" si="141"/>
        <v>100</v>
      </c>
      <c r="S901" s="77">
        <f t="shared" si="142"/>
        <v>695</v>
      </c>
      <c r="T901" s="77">
        <f>50</f>
        <v>50</v>
      </c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</row>
    <row r="902" spans="1:30" ht="15.75" x14ac:dyDescent="0.25">
      <c r="A902" s="32">
        <v>68392</v>
      </c>
      <c r="B902" s="89">
        <f t="shared" si="144"/>
        <v>31</v>
      </c>
      <c r="C902" s="77">
        <f>122.58</f>
        <v>122.58</v>
      </c>
      <c r="D902" s="77">
        <f>297.941</f>
        <v>297.94099999999997</v>
      </c>
      <c r="E902" s="86">
        <f>89.177</f>
        <v>89.177000000000007</v>
      </c>
      <c r="F902" s="77">
        <f>240.302-40-60-100</f>
        <v>40.301999999999992</v>
      </c>
      <c r="G902" s="80">
        <v>40</v>
      </c>
      <c r="H902" s="77">
        <f>60+100</f>
        <v>160</v>
      </c>
      <c r="I902" s="77">
        <f t="shared" si="147"/>
        <v>0</v>
      </c>
      <c r="J902" s="80">
        <v>100</v>
      </c>
      <c r="K902" s="80">
        <v>300</v>
      </c>
      <c r="L902" s="77">
        <f t="shared" si="139"/>
        <v>1150</v>
      </c>
      <c r="M902" s="88">
        <v>600</v>
      </c>
      <c r="N902" s="77">
        <f>100</f>
        <v>100</v>
      </c>
      <c r="O902" s="80">
        <v>240</v>
      </c>
      <c r="P902" s="80">
        <v>40</v>
      </c>
      <c r="Q902" s="80">
        <f t="shared" si="140"/>
        <v>315</v>
      </c>
      <c r="R902" s="80">
        <f t="shared" si="141"/>
        <v>100</v>
      </c>
      <c r="S902" s="77">
        <f t="shared" si="142"/>
        <v>695</v>
      </c>
      <c r="T902" s="77">
        <f>50</f>
        <v>50</v>
      </c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</row>
    <row r="903" spans="1:30" ht="15.75" x14ac:dyDescent="0.25">
      <c r="A903" s="32">
        <v>68422</v>
      </c>
      <c r="B903" s="89">
        <f t="shared" si="144"/>
        <v>30</v>
      </c>
      <c r="C903" s="77">
        <f>141.293</f>
        <v>141.29300000000001</v>
      </c>
      <c r="D903" s="77">
        <f>267.993</f>
        <v>267.99299999999999</v>
      </c>
      <c r="E903" s="86">
        <f>115.016</f>
        <v>115.01600000000001</v>
      </c>
      <c r="F903" s="77">
        <f>314.698-40-25-60-100</f>
        <v>89.697999999999979</v>
      </c>
      <c r="G903" s="80">
        <v>40</v>
      </c>
      <c r="H903" s="77">
        <f t="shared" ref="H903:H909" si="149">25+60+100</f>
        <v>185</v>
      </c>
      <c r="I903" s="77">
        <f t="shared" si="147"/>
        <v>0</v>
      </c>
      <c r="J903" s="80">
        <v>100</v>
      </c>
      <c r="K903" s="80">
        <v>300</v>
      </c>
      <c r="L903" s="77">
        <f t="shared" si="139"/>
        <v>1239</v>
      </c>
      <c r="M903" s="88">
        <v>600</v>
      </c>
      <c r="N903" s="77">
        <f>100</f>
        <v>100</v>
      </c>
      <c r="O903" s="80">
        <v>240</v>
      </c>
      <c r="P903" s="80">
        <v>40</v>
      </c>
      <c r="Q903" s="80">
        <f t="shared" si="140"/>
        <v>315</v>
      </c>
      <c r="R903" s="80">
        <f t="shared" si="141"/>
        <v>100</v>
      </c>
      <c r="S903" s="77">
        <f t="shared" si="142"/>
        <v>695</v>
      </c>
      <c r="T903" s="77">
        <f>50</f>
        <v>50</v>
      </c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</row>
    <row r="904" spans="1:30" ht="15.75" x14ac:dyDescent="0.25">
      <c r="A904" s="32">
        <v>68453</v>
      </c>
      <c r="B904" s="89">
        <f t="shared" si="144"/>
        <v>31</v>
      </c>
      <c r="C904" s="77">
        <f>194.205</f>
        <v>194.20500000000001</v>
      </c>
      <c r="D904" s="77">
        <f>267.466</f>
        <v>267.46600000000001</v>
      </c>
      <c r="E904" s="86">
        <f>133.845</f>
        <v>133.845</v>
      </c>
      <c r="F904" s="77">
        <f>278.484-40-25-60-100</f>
        <v>53.48399999999998</v>
      </c>
      <c r="G904" s="80">
        <v>40</v>
      </c>
      <c r="H904" s="77">
        <f t="shared" si="149"/>
        <v>185</v>
      </c>
      <c r="I904" s="77">
        <f t="shared" si="147"/>
        <v>0</v>
      </c>
      <c r="J904" s="80">
        <v>100</v>
      </c>
      <c r="K904" s="80">
        <v>300</v>
      </c>
      <c r="L904" s="77">
        <f t="shared" si="139"/>
        <v>1274</v>
      </c>
      <c r="M904" s="88">
        <v>600</v>
      </c>
      <c r="N904" s="77">
        <f>75</f>
        <v>75</v>
      </c>
      <c r="O904" s="80">
        <v>240</v>
      </c>
      <c r="P904" s="80">
        <v>40</v>
      </c>
      <c r="Q904" s="80">
        <f t="shared" si="140"/>
        <v>315</v>
      </c>
      <c r="R904" s="80">
        <f t="shared" si="141"/>
        <v>100</v>
      </c>
      <c r="S904" s="77">
        <f t="shared" si="142"/>
        <v>695</v>
      </c>
      <c r="T904" s="77">
        <f>50</f>
        <v>50</v>
      </c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</row>
    <row r="905" spans="1:30" ht="15.75" x14ac:dyDescent="0.25">
      <c r="A905" s="32">
        <v>68483</v>
      </c>
      <c r="B905" s="89">
        <f t="shared" si="144"/>
        <v>30</v>
      </c>
      <c r="C905" s="77">
        <f>194.205</f>
        <v>194.20500000000001</v>
      </c>
      <c r="D905" s="77">
        <f>267.466</f>
        <v>267.46600000000001</v>
      </c>
      <c r="E905" s="86">
        <f>133.845</f>
        <v>133.845</v>
      </c>
      <c r="F905" s="77">
        <f>278.484-40-25-60-100</f>
        <v>53.48399999999998</v>
      </c>
      <c r="G905" s="80">
        <v>40</v>
      </c>
      <c r="H905" s="77">
        <f t="shared" si="149"/>
        <v>185</v>
      </c>
      <c r="I905" s="77">
        <f t="shared" si="147"/>
        <v>0</v>
      </c>
      <c r="J905" s="80">
        <v>100</v>
      </c>
      <c r="K905" s="80">
        <v>300</v>
      </c>
      <c r="L905" s="77">
        <f t="shared" si="139"/>
        <v>1274</v>
      </c>
      <c r="M905" s="88">
        <v>600</v>
      </c>
      <c r="N905" s="77">
        <f>30</f>
        <v>30</v>
      </c>
      <c r="O905" s="80">
        <v>240</v>
      </c>
      <c r="P905" s="80">
        <v>40</v>
      </c>
      <c r="Q905" s="80">
        <f t="shared" si="140"/>
        <v>315</v>
      </c>
      <c r="R905" s="80">
        <f t="shared" si="141"/>
        <v>100</v>
      </c>
      <c r="S905" s="77">
        <f t="shared" si="142"/>
        <v>695</v>
      </c>
      <c r="T905" s="77">
        <f>50</f>
        <v>50</v>
      </c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</row>
    <row r="906" spans="1:30" ht="15.75" x14ac:dyDescent="0.25">
      <c r="A906" s="32">
        <v>68514</v>
      </c>
      <c r="B906" s="89">
        <f t="shared" si="144"/>
        <v>31</v>
      </c>
      <c r="C906" s="77">
        <f>194.205</f>
        <v>194.20500000000001</v>
      </c>
      <c r="D906" s="77">
        <f>267.466</f>
        <v>267.46600000000001</v>
      </c>
      <c r="E906" s="86">
        <f>133.845</f>
        <v>133.845</v>
      </c>
      <c r="F906" s="77">
        <f>278.484-40-25-60-100</f>
        <v>53.48399999999998</v>
      </c>
      <c r="G906" s="80">
        <v>40</v>
      </c>
      <c r="H906" s="77">
        <f t="shared" si="149"/>
        <v>185</v>
      </c>
      <c r="I906" s="77">
        <f t="shared" si="147"/>
        <v>0</v>
      </c>
      <c r="J906" s="80">
        <v>100</v>
      </c>
      <c r="K906" s="80">
        <v>300</v>
      </c>
      <c r="L906" s="77">
        <f t="shared" si="139"/>
        <v>1274</v>
      </c>
      <c r="M906" s="88">
        <v>600</v>
      </c>
      <c r="N906" s="77">
        <f>30</f>
        <v>30</v>
      </c>
      <c r="O906" s="80">
        <v>240</v>
      </c>
      <c r="P906" s="80">
        <v>40</v>
      </c>
      <c r="Q906" s="80">
        <f t="shared" si="140"/>
        <v>315</v>
      </c>
      <c r="R906" s="80">
        <f t="shared" si="141"/>
        <v>100</v>
      </c>
      <c r="S906" s="77">
        <f t="shared" si="142"/>
        <v>695</v>
      </c>
      <c r="T906" s="77">
        <f>0</f>
        <v>0</v>
      </c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</row>
    <row r="907" spans="1:30" ht="15.75" x14ac:dyDescent="0.25">
      <c r="A907" s="32">
        <v>68545</v>
      </c>
      <c r="B907" s="89">
        <f t="shared" si="144"/>
        <v>31</v>
      </c>
      <c r="C907" s="77">
        <f>194.205</f>
        <v>194.20500000000001</v>
      </c>
      <c r="D907" s="77">
        <f>267.466</f>
        <v>267.46600000000001</v>
      </c>
      <c r="E907" s="86">
        <f>133.845</f>
        <v>133.845</v>
      </c>
      <c r="F907" s="77">
        <f>278.484-40-25-60-100</f>
        <v>53.48399999999998</v>
      </c>
      <c r="G907" s="80">
        <v>40</v>
      </c>
      <c r="H907" s="77">
        <f t="shared" si="149"/>
        <v>185</v>
      </c>
      <c r="I907" s="77">
        <f t="shared" si="147"/>
        <v>0</v>
      </c>
      <c r="J907" s="80">
        <v>100</v>
      </c>
      <c r="K907" s="80">
        <v>300</v>
      </c>
      <c r="L907" s="77">
        <f t="shared" si="139"/>
        <v>1274</v>
      </c>
      <c r="M907" s="88">
        <v>600</v>
      </c>
      <c r="N907" s="77">
        <f>30</f>
        <v>30</v>
      </c>
      <c r="O907" s="80">
        <v>240</v>
      </c>
      <c r="P907" s="80">
        <v>40</v>
      </c>
      <c r="Q907" s="80">
        <f t="shared" si="140"/>
        <v>315</v>
      </c>
      <c r="R907" s="80">
        <f t="shared" si="141"/>
        <v>100</v>
      </c>
      <c r="S907" s="77">
        <f t="shared" si="142"/>
        <v>695</v>
      </c>
      <c r="T907" s="77">
        <f>0</f>
        <v>0</v>
      </c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</row>
    <row r="908" spans="1:30" ht="15.75" x14ac:dyDescent="0.25">
      <c r="A908" s="32">
        <v>68575</v>
      </c>
      <c r="B908" s="89">
        <f t="shared" si="144"/>
        <v>30</v>
      </c>
      <c r="C908" s="77">
        <f>194.205</f>
        <v>194.20500000000001</v>
      </c>
      <c r="D908" s="77">
        <f>267.466</f>
        <v>267.46600000000001</v>
      </c>
      <c r="E908" s="86">
        <f>133.845</f>
        <v>133.845</v>
      </c>
      <c r="F908" s="77">
        <f>278.484-40-25-60-100</f>
        <v>53.48399999999998</v>
      </c>
      <c r="G908" s="80">
        <v>40</v>
      </c>
      <c r="H908" s="77">
        <f t="shared" si="149"/>
        <v>185</v>
      </c>
      <c r="I908" s="77">
        <f t="shared" si="147"/>
        <v>0</v>
      </c>
      <c r="J908" s="80">
        <v>100</v>
      </c>
      <c r="K908" s="80">
        <v>300</v>
      </c>
      <c r="L908" s="77">
        <f t="shared" si="139"/>
        <v>1274</v>
      </c>
      <c r="M908" s="88">
        <v>600</v>
      </c>
      <c r="N908" s="77">
        <f>30</f>
        <v>30</v>
      </c>
      <c r="O908" s="80">
        <v>240</v>
      </c>
      <c r="P908" s="80">
        <v>40</v>
      </c>
      <c r="Q908" s="80">
        <f t="shared" si="140"/>
        <v>315</v>
      </c>
      <c r="R908" s="80">
        <f t="shared" si="141"/>
        <v>100</v>
      </c>
      <c r="S908" s="77">
        <f t="shared" si="142"/>
        <v>695</v>
      </c>
      <c r="T908" s="77">
        <f>0</f>
        <v>0</v>
      </c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</row>
    <row r="909" spans="1:30" ht="15.75" x14ac:dyDescent="0.25">
      <c r="A909" s="32">
        <v>68606</v>
      </c>
      <c r="B909" s="89">
        <f t="shared" si="144"/>
        <v>31</v>
      </c>
      <c r="C909" s="77">
        <f>131.881</f>
        <v>131.881</v>
      </c>
      <c r="D909" s="77">
        <f>277.167</f>
        <v>277.16699999999997</v>
      </c>
      <c r="E909" s="86">
        <f>79.08</f>
        <v>79.08</v>
      </c>
      <c r="F909" s="77">
        <f>350.872-40-25-60-100</f>
        <v>125.87200000000001</v>
      </c>
      <c r="G909" s="80">
        <v>40</v>
      </c>
      <c r="H909" s="77">
        <f t="shared" si="149"/>
        <v>185</v>
      </c>
      <c r="I909" s="77">
        <f t="shared" si="147"/>
        <v>0</v>
      </c>
      <c r="J909" s="80">
        <v>100</v>
      </c>
      <c r="K909" s="80">
        <v>300</v>
      </c>
      <c r="L909" s="77">
        <f t="shared" si="139"/>
        <v>1239</v>
      </c>
      <c r="M909" s="88">
        <v>600</v>
      </c>
      <c r="N909" s="77">
        <f>75</f>
        <v>75</v>
      </c>
      <c r="O909" s="80">
        <v>240</v>
      </c>
      <c r="P909" s="80">
        <v>40</v>
      </c>
      <c r="Q909" s="80">
        <f t="shared" si="140"/>
        <v>315</v>
      </c>
      <c r="R909" s="80">
        <f t="shared" si="141"/>
        <v>100</v>
      </c>
      <c r="S909" s="77">
        <f t="shared" si="142"/>
        <v>695</v>
      </c>
      <c r="T909" s="77">
        <f>0</f>
        <v>0</v>
      </c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</row>
    <row r="910" spans="1:30" ht="15.75" x14ac:dyDescent="0.25">
      <c r="A910" s="32">
        <v>68636</v>
      </c>
      <c r="B910" s="89">
        <f t="shared" si="144"/>
        <v>30</v>
      </c>
      <c r="C910" s="77">
        <f>122.58</f>
        <v>122.58</v>
      </c>
      <c r="D910" s="77">
        <f>297.941</f>
        <v>297.94099999999997</v>
      </c>
      <c r="E910" s="86">
        <f>89.177</f>
        <v>89.177000000000007</v>
      </c>
      <c r="F910" s="77">
        <f>240.302-40-60-100</f>
        <v>40.301999999999992</v>
      </c>
      <c r="G910" s="80">
        <v>40</v>
      </c>
      <c r="H910" s="77">
        <f>60+100</f>
        <v>160</v>
      </c>
      <c r="I910" s="77">
        <f t="shared" si="147"/>
        <v>0</v>
      </c>
      <c r="J910" s="80">
        <v>100</v>
      </c>
      <c r="K910" s="80">
        <v>300</v>
      </c>
      <c r="L910" s="77">
        <f t="shared" si="139"/>
        <v>1150</v>
      </c>
      <c r="M910" s="88">
        <v>600</v>
      </c>
      <c r="N910" s="77">
        <f>100</f>
        <v>100</v>
      </c>
      <c r="O910" s="80">
        <v>240</v>
      </c>
      <c r="P910" s="80">
        <v>40</v>
      </c>
      <c r="Q910" s="80">
        <f t="shared" si="140"/>
        <v>315</v>
      </c>
      <c r="R910" s="80">
        <f t="shared" si="141"/>
        <v>100</v>
      </c>
      <c r="S910" s="77">
        <f t="shared" si="142"/>
        <v>695</v>
      </c>
      <c r="T910" s="77">
        <f>50</f>
        <v>50</v>
      </c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</row>
    <row r="911" spans="1:30" ht="15.75" x14ac:dyDescent="0.25">
      <c r="A911" s="32">
        <v>68667</v>
      </c>
      <c r="B911" s="89">
        <f t="shared" si="144"/>
        <v>31</v>
      </c>
      <c r="C911" s="77">
        <f>122.58</f>
        <v>122.58</v>
      </c>
      <c r="D911" s="77">
        <f>297.941</f>
        <v>297.94099999999997</v>
      </c>
      <c r="E911" s="86">
        <f>89.177</f>
        <v>89.177000000000007</v>
      </c>
      <c r="F911" s="77">
        <f>240.302-40-60-100</f>
        <v>40.301999999999992</v>
      </c>
      <c r="G911" s="80">
        <v>40</v>
      </c>
      <c r="H911" s="77">
        <f>60+100</f>
        <v>160</v>
      </c>
      <c r="I911" s="77">
        <f t="shared" si="147"/>
        <v>0</v>
      </c>
      <c r="J911" s="80">
        <v>100</v>
      </c>
      <c r="K911" s="80">
        <v>300</v>
      </c>
      <c r="L911" s="77">
        <f t="shared" si="139"/>
        <v>1150</v>
      </c>
      <c r="M911" s="88">
        <v>600</v>
      </c>
      <c r="N911" s="77">
        <f>100</f>
        <v>100</v>
      </c>
      <c r="O911" s="80">
        <v>240</v>
      </c>
      <c r="P911" s="80">
        <v>40</v>
      </c>
      <c r="Q911" s="80">
        <f t="shared" si="140"/>
        <v>315</v>
      </c>
      <c r="R911" s="80">
        <f t="shared" si="141"/>
        <v>100</v>
      </c>
      <c r="S911" s="77">
        <f t="shared" si="142"/>
        <v>695</v>
      </c>
      <c r="T911" s="77">
        <f>50</f>
        <v>50</v>
      </c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</row>
    <row r="912" spans="1:30" ht="15.75" x14ac:dyDescent="0.25">
      <c r="A912" s="32">
        <v>68698</v>
      </c>
      <c r="B912" s="89">
        <f t="shared" si="144"/>
        <v>31</v>
      </c>
      <c r="C912" s="77">
        <f>122.58</f>
        <v>122.58</v>
      </c>
      <c r="D912" s="77">
        <f>297.941</f>
        <v>297.94099999999997</v>
      </c>
      <c r="E912" s="86">
        <f>89.177</f>
        <v>89.177000000000007</v>
      </c>
      <c r="F912" s="77">
        <f>240.302-40-60-100</f>
        <v>40.301999999999992</v>
      </c>
      <c r="G912" s="80">
        <v>40</v>
      </c>
      <c r="H912" s="77">
        <f>60+100</f>
        <v>160</v>
      </c>
      <c r="I912" s="77">
        <f t="shared" si="147"/>
        <v>0</v>
      </c>
      <c r="J912" s="80">
        <v>100</v>
      </c>
      <c r="K912" s="80">
        <v>300</v>
      </c>
      <c r="L912" s="77">
        <f t="shared" si="139"/>
        <v>1150</v>
      </c>
      <c r="M912" s="88">
        <v>600</v>
      </c>
      <c r="N912" s="77">
        <f>100</f>
        <v>100</v>
      </c>
      <c r="O912" s="80">
        <v>240</v>
      </c>
      <c r="P912" s="80">
        <v>40</v>
      </c>
      <c r="Q912" s="80">
        <f t="shared" si="140"/>
        <v>315</v>
      </c>
      <c r="R912" s="80">
        <f t="shared" si="141"/>
        <v>100</v>
      </c>
      <c r="S912" s="77">
        <f t="shared" si="142"/>
        <v>695</v>
      </c>
      <c r="T912" s="77">
        <f>50</f>
        <v>50</v>
      </c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</row>
    <row r="913" spans="1:30" ht="15.75" x14ac:dyDescent="0.25">
      <c r="A913" s="32">
        <v>68727</v>
      </c>
      <c r="B913" s="89">
        <f t="shared" si="144"/>
        <v>29</v>
      </c>
      <c r="C913" s="77">
        <f>122.58</f>
        <v>122.58</v>
      </c>
      <c r="D913" s="77">
        <f>297.941</f>
        <v>297.94099999999997</v>
      </c>
      <c r="E913" s="86">
        <f>89.177</f>
        <v>89.177000000000007</v>
      </c>
      <c r="F913" s="77">
        <f>240.302-40-60-100</f>
        <v>40.301999999999992</v>
      </c>
      <c r="G913" s="80">
        <v>40</v>
      </c>
      <c r="H913" s="77">
        <f>60+100</f>
        <v>160</v>
      </c>
      <c r="I913" s="77">
        <f t="shared" si="147"/>
        <v>0</v>
      </c>
      <c r="J913" s="80">
        <v>100</v>
      </c>
      <c r="K913" s="80">
        <v>300</v>
      </c>
      <c r="L913" s="77">
        <f t="shared" ref="L913:L976" si="150">SUM(C913:K913)</f>
        <v>1150</v>
      </c>
      <c r="M913" s="88">
        <v>600</v>
      </c>
      <c r="N913" s="77">
        <f>100</f>
        <v>100</v>
      </c>
      <c r="O913" s="80">
        <v>240</v>
      </c>
      <c r="P913" s="80">
        <v>40</v>
      </c>
      <c r="Q913" s="80">
        <f t="shared" ref="Q913:Q976" si="151">695-R913-O913-P913</f>
        <v>315</v>
      </c>
      <c r="R913" s="80">
        <f t="shared" ref="R913:R976" si="152">200-J913</f>
        <v>100</v>
      </c>
      <c r="S913" s="77">
        <f t="shared" ref="S913:S976" si="153">SUM(O913:R913)</f>
        <v>695</v>
      </c>
      <c r="T913" s="77">
        <f>50</f>
        <v>50</v>
      </c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</row>
    <row r="914" spans="1:30" ht="15.75" x14ac:dyDescent="0.25">
      <c r="A914" s="32">
        <v>68758</v>
      </c>
      <c r="B914" s="89">
        <f t="shared" si="144"/>
        <v>31</v>
      </c>
      <c r="C914" s="77">
        <f>122.58</f>
        <v>122.58</v>
      </c>
      <c r="D914" s="77">
        <f>297.941</f>
        <v>297.94099999999997</v>
      </c>
      <c r="E914" s="86">
        <f>89.177</f>
        <v>89.177000000000007</v>
      </c>
      <c r="F914" s="77">
        <f>240.302-40-60-100</f>
        <v>40.301999999999992</v>
      </c>
      <c r="G914" s="80">
        <v>40</v>
      </c>
      <c r="H914" s="77">
        <f>60+100</f>
        <v>160</v>
      </c>
      <c r="I914" s="77">
        <f t="shared" si="147"/>
        <v>0</v>
      </c>
      <c r="J914" s="80">
        <v>100</v>
      </c>
      <c r="K914" s="80">
        <v>300</v>
      </c>
      <c r="L914" s="77">
        <f t="shared" si="150"/>
        <v>1150</v>
      </c>
      <c r="M914" s="88">
        <v>600</v>
      </c>
      <c r="N914" s="77">
        <f>100</f>
        <v>100</v>
      </c>
      <c r="O914" s="80">
        <v>240</v>
      </c>
      <c r="P914" s="80">
        <v>40</v>
      </c>
      <c r="Q914" s="80">
        <f t="shared" si="151"/>
        <v>315</v>
      </c>
      <c r="R914" s="80">
        <f t="shared" si="152"/>
        <v>100</v>
      </c>
      <c r="S914" s="77">
        <f t="shared" si="153"/>
        <v>695</v>
      </c>
      <c r="T914" s="77">
        <f>50</f>
        <v>50</v>
      </c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</row>
    <row r="915" spans="1:30" ht="15.75" x14ac:dyDescent="0.25">
      <c r="A915" s="32">
        <v>68788</v>
      </c>
      <c r="B915" s="89">
        <f t="shared" si="144"/>
        <v>30</v>
      </c>
      <c r="C915" s="77">
        <f>141.293</f>
        <v>141.29300000000001</v>
      </c>
      <c r="D915" s="77">
        <f>267.993</f>
        <v>267.99299999999999</v>
      </c>
      <c r="E915" s="86">
        <f>115.016</f>
        <v>115.01600000000001</v>
      </c>
      <c r="F915" s="77">
        <f>314.698-40-25-60-100</f>
        <v>89.697999999999979</v>
      </c>
      <c r="G915" s="80">
        <v>40</v>
      </c>
      <c r="H915" s="77">
        <f t="shared" ref="H915:H921" si="154">25+60+100</f>
        <v>185</v>
      </c>
      <c r="I915" s="77">
        <f t="shared" si="147"/>
        <v>0</v>
      </c>
      <c r="J915" s="80">
        <v>100</v>
      </c>
      <c r="K915" s="80">
        <v>300</v>
      </c>
      <c r="L915" s="77">
        <f t="shared" si="150"/>
        <v>1239</v>
      </c>
      <c r="M915" s="88">
        <v>600</v>
      </c>
      <c r="N915" s="77">
        <f>100</f>
        <v>100</v>
      </c>
      <c r="O915" s="80">
        <v>240</v>
      </c>
      <c r="P915" s="80">
        <v>40</v>
      </c>
      <c r="Q915" s="80">
        <f t="shared" si="151"/>
        <v>315</v>
      </c>
      <c r="R915" s="80">
        <f t="shared" si="152"/>
        <v>100</v>
      </c>
      <c r="S915" s="77">
        <f t="shared" si="153"/>
        <v>695</v>
      </c>
      <c r="T915" s="77">
        <f>50</f>
        <v>50</v>
      </c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</row>
    <row r="916" spans="1:30" ht="15.75" x14ac:dyDescent="0.25">
      <c r="A916" s="32">
        <v>68819</v>
      </c>
      <c r="B916" s="89">
        <f t="shared" si="144"/>
        <v>31</v>
      </c>
      <c r="C916" s="77">
        <f>194.205</f>
        <v>194.20500000000001</v>
      </c>
      <c r="D916" s="77">
        <f>267.466</f>
        <v>267.46600000000001</v>
      </c>
      <c r="E916" s="86">
        <f>133.845</f>
        <v>133.845</v>
      </c>
      <c r="F916" s="77">
        <f>278.484-40-25-60-100</f>
        <v>53.48399999999998</v>
      </c>
      <c r="G916" s="80">
        <v>40</v>
      </c>
      <c r="H916" s="77">
        <f t="shared" si="154"/>
        <v>185</v>
      </c>
      <c r="I916" s="77">
        <f t="shared" si="147"/>
        <v>0</v>
      </c>
      <c r="J916" s="80">
        <v>100</v>
      </c>
      <c r="K916" s="80">
        <v>300</v>
      </c>
      <c r="L916" s="77">
        <f t="shared" si="150"/>
        <v>1274</v>
      </c>
      <c r="M916" s="88">
        <v>600</v>
      </c>
      <c r="N916" s="77">
        <f>75</f>
        <v>75</v>
      </c>
      <c r="O916" s="80">
        <v>240</v>
      </c>
      <c r="P916" s="80">
        <v>40</v>
      </c>
      <c r="Q916" s="80">
        <f t="shared" si="151"/>
        <v>315</v>
      </c>
      <c r="R916" s="80">
        <f t="shared" si="152"/>
        <v>100</v>
      </c>
      <c r="S916" s="77">
        <f t="shared" si="153"/>
        <v>695</v>
      </c>
      <c r="T916" s="77">
        <f>50</f>
        <v>50</v>
      </c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</row>
    <row r="917" spans="1:30" ht="15.75" x14ac:dyDescent="0.25">
      <c r="A917" s="32">
        <v>68849</v>
      </c>
      <c r="B917" s="89">
        <f t="shared" si="144"/>
        <v>30</v>
      </c>
      <c r="C917" s="77">
        <f>194.205</f>
        <v>194.20500000000001</v>
      </c>
      <c r="D917" s="77">
        <f>267.466</f>
        <v>267.46600000000001</v>
      </c>
      <c r="E917" s="86">
        <f>133.845</f>
        <v>133.845</v>
      </c>
      <c r="F917" s="77">
        <f>278.484-40-25-60-100</f>
        <v>53.48399999999998</v>
      </c>
      <c r="G917" s="80">
        <v>40</v>
      </c>
      <c r="H917" s="77">
        <f t="shared" si="154"/>
        <v>185</v>
      </c>
      <c r="I917" s="77">
        <f t="shared" si="147"/>
        <v>0</v>
      </c>
      <c r="J917" s="80">
        <v>100</v>
      </c>
      <c r="K917" s="80">
        <v>300</v>
      </c>
      <c r="L917" s="77">
        <f t="shared" si="150"/>
        <v>1274</v>
      </c>
      <c r="M917" s="88">
        <v>600</v>
      </c>
      <c r="N917" s="77">
        <f>30</f>
        <v>30</v>
      </c>
      <c r="O917" s="80">
        <v>240</v>
      </c>
      <c r="P917" s="80">
        <v>40</v>
      </c>
      <c r="Q917" s="80">
        <f t="shared" si="151"/>
        <v>315</v>
      </c>
      <c r="R917" s="80">
        <f t="shared" si="152"/>
        <v>100</v>
      </c>
      <c r="S917" s="77">
        <f t="shared" si="153"/>
        <v>695</v>
      </c>
      <c r="T917" s="77">
        <f>50</f>
        <v>50</v>
      </c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</row>
    <row r="918" spans="1:30" ht="15.75" x14ac:dyDescent="0.25">
      <c r="A918" s="32">
        <v>68880</v>
      </c>
      <c r="B918" s="89">
        <f t="shared" si="144"/>
        <v>31</v>
      </c>
      <c r="C918" s="77">
        <f>194.205</f>
        <v>194.20500000000001</v>
      </c>
      <c r="D918" s="77">
        <f>267.466</f>
        <v>267.46600000000001</v>
      </c>
      <c r="E918" s="86">
        <f>133.845</f>
        <v>133.845</v>
      </c>
      <c r="F918" s="77">
        <f>278.484-40-25-60-100</f>
        <v>53.48399999999998</v>
      </c>
      <c r="G918" s="80">
        <v>40</v>
      </c>
      <c r="H918" s="77">
        <f t="shared" si="154"/>
        <v>185</v>
      </c>
      <c r="I918" s="77">
        <f t="shared" si="147"/>
        <v>0</v>
      </c>
      <c r="J918" s="80">
        <v>100</v>
      </c>
      <c r="K918" s="80">
        <v>300</v>
      </c>
      <c r="L918" s="77">
        <f t="shared" si="150"/>
        <v>1274</v>
      </c>
      <c r="M918" s="88">
        <v>600</v>
      </c>
      <c r="N918" s="77">
        <f>30</f>
        <v>30</v>
      </c>
      <c r="O918" s="80">
        <v>240</v>
      </c>
      <c r="P918" s="80">
        <v>40</v>
      </c>
      <c r="Q918" s="80">
        <f t="shared" si="151"/>
        <v>315</v>
      </c>
      <c r="R918" s="80">
        <f t="shared" si="152"/>
        <v>100</v>
      </c>
      <c r="S918" s="77">
        <f t="shared" si="153"/>
        <v>695</v>
      </c>
      <c r="T918" s="77">
        <f>0</f>
        <v>0</v>
      </c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</row>
    <row r="919" spans="1:30" ht="15.75" x14ac:dyDescent="0.25">
      <c r="A919" s="32">
        <v>68911</v>
      </c>
      <c r="B919" s="89">
        <f t="shared" si="144"/>
        <v>31</v>
      </c>
      <c r="C919" s="77">
        <f>194.205</f>
        <v>194.20500000000001</v>
      </c>
      <c r="D919" s="77">
        <f>267.466</f>
        <v>267.46600000000001</v>
      </c>
      <c r="E919" s="86">
        <f>133.845</f>
        <v>133.845</v>
      </c>
      <c r="F919" s="77">
        <f>278.484-40-25-60-100</f>
        <v>53.48399999999998</v>
      </c>
      <c r="G919" s="80">
        <v>40</v>
      </c>
      <c r="H919" s="77">
        <f t="shared" si="154"/>
        <v>185</v>
      </c>
      <c r="I919" s="77">
        <f t="shared" si="147"/>
        <v>0</v>
      </c>
      <c r="J919" s="80">
        <v>100</v>
      </c>
      <c r="K919" s="80">
        <v>300</v>
      </c>
      <c r="L919" s="77">
        <f t="shared" si="150"/>
        <v>1274</v>
      </c>
      <c r="M919" s="88">
        <v>600</v>
      </c>
      <c r="N919" s="77">
        <f>30</f>
        <v>30</v>
      </c>
      <c r="O919" s="80">
        <v>240</v>
      </c>
      <c r="P919" s="80">
        <v>40</v>
      </c>
      <c r="Q919" s="80">
        <f t="shared" si="151"/>
        <v>315</v>
      </c>
      <c r="R919" s="80">
        <f t="shared" si="152"/>
        <v>100</v>
      </c>
      <c r="S919" s="77">
        <f t="shared" si="153"/>
        <v>695</v>
      </c>
      <c r="T919" s="77">
        <f>0</f>
        <v>0</v>
      </c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</row>
    <row r="920" spans="1:30" ht="15.75" x14ac:dyDescent="0.25">
      <c r="A920" s="32">
        <v>68941</v>
      </c>
      <c r="B920" s="89">
        <f t="shared" ref="B920:B983" si="155">EOMONTH(A920,0)-EOMONTH(A920,-1)</f>
        <v>30</v>
      </c>
      <c r="C920" s="77">
        <f>194.205</f>
        <v>194.20500000000001</v>
      </c>
      <c r="D920" s="77">
        <f>267.466</f>
        <v>267.46600000000001</v>
      </c>
      <c r="E920" s="86">
        <f>133.845</f>
        <v>133.845</v>
      </c>
      <c r="F920" s="77">
        <f>278.484-40-25-60-100</f>
        <v>53.48399999999998</v>
      </c>
      <c r="G920" s="80">
        <v>40</v>
      </c>
      <c r="H920" s="77">
        <f t="shared" si="154"/>
        <v>185</v>
      </c>
      <c r="I920" s="77">
        <f t="shared" si="147"/>
        <v>0</v>
      </c>
      <c r="J920" s="80">
        <v>100</v>
      </c>
      <c r="K920" s="80">
        <v>300</v>
      </c>
      <c r="L920" s="77">
        <f t="shared" si="150"/>
        <v>1274</v>
      </c>
      <c r="M920" s="88">
        <v>600</v>
      </c>
      <c r="N920" s="77">
        <f>30</f>
        <v>30</v>
      </c>
      <c r="O920" s="80">
        <v>240</v>
      </c>
      <c r="P920" s="80">
        <v>40</v>
      </c>
      <c r="Q920" s="80">
        <f t="shared" si="151"/>
        <v>315</v>
      </c>
      <c r="R920" s="80">
        <f t="shared" si="152"/>
        <v>100</v>
      </c>
      <c r="S920" s="77">
        <f t="shared" si="153"/>
        <v>695</v>
      </c>
      <c r="T920" s="77">
        <f>0</f>
        <v>0</v>
      </c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</row>
    <row r="921" spans="1:30" ht="15.75" x14ac:dyDescent="0.25">
      <c r="A921" s="32">
        <v>68972</v>
      </c>
      <c r="B921" s="89">
        <f t="shared" si="155"/>
        <v>31</v>
      </c>
      <c r="C921" s="77">
        <f>131.881</f>
        <v>131.881</v>
      </c>
      <c r="D921" s="77">
        <f>277.167</f>
        <v>277.16699999999997</v>
      </c>
      <c r="E921" s="86">
        <f>79.08</f>
        <v>79.08</v>
      </c>
      <c r="F921" s="77">
        <f>350.872-40-25-60-100</f>
        <v>125.87200000000001</v>
      </c>
      <c r="G921" s="80">
        <v>40</v>
      </c>
      <c r="H921" s="77">
        <f t="shared" si="154"/>
        <v>185</v>
      </c>
      <c r="I921" s="77">
        <f t="shared" si="147"/>
        <v>0</v>
      </c>
      <c r="J921" s="80">
        <v>100</v>
      </c>
      <c r="K921" s="80">
        <v>300</v>
      </c>
      <c r="L921" s="77">
        <f t="shared" si="150"/>
        <v>1239</v>
      </c>
      <c r="M921" s="88">
        <v>600</v>
      </c>
      <c r="N921" s="77">
        <f>75</f>
        <v>75</v>
      </c>
      <c r="O921" s="80">
        <v>240</v>
      </c>
      <c r="P921" s="80">
        <v>40</v>
      </c>
      <c r="Q921" s="80">
        <f t="shared" si="151"/>
        <v>315</v>
      </c>
      <c r="R921" s="80">
        <f t="shared" si="152"/>
        <v>100</v>
      </c>
      <c r="S921" s="77">
        <f t="shared" si="153"/>
        <v>695</v>
      </c>
      <c r="T921" s="77">
        <f>0</f>
        <v>0</v>
      </c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</row>
    <row r="922" spans="1:30" ht="15.75" x14ac:dyDescent="0.25">
      <c r="A922" s="32">
        <v>69002</v>
      </c>
      <c r="B922" s="89">
        <f t="shared" si="155"/>
        <v>30</v>
      </c>
      <c r="C922" s="77">
        <f>122.58</f>
        <v>122.58</v>
      </c>
      <c r="D922" s="77">
        <f>297.941</f>
        <v>297.94099999999997</v>
      </c>
      <c r="E922" s="86">
        <f>89.177</f>
        <v>89.177000000000007</v>
      </c>
      <c r="F922" s="77">
        <f>240.302-40-60-100</f>
        <v>40.301999999999992</v>
      </c>
      <c r="G922" s="80">
        <v>40</v>
      </c>
      <c r="H922" s="77">
        <f>60+100</f>
        <v>160</v>
      </c>
      <c r="I922" s="77">
        <f t="shared" si="147"/>
        <v>0</v>
      </c>
      <c r="J922" s="80">
        <v>100</v>
      </c>
      <c r="K922" s="80">
        <v>300</v>
      </c>
      <c r="L922" s="77">
        <f t="shared" si="150"/>
        <v>1150</v>
      </c>
      <c r="M922" s="88">
        <v>600</v>
      </c>
      <c r="N922" s="77">
        <f>100</f>
        <v>100</v>
      </c>
      <c r="O922" s="80">
        <v>240</v>
      </c>
      <c r="P922" s="80">
        <v>40</v>
      </c>
      <c r="Q922" s="80">
        <f t="shared" si="151"/>
        <v>315</v>
      </c>
      <c r="R922" s="80">
        <f t="shared" si="152"/>
        <v>100</v>
      </c>
      <c r="S922" s="77">
        <f t="shared" si="153"/>
        <v>695</v>
      </c>
      <c r="T922" s="77">
        <f>50</f>
        <v>50</v>
      </c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</row>
    <row r="923" spans="1:30" ht="15.75" x14ac:dyDescent="0.25">
      <c r="A923" s="32">
        <v>69033</v>
      </c>
      <c r="B923" s="89">
        <f t="shared" si="155"/>
        <v>31</v>
      </c>
      <c r="C923" s="77">
        <f>122.58</f>
        <v>122.58</v>
      </c>
      <c r="D923" s="77">
        <f>297.941</f>
        <v>297.94099999999997</v>
      </c>
      <c r="E923" s="86">
        <f>89.177</f>
        <v>89.177000000000007</v>
      </c>
      <c r="F923" s="77">
        <f>240.302-40-60-100</f>
        <v>40.301999999999992</v>
      </c>
      <c r="G923" s="80">
        <v>40</v>
      </c>
      <c r="H923" s="77">
        <f>60+100</f>
        <v>160</v>
      </c>
      <c r="I923" s="77">
        <f t="shared" si="147"/>
        <v>0</v>
      </c>
      <c r="J923" s="80">
        <v>100</v>
      </c>
      <c r="K923" s="80">
        <v>300</v>
      </c>
      <c r="L923" s="77">
        <f t="shared" si="150"/>
        <v>1150</v>
      </c>
      <c r="M923" s="88">
        <v>600</v>
      </c>
      <c r="N923" s="77">
        <f>100</f>
        <v>100</v>
      </c>
      <c r="O923" s="80">
        <v>240</v>
      </c>
      <c r="P923" s="80">
        <v>40</v>
      </c>
      <c r="Q923" s="80">
        <f t="shared" si="151"/>
        <v>315</v>
      </c>
      <c r="R923" s="80">
        <f t="shared" si="152"/>
        <v>100</v>
      </c>
      <c r="S923" s="77">
        <f t="shared" si="153"/>
        <v>695</v>
      </c>
      <c r="T923" s="77">
        <f>50</f>
        <v>50</v>
      </c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</row>
    <row r="924" spans="1:30" ht="15.75" x14ac:dyDescent="0.25">
      <c r="A924" s="32">
        <v>69064</v>
      </c>
      <c r="B924" s="89">
        <f t="shared" si="155"/>
        <v>31</v>
      </c>
      <c r="C924" s="77">
        <f>122.58</f>
        <v>122.58</v>
      </c>
      <c r="D924" s="77">
        <f>297.941</f>
        <v>297.94099999999997</v>
      </c>
      <c r="E924" s="86">
        <f>89.177</f>
        <v>89.177000000000007</v>
      </c>
      <c r="F924" s="77">
        <f>240.302-40-60-100</f>
        <v>40.301999999999992</v>
      </c>
      <c r="G924" s="80">
        <v>40</v>
      </c>
      <c r="H924" s="77">
        <f>60+100</f>
        <v>160</v>
      </c>
      <c r="I924" s="77">
        <f t="shared" si="147"/>
        <v>0</v>
      </c>
      <c r="J924" s="80">
        <v>100</v>
      </c>
      <c r="K924" s="80">
        <v>300</v>
      </c>
      <c r="L924" s="77">
        <f t="shared" si="150"/>
        <v>1150</v>
      </c>
      <c r="M924" s="88">
        <v>600</v>
      </c>
      <c r="N924" s="77">
        <f>100</f>
        <v>100</v>
      </c>
      <c r="O924" s="80">
        <v>240</v>
      </c>
      <c r="P924" s="80">
        <v>40</v>
      </c>
      <c r="Q924" s="80">
        <f t="shared" si="151"/>
        <v>315</v>
      </c>
      <c r="R924" s="80">
        <f t="shared" si="152"/>
        <v>100</v>
      </c>
      <c r="S924" s="77">
        <f t="shared" si="153"/>
        <v>695</v>
      </c>
      <c r="T924" s="77">
        <f>50</f>
        <v>50</v>
      </c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</row>
    <row r="925" spans="1:30" ht="15.75" x14ac:dyDescent="0.25">
      <c r="A925" s="32">
        <v>69092</v>
      </c>
      <c r="B925" s="89">
        <f t="shared" si="155"/>
        <v>28</v>
      </c>
      <c r="C925" s="77">
        <f>122.58</f>
        <v>122.58</v>
      </c>
      <c r="D925" s="77">
        <f>297.941</f>
        <v>297.94099999999997</v>
      </c>
      <c r="E925" s="86">
        <f>89.177</f>
        <v>89.177000000000007</v>
      </c>
      <c r="F925" s="77">
        <f>240.302-40-60-100</f>
        <v>40.301999999999992</v>
      </c>
      <c r="G925" s="80">
        <v>40</v>
      </c>
      <c r="H925" s="77">
        <f>60+100</f>
        <v>160</v>
      </c>
      <c r="I925" s="77">
        <f t="shared" si="147"/>
        <v>0</v>
      </c>
      <c r="J925" s="80">
        <v>100</v>
      </c>
      <c r="K925" s="80">
        <v>300</v>
      </c>
      <c r="L925" s="77">
        <f t="shared" si="150"/>
        <v>1150</v>
      </c>
      <c r="M925" s="88">
        <v>600</v>
      </c>
      <c r="N925" s="77">
        <f>100</f>
        <v>100</v>
      </c>
      <c r="O925" s="80">
        <v>240</v>
      </c>
      <c r="P925" s="80">
        <v>40</v>
      </c>
      <c r="Q925" s="80">
        <f t="shared" si="151"/>
        <v>315</v>
      </c>
      <c r="R925" s="80">
        <f t="shared" si="152"/>
        <v>100</v>
      </c>
      <c r="S925" s="77">
        <f t="shared" si="153"/>
        <v>695</v>
      </c>
      <c r="T925" s="77">
        <f>50</f>
        <v>50</v>
      </c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</row>
    <row r="926" spans="1:30" ht="15.75" x14ac:dyDescent="0.25">
      <c r="A926" s="32">
        <v>69123</v>
      </c>
      <c r="B926" s="89">
        <f t="shared" si="155"/>
        <v>31</v>
      </c>
      <c r="C926" s="77">
        <f>122.58</f>
        <v>122.58</v>
      </c>
      <c r="D926" s="77">
        <f>297.941</f>
        <v>297.94099999999997</v>
      </c>
      <c r="E926" s="86">
        <f>89.177</f>
        <v>89.177000000000007</v>
      </c>
      <c r="F926" s="77">
        <f>240.302-40-60-100</f>
        <v>40.301999999999992</v>
      </c>
      <c r="G926" s="80">
        <v>40</v>
      </c>
      <c r="H926" s="77">
        <f>60+100</f>
        <v>160</v>
      </c>
      <c r="I926" s="77">
        <f t="shared" si="147"/>
        <v>0</v>
      </c>
      <c r="J926" s="80">
        <v>100</v>
      </c>
      <c r="K926" s="80">
        <v>300</v>
      </c>
      <c r="L926" s="77">
        <f t="shared" si="150"/>
        <v>1150</v>
      </c>
      <c r="M926" s="88">
        <v>600</v>
      </c>
      <c r="N926" s="77">
        <f>100</f>
        <v>100</v>
      </c>
      <c r="O926" s="80">
        <v>240</v>
      </c>
      <c r="P926" s="80">
        <v>40</v>
      </c>
      <c r="Q926" s="80">
        <f t="shared" si="151"/>
        <v>315</v>
      </c>
      <c r="R926" s="80">
        <f t="shared" si="152"/>
        <v>100</v>
      </c>
      <c r="S926" s="77">
        <f t="shared" si="153"/>
        <v>695</v>
      </c>
      <c r="T926" s="77">
        <f>50</f>
        <v>50</v>
      </c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</row>
    <row r="927" spans="1:30" ht="15.75" x14ac:dyDescent="0.25">
      <c r="A927" s="32">
        <v>69153</v>
      </c>
      <c r="B927" s="89">
        <f t="shared" si="155"/>
        <v>30</v>
      </c>
      <c r="C927" s="77">
        <f>141.293</f>
        <v>141.29300000000001</v>
      </c>
      <c r="D927" s="77">
        <f>267.993</f>
        <v>267.99299999999999</v>
      </c>
      <c r="E927" s="86">
        <f>115.016</f>
        <v>115.01600000000001</v>
      </c>
      <c r="F927" s="77">
        <f>314.698-40-25-60-100</f>
        <v>89.697999999999979</v>
      </c>
      <c r="G927" s="80">
        <v>40</v>
      </c>
      <c r="H927" s="77">
        <f t="shared" ref="H927:H933" si="156">25+60+100</f>
        <v>185</v>
      </c>
      <c r="I927" s="77">
        <f t="shared" si="147"/>
        <v>0</v>
      </c>
      <c r="J927" s="80">
        <v>100</v>
      </c>
      <c r="K927" s="80">
        <v>300</v>
      </c>
      <c r="L927" s="77">
        <f t="shared" si="150"/>
        <v>1239</v>
      </c>
      <c r="M927" s="88">
        <v>600</v>
      </c>
      <c r="N927" s="77">
        <f>100</f>
        <v>100</v>
      </c>
      <c r="O927" s="80">
        <v>240</v>
      </c>
      <c r="P927" s="80">
        <v>40</v>
      </c>
      <c r="Q927" s="80">
        <f t="shared" si="151"/>
        <v>315</v>
      </c>
      <c r="R927" s="80">
        <f t="shared" si="152"/>
        <v>100</v>
      </c>
      <c r="S927" s="77">
        <f t="shared" si="153"/>
        <v>695</v>
      </c>
      <c r="T927" s="77">
        <f>50</f>
        <v>50</v>
      </c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</row>
    <row r="928" spans="1:30" ht="15.75" x14ac:dyDescent="0.25">
      <c r="A928" s="32">
        <v>69184</v>
      </c>
      <c r="B928" s="89">
        <f t="shared" si="155"/>
        <v>31</v>
      </c>
      <c r="C928" s="77">
        <f>194.205</f>
        <v>194.20500000000001</v>
      </c>
      <c r="D928" s="77">
        <f>267.466</f>
        <v>267.46600000000001</v>
      </c>
      <c r="E928" s="86">
        <f>133.845</f>
        <v>133.845</v>
      </c>
      <c r="F928" s="77">
        <f>278.484-40-25-60-100</f>
        <v>53.48399999999998</v>
      </c>
      <c r="G928" s="80">
        <v>40</v>
      </c>
      <c r="H928" s="77">
        <f t="shared" si="156"/>
        <v>185</v>
      </c>
      <c r="I928" s="77">
        <f t="shared" si="147"/>
        <v>0</v>
      </c>
      <c r="J928" s="80">
        <v>100</v>
      </c>
      <c r="K928" s="80">
        <v>300</v>
      </c>
      <c r="L928" s="77">
        <f t="shared" si="150"/>
        <v>1274</v>
      </c>
      <c r="M928" s="88">
        <v>600</v>
      </c>
      <c r="N928" s="77">
        <f>75</f>
        <v>75</v>
      </c>
      <c r="O928" s="80">
        <v>240</v>
      </c>
      <c r="P928" s="80">
        <v>40</v>
      </c>
      <c r="Q928" s="80">
        <f t="shared" si="151"/>
        <v>315</v>
      </c>
      <c r="R928" s="80">
        <f t="shared" si="152"/>
        <v>100</v>
      </c>
      <c r="S928" s="77">
        <f t="shared" si="153"/>
        <v>695</v>
      </c>
      <c r="T928" s="77">
        <f>50</f>
        <v>50</v>
      </c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</row>
    <row r="929" spans="1:30" ht="15.75" x14ac:dyDescent="0.25">
      <c r="A929" s="32">
        <v>69214</v>
      </c>
      <c r="B929" s="89">
        <f t="shared" si="155"/>
        <v>30</v>
      </c>
      <c r="C929" s="77">
        <f>194.205</f>
        <v>194.20500000000001</v>
      </c>
      <c r="D929" s="77">
        <f>267.466</f>
        <v>267.46600000000001</v>
      </c>
      <c r="E929" s="86">
        <f>133.845</f>
        <v>133.845</v>
      </c>
      <c r="F929" s="77">
        <f>278.484-40-25-60-100</f>
        <v>53.48399999999998</v>
      </c>
      <c r="G929" s="80">
        <v>40</v>
      </c>
      <c r="H929" s="77">
        <f t="shared" si="156"/>
        <v>185</v>
      </c>
      <c r="I929" s="77">
        <f t="shared" si="147"/>
        <v>0</v>
      </c>
      <c r="J929" s="80">
        <v>100</v>
      </c>
      <c r="K929" s="80">
        <v>300</v>
      </c>
      <c r="L929" s="77">
        <f t="shared" si="150"/>
        <v>1274</v>
      </c>
      <c r="M929" s="88">
        <v>600</v>
      </c>
      <c r="N929" s="77">
        <f>30</f>
        <v>30</v>
      </c>
      <c r="O929" s="80">
        <v>240</v>
      </c>
      <c r="P929" s="80">
        <v>40</v>
      </c>
      <c r="Q929" s="80">
        <f t="shared" si="151"/>
        <v>315</v>
      </c>
      <c r="R929" s="80">
        <f t="shared" si="152"/>
        <v>100</v>
      </c>
      <c r="S929" s="77">
        <f t="shared" si="153"/>
        <v>695</v>
      </c>
      <c r="T929" s="77">
        <f>50</f>
        <v>50</v>
      </c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</row>
    <row r="930" spans="1:30" ht="15.75" x14ac:dyDescent="0.25">
      <c r="A930" s="32">
        <v>69245</v>
      </c>
      <c r="B930" s="89">
        <f t="shared" si="155"/>
        <v>31</v>
      </c>
      <c r="C930" s="77">
        <f>194.205</f>
        <v>194.20500000000001</v>
      </c>
      <c r="D930" s="77">
        <f>267.466</f>
        <v>267.46600000000001</v>
      </c>
      <c r="E930" s="86">
        <f>133.845</f>
        <v>133.845</v>
      </c>
      <c r="F930" s="77">
        <f>278.484-40-25-60-100</f>
        <v>53.48399999999998</v>
      </c>
      <c r="G930" s="80">
        <v>40</v>
      </c>
      <c r="H930" s="77">
        <f t="shared" si="156"/>
        <v>185</v>
      </c>
      <c r="I930" s="77">
        <f t="shared" si="147"/>
        <v>0</v>
      </c>
      <c r="J930" s="80">
        <v>100</v>
      </c>
      <c r="K930" s="80">
        <v>300</v>
      </c>
      <c r="L930" s="77">
        <f t="shared" si="150"/>
        <v>1274</v>
      </c>
      <c r="M930" s="88">
        <v>600</v>
      </c>
      <c r="N930" s="77">
        <f>30</f>
        <v>30</v>
      </c>
      <c r="O930" s="80">
        <v>240</v>
      </c>
      <c r="P930" s="80">
        <v>40</v>
      </c>
      <c r="Q930" s="80">
        <f t="shared" si="151"/>
        <v>315</v>
      </c>
      <c r="R930" s="80">
        <f t="shared" si="152"/>
        <v>100</v>
      </c>
      <c r="S930" s="77">
        <f t="shared" si="153"/>
        <v>695</v>
      </c>
      <c r="T930" s="77">
        <f>0</f>
        <v>0</v>
      </c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</row>
    <row r="931" spans="1:30" ht="15.75" x14ac:dyDescent="0.25">
      <c r="A931" s="32">
        <v>69276</v>
      </c>
      <c r="B931" s="89">
        <f t="shared" si="155"/>
        <v>31</v>
      </c>
      <c r="C931" s="77">
        <f>194.205</f>
        <v>194.20500000000001</v>
      </c>
      <c r="D931" s="77">
        <f>267.466</f>
        <v>267.46600000000001</v>
      </c>
      <c r="E931" s="86">
        <f>133.845</f>
        <v>133.845</v>
      </c>
      <c r="F931" s="77">
        <f>278.484-40-25-60-100</f>
        <v>53.48399999999998</v>
      </c>
      <c r="G931" s="80">
        <v>40</v>
      </c>
      <c r="H931" s="77">
        <f t="shared" si="156"/>
        <v>185</v>
      </c>
      <c r="I931" s="77">
        <f t="shared" si="147"/>
        <v>0</v>
      </c>
      <c r="J931" s="80">
        <v>100</v>
      </c>
      <c r="K931" s="80">
        <v>300</v>
      </c>
      <c r="L931" s="77">
        <f t="shared" si="150"/>
        <v>1274</v>
      </c>
      <c r="M931" s="88">
        <v>600</v>
      </c>
      <c r="N931" s="77">
        <f>30</f>
        <v>30</v>
      </c>
      <c r="O931" s="80">
        <v>240</v>
      </c>
      <c r="P931" s="80">
        <v>40</v>
      </c>
      <c r="Q931" s="80">
        <f t="shared" si="151"/>
        <v>315</v>
      </c>
      <c r="R931" s="80">
        <f t="shared" si="152"/>
        <v>100</v>
      </c>
      <c r="S931" s="77">
        <f t="shared" si="153"/>
        <v>695</v>
      </c>
      <c r="T931" s="77">
        <f>0</f>
        <v>0</v>
      </c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</row>
    <row r="932" spans="1:30" ht="15.75" x14ac:dyDescent="0.25">
      <c r="A932" s="32">
        <v>69306</v>
      </c>
      <c r="B932" s="89">
        <f t="shared" si="155"/>
        <v>30</v>
      </c>
      <c r="C932" s="77">
        <f>194.205</f>
        <v>194.20500000000001</v>
      </c>
      <c r="D932" s="77">
        <f>267.466</f>
        <v>267.46600000000001</v>
      </c>
      <c r="E932" s="86">
        <f>133.845</f>
        <v>133.845</v>
      </c>
      <c r="F932" s="77">
        <f>278.484-40-25-60-100</f>
        <v>53.48399999999998</v>
      </c>
      <c r="G932" s="80">
        <v>40</v>
      </c>
      <c r="H932" s="77">
        <f t="shared" si="156"/>
        <v>185</v>
      </c>
      <c r="I932" s="77">
        <f t="shared" si="147"/>
        <v>0</v>
      </c>
      <c r="J932" s="80">
        <v>100</v>
      </c>
      <c r="K932" s="80">
        <v>300</v>
      </c>
      <c r="L932" s="77">
        <f t="shared" si="150"/>
        <v>1274</v>
      </c>
      <c r="M932" s="88">
        <v>600</v>
      </c>
      <c r="N932" s="77">
        <f>30</f>
        <v>30</v>
      </c>
      <c r="O932" s="80">
        <v>240</v>
      </c>
      <c r="P932" s="80">
        <v>40</v>
      </c>
      <c r="Q932" s="80">
        <f t="shared" si="151"/>
        <v>315</v>
      </c>
      <c r="R932" s="80">
        <f t="shared" si="152"/>
        <v>100</v>
      </c>
      <c r="S932" s="77">
        <f t="shared" si="153"/>
        <v>695</v>
      </c>
      <c r="T932" s="77">
        <f>0</f>
        <v>0</v>
      </c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</row>
    <row r="933" spans="1:30" ht="15.75" x14ac:dyDescent="0.25">
      <c r="A933" s="32">
        <v>69337</v>
      </c>
      <c r="B933" s="89">
        <f t="shared" si="155"/>
        <v>31</v>
      </c>
      <c r="C933" s="77">
        <f>131.881</f>
        <v>131.881</v>
      </c>
      <c r="D933" s="77">
        <f>277.167</f>
        <v>277.16699999999997</v>
      </c>
      <c r="E933" s="86">
        <f>79.08</f>
        <v>79.08</v>
      </c>
      <c r="F933" s="77">
        <f>350.872-40-25-60-100</f>
        <v>125.87200000000001</v>
      </c>
      <c r="G933" s="80">
        <v>40</v>
      </c>
      <c r="H933" s="77">
        <f t="shared" si="156"/>
        <v>185</v>
      </c>
      <c r="I933" s="77">
        <f t="shared" si="147"/>
        <v>0</v>
      </c>
      <c r="J933" s="80">
        <v>100</v>
      </c>
      <c r="K933" s="80">
        <v>300</v>
      </c>
      <c r="L933" s="77">
        <f t="shared" si="150"/>
        <v>1239</v>
      </c>
      <c r="M933" s="88">
        <v>600</v>
      </c>
      <c r="N933" s="77">
        <f>75</f>
        <v>75</v>
      </c>
      <c r="O933" s="80">
        <v>240</v>
      </c>
      <c r="P933" s="80">
        <v>40</v>
      </c>
      <c r="Q933" s="80">
        <f t="shared" si="151"/>
        <v>315</v>
      </c>
      <c r="R933" s="80">
        <f t="shared" si="152"/>
        <v>100</v>
      </c>
      <c r="S933" s="77">
        <f t="shared" si="153"/>
        <v>695</v>
      </c>
      <c r="T933" s="77">
        <f>0</f>
        <v>0</v>
      </c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</row>
    <row r="934" spans="1:30" ht="15.75" x14ac:dyDescent="0.25">
      <c r="A934" s="32">
        <v>69367</v>
      </c>
      <c r="B934" s="89">
        <f t="shared" si="155"/>
        <v>30</v>
      </c>
      <c r="C934" s="77">
        <f>122.58</f>
        <v>122.58</v>
      </c>
      <c r="D934" s="77">
        <f>297.941</f>
        <v>297.94099999999997</v>
      </c>
      <c r="E934" s="86">
        <f>89.177</f>
        <v>89.177000000000007</v>
      </c>
      <c r="F934" s="77">
        <f>240.302-40-60-100</f>
        <v>40.301999999999992</v>
      </c>
      <c r="G934" s="80">
        <v>40</v>
      </c>
      <c r="H934" s="77">
        <f>60+100</f>
        <v>160</v>
      </c>
      <c r="I934" s="77">
        <f t="shared" si="147"/>
        <v>0</v>
      </c>
      <c r="J934" s="80">
        <v>100</v>
      </c>
      <c r="K934" s="80">
        <v>300</v>
      </c>
      <c r="L934" s="77">
        <f t="shared" si="150"/>
        <v>1150</v>
      </c>
      <c r="M934" s="88">
        <v>600</v>
      </c>
      <c r="N934" s="77">
        <f>100</f>
        <v>100</v>
      </c>
      <c r="O934" s="80">
        <v>240</v>
      </c>
      <c r="P934" s="80">
        <v>40</v>
      </c>
      <c r="Q934" s="80">
        <f t="shared" si="151"/>
        <v>315</v>
      </c>
      <c r="R934" s="80">
        <f t="shared" si="152"/>
        <v>100</v>
      </c>
      <c r="S934" s="77">
        <f t="shared" si="153"/>
        <v>695</v>
      </c>
      <c r="T934" s="77">
        <f>50</f>
        <v>50</v>
      </c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</row>
    <row r="935" spans="1:30" ht="15.75" x14ac:dyDescent="0.25">
      <c r="A935" s="32">
        <v>69398</v>
      </c>
      <c r="B935" s="89">
        <f t="shared" si="155"/>
        <v>31</v>
      </c>
      <c r="C935" s="77">
        <f>122.58</f>
        <v>122.58</v>
      </c>
      <c r="D935" s="77">
        <f>297.941</f>
        <v>297.94099999999997</v>
      </c>
      <c r="E935" s="86">
        <f>89.177</f>
        <v>89.177000000000007</v>
      </c>
      <c r="F935" s="77">
        <f>240.302-40-60-100</f>
        <v>40.301999999999992</v>
      </c>
      <c r="G935" s="80">
        <v>40</v>
      </c>
      <c r="H935" s="77">
        <f>60+100</f>
        <v>160</v>
      </c>
      <c r="I935" s="77">
        <f t="shared" si="147"/>
        <v>0</v>
      </c>
      <c r="J935" s="80">
        <v>100</v>
      </c>
      <c r="K935" s="80">
        <v>300</v>
      </c>
      <c r="L935" s="77">
        <f t="shared" si="150"/>
        <v>1150</v>
      </c>
      <c r="M935" s="88">
        <v>600</v>
      </c>
      <c r="N935" s="77">
        <f>100</f>
        <v>100</v>
      </c>
      <c r="O935" s="80">
        <v>240</v>
      </c>
      <c r="P935" s="80">
        <v>40</v>
      </c>
      <c r="Q935" s="80">
        <f t="shared" si="151"/>
        <v>315</v>
      </c>
      <c r="R935" s="80">
        <f t="shared" si="152"/>
        <v>100</v>
      </c>
      <c r="S935" s="77">
        <f t="shared" si="153"/>
        <v>695</v>
      </c>
      <c r="T935" s="77">
        <f>50</f>
        <v>50</v>
      </c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</row>
    <row r="936" spans="1:30" ht="15.75" x14ac:dyDescent="0.25">
      <c r="A936" s="32">
        <v>69429</v>
      </c>
      <c r="B936" s="89">
        <f t="shared" si="155"/>
        <v>31</v>
      </c>
      <c r="C936" s="77">
        <f>122.58</f>
        <v>122.58</v>
      </c>
      <c r="D936" s="77">
        <f>297.941</f>
        <v>297.94099999999997</v>
      </c>
      <c r="E936" s="86">
        <f>89.177</f>
        <v>89.177000000000007</v>
      </c>
      <c r="F936" s="77">
        <f>240.302-40-60-100</f>
        <v>40.301999999999992</v>
      </c>
      <c r="G936" s="80">
        <v>40</v>
      </c>
      <c r="H936" s="77">
        <f>60+100</f>
        <v>160</v>
      </c>
      <c r="I936" s="77">
        <f t="shared" si="147"/>
        <v>0</v>
      </c>
      <c r="J936" s="80">
        <v>100</v>
      </c>
      <c r="K936" s="80">
        <v>300</v>
      </c>
      <c r="L936" s="77">
        <f t="shared" si="150"/>
        <v>1150</v>
      </c>
      <c r="M936" s="88">
        <v>600</v>
      </c>
      <c r="N936" s="77">
        <f>100</f>
        <v>100</v>
      </c>
      <c r="O936" s="80">
        <v>240</v>
      </c>
      <c r="P936" s="80">
        <v>40</v>
      </c>
      <c r="Q936" s="80">
        <f t="shared" si="151"/>
        <v>315</v>
      </c>
      <c r="R936" s="80">
        <f t="shared" si="152"/>
        <v>100</v>
      </c>
      <c r="S936" s="77">
        <f t="shared" si="153"/>
        <v>695</v>
      </c>
      <c r="T936" s="77">
        <f>50</f>
        <v>50</v>
      </c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</row>
    <row r="937" spans="1:30" ht="15.75" x14ac:dyDescent="0.25">
      <c r="A937" s="32">
        <v>69457</v>
      </c>
      <c r="B937" s="89">
        <f t="shared" si="155"/>
        <v>28</v>
      </c>
      <c r="C937" s="77">
        <f>122.58</f>
        <v>122.58</v>
      </c>
      <c r="D937" s="77">
        <f>297.941</f>
        <v>297.94099999999997</v>
      </c>
      <c r="E937" s="86">
        <f>89.177</f>
        <v>89.177000000000007</v>
      </c>
      <c r="F937" s="77">
        <f>240.302-40-60-100</f>
        <v>40.301999999999992</v>
      </c>
      <c r="G937" s="80">
        <v>40</v>
      </c>
      <c r="H937" s="77">
        <f>60+100</f>
        <v>160</v>
      </c>
      <c r="I937" s="77">
        <f t="shared" si="147"/>
        <v>0</v>
      </c>
      <c r="J937" s="80">
        <v>100</v>
      </c>
      <c r="K937" s="80">
        <v>300</v>
      </c>
      <c r="L937" s="77">
        <f t="shared" si="150"/>
        <v>1150</v>
      </c>
      <c r="M937" s="88">
        <v>600</v>
      </c>
      <c r="N937" s="77">
        <f>100</f>
        <v>100</v>
      </c>
      <c r="O937" s="80">
        <v>240</v>
      </c>
      <c r="P937" s="80">
        <v>40</v>
      </c>
      <c r="Q937" s="80">
        <f t="shared" si="151"/>
        <v>315</v>
      </c>
      <c r="R937" s="80">
        <f t="shared" si="152"/>
        <v>100</v>
      </c>
      <c r="S937" s="77">
        <f t="shared" si="153"/>
        <v>695</v>
      </c>
      <c r="T937" s="77">
        <f>50</f>
        <v>50</v>
      </c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</row>
    <row r="938" spans="1:30" ht="15.75" x14ac:dyDescent="0.25">
      <c r="A938" s="32">
        <v>69488</v>
      </c>
      <c r="B938" s="89">
        <f t="shared" si="155"/>
        <v>31</v>
      </c>
      <c r="C938" s="77">
        <f>122.58</f>
        <v>122.58</v>
      </c>
      <c r="D938" s="77">
        <f>297.941</f>
        <v>297.94099999999997</v>
      </c>
      <c r="E938" s="86">
        <f>89.177</f>
        <v>89.177000000000007</v>
      </c>
      <c r="F938" s="77">
        <f>240.302-40-60-100</f>
        <v>40.301999999999992</v>
      </c>
      <c r="G938" s="80">
        <v>40</v>
      </c>
      <c r="H938" s="77">
        <f>60+100</f>
        <v>160</v>
      </c>
      <c r="I938" s="77">
        <f t="shared" si="147"/>
        <v>0</v>
      </c>
      <c r="J938" s="80">
        <v>100</v>
      </c>
      <c r="K938" s="80">
        <v>300</v>
      </c>
      <c r="L938" s="77">
        <f t="shared" si="150"/>
        <v>1150</v>
      </c>
      <c r="M938" s="88">
        <v>600</v>
      </c>
      <c r="N938" s="77">
        <f>100</f>
        <v>100</v>
      </c>
      <c r="O938" s="80">
        <v>240</v>
      </c>
      <c r="P938" s="80">
        <v>40</v>
      </c>
      <c r="Q938" s="80">
        <f t="shared" si="151"/>
        <v>315</v>
      </c>
      <c r="R938" s="80">
        <f t="shared" si="152"/>
        <v>100</v>
      </c>
      <c r="S938" s="77">
        <f t="shared" si="153"/>
        <v>695</v>
      </c>
      <c r="T938" s="77">
        <f>50</f>
        <v>50</v>
      </c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</row>
    <row r="939" spans="1:30" ht="15.75" x14ac:dyDescent="0.25">
      <c r="A939" s="32">
        <v>69518</v>
      </c>
      <c r="B939" s="89">
        <f t="shared" si="155"/>
        <v>30</v>
      </c>
      <c r="C939" s="77">
        <f>141.293</f>
        <v>141.29300000000001</v>
      </c>
      <c r="D939" s="77">
        <f>267.993</f>
        <v>267.99299999999999</v>
      </c>
      <c r="E939" s="86">
        <f>115.016</f>
        <v>115.01600000000001</v>
      </c>
      <c r="F939" s="77">
        <f>314.698-40-25-60-100</f>
        <v>89.697999999999979</v>
      </c>
      <c r="G939" s="80">
        <v>40</v>
      </c>
      <c r="H939" s="77">
        <f t="shared" ref="H939:H945" si="157">25+60+100</f>
        <v>185</v>
      </c>
      <c r="I939" s="77">
        <f t="shared" si="147"/>
        <v>0</v>
      </c>
      <c r="J939" s="80">
        <v>100</v>
      </c>
      <c r="K939" s="80">
        <v>300</v>
      </c>
      <c r="L939" s="77">
        <f t="shared" si="150"/>
        <v>1239</v>
      </c>
      <c r="M939" s="88">
        <v>600</v>
      </c>
      <c r="N939" s="77">
        <f>100</f>
        <v>100</v>
      </c>
      <c r="O939" s="80">
        <v>240</v>
      </c>
      <c r="P939" s="80">
        <v>40</v>
      </c>
      <c r="Q939" s="80">
        <f t="shared" si="151"/>
        <v>315</v>
      </c>
      <c r="R939" s="80">
        <f t="shared" si="152"/>
        <v>100</v>
      </c>
      <c r="S939" s="77">
        <f t="shared" si="153"/>
        <v>695</v>
      </c>
      <c r="T939" s="77">
        <f>50</f>
        <v>50</v>
      </c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</row>
    <row r="940" spans="1:30" ht="15.75" x14ac:dyDescent="0.25">
      <c r="A940" s="32">
        <v>69549</v>
      </c>
      <c r="B940" s="89">
        <f t="shared" si="155"/>
        <v>31</v>
      </c>
      <c r="C940" s="77">
        <f>194.205</f>
        <v>194.20500000000001</v>
      </c>
      <c r="D940" s="77">
        <f>267.466</f>
        <v>267.46600000000001</v>
      </c>
      <c r="E940" s="86">
        <f>133.845</f>
        <v>133.845</v>
      </c>
      <c r="F940" s="77">
        <f>278.484-40-25-60-100</f>
        <v>53.48399999999998</v>
      </c>
      <c r="G940" s="80">
        <v>40</v>
      </c>
      <c r="H940" s="77">
        <f t="shared" si="157"/>
        <v>185</v>
      </c>
      <c r="I940" s="77">
        <f t="shared" si="147"/>
        <v>0</v>
      </c>
      <c r="J940" s="80">
        <v>100</v>
      </c>
      <c r="K940" s="80">
        <v>300</v>
      </c>
      <c r="L940" s="77">
        <f t="shared" si="150"/>
        <v>1274</v>
      </c>
      <c r="M940" s="88">
        <v>600</v>
      </c>
      <c r="N940" s="77">
        <f>75</f>
        <v>75</v>
      </c>
      <c r="O940" s="80">
        <v>240</v>
      </c>
      <c r="P940" s="80">
        <v>40</v>
      </c>
      <c r="Q940" s="80">
        <f t="shared" si="151"/>
        <v>315</v>
      </c>
      <c r="R940" s="80">
        <f t="shared" si="152"/>
        <v>100</v>
      </c>
      <c r="S940" s="77">
        <f t="shared" si="153"/>
        <v>695</v>
      </c>
      <c r="T940" s="77">
        <f>50</f>
        <v>50</v>
      </c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</row>
    <row r="941" spans="1:30" ht="15.75" x14ac:dyDescent="0.25">
      <c r="A941" s="32">
        <v>69579</v>
      </c>
      <c r="B941" s="89">
        <f t="shared" si="155"/>
        <v>30</v>
      </c>
      <c r="C941" s="77">
        <f>194.205</f>
        <v>194.20500000000001</v>
      </c>
      <c r="D941" s="77">
        <f>267.466</f>
        <v>267.46600000000001</v>
      </c>
      <c r="E941" s="86">
        <f>133.845</f>
        <v>133.845</v>
      </c>
      <c r="F941" s="77">
        <f>278.484-40-25-60-100</f>
        <v>53.48399999999998</v>
      </c>
      <c r="G941" s="80">
        <v>40</v>
      </c>
      <c r="H941" s="77">
        <f t="shared" si="157"/>
        <v>185</v>
      </c>
      <c r="I941" s="77">
        <f t="shared" si="147"/>
        <v>0</v>
      </c>
      <c r="J941" s="80">
        <v>100</v>
      </c>
      <c r="K941" s="80">
        <v>300</v>
      </c>
      <c r="L941" s="77">
        <f t="shared" si="150"/>
        <v>1274</v>
      </c>
      <c r="M941" s="88">
        <v>600</v>
      </c>
      <c r="N941" s="77">
        <f>30</f>
        <v>30</v>
      </c>
      <c r="O941" s="80">
        <v>240</v>
      </c>
      <c r="P941" s="80">
        <v>40</v>
      </c>
      <c r="Q941" s="80">
        <f t="shared" si="151"/>
        <v>315</v>
      </c>
      <c r="R941" s="80">
        <f t="shared" si="152"/>
        <v>100</v>
      </c>
      <c r="S941" s="77">
        <f t="shared" si="153"/>
        <v>695</v>
      </c>
      <c r="T941" s="77">
        <f>50</f>
        <v>50</v>
      </c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</row>
    <row r="942" spans="1:30" ht="15.75" x14ac:dyDescent="0.25">
      <c r="A942" s="32">
        <v>69610</v>
      </c>
      <c r="B942" s="89">
        <f t="shared" si="155"/>
        <v>31</v>
      </c>
      <c r="C942" s="77">
        <f>194.205</f>
        <v>194.20500000000001</v>
      </c>
      <c r="D942" s="77">
        <f>267.466</f>
        <v>267.46600000000001</v>
      </c>
      <c r="E942" s="86">
        <f>133.845</f>
        <v>133.845</v>
      </c>
      <c r="F942" s="77">
        <f>278.484-40-25-60-100</f>
        <v>53.48399999999998</v>
      </c>
      <c r="G942" s="80">
        <v>40</v>
      </c>
      <c r="H942" s="77">
        <f t="shared" si="157"/>
        <v>185</v>
      </c>
      <c r="I942" s="77">
        <f t="shared" si="147"/>
        <v>0</v>
      </c>
      <c r="J942" s="80">
        <v>100</v>
      </c>
      <c r="K942" s="80">
        <v>300</v>
      </c>
      <c r="L942" s="77">
        <f t="shared" si="150"/>
        <v>1274</v>
      </c>
      <c r="M942" s="88">
        <v>600</v>
      </c>
      <c r="N942" s="77">
        <f>30</f>
        <v>30</v>
      </c>
      <c r="O942" s="80">
        <v>240</v>
      </c>
      <c r="P942" s="80">
        <v>40</v>
      </c>
      <c r="Q942" s="80">
        <f t="shared" si="151"/>
        <v>315</v>
      </c>
      <c r="R942" s="80">
        <f t="shared" si="152"/>
        <v>100</v>
      </c>
      <c r="S942" s="77">
        <f t="shared" si="153"/>
        <v>695</v>
      </c>
      <c r="T942" s="77">
        <f>0</f>
        <v>0</v>
      </c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</row>
    <row r="943" spans="1:30" ht="15.75" x14ac:dyDescent="0.25">
      <c r="A943" s="32">
        <v>69641</v>
      </c>
      <c r="B943" s="89">
        <f t="shared" si="155"/>
        <v>31</v>
      </c>
      <c r="C943" s="77">
        <f>194.205</f>
        <v>194.20500000000001</v>
      </c>
      <c r="D943" s="77">
        <f>267.466</f>
        <v>267.46600000000001</v>
      </c>
      <c r="E943" s="86">
        <f>133.845</f>
        <v>133.845</v>
      </c>
      <c r="F943" s="77">
        <f>278.484-40-25-60-100</f>
        <v>53.48399999999998</v>
      </c>
      <c r="G943" s="80">
        <v>40</v>
      </c>
      <c r="H943" s="77">
        <f t="shared" si="157"/>
        <v>185</v>
      </c>
      <c r="I943" s="77">
        <f t="shared" si="147"/>
        <v>0</v>
      </c>
      <c r="J943" s="80">
        <v>100</v>
      </c>
      <c r="K943" s="80">
        <v>300</v>
      </c>
      <c r="L943" s="77">
        <f t="shared" si="150"/>
        <v>1274</v>
      </c>
      <c r="M943" s="88">
        <v>600</v>
      </c>
      <c r="N943" s="77">
        <f>30</f>
        <v>30</v>
      </c>
      <c r="O943" s="80">
        <v>240</v>
      </c>
      <c r="P943" s="80">
        <v>40</v>
      </c>
      <c r="Q943" s="80">
        <f t="shared" si="151"/>
        <v>315</v>
      </c>
      <c r="R943" s="80">
        <f t="shared" si="152"/>
        <v>100</v>
      </c>
      <c r="S943" s="77">
        <f t="shared" si="153"/>
        <v>695</v>
      </c>
      <c r="T943" s="77">
        <f>0</f>
        <v>0</v>
      </c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</row>
    <row r="944" spans="1:30" ht="15.75" x14ac:dyDescent="0.25">
      <c r="A944" s="32">
        <v>69671</v>
      </c>
      <c r="B944" s="89">
        <f t="shared" si="155"/>
        <v>30</v>
      </c>
      <c r="C944" s="77">
        <f>194.205</f>
        <v>194.20500000000001</v>
      </c>
      <c r="D944" s="77">
        <f>267.466</f>
        <v>267.46600000000001</v>
      </c>
      <c r="E944" s="86">
        <f>133.845</f>
        <v>133.845</v>
      </c>
      <c r="F944" s="77">
        <f>278.484-40-25-60-100</f>
        <v>53.48399999999998</v>
      </c>
      <c r="G944" s="80">
        <v>40</v>
      </c>
      <c r="H944" s="77">
        <f t="shared" si="157"/>
        <v>185</v>
      </c>
      <c r="I944" s="77">
        <f t="shared" si="147"/>
        <v>0</v>
      </c>
      <c r="J944" s="80">
        <v>100</v>
      </c>
      <c r="K944" s="80">
        <v>300</v>
      </c>
      <c r="L944" s="77">
        <f t="shared" si="150"/>
        <v>1274</v>
      </c>
      <c r="M944" s="88">
        <v>600</v>
      </c>
      <c r="N944" s="77">
        <f>30</f>
        <v>30</v>
      </c>
      <c r="O944" s="80">
        <v>240</v>
      </c>
      <c r="P944" s="80">
        <v>40</v>
      </c>
      <c r="Q944" s="80">
        <f t="shared" si="151"/>
        <v>315</v>
      </c>
      <c r="R944" s="80">
        <f t="shared" si="152"/>
        <v>100</v>
      </c>
      <c r="S944" s="77">
        <f t="shared" si="153"/>
        <v>695</v>
      </c>
      <c r="T944" s="77">
        <f>0</f>
        <v>0</v>
      </c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</row>
    <row r="945" spans="1:30" ht="15.75" x14ac:dyDescent="0.25">
      <c r="A945" s="32">
        <v>69702</v>
      </c>
      <c r="B945" s="89">
        <f t="shared" si="155"/>
        <v>31</v>
      </c>
      <c r="C945" s="77">
        <f>131.881</f>
        <v>131.881</v>
      </c>
      <c r="D945" s="77">
        <f>277.167</f>
        <v>277.16699999999997</v>
      </c>
      <c r="E945" s="86">
        <f>79.08</f>
        <v>79.08</v>
      </c>
      <c r="F945" s="77">
        <f>350.872-40-25-60-100</f>
        <v>125.87200000000001</v>
      </c>
      <c r="G945" s="80">
        <v>40</v>
      </c>
      <c r="H945" s="77">
        <f t="shared" si="157"/>
        <v>185</v>
      </c>
      <c r="I945" s="77">
        <f t="shared" si="147"/>
        <v>0</v>
      </c>
      <c r="J945" s="80">
        <v>100</v>
      </c>
      <c r="K945" s="80">
        <v>300</v>
      </c>
      <c r="L945" s="77">
        <f t="shared" si="150"/>
        <v>1239</v>
      </c>
      <c r="M945" s="88">
        <v>600</v>
      </c>
      <c r="N945" s="77">
        <f>75</f>
        <v>75</v>
      </c>
      <c r="O945" s="80">
        <v>240</v>
      </c>
      <c r="P945" s="80">
        <v>40</v>
      </c>
      <c r="Q945" s="80">
        <f t="shared" si="151"/>
        <v>315</v>
      </c>
      <c r="R945" s="80">
        <f t="shared" si="152"/>
        <v>100</v>
      </c>
      <c r="S945" s="77">
        <f t="shared" si="153"/>
        <v>695</v>
      </c>
      <c r="T945" s="77">
        <f>0</f>
        <v>0</v>
      </c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</row>
    <row r="946" spans="1:30" ht="15.75" x14ac:dyDescent="0.25">
      <c r="A946" s="32">
        <v>69732</v>
      </c>
      <c r="B946" s="89">
        <f t="shared" si="155"/>
        <v>30</v>
      </c>
      <c r="C946" s="77">
        <f>122.58</f>
        <v>122.58</v>
      </c>
      <c r="D946" s="77">
        <f>297.941</f>
        <v>297.94099999999997</v>
      </c>
      <c r="E946" s="86">
        <f>89.177</f>
        <v>89.177000000000007</v>
      </c>
      <c r="F946" s="77">
        <f>240.302-40-60-100</f>
        <v>40.301999999999992</v>
      </c>
      <c r="G946" s="80">
        <v>40</v>
      </c>
      <c r="H946" s="77">
        <f>60+100</f>
        <v>160</v>
      </c>
      <c r="I946" s="77">
        <f t="shared" si="147"/>
        <v>0</v>
      </c>
      <c r="J946" s="80">
        <v>100</v>
      </c>
      <c r="K946" s="80">
        <v>300</v>
      </c>
      <c r="L946" s="77">
        <f t="shared" si="150"/>
        <v>1150</v>
      </c>
      <c r="M946" s="88">
        <v>600</v>
      </c>
      <c r="N946" s="77">
        <f>100</f>
        <v>100</v>
      </c>
      <c r="O946" s="80">
        <v>240</v>
      </c>
      <c r="P946" s="80">
        <v>40</v>
      </c>
      <c r="Q946" s="80">
        <f t="shared" si="151"/>
        <v>315</v>
      </c>
      <c r="R946" s="80">
        <f t="shared" si="152"/>
        <v>100</v>
      </c>
      <c r="S946" s="77">
        <f t="shared" si="153"/>
        <v>695</v>
      </c>
      <c r="T946" s="77">
        <f>50</f>
        <v>50</v>
      </c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</row>
    <row r="947" spans="1:30" ht="15.75" x14ac:dyDescent="0.25">
      <c r="A947" s="32">
        <v>69763</v>
      </c>
      <c r="B947" s="89">
        <f t="shared" si="155"/>
        <v>31</v>
      </c>
      <c r="C947" s="77">
        <f>122.58</f>
        <v>122.58</v>
      </c>
      <c r="D947" s="77">
        <f>297.941</f>
        <v>297.94099999999997</v>
      </c>
      <c r="E947" s="86">
        <f>89.177</f>
        <v>89.177000000000007</v>
      </c>
      <c r="F947" s="77">
        <f>240.302-40-60-100</f>
        <v>40.301999999999992</v>
      </c>
      <c r="G947" s="80">
        <v>40</v>
      </c>
      <c r="H947" s="77">
        <f>60+100</f>
        <v>160</v>
      </c>
      <c r="I947" s="77">
        <f t="shared" si="147"/>
        <v>0</v>
      </c>
      <c r="J947" s="80">
        <v>100</v>
      </c>
      <c r="K947" s="80">
        <v>300</v>
      </c>
      <c r="L947" s="77">
        <f t="shared" si="150"/>
        <v>1150</v>
      </c>
      <c r="M947" s="88">
        <v>600</v>
      </c>
      <c r="N947" s="77">
        <f>100</f>
        <v>100</v>
      </c>
      <c r="O947" s="80">
        <v>240</v>
      </c>
      <c r="P947" s="80">
        <v>40</v>
      </c>
      <c r="Q947" s="80">
        <f t="shared" si="151"/>
        <v>315</v>
      </c>
      <c r="R947" s="80">
        <f t="shared" si="152"/>
        <v>100</v>
      </c>
      <c r="S947" s="77">
        <f t="shared" si="153"/>
        <v>695</v>
      </c>
      <c r="T947" s="77">
        <f>50</f>
        <v>50</v>
      </c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</row>
    <row r="948" spans="1:30" ht="15.75" x14ac:dyDescent="0.25">
      <c r="A948" s="32">
        <v>69794</v>
      </c>
      <c r="B948" s="89">
        <f t="shared" si="155"/>
        <v>31</v>
      </c>
      <c r="C948" s="77">
        <f>122.58</f>
        <v>122.58</v>
      </c>
      <c r="D948" s="77">
        <f>297.941</f>
        <v>297.94099999999997</v>
      </c>
      <c r="E948" s="86">
        <f>89.177</f>
        <v>89.177000000000007</v>
      </c>
      <c r="F948" s="77">
        <f>240.302-40-60-100</f>
        <v>40.301999999999992</v>
      </c>
      <c r="G948" s="80">
        <v>40</v>
      </c>
      <c r="H948" s="77">
        <f>60+100</f>
        <v>160</v>
      </c>
      <c r="I948" s="77">
        <f t="shared" ref="I948:I1011" si="158">400-J948-K948</f>
        <v>0</v>
      </c>
      <c r="J948" s="80">
        <v>100</v>
      </c>
      <c r="K948" s="80">
        <v>300</v>
      </c>
      <c r="L948" s="77">
        <f t="shared" si="150"/>
        <v>1150</v>
      </c>
      <c r="M948" s="88">
        <v>600</v>
      </c>
      <c r="N948" s="77">
        <f>100</f>
        <v>100</v>
      </c>
      <c r="O948" s="80">
        <v>240</v>
      </c>
      <c r="P948" s="80">
        <v>40</v>
      </c>
      <c r="Q948" s="80">
        <f t="shared" si="151"/>
        <v>315</v>
      </c>
      <c r="R948" s="80">
        <f t="shared" si="152"/>
        <v>100</v>
      </c>
      <c r="S948" s="77">
        <f t="shared" si="153"/>
        <v>695</v>
      </c>
      <c r="T948" s="77">
        <f>50</f>
        <v>50</v>
      </c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</row>
    <row r="949" spans="1:30" ht="15.75" x14ac:dyDescent="0.25">
      <c r="A949" s="32">
        <v>69822</v>
      </c>
      <c r="B949" s="89">
        <f t="shared" si="155"/>
        <v>28</v>
      </c>
      <c r="C949" s="77">
        <f>122.58</f>
        <v>122.58</v>
      </c>
      <c r="D949" s="77">
        <f>297.941</f>
        <v>297.94099999999997</v>
      </c>
      <c r="E949" s="86">
        <f>89.177</f>
        <v>89.177000000000007</v>
      </c>
      <c r="F949" s="77">
        <f>240.302-40-60-100</f>
        <v>40.301999999999992</v>
      </c>
      <c r="G949" s="80">
        <v>40</v>
      </c>
      <c r="H949" s="77">
        <f>60+100</f>
        <v>160</v>
      </c>
      <c r="I949" s="77">
        <f t="shared" si="158"/>
        <v>0</v>
      </c>
      <c r="J949" s="80">
        <v>100</v>
      </c>
      <c r="K949" s="80">
        <v>300</v>
      </c>
      <c r="L949" s="77">
        <f t="shared" si="150"/>
        <v>1150</v>
      </c>
      <c r="M949" s="88">
        <v>600</v>
      </c>
      <c r="N949" s="77">
        <f>100</f>
        <v>100</v>
      </c>
      <c r="O949" s="80">
        <v>240</v>
      </c>
      <c r="P949" s="80">
        <v>40</v>
      </c>
      <c r="Q949" s="80">
        <f t="shared" si="151"/>
        <v>315</v>
      </c>
      <c r="R949" s="80">
        <f t="shared" si="152"/>
        <v>100</v>
      </c>
      <c r="S949" s="77">
        <f t="shared" si="153"/>
        <v>695</v>
      </c>
      <c r="T949" s="77">
        <f>50</f>
        <v>50</v>
      </c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</row>
    <row r="950" spans="1:30" ht="15.75" x14ac:dyDescent="0.25">
      <c r="A950" s="32">
        <v>69853</v>
      </c>
      <c r="B950" s="89">
        <f t="shared" si="155"/>
        <v>31</v>
      </c>
      <c r="C950" s="77">
        <f>122.58</f>
        <v>122.58</v>
      </c>
      <c r="D950" s="77">
        <f>297.941</f>
        <v>297.94099999999997</v>
      </c>
      <c r="E950" s="86">
        <f>89.177</f>
        <v>89.177000000000007</v>
      </c>
      <c r="F950" s="77">
        <f>240.302-40-60-100</f>
        <v>40.301999999999992</v>
      </c>
      <c r="G950" s="80">
        <v>40</v>
      </c>
      <c r="H950" s="77">
        <f>60+100</f>
        <v>160</v>
      </c>
      <c r="I950" s="77">
        <f t="shared" si="158"/>
        <v>0</v>
      </c>
      <c r="J950" s="80">
        <v>100</v>
      </c>
      <c r="K950" s="80">
        <v>300</v>
      </c>
      <c r="L950" s="77">
        <f t="shared" si="150"/>
        <v>1150</v>
      </c>
      <c r="M950" s="88">
        <v>600</v>
      </c>
      <c r="N950" s="77">
        <f>100</f>
        <v>100</v>
      </c>
      <c r="O950" s="80">
        <v>240</v>
      </c>
      <c r="P950" s="80">
        <v>40</v>
      </c>
      <c r="Q950" s="80">
        <f t="shared" si="151"/>
        <v>315</v>
      </c>
      <c r="R950" s="80">
        <f t="shared" si="152"/>
        <v>100</v>
      </c>
      <c r="S950" s="77">
        <f t="shared" si="153"/>
        <v>695</v>
      </c>
      <c r="T950" s="77">
        <f>50</f>
        <v>50</v>
      </c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</row>
    <row r="951" spans="1:30" ht="15.75" x14ac:dyDescent="0.25">
      <c r="A951" s="32">
        <v>69883</v>
      </c>
      <c r="B951" s="89">
        <f t="shared" si="155"/>
        <v>30</v>
      </c>
      <c r="C951" s="77">
        <f>141.293</f>
        <v>141.29300000000001</v>
      </c>
      <c r="D951" s="77">
        <f>267.993</f>
        <v>267.99299999999999</v>
      </c>
      <c r="E951" s="86">
        <f>115.016</f>
        <v>115.01600000000001</v>
      </c>
      <c r="F951" s="77">
        <f>314.698-40-25-60-100</f>
        <v>89.697999999999979</v>
      </c>
      <c r="G951" s="80">
        <v>40</v>
      </c>
      <c r="H951" s="77">
        <f t="shared" ref="H951:H957" si="159">25+60+100</f>
        <v>185</v>
      </c>
      <c r="I951" s="77">
        <f t="shared" si="158"/>
        <v>0</v>
      </c>
      <c r="J951" s="80">
        <v>100</v>
      </c>
      <c r="K951" s="80">
        <v>300</v>
      </c>
      <c r="L951" s="77">
        <f t="shared" si="150"/>
        <v>1239</v>
      </c>
      <c r="M951" s="88">
        <v>600</v>
      </c>
      <c r="N951" s="77">
        <f>100</f>
        <v>100</v>
      </c>
      <c r="O951" s="80">
        <v>240</v>
      </c>
      <c r="P951" s="80">
        <v>40</v>
      </c>
      <c r="Q951" s="80">
        <f t="shared" si="151"/>
        <v>315</v>
      </c>
      <c r="R951" s="80">
        <f t="shared" si="152"/>
        <v>100</v>
      </c>
      <c r="S951" s="77">
        <f t="shared" si="153"/>
        <v>695</v>
      </c>
      <c r="T951" s="77">
        <f>50</f>
        <v>50</v>
      </c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</row>
    <row r="952" spans="1:30" ht="15.75" x14ac:dyDescent="0.25">
      <c r="A952" s="32">
        <v>69914</v>
      </c>
      <c r="B952" s="89">
        <f t="shared" si="155"/>
        <v>31</v>
      </c>
      <c r="C952" s="77">
        <f>194.205</f>
        <v>194.20500000000001</v>
      </c>
      <c r="D952" s="77">
        <f>267.466</f>
        <v>267.46600000000001</v>
      </c>
      <c r="E952" s="86">
        <f>133.845</f>
        <v>133.845</v>
      </c>
      <c r="F952" s="77">
        <f>278.484-40-25-60-100</f>
        <v>53.48399999999998</v>
      </c>
      <c r="G952" s="80">
        <v>40</v>
      </c>
      <c r="H952" s="77">
        <f t="shared" si="159"/>
        <v>185</v>
      </c>
      <c r="I952" s="77">
        <f t="shared" si="158"/>
        <v>0</v>
      </c>
      <c r="J952" s="80">
        <v>100</v>
      </c>
      <c r="K952" s="80">
        <v>300</v>
      </c>
      <c r="L952" s="77">
        <f t="shared" si="150"/>
        <v>1274</v>
      </c>
      <c r="M952" s="88">
        <v>600</v>
      </c>
      <c r="N952" s="77">
        <f>75</f>
        <v>75</v>
      </c>
      <c r="O952" s="80">
        <v>240</v>
      </c>
      <c r="P952" s="80">
        <v>40</v>
      </c>
      <c r="Q952" s="80">
        <f t="shared" si="151"/>
        <v>315</v>
      </c>
      <c r="R952" s="80">
        <f t="shared" si="152"/>
        <v>100</v>
      </c>
      <c r="S952" s="77">
        <f t="shared" si="153"/>
        <v>695</v>
      </c>
      <c r="T952" s="77">
        <f>50</f>
        <v>50</v>
      </c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</row>
    <row r="953" spans="1:30" ht="15.75" x14ac:dyDescent="0.25">
      <c r="A953" s="32">
        <v>69944</v>
      </c>
      <c r="B953" s="89">
        <f t="shared" si="155"/>
        <v>30</v>
      </c>
      <c r="C953" s="77">
        <f>194.205</f>
        <v>194.20500000000001</v>
      </c>
      <c r="D953" s="77">
        <f>267.466</f>
        <v>267.46600000000001</v>
      </c>
      <c r="E953" s="86">
        <f>133.845</f>
        <v>133.845</v>
      </c>
      <c r="F953" s="77">
        <f>278.484-40-25-60-100</f>
        <v>53.48399999999998</v>
      </c>
      <c r="G953" s="80">
        <v>40</v>
      </c>
      <c r="H953" s="77">
        <f t="shared" si="159"/>
        <v>185</v>
      </c>
      <c r="I953" s="77">
        <f t="shared" si="158"/>
        <v>0</v>
      </c>
      <c r="J953" s="80">
        <v>100</v>
      </c>
      <c r="K953" s="80">
        <v>300</v>
      </c>
      <c r="L953" s="77">
        <f t="shared" si="150"/>
        <v>1274</v>
      </c>
      <c r="M953" s="88">
        <v>600</v>
      </c>
      <c r="N953" s="77">
        <f>30</f>
        <v>30</v>
      </c>
      <c r="O953" s="80">
        <v>240</v>
      </c>
      <c r="P953" s="80">
        <v>40</v>
      </c>
      <c r="Q953" s="80">
        <f t="shared" si="151"/>
        <v>315</v>
      </c>
      <c r="R953" s="80">
        <f t="shared" si="152"/>
        <v>100</v>
      </c>
      <c r="S953" s="77">
        <f t="shared" si="153"/>
        <v>695</v>
      </c>
      <c r="T953" s="77">
        <f>50</f>
        <v>50</v>
      </c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</row>
    <row r="954" spans="1:30" ht="15.75" x14ac:dyDescent="0.25">
      <c r="A954" s="32">
        <v>69975</v>
      </c>
      <c r="B954" s="89">
        <f t="shared" si="155"/>
        <v>31</v>
      </c>
      <c r="C954" s="77">
        <f>194.205</f>
        <v>194.20500000000001</v>
      </c>
      <c r="D954" s="77">
        <f>267.466</f>
        <v>267.46600000000001</v>
      </c>
      <c r="E954" s="86">
        <f>133.845</f>
        <v>133.845</v>
      </c>
      <c r="F954" s="77">
        <f>278.484-40-25-60-100</f>
        <v>53.48399999999998</v>
      </c>
      <c r="G954" s="80">
        <v>40</v>
      </c>
      <c r="H954" s="77">
        <f t="shared" si="159"/>
        <v>185</v>
      </c>
      <c r="I954" s="77">
        <f t="shared" si="158"/>
        <v>0</v>
      </c>
      <c r="J954" s="80">
        <v>100</v>
      </c>
      <c r="K954" s="80">
        <v>300</v>
      </c>
      <c r="L954" s="77">
        <f t="shared" si="150"/>
        <v>1274</v>
      </c>
      <c r="M954" s="88">
        <v>600</v>
      </c>
      <c r="N954" s="77">
        <f>30</f>
        <v>30</v>
      </c>
      <c r="O954" s="80">
        <v>240</v>
      </c>
      <c r="P954" s="80">
        <v>40</v>
      </c>
      <c r="Q954" s="80">
        <f t="shared" si="151"/>
        <v>315</v>
      </c>
      <c r="R954" s="80">
        <f t="shared" si="152"/>
        <v>100</v>
      </c>
      <c r="S954" s="77">
        <f t="shared" si="153"/>
        <v>695</v>
      </c>
      <c r="T954" s="77">
        <f>0</f>
        <v>0</v>
      </c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</row>
    <row r="955" spans="1:30" ht="15.75" x14ac:dyDescent="0.25">
      <c r="A955" s="32">
        <v>70006</v>
      </c>
      <c r="B955" s="89">
        <f t="shared" si="155"/>
        <v>31</v>
      </c>
      <c r="C955" s="77">
        <f>194.205</f>
        <v>194.20500000000001</v>
      </c>
      <c r="D955" s="77">
        <f>267.466</f>
        <v>267.46600000000001</v>
      </c>
      <c r="E955" s="86">
        <f>133.845</f>
        <v>133.845</v>
      </c>
      <c r="F955" s="77">
        <f>278.484-40-25-60-100</f>
        <v>53.48399999999998</v>
      </c>
      <c r="G955" s="80">
        <v>40</v>
      </c>
      <c r="H955" s="77">
        <f t="shared" si="159"/>
        <v>185</v>
      </c>
      <c r="I955" s="77">
        <f t="shared" si="158"/>
        <v>0</v>
      </c>
      <c r="J955" s="80">
        <v>100</v>
      </c>
      <c r="K955" s="80">
        <v>300</v>
      </c>
      <c r="L955" s="77">
        <f t="shared" si="150"/>
        <v>1274</v>
      </c>
      <c r="M955" s="88">
        <v>600</v>
      </c>
      <c r="N955" s="77">
        <f>30</f>
        <v>30</v>
      </c>
      <c r="O955" s="80">
        <v>240</v>
      </c>
      <c r="P955" s="80">
        <v>40</v>
      </c>
      <c r="Q955" s="80">
        <f t="shared" si="151"/>
        <v>315</v>
      </c>
      <c r="R955" s="80">
        <f t="shared" si="152"/>
        <v>100</v>
      </c>
      <c r="S955" s="77">
        <f t="shared" si="153"/>
        <v>695</v>
      </c>
      <c r="T955" s="77">
        <f>0</f>
        <v>0</v>
      </c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</row>
    <row r="956" spans="1:30" ht="15.75" x14ac:dyDescent="0.25">
      <c r="A956" s="32">
        <v>70036</v>
      </c>
      <c r="B956" s="89">
        <f t="shared" si="155"/>
        <v>30</v>
      </c>
      <c r="C956" s="77">
        <f>194.205</f>
        <v>194.20500000000001</v>
      </c>
      <c r="D956" s="77">
        <f>267.466</f>
        <v>267.46600000000001</v>
      </c>
      <c r="E956" s="86">
        <f>133.845</f>
        <v>133.845</v>
      </c>
      <c r="F956" s="77">
        <f>278.484-40-25-60-100</f>
        <v>53.48399999999998</v>
      </c>
      <c r="G956" s="80">
        <v>40</v>
      </c>
      <c r="H956" s="77">
        <f t="shared" si="159"/>
        <v>185</v>
      </c>
      <c r="I956" s="77">
        <f t="shared" si="158"/>
        <v>0</v>
      </c>
      <c r="J956" s="80">
        <v>100</v>
      </c>
      <c r="K956" s="80">
        <v>300</v>
      </c>
      <c r="L956" s="77">
        <f t="shared" si="150"/>
        <v>1274</v>
      </c>
      <c r="M956" s="88">
        <v>600</v>
      </c>
      <c r="N956" s="77">
        <f>30</f>
        <v>30</v>
      </c>
      <c r="O956" s="80">
        <v>240</v>
      </c>
      <c r="P956" s="80">
        <v>40</v>
      </c>
      <c r="Q956" s="80">
        <f t="shared" si="151"/>
        <v>315</v>
      </c>
      <c r="R956" s="80">
        <f t="shared" si="152"/>
        <v>100</v>
      </c>
      <c r="S956" s="77">
        <f t="shared" si="153"/>
        <v>695</v>
      </c>
      <c r="T956" s="77">
        <f>0</f>
        <v>0</v>
      </c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</row>
    <row r="957" spans="1:30" ht="15.75" x14ac:dyDescent="0.25">
      <c r="A957" s="32">
        <v>70067</v>
      </c>
      <c r="B957" s="89">
        <f t="shared" si="155"/>
        <v>31</v>
      </c>
      <c r="C957" s="77">
        <f>131.881</f>
        <v>131.881</v>
      </c>
      <c r="D957" s="77">
        <f>277.167</f>
        <v>277.16699999999997</v>
      </c>
      <c r="E957" s="86">
        <f>79.08</f>
        <v>79.08</v>
      </c>
      <c r="F957" s="77">
        <f>350.872-40-25-60-100</f>
        <v>125.87200000000001</v>
      </c>
      <c r="G957" s="80">
        <v>40</v>
      </c>
      <c r="H957" s="77">
        <f t="shared" si="159"/>
        <v>185</v>
      </c>
      <c r="I957" s="77">
        <f t="shared" si="158"/>
        <v>0</v>
      </c>
      <c r="J957" s="80">
        <v>100</v>
      </c>
      <c r="K957" s="80">
        <v>300</v>
      </c>
      <c r="L957" s="77">
        <f t="shared" si="150"/>
        <v>1239</v>
      </c>
      <c r="M957" s="88">
        <v>600</v>
      </c>
      <c r="N957" s="77">
        <f>75</f>
        <v>75</v>
      </c>
      <c r="O957" s="80">
        <v>240</v>
      </c>
      <c r="P957" s="80">
        <v>40</v>
      </c>
      <c r="Q957" s="80">
        <f t="shared" si="151"/>
        <v>315</v>
      </c>
      <c r="R957" s="80">
        <f t="shared" si="152"/>
        <v>100</v>
      </c>
      <c r="S957" s="77">
        <f t="shared" si="153"/>
        <v>695</v>
      </c>
      <c r="T957" s="77">
        <f>0</f>
        <v>0</v>
      </c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</row>
    <row r="958" spans="1:30" ht="15.75" x14ac:dyDescent="0.25">
      <c r="A958" s="32">
        <v>70097</v>
      </c>
      <c r="B958" s="89">
        <f t="shared" si="155"/>
        <v>30</v>
      </c>
      <c r="C958" s="77">
        <f>122.58</f>
        <v>122.58</v>
      </c>
      <c r="D958" s="77">
        <f>297.941</f>
        <v>297.94099999999997</v>
      </c>
      <c r="E958" s="86">
        <f>89.177</f>
        <v>89.177000000000007</v>
      </c>
      <c r="F958" s="77">
        <f>240.302-40-60-100</f>
        <v>40.301999999999992</v>
      </c>
      <c r="G958" s="80">
        <v>40</v>
      </c>
      <c r="H958" s="77">
        <f>60+100</f>
        <v>160</v>
      </c>
      <c r="I958" s="77">
        <f t="shared" si="158"/>
        <v>0</v>
      </c>
      <c r="J958" s="80">
        <v>100</v>
      </c>
      <c r="K958" s="80">
        <v>300</v>
      </c>
      <c r="L958" s="77">
        <f t="shared" si="150"/>
        <v>1150</v>
      </c>
      <c r="M958" s="88">
        <v>600</v>
      </c>
      <c r="N958" s="77">
        <f>100</f>
        <v>100</v>
      </c>
      <c r="O958" s="80">
        <v>240</v>
      </c>
      <c r="P958" s="80">
        <v>40</v>
      </c>
      <c r="Q958" s="80">
        <f t="shared" si="151"/>
        <v>315</v>
      </c>
      <c r="R958" s="80">
        <f t="shared" si="152"/>
        <v>100</v>
      </c>
      <c r="S958" s="77">
        <f t="shared" si="153"/>
        <v>695</v>
      </c>
      <c r="T958" s="77">
        <f>50</f>
        <v>50</v>
      </c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</row>
    <row r="959" spans="1:30" ht="15.75" x14ac:dyDescent="0.25">
      <c r="A959" s="32">
        <v>70128</v>
      </c>
      <c r="B959" s="89">
        <f t="shared" si="155"/>
        <v>31</v>
      </c>
      <c r="C959" s="77">
        <f>122.58</f>
        <v>122.58</v>
      </c>
      <c r="D959" s="77">
        <f>297.941</f>
        <v>297.94099999999997</v>
      </c>
      <c r="E959" s="86">
        <f>89.177</f>
        <v>89.177000000000007</v>
      </c>
      <c r="F959" s="77">
        <f>240.302-40-60-100</f>
        <v>40.301999999999992</v>
      </c>
      <c r="G959" s="80">
        <v>40</v>
      </c>
      <c r="H959" s="77">
        <f>60+100</f>
        <v>160</v>
      </c>
      <c r="I959" s="77">
        <f t="shared" si="158"/>
        <v>0</v>
      </c>
      <c r="J959" s="80">
        <v>100</v>
      </c>
      <c r="K959" s="80">
        <v>300</v>
      </c>
      <c r="L959" s="77">
        <f t="shared" si="150"/>
        <v>1150</v>
      </c>
      <c r="M959" s="88">
        <v>600</v>
      </c>
      <c r="N959" s="77">
        <f>100</f>
        <v>100</v>
      </c>
      <c r="O959" s="80">
        <v>240</v>
      </c>
      <c r="P959" s="80">
        <v>40</v>
      </c>
      <c r="Q959" s="80">
        <f t="shared" si="151"/>
        <v>315</v>
      </c>
      <c r="R959" s="80">
        <f t="shared" si="152"/>
        <v>100</v>
      </c>
      <c r="S959" s="77">
        <f t="shared" si="153"/>
        <v>695</v>
      </c>
      <c r="T959" s="77">
        <f>50</f>
        <v>50</v>
      </c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</row>
    <row r="960" spans="1:30" ht="15.75" x14ac:dyDescent="0.25">
      <c r="A960" s="32">
        <v>70159</v>
      </c>
      <c r="B960" s="89">
        <f t="shared" si="155"/>
        <v>31</v>
      </c>
      <c r="C960" s="77">
        <f>122.58</f>
        <v>122.58</v>
      </c>
      <c r="D960" s="77">
        <f>297.941</f>
        <v>297.94099999999997</v>
      </c>
      <c r="E960" s="86">
        <f>89.177</f>
        <v>89.177000000000007</v>
      </c>
      <c r="F960" s="77">
        <f>240.302-40-60-100</f>
        <v>40.301999999999992</v>
      </c>
      <c r="G960" s="80">
        <v>40</v>
      </c>
      <c r="H960" s="77">
        <f>60+100</f>
        <v>160</v>
      </c>
      <c r="I960" s="77">
        <f t="shared" si="158"/>
        <v>0</v>
      </c>
      <c r="J960" s="80">
        <v>100</v>
      </c>
      <c r="K960" s="80">
        <v>300</v>
      </c>
      <c r="L960" s="77">
        <f t="shared" si="150"/>
        <v>1150</v>
      </c>
      <c r="M960" s="88">
        <v>600</v>
      </c>
      <c r="N960" s="77">
        <f>100</f>
        <v>100</v>
      </c>
      <c r="O960" s="80">
        <v>240</v>
      </c>
      <c r="P960" s="80">
        <v>40</v>
      </c>
      <c r="Q960" s="80">
        <f t="shared" si="151"/>
        <v>315</v>
      </c>
      <c r="R960" s="80">
        <f t="shared" si="152"/>
        <v>100</v>
      </c>
      <c r="S960" s="77">
        <f t="shared" si="153"/>
        <v>695</v>
      </c>
      <c r="T960" s="77">
        <f>50</f>
        <v>50</v>
      </c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</row>
    <row r="961" spans="1:30" ht="15.75" x14ac:dyDescent="0.25">
      <c r="A961" s="32">
        <v>70188</v>
      </c>
      <c r="B961" s="89">
        <f t="shared" si="155"/>
        <v>29</v>
      </c>
      <c r="C961" s="77">
        <f>122.58</f>
        <v>122.58</v>
      </c>
      <c r="D961" s="77">
        <f>297.941</f>
        <v>297.94099999999997</v>
      </c>
      <c r="E961" s="86">
        <f>89.177</f>
        <v>89.177000000000007</v>
      </c>
      <c r="F961" s="77">
        <f>240.302-40-60-100</f>
        <v>40.301999999999992</v>
      </c>
      <c r="G961" s="80">
        <v>40</v>
      </c>
      <c r="H961" s="77">
        <f>60+100</f>
        <v>160</v>
      </c>
      <c r="I961" s="77">
        <f t="shared" si="158"/>
        <v>0</v>
      </c>
      <c r="J961" s="80">
        <v>100</v>
      </c>
      <c r="K961" s="80">
        <v>300</v>
      </c>
      <c r="L961" s="77">
        <f t="shared" si="150"/>
        <v>1150</v>
      </c>
      <c r="M961" s="88">
        <v>600</v>
      </c>
      <c r="N961" s="77">
        <f>100</f>
        <v>100</v>
      </c>
      <c r="O961" s="80">
        <v>240</v>
      </c>
      <c r="P961" s="80">
        <v>40</v>
      </c>
      <c r="Q961" s="80">
        <f t="shared" si="151"/>
        <v>315</v>
      </c>
      <c r="R961" s="80">
        <f t="shared" si="152"/>
        <v>100</v>
      </c>
      <c r="S961" s="77">
        <f t="shared" si="153"/>
        <v>695</v>
      </c>
      <c r="T961" s="77">
        <f>50</f>
        <v>50</v>
      </c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</row>
    <row r="962" spans="1:30" ht="15.75" x14ac:dyDescent="0.25">
      <c r="A962" s="32">
        <v>70219</v>
      </c>
      <c r="B962" s="89">
        <f t="shared" si="155"/>
        <v>31</v>
      </c>
      <c r="C962" s="77">
        <f>122.58</f>
        <v>122.58</v>
      </c>
      <c r="D962" s="77">
        <f>297.941</f>
        <v>297.94099999999997</v>
      </c>
      <c r="E962" s="86">
        <f>89.177</f>
        <v>89.177000000000007</v>
      </c>
      <c r="F962" s="77">
        <f>240.302-40-60-100</f>
        <v>40.301999999999992</v>
      </c>
      <c r="G962" s="80">
        <v>40</v>
      </c>
      <c r="H962" s="77">
        <f>60+100</f>
        <v>160</v>
      </c>
      <c r="I962" s="77">
        <f t="shared" si="158"/>
        <v>0</v>
      </c>
      <c r="J962" s="80">
        <v>100</v>
      </c>
      <c r="K962" s="80">
        <v>300</v>
      </c>
      <c r="L962" s="77">
        <f t="shared" si="150"/>
        <v>1150</v>
      </c>
      <c r="M962" s="88">
        <v>600</v>
      </c>
      <c r="N962" s="77">
        <f>100</f>
        <v>100</v>
      </c>
      <c r="O962" s="80">
        <v>240</v>
      </c>
      <c r="P962" s="80">
        <v>40</v>
      </c>
      <c r="Q962" s="80">
        <f t="shared" si="151"/>
        <v>315</v>
      </c>
      <c r="R962" s="80">
        <f t="shared" si="152"/>
        <v>100</v>
      </c>
      <c r="S962" s="77">
        <f t="shared" si="153"/>
        <v>695</v>
      </c>
      <c r="T962" s="77">
        <f>50</f>
        <v>50</v>
      </c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</row>
    <row r="963" spans="1:30" ht="15.75" x14ac:dyDescent="0.25">
      <c r="A963" s="32">
        <v>70249</v>
      </c>
      <c r="B963" s="89">
        <f t="shared" si="155"/>
        <v>30</v>
      </c>
      <c r="C963" s="77">
        <f>141.293</f>
        <v>141.29300000000001</v>
      </c>
      <c r="D963" s="77">
        <f>267.993</f>
        <v>267.99299999999999</v>
      </c>
      <c r="E963" s="86">
        <f>115.016</f>
        <v>115.01600000000001</v>
      </c>
      <c r="F963" s="77">
        <f>314.698-40-25-60-100</f>
        <v>89.697999999999979</v>
      </c>
      <c r="G963" s="80">
        <v>40</v>
      </c>
      <c r="H963" s="77">
        <f t="shared" ref="H963:H969" si="160">25+60+100</f>
        <v>185</v>
      </c>
      <c r="I963" s="77">
        <f t="shared" si="158"/>
        <v>0</v>
      </c>
      <c r="J963" s="80">
        <v>100</v>
      </c>
      <c r="K963" s="80">
        <v>300</v>
      </c>
      <c r="L963" s="77">
        <f t="shared" si="150"/>
        <v>1239</v>
      </c>
      <c r="M963" s="88">
        <v>600</v>
      </c>
      <c r="N963" s="77">
        <f>100</f>
        <v>100</v>
      </c>
      <c r="O963" s="80">
        <v>240</v>
      </c>
      <c r="P963" s="80">
        <v>40</v>
      </c>
      <c r="Q963" s="80">
        <f t="shared" si="151"/>
        <v>315</v>
      </c>
      <c r="R963" s="80">
        <f t="shared" si="152"/>
        <v>100</v>
      </c>
      <c r="S963" s="77">
        <f t="shared" si="153"/>
        <v>695</v>
      </c>
      <c r="T963" s="77">
        <f>50</f>
        <v>50</v>
      </c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</row>
    <row r="964" spans="1:30" ht="15.75" x14ac:dyDescent="0.25">
      <c r="A964" s="32">
        <v>70280</v>
      </c>
      <c r="B964" s="89">
        <f t="shared" si="155"/>
        <v>31</v>
      </c>
      <c r="C964" s="77">
        <f>194.205</f>
        <v>194.20500000000001</v>
      </c>
      <c r="D964" s="77">
        <f>267.466</f>
        <v>267.46600000000001</v>
      </c>
      <c r="E964" s="86">
        <f>133.845</f>
        <v>133.845</v>
      </c>
      <c r="F964" s="77">
        <f>278.484-40-25-60-100</f>
        <v>53.48399999999998</v>
      </c>
      <c r="G964" s="80">
        <v>40</v>
      </c>
      <c r="H964" s="77">
        <f t="shared" si="160"/>
        <v>185</v>
      </c>
      <c r="I964" s="77">
        <f t="shared" si="158"/>
        <v>0</v>
      </c>
      <c r="J964" s="80">
        <v>100</v>
      </c>
      <c r="K964" s="80">
        <v>300</v>
      </c>
      <c r="L964" s="77">
        <f t="shared" si="150"/>
        <v>1274</v>
      </c>
      <c r="M964" s="88">
        <v>600</v>
      </c>
      <c r="N964" s="77">
        <f>75</f>
        <v>75</v>
      </c>
      <c r="O964" s="80">
        <v>240</v>
      </c>
      <c r="P964" s="80">
        <v>40</v>
      </c>
      <c r="Q964" s="80">
        <f t="shared" si="151"/>
        <v>315</v>
      </c>
      <c r="R964" s="80">
        <f t="shared" si="152"/>
        <v>100</v>
      </c>
      <c r="S964" s="77">
        <f t="shared" si="153"/>
        <v>695</v>
      </c>
      <c r="T964" s="77">
        <f>50</f>
        <v>50</v>
      </c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</row>
    <row r="965" spans="1:30" ht="15.75" x14ac:dyDescent="0.25">
      <c r="A965" s="32">
        <v>70310</v>
      </c>
      <c r="B965" s="89">
        <f t="shared" si="155"/>
        <v>30</v>
      </c>
      <c r="C965" s="77">
        <f>194.205</f>
        <v>194.20500000000001</v>
      </c>
      <c r="D965" s="77">
        <f>267.466</f>
        <v>267.46600000000001</v>
      </c>
      <c r="E965" s="86">
        <f>133.845</f>
        <v>133.845</v>
      </c>
      <c r="F965" s="77">
        <f>278.484-40-25-60-100</f>
        <v>53.48399999999998</v>
      </c>
      <c r="G965" s="80">
        <v>40</v>
      </c>
      <c r="H965" s="77">
        <f t="shared" si="160"/>
        <v>185</v>
      </c>
      <c r="I965" s="77">
        <f t="shared" si="158"/>
        <v>0</v>
      </c>
      <c r="J965" s="80">
        <v>100</v>
      </c>
      <c r="K965" s="80">
        <v>300</v>
      </c>
      <c r="L965" s="77">
        <f t="shared" si="150"/>
        <v>1274</v>
      </c>
      <c r="M965" s="88">
        <v>600</v>
      </c>
      <c r="N965" s="77">
        <f>30</f>
        <v>30</v>
      </c>
      <c r="O965" s="80">
        <v>240</v>
      </c>
      <c r="P965" s="80">
        <v>40</v>
      </c>
      <c r="Q965" s="80">
        <f t="shared" si="151"/>
        <v>315</v>
      </c>
      <c r="R965" s="80">
        <f t="shared" si="152"/>
        <v>100</v>
      </c>
      <c r="S965" s="77">
        <f t="shared" si="153"/>
        <v>695</v>
      </c>
      <c r="T965" s="77">
        <f>50</f>
        <v>50</v>
      </c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</row>
    <row r="966" spans="1:30" ht="15.75" x14ac:dyDescent="0.25">
      <c r="A966" s="32">
        <v>70341</v>
      </c>
      <c r="B966" s="89">
        <f t="shared" si="155"/>
        <v>31</v>
      </c>
      <c r="C966" s="77">
        <f>194.205</f>
        <v>194.20500000000001</v>
      </c>
      <c r="D966" s="77">
        <f>267.466</f>
        <v>267.46600000000001</v>
      </c>
      <c r="E966" s="86">
        <f>133.845</f>
        <v>133.845</v>
      </c>
      <c r="F966" s="77">
        <f>278.484-40-25-60-100</f>
        <v>53.48399999999998</v>
      </c>
      <c r="G966" s="80">
        <v>40</v>
      </c>
      <c r="H966" s="77">
        <f t="shared" si="160"/>
        <v>185</v>
      </c>
      <c r="I966" s="77">
        <f t="shared" si="158"/>
        <v>0</v>
      </c>
      <c r="J966" s="80">
        <v>100</v>
      </c>
      <c r="K966" s="80">
        <v>300</v>
      </c>
      <c r="L966" s="77">
        <f t="shared" si="150"/>
        <v>1274</v>
      </c>
      <c r="M966" s="88">
        <v>600</v>
      </c>
      <c r="N966" s="77">
        <f>30</f>
        <v>30</v>
      </c>
      <c r="O966" s="80">
        <v>240</v>
      </c>
      <c r="P966" s="80">
        <v>40</v>
      </c>
      <c r="Q966" s="80">
        <f t="shared" si="151"/>
        <v>315</v>
      </c>
      <c r="R966" s="80">
        <f t="shared" si="152"/>
        <v>100</v>
      </c>
      <c r="S966" s="77">
        <f t="shared" si="153"/>
        <v>695</v>
      </c>
      <c r="T966" s="77">
        <f>0</f>
        <v>0</v>
      </c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</row>
    <row r="967" spans="1:30" ht="15.75" x14ac:dyDescent="0.25">
      <c r="A967" s="32">
        <v>70372</v>
      </c>
      <c r="B967" s="89">
        <f t="shared" si="155"/>
        <v>31</v>
      </c>
      <c r="C967" s="77">
        <f>194.205</f>
        <v>194.20500000000001</v>
      </c>
      <c r="D967" s="77">
        <f>267.466</f>
        <v>267.46600000000001</v>
      </c>
      <c r="E967" s="86">
        <f>133.845</f>
        <v>133.845</v>
      </c>
      <c r="F967" s="77">
        <f>278.484-40-25-60-100</f>
        <v>53.48399999999998</v>
      </c>
      <c r="G967" s="80">
        <v>40</v>
      </c>
      <c r="H967" s="77">
        <f t="shared" si="160"/>
        <v>185</v>
      </c>
      <c r="I967" s="77">
        <f t="shared" si="158"/>
        <v>0</v>
      </c>
      <c r="J967" s="80">
        <v>100</v>
      </c>
      <c r="K967" s="80">
        <v>300</v>
      </c>
      <c r="L967" s="77">
        <f t="shared" si="150"/>
        <v>1274</v>
      </c>
      <c r="M967" s="88">
        <v>600</v>
      </c>
      <c r="N967" s="77">
        <f>30</f>
        <v>30</v>
      </c>
      <c r="O967" s="80">
        <v>240</v>
      </c>
      <c r="P967" s="80">
        <v>40</v>
      </c>
      <c r="Q967" s="80">
        <f t="shared" si="151"/>
        <v>315</v>
      </c>
      <c r="R967" s="80">
        <f t="shared" si="152"/>
        <v>100</v>
      </c>
      <c r="S967" s="77">
        <f t="shared" si="153"/>
        <v>695</v>
      </c>
      <c r="T967" s="77">
        <f>0</f>
        <v>0</v>
      </c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</row>
    <row r="968" spans="1:30" ht="15.75" x14ac:dyDescent="0.25">
      <c r="A968" s="32">
        <v>70402</v>
      </c>
      <c r="B968" s="89">
        <f t="shared" si="155"/>
        <v>30</v>
      </c>
      <c r="C968" s="77">
        <f>194.205</f>
        <v>194.20500000000001</v>
      </c>
      <c r="D968" s="77">
        <f>267.466</f>
        <v>267.46600000000001</v>
      </c>
      <c r="E968" s="86">
        <f>133.845</f>
        <v>133.845</v>
      </c>
      <c r="F968" s="77">
        <f>278.484-40-25-60-100</f>
        <v>53.48399999999998</v>
      </c>
      <c r="G968" s="80">
        <v>40</v>
      </c>
      <c r="H968" s="77">
        <f t="shared" si="160"/>
        <v>185</v>
      </c>
      <c r="I968" s="77">
        <f t="shared" si="158"/>
        <v>0</v>
      </c>
      <c r="J968" s="80">
        <v>100</v>
      </c>
      <c r="K968" s="80">
        <v>300</v>
      </c>
      <c r="L968" s="77">
        <f t="shared" si="150"/>
        <v>1274</v>
      </c>
      <c r="M968" s="88">
        <v>600</v>
      </c>
      <c r="N968" s="77">
        <f>30</f>
        <v>30</v>
      </c>
      <c r="O968" s="80">
        <v>240</v>
      </c>
      <c r="P968" s="80">
        <v>40</v>
      </c>
      <c r="Q968" s="80">
        <f t="shared" si="151"/>
        <v>315</v>
      </c>
      <c r="R968" s="80">
        <f t="shared" si="152"/>
        <v>100</v>
      </c>
      <c r="S968" s="77">
        <f t="shared" si="153"/>
        <v>695</v>
      </c>
      <c r="T968" s="77">
        <f>0</f>
        <v>0</v>
      </c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</row>
    <row r="969" spans="1:30" ht="15.75" x14ac:dyDescent="0.25">
      <c r="A969" s="32">
        <v>70433</v>
      </c>
      <c r="B969" s="89">
        <f t="shared" si="155"/>
        <v>31</v>
      </c>
      <c r="C969" s="77">
        <f>131.881</f>
        <v>131.881</v>
      </c>
      <c r="D969" s="77">
        <f>277.167</f>
        <v>277.16699999999997</v>
      </c>
      <c r="E969" s="86">
        <f>79.08</f>
        <v>79.08</v>
      </c>
      <c r="F969" s="77">
        <f>350.872-40-25-60-100</f>
        <v>125.87200000000001</v>
      </c>
      <c r="G969" s="80">
        <v>40</v>
      </c>
      <c r="H969" s="77">
        <f t="shared" si="160"/>
        <v>185</v>
      </c>
      <c r="I969" s="77">
        <f t="shared" si="158"/>
        <v>0</v>
      </c>
      <c r="J969" s="80">
        <v>100</v>
      </c>
      <c r="K969" s="80">
        <v>300</v>
      </c>
      <c r="L969" s="77">
        <f t="shared" si="150"/>
        <v>1239</v>
      </c>
      <c r="M969" s="88">
        <v>600</v>
      </c>
      <c r="N969" s="77">
        <f>75</f>
        <v>75</v>
      </c>
      <c r="O969" s="80">
        <v>240</v>
      </c>
      <c r="P969" s="80">
        <v>40</v>
      </c>
      <c r="Q969" s="80">
        <f t="shared" si="151"/>
        <v>315</v>
      </c>
      <c r="R969" s="80">
        <f t="shared" si="152"/>
        <v>100</v>
      </c>
      <c r="S969" s="77">
        <f t="shared" si="153"/>
        <v>695</v>
      </c>
      <c r="T969" s="77">
        <f>0</f>
        <v>0</v>
      </c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</row>
    <row r="970" spans="1:30" ht="15.75" x14ac:dyDescent="0.25">
      <c r="A970" s="32">
        <v>70463</v>
      </c>
      <c r="B970" s="89">
        <f t="shared" si="155"/>
        <v>30</v>
      </c>
      <c r="C970" s="77">
        <f>122.58</f>
        <v>122.58</v>
      </c>
      <c r="D970" s="77">
        <f>297.941</f>
        <v>297.94099999999997</v>
      </c>
      <c r="E970" s="86">
        <f>89.177</f>
        <v>89.177000000000007</v>
      </c>
      <c r="F970" s="77">
        <f>240.302-40-60-100</f>
        <v>40.301999999999992</v>
      </c>
      <c r="G970" s="80">
        <v>40</v>
      </c>
      <c r="H970" s="77">
        <f>60+100</f>
        <v>160</v>
      </c>
      <c r="I970" s="77">
        <f t="shared" si="158"/>
        <v>0</v>
      </c>
      <c r="J970" s="80">
        <v>100</v>
      </c>
      <c r="K970" s="80">
        <v>300</v>
      </c>
      <c r="L970" s="77">
        <f t="shared" si="150"/>
        <v>1150</v>
      </c>
      <c r="M970" s="88">
        <v>600</v>
      </c>
      <c r="N970" s="77">
        <f>100</f>
        <v>100</v>
      </c>
      <c r="O970" s="80">
        <v>240</v>
      </c>
      <c r="P970" s="80">
        <v>40</v>
      </c>
      <c r="Q970" s="80">
        <f t="shared" si="151"/>
        <v>315</v>
      </c>
      <c r="R970" s="80">
        <f t="shared" si="152"/>
        <v>100</v>
      </c>
      <c r="S970" s="77">
        <f t="shared" si="153"/>
        <v>695</v>
      </c>
      <c r="T970" s="77">
        <f>50</f>
        <v>50</v>
      </c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</row>
    <row r="971" spans="1:30" ht="15.75" x14ac:dyDescent="0.25">
      <c r="A971" s="32">
        <v>70494</v>
      </c>
      <c r="B971" s="89">
        <f t="shared" si="155"/>
        <v>31</v>
      </c>
      <c r="C971" s="77">
        <f>122.58</f>
        <v>122.58</v>
      </c>
      <c r="D971" s="77">
        <f>297.941</f>
        <v>297.94099999999997</v>
      </c>
      <c r="E971" s="86">
        <f>89.177</f>
        <v>89.177000000000007</v>
      </c>
      <c r="F971" s="77">
        <f>240.302-40-60-100</f>
        <v>40.301999999999992</v>
      </c>
      <c r="G971" s="80">
        <v>40</v>
      </c>
      <c r="H971" s="77">
        <f>60+100</f>
        <v>160</v>
      </c>
      <c r="I971" s="77">
        <f t="shared" si="158"/>
        <v>0</v>
      </c>
      <c r="J971" s="80">
        <v>100</v>
      </c>
      <c r="K971" s="80">
        <v>300</v>
      </c>
      <c r="L971" s="77">
        <f t="shared" si="150"/>
        <v>1150</v>
      </c>
      <c r="M971" s="88">
        <v>600</v>
      </c>
      <c r="N971" s="77">
        <f>100</f>
        <v>100</v>
      </c>
      <c r="O971" s="80">
        <v>240</v>
      </c>
      <c r="P971" s="80">
        <v>40</v>
      </c>
      <c r="Q971" s="80">
        <f t="shared" si="151"/>
        <v>315</v>
      </c>
      <c r="R971" s="80">
        <f t="shared" si="152"/>
        <v>100</v>
      </c>
      <c r="S971" s="77">
        <f t="shared" si="153"/>
        <v>695</v>
      </c>
      <c r="T971" s="77">
        <f>50</f>
        <v>50</v>
      </c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</row>
    <row r="972" spans="1:30" ht="15.75" x14ac:dyDescent="0.25">
      <c r="A972" s="32">
        <v>70525</v>
      </c>
      <c r="B972" s="89">
        <f t="shared" si="155"/>
        <v>31</v>
      </c>
      <c r="C972" s="77">
        <f>122.58</f>
        <v>122.58</v>
      </c>
      <c r="D972" s="77">
        <f>297.941</f>
        <v>297.94099999999997</v>
      </c>
      <c r="E972" s="86">
        <f>89.177</f>
        <v>89.177000000000007</v>
      </c>
      <c r="F972" s="77">
        <f>240.302-40-60-100</f>
        <v>40.301999999999992</v>
      </c>
      <c r="G972" s="80">
        <v>40</v>
      </c>
      <c r="H972" s="77">
        <f>60+100</f>
        <v>160</v>
      </c>
      <c r="I972" s="77">
        <f t="shared" si="158"/>
        <v>0</v>
      </c>
      <c r="J972" s="80">
        <v>100</v>
      </c>
      <c r="K972" s="80">
        <v>300</v>
      </c>
      <c r="L972" s="77">
        <f t="shared" si="150"/>
        <v>1150</v>
      </c>
      <c r="M972" s="88">
        <v>600</v>
      </c>
      <c r="N972" s="77">
        <f>100</f>
        <v>100</v>
      </c>
      <c r="O972" s="80">
        <v>240</v>
      </c>
      <c r="P972" s="80">
        <v>40</v>
      </c>
      <c r="Q972" s="80">
        <f t="shared" si="151"/>
        <v>315</v>
      </c>
      <c r="R972" s="80">
        <f t="shared" si="152"/>
        <v>100</v>
      </c>
      <c r="S972" s="77">
        <f t="shared" si="153"/>
        <v>695</v>
      </c>
      <c r="T972" s="77">
        <f>50</f>
        <v>50</v>
      </c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</row>
    <row r="973" spans="1:30" ht="15.75" x14ac:dyDescent="0.25">
      <c r="A973" s="32">
        <v>70553</v>
      </c>
      <c r="B973" s="89">
        <f t="shared" si="155"/>
        <v>28</v>
      </c>
      <c r="C973" s="77">
        <f>122.58</f>
        <v>122.58</v>
      </c>
      <c r="D973" s="77">
        <f>297.941</f>
        <v>297.94099999999997</v>
      </c>
      <c r="E973" s="86">
        <f>89.177</f>
        <v>89.177000000000007</v>
      </c>
      <c r="F973" s="77">
        <f>240.302-40-60-100</f>
        <v>40.301999999999992</v>
      </c>
      <c r="G973" s="80">
        <v>40</v>
      </c>
      <c r="H973" s="77">
        <f>60+100</f>
        <v>160</v>
      </c>
      <c r="I973" s="77">
        <f t="shared" si="158"/>
        <v>0</v>
      </c>
      <c r="J973" s="80">
        <v>100</v>
      </c>
      <c r="K973" s="80">
        <v>300</v>
      </c>
      <c r="L973" s="77">
        <f t="shared" si="150"/>
        <v>1150</v>
      </c>
      <c r="M973" s="88">
        <v>600</v>
      </c>
      <c r="N973" s="77">
        <f>100</f>
        <v>100</v>
      </c>
      <c r="O973" s="80">
        <v>240</v>
      </c>
      <c r="P973" s="80">
        <v>40</v>
      </c>
      <c r="Q973" s="80">
        <f t="shared" si="151"/>
        <v>315</v>
      </c>
      <c r="R973" s="80">
        <f t="shared" si="152"/>
        <v>100</v>
      </c>
      <c r="S973" s="77">
        <f t="shared" si="153"/>
        <v>695</v>
      </c>
      <c r="T973" s="77">
        <f>50</f>
        <v>50</v>
      </c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</row>
    <row r="974" spans="1:30" ht="15.75" x14ac:dyDescent="0.25">
      <c r="A974" s="32">
        <v>70584</v>
      </c>
      <c r="B974" s="89">
        <f t="shared" si="155"/>
        <v>31</v>
      </c>
      <c r="C974" s="77">
        <f>122.58</f>
        <v>122.58</v>
      </c>
      <c r="D974" s="77">
        <f>297.941</f>
        <v>297.94099999999997</v>
      </c>
      <c r="E974" s="86">
        <f>89.177</f>
        <v>89.177000000000007</v>
      </c>
      <c r="F974" s="77">
        <f>240.302-40-60-100</f>
        <v>40.301999999999992</v>
      </c>
      <c r="G974" s="80">
        <v>40</v>
      </c>
      <c r="H974" s="77">
        <f>60+100</f>
        <v>160</v>
      </c>
      <c r="I974" s="77">
        <f t="shared" si="158"/>
        <v>0</v>
      </c>
      <c r="J974" s="80">
        <v>100</v>
      </c>
      <c r="K974" s="80">
        <v>300</v>
      </c>
      <c r="L974" s="77">
        <f t="shared" si="150"/>
        <v>1150</v>
      </c>
      <c r="M974" s="88">
        <v>600</v>
      </c>
      <c r="N974" s="77">
        <f>100</f>
        <v>100</v>
      </c>
      <c r="O974" s="80">
        <v>240</v>
      </c>
      <c r="P974" s="80">
        <v>40</v>
      </c>
      <c r="Q974" s="80">
        <f t="shared" si="151"/>
        <v>315</v>
      </c>
      <c r="R974" s="80">
        <f t="shared" si="152"/>
        <v>100</v>
      </c>
      <c r="S974" s="77">
        <f t="shared" si="153"/>
        <v>695</v>
      </c>
      <c r="T974" s="77">
        <f>50</f>
        <v>50</v>
      </c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</row>
    <row r="975" spans="1:30" ht="15.75" x14ac:dyDescent="0.25">
      <c r="A975" s="32">
        <v>70614</v>
      </c>
      <c r="B975" s="89">
        <f t="shared" si="155"/>
        <v>30</v>
      </c>
      <c r="C975" s="77">
        <f>141.293</f>
        <v>141.29300000000001</v>
      </c>
      <c r="D975" s="77">
        <f>267.993</f>
        <v>267.99299999999999</v>
      </c>
      <c r="E975" s="86">
        <f>115.016</f>
        <v>115.01600000000001</v>
      </c>
      <c r="F975" s="77">
        <f>314.698-40-25-60-100</f>
        <v>89.697999999999979</v>
      </c>
      <c r="G975" s="80">
        <v>40</v>
      </c>
      <c r="H975" s="77">
        <f t="shared" ref="H975:H981" si="161">25+60+100</f>
        <v>185</v>
      </c>
      <c r="I975" s="77">
        <f t="shared" si="158"/>
        <v>0</v>
      </c>
      <c r="J975" s="80">
        <v>100</v>
      </c>
      <c r="K975" s="80">
        <v>300</v>
      </c>
      <c r="L975" s="77">
        <f t="shared" si="150"/>
        <v>1239</v>
      </c>
      <c r="M975" s="88">
        <v>600</v>
      </c>
      <c r="N975" s="77">
        <f>100</f>
        <v>100</v>
      </c>
      <c r="O975" s="80">
        <v>240</v>
      </c>
      <c r="P975" s="80">
        <v>40</v>
      </c>
      <c r="Q975" s="80">
        <f t="shared" si="151"/>
        <v>315</v>
      </c>
      <c r="R975" s="80">
        <f t="shared" si="152"/>
        <v>100</v>
      </c>
      <c r="S975" s="77">
        <f t="shared" si="153"/>
        <v>695</v>
      </c>
      <c r="T975" s="77">
        <f>50</f>
        <v>50</v>
      </c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</row>
    <row r="976" spans="1:30" ht="15.75" x14ac:dyDescent="0.25">
      <c r="A976" s="32">
        <v>70645</v>
      </c>
      <c r="B976" s="89">
        <f t="shared" si="155"/>
        <v>31</v>
      </c>
      <c r="C976" s="77">
        <f>194.205</f>
        <v>194.20500000000001</v>
      </c>
      <c r="D976" s="77">
        <f>267.466</f>
        <v>267.46600000000001</v>
      </c>
      <c r="E976" s="86">
        <f>133.845</f>
        <v>133.845</v>
      </c>
      <c r="F976" s="77">
        <f>278.484-40-25-60-100</f>
        <v>53.48399999999998</v>
      </c>
      <c r="G976" s="80">
        <v>40</v>
      </c>
      <c r="H976" s="77">
        <f t="shared" si="161"/>
        <v>185</v>
      </c>
      <c r="I976" s="77">
        <f t="shared" si="158"/>
        <v>0</v>
      </c>
      <c r="J976" s="80">
        <v>100</v>
      </c>
      <c r="K976" s="80">
        <v>300</v>
      </c>
      <c r="L976" s="77">
        <f t="shared" si="150"/>
        <v>1274</v>
      </c>
      <c r="M976" s="88">
        <v>600</v>
      </c>
      <c r="N976" s="77">
        <f>75</f>
        <v>75</v>
      </c>
      <c r="O976" s="80">
        <v>240</v>
      </c>
      <c r="P976" s="80">
        <v>40</v>
      </c>
      <c r="Q976" s="80">
        <f t="shared" si="151"/>
        <v>315</v>
      </c>
      <c r="R976" s="80">
        <f t="shared" si="152"/>
        <v>100</v>
      </c>
      <c r="S976" s="77">
        <f t="shared" si="153"/>
        <v>695</v>
      </c>
      <c r="T976" s="77">
        <f>50</f>
        <v>50</v>
      </c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</row>
    <row r="977" spans="1:30" ht="15.75" x14ac:dyDescent="0.25">
      <c r="A977" s="32">
        <v>70675</v>
      </c>
      <c r="B977" s="89">
        <f t="shared" si="155"/>
        <v>30</v>
      </c>
      <c r="C977" s="77">
        <f>194.205</f>
        <v>194.20500000000001</v>
      </c>
      <c r="D977" s="77">
        <f>267.466</f>
        <v>267.46600000000001</v>
      </c>
      <c r="E977" s="86">
        <f>133.845</f>
        <v>133.845</v>
      </c>
      <c r="F977" s="77">
        <f>278.484-40-25-60-100</f>
        <v>53.48399999999998</v>
      </c>
      <c r="G977" s="80">
        <v>40</v>
      </c>
      <c r="H977" s="77">
        <f t="shared" si="161"/>
        <v>185</v>
      </c>
      <c r="I977" s="77">
        <f t="shared" si="158"/>
        <v>0</v>
      </c>
      <c r="J977" s="80">
        <v>100</v>
      </c>
      <c r="K977" s="80">
        <v>300</v>
      </c>
      <c r="L977" s="77">
        <f t="shared" ref="L977:L1040" si="162">SUM(C977:K977)</f>
        <v>1274</v>
      </c>
      <c r="M977" s="88">
        <v>600</v>
      </c>
      <c r="N977" s="77">
        <f>30</f>
        <v>30</v>
      </c>
      <c r="O977" s="80">
        <v>240</v>
      </c>
      <c r="P977" s="80">
        <v>40</v>
      </c>
      <c r="Q977" s="80">
        <f t="shared" ref="Q977:Q1040" si="163">695-R977-O977-P977</f>
        <v>315</v>
      </c>
      <c r="R977" s="80">
        <f t="shared" ref="R977:R1040" si="164">200-J977</f>
        <v>100</v>
      </c>
      <c r="S977" s="77">
        <f t="shared" ref="S977:S1040" si="165">SUM(O977:R977)</f>
        <v>695</v>
      </c>
      <c r="T977" s="77">
        <f>50</f>
        <v>50</v>
      </c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</row>
    <row r="978" spans="1:30" ht="15.75" x14ac:dyDescent="0.25">
      <c r="A978" s="32">
        <v>70706</v>
      </c>
      <c r="B978" s="89">
        <f t="shared" si="155"/>
        <v>31</v>
      </c>
      <c r="C978" s="77">
        <f>194.205</f>
        <v>194.20500000000001</v>
      </c>
      <c r="D978" s="77">
        <f>267.466</f>
        <v>267.46600000000001</v>
      </c>
      <c r="E978" s="86">
        <f>133.845</f>
        <v>133.845</v>
      </c>
      <c r="F978" s="77">
        <f>278.484-40-25-60-100</f>
        <v>53.48399999999998</v>
      </c>
      <c r="G978" s="80">
        <v>40</v>
      </c>
      <c r="H978" s="77">
        <f t="shared" si="161"/>
        <v>185</v>
      </c>
      <c r="I978" s="77">
        <f t="shared" si="158"/>
        <v>0</v>
      </c>
      <c r="J978" s="80">
        <v>100</v>
      </c>
      <c r="K978" s="80">
        <v>300</v>
      </c>
      <c r="L978" s="77">
        <f t="shared" si="162"/>
        <v>1274</v>
      </c>
      <c r="M978" s="88">
        <v>600</v>
      </c>
      <c r="N978" s="77">
        <f>30</f>
        <v>30</v>
      </c>
      <c r="O978" s="80">
        <v>240</v>
      </c>
      <c r="P978" s="80">
        <v>40</v>
      </c>
      <c r="Q978" s="80">
        <f t="shared" si="163"/>
        <v>315</v>
      </c>
      <c r="R978" s="80">
        <f t="shared" si="164"/>
        <v>100</v>
      </c>
      <c r="S978" s="77">
        <f t="shared" si="165"/>
        <v>695</v>
      </c>
      <c r="T978" s="77">
        <f>0</f>
        <v>0</v>
      </c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</row>
    <row r="979" spans="1:30" ht="15.75" x14ac:dyDescent="0.25">
      <c r="A979" s="32">
        <v>70737</v>
      </c>
      <c r="B979" s="89">
        <f t="shared" si="155"/>
        <v>31</v>
      </c>
      <c r="C979" s="77">
        <f>194.205</f>
        <v>194.20500000000001</v>
      </c>
      <c r="D979" s="77">
        <f>267.466</f>
        <v>267.46600000000001</v>
      </c>
      <c r="E979" s="86">
        <f>133.845</f>
        <v>133.845</v>
      </c>
      <c r="F979" s="77">
        <f>278.484-40-25-60-100</f>
        <v>53.48399999999998</v>
      </c>
      <c r="G979" s="80">
        <v>40</v>
      </c>
      <c r="H979" s="77">
        <f t="shared" si="161"/>
        <v>185</v>
      </c>
      <c r="I979" s="77">
        <f t="shared" si="158"/>
        <v>0</v>
      </c>
      <c r="J979" s="80">
        <v>100</v>
      </c>
      <c r="K979" s="80">
        <v>300</v>
      </c>
      <c r="L979" s="77">
        <f t="shared" si="162"/>
        <v>1274</v>
      </c>
      <c r="M979" s="88">
        <v>600</v>
      </c>
      <c r="N979" s="77">
        <f>30</f>
        <v>30</v>
      </c>
      <c r="O979" s="80">
        <v>240</v>
      </c>
      <c r="P979" s="80">
        <v>40</v>
      </c>
      <c r="Q979" s="80">
        <f t="shared" si="163"/>
        <v>315</v>
      </c>
      <c r="R979" s="80">
        <f t="shared" si="164"/>
        <v>100</v>
      </c>
      <c r="S979" s="77">
        <f t="shared" si="165"/>
        <v>695</v>
      </c>
      <c r="T979" s="77">
        <f>0</f>
        <v>0</v>
      </c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</row>
    <row r="980" spans="1:30" ht="15.75" x14ac:dyDescent="0.25">
      <c r="A980" s="32">
        <v>70767</v>
      </c>
      <c r="B980" s="89">
        <f t="shared" si="155"/>
        <v>30</v>
      </c>
      <c r="C980" s="77">
        <f>194.205</f>
        <v>194.20500000000001</v>
      </c>
      <c r="D980" s="77">
        <f>267.466</f>
        <v>267.46600000000001</v>
      </c>
      <c r="E980" s="86">
        <f>133.845</f>
        <v>133.845</v>
      </c>
      <c r="F980" s="77">
        <f>278.484-40-25-60-100</f>
        <v>53.48399999999998</v>
      </c>
      <c r="G980" s="80">
        <v>40</v>
      </c>
      <c r="H980" s="77">
        <f t="shared" si="161"/>
        <v>185</v>
      </c>
      <c r="I980" s="77">
        <f t="shared" si="158"/>
        <v>0</v>
      </c>
      <c r="J980" s="80">
        <v>100</v>
      </c>
      <c r="K980" s="80">
        <v>300</v>
      </c>
      <c r="L980" s="77">
        <f t="shared" si="162"/>
        <v>1274</v>
      </c>
      <c r="M980" s="88">
        <v>600</v>
      </c>
      <c r="N980" s="77">
        <f>30</f>
        <v>30</v>
      </c>
      <c r="O980" s="80">
        <v>240</v>
      </c>
      <c r="P980" s="80">
        <v>40</v>
      </c>
      <c r="Q980" s="80">
        <f t="shared" si="163"/>
        <v>315</v>
      </c>
      <c r="R980" s="80">
        <f t="shared" si="164"/>
        <v>100</v>
      </c>
      <c r="S980" s="77">
        <f t="shared" si="165"/>
        <v>695</v>
      </c>
      <c r="T980" s="77">
        <f>0</f>
        <v>0</v>
      </c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</row>
    <row r="981" spans="1:30" ht="15.75" x14ac:dyDescent="0.25">
      <c r="A981" s="32">
        <v>70798</v>
      </c>
      <c r="B981" s="89">
        <f t="shared" si="155"/>
        <v>31</v>
      </c>
      <c r="C981" s="77">
        <f>131.881</f>
        <v>131.881</v>
      </c>
      <c r="D981" s="77">
        <f>277.167</f>
        <v>277.16699999999997</v>
      </c>
      <c r="E981" s="86">
        <f>79.08</f>
        <v>79.08</v>
      </c>
      <c r="F981" s="77">
        <f>350.872-40-25-60-100</f>
        <v>125.87200000000001</v>
      </c>
      <c r="G981" s="80">
        <v>40</v>
      </c>
      <c r="H981" s="77">
        <f t="shared" si="161"/>
        <v>185</v>
      </c>
      <c r="I981" s="77">
        <f t="shared" si="158"/>
        <v>0</v>
      </c>
      <c r="J981" s="80">
        <v>100</v>
      </c>
      <c r="K981" s="80">
        <v>300</v>
      </c>
      <c r="L981" s="77">
        <f t="shared" si="162"/>
        <v>1239</v>
      </c>
      <c r="M981" s="88">
        <v>600</v>
      </c>
      <c r="N981" s="77">
        <f>75</f>
        <v>75</v>
      </c>
      <c r="O981" s="80">
        <v>240</v>
      </c>
      <c r="P981" s="80">
        <v>40</v>
      </c>
      <c r="Q981" s="80">
        <f t="shared" si="163"/>
        <v>315</v>
      </c>
      <c r="R981" s="80">
        <f t="shared" si="164"/>
        <v>100</v>
      </c>
      <c r="S981" s="77">
        <f t="shared" si="165"/>
        <v>695</v>
      </c>
      <c r="T981" s="77">
        <f>0</f>
        <v>0</v>
      </c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</row>
    <row r="982" spans="1:30" ht="15.75" x14ac:dyDescent="0.25">
      <c r="A982" s="32">
        <v>70828</v>
      </c>
      <c r="B982" s="89">
        <f t="shared" si="155"/>
        <v>30</v>
      </c>
      <c r="C982" s="77">
        <f>122.58</f>
        <v>122.58</v>
      </c>
      <c r="D982" s="77">
        <f>297.941</f>
        <v>297.94099999999997</v>
      </c>
      <c r="E982" s="86">
        <f>89.177</f>
        <v>89.177000000000007</v>
      </c>
      <c r="F982" s="77">
        <f>240.302-40-60-100</f>
        <v>40.301999999999992</v>
      </c>
      <c r="G982" s="80">
        <v>40</v>
      </c>
      <c r="H982" s="77">
        <f>60+100</f>
        <v>160</v>
      </c>
      <c r="I982" s="77">
        <f t="shared" si="158"/>
        <v>0</v>
      </c>
      <c r="J982" s="80">
        <v>100</v>
      </c>
      <c r="K982" s="80">
        <v>300</v>
      </c>
      <c r="L982" s="77">
        <f t="shared" si="162"/>
        <v>1150</v>
      </c>
      <c r="M982" s="88">
        <v>600</v>
      </c>
      <c r="N982" s="77">
        <f>100</f>
        <v>100</v>
      </c>
      <c r="O982" s="80">
        <v>240</v>
      </c>
      <c r="P982" s="80">
        <v>40</v>
      </c>
      <c r="Q982" s="80">
        <f t="shared" si="163"/>
        <v>315</v>
      </c>
      <c r="R982" s="80">
        <f t="shared" si="164"/>
        <v>100</v>
      </c>
      <c r="S982" s="77">
        <f t="shared" si="165"/>
        <v>695</v>
      </c>
      <c r="T982" s="77">
        <f>50</f>
        <v>50</v>
      </c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</row>
    <row r="983" spans="1:30" ht="15.75" x14ac:dyDescent="0.25">
      <c r="A983" s="32">
        <v>70859</v>
      </c>
      <c r="B983" s="89">
        <f t="shared" si="155"/>
        <v>31</v>
      </c>
      <c r="C983" s="77">
        <f>122.58</f>
        <v>122.58</v>
      </c>
      <c r="D983" s="77">
        <f>297.941</f>
        <v>297.94099999999997</v>
      </c>
      <c r="E983" s="86">
        <f>89.177</f>
        <v>89.177000000000007</v>
      </c>
      <c r="F983" s="77">
        <f>240.302-40-60-100</f>
        <v>40.301999999999992</v>
      </c>
      <c r="G983" s="80">
        <v>40</v>
      </c>
      <c r="H983" s="77">
        <f>60+100</f>
        <v>160</v>
      </c>
      <c r="I983" s="77">
        <f t="shared" si="158"/>
        <v>0</v>
      </c>
      <c r="J983" s="80">
        <v>100</v>
      </c>
      <c r="K983" s="80">
        <v>300</v>
      </c>
      <c r="L983" s="77">
        <f t="shared" si="162"/>
        <v>1150</v>
      </c>
      <c r="M983" s="88">
        <v>600</v>
      </c>
      <c r="N983" s="77">
        <f>100</f>
        <v>100</v>
      </c>
      <c r="O983" s="80">
        <v>240</v>
      </c>
      <c r="P983" s="80">
        <v>40</v>
      </c>
      <c r="Q983" s="80">
        <f t="shared" si="163"/>
        <v>315</v>
      </c>
      <c r="R983" s="80">
        <f t="shared" si="164"/>
        <v>100</v>
      </c>
      <c r="S983" s="77">
        <f t="shared" si="165"/>
        <v>695</v>
      </c>
      <c r="T983" s="77">
        <f>50</f>
        <v>50</v>
      </c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</row>
    <row r="984" spans="1:30" ht="15.75" x14ac:dyDescent="0.25">
      <c r="A984" s="32">
        <v>70890</v>
      </c>
      <c r="B984" s="89">
        <f t="shared" ref="B984:B1047" si="166">EOMONTH(A984,0)-EOMONTH(A984,-1)</f>
        <v>31</v>
      </c>
      <c r="C984" s="77">
        <f>122.58</f>
        <v>122.58</v>
      </c>
      <c r="D984" s="77">
        <f>297.941</f>
        <v>297.94099999999997</v>
      </c>
      <c r="E984" s="86">
        <f>89.177</f>
        <v>89.177000000000007</v>
      </c>
      <c r="F984" s="77">
        <f>240.302-40-60-100</f>
        <v>40.301999999999992</v>
      </c>
      <c r="G984" s="80">
        <v>40</v>
      </c>
      <c r="H984" s="77">
        <f>60+100</f>
        <v>160</v>
      </c>
      <c r="I984" s="77">
        <f t="shared" si="158"/>
        <v>0</v>
      </c>
      <c r="J984" s="80">
        <v>100</v>
      </c>
      <c r="K984" s="80">
        <v>300</v>
      </c>
      <c r="L984" s="77">
        <f t="shared" si="162"/>
        <v>1150</v>
      </c>
      <c r="M984" s="88">
        <v>600</v>
      </c>
      <c r="N984" s="77">
        <f>100</f>
        <v>100</v>
      </c>
      <c r="O984" s="80">
        <v>240</v>
      </c>
      <c r="P984" s="80">
        <v>40</v>
      </c>
      <c r="Q984" s="80">
        <f t="shared" si="163"/>
        <v>315</v>
      </c>
      <c r="R984" s="80">
        <f t="shared" si="164"/>
        <v>100</v>
      </c>
      <c r="S984" s="77">
        <f t="shared" si="165"/>
        <v>695</v>
      </c>
      <c r="T984" s="77">
        <f>50</f>
        <v>50</v>
      </c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</row>
    <row r="985" spans="1:30" ht="15.75" x14ac:dyDescent="0.25">
      <c r="A985" s="32">
        <v>70918</v>
      </c>
      <c r="B985" s="89">
        <f t="shared" si="166"/>
        <v>28</v>
      </c>
      <c r="C985" s="77">
        <f>122.58</f>
        <v>122.58</v>
      </c>
      <c r="D985" s="77">
        <f>297.941</f>
        <v>297.94099999999997</v>
      </c>
      <c r="E985" s="86">
        <f>89.177</f>
        <v>89.177000000000007</v>
      </c>
      <c r="F985" s="77">
        <f>240.302-40-60-100</f>
        <v>40.301999999999992</v>
      </c>
      <c r="G985" s="80">
        <v>40</v>
      </c>
      <c r="H985" s="77">
        <f>60+100</f>
        <v>160</v>
      </c>
      <c r="I985" s="77">
        <f t="shared" si="158"/>
        <v>0</v>
      </c>
      <c r="J985" s="80">
        <v>100</v>
      </c>
      <c r="K985" s="80">
        <v>300</v>
      </c>
      <c r="L985" s="77">
        <f t="shared" si="162"/>
        <v>1150</v>
      </c>
      <c r="M985" s="88">
        <v>600</v>
      </c>
      <c r="N985" s="77">
        <f>100</f>
        <v>100</v>
      </c>
      <c r="O985" s="80">
        <v>240</v>
      </c>
      <c r="P985" s="80">
        <v>40</v>
      </c>
      <c r="Q985" s="80">
        <f t="shared" si="163"/>
        <v>315</v>
      </c>
      <c r="R985" s="80">
        <f t="shared" si="164"/>
        <v>100</v>
      </c>
      <c r="S985" s="77">
        <f t="shared" si="165"/>
        <v>695</v>
      </c>
      <c r="T985" s="77">
        <f>50</f>
        <v>50</v>
      </c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</row>
    <row r="986" spans="1:30" ht="15.75" x14ac:dyDescent="0.25">
      <c r="A986" s="32">
        <v>70949</v>
      </c>
      <c r="B986" s="89">
        <f t="shared" si="166"/>
        <v>31</v>
      </c>
      <c r="C986" s="77">
        <f>122.58</f>
        <v>122.58</v>
      </c>
      <c r="D986" s="77">
        <f>297.941</f>
        <v>297.94099999999997</v>
      </c>
      <c r="E986" s="86">
        <f>89.177</f>
        <v>89.177000000000007</v>
      </c>
      <c r="F986" s="77">
        <f>240.302-40-60-100</f>
        <v>40.301999999999992</v>
      </c>
      <c r="G986" s="80">
        <v>40</v>
      </c>
      <c r="H986" s="77">
        <f>60+100</f>
        <v>160</v>
      </c>
      <c r="I986" s="77">
        <f t="shared" si="158"/>
        <v>0</v>
      </c>
      <c r="J986" s="80">
        <v>100</v>
      </c>
      <c r="K986" s="80">
        <v>300</v>
      </c>
      <c r="L986" s="77">
        <f t="shared" si="162"/>
        <v>1150</v>
      </c>
      <c r="M986" s="88">
        <v>600</v>
      </c>
      <c r="N986" s="77">
        <f>100</f>
        <v>100</v>
      </c>
      <c r="O986" s="80">
        <v>240</v>
      </c>
      <c r="P986" s="80">
        <v>40</v>
      </c>
      <c r="Q986" s="80">
        <f t="shared" si="163"/>
        <v>315</v>
      </c>
      <c r="R986" s="80">
        <f t="shared" si="164"/>
        <v>100</v>
      </c>
      <c r="S986" s="77">
        <f t="shared" si="165"/>
        <v>695</v>
      </c>
      <c r="T986" s="77">
        <f>50</f>
        <v>50</v>
      </c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</row>
    <row r="987" spans="1:30" ht="15.75" x14ac:dyDescent="0.25">
      <c r="A987" s="32">
        <v>70979</v>
      </c>
      <c r="B987" s="89">
        <f t="shared" si="166"/>
        <v>30</v>
      </c>
      <c r="C987" s="77">
        <f>141.293</f>
        <v>141.29300000000001</v>
      </c>
      <c r="D987" s="77">
        <f>267.993</f>
        <v>267.99299999999999</v>
      </c>
      <c r="E987" s="86">
        <f>115.016</f>
        <v>115.01600000000001</v>
      </c>
      <c r="F987" s="77">
        <f>314.698-40-25-60-100</f>
        <v>89.697999999999979</v>
      </c>
      <c r="G987" s="80">
        <v>40</v>
      </c>
      <c r="H987" s="77">
        <f t="shared" ref="H987:H993" si="167">25+60+100</f>
        <v>185</v>
      </c>
      <c r="I987" s="77">
        <f t="shared" si="158"/>
        <v>0</v>
      </c>
      <c r="J987" s="80">
        <v>100</v>
      </c>
      <c r="K987" s="80">
        <v>300</v>
      </c>
      <c r="L987" s="77">
        <f t="shared" si="162"/>
        <v>1239</v>
      </c>
      <c r="M987" s="88">
        <v>600</v>
      </c>
      <c r="N987" s="77">
        <f>100</f>
        <v>100</v>
      </c>
      <c r="O987" s="80">
        <v>240</v>
      </c>
      <c r="P987" s="80">
        <v>40</v>
      </c>
      <c r="Q987" s="80">
        <f t="shared" si="163"/>
        <v>315</v>
      </c>
      <c r="R987" s="80">
        <f t="shared" si="164"/>
        <v>100</v>
      </c>
      <c r="S987" s="77">
        <f t="shared" si="165"/>
        <v>695</v>
      </c>
      <c r="T987" s="77">
        <f>50</f>
        <v>50</v>
      </c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</row>
    <row r="988" spans="1:30" ht="15.75" x14ac:dyDescent="0.25">
      <c r="A988" s="32">
        <v>71010</v>
      </c>
      <c r="B988" s="89">
        <f t="shared" si="166"/>
        <v>31</v>
      </c>
      <c r="C988" s="77">
        <f>194.205</f>
        <v>194.20500000000001</v>
      </c>
      <c r="D988" s="77">
        <f>267.466</f>
        <v>267.46600000000001</v>
      </c>
      <c r="E988" s="86">
        <f>133.845</f>
        <v>133.845</v>
      </c>
      <c r="F988" s="77">
        <f>278.484-40-25-60-100</f>
        <v>53.48399999999998</v>
      </c>
      <c r="G988" s="80">
        <v>40</v>
      </c>
      <c r="H988" s="77">
        <f t="shared" si="167"/>
        <v>185</v>
      </c>
      <c r="I988" s="77">
        <f t="shared" si="158"/>
        <v>0</v>
      </c>
      <c r="J988" s="80">
        <v>100</v>
      </c>
      <c r="K988" s="80">
        <v>300</v>
      </c>
      <c r="L988" s="77">
        <f t="shared" si="162"/>
        <v>1274</v>
      </c>
      <c r="M988" s="88">
        <v>600</v>
      </c>
      <c r="N988" s="77">
        <f>75</f>
        <v>75</v>
      </c>
      <c r="O988" s="80">
        <v>240</v>
      </c>
      <c r="P988" s="80">
        <v>40</v>
      </c>
      <c r="Q988" s="80">
        <f t="shared" si="163"/>
        <v>315</v>
      </c>
      <c r="R988" s="80">
        <f t="shared" si="164"/>
        <v>100</v>
      </c>
      <c r="S988" s="77">
        <f t="shared" si="165"/>
        <v>695</v>
      </c>
      <c r="T988" s="77">
        <f>50</f>
        <v>50</v>
      </c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</row>
    <row r="989" spans="1:30" ht="15.75" x14ac:dyDescent="0.25">
      <c r="A989" s="32">
        <v>71040</v>
      </c>
      <c r="B989" s="89">
        <f t="shared" si="166"/>
        <v>30</v>
      </c>
      <c r="C989" s="77">
        <f>194.205</f>
        <v>194.20500000000001</v>
      </c>
      <c r="D989" s="77">
        <f>267.466</f>
        <v>267.46600000000001</v>
      </c>
      <c r="E989" s="86">
        <f>133.845</f>
        <v>133.845</v>
      </c>
      <c r="F989" s="77">
        <f>278.484-40-25-60-100</f>
        <v>53.48399999999998</v>
      </c>
      <c r="G989" s="80">
        <v>40</v>
      </c>
      <c r="H989" s="77">
        <f t="shared" si="167"/>
        <v>185</v>
      </c>
      <c r="I989" s="77">
        <f t="shared" si="158"/>
        <v>0</v>
      </c>
      <c r="J989" s="80">
        <v>100</v>
      </c>
      <c r="K989" s="80">
        <v>300</v>
      </c>
      <c r="L989" s="77">
        <f t="shared" si="162"/>
        <v>1274</v>
      </c>
      <c r="M989" s="88">
        <v>600</v>
      </c>
      <c r="N989" s="77">
        <f>30</f>
        <v>30</v>
      </c>
      <c r="O989" s="80">
        <v>240</v>
      </c>
      <c r="P989" s="80">
        <v>40</v>
      </c>
      <c r="Q989" s="80">
        <f t="shared" si="163"/>
        <v>315</v>
      </c>
      <c r="R989" s="80">
        <f t="shared" si="164"/>
        <v>100</v>
      </c>
      <c r="S989" s="77">
        <f t="shared" si="165"/>
        <v>695</v>
      </c>
      <c r="T989" s="77">
        <f>50</f>
        <v>50</v>
      </c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</row>
    <row r="990" spans="1:30" ht="15.75" x14ac:dyDescent="0.25">
      <c r="A990" s="32">
        <v>71071</v>
      </c>
      <c r="B990" s="89">
        <f t="shared" si="166"/>
        <v>31</v>
      </c>
      <c r="C990" s="77">
        <f>194.205</f>
        <v>194.20500000000001</v>
      </c>
      <c r="D990" s="77">
        <f>267.466</f>
        <v>267.46600000000001</v>
      </c>
      <c r="E990" s="86">
        <f>133.845</f>
        <v>133.845</v>
      </c>
      <c r="F990" s="77">
        <f>278.484-40-25-60-100</f>
        <v>53.48399999999998</v>
      </c>
      <c r="G990" s="80">
        <v>40</v>
      </c>
      <c r="H990" s="77">
        <f t="shared" si="167"/>
        <v>185</v>
      </c>
      <c r="I990" s="77">
        <f t="shared" si="158"/>
        <v>0</v>
      </c>
      <c r="J990" s="80">
        <v>100</v>
      </c>
      <c r="K990" s="80">
        <v>300</v>
      </c>
      <c r="L990" s="77">
        <f t="shared" si="162"/>
        <v>1274</v>
      </c>
      <c r="M990" s="88">
        <v>600</v>
      </c>
      <c r="N990" s="77">
        <f>30</f>
        <v>30</v>
      </c>
      <c r="O990" s="80">
        <v>240</v>
      </c>
      <c r="P990" s="80">
        <v>40</v>
      </c>
      <c r="Q990" s="80">
        <f t="shared" si="163"/>
        <v>315</v>
      </c>
      <c r="R990" s="80">
        <f t="shared" si="164"/>
        <v>100</v>
      </c>
      <c r="S990" s="77">
        <f t="shared" si="165"/>
        <v>695</v>
      </c>
      <c r="T990" s="77">
        <f>0</f>
        <v>0</v>
      </c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</row>
    <row r="991" spans="1:30" ht="15.75" x14ac:dyDescent="0.25">
      <c r="A991" s="32">
        <v>71102</v>
      </c>
      <c r="B991" s="89">
        <f t="shared" si="166"/>
        <v>31</v>
      </c>
      <c r="C991" s="77">
        <f>194.205</f>
        <v>194.20500000000001</v>
      </c>
      <c r="D991" s="77">
        <f>267.466</f>
        <v>267.46600000000001</v>
      </c>
      <c r="E991" s="86">
        <f>133.845</f>
        <v>133.845</v>
      </c>
      <c r="F991" s="77">
        <f>278.484-40-25-60-100</f>
        <v>53.48399999999998</v>
      </c>
      <c r="G991" s="80">
        <v>40</v>
      </c>
      <c r="H991" s="77">
        <f t="shared" si="167"/>
        <v>185</v>
      </c>
      <c r="I991" s="77">
        <f t="shared" si="158"/>
        <v>0</v>
      </c>
      <c r="J991" s="80">
        <v>100</v>
      </c>
      <c r="K991" s="80">
        <v>300</v>
      </c>
      <c r="L991" s="77">
        <f t="shared" si="162"/>
        <v>1274</v>
      </c>
      <c r="M991" s="88">
        <v>600</v>
      </c>
      <c r="N991" s="77">
        <f>30</f>
        <v>30</v>
      </c>
      <c r="O991" s="80">
        <v>240</v>
      </c>
      <c r="P991" s="80">
        <v>40</v>
      </c>
      <c r="Q991" s="80">
        <f t="shared" si="163"/>
        <v>315</v>
      </c>
      <c r="R991" s="80">
        <f t="shared" si="164"/>
        <v>100</v>
      </c>
      <c r="S991" s="77">
        <f t="shared" si="165"/>
        <v>695</v>
      </c>
      <c r="T991" s="77">
        <f>0</f>
        <v>0</v>
      </c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</row>
    <row r="992" spans="1:30" ht="15.75" x14ac:dyDescent="0.25">
      <c r="A992" s="32">
        <v>71132</v>
      </c>
      <c r="B992" s="89">
        <f t="shared" si="166"/>
        <v>30</v>
      </c>
      <c r="C992" s="77">
        <f>194.205</f>
        <v>194.20500000000001</v>
      </c>
      <c r="D992" s="77">
        <f>267.466</f>
        <v>267.46600000000001</v>
      </c>
      <c r="E992" s="86">
        <f>133.845</f>
        <v>133.845</v>
      </c>
      <c r="F992" s="77">
        <f>278.484-40-25-60-100</f>
        <v>53.48399999999998</v>
      </c>
      <c r="G992" s="80">
        <v>40</v>
      </c>
      <c r="H992" s="77">
        <f t="shared" si="167"/>
        <v>185</v>
      </c>
      <c r="I992" s="77">
        <f t="shared" si="158"/>
        <v>0</v>
      </c>
      <c r="J992" s="80">
        <v>100</v>
      </c>
      <c r="K992" s="80">
        <v>300</v>
      </c>
      <c r="L992" s="77">
        <f t="shared" si="162"/>
        <v>1274</v>
      </c>
      <c r="M992" s="88">
        <v>600</v>
      </c>
      <c r="N992" s="77">
        <f>30</f>
        <v>30</v>
      </c>
      <c r="O992" s="80">
        <v>240</v>
      </c>
      <c r="P992" s="80">
        <v>40</v>
      </c>
      <c r="Q992" s="80">
        <f t="shared" si="163"/>
        <v>315</v>
      </c>
      <c r="R992" s="80">
        <f t="shared" si="164"/>
        <v>100</v>
      </c>
      <c r="S992" s="77">
        <f t="shared" si="165"/>
        <v>695</v>
      </c>
      <c r="T992" s="77">
        <f>0</f>
        <v>0</v>
      </c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</row>
    <row r="993" spans="1:30" ht="15.75" x14ac:dyDescent="0.25">
      <c r="A993" s="32">
        <v>71163</v>
      </c>
      <c r="B993" s="89">
        <f t="shared" si="166"/>
        <v>31</v>
      </c>
      <c r="C993" s="77">
        <f>131.881</f>
        <v>131.881</v>
      </c>
      <c r="D993" s="77">
        <f>277.167</f>
        <v>277.16699999999997</v>
      </c>
      <c r="E993" s="86">
        <f>79.08</f>
        <v>79.08</v>
      </c>
      <c r="F993" s="77">
        <f>350.872-40-25-60-100</f>
        <v>125.87200000000001</v>
      </c>
      <c r="G993" s="80">
        <v>40</v>
      </c>
      <c r="H993" s="77">
        <f t="shared" si="167"/>
        <v>185</v>
      </c>
      <c r="I993" s="77">
        <f t="shared" si="158"/>
        <v>0</v>
      </c>
      <c r="J993" s="80">
        <v>100</v>
      </c>
      <c r="K993" s="80">
        <v>300</v>
      </c>
      <c r="L993" s="77">
        <f t="shared" si="162"/>
        <v>1239</v>
      </c>
      <c r="M993" s="88">
        <v>600</v>
      </c>
      <c r="N993" s="77">
        <f>75</f>
        <v>75</v>
      </c>
      <c r="O993" s="80">
        <v>240</v>
      </c>
      <c r="P993" s="80">
        <v>40</v>
      </c>
      <c r="Q993" s="80">
        <f t="shared" si="163"/>
        <v>315</v>
      </c>
      <c r="R993" s="80">
        <f t="shared" si="164"/>
        <v>100</v>
      </c>
      <c r="S993" s="77">
        <f t="shared" si="165"/>
        <v>695</v>
      </c>
      <c r="T993" s="77">
        <f>0</f>
        <v>0</v>
      </c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</row>
    <row r="994" spans="1:30" ht="15.75" x14ac:dyDescent="0.25">
      <c r="A994" s="32">
        <v>71193</v>
      </c>
      <c r="B994" s="89">
        <f t="shared" si="166"/>
        <v>30</v>
      </c>
      <c r="C994" s="77">
        <f>122.58</f>
        <v>122.58</v>
      </c>
      <c r="D994" s="77">
        <f>297.941</f>
        <v>297.94099999999997</v>
      </c>
      <c r="E994" s="86">
        <f>89.177</f>
        <v>89.177000000000007</v>
      </c>
      <c r="F994" s="77">
        <f>240.302-40-60-100</f>
        <v>40.301999999999992</v>
      </c>
      <c r="G994" s="80">
        <v>40</v>
      </c>
      <c r="H994" s="77">
        <f>60+100</f>
        <v>160</v>
      </c>
      <c r="I994" s="77">
        <f t="shared" si="158"/>
        <v>0</v>
      </c>
      <c r="J994" s="80">
        <v>100</v>
      </c>
      <c r="K994" s="80">
        <v>300</v>
      </c>
      <c r="L994" s="77">
        <f t="shared" si="162"/>
        <v>1150</v>
      </c>
      <c r="M994" s="88">
        <v>600</v>
      </c>
      <c r="N994" s="77">
        <f>100</f>
        <v>100</v>
      </c>
      <c r="O994" s="80">
        <v>240</v>
      </c>
      <c r="P994" s="80">
        <v>40</v>
      </c>
      <c r="Q994" s="80">
        <f t="shared" si="163"/>
        <v>315</v>
      </c>
      <c r="R994" s="80">
        <f t="shared" si="164"/>
        <v>100</v>
      </c>
      <c r="S994" s="77">
        <f t="shared" si="165"/>
        <v>695</v>
      </c>
      <c r="T994" s="77">
        <f>50</f>
        <v>50</v>
      </c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</row>
    <row r="995" spans="1:30" ht="15.75" x14ac:dyDescent="0.25">
      <c r="A995" s="32">
        <v>71224</v>
      </c>
      <c r="B995" s="89">
        <f t="shared" si="166"/>
        <v>31</v>
      </c>
      <c r="C995" s="77">
        <f>122.58</f>
        <v>122.58</v>
      </c>
      <c r="D995" s="77">
        <f>297.941</f>
        <v>297.94099999999997</v>
      </c>
      <c r="E995" s="86">
        <f>89.177</f>
        <v>89.177000000000007</v>
      </c>
      <c r="F995" s="77">
        <f>240.302-40-60-100</f>
        <v>40.301999999999992</v>
      </c>
      <c r="G995" s="80">
        <v>40</v>
      </c>
      <c r="H995" s="77">
        <f>60+100</f>
        <v>160</v>
      </c>
      <c r="I995" s="77">
        <f t="shared" si="158"/>
        <v>0</v>
      </c>
      <c r="J995" s="80">
        <v>100</v>
      </c>
      <c r="K995" s="80">
        <v>300</v>
      </c>
      <c r="L995" s="77">
        <f t="shared" si="162"/>
        <v>1150</v>
      </c>
      <c r="M995" s="88">
        <v>600</v>
      </c>
      <c r="N995" s="77">
        <f>100</f>
        <v>100</v>
      </c>
      <c r="O995" s="80">
        <v>240</v>
      </c>
      <c r="P995" s="80">
        <v>40</v>
      </c>
      <c r="Q995" s="80">
        <f t="shared" si="163"/>
        <v>315</v>
      </c>
      <c r="R995" s="80">
        <f t="shared" si="164"/>
        <v>100</v>
      </c>
      <c r="S995" s="77">
        <f t="shared" si="165"/>
        <v>695</v>
      </c>
      <c r="T995" s="77">
        <f>50</f>
        <v>50</v>
      </c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</row>
    <row r="996" spans="1:30" ht="15.75" x14ac:dyDescent="0.25">
      <c r="A996" s="32">
        <v>71255</v>
      </c>
      <c r="B996" s="89">
        <f t="shared" si="166"/>
        <v>31</v>
      </c>
      <c r="C996" s="77">
        <f>122.58</f>
        <v>122.58</v>
      </c>
      <c r="D996" s="77">
        <f>297.941</f>
        <v>297.94099999999997</v>
      </c>
      <c r="E996" s="86">
        <f>89.177</f>
        <v>89.177000000000007</v>
      </c>
      <c r="F996" s="77">
        <f>240.302-40-60-100</f>
        <v>40.301999999999992</v>
      </c>
      <c r="G996" s="80">
        <v>40</v>
      </c>
      <c r="H996" s="77">
        <f>60+100</f>
        <v>160</v>
      </c>
      <c r="I996" s="77">
        <f t="shared" si="158"/>
        <v>0</v>
      </c>
      <c r="J996" s="80">
        <v>100</v>
      </c>
      <c r="K996" s="80">
        <v>300</v>
      </c>
      <c r="L996" s="77">
        <f t="shared" si="162"/>
        <v>1150</v>
      </c>
      <c r="M996" s="88">
        <v>600</v>
      </c>
      <c r="N996" s="77">
        <f>100</f>
        <v>100</v>
      </c>
      <c r="O996" s="80">
        <v>240</v>
      </c>
      <c r="P996" s="80">
        <v>40</v>
      </c>
      <c r="Q996" s="80">
        <f t="shared" si="163"/>
        <v>315</v>
      </c>
      <c r="R996" s="80">
        <f t="shared" si="164"/>
        <v>100</v>
      </c>
      <c r="S996" s="77">
        <f t="shared" si="165"/>
        <v>695</v>
      </c>
      <c r="T996" s="77">
        <f>50</f>
        <v>50</v>
      </c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</row>
    <row r="997" spans="1:30" ht="15.75" x14ac:dyDescent="0.25">
      <c r="A997" s="32">
        <v>71283</v>
      </c>
      <c r="B997" s="89">
        <f t="shared" si="166"/>
        <v>28</v>
      </c>
      <c r="C997" s="77">
        <f>122.58</f>
        <v>122.58</v>
      </c>
      <c r="D997" s="77">
        <f>297.941</f>
        <v>297.94099999999997</v>
      </c>
      <c r="E997" s="86">
        <f>89.177</f>
        <v>89.177000000000007</v>
      </c>
      <c r="F997" s="77">
        <f>240.302-40-60-100</f>
        <v>40.301999999999992</v>
      </c>
      <c r="G997" s="80">
        <v>40</v>
      </c>
      <c r="H997" s="77">
        <f>60+100</f>
        <v>160</v>
      </c>
      <c r="I997" s="77">
        <f t="shared" si="158"/>
        <v>0</v>
      </c>
      <c r="J997" s="80">
        <v>100</v>
      </c>
      <c r="K997" s="80">
        <v>300</v>
      </c>
      <c r="L997" s="77">
        <f t="shared" si="162"/>
        <v>1150</v>
      </c>
      <c r="M997" s="88">
        <v>600</v>
      </c>
      <c r="N997" s="77">
        <f>100</f>
        <v>100</v>
      </c>
      <c r="O997" s="80">
        <v>240</v>
      </c>
      <c r="P997" s="80">
        <v>40</v>
      </c>
      <c r="Q997" s="80">
        <f t="shared" si="163"/>
        <v>315</v>
      </c>
      <c r="R997" s="80">
        <f t="shared" si="164"/>
        <v>100</v>
      </c>
      <c r="S997" s="77">
        <f t="shared" si="165"/>
        <v>695</v>
      </c>
      <c r="T997" s="77">
        <f>50</f>
        <v>50</v>
      </c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</row>
    <row r="998" spans="1:30" ht="15.75" x14ac:dyDescent="0.25">
      <c r="A998" s="32">
        <v>71314</v>
      </c>
      <c r="B998" s="89">
        <f t="shared" si="166"/>
        <v>31</v>
      </c>
      <c r="C998" s="77">
        <f>122.58</f>
        <v>122.58</v>
      </c>
      <c r="D998" s="77">
        <f>297.941</f>
        <v>297.94099999999997</v>
      </c>
      <c r="E998" s="86">
        <f>89.177</f>
        <v>89.177000000000007</v>
      </c>
      <c r="F998" s="77">
        <f>240.302-40-60-100</f>
        <v>40.301999999999992</v>
      </c>
      <c r="G998" s="80">
        <v>40</v>
      </c>
      <c r="H998" s="77">
        <f>60+100</f>
        <v>160</v>
      </c>
      <c r="I998" s="77">
        <f t="shared" si="158"/>
        <v>0</v>
      </c>
      <c r="J998" s="80">
        <v>100</v>
      </c>
      <c r="K998" s="80">
        <v>300</v>
      </c>
      <c r="L998" s="77">
        <f t="shared" si="162"/>
        <v>1150</v>
      </c>
      <c r="M998" s="88">
        <v>600</v>
      </c>
      <c r="N998" s="77">
        <f>100</f>
        <v>100</v>
      </c>
      <c r="O998" s="80">
        <v>240</v>
      </c>
      <c r="P998" s="80">
        <v>40</v>
      </c>
      <c r="Q998" s="80">
        <f t="shared" si="163"/>
        <v>315</v>
      </c>
      <c r="R998" s="80">
        <f t="shared" si="164"/>
        <v>100</v>
      </c>
      <c r="S998" s="77">
        <f t="shared" si="165"/>
        <v>695</v>
      </c>
      <c r="T998" s="77">
        <f>50</f>
        <v>50</v>
      </c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</row>
    <row r="999" spans="1:30" ht="15.75" x14ac:dyDescent="0.25">
      <c r="A999" s="32">
        <v>71344</v>
      </c>
      <c r="B999" s="89">
        <f t="shared" si="166"/>
        <v>30</v>
      </c>
      <c r="C999" s="77">
        <f>141.293</f>
        <v>141.29300000000001</v>
      </c>
      <c r="D999" s="77">
        <f>267.993</f>
        <v>267.99299999999999</v>
      </c>
      <c r="E999" s="86">
        <f>115.016</f>
        <v>115.01600000000001</v>
      </c>
      <c r="F999" s="77">
        <f>314.698-40-25-60-100</f>
        <v>89.697999999999979</v>
      </c>
      <c r="G999" s="80">
        <v>40</v>
      </c>
      <c r="H999" s="77">
        <f t="shared" ref="H999:H1005" si="168">25+60+100</f>
        <v>185</v>
      </c>
      <c r="I999" s="77">
        <f t="shared" si="158"/>
        <v>0</v>
      </c>
      <c r="J999" s="80">
        <v>100</v>
      </c>
      <c r="K999" s="80">
        <v>300</v>
      </c>
      <c r="L999" s="77">
        <f t="shared" si="162"/>
        <v>1239</v>
      </c>
      <c r="M999" s="88">
        <v>600</v>
      </c>
      <c r="N999" s="77">
        <f>100</f>
        <v>100</v>
      </c>
      <c r="O999" s="80">
        <v>240</v>
      </c>
      <c r="P999" s="80">
        <v>40</v>
      </c>
      <c r="Q999" s="80">
        <f t="shared" si="163"/>
        <v>315</v>
      </c>
      <c r="R999" s="80">
        <f t="shared" si="164"/>
        <v>100</v>
      </c>
      <c r="S999" s="77">
        <f t="shared" si="165"/>
        <v>695</v>
      </c>
      <c r="T999" s="77">
        <f>50</f>
        <v>50</v>
      </c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</row>
    <row r="1000" spans="1:30" ht="15.75" x14ac:dyDescent="0.25">
      <c r="A1000" s="32">
        <v>71375</v>
      </c>
      <c r="B1000" s="89">
        <f t="shared" si="166"/>
        <v>31</v>
      </c>
      <c r="C1000" s="77">
        <f>194.205</f>
        <v>194.20500000000001</v>
      </c>
      <c r="D1000" s="77">
        <f>267.466</f>
        <v>267.46600000000001</v>
      </c>
      <c r="E1000" s="86">
        <f>133.845</f>
        <v>133.845</v>
      </c>
      <c r="F1000" s="77">
        <f>278.484-40-25-60-100</f>
        <v>53.48399999999998</v>
      </c>
      <c r="G1000" s="80">
        <v>40</v>
      </c>
      <c r="H1000" s="77">
        <f t="shared" si="168"/>
        <v>185</v>
      </c>
      <c r="I1000" s="77">
        <f t="shared" si="158"/>
        <v>0</v>
      </c>
      <c r="J1000" s="80">
        <v>100</v>
      </c>
      <c r="K1000" s="80">
        <v>300</v>
      </c>
      <c r="L1000" s="77">
        <f t="shared" si="162"/>
        <v>1274</v>
      </c>
      <c r="M1000" s="88">
        <v>600</v>
      </c>
      <c r="N1000" s="77">
        <f>75</f>
        <v>75</v>
      </c>
      <c r="O1000" s="80">
        <v>240</v>
      </c>
      <c r="P1000" s="80">
        <v>40</v>
      </c>
      <c r="Q1000" s="80">
        <f t="shared" si="163"/>
        <v>315</v>
      </c>
      <c r="R1000" s="80">
        <f t="shared" si="164"/>
        <v>100</v>
      </c>
      <c r="S1000" s="77">
        <f t="shared" si="165"/>
        <v>695</v>
      </c>
      <c r="T1000" s="77">
        <f>50</f>
        <v>50</v>
      </c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</row>
    <row r="1001" spans="1:30" ht="15.75" x14ac:dyDescent="0.25">
      <c r="A1001" s="32">
        <v>71405</v>
      </c>
      <c r="B1001" s="89">
        <f t="shared" si="166"/>
        <v>30</v>
      </c>
      <c r="C1001" s="77">
        <f>194.205</f>
        <v>194.20500000000001</v>
      </c>
      <c r="D1001" s="77">
        <f>267.466</f>
        <v>267.46600000000001</v>
      </c>
      <c r="E1001" s="86">
        <f>133.845</f>
        <v>133.845</v>
      </c>
      <c r="F1001" s="77">
        <f>278.484-40-25-60-100</f>
        <v>53.48399999999998</v>
      </c>
      <c r="G1001" s="80">
        <v>40</v>
      </c>
      <c r="H1001" s="77">
        <f t="shared" si="168"/>
        <v>185</v>
      </c>
      <c r="I1001" s="77">
        <f t="shared" si="158"/>
        <v>0</v>
      </c>
      <c r="J1001" s="80">
        <v>100</v>
      </c>
      <c r="K1001" s="80">
        <v>300</v>
      </c>
      <c r="L1001" s="77">
        <f t="shared" si="162"/>
        <v>1274</v>
      </c>
      <c r="M1001" s="88">
        <v>600</v>
      </c>
      <c r="N1001" s="77">
        <f>30</f>
        <v>30</v>
      </c>
      <c r="O1001" s="80">
        <v>240</v>
      </c>
      <c r="P1001" s="80">
        <v>40</v>
      </c>
      <c r="Q1001" s="80">
        <f t="shared" si="163"/>
        <v>315</v>
      </c>
      <c r="R1001" s="80">
        <f t="shared" si="164"/>
        <v>100</v>
      </c>
      <c r="S1001" s="77">
        <f t="shared" si="165"/>
        <v>695</v>
      </c>
      <c r="T1001" s="77">
        <f>50</f>
        <v>50</v>
      </c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</row>
    <row r="1002" spans="1:30" ht="15.75" x14ac:dyDescent="0.25">
      <c r="A1002" s="32">
        <v>71436</v>
      </c>
      <c r="B1002" s="89">
        <f t="shared" si="166"/>
        <v>31</v>
      </c>
      <c r="C1002" s="77">
        <f>194.205</f>
        <v>194.20500000000001</v>
      </c>
      <c r="D1002" s="77">
        <f>267.466</f>
        <v>267.46600000000001</v>
      </c>
      <c r="E1002" s="86">
        <f>133.845</f>
        <v>133.845</v>
      </c>
      <c r="F1002" s="77">
        <f>278.484-40-25-60-100</f>
        <v>53.48399999999998</v>
      </c>
      <c r="G1002" s="80">
        <v>40</v>
      </c>
      <c r="H1002" s="77">
        <f t="shared" si="168"/>
        <v>185</v>
      </c>
      <c r="I1002" s="77">
        <f t="shared" si="158"/>
        <v>0</v>
      </c>
      <c r="J1002" s="80">
        <v>100</v>
      </c>
      <c r="K1002" s="80">
        <v>300</v>
      </c>
      <c r="L1002" s="77">
        <f t="shared" si="162"/>
        <v>1274</v>
      </c>
      <c r="M1002" s="88">
        <v>600</v>
      </c>
      <c r="N1002" s="77">
        <f>30</f>
        <v>30</v>
      </c>
      <c r="O1002" s="80">
        <v>240</v>
      </c>
      <c r="P1002" s="80">
        <v>40</v>
      </c>
      <c r="Q1002" s="80">
        <f t="shared" si="163"/>
        <v>315</v>
      </c>
      <c r="R1002" s="80">
        <f t="shared" si="164"/>
        <v>100</v>
      </c>
      <c r="S1002" s="77">
        <f t="shared" si="165"/>
        <v>695</v>
      </c>
      <c r="T1002" s="77">
        <f>0</f>
        <v>0</v>
      </c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</row>
    <row r="1003" spans="1:30" ht="15.75" x14ac:dyDescent="0.25">
      <c r="A1003" s="32">
        <v>71467</v>
      </c>
      <c r="B1003" s="89">
        <f t="shared" si="166"/>
        <v>31</v>
      </c>
      <c r="C1003" s="77">
        <f>194.205</f>
        <v>194.20500000000001</v>
      </c>
      <c r="D1003" s="77">
        <f>267.466</f>
        <v>267.46600000000001</v>
      </c>
      <c r="E1003" s="86">
        <f>133.845</f>
        <v>133.845</v>
      </c>
      <c r="F1003" s="77">
        <f>278.484-40-25-60-100</f>
        <v>53.48399999999998</v>
      </c>
      <c r="G1003" s="80">
        <v>40</v>
      </c>
      <c r="H1003" s="77">
        <f t="shared" si="168"/>
        <v>185</v>
      </c>
      <c r="I1003" s="77">
        <f t="shared" si="158"/>
        <v>0</v>
      </c>
      <c r="J1003" s="80">
        <v>100</v>
      </c>
      <c r="K1003" s="80">
        <v>300</v>
      </c>
      <c r="L1003" s="77">
        <f t="shared" si="162"/>
        <v>1274</v>
      </c>
      <c r="M1003" s="88">
        <v>600</v>
      </c>
      <c r="N1003" s="77">
        <f>30</f>
        <v>30</v>
      </c>
      <c r="O1003" s="80">
        <v>240</v>
      </c>
      <c r="P1003" s="80">
        <v>40</v>
      </c>
      <c r="Q1003" s="80">
        <f t="shared" si="163"/>
        <v>315</v>
      </c>
      <c r="R1003" s="80">
        <f t="shared" si="164"/>
        <v>100</v>
      </c>
      <c r="S1003" s="77">
        <f t="shared" si="165"/>
        <v>695</v>
      </c>
      <c r="T1003" s="77">
        <f>0</f>
        <v>0</v>
      </c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</row>
    <row r="1004" spans="1:30" ht="15.75" x14ac:dyDescent="0.25">
      <c r="A1004" s="32">
        <v>71497</v>
      </c>
      <c r="B1004" s="89">
        <f t="shared" si="166"/>
        <v>30</v>
      </c>
      <c r="C1004" s="77">
        <f>194.205</f>
        <v>194.20500000000001</v>
      </c>
      <c r="D1004" s="77">
        <f>267.466</f>
        <v>267.46600000000001</v>
      </c>
      <c r="E1004" s="86">
        <f>133.845</f>
        <v>133.845</v>
      </c>
      <c r="F1004" s="77">
        <f>278.484-40-25-60-100</f>
        <v>53.48399999999998</v>
      </c>
      <c r="G1004" s="80">
        <v>40</v>
      </c>
      <c r="H1004" s="77">
        <f t="shared" si="168"/>
        <v>185</v>
      </c>
      <c r="I1004" s="77">
        <f t="shared" si="158"/>
        <v>0</v>
      </c>
      <c r="J1004" s="80">
        <v>100</v>
      </c>
      <c r="K1004" s="80">
        <v>300</v>
      </c>
      <c r="L1004" s="77">
        <f t="shared" si="162"/>
        <v>1274</v>
      </c>
      <c r="M1004" s="88">
        <v>600</v>
      </c>
      <c r="N1004" s="77">
        <f>30</f>
        <v>30</v>
      </c>
      <c r="O1004" s="80">
        <v>240</v>
      </c>
      <c r="P1004" s="80">
        <v>40</v>
      </c>
      <c r="Q1004" s="80">
        <f t="shared" si="163"/>
        <v>315</v>
      </c>
      <c r="R1004" s="80">
        <f t="shared" si="164"/>
        <v>100</v>
      </c>
      <c r="S1004" s="77">
        <f t="shared" si="165"/>
        <v>695</v>
      </c>
      <c r="T1004" s="77">
        <f>0</f>
        <v>0</v>
      </c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</row>
    <row r="1005" spans="1:30" ht="15.75" x14ac:dyDescent="0.25">
      <c r="A1005" s="32">
        <v>71528</v>
      </c>
      <c r="B1005" s="89">
        <f t="shared" si="166"/>
        <v>31</v>
      </c>
      <c r="C1005" s="77">
        <f>131.881</f>
        <v>131.881</v>
      </c>
      <c r="D1005" s="77">
        <f>277.167</f>
        <v>277.16699999999997</v>
      </c>
      <c r="E1005" s="86">
        <f>79.08</f>
        <v>79.08</v>
      </c>
      <c r="F1005" s="77">
        <f>350.872-40-25-60-100</f>
        <v>125.87200000000001</v>
      </c>
      <c r="G1005" s="80">
        <v>40</v>
      </c>
      <c r="H1005" s="77">
        <f t="shared" si="168"/>
        <v>185</v>
      </c>
      <c r="I1005" s="77">
        <f t="shared" si="158"/>
        <v>0</v>
      </c>
      <c r="J1005" s="80">
        <v>100</v>
      </c>
      <c r="K1005" s="80">
        <v>300</v>
      </c>
      <c r="L1005" s="77">
        <f t="shared" si="162"/>
        <v>1239</v>
      </c>
      <c r="M1005" s="88">
        <v>600</v>
      </c>
      <c r="N1005" s="77">
        <f>75</f>
        <v>75</v>
      </c>
      <c r="O1005" s="80">
        <v>240</v>
      </c>
      <c r="P1005" s="80">
        <v>40</v>
      </c>
      <c r="Q1005" s="80">
        <f t="shared" si="163"/>
        <v>315</v>
      </c>
      <c r="R1005" s="80">
        <f t="shared" si="164"/>
        <v>100</v>
      </c>
      <c r="S1005" s="77">
        <f t="shared" si="165"/>
        <v>695</v>
      </c>
      <c r="T1005" s="77">
        <f>0</f>
        <v>0</v>
      </c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</row>
    <row r="1006" spans="1:30" ht="15.75" x14ac:dyDescent="0.25">
      <c r="A1006" s="32">
        <v>71558</v>
      </c>
      <c r="B1006" s="89">
        <f t="shared" si="166"/>
        <v>30</v>
      </c>
      <c r="C1006" s="77">
        <f>122.58</f>
        <v>122.58</v>
      </c>
      <c r="D1006" s="77">
        <f>297.941</f>
        <v>297.94099999999997</v>
      </c>
      <c r="E1006" s="86">
        <f>89.177</f>
        <v>89.177000000000007</v>
      </c>
      <c r="F1006" s="77">
        <f>240.302-40-60-100</f>
        <v>40.301999999999992</v>
      </c>
      <c r="G1006" s="80">
        <v>40</v>
      </c>
      <c r="H1006" s="77">
        <f>60+100</f>
        <v>160</v>
      </c>
      <c r="I1006" s="77">
        <f t="shared" si="158"/>
        <v>0</v>
      </c>
      <c r="J1006" s="80">
        <v>100</v>
      </c>
      <c r="K1006" s="80">
        <v>300</v>
      </c>
      <c r="L1006" s="77">
        <f t="shared" si="162"/>
        <v>1150</v>
      </c>
      <c r="M1006" s="88">
        <v>600</v>
      </c>
      <c r="N1006" s="77">
        <f>100</f>
        <v>100</v>
      </c>
      <c r="O1006" s="80">
        <v>240</v>
      </c>
      <c r="P1006" s="80">
        <v>40</v>
      </c>
      <c r="Q1006" s="80">
        <f t="shared" si="163"/>
        <v>315</v>
      </c>
      <c r="R1006" s="80">
        <f t="shared" si="164"/>
        <v>100</v>
      </c>
      <c r="S1006" s="77">
        <f t="shared" si="165"/>
        <v>695</v>
      </c>
      <c r="T1006" s="77">
        <f>50</f>
        <v>50</v>
      </c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</row>
    <row r="1007" spans="1:30" ht="15.75" x14ac:dyDescent="0.25">
      <c r="A1007" s="32">
        <v>71589</v>
      </c>
      <c r="B1007" s="89">
        <f t="shared" si="166"/>
        <v>31</v>
      </c>
      <c r="C1007" s="77">
        <f>122.58</f>
        <v>122.58</v>
      </c>
      <c r="D1007" s="77">
        <f>297.941</f>
        <v>297.94099999999997</v>
      </c>
      <c r="E1007" s="86">
        <f>89.177</f>
        <v>89.177000000000007</v>
      </c>
      <c r="F1007" s="77">
        <f>240.302-40-60-100</f>
        <v>40.301999999999992</v>
      </c>
      <c r="G1007" s="80">
        <v>40</v>
      </c>
      <c r="H1007" s="77">
        <f>60+100</f>
        <v>160</v>
      </c>
      <c r="I1007" s="77">
        <f t="shared" si="158"/>
        <v>0</v>
      </c>
      <c r="J1007" s="80">
        <v>100</v>
      </c>
      <c r="K1007" s="80">
        <v>300</v>
      </c>
      <c r="L1007" s="77">
        <f t="shared" si="162"/>
        <v>1150</v>
      </c>
      <c r="M1007" s="88">
        <v>600</v>
      </c>
      <c r="N1007" s="77">
        <f>100</f>
        <v>100</v>
      </c>
      <c r="O1007" s="80">
        <v>240</v>
      </c>
      <c r="P1007" s="80">
        <v>40</v>
      </c>
      <c r="Q1007" s="80">
        <f t="shared" si="163"/>
        <v>315</v>
      </c>
      <c r="R1007" s="80">
        <f t="shared" si="164"/>
        <v>100</v>
      </c>
      <c r="S1007" s="77">
        <f t="shared" si="165"/>
        <v>695</v>
      </c>
      <c r="T1007" s="77">
        <f>50</f>
        <v>50</v>
      </c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</row>
    <row r="1008" spans="1:30" ht="15.75" x14ac:dyDescent="0.25">
      <c r="A1008" s="32">
        <v>71620</v>
      </c>
      <c r="B1008" s="89">
        <f t="shared" si="166"/>
        <v>31</v>
      </c>
      <c r="C1008" s="77">
        <f>122.58</f>
        <v>122.58</v>
      </c>
      <c r="D1008" s="77">
        <f>297.941</f>
        <v>297.94099999999997</v>
      </c>
      <c r="E1008" s="86">
        <f>89.177</f>
        <v>89.177000000000007</v>
      </c>
      <c r="F1008" s="77">
        <f>240.302-40-60-100</f>
        <v>40.301999999999992</v>
      </c>
      <c r="G1008" s="80">
        <v>40</v>
      </c>
      <c r="H1008" s="77">
        <f>60+100</f>
        <v>160</v>
      </c>
      <c r="I1008" s="77">
        <f t="shared" si="158"/>
        <v>0</v>
      </c>
      <c r="J1008" s="80">
        <v>100</v>
      </c>
      <c r="K1008" s="80">
        <v>300</v>
      </c>
      <c r="L1008" s="77">
        <f t="shared" si="162"/>
        <v>1150</v>
      </c>
      <c r="M1008" s="88">
        <v>600</v>
      </c>
      <c r="N1008" s="77">
        <f>100</f>
        <v>100</v>
      </c>
      <c r="O1008" s="80">
        <v>240</v>
      </c>
      <c r="P1008" s="80">
        <v>40</v>
      </c>
      <c r="Q1008" s="80">
        <f t="shared" si="163"/>
        <v>315</v>
      </c>
      <c r="R1008" s="80">
        <f t="shared" si="164"/>
        <v>100</v>
      </c>
      <c r="S1008" s="77">
        <f t="shared" si="165"/>
        <v>695</v>
      </c>
      <c r="T1008" s="77">
        <f>50</f>
        <v>50</v>
      </c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</row>
    <row r="1009" spans="1:30" ht="15.75" x14ac:dyDescent="0.25">
      <c r="A1009" s="32">
        <v>71649</v>
      </c>
      <c r="B1009" s="89">
        <f t="shared" si="166"/>
        <v>29</v>
      </c>
      <c r="C1009" s="77">
        <f>122.58</f>
        <v>122.58</v>
      </c>
      <c r="D1009" s="77">
        <f>297.941</f>
        <v>297.94099999999997</v>
      </c>
      <c r="E1009" s="86">
        <f>89.177</f>
        <v>89.177000000000007</v>
      </c>
      <c r="F1009" s="77">
        <f>240.302-40-60-100</f>
        <v>40.301999999999992</v>
      </c>
      <c r="G1009" s="80">
        <v>40</v>
      </c>
      <c r="H1009" s="77">
        <f>60+100</f>
        <v>160</v>
      </c>
      <c r="I1009" s="77">
        <f t="shared" si="158"/>
        <v>0</v>
      </c>
      <c r="J1009" s="80">
        <v>100</v>
      </c>
      <c r="K1009" s="80">
        <v>300</v>
      </c>
      <c r="L1009" s="77">
        <f t="shared" si="162"/>
        <v>1150</v>
      </c>
      <c r="M1009" s="88">
        <v>600</v>
      </c>
      <c r="N1009" s="77">
        <f>100</f>
        <v>100</v>
      </c>
      <c r="O1009" s="80">
        <v>240</v>
      </c>
      <c r="P1009" s="80">
        <v>40</v>
      </c>
      <c r="Q1009" s="80">
        <f t="shared" si="163"/>
        <v>315</v>
      </c>
      <c r="R1009" s="80">
        <f t="shared" si="164"/>
        <v>100</v>
      </c>
      <c r="S1009" s="77">
        <f t="shared" si="165"/>
        <v>695</v>
      </c>
      <c r="T1009" s="77">
        <f>50</f>
        <v>50</v>
      </c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</row>
    <row r="1010" spans="1:30" ht="15.75" x14ac:dyDescent="0.25">
      <c r="A1010" s="32">
        <v>71680</v>
      </c>
      <c r="B1010" s="89">
        <f t="shared" si="166"/>
        <v>31</v>
      </c>
      <c r="C1010" s="77">
        <f>122.58</f>
        <v>122.58</v>
      </c>
      <c r="D1010" s="77">
        <f>297.941</f>
        <v>297.94099999999997</v>
      </c>
      <c r="E1010" s="86">
        <f>89.177</f>
        <v>89.177000000000007</v>
      </c>
      <c r="F1010" s="77">
        <f>240.302-40-60-100</f>
        <v>40.301999999999992</v>
      </c>
      <c r="G1010" s="80">
        <v>40</v>
      </c>
      <c r="H1010" s="77">
        <f>60+100</f>
        <v>160</v>
      </c>
      <c r="I1010" s="77">
        <f t="shared" si="158"/>
        <v>0</v>
      </c>
      <c r="J1010" s="80">
        <v>100</v>
      </c>
      <c r="K1010" s="80">
        <v>300</v>
      </c>
      <c r="L1010" s="77">
        <f t="shared" si="162"/>
        <v>1150</v>
      </c>
      <c r="M1010" s="88">
        <v>600</v>
      </c>
      <c r="N1010" s="77">
        <f>100</f>
        <v>100</v>
      </c>
      <c r="O1010" s="80">
        <v>240</v>
      </c>
      <c r="P1010" s="80">
        <v>40</v>
      </c>
      <c r="Q1010" s="80">
        <f t="shared" si="163"/>
        <v>315</v>
      </c>
      <c r="R1010" s="80">
        <f t="shared" si="164"/>
        <v>100</v>
      </c>
      <c r="S1010" s="77">
        <f t="shared" si="165"/>
        <v>695</v>
      </c>
      <c r="T1010" s="77">
        <f>50</f>
        <v>50</v>
      </c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</row>
    <row r="1011" spans="1:30" ht="15.75" x14ac:dyDescent="0.25">
      <c r="A1011" s="32">
        <v>71710</v>
      </c>
      <c r="B1011" s="89">
        <f t="shared" si="166"/>
        <v>30</v>
      </c>
      <c r="C1011" s="77">
        <f>141.293</f>
        <v>141.29300000000001</v>
      </c>
      <c r="D1011" s="77">
        <f>267.993</f>
        <v>267.99299999999999</v>
      </c>
      <c r="E1011" s="86">
        <f>115.016</f>
        <v>115.01600000000001</v>
      </c>
      <c r="F1011" s="77">
        <f>314.698-40-25-60-100</f>
        <v>89.697999999999979</v>
      </c>
      <c r="G1011" s="80">
        <v>40</v>
      </c>
      <c r="H1011" s="77">
        <f t="shared" ref="H1011:H1017" si="169">25+60+100</f>
        <v>185</v>
      </c>
      <c r="I1011" s="77">
        <f t="shared" si="158"/>
        <v>0</v>
      </c>
      <c r="J1011" s="80">
        <v>100</v>
      </c>
      <c r="K1011" s="80">
        <v>300</v>
      </c>
      <c r="L1011" s="77">
        <f t="shared" si="162"/>
        <v>1239</v>
      </c>
      <c r="M1011" s="88">
        <v>600</v>
      </c>
      <c r="N1011" s="77">
        <f>100</f>
        <v>100</v>
      </c>
      <c r="O1011" s="80">
        <v>240</v>
      </c>
      <c r="P1011" s="80">
        <v>40</v>
      </c>
      <c r="Q1011" s="80">
        <f t="shared" si="163"/>
        <v>315</v>
      </c>
      <c r="R1011" s="80">
        <f t="shared" si="164"/>
        <v>100</v>
      </c>
      <c r="S1011" s="77">
        <f t="shared" si="165"/>
        <v>695</v>
      </c>
      <c r="T1011" s="77">
        <f>50</f>
        <v>50</v>
      </c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</row>
    <row r="1012" spans="1:30" ht="15.75" x14ac:dyDescent="0.25">
      <c r="A1012" s="32">
        <v>71741</v>
      </c>
      <c r="B1012" s="89">
        <f t="shared" si="166"/>
        <v>31</v>
      </c>
      <c r="C1012" s="77">
        <f>194.205</f>
        <v>194.20500000000001</v>
      </c>
      <c r="D1012" s="77">
        <f>267.466</f>
        <v>267.46600000000001</v>
      </c>
      <c r="E1012" s="86">
        <f>133.845</f>
        <v>133.845</v>
      </c>
      <c r="F1012" s="77">
        <f>278.484-40-25-60-100</f>
        <v>53.48399999999998</v>
      </c>
      <c r="G1012" s="80">
        <v>40</v>
      </c>
      <c r="H1012" s="77">
        <f t="shared" si="169"/>
        <v>185</v>
      </c>
      <c r="I1012" s="77">
        <f t="shared" ref="I1012:I1067" si="170">400-J1012-K1012</f>
        <v>0</v>
      </c>
      <c r="J1012" s="80">
        <v>100</v>
      </c>
      <c r="K1012" s="80">
        <v>300</v>
      </c>
      <c r="L1012" s="77">
        <f t="shared" si="162"/>
        <v>1274</v>
      </c>
      <c r="M1012" s="88">
        <v>600</v>
      </c>
      <c r="N1012" s="77">
        <f>75</f>
        <v>75</v>
      </c>
      <c r="O1012" s="80">
        <v>240</v>
      </c>
      <c r="P1012" s="80">
        <v>40</v>
      </c>
      <c r="Q1012" s="80">
        <f t="shared" si="163"/>
        <v>315</v>
      </c>
      <c r="R1012" s="80">
        <f t="shared" si="164"/>
        <v>100</v>
      </c>
      <c r="S1012" s="77">
        <f t="shared" si="165"/>
        <v>695</v>
      </c>
      <c r="T1012" s="77">
        <f>50</f>
        <v>50</v>
      </c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</row>
    <row r="1013" spans="1:30" ht="15.75" x14ac:dyDescent="0.25">
      <c r="A1013" s="32">
        <v>71771</v>
      </c>
      <c r="B1013" s="89">
        <f t="shared" si="166"/>
        <v>30</v>
      </c>
      <c r="C1013" s="77">
        <f>194.205</f>
        <v>194.20500000000001</v>
      </c>
      <c r="D1013" s="77">
        <f>267.466</f>
        <v>267.46600000000001</v>
      </c>
      <c r="E1013" s="86">
        <f>133.845</f>
        <v>133.845</v>
      </c>
      <c r="F1013" s="77">
        <f>278.484-40-25-60-100</f>
        <v>53.48399999999998</v>
      </c>
      <c r="G1013" s="80">
        <v>40</v>
      </c>
      <c r="H1013" s="77">
        <f t="shared" si="169"/>
        <v>185</v>
      </c>
      <c r="I1013" s="77">
        <f t="shared" si="170"/>
        <v>0</v>
      </c>
      <c r="J1013" s="80">
        <v>100</v>
      </c>
      <c r="K1013" s="80">
        <v>300</v>
      </c>
      <c r="L1013" s="77">
        <f t="shared" si="162"/>
        <v>1274</v>
      </c>
      <c r="M1013" s="88">
        <v>600</v>
      </c>
      <c r="N1013" s="77">
        <f>30</f>
        <v>30</v>
      </c>
      <c r="O1013" s="80">
        <v>240</v>
      </c>
      <c r="P1013" s="80">
        <v>40</v>
      </c>
      <c r="Q1013" s="80">
        <f t="shared" si="163"/>
        <v>315</v>
      </c>
      <c r="R1013" s="80">
        <f t="shared" si="164"/>
        <v>100</v>
      </c>
      <c r="S1013" s="77">
        <f t="shared" si="165"/>
        <v>695</v>
      </c>
      <c r="T1013" s="77">
        <f>50</f>
        <v>50</v>
      </c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</row>
    <row r="1014" spans="1:30" ht="15.75" x14ac:dyDescent="0.25">
      <c r="A1014" s="32">
        <v>71802</v>
      </c>
      <c r="B1014" s="89">
        <f t="shared" si="166"/>
        <v>31</v>
      </c>
      <c r="C1014" s="77">
        <f>194.205</f>
        <v>194.20500000000001</v>
      </c>
      <c r="D1014" s="77">
        <f>267.466</f>
        <v>267.46600000000001</v>
      </c>
      <c r="E1014" s="86">
        <f>133.845</f>
        <v>133.845</v>
      </c>
      <c r="F1014" s="77">
        <f>278.484-40-25-60-100</f>
        <v>53.48399999999998</v>
      </c>
      <c r="G1014" s="80">
        <v>40</v>
      </c>
      <c r="H1014" s="77">
        <f t="shared" si="169"/>
        <v>185</v>
      </c>
      <c r="I1014" s="77">
        <f t="shared" si="170"/>
        <v>0</v>
      </c>
      <c r="J1014" s="80">
        <v>100</v>
      </c>
      <c r="K1014" s="80">
        <v>300</v>
      </c>
      <c r="L1014" s="77">
        <f t="shared" si="162"/>
        <v>1274</v>
      </c>
      <c r="M1014" s="88">
        <v>600</v>
      </c>
      <c r="N1014" s="77">
        <f>30</f>
        <v>30</v>
      </c>
      <c r="O1014" s="80">
        <v>240</v>
      </c>
      <c r="P1014" s="80">
        <v>40</v>
      </c>
      <c r="Q1014" s="80">
        <f t="shared" si="163"/>
        <v>315</v>
      </c>
      <c r="R1014" s="80">
        <f t="shared" si="164"/>
        <v>100</v>
      </c>
      <c r="S1014" s="77">
        <f t="shared" si="165"/>
        <v>695</v>
      </c>
      <c r="T1014" s="77">
        <f>0</f>
        <v>0</v>
      </c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</row>
    <row r="1015" spans="1:30" ht="15.75" x14ac:dyDescent="0.25">
      <c r="A1015" s="32">
        <v>71833</v>
      </c>
      <c r="B1015" s="89">
        <f t="shared" si="166"/>
        <v>31</v>
      </c>
      <c r="C1015" s="77">
        <f>194.205</f>
        <v>194.20500000000001</v>
      </c>
      <c r="D1015" s="77">
        <f>267.466</f>
        <v>267.46600000000001</v>
      </c>
      <c r="E1015" s="86">
        <f>133.845</f>
        <v>133.845</v>
      </c>
      <c r="F1015" s="77">
        <f>278.484-40-25-60-100</f>
        <v>53.48399999999998</v>
      </c>
      <c r="G1015" s="80">
        <v>40</v>
      </c>
      <c r="H1015" s="77">
        <f t="shared" si="169"/>
        <v>185</v>
      </c>
      <c r="I1015" s="77">
        <f t="shared" si="170"/>
        <v>0</v>
      </c>
      <c r="J1015" s="80">
        <v>100</v>
      </c>
      <c r="K1015" s="80">
        <v>300</v>
      </c>
      <c r="L1015" s="77">
        <f t="shared" si="162"/>
        <v>1274</v>
      </c>
      <c r="M1015" s="88">
        <v>600</v>
      </c>
      <c r="N1015" s="77">
        <f>30</f>
        <v>30</v>
      </c>
      <c r="O1015" s="80">
        <v>240</v>
      </c>
      <c r="P1015" s="80">
        <v>40</v>
      </c>
      <c r="Q1015" s="80">
        <f t="shared" si="163"/>
        <v>315</v>
      </c>
      <c r="R1015" s="80">
        <f t="shared" si="164"/>
        <v>100</v>
      </c>
      <c r="S1015" s="77">
        <f t="shared" si="165"/>
        <v>695</v>
      </c>
      <c r="T1015" s="77">
        <f>0</f>
        <v>0</v>
      </c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</row>
    <row r="1016" spans="1:30" ht="15.75" x14ac:dyDescent="0.25">
      <c r="A1016" s="32">
        <v>71863</v>
      </c>
      <c r="B1016" s="89">
        <f t="shared" si="166"/>
        <v>30</v>
      </c>
      <c r="C1016" s="77">
        <f>194.205</f>
        <v>194.20500000000001</v>
      </c>
      <c r="D1016" s="77">
        <f>267.466</f>
        <v>267.46600000000001</v>
      </c>
      <c r="E1016" s="86">
        <f>133.845</f>
        <v>133.845</v>
      </c>
      <c r="F1016" s="77">
        <f>278.484-40-25-60-100</f>
        <v>53.48399999999998</v>
      </c>
      <c r="G1016" s="80">
        <v>40</v>
      </c>
      <c r="H1016" s="77">
        <f t="shared" si="169"/>
        <v>185</v>
      </c>
      <c r="I1016" s="77">
        <f t="shared" si="170"/>
        <v>0</v>
      </c>
      <c r="J1016" s="80">
        <v>100</v>
      </c>
      <c r="K1016" s="80">
        <v>300</v>
      </c>
      <c r="L1016" s="77">
        <f t="shared" si="162"/>
        <v>1274</v>
      </c>
      <c r="M1016" s="88">
        <v>600</v>
      </c>
      <c r="N1016" s="77">
        <f>30</f>
        <v>30</v>
      </c>
      <c r="O1016" s="80">
        <v>240</v>
      </c>
      <c r="P1016" s="80">
        <v>40</v>
      </c>
      <c r="Q1016" s="80">
        <f t="shared" si="163"/>
        <v>315</v>
      </c>
      <c r="R1016" s="80">
        <f t="shared" si="164"/>
        <v>100</v>
      </c>
      <c r="S1016" s="77">
        <f t="shared" si="165"/>
        <v>695</v>
      </c>
      <c r="T1016" s="77">
        <f>0</f>
        <v>0</v>
      </c>
      <c r="U1016" s="78"/>
      <c r="V1016" s="78"/>
      <c r="W1016" s="78"/>
      <c r="X1016" s="78"/>
      <c r="Y1016" s="78"/>
      <c r="Z1016" s="78"/>
      <c r="AA1016" s="78"/>
      <c r="AB1016" s="78"/>
      <c r="AC1016" s="78"/>
      <c r="AD1016" s="78"/>
    </row>
    <row r="1017" spans="1:30" ht="15.75" x14ac:dyDescent="0.25">
      <c r="A1017" s="32">
        <v>71894</v>
      </c>
      <c r="B1017" s="89">
        <f t="shared" si="166"/>
        <v>31</v>
      </c>
      <c r="C1017" s="77">
        <f>131.881</f>
        <v>131.881</v>
      </c>
      <c r="D1017" s="77">
        <f>277.167</f>
        <v>277.16699999999997</v>
      </c>
      <c r="E1017" s="86">
        <f>79.08</f>
        <v>79.08</v>
      </c>
      <c r="F1017" s="77">
        <f>350.872-40-25-60-100</f>
        <v>125.87200000000001</v>
      </c>
      <c r="G1017" s="80">
        <v>40</v>
      </c>
      <c r="H1017" s="77">
        <f t="shared" si="169"/>
        <v>185</v>
      </c>
      <c r="I1017" s="77">
        <f t="shared" si="170"/>
        <v>0</v>
      </c>
      <c r="J1017" s="80">
        <v>100</v>
      </c>
      <c r="K1017" s="80">
        <v>300</v>
      </c>
      <c r="L1017" s="77">
        <f t="shared" si="162"/>
        <v>1239</v>
      </c>
      <c r="M1017" s="88">
        <v>600</v>
      </c>
      <c r="N1017" s="77">
        <f>75</f>
        <v>75</v>
      </c>
      <c r="O1017" s="80">
        <v>240</v>
      </c>
      <c r="P1017" s="80">
        <v>40</v>
      </c>
      <c r="Q1017" s="80">
        <f t="shared" si="163"/>
        <v>315</v>
      </c>
      <c r="R1017" s="80">
        <f t="shared" si="164"/>
        <v>100</v>
      </c>
      <c r="S1017" s="77">
        <f t="shared" si="165"/>
        <v>695</v>
      </c>
      <c r="T1017" s="77">
        <f>0</f>
        <v>0</v>
      </c>
      <c r="U1017" s="78"/>
      <c r="V1017" s="78"/>
      <c r="W1017" s="78"/>
      <c r="X1017" s="78"/>
      <c r="Y1017" s="78"/>
      <c r="Z1017" s="78"/>
      <c r="AA1017" s="78"/>
      <c r="AB1017" s="78"/>
      <c r="AC1017" s="78"/>
      <c r="AD1017" s="78"/>
    </row>
    <row r="1018" spans="1:30" ht="15.75" x14ac:dyDescent="0.25">
      <c r="A1018" s="32">
        <v>71924</v>
      </c>
      <c r="B1018" s="89">
        <f t="shared" si="166"/>
        <v>30</v>
      </c>
      <c r="C1018" s="77">
        <f>122.58</f>
        <v>122.58</v>
      </c>
      <c r="D1018" s="77">
        <f>297.941</f>
        <v>297.94099999999997</v>
      </c>
      <c r="E1018" s="86">
        <f>89.177</f>
        <v>89.177000000000007</v>
      </c>
      <c r="F1018" s="77">
        <f>240.302-40-60-100</f>
        <v>40.301999999999992</v>
      </c>
      <c r="G1018" s="80">
        <v>40</v>
      </c>
      <c r="H1018" s="77">
        <f>60+100</f>
        <v>160</v>
      </c>
      <c r="I1018" s="77">
        <f t="shared" si="170"/>
        <v>0</v>
      </c>
      <c r="J1018" s="80">
        <v>100</v>
      </c>
      <c r="K1018" s="80">
        <v>300</v>
      </c>
      <c r="L1018" s="77">
        <f t="shared" si="162"/>
        <v>1150</v>
      </c>
      <c r="M1018" s="88">
        <v>600</v>
      </c>
      <c r="N1018" s="77">
        <f>100</f>
        <v>100</v>
      </c>
      <c r="O1018" s="80">
        <v>240</v>
      </c>
      <c r="P1018" s="80">
        <v>40</v>
      </c>
      <c r="Q1018" s="80">
        <f t="shared" si="163"/>
        <v>315</v>
      </c>
      <c r="R1018" s="80">
        <f t="shared" si="164"/>
        <v>100</v>
      </c>
      <c r="S1018" s="77">
        <f t="shared" si="165"/>
        <v>695</v>
      </c>
      <c r="T1018" s="77">
        <f>50</f>
        <v>50</v>
      </c>
      <c r="U1018" s="78"/>
      <c r="V1018" s="78"/>
      <c r="W1018" s="78"/>
      <c r="X1018" s="78"/>
      <c r="Y1018" s="78"/>
      <c r="Z1018" s="78"/>
      <c r="AA1018" s="78"/>
      <c r="AB1018" s="78"/>
      <c r="AC1018" s="78"/>
      <c r="AD1018" s="78"/>
    </row>
    <row r="1019" spans="1:30" ht="15.75" x14ac:dyDescent="0.25">
      <c r="A1019" s="32">
        <v>71955</v>
      </c>
      <c r="B1019" s="89">
        <f t="shared" si="166"/>
        <v>31</v>
      </c>
      <c r="C1019" s="77">
        <f>122.58</f>
        <v>122.58</v>
      </c>
      <c r="D1019" s="77">
        <f>297.941</f>
        <v>297.94099999999997</v>
      </c>
      <c r="E1019" s="86">
        <f>89.177</f>
        <v>89.177000000000007</v>
      </c>
      <c r="F1019" s="77">
        <f>240.302-40-60-100</f>
        <v>40.301999999999992</v>
      </c>
      <c r="G1019" s="80">
        <v>40</v>
      </c>
      <c r="H1019" s="77">
        <f>60+100</f>
        <v>160</v>
      </c>
      <c r="I1019" s="77">
        <f t="shared" si="170"/>
        <v>0</v>
      </c>
      <c r="J1019" s="80">
        <v>100</v>
      </c>
      <c r="K1019" s="80">
        <v>300</v>
      </c>
      <c r="L1019" s="77">
        <f t="shared" si="162"/>
        <v>1150</v>
      </c>
      <c r="M1019" s="88">
        <v>600</v>
      </c>
      <c r="N1019" s="77">
        <f>100</f>
        <v>100</v>
      </c>
      <c r="O1019" s="80">
        <v>240</v>
      </c>
      <c r="P1019" s="80">
        <v>40</v>
      </c>
      <c r="Q1019" s="80">
        <f t="shared" si="163"/>
        <v>315</v>
      </c>
      <c r="R1019" s="80">
        <f t="shared" si="164"/>
        <v>100</v>
      </c>
      <c r="S1019" s="77">
        <f t="shared" si="165"/>
        <v>695</v>
      </c>
      <c r="T1019" s="77">
        <f>50</f>
        <v>50</v>
      </c>
      <c r="U1019" s="78"/>
      <c r="V1019" s="78"/>
      <c r="W1019" s="78"/>
      <c r="X1019" s="78"/>
      <c r="Y1019" s="78"/>
      <c r="Z1019" s="78"/>
      <c r="AA1019" s="78"/>
      <c r="AB1019" s="78"/>
      <c r="AC1019" s="78"/>
      <c r="AD1019" s="78"/>
    </row>
    <row r="1020" spans="1:30" ht="15.75" x14ac:dyDescent="0.25">
      <c r="A1020" s="32">
        <v>71986</v>
      </c>
      <c r="B1020" s="89">
        <f t="shared" si="166"/>
        <v>31</v>
      </c>
      <c r="C1020" s="77">
        <f>122.58</f>
        <v>122.58</v>
      </c>
      <c r="D1020" s="77">
        <f>297.941</f>
        <v>297.94099999999997</v>
      </c>
      <c r="E1020" s="86">
        <f>89.177</f>
        <v>89.177000000000007</v>
      </c>
      <c r="F1020" s="77">
        <f>240.302-40-60-100</f>
        <v>40.301999999999992</v>
      </c>
      <c r="G1020" s="80">
        <v>40</v>
      </c>
      <c r="H1020" s="77">
        <f>60+100</f>
        <v>160</v>
      </c>
      <c r="I1020" s="77">
        <f t="shared" si="170"/>
        <v>0</v>
      </c>
      <c r="J1020" s="80">
        <v>100</v>
      </c>
      <c r="K1020" s="80">
        <v>300</v>
      </c>
      <c r="L1020" s="77">
        <f t="shared" si="162"/>
        <v>1150</v>
      </c>
      <c r="M1020" s="88">
        <v>600</v>
      </c>
      <c r="N1020" s="77">
        <f>100</f>
        <v>100</v>
      </c>
      <c r="O1020" s="80">
        <v>240</v>
      </c>
      <c r="P1020" s="80">
        <v>40</v>
      </c>
      <c r="Q1020" s="80">
        <f t="shared" si="163"/>
        <v>315</v>
      </c>
      <c r="R1020" s="80">
        <f t="shared" si="164"/>
        <v>100</v>
      </c>
      <c r="S1020" s="77">
        <f t="shared" si="165"/>
        <v>695</v>
      </c>
      <c r="T1020" s="77">
        <f>50</f>
        <v>50</v>
      </c>
      <c r="U1020" s="78"/>
      <c r="V1020" s="78"/>
      <c r="W1020" s="78"/>
      <c r="X1020" s="78"/>
      <c r="Y1020" s="78"/>
      <c r="Z1020" s="78"/>
      <c r="AA1020" s="78"/>
      <c r="AB1020" s="78"/>
      <c r="AC1020" s="78"/>
      <c r="AD1020" s="78"/>
    </row>
    <row r="1021" spans="1:30" ht="15.75" x14ac:dyDescent="0.25">
      <c r="A1021" s="32">
        <v>72014</v>
      </c>
      <c r="B1021" s="89">
        <f t="shared" si="166"/>
        <v>28</v>
      </c>
      <c r="C1021" s="77">
        <f>122.58</f>
        <v>122.58</v>
      </c>
      <c r="D1021" s="77">
        <f>297.941</f>
        <v>297.94099999999997</v>
      </c>
      <c r="E1021" s="86">
        <f>89.177</f>
        <v>89.177000000000007</v>
      </c>
      <c r="F1021" s="77">
        <f>240.302-40-60-100</f>
        <v>40.301999999999992</v>
      </c>
      <c r="G1021" s="80">
        <v>40</v>
      </c>
      <c r="H1021" s="77">
        <f>60+100</f>
        <v>160</v>
      </c>
      <c r="I1021" s="77">
        <f t="shared" si="170"/>
        <v>0</v>
      </c>
      <c r="J1021" s="80">
        <v>100</v>
      </c>
      <c r="K1021" s="80">
        <v>300</v>
      </c>
      <c r="L1021" s="77">
        <f t="shared" si="162"/>
        <v>1150</v>
      </c>
      <c r="M1021" s="88">
        <v>600</v>
      </c>
      <c r="N1021" s="77">
        <f>100</f>
        <v>100</v>
      </c>
      <c r="O1021" s="80">
        <v>240</v>
      </c>
      <c r="P1021" s="80">
        <v>40</v>
      </c>
      <c r="Q1021" s="80">
        <f t="shared" si="163"/>
        <v>315</v>
      </c>
      <c r="R1021" s="80">
        <f t="shared" si="164"/>
        <v>100</v>
      </c>
      <c r="S1021" s="77">
        <f t="shared" si="165"/>
        <v>695</v>
      </c>
      <c r="T1021" s="77">
        <f>50</f>
        <v>50</v>
      </c>
      <c r="U1021" s="78"/>
      <c r="V1021" s="78"/>
      <c r="W1021" s="78"/>
      <c r="X1021" s="78"/>
      <c r="Y1021" s="78"/>
      <c r="Z1021" s="78"/>
      <c r="AA1021" s="78"/>
      <c r="AB1021" s="78"/>
      <c r="AC1021" s="78"/>
      <c r="AD1021" s="78"/>
    </row>
    <row r="1022" spans="1:30" ht="15.75" x14ac:dyDescent="0.25">
      <c r="A1022" s="32">
        <v>72045</v>
      </c>
      <c r="B1022" s="89">
        <f t="shared" si="166"/>
        <v>31</v>
      </c>
      <c r="C1022" s="77">
        <f>122.58</f>
        <v>122.58</v>
      </c>
      <c r="D1022" s="77">
        <f>297.941</f>
        <v>297.94099999999997</v>
      </c>
      <c r="E1022" s="86">
        <f>89.177</f>
        <v>89.177000000000007</v>
      </c>
      <c r="F1022" s="77">
        <f>240.302-40-60-100</f>
        <v>40.301999999999992</v>
      </c>
      <c r="G1022" s="80">
        <v>40</v>
      </c>
      <c r="H1022" s="77">
        <f>60+100</f>
        <v>160</v>
      </c>
      <c r="I1022" s="77">
        <f t="shared" si="170"/>
        <v>0</v>
      </c>
      <c r="J1022" s="80">
        <v>100</v>
      </c>
      <c r="K1022" s="80">
        <v>300</v>
      </c>
      <c r="L1022" s="77">
        <f t="shared" si="162"/>
        <v>1150</v>
      </c>
      <c r="M1022" s="88">
        <v>600</v>
      </c>
      <c r="N1022" s="77">
        <f>100</f>
        <v>100</v>
      </c>
      <c r="O1022" s="80">
        <v>240</v>
      </c>
      <c r="P1022" s="80">
        <v>40</v>
      </c>
      <c r="Q1022" s="80">
        <f t="shared" si="163"/>
        <v>315</v>
      </c>
      <c r="R1022" s="80">
        <f t="shared" si="164"/>
        <v>100</v>
      </c>
      <c r="S1022" s="77">
        <f t="shared" si="165"/>
        <v>695</v>
      </c>
      <c r="T1022" s="77">
        <f>50</f>
        <v>50</v>
      </c>
      <c r="U1022" s="78"/>
      <c r="V1022" s="78"/>
      <c r="W1022" s="78"/>
      <c r="X1022" s="78"/>
      <c r="Y1022" s="78"/>
      <c r="Z1022" s="78"/>
      <c r="AA1022" s="78"/>
      <c r="AB1022" s="78"/>
      <c r="AC1022" s="78"/>
      <c r="AD1022" s="78"/>
    </row>
    <row r="1023" spans="1:30" ht="15.75" x14ac:dyDescent="0.25">
      <c r="A1023" s="32">
        <v>72075</v>
      </c>
      <c r="B1023" s="89">
        <f t="shared" si="166"/>
        <v>30</v>
      </c>
      <c r="C1023" s="77">
        <f>141.293</f>
        <v>141.29300000000001</v>
      </c>
      <c r="D1023" s="77">
        <f>267.993</f>
        <v>267.99299999999999</v>
      </c>
      <c r="E1023" s="86">
        <f>115.016</f>
        <v>115.01600000000001</v>
      </c>
      <c r="F1023" s="77">
        <f>314.698-40-25-60-100</f>
        <v>89.697999999999979</v>
      </c>
      <c r="G1023" s="80">
        <v>40</v>
      </c>
      <c r="H1023" s="77">
        <f t="shared" ref="H1023:H1029" si="171">25+60+100</f>
        <v>185</v>
      </c>
      <c r="I1023" s="77">
        <f t="shared" si="170"/>
        <v>0</v>
      </c>
      <c r="J1023" s="80">
        <v>100</v>
      </c>
      <c r="K1023" s="80">
        <v>300</v>
      </c>
      <c r="L1023" s="77">
        <f t="shared" si="162"/>
        <v>1239</v>
      </c>
      <c r="M1023" s="88">
        <v>600</v>
      </c>
      <c r="N1023" s="77">
        <f>100</f>
        <v>100</v>
      </c>
      <c r="O1023" s="80">
        <v>240</v>
      </c>
      <c r="P1023" s="80">
        <v>40</v>
      </c>
      <c r="Q1023" s="80">
        <f t="shared" si="163"/>
        <v>315</v>
      </c>
      <c r="R1023" s="80">
        <f t="shared" si="164"/>
        <v>100</v>
      </c>
      <c r="S1023" s="77">
        <f t="shared" si="165"/>
        <v>695</v>
      </c>
      <c r="T1023" s="77">
        <f>50</f>
        <v>50</v>
      </c>
      <c r="U1023" s="78"/>
      <c r="V1023" s="78"/>
      <c r="W1023" s="78"/>
      <c r="X1023" s="78"/>
      <c r="Y1023" s="78"/>
      <c r="Z1023" s="78"/>
      <c r="AA1023" s="78"/>
      <c r="AB1023" s="78"/>
      <c r="AC1023" s="78"/>
      <c r="AD1023" s="78"/>
    </row>
    <row r="1024" spans="1:30" ht="15.75" x14ac:dyDescent="0.25">
      <c r="A1024" s="32">
        <v>72106</v>
      </c>
      <c r="B1024" s="89">
        <f t="shared" si="166"/>
        <v>31</v>
      </c>
      <c r="C1024" s="77">
        <f>194.205</f>
        <v>194.20500000000001</v>
      </c>
      <c r="D1024" s="77">
        <f>267.466</f>
        <v>267.46600000000001</v>
      </c>
      <c r="E1024" s="86">
        <f>133.845</f>
        <v>133.845</v>
      </c>
      <c r="F1024" s="77">
        <f>278.484-40-25-60-100</f>
        <v>53.48399999999998</v>
      </c>
      <c r="G1024" s="80">
        <v>40</v>
      </c>
      <c r="H1024" s="77">
        <f t="shared" si="171"/>
        <v>185</v>
      </c>
      <c r="I1024" s="77">
        <f t="shared" si="170"/>
        <v>0</v>
      </c>
      <c r="J1024" s="80">
        <v>100</v>
      </c>
      <c r="K1024" s="80">
        <v>300</v>
      </c>
      <c r="L1024" s="77">
        <f t="shared" si="162"/>
        <v>1274</v>
      </c>
      <c r="M1024" s="88">
        <v>600</v>
      </c>
      <c r="N1024" s="77">
        <f>75</f>
        <v>75</v>
      </c>
      <c r="O1024" s="80">
        <v>240</v>
      </c>
      <c r="P1024" s="80">
        <v>40</v>
      </c>
      <c r="Q1024" s="80">
        <f t="shared" si="163"/>
        <v>315</v>
      </c>
      <c r="R1024" s="80">
        <f t="shared" si="164"/>
        <v>100</v>
      </c>
      <c r="S1024" s="77">
        <f t="shared" si="165"/>
        <v>695</v>
      </c>
      <c r="T1024" s="77">
        <f>50</f>
        <v>50</v>
      </c>
      <c r="U1024" s="78"/>
      <c r="V1024" s="78"/>
      <c r="W1024" s="78"/>
      <c r="X1024" s="78"/>
      <c r="Y1024" s="78"/>
      <c r="Z1024" s="78"/>
      <c r="AA1024" s="78"/>
      <c r="AB1024" s="78"/>
      <c r="AC1024" s="78"/>
      <c r="AD1024" s="78"/>
    </row>
    <row r="1025" spans="1:30" ht="15.75" x14ac:dyDescent="0.25">
      <c r="A1025" s="32">
        <v>72136</v>
      </c>
      <c r="B1025" s="89">
        <f t="shared" si="166"/>
        <v>30</v>
      </c>
      <c r="C1025" s="77">
        <f>194.205</f>
        <v>194.20500000000001</v>
      </c>
      <c r="D1025" s="77">
        <f>267.466</f>
        <v>267.46600000000001</v>
      </c>
      <c r="E1025" s="86">
        <f>133.845</f>
        <v>133.845</v>
      </c>
      <c r="F1025" s="77">
        <f>278.484-40-25-60-100</f>
        <v>53.48399999999998</v>
      </c>
      <c r="G1025" s="80">
        <v>40</v>
      </c>
      <c r="H1025" s="77">
        <f t="shared" si="171"/>
        <v>185</v>
      </c>
      <c r="I1025" s="77">
        <f t="shared" si="170"/>
        <v>0</v>
      </c>
      <c r="J1025" s="80">
        <v>100</v>
      </c>
      <c r="K1025" s="80">
        <v>300</v>
      </c>
      <c r="L1025" s="77">
        <f t="shared" si="162"/>
        <v>1274</v>
      </c>
      <c r="M1025" s="88">
        <v>600</v>
      </c>
      <c r="N1025" s="77">
        <f>30</f>
        <v>30</v>
      </c>
      <c r="O1025" s="80">
        <v>240</v>
      </c>
      <c r="P1025" s="80">
        <v>40</v>
      </c>
      <c r="Q1025" s="80">
        <f t="shared" si="163"/>
        <v>315</v>
      </c>
      <c r="R1025" s="80">
        <f t="shared" si="164"/>
        <v>100</v>
      </c>
      <c r="S1025" s="77">
        <f t="shared" si="165"/>
        <v>695</v>
      </c>
      <c r="T1025" s="77">
        <f>50</f>
        <v>50</v>
      </c>
      <c r="U1025" s="78"/>
      <c r="V1025" s="78"/>
      <c r="W1025" s="78"/>
      <c r="X1025" s="78"/>
      <c r="Y1025" s="78"/>
      <c r="Z1025" s="78"/>
      <c r="AA1025" s="78"/>
      <c r="AB1025" s="78"/>
      <c r="AC1025" s="78"/>
      <c r="AD1025" s="78"/>
    </row>
    <row r="1026" spans="1:30" ht="15.75" x14ac:dyDescent="0.25">
      <c r="A1026" s="32">
        <v>72167</v>
      </c>
      <c r="B1026" s="89">
        <f t="shared" si="166"/>
        <v>31</v>
      </c>
      <c r="C1026" s="77">
        <f>194.205</f>
        <v>194.20500000000001</v>
      </c>
      <c r="D1026" s="77">
        <f>267.466</f>
        <v>267.46600000000001</v>
      </c>
      <c r="E1026" s="86">
        <f>133.845</f>
        <v>133.845</v>
      </c>
      <c r="F1026" s="77">
        <f>278.484-40-25-60-100</f>
        <v>53.48399999999998</v>
      </c>
      <c r="G1026" s="80">
        <v>40</v>
      </c>
      <c r="H1026" s="77">
        <f t="shared" si="171"/>
        <v>185</v>
      </c>
      <c r="I1026" s="77">
        <f t="shared" si="170"/>
        <v>0</v>
      </c>
      <c r="J1026" s="80">
        <v>100</v>
      </c>
      <c r="K1026" s="80">
        <v>300</v>
      </c>
      <c r="L1026" s="77">
        <f t="shared" si="162"/>
        <v>1274</v>
      </c>
      <c r="M1026" s="88">
        <v>600</v>
      </c>
      <c r="N1026" s="77">
        <f>30</f>
        <v>30</v>
      </c>
      <c r="O1026" s="80">
        <v>240</v>
      </c>
      <c r="P1026" s="80">
        <v>40</v>
      </c>
      <c r="Q1026" s="80">
        <f t="shared" si="163"/>
        <v>315</v>
      </c>
      <c r="R1026" s="80">
        <f t="shared" si="164"/>
        <v>100</v>
      </c>
      <c r="S1026" s="77">
        <f t="shared" si="165"/>
        <v>695</v>
      </c>
      <c r="T1026" s="77">
        <f>0</f>
        <v>0</v>
      </c>
      <c r="U1026" s="78"/>
      <c r="V1026" s="78"/>
      <c r="W1026" s="78"/>
      <c r="X1026" s="78"/>
      <c r="Y1026" s="78"/>
      <c r="Z1026" s="78"/>
      <c r="AA1026" s="78"/>
      <c r="AB1026" s="78"/>
      <c r="AC1026" s="78"/>
      <c r="AD1026" s="78"/>
    </row>
    <row r="1027" spans="1:30" ht="15.75" x14ac:dyDescent="0.25">
      <c r="A1027" s="32">
        <v>72198</v>
      </c>
      <c r="B1027" s="89">
        <f t="shared" si="166"/>
        <v>31</v>
      </c>
      <c r="C1027" s="77">
        <f>194.205</f>
        <v>194.20500000000001</v>
      </c>
      <c r="D1027" s="77">
        <f>267.466</f>
        <v>267.46600000000001</v>
      </c>
      <c r="E1027" s="86">
        <f>133.845</f>
        <v>133.845</v>
      </c>
      <c r="F1027" s="77">
        <f>278.484-40-25-60-100</f>
        <v>53.48399999999998</v>
      </c>
      <c r="G1027" s="80">
        <v>40</v>
      </c>
      <c r="H1027" s="77">
        <f t="shared" si="171"/>
        <v>185</v>
      </c>
      <c r="I1027" s="77">
        <f t="shared" si="170"/>
        <v>0</v>
      </c>
      <c r="J1027" s="80">
        <v>100</v>
      </c>
      <c r="K1027" s="80">
        <v>300</v>
      </c>
      <c r="L1027" s="77">
        <f t="shared" si="162"/>
        <v>1274</v>
      </c>
      <c r="M1027" s="88">
        <v>600</v>
      </c>
      <c r="N1027" s="77">
        <f>30</f>
        <v>30</v>
      </c>
      <c r="O1027" s="80">
        <v>240</v>
      </c>
      <c r="P1027" s="80">
        <v>40</v>
      </c>
      <c r="Q1027" s="80">
        <f t="shared" si="163"/>
        <v>315</v>
      </c>
      <c r="R1027" s="80">
        <f t="shared" si="164"/>
        <v>100</v>
      </c>
      <c r="S1027" s="77">
        <f t="shared" si="165"/>
        <v>695</v>
      </c>
      <c r="T1027" s="77">
        <f>0</f>
        <v>0</v>
      </c>
      <c r="U1027" s="78"/>
      <c r="V1027" s="78"/>
      <c r="W1027" s="78"/>
      <c r="X1027" s="78"/>
      <c r="Y1027" s="78"/>
      <c r="Z1027" s="78"/>
      <c r="AA1027" s="78"/>
      <c r="AB1027" s="78"/>
      <c r="AC1027" s="78"/>
      <c r="AD1027" s="78"/>
    </row>
    <row r="1028" spans="1:30" ht="15.75" x14ac:dyDescent="0.25">
      <c r="A1028" s="32">
        <v>72228</v>
      </c>
      <c r="B1028" s="89">
        <f t="shared" si="166"/>
        <v>30</v>
      </c>
      <c r="C1028" s="77">
        <f>194.205</f>
        <v>194.20500000000001</v>
      </c>
      <c r="D1028" s="77">
        <f>267.466</f>
        <v>267.46600000000001</v>
      </c>
      <c r="E1028" s="86">
        <f>133.845</f>
        <v>133.845</v>
      </c>
      <c r="F1028" s="77">
        <f>278.484-40-25-60-100</f>
        <v>53.48399999999998</v>
      </c>
      <c r="G1028" s="80">
        <v>40</v>
      </c>
      <c r="H1028" s="77">
        <f t="shared" si="171"/>
        <v>185</v>
      </c>
      <c r="I1028" s="77">
        <f t="shared" si="170"/>
        <v>0</v>
      </c>
      <c r="J1028" s="80">
        <v>100</v>
      </c>
      <c r="K1028" s="80">
        <v>300</v>
      </c>
      <c r="L1028" s="77">
        <f t="shared" si="162"/>
        <v>1274</v>
      </c>
      <c r="M1028" s="88">
        <v>600</v>
      </c>
      <c r="N1028" s="77">
        <f>30</f>
        <v>30</v>
      </c>
      <c r="O1028" s="80">
        <v>240</v>
      </c>
      <c r="P1028" s="80">
        <v>40</v>
      </c>
      <c r="Q1028" s="80">
        <f t="shared" si="163"/>
        <v>315</v>
      </c>
      <c r="R1028" s="80">
        <f t="shared" si="164"/>
        <v>100</v>
      </c>
      <c r="S1028" s="77">
        <f t="shared" si="165"/>
        <v>695</v>
      </c>
      <c r="T1028" s="77">
        <f>0</f>
        <v>0</v>
      </c>
      <c r="U1028" s="78"/>
      <c r="V1028" s="78"/>
      <c r="W1028" s="78"/>
      <c r="X1028" s="78"/>
      <c r="Y1028" s="78"/>
      <c r="Z1028" s="78"/>
      <c r="AA1028" s="78"/>
      <c r="AB1028" s="78"/>
      <c r="AC1028" s="78"/>
      <c r="AD1028" s="78"/>
    </row>
    <row r="1029" spans="1:30" ht="15.75" x14ac:dyDescent="0.25">
      <c r="A1029" s="32">
        <v>72259</v>
      </c>
      <c r="B1029" s="89">
        <f t="shared" si="166"/>
        <v>31</v>
      </c>
      <c r="C1029" s="77">
        <f>131.881</f>
        <v>131.881</v>
      </c>
      <c r="D1029" s="77">
        <f>277.167</f>
        <v>277.16699999999997</v>
      </c>
      <c r="E1029" s="86">
        <f>79.08</f>
        <v>79.08</v>
      </c>
      <c r="F1029" s="77">
        <f>350.872-40-25-60-100</f>
        <v>125.87200000000001</v>
      </c>
      <c r="G1029" s="80">
        <v>40</v>
      </c>
      <c r="H1029" s="77">
        <f t="shared" si="171"/>
        <v>185</v>
      </c>
      <c r="I1029" s="77">
        <f t="shared" si="170"/>
        <v>0</v>
      </c>
      <c r="J1029" s="80">
        <v>100</v>
      </c>
      <c r="K1029" s="80">
        <v>300</v>
      </c>
      <c r="L1029" s="77">
        <f t="shared" si="162"/>
        <v>1239</v>
      </c>
      <c r="M1029" s="88">
        <v>600</v>
      </c>
      <c r="N1029" s="77">
        <f>75</f>
        <v>75</v>
      </c>
      <c r="O1029" s="80">
        <v>240</v>
      </c>
      <c r="P1029" s="80">
        <v>40</v>
      </c>
      <c r="Q1029" s="80">
        <f t="shared" si="163"/>
        <v>315</v>
      </c>
      <c r="R1029" s="80">
        <f t="shared" si="164"/>
        <v>100</v>
      </c>
      <c r="S1029" s="77">
        <f t="shared" si="165"/>
        <v>695</v>
      </c>
      <c r="T1029" s="77">
        <f>0</f>
        <v>0</v>
      </c>
      <c r="U1029" s="78"/>
      <c r="V1029" s="78"/>
      <c r="W1029" s="78"/>
      <c r="X1029" s="78"/>
      <c r="Y1029" s="78"/>
      <c r="Z1029" s="78"/>
      <c r="AA1029" s="78"/>
      <c r="AB1029" s="78"/>
      <c r="AC1029" s="78"/>
      <c r="AD1029" s="78"/>
    </row>
    <row r="1030" spans="1:30" ht="15.75" x14ac:dyDescent="0.25">
      <c r="A1030" s="32">
        <v>72289</v>
      </c>
      <c r="B1030" s="89">
        <f t="shared" si="166"/>
        <v>30</v>
      </c>
      <c r="C1030" s="77">
        <f>122.58</f>
        <v>122.58</v>
      </c>
      <c r="D1030" s="77">
        <f>297.941</f>
        <v>297.94099999999997</v>
      </c>
      <c r="E1030" s="86">
        <f>89.177</f>
        <v>89.177000000000007</v>
      </c>
      <c r="F1030" s="77">
        <f>240.302-40-60-100</f>
        <v>40.301999999999992</v>
      </c>
      <c r="G1030" s="80">
        <v>40</v>
      </c>
      <c r="H1030" s="77">
        <f>60+100</f>
        <v>160</v>
      </c>
      <c r="I1030" s="77">
        <f t="shared" si="170"/>
        <v>0</v>
      </c>
      <c r="J1030" s="80">
        <v>100</v>
      </c>
      <c r="K1030" s="80">
        <v>300</v>
      </c>
      <c r="L1030" s="77">
        <f t="shared" si="162"/>
        <v>1150</v>
      </c>
      <c r="M1030" s="88">
        <v>600</v>
      </c>
      <c r="N1030" s="77">
        <f>100</f>
        <v>100</v>
      </c>
      <c r="O1030" s="80">
        <v>240</v>
      </c>
      <c r="P1030" s="80">
        <v>40</v>
      </c>
      <c r="Q1030" s="80">
        <f t="shared" si="163"/>
        <v>315</v>
      </c>
      <c r="R1030" s="80">
        <f t="shared" si="164"/>
        <v>100</v>
      </c>
      <c r="S1030" s="77">
        <f t="shared" si="165"/>
        <v>695</v>
      </c>
      <c r="T1030" s="77">
        <f>50</f>
        <v>50</v>
      </c>
      <c r="U1030" s="78"/>
      <c r="V1030" s="78"/>
      <c r="W1030" s="78"/>
      <c r="X1030" s="78"/>
      <c r="Y1030" s="78"/>
      <c r="Z1030" s="78"/>
      <c r="AA1030" s="78"/>
      <c r="AB1030" s="78"/>
      <c r="AC1030" s="78"/>
      <c r="AD1030" s="78"/>
    </row>
    <row r="1031" spans="1:30" ht="15.75" x14ac:dyDescent="0.25">
      <c r="A1031" s="32">
        <v>72320</v>
      </c>
      <c r="B1031" s="89">
        <f t="shared" si="166"/>
        <v>31</v>
      </c>
      <c r="C1031" s="77">
        <f>122.58</f>
        <v>122.58</v>
      </c>
      <c r="D1031" s="77">
        <f>297.941</f>
        <v>297.94099999999997</v>
      </c>
      <c r="E1031" s="86">
        <f>89.177</f>
        <v>89.177000000000007</v>
      </c>
      <c r="F1031" s="77">
        <f>240.302-40-60-100</f>
        <v>40.301999999999992</v>
      </c>
      <c r="G1031" s="80">
        <v>40</v>
      </c>
      <c r="H1031" s="77">
        <f>60+100</f>
        <v>160</v>
      </c>
      <c r="I1031" s="77">
        <f t="shared" si="170"/>
        <v>0</v>
      </c>
      <c r="J1031" s="80">
        <v>100</v>
      </c>
      <c r="K1031" s="80">
        <v>300</v>
      </c>
      <c r="L1031" s="77">
        <f t="shared" si="162"/>
        <v>1150</v>
      </c>
      <c r="M1031" s="88">
        <v>600</v>
      </c>
      <c r="N1031" s="77">
        <f>100</f>
        <v>100</v>
      </c>
      <c r="O1031" s="80">
        <v>240</v>
      </c>
      <c r="P1031" s="80">
        <v>40</v>
      </c>
      <c r="Q1031" s="80">
        <f t="shared" si="163"/>
        <v>315</v>
      </c>
      <c r="R1031" s="80">
        <f t="shared" si="164"/>
        <v>100</v>
      </c>
      <c r="S1031" s="77">
        <f t="shared" si="165"/>
        <v>695</v>
      </c>
      <c r="T1031" s="77">
        <f>50</f>
        <v>50</v>
      </c>
      <c r="U1031" s="78"/>
      <c r="V1031" s="78"/>
      <c r="W1031" s="78"/>
      <c r="X1031" s="78"/>
      <c r="Y1031" s="78"/>
      <c r="Z1031" s="78"/>
      <c r="AA1031" s="78"/>
      <c r="AB1031" s="78"/>
      <c r="AC1031" s="78"/>
      <c r="AD1031" s="78"/>
    </row>
    <row r="1032" spans="1:30" ht="15.75" x14ac:dyDescent="0.25">
      <c r="A1032" s="32">
        <v>72351</v>
      </c>
      <c r="B1032" s="89">
        <f t="shared" si="166"/>
        <v>31</v>
      </c>
      <c r="C1032" s="77">
        <f>122.58</f>
        <v>122.58</v>
      </c>
      <c r="D1032" s="77">
        <f>297.941</f>
        <v>297.94099999999997</v>
      </c>
      <c r="E1032" s="86">
        <f>89.177</f>
        <v>89.177000000000007</v>
      </c>
      <c r="F1032" s="77">
        <f>240.302-40-60-100</f>
        <v>40.301999999999992</v>
      </c>
      <c r="G1032" s="80">
        <v>40</v>
      </c>
      <c r="H1032" s="77">
        <f>60+100</f>
        <v>160</v>
      </c>
      <c r="I1032" s="77">
        <f t="shared" si="170"/>
        <v>0</v>
      </c>
      <c r="J1032" s="80">
        <v>100</v>
      </c>
      <c r="K1032" s="80">
        <v>300</v>
      </c>
      <c r="L1032" s="77">
        <f t="shared" si="162"/>
        <v>1150</v>
      </c>
      <c r="M1032" s="88">
        <v>600</v>
      </c>
      <c r="N1032" s="77">
        <f>100</f>
        <v>100</v>
      </c>
      <c r="O1032" s="80">
        <v>240</v>
      </c>
      <c r="P1032" s="80">
        <v>40</v>
      </c>
      <c r="Q1032" s="80">
        <f t="shared" si="163"/>
        <v>315</v>
      </c>
      <c r="R1032" s="80">
        <f t="shared" si="164"/>
        <v>100</v>
      </c>
      <c r="S1032" s="77">
        <f t="shared" si="165"/>
        <v>695</v>
      </c>
      <c r="T1032" s="77">
        <f>50</f>
        <v>50</v>
      </c>
      <c r="U1032" s="78"/>
      <c r="V1032" s="78"/>
      <c r="W1032" s="78"/>
      <c r="X1032" s="78"/>
      <c r="Y1032" s="78"/>
      <c r="Z1032" s="78"/>
      <c r="AA1032" s="78"/>
      <c r="AB1032" s="78"/>
      <c r="AC1032" s="78"/>
      <c r="AD1032" s="78"/>
    </row>
    <row r="1033" spans="1:30" ht="15.75" x14ac:dyDescent="0.25">
      <c r="A1033" s="32">
        <v>72379</v>
      </c>
      <c r="B1033" s="89">
        <f t="shared" si="166"/>
        <v>28</v>
      </c>
      <c r="C1033" s="77">
        <f>122.58</f>
        <v>122.58</v>
      </c>
      <c r="D1033" s="77">
        <f>297.941</f>
        <v>297.94099999999997</v>
      </c>
      <c r="E1033" s="86">
        <f>89.177</f>
        <v>89.177000000000007</v>
      </c>
      <c r="F1033" s="77">
        <f>240.302-40-60-100</f>
        <v>40.301999999999992</v>
      </c>
      <c r="G1033" s="80">
        <v>40</v>
      </c>
      <c r="H1033" s="77">
        <f>60+100</f>
        <v>160</v>
      </c>
      <c r="I1033" s="77">
        <f t="shared" si="170"/>
        <v>0</v>
      </c>
      <c r="J1033" s="80">
        <v>100</v>
      </c>
      <c r="K1033" s="80">
        <v>300</v>
      </c>
      <c r="L1033" s="77">
        <f t="shared" si="162"/>
        <v>1150</v>
      </c>
      <c r="M1033" s="88">
        <v>600</v>
      </c>
      <c r="N1033" s="77">
        <f>100</f>
        <v>100</v>
      </c>
      <c r="O1033" s="80">
        <v>240</v>
      </c>
      <c r="P1033" s="80">
        <v>40</v>
      </c>
      <c r="Q1033" s="80">
        <f t="shared" si="163"/>
        <v>315</v>
      </c>
      <c r="R1033" s="80">
        <f t="shared" si="164"/>
        <v>100</v>
      </c>
      <c r="S1033" s="77">
        <f t="shared" si="165"/>
        <v>695</v>
      </c>
      <c r="T1033" s="77">
        <f>50</f>
        <v>50</v>
      </c>
      <c r="U1033" s="78"/>
      <c r="V1033" s="78"/>
      <c r="W1033" s="78"/>
      <c r="X1033" s="78"/>
      <c r="Y1033" s="78"/>
      <c r="Z1033" s="78"/>
      <c r="AA1033" s="78"/>
      <c r="AB1033" s="78"/>
      <c r="AC1033" s="78"/>
      <c r="AD1033" s="78"/>
    </row>
    <row r="1034" spans="1:30" ht="15.75" x14ac:dyDescent="0.25">
      <c r="A1034" s="32">
        <v>72410</v>
      </c>
      <c r="B1034" s="89">
        <f t="shared" si="166"/>
        <v>31</v>
      </c>
      <c r="C1034" s="77">
        <f>122.58</f>
        <v>122.58</v>
      </c>
      <c r="D1034" s="77">
        <f>297.941</f>
        <v>297.94099999999997</v>
      </c>
      <c r="E1034" s="86">
        <f>89.177</f>
        <v>89.177000000000007</v>
      </c>
      <c r="F1034" s="77">
        <f>240.302-40-60-100</f>
        <v>40.301999999999992</v>
      </c>
      <c r="G1034" s="80">
        <v>40</v>
      </c>
      <c r="H1034" s="77">
        <f>60+100</f>
        <v>160</v>
      </c>
      <c r="I1034" s="77">
        <f t="shared" si="170"/>
        <v>0</v>
      </c>
      <c r="J1034" s="80">
        <v>100</v>
      </c>
      <c r="K1034" s="80">
        <v>300</v>
      </c>
      <c r="L1034" s="77">
        <f t="shared" si="162"/>
        <v>1150</v>
      </c>
      <c r="M1034" s="88">
        <v>600</v>
      </c>
      <c r="N1034" s="77">
        <f>100</f>
        <v>100</v>
      </c>
      <c r="O1034" s="80">
        <v>240</v>
      </c>
      <c r="P1034" s="80">
        <v>40</v>
      </c>
      <c r="Q1034" s="80">
        <f t="shared" si="163"/>
        <v>315</v>
      </c>
      <c r="R1034" s="80">
        <f t="shared" si="164"/>
        <v>100</v>
      </c>
      <c r="S1034" s="77">
        <f t="shared" si="165"/>
        <v>695</v>
      </c>
      <c r="T1034" s="77">
        <f>50</f>
        <v>50</v>
      </c>
      <c r="U1034" s="78"/>
      <c r="V1034" s="78"/>
      <c r="W1034" s="78"/>
      <c r="X1034" s="78"/>
      <c r="Y1034" s="78"/>
      <c r="Z1034" s="78"/>
      <c r="AA1034" s="78"/>
      <c r="AB1034" s="78"/>
      <c r="AC1034" s="78"/>
      <c r="AD1034" s="78"/>
    </row>
    <row r="1035" spans="1:30" ht="15.75" x14ac:dyDescent="0.25">
      <c r="A1035" s="32">
        <v>72440</v>
      </c>
      <c r="B1035" s="89">
        <f t="shared" si="166"/>
        <v>30</v>
      </c>
      <c r="C1035" s="77">
        <f>141.293</f>
        <v>141.29300000000001</v>
      </c>
      <c r="D1035" s="77">
        <f>267.993</f>
        <v>267.99299999999999</v>
      </c>
      <c r="E1035" s="86">
        <f>115.016</f>
        <v>115.01600000000001</v>
      </c>
      <c r="F1035" s="77">
        <f>314.698-40-25-60-100</f>
        <v>89.697999999999979</v>
      </c>
      <c r="G1035" s="80">
        <v>40</v>
      </c>
      <c r="H1035" s="77">
        <f t="shared" ref="H1035:H1041" si="172">25+60+100</f>
        <v>185</v>
      </c>
      <c r="I1035" s="77">
        <f t="shared" si="170"/>
        <v>0</v>
      </c>
      <c r="J1035" s="80">
        <v>100</v>
      </c>
      <c r="K1035" s="80">
        <v>300</v>
      </c>
      <c r="L1035" s="77">
        <f t="shared" si="162"/>
        <v>1239</v>
      </c>
      <c r="M1035" s="88">
        <v>600</v>
      </c>
      <c r="N1035" s="77">
        <f>100</f>
        <v>100</v>
      </c>
      <c r="O1035" s="80">
        <v>240</v>
      </c>
      <c r="P1035" s="80">
        <v>40</v>
      </c>
      <c r="Q1035" s="80">
        <f t="shared" si="163"/>
        <v>315</v>
      </c>
      <c r="R1035" s="80">
        <f t="shared" si="164"/>
        <v>100</v>
      </c>
      <c r="S1035" s="77">
        <f t="shared" si="165"/>
        <v>695</v>
      </c>
      <c r="T1035" s="77">
        <f>50</f>
        <v>50</v>
      </c>
      <c r="U1035" s="78"/>
      <c r="V1035" s="78"/>
      <c r="W1035" s="78"/>
      <c r="X1035" s="78"/>
      <c r="Y1035" s="78"/>
      <c r="Z1035" s="78"/>
      <c r="AA1035" s="78"/>
      <c r="AB1035" s="78"/>
      <c r="AC1035" s="78"/>
      <c r="AD1035" s="78"/>
    </row>
    <row r="1036" spans="1:30" ht="15.75" x14ac:dyDescent="0.25">
      <c r="A1036" s="32">
        <v>72471</v>
      </c>
      <c r="B1036" s="89">
        <f t="shared" si="166"/>
        <v>31</v>
      </c>
      <c r="C1036" s="77">
        <f>194.205</f>
        <v>194.20500000000001</v>
      </c>
      <c r="D1036" s="77">
        <f>267.466</f>
        <v>267.46600000000001</v>
      </c>
      <c r="E1036" s="86">
        <f>133.845</f>
        <v>133.845</v>
      </c>
      <c r="F1036" s="77">
        <f>278.484-40-25-60-100</f>
        <v>53.48399999999998</v>
      </c>
      <c r="G1036" s="80">
        <v>40</v>
      </c>
      <c r="H1036" s="77">
        <f t="shared" si="172"/>
        <v>185</v>
      </c>
      <c r="I1036" s="77">
        <f t="shared" si="170"/>
        <v>0</v>
      </c>
      <c r="J1036" s="80">
        <v>100</v>
      </c>
      <c r="K1036" s="80">
        <v>300</v>
      </c>
      <c r="L1036" s="77">
        <f t="shared" si="162"/>
        <v>1274</v>
      </c>
      <c r="M1036" s="88">
        <v>600</v>
      </c>
      <c r="N1036" s="77">
        <f>75</f>
        <v>75</v>
      </c>
      <c r="O1036" s="80">
        <v>240</v>
      </c>
      <c r="P1036" s="80">
        <v>40</v>
      </c>
      <c r="Q1036" s="80">
        <f t="shared" si="163"/>
        <v>315</v>
      </c>
      <c r="R1036" s="80">
        <f t="shared" si="164"/>
        <v>100</v>
      </c>
      <c r="S1036" s="77">
        <f t="shared" si="165"/>
        <v>695</v>
      </c>
      <c r="T1036" s="77">
        <f>50</f>
        <v>50</v>
      </c>
      <c r="U1036" s="78"/>
      <c r="V1036" s="78"/>
      <c r="W1036" s="78"/>
      <c r="X1036" s="78"/>
      <c r="Y1036" s="78"/>
      <c r="Z1036" s="78"/>
      <c r="AA1036" s="78"/>
      <c r="AB1036" s="78"/>
      <c r="AC1036" s="78"/>
      <c r="AD1036" s="78"/>
    </row>
    <row r="1037" spans="1:30" ht="15.75" x14ac:dyDescent="0.25">
      <c r="A1037" s="32">
        <v>72501</v>
      </c>
      <c r="B1037" s="89">
        <f t="shared" si="166"/>
        <v>30</v>
      </c>
      <c r="C1037" s="77">
        <f>194.205</f>
        <v>194.20500000000001</v>
      </c>
      <c r="D1037" s="77">
        <f>267.466</f>
        <v>267.46600000000001</v>
      </c>
      <c r="E1037" s="86">
        <f>133.845</f>
        <v>133.845</v>
      </c>
      <c r="F1037" s="77">
        <f>278.484-40-25-60-100</f>
        <v>53.48399999999998</v>
      </c>
      <c r="G1037" s="80">
        <v>40</v>
      </c>
      <c r="H1037" s="77">
        <f t="shared" si="172"/>
        <v>185</v>
      </c>
      <c r="I1037" s="77">
        <f t="shared" si="170"/>
        <v>0</v>
      </c>
      <c r="J1037" s="80">
        <v>100</v>
      </c>
      <c r="K1037" s="80">
        <v>300</v>
      </c>
      <c r="L1037" s="77">
        <f t="shared" si="162"/>
        <v>1274</v>
      </c>
      <c r="M1037" s="88">
        <v>600</v>
      </c>
      <c r="N1037" s="77">
        <f>30</f>
        <v>30</v>
      </c>
      <c r="O1037" s="80">
        <v>240</v>
      </c>
      <c r="P1037" s="80">
        <v>40</v>
      </c>
      <c r="Q1037" s="80">
        <f t="shared" si="163"/>
        <v>315</v>
      </c>
      <c r="R1037" s="80">
        <f t="shared" si="164"/>
        <v>100</v>
      </c>
      <c r="S1037" s="77">
        <f t="shared" si="165"/>
        <v>695</v>
      </c>
      <c r="T1037" s="77">
        <f>50</f>
        <v>50</v>
      </c>
      <c r="U1037" s="78"/>
      <c r="V1037" s="78"/>
      <c r="W1037" s="78"/>
      <c r="X1037" s="78"/>
      <c r="Y1037" s="78"/>
      <c r="Z1037" s="78"/>
      <c r="AA1037" s="78"/>
      <c r="AB1037" s="78"/>
      <c r="AC1037" s="78"/>
      <c r="AD1037" s="78"/>
    </row>
    <row r="1038" spans="1:30" ht="15.75" x14ac:dyDescent="0.25">
      <c r="A1038" s="32">
        <v>72532</v>
      </c>
      <c r="B1038" s="89">
        <f t="shared" si="166"/>
        <v>31</v>
      </c>
      <c r="C1038" s="77">
        <f>194.205</f>
        <v>194.20500000000001</v>
      </c>
      <c r="D1038" s="77">
        <f>267.466</f>
        <v>267.46600000000001</v>
      </c>
      <c r="E1038" s="86">
        <f>133.845</f>
        <v>133.845</v>
      </c>
      <c r="F1038" s="77">
        <f>278.484-40-25-60-100</f>
        <v>53.48399999999998</v>
      </c>
      <c r="G1038" s="80">
        <v>40</v>
      </c>
      <c r="H1038" s="77">
        <f t="shared" si="172"/>
        <v>185</v>
      </c>
      <c r="I1038" s="77">
        <f t="shared" si="170"/>
        <v>0</v>
      </c>
      <c r="J1038" s="80">
        <v>100</v>
      </c>
      <c r="K1038" s="80">
        <v>300</v>
      </c>
      <c r="L1038" s="77">
        <f t="shared" si="162"/>
        <v>1274</v>
      </c>
      <c r="M1038" s="88">
        <v>600</v>
      </c>
      <c r="N1038" s="77">
        <f>30</f>
        <v>30</v>
      </c>
      <c r="O1038" s="80">
        <v>240</v>
      </c>
      <c r="P1038" s="80">
        <v>40</v>
      </c>
      <c r="Q1038" s="80">
        <f t="shared" si="163"/>
        <v>315</v>
      </c>
      <c r="R1038" s="80">
        <f t="shared" si="164"/>
        <v>100</v>
      </c>
      <c r="S1038" s="77">
        <f t="shared" si="165"/>
        <v>695</v>
      </c>
      <c r="T1038" s="77">
        <f>0</f>
        <v>0</v>
      </c>
      <c r="U1038" s="78"/>
      <c r="V1038" s="78"/>
      <c r="W1038" s="78"/>
      <c r="X1038" s="78"/>
      <c r="Y1038" s="78"/>
      <c r="Z1038" s="78"/>
      <c r="AA1038" s="78"/>
      <c r="AB1038" s="78"/>
      <c r="AC1038" s="78"/>
      <c r="AD1038" s="78"/>
    </row>
    <row r="1039" spans="1:30" ht="15.75" x14ac:dyDescent="0.25">
      <c r="A1039" s="32">
        <v>72563</v>
      </c>
      <c r="B1039" s="89">
        <f t="shared" si="166"/>
        <v>31</v>
      </c>
      <c r="C1039" s="77">
        <f>194.205</f>
        <v>194.20500000000001</v>
      </c>
      <c r="D1039" s="77">
        <f>267.466</f>
        <v>267.46600000000001</v>
      </c>
      <c r="E1039" s="86">
        <f>133.845</f>
        <v>133.845</v>
      </c>
      <c r="F1039" s="77">
        <f>278.484-40-25-60-100</f>
        <v>53.48399999999998</v>
      </c>
      <c r="G1039" s="80">
        <v>40</v>
      </c>
      <c r="H1039" s="77">
        <f t="shared" si="172"/>
        <v>185</v>
      </c>
      <c r="I1039" s="77">
        <f t="shared" si="170"/>
        <v>0</v>
      </c>
      <c r="J1039" s="80">
        <v>100</v>
      </c>
      <c r="K1039" s="80">
        <v>300</v>
      </c>
      <c r="L1039" s="77">
        <f t="shared" si="162"/>
        <v>1274</v>
      </c>
      <c r="M1039" s="88">
        <v>600</v>
      </c>
      <c r="N1039" s="77">
        <f>30</f>
        <v>30</v>
      </c>
      <c r="O1039" s="80">
        <v>240</v>
      </c>
      <c r="P1039" s="80">
        <v>40</v>
      </c>
      <c r="Q1039" s="80">
        <f t="shared" si="163"/>
        <v>315</v>
      </c>
      <c r="R1039" s="80">
        <f t="shared" si="164"/>
        <v>100</v>
      </c>
      <c r="S1039" s="77">
        <f t="shared" si="165"/>
        <v>695</v>
      </c>
      <c r="T1039" s="77">
        <f>0</f>
        <v>0</v>
      </c>
      <c r="U1039" s="78"/>
      <c r="V1039" s="78"/>
      <c r="W1039" s="78"/>
      <c r="X1039" s="78"/>
      <c r="Y1039" s="78"/>
      <c r="Z1039" s="78"/>
      <c r="AA1039" s="78"/>
      <c r="AB1039" s="78"/>
      <c r="AC1039" s="78"/>
      <c r="AD1039" s="78"/>
    </row>
    <row r="1040" spans="1:30" ht="15.75" x14ac:dyDescent="0.25">
      <c r="A1040" s="32">
        <v>72593</v>
      </c>
      <c r="B1040" s="89">
        <f t="shared" si="166"/>
        <v>30</v>
      </c>
      <c r="C1040" s="77">
        <f>194.205</f>
        <v>194.20500000000001</v>
      </c>
      <c r="D1040" s="77">
        <f>267.466</f>
        <v>267.46600000000001</v>
      </c>
      <c r="E1040" s="86">
        <f>133.845</f>
        <v>133.845</v>
      </c>
      <c r="F1040" s="77">
        <f>278.484-40-25-60-100</f>
        <v>53.48399999999998</v>
      </c>
      <c r="G1040" s="80">
        <v>40</v>
      </c>
      <c r="H1040" s="77">
        <f t="shared" si="172"/>
        <v>185</v>
      </c>
      <c r="I1040" s="77">
        <f t="shared" si="170"/>
        <v>0</v>
      </c>
      <c r="J1040" s="80">
        <v>100</v>
      </c>
      <c r="K1040" s="80">
        <v>300</v>
      </c>
      <c r="L1040" s="77">
        <f t="shared" si="162"/>
        <v>1274</v>
      </c>
      <c r="M1040" s="88">
        <v>600</v>
      </c>
      <c r="N1040" s="77">
        <f>30</f>
        <v>30</v>
      </c>
      <c r="O1040" s="80">
        <v>240</v>
      </c>
      <c r="P1040" s="80">
        <v>40</v>
      </c>
      <c r="Q1040" s="80">
        <f t="shared" si="163"/>
        <v>315</v>
      </c>
      <c r="R1040" s="80">
        <f t="shared" si="164"/>
        <v>100</v>
      </c>
      <c r="S1040" s="77">
        <f t="shared" si="165"/>
        <v>695</v>
      </c>
      <c r="T1040" s="77">
        <f>0</f>
        <v>0</v>
      </c>
      <c r="U1040" s="78"/>
      <c r="V1040" s="78"/>
      <c r="W1040" s="78"/>
      <c r="X1040" s="78"/>
      <c r="Y1040" s="78"/>
      <c r="Z1040" s="78"/>
      <c r="AA1040" s="78"/>
      <c r="AB1040" s="78"/>
      <c r="AC1040" s="78"/>
      <c r="AD1040" s="78"/>
    </row>
    <row r="1041" spans="1:30" ht="15.75" x14ac:dyDescent="0.25">
      <c r="A1041" s="32">
        <v>72624</v>
      </c>
      <c r="B1041" s="89">
        <f t="shared" si="166"/>
        <v>31</v>
      </c>
      <c r="C1041" s="77">
        <f>131.881</f>
        <v>131.881</v>
      </c>
      <c r="D1041" s="77">
        <f>277.167</f>
        <v>277.16699999999997</v>
      </c>
      <c r="E1041" s="86">
        <f>79.08</f>
        <v>79.08</v>
      </c>
      <c r="F1041" s="77">
        <f>350.872-40-25-60-100</f>
        <v>125.87200000000001</v>
      </c>
      <c r="G1041" s="80">
        <v>40</v>
      </c>
      <c r="H1041" s="77">
        <f t="shared" si="172"/>
        <v>185</v>
      </c>
      <c r="I1041" s="77">
        <f t="shared" si="170"/>
        <v>0</v>
      </c>
      <c r="J1041" s="80">
        <v>100</v>
      </c>
      <c r="K1041" s="80">
        <v>300</v>
      </c>
      <c r="L1041" s="77">
        <f t="shared" ref="L1041:L1067" si="173">SUM(C1041:K1041)</f>
        <v>1239</v>
      </c>
      <c r="M1041" s="88">
        <v>600</v>
      </c>
      <c r="N1041" s="77">
        <f>75</f>
        <v>75</v>
      </c>
      <c r="O1041" s="80">
        <v>240</v>
      </c>
      <c r="P1041" s="80">
        <v>40</v>
      </c>
      <c r="Q1041" s="80">
        <f t="shared" ref="Q1041:Q1067" si="174">695-R1041-O1041-P1041</f>
        <v>315</v>
      </c>
      <c r="R1041" s="80">
        <f t="shared" ref="R1041:R1067" si="175">200-J1041</f>
        <v>100</v>
      </c>
      <c r="S1041" s="77">
        <f t="shared" ref="S1041:S1067" si="176">SUM(O1041:R1041)</f>
        <v>695</v>
      </c>
      <c r="T1041" s="77">
        <f>0</f>
        <v>0</v>
      </c>
      <c r="U1041" s="78"/>
      <c r="V1041" s="78"/>
      <c r="W1041" s="78"/>
      <c r="X1041" s="78"/>
      <c r="Y1041" s="78"/>
      <c r="Z1041" s="78"/>
      <c r="AA1041" s="78"/>
      <c r="AB1041" s="78"/>
      <c r="AC1041" s="78"/>
      <c r="AD1041" s="78"/>
    </row>
    <row r="1042" spans="1:30" ht="15.75" x14ac:dyDescent="0.25">
      <c r="A1042" s="32">
        <v>72654</v>
      </c>
      <c r="B1042" s="89">
        <f t="shared" si="166"/>
        <v>30</v>
      </c>
      <c r="C1042" s="77">
        <f>122.58</f>
        <v>122.58</v>
      </c>
      <c r="D1042" s="77">
        <f>297.941</f>
        <v>297.94099999999997</v>
      </c>
      <c r="E1042" s="86">
        <f>89.177</f>
        <v>89.177000000000007</v>
      </c>
      <c r="F1042" s="77">
        <f>240.302-40-60-100</f>
        <v>40.301999999999992</v>
      </c>
      <c r="G1042" s="80">
        <v>40</v>
      </c>
      <c r="H1042" s="77">
        <f>60+100</f>
        <v>160</v>
      </c>
      <c r="I1042" s="77">
        <f t="shared" si="170"/>
        <v>0</v>
      </c>
      <c r="J1042" s="80">
        <v>100</v>
      </c>
      <c r="K1042" s="80">
        <v>300</v>
      </c>
      <c r="L1042" s="77">
        <f t="shared" si="173"/>
        <v>1150</v>
      </c>
      <c r="M1042" s="88">
        <v>600</v>
      </c>
      <c r="N1042" s="77">
        <f>100</f>
        <v>100</v>
      </c>
      <c r="O1042" s="80">
        <v>240</v>
      </c>
      <c r="P1042" s="80">
        <v>40</v>
      </c>
      <c r="Q1042" s="80">
        <f t="shared" si="174"/>
        <v>315</v>
      </c>
      <c r="R1042" s="80">
        <f t="shared" si="175"/>
        <v>100</v>
      </c>
      <c r="S1042" s="77">
        <f t="shared" si="176"/>
        <v>695</v>
      </c>
      <c r="T1042" s="77">
        <f>50</f>
        <v>50</v>
      </c>
      <c r="U1042" s="78"/>
      <c r="V1042" s="78"/>
      <c r="W1042" s="78"/>
      <c r="X1042" s="78"/>
      <c r="Y1042" s="78"/>
      <c r="Z1042" s="78"/>
      <c r="AA1042" s="78"/>
      <c r="AB1042" s="78"/>
      <c r="AC1042" s="78"/>
      <c r="AD1042" s="78"/>
    </row>
    <row r="1043" spans="1:30" ht="15.75" x14ac:dyDescent="0.25">
      <c r="A1043" s="32">
        <v>72685</v>
      </c>
      <c r="B1043" s="89">
        <f t="shared" si="166"/>
        <v>31</v>
      </c>
      <c r="C1043" s="77">
        <f>122.58</f>
        <v>122.58</v>
      </c>
      <c r="D1043" s="77">
        <f>297.941</f>
        <v>297.94099999999997</v>
      </c>
      <c r="E1043" s="86">
        <f>89.177</f>
        <v>89.177000000000007</v>
      </c>
      <c r="F1043" s="77">
        <f>240.302-40-60-100</f>
        <v>40.301999999999992</v>
      </c>
      <c r="G1043" s="80">
        <v>40</v>
      </c>
      <c r="H1043" s="77">
        <f>60+100</f>
        <v>160</v>
      </c>
      <c r="I1043" s="77">
        <f t="shared" si="170"/>
        <v>0</v>
      </c>
      <c r="J1043" s="80">
        <v>100</v>
      </c>
      <c r="K1043" s="80">
        <v>300</v>
      </c>
      <c r="L1043" s="77">
        <f t="shared" si="173"/>
        <v>1150</v>
      </c>
      <c r="M1043" s="88">
        <v>600</v>
      </c>
      <c r="N1043" s="77">
        <f>100</f>
        <v>100</v>
      </c>
      <c r="O1043" s="80">
        <v>240</v>
      </c>
      <c r="P1043" s="80">
        <v>40</v>
      </c>
      <c r="Q1043" s="80">
        <f t="shared" si="174"/>
        <v>315</v>
      </c>
      <c r="R1043" s="80">
        <f t="shared" si="175"/>
        <v>100</v>
      </c>
      <c r="S1043" s="77">
        <f t="shared" si="176"/>
        <v>695</v>
      </c>
      <c r="T1043" s="77">
        <f>50</f>
        <v>50</v>
      </c>
      <c r="U1043" s="78"/>
      <c r="V1043" s="78"/>
      <c r="W1043" s="78"/>
      <c r="X1043" s="78"/>
      <c r="Y1043" s="78"/>
      <c r="Z1043" s="78"/>
      <c r="AA1043" s="78"/>
      <c r="AB1043" s="78"/>
      <c r="AC1043" s="78"/>
      <c r="AD1043" s="78"/>
    </row>
    <row r="1044" spans="1:30" ht="15.75" x14ac:dyDescent="0.25">
      <c r="A1044" s="32">
        <v>72716</v>
      </c>
      <c r="B1044" s="89">
        <f t="shared" si="166"/>
        <v>31</v>
      </c>
      <c r="C1044" s="77">
        <f>122.58</f>
        <v>122.58</v>
      </c>
      <c r="D1044" s="77">
        <f>297.941</f>
        <v>297.94099999999997</v>
      </c>
      <c r="E1044" s="86">
        <f>89.177</f>
        <v>89.177000000000007</v>
      </c>
      <c r="F1044" s="77">
        <f>240.302-40-60-100</f>
        <v>40.301999999999992</v>
      </c>
      <c r="G1044" s="80">
        <v>40</v>
      </c>
      <c r="H1044" s="77">
        <f>60+100</f>
        <v>160</v>
      </c>
      <c r="I1044" s="77">
        <f t="shared" si="170"/>
        <v>0</v>
      </c>
      <c r="J1044" s="80">
        <v>100</v>
      </c>
      <c r="K1044" s="80">
        <v>300</v>
      </c>
      <c r="L1044" s="77">
        <f t="shared" si="173"/>
        <v>1150</v>
      </c>
      <c r="M1044" s="88">
        <v>600</v>
      </c>
      <c r="N1044" s="77">
        <f>100</f>
        <v>100</v>
      </c>
      <c r="O1044" s="80">
        <v>240</v>
      </c>
      <c r="P1044" s="80">
        <v>40</v>
      </c>
      <c r="Q1044" s="80">
        <f t="shared" si="174"/>
        <v>315</v>
      </c>
      <c r="R1044" s="80">
        <f t="shared" si="175"/>
        <v>100</v>
      </c>
      <c r="S1044" s="77">
        <f t="shared" si="176"/>
        <v>695</v>
      </c>
      <c r="T1044" s="77">
        <f>50</f>
        <v>50</v>
      </c>
      <c r="U1044" s="78"/>
      <c r="V1044" s="78"/>
      <c r="W1044" s="78"/>
      <c r="X1044" s="78"/>
      <c r="Y1044" s="78"/>
      <c r="Z1044" s="78"/>
      <c r="AA1044" s="78"/>
      <c r="AB1044" s="78"/>
      <c r="AC1044" s="78"/>
      <c r="AD1044" s="78"/>
    </row>
    <row r="1045" spans="1:30" ht="15.75" x14ac:dyDescent="0.25">
      <c r="A1045" s="32">
        <v>72744</v>
      </c>
      <c r="B1045" s="89">
        <f t="shared" si="166"/>
        <v>28</v>
      </c>
      <c r="C1045" s="77">
        <f>122.58</f>
        <v>122.58</v>
      </c>
      <c r="D1045" s="77">
        <f>297.941</f>
        <v>297.94099999999997</v>
      </c>
      <c r="E1045" s="86">
        <f>89.177</f>
        <v>89.177000000000007</v>
      </c>
      <c r="F1045" s="77">
        <f>240.302-40-60-100</f>
        <v>40.301999999999992</v>
      </c>
      <c r="G1045" s="80">
        <v>40</v>
      </c>
      <c r="H1045" s="77">
        <f>60+100</f>
        <v>160</v>
      </c>
      <c r="I1045" s="77">
        <f t="shared" si="170"/>
        <v>0</v>
      </c>
      <c r="J1045" s="80">
        <v>100</v>
      </c>
      <c r="K1045" s="80">
        <v>300</v>
      </c>
      <c r="L1045" s="77">
        <f t="shared" si="173"/>
        <v>1150</v>
      </c>
      <c r="M1045" s="88">
        <v>600</v>
      </c>
      <c r="N1045" s="77">
        <f>100</f>
        <v>100</v>
      </c>
      <c r="O1045" s="80">
        <v>240</v>
      </c>
      <c r="P1045" s="80">
        <v>40</v>
      </c>
      <c r="Q1045" s="80">
        <f t="shared" si="174"/>
        <v>315</v>
      </c>
      <c r="R1045" s="80">
        <f t="shared" si="175"/>
        <v>100</v>
      </c>
      <c r="S1045" s="77">
        <f t="shared" si="176"/>
        <v>695</v>
      </c>
      <c r="T1045" s="77">
        <f>50</f>
        <v>50</v>
      </c>
      <c r="U1045" s="78"/>
      <c r="V1045" s="78"/>
      <c r="W1045" s="78"/>
      <c r="X1045" s="78"/>
      <c r="Y1045" s="78"/>
      <c r="Z1045" s="78"/>
      <c r="AA1045" s="78"/>
      <c r="AB1045" s="78"/>
      <c r="AC1045" s="78"/>
      <c r="AD1045" s="78"/>
    </row>
    <row r="1046" spans="1:30" ht="15.75" x14ac:dyDescent="0.25">
      <c r="A1046" s="32">
        <v>72775</v>
      </c>
      <c r="B1046" s="89">
        <f t="shared" si="166"/>
        <v>31</v>
      </c>
      <c r="C1046" s="77">
        <f>122.58</f>
        <v>122.58</v>
      </c>
      <c r="D1046" s="77">
        <f>297.941</f>
        <v>297.94099999999997</v>
      </c>
      <c r="E1046" s="86">
        <f>89.177</f>
        <v>89.177000000000007</v>
      </c>
      <c r="F1046" s="77">
        <f>240.302-40-60-100</f>
        <v>40.301999999999992</v>
      </c>
      <c r="G1046" s="80">
        <v>40</v>
      </c>
      <c r="H1046" s="77">
        <f>60+100</f>
        <v>160</v>
      </c>
      <c r="I1046" s="77">
        <f t="shared" si="170"/>
        <v>0</v>
      </c>
      <c r="J1046" s="80">
        <v>100</v>
      </c>
      <c r="K1046" s="80">
        <v>300</v>
      </c>
      <c r="L1046" s="77">
        <f t="shared" si="173"/>
        <v>1150</v>
      </c>
      <c r="M1046" s="88">
        <v>600</v>
      </c>
      <c r="N1046" s="77">
        <f>100</f>
        <v>100</v>
      </c>
      <c r="O1046" s="80">
        <v>240</v>
      </c>
      <c r="P1046" s="80">
        <v>40</v>
      </c>
      <c r="Q1046" s="80">
        <f t="shared" si="174"/>
        <v>315</v>
      </c>
      <c r="R1046" s="80">
        <f t="shared" si="175"/>
        <v>100</v>
      </c>
      <c r="S1046" s="77">
        <f t="shared" si="176"/>
        <v>695</v>
      </c>
      <c r="T1046" s="77">
        <f>50</f>
        <v>50</v>
      </c>
      <c r="U1046" s="78"/>
      <c r="V1046" s="78"/>
      <c r="W1046" s="78"/>
      <c r="X1046" s="78"/>
      <c r="Y1046" s="78"/>
      <c r="Z1046" s="78"/>
      <c r="AA1046" s="78"/>
      <c r="AB1046" s="78"/>
      <c r="AC1046" s="78"/>
      <c r="AD1046" s="78"/>
    </row>
    <row r="1047" spans="1:30" ht="15.75" x14ac:dyDescent="0.25">
      <c r="A1047" s="32">
        <v>72805</v>
      </c>
      <c r="B1047" s="89">
        <f t="shared" si="166"/>
        <v>30</v>
      </c>
      <c r="C1047" s="77">
        <f>141.293</f>
        <v>141.29300000000001</v>
      </c>
      <c r="D1047" s="77">
        <f>267.993</f>
        <v>267.99299999999999</v>
      </c>
      <c r="E1047" s="86">
        <f>115.016</f>
        <v>115.01600000000001</v>
      </c>
      <c r="F1047" s="77">
        <f>314.698-40-25-60-100</f>
        <v>89.697999999999979</v>
      </c>
      <c r="G1047" s="80">
        <v>40</v>
      </c>
      <c r="H1047" s="77">
        <f t="shared" ref="H1047:H1053" si="177">25+60+100</f>
        <v>185</v>
      </c>
      <c r="I1047" s="77">
        <f t="shared" si="170"/>
        <v>0</v>
      </c>
      <c r="J1047" s="80">
        <v>100</v>
      </c>
      <c r="K1047" s="80">
        <v>300</v>
      </c>
      <c r="L1047" s="77">
        <f t="shared" si="173"/>
        <v>1239</v>
      </c>
      <c r="M1047" s="88">
        <v>600</v>
      </c>
      <c r="N1047" s="77">
        <f>100</f>
        <v>100</v>
      </c>
      <c r="O1047" s="80">
        <v>240</v>
      </c>
      <c r="P1047" s="80">
        <v>40</v>
      </c>
      <c r="Q1047" s="80">
        <f t="shared" si="174"/>
        <v>315</v>
      </c>
      <c r="R1047" s="80">
        <f t="shared" si="175"/>
        <v>100</v>
      </c>
      <c r="S1047" s="77">
        <f t="shared" si="176"/>
        <v>695</v>
      </c>
      <c r="T1047" s="77">
        <f>50</f>
        <v>50</v>
      </c>
      <c r="U1047" s="78"/>
      <c r="V1047" s="78"/>
      <c r="W1047" s="78"/>
      <c r="X1047" s="78"/>
      <c r="Y1047" s="78"/>
      <c r="Z1047" s="78"/>
      <c r="AA1047" s="78"/>
      <c r="AB1047" s="78"/>
      <c r="AC1047" s="78"/>
      <c r="AD1047" s="78"/>
    </row>
    <row r="1048" spans="1:30" ht="15.75" x14ac:dyDescent="0.25">
      <c r="A1048" s="32">
        <v>72836</v>
      </c>
      <c r="B1048" s="89">
        <f t="shared" ref="B1048:B1067" si="178">EOMONTH(A1048,0)-EOMONTH(A1048,-1)</f>
        <v>31</v>
      </c>
      <c r="C1048" s="77">
        <f>194.205</f>
        <v>194.20500000000001</v>
      </c>
      <c r="D1048" s="77">
        <f>267.466</f>
        <v>267.46600000000001</v>
      </c>
      <c r="E1048" s="86">
        <f>133.845</f>
        <v>133.845</v>
      </c>
      <c r="F1048" s="77">
        <f>278.484-40-25-60-100</f>
        <v>53.48399999999998</v>
      </c>
      <c r="G1048" s="80">
        <v>40</v>
      </c>
      <c r="H1048" s="77">
        <f t="shared" si="177"/>
        <v>185</v>
      </c>
      <c r="I1048" s="77">
        <f t="shared" si="170"/>
        <v>0</v>
      </c>
      <c r="J1048" s="80">
        <v>100</v>
      </c>
      <c r="K1048" s="80">
        <v>300</v>
      </c>
      <c r="L1048" s="77">
        <f t="shared" si="173"/>
        <v>1274</v>
      </c>
      <c r="M1048" s="88">
        <v>600</v>
      </c>
      <c r="N1048" s="77">
        <f>75</f>
        <v>75</v>
      </c>
      <c r="O1048" s="80">
        <v>240</v>
      </c>
      <c r="P1048" s="80">
        <v>40</v>
      </c>
      <c r="Q1048" s="80">
        <f t="shared" si="174"/>
        <v>315</v>
      </c>
      <c r="R1048" s="80">
        <f t="shared" si="175"/>
        <v>100</v>
      </c>
      <c r="S1048" s="77">
        <f t="shared" si="176"/>
        <v>695</v>
      </c>
      <c r="T1048" s="77">
        <f>50</f>
        <v>50</v>
      </c>
      <c r="U1048" s="78"/>
      <c r="V1048" s="78"/>
      <c r="W1048" s="78"/>
      <c r="X1048" s="78"/>
      <c r="Y1048" s="78"/>
      <c r="Z1048" s="78"/>
      <c r="AA1048" s="78"/>
      <c r="AB1048" s="78"/>
      <c r="AC1048" s="78"/>
      <c r="AD1048" s="78"/>
    </row>
    <row r="1049" spans="1:30" ht="15.75" x14ac:dyDescent="0.25">
      <c r="A1049" s="32">
        <v>72866</v>
      </c>
      <c r="B1049" s="89">
        <f t="shared" si="178"/>
        <v>30</v>
      </c>
      <c r="C1049" s="77">
        <f>194.205</f>
        <v>194.20500000000001</v>
      </c>
      <c r="D1049" s="77">
        <f>267.466</f>
        <v>267.46600000000001</v>
      </c>
      <c r="E1049" s="86">
        <f>133.845</f>
        <v>133.845</v>
      </c>
      <c r="F1049" s="77">
        <f>278.484-40-25-60-100</f>
        <v>53.48399999999998</v>
      </c>
      <c r="G1049" s="80">
        <v>40</v>
      </c>
      <c r="H1049" s="77">
        <f t="shared" si="177"/>
        <v>185</v>
      </c>
      <c r="I1049" s="77">
        <f t="shared" si="170"/>
        <v>0</v>
      </c>
      <c r="J1049" s="80">
        <v>100</v>
      </c>
      <c r="K1049" s="80">
        <v>300</v>
      </c>
      <c r="L1049" s="77">
        <f t="shared" si="173"/>
        <v>1274</v>
      </c>
      <c r="M1049" s="88">
        <v>600</v>
      </c>
      <c r="N1049" s="77">
        <f>30</f>
        <v>30</v>
      </c>
      <c r="O1049" s="80">
        <v>240</v>
      </c>
      <c r="P1049" s="80">
        <v>40</v>
      </c>
      <c r="Q1049" s="80">
        <f t="shared" si="174"/>
        <v>315</v>
      </c>
      <c r="R1049" s="80">
        <f t="shared" si="175"/>
        <v>100</v>
      </c>
      <c r="S1049" s="77">
        <f t="shared" si="176"/>
        <v>695</v>
      </c>
      <c r="T1049" s="77">
        <f>50</f>
        <v>50</v>
      </c>
      <c r="U1049" s="78"/>
      <c r="V1049" s="78"/>
      <c r="W1049" s="78"/>
      <c r="X1049" s="78"/>
      <c r="Y1049" s="78"/>
      <c r="Z1049" s="78"/>
      <c r="AA1049" s="78"/>
      <c r="AB1049" s="78"/>
      <c r="AC1049" s="78"/>
      <c r="AD1049" s="78"/>
    </row>
    <row r="1050" spans="1:30" ht="15.75" x14ac:dyDescent="0.25">
      <c r="A1050" s="32">
        <v>72897</v>
      </c>
      <c r="B1050" s="89">
        <f t="shared" si="178"/>
        <v>31</v>
      </c>
      <c r="C1050" s="77">
        <f>194.205</f>
        <v>194.20500000000001</v>
      </c>
      <c r="D1050" s="77">
        <f>267.466</f>
        <v>267.46600000000001</v>
      </c>
      <c r="E1050" s="86">
        <f>133.845</f>
        <v>133.845</v>
      </c>
      <c r="F1050" s="77">
        <f>278.484-40-25-60-100</f>
        <v>53.48399999999998</v>
      </c>
      <c r="G1050" s="80">
        <v>40</v>
      </c>
      <c r="H1050" s="77">
        <f t="shared" si="177"/>
        <v>185</v>
      </c>
      <c r="I1050" s="77">
        <f t="shared" si="170"/>
        <v>0</v>
      </c>
      <c r="J1050" s="80">
        <v>100</v>
      </c>
      <c r="K1050" s="80">
        <v>300</v>
      </c>
      <c r="L1050" s="77">
        <f t="shared" si="173"/>
        <v>1274</v>
      </c>
      <c r="M1050" s="88">
        <v>600</v>
      </c>
      <c r="N1050" s="77">
        <f>30</f>
        <v>30</v>
      </c>
      <c r="O1050" s="80">
        <v>240</v>
      </c>
      <c r="P1050" s="80">
        <v>40</v>
      </c>
      <c r="Q1050" s="80">
        <f t="shared" si="174"/>
        <v>315</v>
      </c>
      <c r="R1050" s="80">
        <f t="shared" si="175"/>
        <v>100</v>
      </c>
      <c r="S1050" s="77">
        <f t="shared" si="176"/>
        <v>695</v>
      </c>
      <c r="T1050" s="77">
        <f>0</f>
        <v>0</v>
      </c>
      <c r="U1050" s="78"/>
      <c r="V1050" s="78"/>
      <c r="W1050" s="78"/>
      <c r="X1050" s="78"/>
      <c r="Y1050" s="78"/>
      <c r="Z1050" s="78"/>
      <c r="AA1050" s="78"/>
      <c r="AB1050" s="78"/>
      <c r="AC1050" s="78"/>
      <c r="AD1050" s="78"/>
    </row>
    <row r="1051" spans="1:30" ht="15.75" x14ac:dyDescent="0.25">
      <c r="A1051" s="32">
        <v>72928</v>
      </c>
      <c r="B1051" s="89">
        <f t="shared" si="178"/>
        <v>31</v>
      </c>
      <c r="C1051" s="77">
        <f>194.205</f>
        <v>194.20500000000001</v>
      </c>
      <c r="D1051" s="77">
        <f>267.466</f>
        <v>267.46600000000001</v>
      </c>
      <c r="E1051" s="86">
        <f>133.845</f>
        <v>133.845</v>
      </c>
      <c r="F1051" s="77">
        <f>278.484-40-25-60-100</f>
        <v>53.48399999999998</v>
      </c>
      <c r="G1051" s="80">
        <v>40</v>
      </c>
      <c r="H1051" s="77">
        <f t="shared" si="177"/>
        <v>185</v>
      </c>
      <c r="I1051" s="77">
        <f t="shared" si="170"/>
        <v>0</v>
      </c>
      <c r="J1051" s="80">
        <v>100</v>
      </c>
      <c r="K1051" s="80">
        <v>300</v>
      </c>
      <c r="L1051" s="77">
        <f t="shared" si="173"/>
        <v>1274</v>
      </c>
      <c r="M1051" s="88">
        <v>600</v>
      </c>
      <c r="N1051" s="77">
        <f>30</f>
        <v>30</v>
      </c>
      <c r="O1051" s="80">
        <v>240</v>
      </c>
      <c r="P1051" s="80">
        <v>40</v>
      </c>
      <c r="Q1051" s="80">
        <f t="shared" si="174"/>
        <v>315</v>
      </c>
      <c r="R1051" s="80">
        <f t="shared" si="175"/>
        <v>100</v>
      </c>
      <c r="S1051" s="77">
        <f t="shared" si="176"/>
        <v>695</v>
      </c>
      <c r="T1051" s="77">
        <f>0</f>
        <v>0</v>
      </c>
      <c r="U1051" s="78"/>
      <c r="V1051" s="78"/>
      <c r="W1051" s="78"/>
      <c r="X1051" s="78"/>
      <c r="Y1051" s="78"/>
      <c r="Z1051" s="78"/>
      <c r="AA1051" s="78"/>
      <c r="AB1051" s="78"/>
      <c r="AC1051" s="78"/>
      <c r="AD1051" s="78"/>
    </row>
    <row r="1052" spans="1:30" ht="15.75" x14ac:dyDescent="0.25">
      <c r="A1052" s="32">
        <v>72958</v>
      </c>
      <c r="B1052" s="89">
        <f t="shared" si="178"/>
        <v>30</v>
      </c>
      <c r="C1052" s="77">
        <f>194.205</f>
        <v>194.20500000000001</v>
      </c>
      <c r="D1052" s="77">
        <f>267.466</f>
        <v>267.46600000000001</v>
      </c>
      <c r="E1052" s="86">
        <f>133.845</f>
        <v>133.845</v>
      </c>
      <c r="F1052" s="77">
        <f>278.484-40-25-60-100</f>
        <v>53.48399999999998</v>
      </c>
      <c r="G1052" s="80">
        <v>40</v>
      </c>
      <c r="H1052" s="77">
        <f t="shared" si="177"/>
        <v>185</v>
      </c>
      <c r="I1052" s="77">
        <f t="shared" si="170"/>
        <v>0</v>
      </c>
      <c r="J1052" s="80">
        <v>100</v>
      </c>
      <c r="K1052" s="80">
        <v>300</v>
      </c>
      <c r="L1052" s="77">
        <f t="shared" si="173"/>
        <v>1274</v>
      </c>
      <c r="M1052" s="88">
        <v>600</v>
      </c>
      <c r="N1052" s="77">
        <f>30</f>
        <v>30</v>
      </c>
      <c r="O1052" s="80">
        <v>240</v>
      </c>
      <c r="P1052" s="80">
        <v>40</v>
      </c>
      <c r="Q1052" s="80">
        <f t="shared" si="174"/>
        <v>315</v>
      </c>
      <c r="R1052" s="80">
        <f t="shared" si="175"/>
        <v>100</v>
      </c>
      <c r="S1052" s="77">
        <f t="shared" si="176"/>
        <v>695</v>
      </c>
      <c r="T1052" s="77">
        <f>0</f>
        <v>0</v>
      </c>
      <c r="U1052" s="78"/>
      <c r="V1052" s="78"/>
      <c r="W1052" s="78"/>
      <c r="X1052" s="78"/>
      <c r="Y1052" s="78"/>
      <c r="Z1052" s="78"/>
      <c r="AA1052" s="78"/>
      <c r="AB1052" s="78"/>
      <c r="AC1052" s="78"/>
      <c r="AD1052" s="78"/>
    </row>
    <row r="1053" spans="1:30" ht="15.75" x14ac:dyDescent="0.25">
      <c r="A1053" s="32">
        <v>72989</v>
      </c>
      <c r="B1053" s="89">
        <f t="shared" si="178"/>
        <v>31</v>
      </c>
      <c r="C1053" s="77">
        <f>131.881</f>
        <v>131.881</v>
      </c>
      <c r="D1053" s="77">
        <f>277.167</f>
        <v>277.16699999999997</v>
      </c>
      <c r="E1053" s="86">
        <f>79.08</f>
        <v>79.08</v>
      </c>
      <c r="F1053" s="77">
        <f>350.872-40-25-60-100</f>
        <v>125.87200000000001</v>
      </c>
      <c r="G1053" s="80">
        <v>40</v>
      </c>
      <c r="H1053" s="77">
        <f t="shared" si="177"/>
        <v>185</v>
      </c>
      <c r="I1053" s="77">
        <f t="shared" si="170"/>
        <v>0</v>
      </c>
      <c r="J1053" s="80">
        <v>100</v>
      </c>
      <c r="K1053" s="80">
        <v>300</v>
      </c>
      <c r="L1053" s="77">
        <f t="shared" si="173"/>
        <v>1239</v>
      </c>
      <c r="M1053" s="88">
        <v>600</v>
      </c>
      <c r="N1053" s="77">
        <f>75</f>
        <v>75</v>
      </c>
      <c r="O1053" s="80">
        <v>240</v>
      </c>
      <c r="P1053" s="80">
        <v>40</v>
      </c>
      <c r="Q1053" s="80">
        <f t="shared" si="174"/>
        <v>315</v>
      </c>
      <c r="R1053" s="80">
        <f t="shared" si="175"/>
        <v>100</v>
      </c>
      <c r="S1053" s="77">
        <f t="shared" si="176"/>
        <v>695</v>
      </c>
      <c r="T1053" s="77">
        <f>0</f>
        <v>0</v>
      </c>
      <c r="U1053" s="78"/>
      <c r="V1053" s="78"/>
      <c r="W1053" s="78"/>
      <c r="X1053" s="78"/>
      <c r="Y1053" s="78"/>
      <c r="Z1053" s="78"/>
      <c r="AA1053" s="78"/>
      <c r="AB1053" s="78"/>
      <c r="AC1053" s="78"/>
      <c r="AD1053" s="78"/>
    </row>
    <row r="1054" spans="1:30" ht="15.75" x14ac:dyDescent="0.25">
      <c r="A1054" s="32">
        <v>73019</v>
      </c>
      <c r="B1054" s="89">
        <f t="shared" si="178"/>
        <v>30</v>
      </c>
      <c r="C1054" s="77">
        <f>122.58</f>
        <v>122.58</v>
      </c>
      <c r="D1054" s="77">
        <f>297.941</f>
        <v>297.94099999999997</v>
      </c>
      <c r="E1054" s="86">
        <f>89.177</f>
        <v>89.177000000000007</v>
      </c>
      <c r="F1054" s="77">
        <f>240.302-40-60-100</f>
        <v>40.301999999999992</v>
      </c>
      <c r="G1054" s="80">
        <v>40</v>
      </c>
      <c r="H1054" s="77">
        <f>60+100</f>
        <v>160</v>
      </c>
      <c r="I1054" s="77">
        <f t="shared" si="170"/>
        <v>0</v>
      </c>
      <c r="J1054" s="80">
        <v>100</v>
      </c>
      <c r="K1054" s="80">
        <v>300</v>
      </c>
      <c r="L1054" s="77">
        <f t="shared" si="173"/>
        <v>1150</v>
      </c>
      <c r="M1054" s="88">
        <v>600</v>
      </c>
      <c r="N1054" s="77">
        <f>100</f>
        <v>100</v>
      </c>
      <c r="O1054" s="80">
        <v>240</v>
      </c>
      <c r="P1054" s="80">
        <v>40</v>
      </c>
      <c r="Q1054" s="80">
        <f t="shared" si="174"/>
        <v>315</v>
      </c>
      <c r="R1054" s="80">
        <f t="shared" si="175"/>
        <v>100</v>
      </c>
      <c r="S1054" s="77">
        <f t="shared" si="176"/>
        <v>695</v>
      </c>
      <c r="T1054" s="77">
        <f>50</f>
        <v>50</v>
      </c>
      <c r="U1054" s="78"/>
      <c r="V1054" s="78"/>
      <c r="W1054" s="78"/>
      <c r="X1054" s="78"/>
      <c r="Y1054" s="78"/>
      <c r="Z1054" s="78"/>
      <c r="AA1054" s="78"/>
      <c r="AB1054" s="78"/>
      <c r="AC1054" s="78"/>
      <c r="AD1054" s="78"/>
    </row>
    <row r="1055" spans="1:30" ht="15.75" x14ac:dyDescent="0.25">
      <c r="A1055" s="32">
        <v>73050</v>
      </c>
      <c r="B1055" s="89">
        <f t="shared" si="178"/>
        <v>31</v>
      </c>
      <c r="C1055" s="77">
        <f>122.58</f>
        <v>122.58</v>
      </c>
      <c r="D1055" s="77">
        <f>297.941</f>
        <v>297.94099999999997</v>
      </c>
      <c r="E1055" s="86">
        <f>89.177</f>
        <v>89.177000000000007</v>
      </c>
      <c r="F1055" s="77">
        <f>240.302-40-60-100</f>
        <v>40.301999999999992</v>
      </c>
      <c r="G1055" s="80">
        <v>40</v>
      </c>
      <c r="H1055" s="77">
        <f>60+100</f>
        <v>160</v>
      </c>
      <c r="I1055" s="77">
        <f t="shared" si="170"/>
        <v>0</v>
      </c>
      <c r="J1055" s="80">
        <v>100</v>
      </c>
      <c r="K1055" s="80">
        <v>300</v>
      </c>
      <c r="L1055" s="77">
        <f t="shared" si="173"/>
        <v>1150</v>
      </c>
      <c r="M1055" s="88">
        <v>600</v>
      </c>
      <c r="N1055" s="77">
        <f>100</f>
        <v>100</v>
      </c>
      <c r="O1055" s="80">
        <v>240</v>
      </c>
      <c r="P1055" s="80">
        <v>40</v>
      </c>
      <c r="Q1055" s="80">
        <f t="shared" si="174"/>
        <v>315</v>
      </c>
      <c r="R1055" s="80">
        <f t="shared" si="175"/>
        <v>100</v>
      </c>
      <c r="S1055" s="77">
        <f t="shared" si="176"/>
        <v>695</v>
      </c>
      <c r="T1055" s="77">
        <f>50</f>
        <v>50</v>
      </c>
      <c r="U1055" s="78"/>
      <c r="V1055" s="78"/>
      <c r="W1055" s="78"/>
      <c r="X1055" s="78"/>
      <c r="Y1055" s="78"/>
      <c r="Z1055" s="78"/>
      <c r="AA1055" s="78"/>
      <c r="AB1055" s="78"/>
      <c r="AC1055" s="78"/>
      <c r="AD1055" s="78"/>
    </row>
    <row r="1056" spans="1:30" ht="15.75" x14ac:dyDescent="0.25">
      <c r="A1056" s="32">
        <v>73081</v>
      </c>
      <c r="B1056" s="89">
        <f t="shared" si="178"/>
        <v>31</v>
      </c>
      <c r="C1056" s="77">
        <f>122.58</f>
        <v>122.58</v>
      </c>
      <c r="D1056" s="77">
        <f>297.941</f>
        <v>297.94099999999997</v>
      </c>
      <c r="E1056" s="86">
        <f>89.177</f>
        <v>89.177000000000007</v>
      </c>
      <c r="F1056" s="77">
        <f>240.302-40-60-100</f>
        <v>40.301999999999992</v>
      </c>
      <c r="G1056" s="80">
        <v>40</v>
      </c>
      <c r="H1056" s="77">
        <f>60+100</f>
        <v>160</v>
      </c>
      <c r="I1056" s="77">
        <f t="shared" si="170"/>
        <v>0</v>
      </c>
      <c r="J1056" s="80">
        <v>100</v>
      </c>
      <c r="K1056" s="80">
        <v>300</v>
      </c>
      <c r="L1056" s="77">
        <f t="shared" si="173"/>
        <v>1150</v>
      </c>
      <c r="M1056" s="88">
        <v>600</v>
      </c>
      <c r="N1056" s="77">
        <f>100</f>
        <v>100</v>
      </c>
      <c r="O1056" s="80">
        <v>240</v>
      </c>
      <c r="P1056" s="80">
        <v>40</v>
      </c>
      <c r="Q1056" s="80">
        <f t="shared" si="174"/>
        <v>315</v>
      </c>
      <c r="R1056" s="80">
        <f t="shared" si="175"/>
        <v>100</v>
      </c>
      <c r="S1056" s="77">
        <f t="shared" si="176"/>
        <v>695</v>
      </c>
      <c r="T1056" s="77">
        <f>50</f>
        <v>50</v>
      </c>
      <c r="U1056" s="78"/>
      <c r="V1056" s="78"/>
      <c r="W1056" s="78"/>
      <c r="X1056" s="78"/>
      <c r="Y1056" s="78"/>
      <c r="Z1056" s="78"/>
      <c r="AA1056" s="78"/>
      <c r="AB1056" s="78"/>
      <c r="AC1056" s="78"/>
      <c r="AD1056" s="78"/>
    </row>
    <row r="1057" spans="1:30" ht="15.75" x14ac:dyDescent="0.25">
      <c r="A1057" s="32">
        <v>73109</v>
      </c>
      <c r="B1057" s="89">
        <f t="shared" si="178"/>
        <v>28</v>
      </c>
      <c r="C1057" s="77">
        <f>122.58</f>
        <v>122.58</v>
      </c>
      <c r="D1057" s="77">
        <f>297.941</f>
        <v>297.94099999999997</v>
      </c>
      <c r="E1057" s="86">
        <f>89.177</f>
        <v>89.177000000000007</v>
      </c>
      <c r="F1057" s="77">
        <f>240.302-40-60-100</f>
        <v>40.301999999999992</v>
      </c>
      <c r="G1057" s="80">
        <v>40</v>
      </c>
      <c r="H1057" s="77">
        <f>60+100</f>
        <v>160</v>
      </c>
      <c r="I1057" s="77">
        <f t="shared" si="170"/>
        <v>0</v>
      </c>
      <c r="J1057" s="80">
        <v>100</v>
      </c>
      <c r="K1057" s="80">
        <v>300</v>
      </c>
      <c r="L1057" s="77">
        <f t="shared" si="173"/>
        <v>1150</v>
      </c>
      <c r="M1057" s="88">
        <v>600</v>
      </c>
      <c r="N1057" s="77">
        <f>100</f>
        <v>100</v>
      </c>
      <c r="O1057" s="80">
        <v>240</v>
      </c>
      <c r="P1057" s="80">
        <v>40</v>
      </c>
      <c r="Q1057" s="80">
        <f t="shared" si="174"/>
        <v>315</v>
      </c>
      <c r="R1057" s="80">
        <f t="shared" si="175"/>
        <v>100</v>
      </c>
      <c r="S1057" s="77">
        <f t="shared" si="176"/>
        <v>695</v>
      </c>
      <c r="T1057" s="77">
        <f>50</f>
        <v>50</v>
      </c>
      <c r="U1057" s="78"/>
      <c r="V1057" s="78"/>
      <c r="W1057" s="78"/>
      <c r="X1057" s="78"/>
      <c r="Y1057" s="78"/>
      <c r="Z1057" s="78"/>
      <c r="AA1057" s="78"/>
      <c r="AB1057" s="78"/>
      <c r="AC1057" s="78"/>
      <c r="AD1057" s="78"/>
    </row>
    <row r="1058" spans="1:30" ht="15.75" x14ac:dyDescent="0.25">
      <c r="A1058" s="32">
        <v>73140</v>
      </c>
      <c r="B1058" s="89">
        <f t="shared" si="178"/>
        <v>31</v>
      </c>
      <c r="C1058" s="77">
        <f>122.58</f>
        <v>122.58</v>
      </c>
      <c r="D1058" s="77">
        <f>297.941</f>
        <v>297.94099999999997</v>
      </c>
      <c r="E1058" s="86">
        <f>89.177</f>
        <v>89.177000000000007</v>
      </c>
      <c r="F1058" s="77">
        <f>240.302-40-60-100</f>
        <v>40.301999999999992</v>
      </c>
      <c r="G1058" s="80">
        <v>40</v>
      </c>
      <c r="H1058" s="77">
        <f>60+100</f>
        <v>160</v>
      </c>
      <c r="I1058" s="77">
        <f t="shared" si="170"/>
        <v>0</v>
      </c>
      <c r="J1058" s="80">
        <v>100</v>
      </c>
      <c r="K1058" s="80">
        <v>300</v>
      </c>
      <c r="L1058" s="77">
        <f t="shared" si="173"/>
        <v>1150</v>
      </c>
      <c r="M1058" s="88">
        <v>600</v>
      </c>
      <c r="N1058" s="77">
        <f>100</f>
        <v>100</v>
      </c>
      <c r="O1058" s="80">
        <v>240</v>
      </c>
      <c r="P1058" s="80">
        <v>40</v>
      </c>
      <c r="Q1058" s="80">
        <f t="shared" si="174"/>
        <v>315</v>
      </c>
      <c r="R1058" s="80">
        <f t="shared" si="175"/>
        <v>100</v>
      </c>
      <c r="S1058" s="77">
        <f t="shared" si="176"/>
        <v>695</v>
      </c>
      <c r="T1058" s="77">
        <f>50</f>
        <v>50</v>
      </c>
      <c r="U1058" s="78"/>
      <c r="V1058" s="78"/>
      <c r="W1058" s="78"/>
      <c r="X1058" s="78"/>
      <c r="Y1058" s="78"/>
      <c r="Z1058" s="78"/>
      <c r="AA1058" s="78"/>
      <c r="AB1058" s="78"/>
      <c r="AC1058" s="78"/>
      <c r="AD1058" s="78"/>
    </row>
    <row r="1059" spans="1:30" ht="15.75" x14ac:dyDescent="0.25">
      <c r="A1059" s="32">
        <v>73170</v>
      </c>
      <c r="B1059" s="89">
        <f t="shared" si="178"/>
        <v>30</v>
      </c>
      <c r="C1059" s="77">
        <f>141.293</f>
        <v>141.29300000000001</v>
      </c>
      <c r="D1059" s="77">
        <f>267.993</f>
        <v>267.99299999999999</v>
      </c>
      <c r="E1059" s="86">
        <f>115.016</f>
        <v>115.01600000000001</v>
      </c>
      <c r="F1059" s="77">
        <f>314.698-40-25-60-100</f>
        <v>89.697999999999979</v>
      </c>
      <c r="G1059" s="80">
        <v>40</v>
      </c>
      <c r="H1059" s="77">
        <f t="shared" ref="H1059:H1065" si="179">25+60+100</f>
        <v>185</v>
      </c>
      <c r="I1059" s="77">
        <f t="shared" si="170"/>
        <v>0</v>
      </c>
      <c r="J1059" s="80">
        <v>100</v>
      </c>
      <c r="K1059" s="80">
        <v>300</v>
      </c>
      <c r="L1059" s="77">
        <f t="shared" si="173"/>
        <v>1239</v>
      </c>
      <c r="M1059" s="88">
        <v>600</v>
      </c>
      <c r="N1059" s="77">
        <f>100</f>
        <v>100</v>
      </c>
      <c r="O1059" s="80">
        <v>240</v>
      </c>
      <c r="P1059" s="80">
        <v>40</v>
      </c>
      <c r="Q1059" s="80">
        <f t="shared" si="174"/>
        <v>315</v>
      </c>
      <c r="R1059" s="80">
        <f t="shared" si="175"/>
        <v>100</v>
      </c>
      <c r="S1059" s="77">
        <f t="shared" si="176"/>
        <v>695</v>
      </c>
      <c r="T1059" s="77">
        <f>50</f>
        <v>50</v>
      </c>
      <c r="U1059" s="78"/>
      <c r="V1059" s="78"/>
      <c r="W1059" s="78"/>
      <c r="X1059" s="78"/>
      <c r="Y1059" s="78"/>
      <c r="Z1059" s="78"/>
      <c r="AA1059" s="78"/>
      <c r="AB1059" s="78"/>
      <c r="AC1059" s="78"/>
      <c r="AD1059" s="78"/>
    </row>
    <row r="1060" spans="1:30" ht="15.75" x14ac:dyDescent="0.25">
      <c r="A1060" s="32">
        <v>73201</v>
      </c>
      <c r="B1060" s="89">
        <f t="shared" si="178"/>
        <v>31</v>
      </c>
      <c r="C1060" s="77">
        <f>194.205</f>
        <v>194.20500000000001</v>
      </c>
      <c r="D1060" s="77">
        <f>267.466</f>
        <v>267.46600000000001</v>
      </c>
      <c r="E1060" s="86">
        <f>133.845</f>
        <v>133.845</v>
      </c>
      <c r="F1060" s="77">
        <f>278.484-40-25-60-100</f>
        <v>53.48399999999998</v>
      </c>
      <c r="G1060" s="80">
        <v>40</v>
      </c>
      <c r="H1060" s="77">
        <f t="shared" si="179"/>
        <v>185</v>
      </c>
      <c r="I1060" s="77">
        <f t="shared" si="170"/>
        <v>0</v>
      </c>
      <c r="J1060" s="80">
        <v>100</v>
      </c>
      <c r="K1060" s="80">
        <v>300</v>
      </c>
      <c r="L1060" s="77">
        <f t="shared" si="173"/>
        <v>1274</v>
      </c>
      <c r="M1060" s="88">
        <v>600</v>
      </c>
      <c r="N1060" s="77">
        <f>75</f>
        <v>75</v>
      </c>
      <c r="O1060" s="80">
        <v>240</v>
      </c>
      <c r="P1060" s="80">
        <v>40</v>
      </c>
      <c r="Q1060" s="80">
        <f t="shared" si="174"/>
        <v>315</v>
      </c>
      <c r="R1060" s="80">
        <f t="shared" si="175"/>
        <v>100</v>
      </c>
      <c r="S1060" s="77">
        <f t="shared" si="176"/>
        <v>695</v>
      </c>
      <c r="T1060" s="77">
        <f>50</f>
        <v>50</v>
      </c>
      <c r="U1060" s="78"/>
      <c r="V1060" s="78"/>
      <c r="W1060" s="78"/>
      <c r="X1060" s="78"/>
      <c r="Y1060" s="78"/>
      <c r="Z1060" s="78"/>
      <c r="AA1060" s="78"/>
      <c r="AB1060" s="78"/>
      <c r="AC1060" s="78"/>
      <c r="AD1060" s="78"/>
    </row>
    <row r="1061" spans="1:30" ht="15.75" x14ac:dyDescent="0.25">
      <c r="A1061" s="32">
        <v>73231</v>
      </c>
      <c r="B1061" s="89">
        <f t="shared" si="178"/>
        <v>30</v>
      </c>
      <c r="C1061" s="77">
        <f>194.205</f>
        <v>194.20500000000001</v>
      </c>
      <c r="D1061" s="77">
        <f>267.466</f>
        <v>267.46600000000001</v>
      </c>
      <c r="E1061" s="86">
        <f>133.845</f>
        <v>133.845</v>
      </c>
      <c r="F1061" s="77">
        <f>278.484-40-25-60-100</f>
        <v>53.48399999999998</v>
      </c>
      <c r="G1061" s="80">
        <v>40</v>
      </c>
      <c r="H1061" s="77">
        <f t="shared" si="179"/>
        <v>185</v>
      </c>
      <c r="I1061" s="77">
        <f t="shared" si="170"/>
        <v>0</v>
      </c>
      <c r="J1061" s="80">
        <v>100</v>
      </c>
      <c r="K1061" s="80">
        <v>300</v>
      </c>
      <c r="L1061" s="77">
        <f t="shared" si="173"/>
        <v>1274</v>
      </c>
      <c r="M1061" s="88">
        <v>600</v>
      </c>
      <c r="N1061" s="77">
        <f>30</f>
        <v>30</v>
      </c>
      <c r="O1061" s="80">
        <v>240</v>
      </c>
      <c r="P1061" s="80">
        <v>40</v>
      </c>
      <c r="Q1061" s="80">
        <f t="shared" si="174"/>
        <v>315</v>
      </c>
      <c r="R1061" s="80">
        <f t="shared" si="175"/>
        <v>100</v>
      </c>
      <c r="S1061" s="77">
        <f t="shared" si="176"/>
        <v>695</v>
      </c>
      <c r="T1061" s="77">
        <f>50</f>
        <v>50</v>
      </c>
      <c r="U1061" s="78"/>
      <c r="V1061" s="78"/>
      <c r="W1061" s="78"/>
      <c r="X1061" s="78"/>
      <c r="Y1061" s="78"/>
      <c r="Z1061" s="78"/>
      <c r="AA1061" s="78"/>
      <c r="AB1061" s="78"/>
      <c r="AC1061" s="78"/>
      <c r="AD1061" s="78"/>
    </row>
    <row r="1062" spans="1:30" ht="15.75" x14ac:dyDescent="0.25">
      <c r="A1062" s="32">
        <v>73262</v>
      </c>
      <c r="B1062" s="89">
        <f t="shared" si="178"/>
        <v>31</v>
      </c>
      <c r="C1062" s="77">
        <f>194.205</f>
        <v>194.20500000000001</v>
      </c>
      <c r="D1062" s="77">
        <f>267.466</f>
        <v>267.46600000000001</v>
      </c>
      <c r="E1062" s="86">
        <f>133.845</f>
        <v>133.845</v>
      </c>
      <c r="F1062" s="77">
        <f>278.484-40-25-60-100</f>
        <v>53.48399999999998</v>
      </c>
      <c r="G1062" s="80">
        <v>40</v>
      </c>
      <c r="H1062" s="77">
        <f t="shared" si="179"/>
        <v>185</v>
      </c>
      <c r="I1062" s="77">
        <f t="shared" si="170"/>
        <v>0</v>
      </c>
      <c r="J1062" s="80">
        <v>100</v>
      </c>
      <c r="K1062" s="80">
        <v>300</v>
      </c>
      <c r="L1062" s="77">
        <f t="shared" si="173"/>
        <v>1274</v>
      </c>
      <c r="M1062" s="88">
        <v>600</v>
      </c>
      <c r="N1062" s="77">
        <f>30</f>
        <v>30</v>
      </c>
      <c r="O1062" s="80">
        <v>240</v>
      </c>
      <c r="P1062" s="80">
        <v>40</v>
      </c>
      <c r="Q1062" s="80">
        <f t="shared" si="174"/>
        <v>315</v>
      </c>
      <c r="R1062" s="80">
        <f t="shared" si="175"/>
        <v>100</v>
      </c>
      <c r="S1062" s="77">
        <f t="shared" si="176"/>
        <v>695</v>
      </c>
      <c r="T1062" s="77">
        <f>0</f>
        <v>0</v>
      </c>
      <c r="U1062" s="78"/>
      <c r="V1062" s="78"/>
      <c r="W1062" s="78"/>
      <c r="X1062" s="78"/>
      <c r="Y1062" s="78"/>
      <c r="Z1062" s="78"/>
      <c r="AA1062" s="78"/>
      <c r="AB1062" s="78"/>
      <c r="AC1062" s="78"/>
      <c r="AD1062" s="78"/>
    </row>
    <row r="1063" spans="1:30" ht="15.75" x14ac:dyDescent="0.25">
      <c r="A1063" s="32">
        <v>73293</v>
      </c>
      <c r="B1063" s="89">
        <f t="shared" si="178"/>
        <v>31</v>
      </c>
      <c r="C1063" s="77">
        <f>194.205</f>
        <v>194.20500000000001</v>
      </c>
      <c r="D1063" s="77">
        <f>267.466</f>
        <v>267.46600000000001</v>
      </c>
      <c r="E1063" s="86">
        <f>133.845</f>
        <v>133.845</v>
      </c>
      <c r="F1063" s="77">
        <f>278.484-40-25-60-100</f>
        <v>53.48399999999998</v>
      </c>
      <c r="G1063" s="80">
        <v>40</v>
      </c>
      <c r="H1063" s="77">
        <f t="shared" si="179"/>
        <v>185</v>
      </c>
      <c r="I1063" s="77">
        <f t="shared" si="170"/>
        <v>0</v>
      </c>
      <c r="J1063" s="80">
        <v>100</v>
      </c>
      <c r="K1063" s="80">
        <v>300</v>
      </c>
      <c r="L1063" s="77">
        <f t="shared" si="173"/>
        <v>1274</v>
      </c>
      <c r="M1063" s="88">
        <v>600</v>
      </c>
      <c r="N1063" s="77">
        <f>30</f>
        <v>30</v>
      </c>
      <c r="O1063" s="80">
        <v>240</v>
      </c>
      <c r="P1063" s="80">
        <v>40</v>
      </c>
      <c r="Q1063" s="80">
        <f t="shared" si="174"/>
        <v>315</v>
      </c>
      <c r="R1063" s="80">
        <f t="shared" si="175"/>
        <v>100</v>
      </c>
      <c r="S1063" s="77">
        <f t="shared" si="176"/>
        <v>695</v>
      </c>
      <c r="T1063" s="77">
        <f>0</f>
        <v>0</v>
      </c>
      <c r="U1063" s="78"/>
      <c r="V1063" s="78"/>
      <c r="W1063" s="78"/>
      <c r="X1063" s="78"/>
      <c r="Y1063" s="78"/>
      <c r="Z1063" s="78"/>
      <c r="AA1063" s="78"/>
      <c r="AB1063" s="78"/>
      <c r="AC1063" s="78"/>
      <c r="AD1063" s="78"/>
    </row>
    <row r="1064" spans="1:30" ht="15.75" x14ac:dyDescent="0.25">
      <c r="A1064" s="32">
        <v>73323</v>
      </c>
      <c r="B1064" s="89">
        <f t="shared" si="178"/>
        <v>30</v>
      </c>
      <c r="C1064" s="77">
        <f>194.205</f>
        <v>194.20500000000001</v>
      </c>
      <c r="D1064" s="77">
        <f>267.466</f>
        <v>267.46600000000001</v>
      </c>
      <c r="E1064" s="86">
        <f>133.845</f>
        <v>133.845</v>
      </c>
      <c r="F1064" s="77">
        <f>278.484-40-25-60-100</f>
        <v>53.48399999999998</v>
      </c>
      <c r="G1064" s="80">
        <v>40</v>
      </c>
      <c r="H1064" s="77">
        <f t="shared" si="179"/>
        <v>185</v>
      </c>
      <c r="I1064" s="77">
        <f t="shared" si="170"/>
        <v>0</v>
      </c>
      <c r="J1064" s="80">
        <v>100</v>
      </c>
      <c r="K1064" s="80">
        <v>300</v>
      </c>
      <c r="L1064" s="77">
        <f t="shared" si="173"/>
        <v>1274</v>
      </c>
      <c r="M1064" s="88">
        <v>600</v>
      </c>
      <c r="N1064" s="77">
        <f>30</f>
        <v>30</v>
      </c>
      <c r="O1064" s="80">
        <v>240</v>
      </c>
      <c r="P1064" s="80">
        <v>40</v>
      </c>
      <c r="Q1064" s="80">
        <f t="shared" si="174"/>
        <v>315</v>
      </c>
      <c r="R1064" s="80">
        <f t="shared" si="175"/>
        <v>100</v>
      </c>
      <c r="S1064" s="77">
        <f t="shared" si="176"/>
        <v>695</v>
      </c>
      <c r="T1064" s="77">
        <f>0</f>
        <v>0</v>
      </c>
      <c r="U1064" s="78"/>
      <c r="V1064" s="78"/>
      <c r="W1064" s="78"/>
      <c r="X1064" s="78"/>
      <c r="Y1064" s="78"/>
      <c r="Z1064" s="78"/>
      <c r="AA1064" s="78"/>
      <c r="AB1064" s="78"/>
      <c r="AC1064" s="78"/>
      <c r="AD1064" s="78"/>
    </row>
    <row r="1065" spans="1:30" ht="15.75" x14ac:dyDescent="0.25">
      <c r="A1065" s="32">
        <v>73354</v>
      </c>
      <c r="B1065" s="89">
        <f t="shared" si="178"/>
        <v>31</v>
      </c>
      <c r="C1065" s="77">
        <f>131.881</f>
        <v>131.881</v>
      </c>
      <c r="D1065" s="77">
        <f>277.167</f>
        <v>277.16699999999997</v>
      </c>
      <c r="E1065" s="86">
        <f>79.08</f>
        <v>79.08</v>
      </c>
      <c r="F1065" s="77">
        <f>350.872-40-25-60-100</f>
        <v>125.87200000000001</v>
      </c>
      <c r="G1065" s="80">
        <v>40</v>
      </c>
      <c r="H1065" s="77">
        <f t="shared" si="179"/>
        <v>185</v>
      </c>
      <c r="I1065" s="77">
        <f t="shared" si="170"/>
        <v>0</v>
      </c>
      <c r="J1065" s="80">
        <v>100</v>
      </c>
      <c r="K1065" s="80">
        <v>300</v>
      </c>
      <c r="L1065" s="77">
        <f t="shared" si="173"/>
        <v>1239</v>
      </c>
      <c r="M1065" s="88">
        <v>600</v>
      </c>
      <c r="N1065" s="77">
        <f>75</f>
        <v>75</v>
      </c>
      <c r="O1065" s="80">
        <v>240</v>
      </c>
      <c r="P1065" s="80">
        <v>40</v>
      </c>
      <c r="Q1065" s="80">
        <f t="shared" si="174"/>
        <v>315</v>
      </c>
      <c r="R1065" s="80">
        <f t="shared" si="175"/>
        <v>100</v>
      </c>
      <c r="S1065" s="77">
        <f t="shared" si="176"/>
        <v>695</v>
      </c>
      <c r="T1065" s="77">
        <f>0</f>
        <v>0</v>
      </c>
      <c r="U1065" s="78"/>
      <c r="V1065" s="78"/>
      <c r="W1065" s="78"/>
      <c r="X1065" s="78"/>
      <c r="Y1065" s="78"/>
      <c r="Z1065" s="78"/>
      <c r="AA1065" s="78"/>
      <c r="AB1065" s="78"/>
      <c r="AC1065" s="78"/>
      <c r="AD1065" s="78"/>
    </row>
    <row r="1066" spans="1:30" ht="15.75" x14ac:dyDescent="0.25">
      <c r="A1066" s="32">
        <v>73384</v>
      </c>
      <c r="B1066" s="89">
        <f t="shared" si="178"/>
        <v>30</v>
      </c>
      <c r="C1066" s="77">
        <f>122.58</f>
        <v>122.58</v>
      </c>
      <c r="D1066" s="77">
        <f>297.941</f>
        <v>297.94099999999997</v>
      </c>
      <c r="E1066" s="86">
        <f>89.177</f>
        <v>89.177000000000007</v>
      </c>
      <c r="F1066" s="77">
        <f>240.302-40-60-100</f>
        <v>40.301999999999992</v>
      </c>
      <c r="G1066" s="80">
        <v>40</v>
      </c>
      <c r="H1066" s="77">
        <f>60+100</f>
        <v>160</v>
      </c>
      <c r="I1066" s="77">
        <f t="shared" si="170"/>
        <v>0</v>
      </c>
      <c r="J1066" s="80">
        <v>100</v>
      </c>
      <c r="K1066" s="80">
        <v>300</v>
      </c>
      <c r="L1066" s="77">
        <f t="shared" si="173"/>
        <v>1150</v>
      </c>
      <c r="M1066" s="88">
        <v>600</v>
      </c>
      <c r="N1066" s="77">
        <f>100</f>
        <v>100</v>
      </c>
      <c r="O1066" s="80">
        <v>240</v>
      </c>
      <c r="P1066" s="80">
        <v>40</v>
      </c>
      <c r="Q1066" s="80">
        <f t="shared" si="174"/>
        <v>315</v>
      </c>
      <c r="R1066" s="80">
        <f t="shared" si="175"/>
        <v>100</v>
      </c>
      <c r="S1066" s="77">
        <f t="shared" si="176"/>
        <v>695</v>
      </c>
      <c r="T1066" s="77">
        <f>50</f>
        <v>50</v>
      </c>
      <c r="U1066" s="78"/>
      <c r="V1066" s="78"/>
      <c r="W1066" s="78"/>
      <c r="X1066" s="78"/>
      <c r="Y1066" s="78"/>
      <c r="Z1066" s="78"/>
      <c r="AA1066" s="78"/>
      <c r="AB1066" s="78"/>
      <c r="AC1066" s="78"/>
      <c r="AD1066" s="78"/>
    </row>
    <row r="1067" spans="1:30" ht="15.75" x14ac:dyDescent="0.25">
      <c r="A1067" s="32">
        <v>73415</v>
      </c>
      <c r="B1067" s="89">
        <f t="shared" si="178"/>
        <v>31</v>
      </c>
      <c r="C1067" s="77">
        <f>122.58</f>
        <v>122.58</v>
      </c>
      <c r="D1067" s="77">
        <f>297.941</f>
        <v>297.94099999999997</v>
      </c>
      <c r="E1067" s="86">
        <f>89.177</f>
        <v>89.177000000000007</v>
      </c>
      <c r="F1067" s="77">
        <f>240.302-40-60-100</f>
        <v>40.301999999999992</v>
      </c>
      <c r="G1067" s="80">
        <v>40</v>
      </c>
      <c r="H1067" s="77">
        <f>60+100</f>
        <v>160</v>
      </c>
      <c r="I1067" s="77">
        <f t="shared" si="170"/>
        <v>0</v>
      </c>
      <c r="J1067" s="80">
        <v>100</v>
      </c>
      <c r="K1067" s="80">
        <v>300</v>
      </c>
      <c r="L1067" s="77">
        <f t="shared" si="173"/>
        <v>1150</v>
      </c>
      <c r="M1067" s="88">
        <v>600</v>
      </c>
      <c r="N1067" s="77">
        <f>100</f>
        <v>100</v>
      </c>
      <c r="O1067" s="80">
        <v>240</v>
      </c>
      <c r="P1067" s="80">
        <v>40</v>
      </c>
      <c r="Q1067" s="80">
        <f t="shared" si="174"/>
        <v>315</v>
      </c>
      <c r="R1067" s="80">
        <f t="shared" si="175"/>
        <v>100</v>
      </c>
      <c r="S1067" s="77">
        <f t="shared" si="176"/>
        <v>695</v>
      </c>
      <c r="T1067" s="77">
        <f>50</f>
        <v>50</v>
      </c>
      <c r="U1067" s="78"/>
      <c r="V1067" s="78"/>
      <c r="W1067" s="78"/>
      <c r="X1067" s="78"/>
      <c r="Y1067" s="78"/>
      <c r="Z1067" s="78"/>
      <c r="AA1067" s="78"/>
      <c r="AB1067" s="78"/>
      <c r="AC1067" s="78"/>
      <c r="AD1067" s="78"/>
    </row>
    <row r="1068" spans="1:30" ht="15" x14ac:dyDescent="0.2">
      <c r="A1068" s="12"/>
      <c r="B1068" s="87"/>
      <c r="C1068" s="77"/>
      <c r="D1068" s="77"/>
      <c r="E1068" s="86"/>
      <c r="F1068" s="77"/>
      <c r="G1068" s="77"/>
      <c r="H1068" s="77"/>
      <c r="I1068" s="77"/>
      <c r="J1068" s="77"/>
      <c r="K1068" s="77"/>
      <c r="L1068" s="77"/>
      <c r="M1068" s="77"/>
      <c r="N1068" s="77"/>
      <c r="O1068" s="80"/>
      <c r="P1068" s="80"/>
      <c r="Q1068" s="80"/>
      <c r="R1068" s="80"/>
      <c r="S1068" s="77"/>
      <c r="T1068" s="77"/>
      <c r="U1068" s="78"/>
      <c r="V1068" s="78"/>
      <c r="W1068" s="78"/>
      <c r="X1068" s="78"/>
      <c r="Y1068" s="78"/>
      <c r="Z1068" s="78"/>
      <c r="AA1068" s="78"/>
      <c r="AB1068" s="78"/>
      <c r="AC1068" s="78"/>
      <c r="AD1068" s="78"/>
    </row>
    <row r="1069" spans="1:30" ht="15" x14ac:dyDescent="0.2">
      <c r="A1069" s="10">
        <v>2013</v>
      </c>
      <c r="B1069" s="10">
        <f t="shared" ref="B1069:B1100" si="180">DATE(A1069+1,1,1)-DATE(A1069,1,1)</f>
        <v>365</v>
      </c>
      <c r="C1069" s="81">
        <f t="shared" ref="C1069:L1069" si="181">AVERAGE(C12:C23)</f>
        <v>154.75825</v>
      </c>
      <c r="D1069" s="81">
        <f t="shared" si="181"/>
        <v>281.0162499999999</v>
      </c>
      <c r="E1069" s="81">
        <f t="shared" si="181"/>
        <v>109.1005</v>
      </c>
      <c r="F1069" s="81">
        <f t="shared" si="181"/>
        <v>217.04166666666666</v>
      </c>
      <c r="G1069" s="81">
        <f t="shared" si="181"/>
        <v>40</v>
      </c>
      <c r="H1069" s="81">
        <f t="shared" si="181"/>
        <v>14.583333333333334</v>
      </c>
      <c r="I1069" s="81">
        <f t="shared" si="181"/>
        <v>12.5</v>
      </c>
      <c r="J1069" s="81">
        <f t="shared" si="181"/>
        <v>100</v>
      </c>
      <c r="K1069" s="81">
        <f t="shared" si="181"/>
        <v>300</v>
      </c>
      <c r="L1069" s="81">
        <f t="shared" si="181"/>
        <v>1229</v>
      </c>
      <c r="M1069" s="85"/>
      <c r="N1069" s="81">
        <f t="shared" ref="N1069:T1069" si="182">AVERAGE(N12:N23)</f>
        <v>97.5</v>
      </c>
      <c r="O1069" s="82">
        <f t="shared" si="182"/>
        <v>240</v>
      </c>
      <c r="P1069" s="82">
        <f t="shared" si="182"/>
        <v>70</v>
      </c>
      <c r="Q1069" s="82">
        <f t="shared" si="182"/>
        <v>285</v>
      </c>
      <c r="R1069" s="82">
        <f t="shared" si="182"/>
        <v>100</v>
      </c>
      <c r="S1069" s="81">
        <f t="shared" si="182"/>
        <v>695</v>
      </c>
      <c r="T1069" s="81">
        <f t="shared" si="182"/>
        <v>33.333333333333336</v>
      </c>
      <c r="U1069" s="78"/>
      <c r="V1069" s="78"/>
      <c r="W1069" s="78"/>
      <c r="X1069" s="78"/>
      <c r="Y1069" s="78"/>
      <c r="Z1069" s="78"/>
      <c r="AA1069" s="78"/>
      <c r="AB1069" s="78"/>
      <c r="AC1069" s="78"/>
      <c r="AD1069" s="78"/>
    </row>
    <row r="1070" spans="1:30" ht="15.75" x14ac:dyDescent="0.25">
      <c r="A1070" s="10">
        <v>2014</v>
      </c>
      <c r="B1070" s="10">
        <f t="shared" si="180"/>
        <v>365</v>
      </c>
      <c r="C1070" s="81">
        <f t="shared" ref="C1070:L1070" si="183">AVERAGE(C24:C35)</f>
        <v>154.75825</v>
      </c>
      <c r="D1070" s="81">
        <f t="shared" si="183"/>
        <v>281.0162499999999</v>
      </c>
      <c r="E1070" s="81">
        <f t="shared" si="183"/>
        <v>109.1005</v>
      </c>
      <c r="F1070" s="81">
        <f t="shared" si="183"/>
        <v>217.04166666666666</v>
      </c>
      <c r="G1070" s="81">
        <f t="shared" si="183"/>
        <v>40</v>
      </c>
      <c r="H1070" s="81">
        <f t="shared" si="183"/>
        <v>14.583333333333334</v>
      </c>
      <c r="I1070" s="81">
        <f t="shared" si="183"/>
        <v>20.833333333333332</v>
      </c>
      <c r="J1070" s="81">
        <f t="shared" si="183"/>
        <v>100</v>
      </c>
      <c r="K1070" s="81">
        <f t="shared" si="183"/>
        <v>300</v>
      </c>
      <c r="L1070" s="81">
        <f t="shared" si="183"/>
        <v>1237.3333333333333</v>
      </c>
      <c r="M1070" s="84"/>
      <c r="N1070" s="81">
        <f t="shared" ref="N1070:T1070" si="184">AVERAGE(N24:N35)</f>
        <v>72.5</v>
      </c>
      <c r="O1070" s="82">
        <f t="shared" si="184"/>
        <v>240</v>
      </c>
      <c r="P1070" s="82">
        <f t="shared" si="184"/>
        <v>70</v>
      </c>
      <c r="Q1070" s="82">
        <f t="shared" si="184"/>
        <v>285</v>
      </c>
      <c r="R1070" s="82">
        <f t="shared" si="184"/>
        <v>100</v>
      </c>
      <c r="S1070" s="81">
        <f t="shared" si="184"/>
        <v>695</v>
      </c>
      <c r="T1070" s="81">
        <f t="shared" si="184"/>
        <v>33.333333333333336</v>
      </c>
      <c r="U1070" s="78"/>
      <c r="V1070" s="78"/>
      <c r="W1070" s="78"/>
      <c r="X1070" s="78"/>
      <c r="Y1070" s="78"/>
      <c r="Z1070" s="78"/>
      <c r="AA1070" s="78"/>
      <c r="AB1070" s="78"/>
      <c r="AC1070" s="78"/>
      <c r="AD1070" s="78"/>
    </row>
    <row r="1071" spans="1:30" ht="15.75" x14ac:dyDescent="0.25">
      <c r="A1071" s="10">
        <v>2015</v>
      </c>
      <c r="B1071" s="10">
        <f t="shared" si="180"/>
        <v>365</v>
      </c>
      <c r="C1071" s="81">
        <f t="shared" ref="C1071:L1071" si="185">AVERAGE(C36:C47)</f>
        <v>154.75825</v>
      </c>
      <c r="D1071" s="81">
        <f t="shared" si="185"/>
        <v>281.0162499999999</v>
      </c>
      <c r="E1071" s="81">
        <f t="shared" si="185"/>
        <v>109.1005</v>
      </c>
      <c r="F1071" s="81">
        <f t="shared" si="185"/>
        <v>97.041666666666629</v>
      </c>
      <c r="G1071" s="81">
        <f t="shared" si="185"/>
        <v>40</v>
      </c>
      <c r="H1071" s="81">
        <f t="shared" si="185"/>
        <v>134.58333333333334</v>
      </c>
      <c r="I1071" s="81">
        <f t="shared" si="185"/>
        <v>20.833333333333332</v>
      </c>
      <c r="J1071" s="81">
        <f t="shared" si="185"/>
        <v>100</v>
      </c>
      <c r="K1071" s="81">
        <f t="shared" si="185"/>
        <v>300</v>
      </c>
      <c r="L1071" s="81">
        <f t="shared" si="185"/>
        <v>1237.3333333333333</v>
      </c>
      <c r="M1071" s="84"/>
      <c r="N1071" s="81">
        <f t="shared" ref="N1071:T1071" si="186">AVERAGE(N36:N47)</f>
        <v>72.5</v>
      </c>
      <c r="O1071" s="82">
        <f t="shared" si="186"/>
        <v>240</v>
      </c>
      <c r="P1071" s="82">
        <f t="shared" si="186"/>
        <v>100</v>
      </c>
      <c r="Q1071" s="82">
        <f t="shared" si="186"/>
        <v>255</v>
      </c>
      <c r="R1071" s="82">
        <f t="shared" si="186"/>
        <v>100</v>
      </c>
      <c r="S1071" s="81">
        <f t="shared" si="186"/>
        <v>695</v>
      </c>
      <c r="T1071" s="81">
        <f t="shared" si="186"/>
        <v>33.333333333333336</v>
      </c>
      <c r="U1071" s="78"/>
      <c r="V1071" s="78"/>
      <c r="W1071" s="78"/>
      <c r="X1071" s="78"/>
      <c r="Y1071" s="78"/>
      <c r="Z1071" s="78"/>
      <c r="AA1071" s="78"/>
      <c r="AB1071" s="78"/>
      <c r="AC1071" s="78"/>
      <c r="AD1071" s="78"/>
    </row>
    <row r="1072" spans="1:30" ht="15.75" x14ac:dyDescent="0.25">
      <c r="A1072" s="10">
        <v>2016</v>
      </c>
      <c r="B1072" s="10">
        <f t="shared" si="180"/>
        <v>366</v>
      </c>
      <c r="C1072" s="81">
        <f t="shared" ref="C1072:L1072" si="187">AVERAGE(C48:C59)</f>
        <v>154.75825</v>
      </c>
      <c r="D1072" s="81">
        <f t="shared" si="187"/>
        <v>281.0162499999999</v>
      </c>
      <c r="E1072" s="81">
        <f t="shared" si="187"/>
        <v>109.1005</v>
      </c>
      <c r="F1072" s="81">
        <f t="shared" si="187"/>
        <v>57.041666666666664</v>
      </c>
      <c r="G1072" s="81">
        <f t="shared" si="187"/>
        <v>40</v>
      </c>
      <c r="H1072" s="81">
        <f t="shared" si="187"/>
        <v>174.58333333333334</v>
      </c>
      <c r="I1072" s="81">
        <f t="shared" si="187"/>
        <v>0</v>
      </c>
      <c r="J1072" s="81">
        <f t="shared" si="187"/>
        <v>100</v>
      </c>
      <c r="K1072" s="81">
        <f t="shared" si="187"/>
        <v>300</v>
      </c>
      <c r="L1072" s="81">
        <f t="shared" si="187"/>
        <v>1216.5</v>
      </c>
      <c r="M1072" s="84"/>
      <c r="N1072" s="81">
        <f t="shared" ref="N1072:T1072" si="188">AVERAGE(N48:N59)</f>
        <v>72.5</v>
      </c>
      <c r="O1072" s="82">
        <f t="shared" si="188"/>
        <v>240</v>
      </c>
      <c r="P1072" s="82">
        <f t="shared" si="188"/>
        <v>110</v>
      </c>
      <c r="Q1072" s="82">
        <f t="shared" si="188"/>
        <v>245</v>
      </c>
      <c r="R1072" s="82">
        <f t="shared" si="188"/>
        <v>100</v>
      </c>
      <c r="S1072" s="81">
        <f t="shared" si="188"/>
        <v>695</v>
      </c>
      <c r="T1072" s="81">
        <f t="shared" si="188"/>
        <v>33.333333333333336</v>
      </c>
      <c r="U1072" s="78"/>
      <c r="V1072" s="78"/>
      <c r="W1072" s="78"/>
      <c r="X1072" s="78"/>
      <c r="Y1072" s="78"/>
      <c r="Z1072" s="78"/>
      <c r="AA1072" s="78"/>
      <c r="AB1072" s="78"/>
      <c r="AC1072" s="78"/>
      <c r="AD1072" s="78"/>
    </row>
    <row r="1073" spans="1:30" ht="15" x14ac:dyDescent="0.2">
      <c r="A1073" s="10">
        <v>2017</v>
      </c>
      <c r="B1073" s="10">
        <f t="shared" si="180"/>
        <v>365</v>
      </c>
      <c r="C1073" s="81">
        <f t="shared" ref="C1073:T1073" si="189">AVERAGE(C60:C71)</f>
        <v>154.75825</v>
      </c>
      <c r="D1073" s="81">
        <f t="shared" si="189"/>
        <v>281.0162499999999</v>
      </c>
      <c r="E1073" s="81">
        <f t="shared" si="189"/>
        <v>109.1005</v>
      </c>
      <c r="F1073" s="81">
        <f t="shared" si="189"/>
        <v>57.041666666666664</v>
      </c>
      <c r="G1073" s="81">
        <f t="shared" si="189"/>
        <v>40</v>
      </c>
      <c r="H1073" s="81">
        <f t="shared" si="189"/>
        <v>174.58333333333334</v>
      </c>
      <c r="I1073" s="81">
        <f t="shared" si="189"/>
        <v>0</v>
      </c>
      <c r="J1073" s="81">
        <f t="shared" si="189"/>
        <v>100</v>
      </c>
      <c r="K1073" s="81">
        <f t="shared" si="189"/>
        <v>300</v>
      </c>
      <c r="L1073" s="81">
        <f t="shared" si="189"/>
        <v>1216.5</v>
      </c>
      <c r="M1073" s="83">
        <f t="shared" si="189"/>
        <v>400</v>
      </c>
      <c r="N1073" s="81">
        <f t="shared" si="189"/>
        <v>72.5</v>
      </c>
      <c r="O1073" s="82">
        <f t="shared" si="189"/>
        <v>240</v>
      </c>
      <c r="P1073" s="82">
        <f t="shared" si="189"/>
        <v>110</v>
      </c>
      <c r="Q1073" s="82">
        <f t="shared" si="189"/>
        <v>245</v>
      </c>
      <c r="R1073" s="82">
        <f t="shared" si="189"/>
        <v>100</v>
      </c>
      <c r="S1073" s="81">
        <f t="shared" si="189"/>
        <v>695</v>
      </c>
      <c r="T1073" s="81">
        <f t="shared" si="189"/>
        <v>33.333333333333336</v>
      </c>
      <c r="U1073" s="78"/>
      <c r="V1073" s="78"/>
      <c r="W1073" s="78"/>
      <c r="X1073" s="78"/>
      <c r="Y1073" s="78"/>
      <c r="Z1073" s="78"/>
      <c r="AA1073" s="78"/>
      <c r="AB1073" s="78"/>
      <c r="AC1073" s="78"/>
      <c r="AD1073" s="78"/>
    </row>
    <row r="1074" spans="1:30" ht="15" x14ac:dyDescent="0.2">
      <c r="A1074" s="10">
        <v>2018</v>
      </c>
      <c r="B1074" s="10">
        <f t="shared" si="180"/>
        <v>365</v>
      </c>
      <c r="C1074" s="81">
        <f t="shared" ref="C1074:T1074" si="190">AVERAGE(C72:C83)</f>
        <v>154.75825</v>
      </c>
      <c r="D1074" s="81">
        <f t="shared" si="190"/>
        <v>281.0162499999999</v>
      </c>
      <c r="E1074" s="81">
        <f t="shared" si="190"/>
        <v>109.1005</v>
      </c>
      <c r="F1074" s="81">
        <f t="shared" si="190"/>
        <v>57.041666666666664</v>
      </c>
      <c r="G1074" s="81">
        <f t="shared" si="190"/>
        <v>40</v>
      </c>
      <c r="H1074" s="81">
        <f t="shared" si="190"/>
        <v>174.58333333333334</v>
      </c>
      <c r="I1074" s="81">
        <f t="shared" si="190"/>
        <v>0</v>
      </c>
      <c r="J1074" s="81">
        <f t="shared" si="190"/>
        <v>100</v>
      </c>
      <c r="K1074" s="81">
        <f t="shared" si="190"/>
        <v>300</v>
      </c>
      <c r="L1074" s="81">
        <f t="shared" si="190"/>
        <v>1216.5</v>
      </c>
      <c r="M1074" s="83">
        <f t="shared" si="190"/>
        <v>400</v>
      </c>
      <c r="N1074" s="81">
        <f t="shared" si="190"/>
        <v>72.5</v>
      </c>
      <c r="O1074" s="82">
        <f t="shared" si="190"/>
        <v>240</v>
      </c>
      <c r="P1074" s="82">
        <f t="shared" si="190"/>
        <v>110</v>
      </c>
      <c r="Q1074" s="82">
        <f t="shared" si="190"/>
        <v>245</v>
      </c>
      <c r="R1074" s="82">
        <f t="shared" si="190"/>
        <v>100</v>
      </c>
      <c r="S1074" s="81">
        <f t="shared" si="190"/>
        <v>695</v>
      </c>
      <c r="T1074" s="81">
        <f t="shared" si="190"/>
        <v>33.333333333333336</v>
      </c>
      <c r="U1074" s="78"/>
      <c r="V1074" s="78"/>
      <c r="W1074" s="78"/>
      <c r="X1074" s="78"/>
      <c r="Y1074" s="78"/>
      <c r="Z1074" s="78"/>
      <c r="AA1074" s="78"/>
      <c r="AB1074" s="78"/>
      <c r="AC1074" s="78"/>
      <c r="AD1074" s="78"/>
    </row>
    <row r="1075" spans="1:30" ht="15" x14ac:dyDescent="0.2">
      <c r="A1075" s="10">
        <v>2019</v>
      </c>
      <c r="B1075" s="10">
        <f t="shared" si="180"/>
        <v>365</v>
      </c>
      <c r="C1075" s="81">
        <f t="shared" ref="C1075:T1075" si="191">AVERAGE(C84:C95)</f>
        <v>154.75825</v>
      </c>
      <c r="D1075" s="81">
        <f t="shared" si="191"/>
        <v>281.0162499999999</v>
      </c>
      <c r="E1075" s="81">
        <f t="shared" si="191"/>
        <v>109.1005</v>
      </c>
      <c r="F1075" s="81">
        <f t="shared" si="191"/>
        <v>57.041666666666664</v>
      </c>
      <c r="G1075" s="81">
        <f t="shared" si="191"/>
        <v>40</v>
      </c>
      <c r="H1075" s="81">
        <f t="shared" si="191"/>
        <v>174.58333333333334</v>
      </c>
      <c r="I1075" s="81">
        <f t="shared" si="191"/>
        <v>0</v>
      </c>
      <c r="J1075" s="81">
        <f t="shared" si="191"/>
        <v>100</v>
      </c>
      <c r="K1075" s="81">
        <f t="shared" si="191"/>
        <v>300</v>
      </c>
      <c r="L1075" s="81">
        <f t="shared" si="191"/>
        <v>1216.5</v>
      </c>
      <c r="M1075" s="83">
        <f t="shared" si="191"/>
        <v>400</v>
      </c>
      <c r="N1075" s="81">
        <f t="shared" si="191"/>
        <v>72.5</v>
      </c>
      <c r="O1075" s="82">
        <f t="shared" si="191"/>
        <v>240</v>
      </c>
      <c r="P1075" s="82">
        <f t="shared" si="191"/>
        <v>110</v>
      </c>
      <c r="Q1075" s="82">
        <f t="shared" si="191"/>
        <v>245</v>
      </c>
      <c r="R1075" s="82">
        <f t="shared" si="191"/>
        <v>100</v>
      </c>
      <c r="S1075" s="81">
        <f t="shared" si="191"/>
        <v>695</v>
      </c>
      <c r="T1075" s="81">
        <f t="shared" si="191"/>
        <v>33.333333333333336</v>
      </c>
      <c r="U1075" s="78"/>
      <c r="V1075" s="78"/>
      <c r="W1075" s="78"/>
      <c r="X1075" s="78"/>
      <c r="Y1075" s="78"/>
      <c r="Z1075" s="78"/>
      <c r="AA1075" s="78"/>
      <c r="AB1075" s="78"/>
      <c r="AC1075" s="78"/>
      <c r="AD1075" s="78"/>
    </row>
    <row r="1076" spans="1:30" ht="15" x14ac:dyDescent="0.2">
      <c r="A1076" s="10">
        <v>2020</v>
      </c>
      <c r="B1076" s="10">
        <f t="shared" si="180"/>
        <v>366</v>
      </c>
      <c r="C1076" s="81">
        <f t="shared" ref="C1076:T1076" si="192">AVERAGE(C96:C107)</f>
        <v>154.75825</v>
      </c>
      <c r="D1076" s="81">
        <f t="shared" si="192"/>
        <v>281.0162499999999</v>
      </c>
      <c r="E1076" s="81">
        <f t="shared" si="192"/>
        <v>109.1005</v>
      </c>
      <c r="F1076" s="81">
        <f t="shared" si="192"/>
        <v>57.041666666666664</v>
      </c>
      <c r="G1076" s="81">
        <f t="shared" si="192"/>
        <v>40</v>
      </c>
      <c r="H1076" s="81">
        <f t="shared" si="192"/>
        <v>174.58333333333334</v>
      </c>
      <c r="I1076" s="81">
        <f t="shared" si="192"/>
        <v>0</v>
      </c>
      <c r="J1076" s="81">
        <f t="shared" si="192"/>
        <v>100</v>
      </c>
      <c r="K1076" s="81">
        <f t="shared" si="192"/>
        <v>300</v>
      </c>
      <c r="L1076" s="81">
        <f t="shared" si="192"/>
        <v>1216.5</v>
      </c>
      <c r="M1076" s="83">
        <f t="shared" si="192"/>
        <v>533.33333333333337</v>
      </c>
      <c r="N1076" s="81">
        <f t="shared" si="192"/>
        <v>72.5</v>
      </c>
      <c r="O1076" s="82">
        <f t="shared" si="192"/>
        <v>240</v>
      </c>
      <c r="P1076" s="82">
        <f t="shared" si="192"/>
        <v>110</v>
      </c>
      <c r="Q1076" s="82">
        <f t="shared" si="192"/>
        <v>245</v>
      </c>
      <c r="R1076" s="82">
        <f t="shared" si="192"/>
        <v>100</v>
      </c>
      <c r="S1076" s="81">
        <f t="shared" si="192"/>
        <v>695</v>
      </c>
      <c r="T1076" s="81">
        <f t="shared" si="192"/>
        <v>33.333333333333336</v>
      </c>
      <c r="U1076" s="78"/>
      <c r="V1076" s="78"/>
      <c r="W1076" s="78"/>
      <c r="X1076" s="78"/>
      <c r="Y1076" s="78"/>
      <c r="Z1076" s="78"/>
      <c r="AA1076" s="78"/>
      <c r="AB1076" s="78"/>
      <c r="AC1076" s="78"/>
      <c r="AD1076" s="78"/>
    </row>
    <row r="1077" spans="1:30" ht="15" x14ac:dyDescent="0.2">
      <c r="A1077" s="10">
        <v>2021</v>
      </c>
      <c r="B1077" s="10">
        <f t="shared" si="180"/>
        <v>365</v>
      </c>
      <c r="C1077" s="81">
        <f t="shared" ref="C1077:T1077" si="193">AVERAGE(C108:C119)</f>
        <v>154.75825</v>
      </c>
      <c r="D1077" s="81">
        <f t="shared" si="193"/>
        <v>281.0162499999999</v>
      </c>
      <c r="E1077" s="81">
        <f t="shared" si="193"/>
        <v>109.1005</v>
      </c>
      <c r="F1077" s="81">
        <f t="shared" si="193"/>
        <v>57.041666666666664</v>
      </c>
      <c r="G1077" s="81">
        <f t="shared" si="193"/>
        <v>40</v>
      </c>
      <c r="H1077" s="81">
        <f t="shared" si="193"/>
        <v>174.58333333333334</v>
      </c>
      <c r="I1077" s="81">
        <f t="shared" si="193"/>
        <v>0</v>
      </c>
      <c r="J1077" s="81">
        <f t="shared" si="193"/>
        <v>100</v>
      </c>
      <c r="K1077" s="81">
        <f t="shared" si="193"/>
        <v>300</v>
      </c>
      <c r="L1077" s="81">
        <f t="shared" si="193"/>
        <v>1216.5</v>
      </c>
      <c r="M1077" s="83">
        <f t="shared" si="193"/>
        <v>600</v>
      </c>
      <c r="N1077" s="81">
        <f t="shared" si="193"/>
        <v>72.5</v>
      </c>
      <c r="O1077" s="82">
        <f t="shared" si="193"/>
        <v>240</v>
      </c>
      <c r="P1077" s="82">
        <f t="shared" si="193"/>
        <v>110</v>
      </c>
      <c r="Q1077" s="82">
        <f t="shared" si="193"/>
        <v>245</v>
      </c>
      <c r="R1077" s="82">
        <f t="shared" si="193"/>
        <v>100</v>
      </c>
      <c r="S1077" s="81">
        <f t="shared" si="193"/>
        <v>695</v>
      </c>
      <c r="T1077" s="81">
        <f t="shared" si="193"/>
        <v>33.333333333333336</v>
      </c>
      <c r="U1077" s="78"/>
      <c r="V1077" s="78"/>
      <c r="W1077" s="78"/>
      <c r="X1077" s="78"/>
      <c r="Y1077" s="78"/>
      <c r="Z1077" s="78"/>
      <c r="AA1077" s="78"/>
      <c r="AB1077" s="78"/>
      <c r="AC1077" s="78"/>
      <c r="AD1077" s="78"/>
    </row>
    <row r="1078" spans="1:30" ht="15" x14ac:dyDescent="0.2">
      <c r="A1078" s="10">
        <v>2022</v>
      </c>
      <c r="B1078" s="10">
        <f t="shared" si="180"/>
        <v>365</v>
      </c>
      <c r="C1078" s="81">
        <f t="shared" ref="C1078:T1078" si="194">AVERAGE(C120:C131)</f>
        <v>154.75825</v>
      </c>
      <c r="D1078" s="81">
        <f t="shared" si="194"/>
        <v>281.0162499999999</v>
      </c>
      <c r="E1078" s="81">
        <f t="shared" si="194"/>
        <v>109.1005</v>
      </c>
      <c r="F1078" s="81">
        <f t="shared" si="194"/>
        <v>57.041666666666664</v>
      </c>
      <c r="G1078" s="81">
        <f t="shared" si="194"/>
        <v>40</v>
      </c>
      <c r="H1078" s="81">
        <f t="shared" si="194"/>
        <v>174.58333333333334</v>
      </c>
      <c r="I1078" s="81">
        <f t="shared" si="194"/>
        <v>0</v>
      </c>
      <c r="J1078" s="81">
        <f t="shared" si="194"/>
        <v>100</v>
      </c>
      <c r="K1078" s="81">
        <f t="shared" si="194"/>
        <v>300</v>
      </c>
      <c r="L1078" s="81">
        <f t="shared" si="194"/>
        <v>1216.5</v>
      </c>
      <c r="M1078" s="83">
        <f t="shared" si="194"/>
        <v>600</v>
      </c>
      <c r="N1078" s="81">
        <f t="shared" si="194"/>
        <v>72.5</v>
      </c>
      <c r="O1078" s="82">
        <f t="shared" si="194"/>
        <v>240</v>
      </c>
      <c r="P1078" s="82">
        <f t="shared" si="194"/>
        <v>110</v>
      </c>
      <c r="Q1078" s="82">
        <f t="shared" si="194"/>
        <v>245</v>
      </c>
      <c r="R1078" s="82">
        <f t="shared" si="194"/>
        <v>100</v>
      </c>
      <c r="S1078" s="81">
        <f t="shared" si="194"/>
        <v>695</v>
      </c>
      <c r="T1078" s="81">
        <f t="shared" si="194"/>
        <v>33.333333333333336</v>
      </c>
      <c r="U1078" s="78"/>
      <c r="V1078" s="78"/>
      <c r="W1078" s="78"/>
      <c r="X1078" s="78"/>
      <c r="Y1078" s="78"/>
      <c r="Z1078" s="78"/>
      <c r="AA1078" s="78"/>
      <c r="AB1078" s="78"/>
      <c r="AC1078" s="78"/>
      <c r="AD1078" s="78"/>
    </row>
    <row r="1079" spans="1:30" ht="15" x14ac:dyDescent="0.2">
      <c r="A1079" s="10">
        <v>2023</v>
      </c>
      <c r="B1079" s="10">
        <f t="shared" si="180"/>
        <v>365</v>
      </c>
      <c r="C1079" s="81">
        <f t="shared" ref="C1079:T1079" si="195">AVERAGE(C132:C143)</f>
        <v>154.75825</v>
      </c>
      <c r="D1079" s="81">
        <f t="shared" si="195"/>
        <v>281.0162499999999</v>
      </c>
      <c r="E1079" s="81">
        <f t="shared" si="195"/>
        <v>109.1005</v>
      </c>
      <c r="F1079" s="81">
        <f t="shared" si="195"/>
        <v>57.041666666666664</v>
      </c>
      <c r="G1079" s="81">
        <f t="shared" si="195"/>
        <v>40</v>
      </c>
      <c r="H1079" s="81">
        <f t="shared" si="195"/>
        <v>174.58333333333334</v>
      </c>
      <c r="I1079" s="81">
        <f t="shared" si="195"/>
        <v>0</v>
      </c>
      <c r="J1079" s="81">
        <f t="shared" si="195"/>
        <v>100</v>
      </c>
      <c r="K1079" s="81">
        <f t="shared" si="195"/>
        <v>300</v>
      </c>
      <c r="L1079" s="81">
        <f t="shared" si="195"/>
        <v>1216.5</v>
      </c>
      <c r="M1079" s="83">
        <f t="shared" si="195"/>
        <v>600</v>
      </c>
      <c r="N1079" s="81">
        <f t="shared" si="195"/>
        <v>72.5</v>
      </c>
      <c r="O1079" s="82">
        <f t="shared" si="195"/>
        <v>240</v>
      </c>
      <c r="P1079" s="82">
        <f t="shared" si="195"/>
        <v>110</v>
      </c>
      <c r="Q1079" s="82">
        <f t="shared" si="195"/>
        <v>245</v>
      </c>
      <c r="R1079" s="82">
        <f t="shared" si="195"/>
        <v>100</v>
      </c>
      <c r="S1079" s="81">
        <f t="shared" si="195"/>
        <v>695</v>
      </c>
      <c r="T1079" s="81">
        <f t="shared" si="195"/>
        <v>33.333333333333336</v>
      </c>
      <c r="U1079" s="78"/>
      <c r="V1079" s="78"/>
      <c r="W1079" s="78"/>
      <c r="X1079" s="78"/>
      <c r="Y1079" s="78"/>
      <c r="Z1079" s="78"/>
      <c r="AA1079" s="78"/>
      <c r="AB1079" s="78"/>
      <c r="AC1079" s="78"/>
      <c r="AD1079" s="78"/>
    </row>
    <row r="1080" spans="1:30" ht="15" x14ac:dyDescent="0.2">
      <c r="A1080" s="10">
        <v>2024</v>
      </c>
      <c r="B1080" s="10">
        <f t="shared" si="180"/>
        <v>366</v>
      </c>
      <c r="C1080" s="81">
        <f t="shared" ref="C1080:T1080" si="196">AVERAGE(C144:C155)</f>
        <v>154.75825</v>
      </c>
      <c r="D1080" s="81">
        <f t="shared" si="196"/>
        <v>281.0162499999999</v>
      </c>
      <c r="E1080" s="81">
        <f t="shared" si="196"/>
        <v>109.1005</v>
      </c>
      <c r="F1080" s="81">
        <f t="shared" si="196"/>
        <v>57.041666666666664</v>
      </c>
      <c r="G1080" s="81">
        <f t="shared" si="196"/>
        <v>40</v>
      </c>
      <c r="H1080" s="81">
        <f t="shared" si="196"/>
        <v>174.58333333333334</v>
      </c>
      <c r="I1080" s="81">
        <f t="shared" si="196"/>
        <v>0</v>
      </c>
      <c r="J1080" s="81">
        <f t="shared" si="196"/>
        <v>100</v>
      </c>
      <c r="K1080" s="81">
        <f t="shared" si="196"/>
        <v>300</v>
      </c>
      <c r="L1080" s="81">
        <f t="shared" si="196"/>
        <v>1216.5</v>
      </c>
      <c r="M1080" s="83">
        <f t="shared" si="196"/>
        <v>600</v>
      </c>
      <c r="N1080" s="81">
        <f t="shared" si="196"/>
        <v>72.5</v>
      </c>
      <c r="O1080" s="82">
        <f t="shared" si="196"/>
        <v>240</v>
      </c>
      <c r="P1080" s="82">
        <f t="shared" si="196"/>
        <v>110</v>
      </c>
      <c r="Q1080" s="82">
        <f t="shared" si="196"/>
        <v>245</v>
      </c>
      <c r="R1080" s="82">
        <f t="shared" si="196"/>
        <v>100</v>
      </c>
      <c r="S1080" s="81">
        <f t="shared" si="196"/>
        <v>695</v>
      </c>
      <c r="T1080" s="81">
        <f t="shared" si="196"/>
        <v>33.333333333333336</v>
      </c>
      <c r="U1080" s="78"/>
      <c r="V1080" s="78"/>
      <c r="W1080" s="78"/>
      <c r="X1080" s="78"/>
      <c r="Y1080" s="78"/>
      <c r="Z1080" s="78"/>
      <c r="AA1080" s="78"/>
      <c r="AB1080" s="78"/>
      <c r="AC1080" s="78"/>
      <c r="AD1080" s="78"/>
    </row>
    <row r="1081" spans="1:30" ht="15" x14ac:dyDescent="0.2">
      <c r="A1081" s="10">
        <v>2025</v>
      </c>
      <c r="B1081" s="10">
        <f t="shared" si="180"/>
        <v>365</v>
      </c>
      <c r="C1081" s="81">
        <f t="shared" ref="C1081:T1081" si="197">AVERAGE(C156:C167)</f>
        <v>154.75825</v>
      </c>
      <c r="D1081" s="81">
        <f t="shared" si="197"/>
        <v>281.0162499999999</v>
      </c>
      <c r="E1081" s="81">
        <f t="shared" si="197"/>
        <v>109.1005</v>
      </c>
      <c r="F1081" s="81">
        <f t="shared" si="197"/>
        <v>57.041666666666664</v>
      </c>
      <c r="G1081" s="81">
        <f t="shared" si="197"/>
        <v>40</v>
      </c>
      <c r="H1081" s="81">
        <f t="shared" si="197"/>
        <v>174.58333333333334</v>
      </c>
      <c r="I1081" s="81">
        <f t="shared" si="197"/>
        <v>0</v>
      </c>
      <c r="J1081" s="81">
        <f t="shared" si="197"/>
        <v>100</v>
      </c>
      <c r="K1081" s="81">
        <f t="shared" si="197"/>
        <v>300</v>
      </c>
      <c r="L1081" s="81">
        <f t="shared" si="197"/>
        <v>1216.5</v>
      </c>
      <c r="M1081" s="83">
        <f t="shared" si="197"/>
        <v>600</v>
      </c>
      <c r="N1081" s="81">
        <f t="shared" si="197"/>
        <v>72.5</v>
      </c>
      <c r="O1081" s="82">
        <f t="shared" si="197"/>
        <v>240</v>
      </c>
      <c r="P1081" s="82">
        <f t="shared" si="197"/>
        <v>110</v>
      </c>
      <c r="Q1081" s="82">
        <f t="shared" si="197"/>
        <v>245</v>
      </c>
      <c r="R1081" s="82">
        <f t="shared" si="197"/>
        <v>100</v>
      </c>
      <c r="S1081" s="81">
        <f t="shared" si="197"/>
        <v>695</v>
      </c>
      <c r="T1081" s="81">
        <f t="shared" si="197"/>
        <v>33.333333333333336</v>
      </c>
      <c r="U1081" s="78"/>
      <c r="V1081" s="78"/>
      <c r="W1081" s="78"/>
      <c r="X1081" s="78"/>
      <c r="Y1081" s="78"/>
      <c r="Z1081" s="78"/>
      <c r="AA1081" s="78"/>
      <c r="AB1081" s="78"/>
      <c r="AC1081" s="78"/>
      <c r="AD1081" s="78"/>
    </row>
    <row r="1082" spans="1:30" ht="15" x14ac:dyDescent="0.2">
      <c r="A1082" s="10">
        <v>2026</v>
      </c>
      <c r="B1082" s="10">
        <f t="shared" si="180"/>
        <v>365</v>
      </c>
      <c r="C1082" s="81">
        <f t="shared" ref="C1082:T1082" si="198">AVERAGE(C168:C179)</f>
        <v>154.75825</v>
      </c>
      <c r="D1082" s="81">
        <f t="shared" si="198"/>
        <v>281.0162499999999</v>
      </c>
      <c r="E1082" s="81">
        <f t="shared" si="198"/>
        <v>109.1005</v>
      </c>
      <c r="F1082" s="81">
        <f t="shared" si="198"/>
        <v>57.041666666666664</v>
      </c>
      <c r="G1082" s="81">
        <f t="shared" si="198"/>
        <v>40</v>
      </c>
      <c r="H1082" s="81">
        <f t="shared" si="198"/>
        <v>174.58333333333334</v>
      </c>
      <c r="I1082" s="81">
        <f t="shared" si="198"/>
        <v>0</v>
      </c>
      <c r="J1082" s="81">
        <f t="shared" si="198"/>
        <v>100</v>
      </c>
      <c r="K1082" s="81">
        <f t="shared" si="198"/>
        <v>300</v>
      </c>
      <c r="L1082" s="81">
        <f t="shared" si="198"/>
        <v>1216.5</v>
      </c>
      <c r="M1082" s="83">
        <f t="shared" si="198"/>
        <v>600</v>
      </c>
      <c r="N1082" s="81">
        <f t="shared" si="198"/>
        <v>72.5</v>
      </c>
      <c r="O1082" s="82">
        <f t="shared" si="198"/>
        <v>240</v>
      </c>
      <c r="P1082" s="82">
        <f t="shared" si="198"/>
        <v>110</v>
      </c>
      <c r="Q1082" s="82">
        <f t="shared" si="198"/>
        <v>245</v>
      </c>
      <c r="R1082" s="82">
        <f t="shared" si="198"/>
        <v>100</v>
      </c>
      <c r="S1082" s="81">
        <f t="shared" si="198"/>
        <v>695</v>
      </c>
      <c r="T1082" s="81">
        <f t="shared" si="198"/>
        <v>33.333333333333336</v>
      </c>
      <c r="U1082" s="78"/>
      <c r="V1082" s="78"/>
      <c r="W1082" s="78"/>
      <c r="X1082" s="78"/>
      <c r="Y1082" s="78"/>
      <c r="Z1082" s="78"/>
      <c r="AA1082" s="78"/>
      <c r="AB1082" s="78"/>
      <c r="AC1082" s="78"/>
      <c r="AD1082" s="78"/>
    </row>
    <row r="1083" spans="1:30" ht="15" x14ac:dyDescent="0.2">
      <c r="A1083" s="10">
        <v>2027</v>
      </c>
      <c r="B1083" s="10">
        <f t="shared" si="180"/>
        <v>365</v>
      </c>
      <c r="C1083" s="81">
        <f t="shared" ref="C1083:T1083" si="199">AVERAGE(C180:C191)</f>
        <v>154.75825</v>
      </c>
      <c r="D1083" s="81">
        <f t="shared" si="199"/>
        <v>281.0162499999999</v>
      </c>
      <c r="E1083" s="81">
        <f t="shared" si="199"/>
        <v>109.1005</v>
      </c>
      <c r="F1083" s="81">
        <f t="shared" si="199"/>
        <v>57.041666666666664</v>
      </c>
      <c r="G1083" s="81">
        <f t="shared" si="199"/>
        <v>40</v>
      </c>
      <c r="H1083" s="81">
        <f t="shared" si="199"/>
        <v>174.58333333333334</v>
      </c>
      <c r="I1083" s="81">
        <f t="shared" si="199"/>
        <v>0</v>
      </c>
      <c r="J1083" s="81">
        <f t="shared" si="199"/>
        <v>100</v>
      </c>
      <c r="K1083" s="81">
        <f t="shared" si="199"/>
        <v>300</v>
      </c>
      <c r="L1083" s="81">
        <f t="shared" si="199"/>
        <v>1216.5</v>
      </c>
      <c r="M1083" s="83">
        <f t="shared" si="199"/>
        <v>600</v>
      </c>
      <c r="N1083" s="81">
        <f t="shared" si="199"/>
        <v>72.5</v>
      </c>
      <c r="O1083" s="82">
        <f t="shared" si="199"/>
        <v>240</v>
      </c>
      <c r="P1083" s="82">
        <f t="shared" si="199"/>
        <v>110</v>
      </c>
      <c r="Q1083" s="82">
        <f t="shared" si="199"/>
        <v>245</v>
      </c>
      <c r="R1083" s="82">
        <f t="shared" si="199"/>
        <v>100</v>
      </c>
      <c r="S1083" s="81">
        <f t="shared" si="199"/>
        <v>695</v>
      </c>
      <c r="T1083" s="81">
        <f t="shared" si="199"/>
        <v>33.333333333333336</v>
      </c>
      <c r="U1083" s="78"/>
      <c r="V1083" s="78"/>
      <c r="W1083" s="78"/>
      <c r="X1083" s="78"/>
      <c r="Y1083" s="78"/>
      <c r="Z1083" s="78"/>
      <c r="AA1083" s="78"/>
      <c r="AB1083" s="78"/>
      <c r="AC1083" s="78"/>
      <c r="AD1083" s="78"/>
    </row>
    <row r="1084" spans="1:30" ht="15" x14ac:dyDescent="0.2">
      <c r="A1084" s="10">
        <v>2028</v>
      </c>
      <c r="B1084" s="10">
        <f t="shared" si="180"/>
        <v>366</v>
      </c>
      <c r="C1084" s="81">
        <f t="shared" ref="C1084:T1084" si="200">AVERAGE(C192:C203)</f>
        <v>154.75825</v>
      </c>
      <c r="D1084" s="81">
        <f t="shared" si="200"/>
        <v>281.0162499999999</v>
      </c>
      <c r="E1084" s="81">
        <f t="shared" si="200"/>
        <v>109.1005</v>
      </c>
      <c r="F1084" s="81">
        <f t="shared" si="200"/>
        <v>57.041666666666664</v>
      </c>
      <c r="G1084" s="81">
        <f t="shared" si="200"/>
        <v>40</v>
      </c>
      <c r="H1084" s="81">
        <f t="shared" si="200"/>
        <v>174.58333333333334</v>
      </c>
      <c r="I1084" s="81">
        <f t="shared" si="200"/>
        <v>0</v>
      </c>
      <c r="J1084" s="81">
        <f t="shared" si="200"/>
        <v>100</v>
      </c>
      <c r="K1084" s="81">
        <f t="shared" si="200"/>
        <v>300</v>
      </c>
      <c r="L1084" s="81">
        <f t="shared" si="200"/>
        <v>1216.5</v>
      </c>
      <c r="M1084" s="83">
        <f t="shared" si="200"/>
        <v>600</v>
      </c>
      <c r="N1084" s="81">
        <f t="shared" si="200"/>
        <v>72.5</v>
      </c>
      <c r="O1084" s="82">
        <f t="shared" si="200"/>
        <v>240</v>
      </c>
      <c r="P1084" s="82">
        <f t="shared" si="200"/>
        <v>110</v>
      </c>
      <c r="Q1084" s="82">
        <f t="shared" si="200"/>
        <v>245</v>
      </c>
      <c r="R1084" s="82">
        <f t="shared" si="200"/>
        <v>100</v>
      </c>
      <c r="S1084" s="81">
        <f t="shared" si="200"/>
        <v>695</v>
      </c>
      <c r="T1084" s="81">
        <f t="shared" si="200"/>
        <v>33.333333333333336</v>
      </c>
      <c r="U1084" s="78"/>
      <c r="V1084" s="78"/>
      <c r="W1084" s="78"/>
      <c r="X1084" s="78"/>
      <c r="Y1084" s="78"/>
      <c r="Z1084" s="78"/>
      <c r="AA1084" s="78"/>
      <c r="AB1084" s="78"/>
      <c r="AC1084" s="78"/>
      <c r="AD1084" s="78"/>
    </row>
    <row r="1085" spans="1:30" ht="15" x14ac:dyDescent="0.2">
      <c r="A1085" s="10">
        <v>2029</v>
      </c>
      <c r="B1085" s="10">
        <f t="shared" si="180"/>
        <v>365</v>
      </c>
      <c r="C1085" s="81">
        <f t="shared" ref="C1085:T1085" si="201">AVERAGE(C204:C215)</f>
        <v>154.75825</v>
      </c>
      <c r="D1085" s="81">
        <f t="shared" si="201"/>
        <v>281.0162499999999</v>
      </c>
      <c r="E1085" s="81">
        <f t="shared" si="201"/>
        <v>109.1005</v>
      </c>
      <c r="F1085" s="81">
        <f t="shared" si="201"/>
        <v>57.041666666666664</v>
      </c>
      <c r="G1085" s="81">
        <f t="shared" si="201"/>
        <v>40</v>
      </c>
      <c r="H1085" s="81">
        <f t="shared" si="201"/>
        <v>174.58333333333334</v>
      </c>
      <c r="I1085" s="81">
        <f t="shared" si="201"/>
        <v>0</v>
      </c>
      <c r="J1085" s="81">
        <f t="shared" si="201"/>
        <v>100</v>
      </c>
      <c r="K1085" s="81">
        <f t="shared" si="201"/>
        <v>300</v>
      </c>
      <c r="L1085" s="81">
        <f t="shared" si="201"/>
        <v>1216.5</v>
      </c>
      <c r="M1085" s="83">
        <f t="shared" si="201"/>
        <v>600</v>
      </c>
      <c r="N1085" s="81">
        <f t="shared" si="201"/>
        <v>72.5</v>
      </c>
      <c r="O1085" s="82">
        <f t="shared" si="201"/>
        <v>240</v>
      </c>
      <c r="P1085" s="82">
        <f t="shared" si="201"/>
        <v>110</v>
      </c>
      <c r="Q1085" s="82">
        <f t="shared" si="201"/>
        <v>245</v>
      </c>
      <c r="R1085" s="82">
        <f t="shared" si="201"/>
        <v>100</v>
      </c>
      <c r="S1085" s="81">
        <f t="shared" si="201"/>
        <v>695</v>
      </c>
      <c r="T1085" s="81">
        <f t="shared" si="201"/>
        <v>33.333333333333336</v>
      </c>
      <c r="U1085" s="78"/>
      <c r="V1085" s="78"/>
      <c r="W1085" s="78"/>
      <c r="X1085" s="78"/>
      <c r="Y1085" s="78"/>
      <c r="Z1085" s="78"/>
      <c r="AA1085" s="78"/>
      <c r="AB1085" s="78"/>
      <c r="AC1085" s="78"/>
      <c r="AD1085" s="78"/>
    </row>
    <row r="1086" spans="1:30" ht="15" x14ac:dyDescent="0.2">
      <c r="A1086" s="10">
        <v>2030</v>
      </c>
      <c r="B1086" s="10">
        <f t="shared" si="180"/>
        <v>365</v>
      </c>
      <c r="C1086" s="81">
        <f t="shared" ref="C1086:T1086" si="202">AVERAGE(C216:C227)</f>
        <v>154.75825</v>
      </c>
      <c r="D1086" s="81">
        <f t="shared" si="202"/>
        <v>281.0162499999999</v>
      </c>
      <c r="E1086" s="81">
        <f t="shared" si="202"/>
        <v>109.1005</v>
      </c>
      <c r="F1086" s="81">
        <f t="shared" si="202"/>
        <v>57.041666666666664</v>
      </c>
      <c r="G1086" s="81">
        <f t="shared" si="202"/>
        <v>40</v>
      </c>
      <c r="H1086" s="81">
        <f t="shared" si="202"/>
        <v>174.58333333333334</v>
      </c>
      <c r="I1086" s="81">
        <f t="shared" si="202"/>
        <v>0</v>
      </c>
      <c r="J1086" s="81">
        <f t="shared" si="202"/>
        <v>100</v>
      </c>
      <c r="K1086" s="81">
        <f t="shared" si="202"/>
        <v>300</v>
      </c>
      <c r="L1086" s="81">
        <f t="shared" si="202"/>
        <v>1216.5</v>
      </c>
      <c r="M1086" s="83">
        <f t="shared" si="202"/>
        <v>600</v>
      </c>
      <c r="N1086" s="81">
        <f t="shared" si="202"/>
        <v>72.5</v>
      </c>
      <c r="O1086" s="82">
        <f t="shared" si="202"/>
        <v>240</v>
      </c>
      <c r="P1086" s="82">
        <f t="shared" si="202"/>
        <v>110</v>
      </c>
      <c r="Q1086" s="82">
        <f t="shared" si="202"/>
        <v>245</v>
      </c>
      <c r="R1086" s="82">
        <f t="shared" si="202"/>
        <v>100</v>
      </c>
      <c r="S1086" s="81">
        <f t="shared" si="202"/>
        <v>695</v>
      </c>
      <c r="T1086" s="81">
        <f t="shared" si="202"/>
        <v>33.333333333333336</v>
      </c>
      <c r="U1086" s="78"/>
      <c r="V1086" s="78"/>
      <c r="W1086" s="78"/>
      <c r="X1086" s="78"/>
      <c r="Y1086" s="78"/>
      <c r="Z1086" s="78"/>
      <c r="AA1086" s="78"/>
      <c r="AB1086" s="78"/>
      <c r="AC1086" s="78"/>
      <c r="AD1086" s="78"/>
    </row>
    <row r="1087" spans="1:30" ht="15" x14ac:dyDescent="0.2">
      <c r="A1087" s="10">
        <v>2031</v>
      </c>
      <c r="B1087" s="10">
        <f t="shared" si="180"/>
        <v>365</v>
      </c>
      <c r="C1087" s="81">
        <f t="shared" ref="C1087:T1087" si="203">AVERAGE(C228:C239)</f>
        <v>154.75825</v>
      </c>
      <c r="D1087" s="81">
        <f t="shared" si="203"/>
        <v>281.0162499999999</v>
      </c>
      <c r="E1087" s="81">
        <f t="shared" si="203"/>
        <v>109.1005</v>
      </c>
      <c r="F1087" s="81">
        <f t="shared" si="203"/>
        <v>57.041666666666664</v>
      </c>
      <c r="G1087" s="81">
        <f t="shared" si="203"/>
        <v>40</v>
      </c>
      <c r="H1087" s="81">
        <f t="shared" si="203"/>
        <v>174.58333333333334</v>
      </c>
      <c r="I1087" s="81">
        <f t="shared" si="203"/>
        <v>0</v>
      </c>
      <c r="J1087" s="81">
        <f t="shared" si="203"/>
        <v>100</v>
      </c>
      <c r="K1087" s="81">
        <f t="shared" si="203"/>
        <v>300</v>
      </c>
      <c r="L1087" s="81">
        <f t="shared" si="203"/>
        <v>1216.5</v>
      </c>
      <c r="M1087" s="83">
        <f t="shared" si="203"/>
        <v>600</v>
      </c>
      <c r="N1087" s="81">
        <f t="shared" si="203"/>
        <v>72.5</v>
      </c>
      <c r="O1087" s="82">
        <f t="shared" si="203"/>
        <v>240</v>
      </c>
      <c r="P1087" s="82">
        <f t="shared" si="203"/>
        <v>110</v>
      </c>
      <c r="Q1087" s="82">
        <f t="shared" si="203"/>
        <v>245</v>
      </c>
      <c r="R1087" s="82">
        <f t="shared" si="203"/>
        <v>100</v>
      </c>
      <c r="S1087" s="81">
        <f t="shared" si="203"/>
        <v>695</v>
      </c>
      <c r="T1087" s="81">
        <f t="shared" si="203"/>
        <v>33.333333333333336</v>
      </c>
      <c r="U1087" s="78"/>
      <c r="V1087" s="78"/>
      <c r="W1087" s="78"/>
      <c r="X1087" s="78"/>
      <c r="Y1087" s="78"/>
      <c r="Z1087" s="78"/>
      <c r="AA1087" s="78"/>
      <c r="AB1087" s="78"/>
      <c r="AC1087" s="78"/>
      <c r="AD1087" s="78"/>
    </row>
    <row r="1088" spans="1:30" ht="15" x14ac:dyDescent="0.2">
      <c r="A1088" s="10">
        <v>2032</v>
      </c>
      <c r="B1088" s="10">
        <f t="shared" si="180"/>
        <v>366</v>
      </c>
      <c r="C1088" s="81">
        <f t="shared" ref="C1088:T1088" si="204">AVERAGE(C240:C251)</f>
        <v>154.75825</v>
      </c>
      <c r="D1088" s="81">
        <f t="shared" si="204"/>
        <v>281.0162499999999</v>
      </c>
      <c r="E1088" s="81">
        <f t="shared" si="204"/>
        <v>109.1005</v>
      </c>
      <c r="F1088" s="81">
        <f t="shared" si="204"/>
        <v>57.041666666666664</v>
      </c>
      <c r="G1088" s="81">
        <f t="shared" si="204"/>
        <v>40</v>
      </c>
      <c r="H1088" s="81">
        <f t="shared" si="204"/>
        <v>174.58333333333334</v>
      </c>
      <c r="I1088" s="81">
        <f t="shared" si="204"/>
        <v>0</v>
      </c>
      <c r="J1088" s="81">
        <f t="shared" si="204"/>
        <v>100</v>
      </c>
      <c r="K1088" s="81">
        <f t="shared" si="204"/>
        <v>300</v>
      </c>
      <c r="L1088" s="81">
        <f t="shared" si="204"/>
        <v>1216.5</v>
      </c>
      <c r="M1088" s="83">
        <f t="shared" si="204"/>
        <v>600</v>
      </c>
      <c r="N1088" s="81">
        <f t="shared" si="204"/>
        <v>72.5</v>
      </c>
      <c r="O1088" s="82">
        <f t="shared" si="204"/>
        <v>240</v>
      </c>
      <c r="P1088" s="82">
        <f t="shared" si="204"/>
        <v>110</v>
      </c>
      <c r="Q1088" s="82">
        <f t="shared" si="204"/>
        <v>245</v>
      </c>
      <c r="R1088" s="82">
        <f t="shared" si="204"/>
        <v>100</v>
      </c>
      <c r="S1088" s="81">
        <f t="shared" si="204"/>
        <v>695</v>
      </c>
      <c r="T1088" s="81">
        <f t="shared" si="204"/>
        <v>33.333333333333336</v>
      </c>
      <c r="U1088" s="78"/>
      <c r="V1088" s="78"/>
      <c r="W1088" s="78"/>
      <c r="X1088" s="78"/>
      <c r="Y1088" s="78"/>
      <c r="Z1088" s="78"/>
      <c r="AA1088" s="78"/>
      <c r="AB1088" s="78"/>
      <c r="AC1088" s="78"/>
      <c r="AD1088" s="78"/>
    </row>
    <row r="1089" spans="1:30" ht="15" x14ac:dyDescent="0.2">
      <c r="A1089" s="10">
        <v>2033</v>
      </c>
      <c r="B1089" s="10">
        <f t="shared" si="180"/>
        <v>365</v>
      </c>
      <c r="C1089" s="81">
        <f t="shared" ref="C1089:T1089" si="205">AVERAGE(C252:C263)</f>
        <v>154.75825</v>
      </c>
      <c r="D1089" s="81">
        <f t="shared" si="205"/>
        <v>281.0162499999999</v>
      </c>
      <c r="E1089" s="81">
        <f t="shared" si="205"/>
        <v>109.1005</v>
      </c>
      <c r="F1089" s="81">
        <f t="shared" si="205"/>
        <v>57.041666666666664</v>
      </c>
      <c r="G1089" s="81">
        <f t="shared" si="205"/>
        <v>40</v>
      </c>
      <c r="H1089" s="81">
        <f t="shared" si="205"/>
        <v>174.58333333333334</v>
      </c>
      <c r="I1089" s="81">
        <f t="shared" si="205"/>
        <v>0</v>
      </c>
      <c r="J1089" s="81">
        <f t="shared" si="205"/>
        <v>100</v>
      </c>
      <c r="K1089" s="81">
        <f t="shared" si="205"/>
        <v>300</v>
      </c>
      <c r="L1089" s="81">
        <f t="shared" si="205"/>
        <v>1216.5</v>
      </c>
      <c r="M1089" s="83">
        <f t="shared" si="205"/>
        <v>600</v>
      </c>
      <c r="N1089" s="81">
        <f t="shared" si="205"/>
        <v>72.5</v>
      </c>
      <c r="O1089" s="82">
        <f t="shared" si="205"/>
        <v>240</v>
      </c>
      <c r="P1089" s="82">
        <f t="shared" si="205"/>
        <v>110</v>
      </c>
      <c r="Q1089" s="82">
        <f t="shared" si="205"/>
        <v>245</v>
      </c>
      <c r="R1089" s="82">
        <f t="shared" si="205"/>
        <v>100</v>
      </c>
      <c r="S1089" s="81">
        <f t="shared" si="205"/>
        <v>695</v>
      </c>
      <c r="T1089" s="81">
        <f t="shared" si="205"/>
        <v>33.333333333333336</v>
      </c>
      <c r="U1089" s="78"/>
      <c r="V1089" s="78"/>
      <c r="W1089" s="78"/>
      <c r="X1089" s="78"/>
      <c r="Y1089" s="78"/>
      <c r="Z1089" s="78"/>
      <c r="AA1089" s="78"/>
      <c r="AB1089" s="78"/>
      <c r="AC1089" s="78"/>
      <c r="AD1089" s="78"/>
    </row>
    <row r="1090" spans="1:30" ht="15" x14ac:dyDescent="0.2">
      <c r="A1090" s="10">
        <v>2034</v>
      </c>
      <c r="B1090" s="10">
        <f t="shared" si="180"/>
        <v>365</v>
      </c>
      <c r="C1090" s="81">
        <f t="shared" ref="C1090:T1090" si="206">AVERAGE(C264:C275)</f>
        <v>154.75825</v>
      </c>
      <c r="D1090" s="81">
        <f t="shared" si="206"/>
        <v>281.0162499999999</v>
      </c>
      <c r="E1090" s="81">
        <f t="shared" si="206"/>
        <v>109.1005</v>
      </c>
      <c r="F1090" s="81">
        <f t="shared" si="206"/>
        <v>57.041666666666664</v>
      </c>
      <c r="G1090" s="81">
        <f t="shared" si="206"/>
        <v>40</v>
      </c>
      <c r="H1090" s="81">
        <f t="shared" si="206"/>
        <v>174.58333333333334</v>
      </c>
      <c r="I1090" s="81">
        <f t="shared" si="206"/>
        <v>0</v>
      </c>
      <c r="J1090" s="81">
        <f t="shared" si="206"/>
        <v>100</v>
      </c>
      <c r="K1090" s="81">
        <f t="shared" si="206"/>
        <v>300</v>
      </c>
      <c r="L1090" s="81">
        <f t="shared" si="206"/>
        <v>1216.5</v>
      </c>
      <c r="M1090" s="83">
        <f t="shared" si="206"/>
        <v>600</v>
      </c>
      <c r="N1090" s="81">
        <f t="shared" si="206"/>
        <v>72.5</v>
      </c>
      <c r="O1090" s="82">
        <f t="shared" si="206"/>
        <v>240</v>
      </c>
      <c r="P1090" s="82">
        <f t="shared" si="206"/>
        <v>110</v>
      </c>
      <c r="Q1090" s="82">
        <f t="shared" si="206"/>
        <v>245</v>
      </c>
      <c r="R1090" s="82">
        <f t="shared" si="206"/>
        <v>100</v>
      </c>
      <c r="S1090" s="81">
        <f t="shared" si="206"/>
        <v>695</v>
      </c>
      <c r="T1090" s="81">
        <f t="shared" si="206"/>
        <v>33.333333333333336</v>
      </c>
      <c r="U1090" s="78"/>
      <c r="V1090" s="78"/>
      <c r="W1090" s="78"/>
      <c r="X1090" s="78"/>
      <c r="Y1090" s="78"/>
      <c r="Z1090" s="78"/>
      <c r="AA1090" s="78"/>
      <c r="AB1090" s="78"/>
      <c r="AC1090" s="78"/>
      <c r="AD1090" s="78"/>
    </row>
    <row r="1091" spans="1:30" ht="15" x14ac:dyDescent="0.2">
      <c r="A1091" s="10">
        <v>2035</v>
      </c>
      <c r="B1091" s="10">
        <f t="shared" si="180"/>
        <v>365</v>
      </c>
      <c r="C1091" s="81">
        <f t="shared" ref="C1091:T1091" si="207">AVERAGE(C276:C287)</f>
        <v>154.75825</v>
      </c>
      <c r="D1091" s="81">
        <f t="shared" si="207"/>
        <v>281.0162499999999</v>
      </c>
      <c r="E1091" s="81">
        <f t="shared" si="207"/>
        <v>109.1005</v>
      </c>
      <c r="F1091" s="81">
        <f t="shared" si="207"/>
        <v>57.041666666666664</v>
      </c>
      <c r="G1091" s="81">
        <f t="shared" si="207"/>
        <v>40</v>
      </c>
      <c r="H1091" s="81">
        <f t="shared" si="207"/>
        <v>174.58333333333334</v>
      </c>
      <c r="I1091" s="81">
        <f t="shared" si="207"/>
        <v>0</v>
      </c>
      <c r="J1091" s="81">
        <f t="shared" si="207"/>
        <v>100</v>
      </c>
      <c r="K1091" s="81">
        <f t="shared" si="207"/>
        <v>300</v>
      </c>
      <c r="L1091" s="81">
        <f t="shared" si="207"/>
        <v>1216.5</v>
      </c>
      <c r="M1091" s="83">
        <f t="shared" si="207"/>
        <v>600</v>
      </c>
      <c r="N1091" s="81">
        <f t="shared" si="207"/>
        <v>72.5</v>
      </c>
      <c r="O1091" s="82">
        <f t="shared" si="207"/>
        <v>240</v>
      </c>
      <c r="P1091" s="82">
        <f t="shared" si="207"/>
        <v>110</v>
      </c>
      <c r="Q1091" s="82">
        <f t="shared" si="207"/>
        <v>245</v>
      </c>
      <c r="R1091" s="82">
        <f t="shared" si="207"/>
        <v>100</v>
      </c>
      <c r="S1091" s="81">
        <f t="shared" si="207"/>
        <v>695</v>
      </c>
      <c r="T1091" s="81">
        <f t="shared" si="207"/>
        <v>33.333333333333336</v>
      </c>
      <c r="U1091" s="78"/>
      <c r="V1091" s="78"/>
      <c r="W1091" s="78"/>
      <c r="X1091" s="78"/>
      <c r="Y1091" s="78"/>
      <c r="Z1091" s="78"/>
      <c r="AA1091" s="78"/>
      <c r="AB1091" s="78"/>
      <c r="AC1091" s="78"/>
      <c r="AD1091" s="78"/>
    </row>
    <row r="1092" spans="1:30" ht="15" x14ac:dyDescent="0.2">
      <c r="A1092" s="10">
        <v>2036</v>
      </c>
      <c r="B1092" s="10">
        <f t="shared" si="180"/>
        <v>366</v>
      </c>
      <c r="C1092" s="81">
        <f t="shared" ref="C1092:T1092" si="208">AVERAGE(C288:C299)</f>
        <v>154.75825</v>
      </c>
      <c r="D1092" s="81">
        <f t="shared" si="208"/>
        <v>281.0162499999999</v>
      </c>
      <c r="E1092" s="81">
        <f t="shared" si="208"/>
        <v>109.1005</v>
      </c>
      <c r="F1092" s="81">
        <f t="shared" si="208"/>
        <v>57.041666666666664</v>
      </c>
      <c r="G1092" s="81">
        <f t="shared" si="208"/>
        <v>40</v>
      </c>
      <c r="H1092" s="81">
        <f t="shared" si="208"/>
        <v>174.58333333333334</v>
      </c>
      <c r="I1092" s="81">
        <f t="shared" si="208"/>
        <v>0</v>
      </c>
      <c r="J1092" s="81">
        <f t="shared" si="208"/>
        <v>100</v>
      </c>
      <c r="K1092" s="81">
        <f t="shared" si="208"/>
        <v>300</v>
      </c>
      <c r="L1092" s="81">
        <f t="shared" si="208"/>
        <v>1216.5</v>
      </c>
      <c r="M1092" s="83">
        <f t="shared" si="208"/>
        <v>600</v>
      </c>
      <c r="N1092" s="81">
        <f t="shared" si="208"/>
        <v>72.5</v>
      </c>
      <c r="O1092" s="82">
        <f t="shared" si="208"/>
        <v>240</v>
      </c>
      <c r="P1092" s="82">
        <f t="shared" si="208"/>
        <v>110</v>
      </c>
      <c r="Q1092" s="82">
        <f t="shared" si="208"/>
        <v>245</v>
      </c>
      <c r="R1092" s="82">
        <f t="shared" si="208"/>
        <v>100</v>
      </c>
      <c r="S1092" s="81">
        <f t="shared" si="208"/>
        <v>695</v>
      </c>
      <c r="T1092" s="81">
        <f t="shared" si="208"/>
        <v>33.333333333333336</v>
      </c>
      <c r="U1092" s="78"/>
      <c r="V1092" s="78"/>
      <c r="W1092" s="78"/>
      <c r="X1092" s="78"/>
      <c r="Y1092" s="78"/>
      <c r="Z1092" s="78"/>
      <c r="AA1092" s="78"/>
      <c r="AB1092" s="78"/>
      <c r="AC1092" s="78"/>
      <c r="AD1092" s="78"/>
    </row>
    <row r="1093" spans="1:30" ht="15" x14ac:dyDescent="0.2">
      <c r="A1093" s="10">
        <v>2037</v>
      </c>
      <c r="B1093" s="10">
        <f t="shared" si="180"/>
        <v>365</v>
      </c>
      <c r="C1093" s="81">
        <f t="shared" ref="C1093:T1093" si="209">AVERAGE(C300:C311)</f>
        <v>154.75825</v>
      </c>
      <c r="D1093" s="81">
        <f t="shared" si="209"/>
        <v>281.0162499999999</v>
      </c>
      <c r="E1093" s="81">
        <f t="shared" si="209"/>
        <v>109.1005</v>
      </c>
      <c r="F1093" s="81">
        <f t="shared" si="209"/>
        <v>57.041666666666664</v>
      </c>
      <c r="G1093" s="81">
        <f t="shared" si="209"/>
        <v>40</v>
      </c>
      <c r="H1093" s="81">
        <f t="shared" si="209"/>
        <v>174.58333333333334</v>
      </c>
      <c r="I1093" s="81">
        <f t="shared" si="209"/>
        <v>0</v>
      </c>
      <c r="J1093" s="81">
        <f t="shared" si="209"/>
        <v>100</v>
      </c>
      <c r="K1093" s="81">
        <f t="shared" si="209"/>
        <v>300</v>
      </c>
      <c r="L1093" s="81">
        <f t="shared" si="209"/>
        <v>1216.5</v>
      </c>
      <c r="M1093" s="83">
        <f t="shared" si="209"/>
        <v>600</v>
      </c>
      <c r="N1093" s="81">
        <f t="shared" si="209"/>
        <v>72.5</v>
      </c>
      <c r="O1093" s="82">
        <f t="shared" si="209"/>
        <v>240</v>
      </c>
      <c r="P1093" s="82">
        <f t="shared" si="209"/>
        <v>110</v>
      </c>
      <c r="Q1093" s="82">
        <f t="shared" si="209"/>
        <v>245</v>
      </c>
      <c r="R1093" s="82">
        <f t="shared" si="209"/>
        <v>100</v>
      </c>
      <c r="S1093" s="81">
        <f t="shared" si="209"/>
        <v>695</v>
      </c>
      <c r="T1093" s="81">
        <f t="shared" si="209"/>
        <v>33.333333333333336</v>
      </c>
      <c r="U1093" s="78"/>
      <c r="V1093" s="78"/>
      <c r="W1093" s="78"/>
      <c r="X1093" s="78"/>
      <c r="Y1093" s="78"/>
      <c r="Z1093" s="78"/>
      <c r="AA1093" s="78"/>
      <c r="AB1093" s="78"/>
      <c r="AC1093" s="78"/>
      <c r="AD1093" s="78"/>
    </row>
    <row r="1094" spans="1:30" ht="15" x14ac:dyDescent="0.2">
      <c r="A1094" s="10">
        <f t="shared" ref="A1094:A1125" si="210">A1093+1</f>
        <v>2038</v>
      </c>
      <c r="B1094" s="10">
        <f t="shared" si="180"/>
        <v>365</v>
      </c>
      <c r="C1094" s="77">
        <f t="shared" ref="C1094:T1094" si="211">AVERAGE(C312:C323)</f>
        <v>154.75825</v>
      </c>
      <c r="D1094" s="77">
        <f t="shared" si="211"/>
        <v>281.0162499999999</v>
      </c>
      <c r="E1094" s="77">
        <f t="shared" si="211"/>
        <v>109.1005</v>
      </c>
      <c r="F1094" s="77">
        <f t="shared" si="211"/>
        <v>57.041666666666664</v>
      </c>
      <c r="G1094" s="77">
        <f t="shared" si="211"/>
        <v>40</v>
      </c>
      <c r="H1094" s="77">
        <f t="shared" si="211"/>
        <v>174.58333333333334</v>
      </c>
      <c r="I1094" s="77">
        <f t="shared" si="211"/>
        <v>0</v>
      </c>
      <c r="J1094" s="77">
        <f t="shared" si="211"/>
        <v>100</v>
      </c>
      <c r="K1094" s="77">
        <f t="shared" si="211"/>
        <v>300</v>
      </c>
      <c r="L1094" s="77">
        <f t="shared" si="211"/>
        <v>1216.5</v>
      </c>
      <c r="M1094" s="79">
        <f t="shared" si="211"/>
        <v>600</v>
      </c>
      <c r="N1094" s="77">
        <f t="shared" si="211"/>
        <v>72.5</v>
      </c>
      <c r="O1094" s="80">
        <f t="shared" si="211"/>
        <v>240</v>
      </c>
      <c r="P1094" s="80">
        <f t="shared" si="211"/>
        <v>110</v>
      </c>
      <c r="Q1094" s="80">
        <f t="shared" si="211"/>
        <v>245</v>
      </c>
      <c r="R1094" s="80">
        <f t="shared" si="211"/>
        <v>100</v>
      </c>
      <c r="S1094" s="77">
        <f t="shared" si="211"/>
        <v>695</v>
      </c>
      <c r="T1094" s="77">
        <f t="shared" si="211"/>
        <v>33.333333333333336</v>
      </c>
      <c r="U1094" s="78"/>
      <c r="V1094" s="78"/>
      <c r="W1094" s="78"/>
      <c r="X1094" s="78"/>
      <c r="Y1094" s="78"/>
      <c r="Z1094" s="78"/>
      <c r="AA1094" s="78"/>
      <c r="AB1094" s="78"/>
      <c r="AC1094" s="78"/>
      <c r="AD1094" s="78"/>
    </row>
    <row r="1095" spans="1:30" ht="15" x14ac:dyDescent="0.2">
      <c r="A1095" s="10">
        <f t="shared" si="210"/>
        <v>2039</v>
      </c>
      <c r="B1095" s="10">
        <f t="shared" si="180"/>
        <v>365</v>
      </c>
      <c r="C1095" s="77">
        <f t="shared" ref="C1095:T1095" si="212">AVERAGE(C324:C335)</f>
        <v>154.75825</v>
      </c>
      <c r="D1095" s="77">
        <f t="shared" si="212"/>
        <v>281.0162499999999</v>
      </c>
      <c r="E1095" s="77">
        <f t="shared" si="212"/>
        <v>109.1005</v>
      </c>
      <c r="F1095" s="77">
        <f t="shared" si="212"/>
        <v>57.041666666666664</v>
      </c>
      <c r="G1095" s="77">
        <f t="shared" si="212"/>
        <v>40</v>
      </c>
      <c r="H1095" s="77">
        <f t="shared" si="212"/>
        <v>174.58333333333334</v>
      </c>
      <c r="I1095" s="77">
        <f t="shared" si="212"/>
        <v>0</v>
      </c>
      <c r="J1095" s="77">
        <f t="shared" si="212"/>
        <v>100</v>
      </c>
      <c r="K1095" s="77">
        <f t="shared" si="212"/>
        <v>300</v>
      </c>
      <c r="L1095" s="77">
        <f t="shared" si="212"/>
        <v>1216.5</v>
      </c>
      <c r="M1095" s="79">
        <f t="shared" si="212"/>
        <v>600</v>
      </c>
      <c r="N1095" s="77">
        <f t="shared" si="212"/>
        <v>72.5</v>
      </c>
      <c r="O1095" s="80">
        <f t="shared" si="212"/>
        <v>240</v>
      </c>
      <c r="P1095" s="80">
        <f t="shared" si="212"/>
        <v>110</v>
      </c>
      <c r="Q1095" s="80">
        <f t="shared" si="212"/>
        <v>245</v>
      </c>
      <c r="R1095" s="80">
        <f t="shared" si="212"/>
        <v>100</v>
      </c>
      <c r="S1095" s="77">
        <f t="shared" si="212"/>
        <v>695</v>
      </c>
      <c r="T1095" s="77">
        <f t="shared" si="212"/>
        <v>33.333333333333336</v>
      </c>
      <c r="U1095" s="78"/>
      <c r="V1095" s="78"/>
      <c r="W1095" s="78"/>
      <c r="X1095" s="78"/>
      <c r="Y1095" s="78"/>
      <c r="Z1095" s="78"/>
      <c r="AA1095" s="78"/>
      <c r="AB1095" s="78"/>
      <c r="AC1095" s="78"/>
      <c r="AD1095" s="78"/>
    </row>
    <row r="1096" spans="1:30" ht="15" x14ac:dyDescent="0.2">
      <c r="A1096" s="10">
        <f t="shared" si="210"/>
        <v>2040</v>
      </c>
      <c r="B1096" s="10">
        <f t="shared" si="180"/>
        <v>366</v>
      </c>
      <c r="C1096" s="77">
        <f t="shared" ref="C1096:T1096" si="213">AVERAGE(C336:C347)</f>
        <v>154.75825</v>
      </c>
      <c r="D1096" s="77">
        <f t="shared" si="213"/>
        <v>281.0162499999999</v>
      </c>
      <c r="E1096" s="77">
        <f t="shared" si="213"/>
        <v>109.1005</v>
      </c>
      <c r="F1096" s="77">
        <f t="shared" si="213"/>
        <v>57.041666666666664</v>
      </c>
      <c r="G1096" s="77">
        <f t="shared" si="213"/>
        <v>40</v>
      </c>
      <c r="H1096" s="77">
        <f t="shared" si="213"/>
        <v>174.58333333333334</v>
      </c>
      <c r="I1096" s="77">
        <f t="shared" si="213"/>
        <v>0</v>
      </c>
      <c r="J1096" s="77">
        <f t="shared" si="213"/>
        <v>100</v>
      </c>
      <c r="K1096" s="77">
        <f t="shared" si="213"/>
        <v>300</v>
      </c>
      <c r="L1096" s="77">
        <f t="shared" si="213"/>
        <v>1216.5</v>
      </c>
      <c r="M1096" s="79">
        <f t="shared" si="213"/>
        <v>600</v>
      </c>
      <c r="N1096" s="77">
        <f t="shared" si="213"/>
        <v>72.5</v>
      </c>
      <c r="O1096" s="80">
        <f t="shared" si="213"/>
        <v>240</v>
      </c>
      <c r="P1096" s="80">
        <f t="shared" si="213"/>
        <v>110</v>
      </c>
      <c r="Q1096" s="80">
        <f t="shared" si="213"/>
        <v>245</v>
      </c>
      <c r="R1096" s="80">
        <f t="shared" si="213"/>
        <v>100</v>
      </c>
      <c r="S1096" s="77">
        <f t="shared" si="213"/>
        <v>695</v>
      </c>
      <c r="T1096" s="77">
        <f t="shared" si="213"/>
        <v>33.333333333333336</v>
      </c>
      <c r="U1096" s="78"/>
      <c r="V1096" s="78"/>
      <c r="W1096" s="78"/>
      <c r="X1096" s="78"/>
      <c r="Y1096" s="78"/>
      <c r="Z1096" s="78"/>
      <c r="AA1096" s="78"/>
      <c r="AB1096" s="78"/>
      <c r="AC1096" s="78"/>
      <c r="AD1096" s="78"/>
    </row>
    <row r="1097" spans="1:30" ht="15" x14ac:dyDescent="0.2">
      <c r="A1097" s="10">
        <f t="shared" si="210"/>
        <v>2041</v>
      </c>
      <c r="B1097" s="10">
        <f t="shared" si="180"/>
        <v>365</v>
      </c>
      <c r="C1097" s="77">
        <f t="shared" ref="C1097:T1097" si="214">AVERAGE(C348:C359)</f>
        <v>154.75825</v>
      </c>
      <c r="D1097" s="77">
        <f t="shared" si="214"/>
        <v>281.0162499999999</v>
      </c>
      <c r="E1097" s="77">
        <f t="shared" si="214"/>
        <v>109.1005</v>
      </c>
      <c r="F1097" s="77">
        <f t="shared" si="214"/>
        <v>57.041666666666664</v>
      </c>
      <c r="G1097" s="77">
        <f t="shared" si="214"/>
        <v>40</v>
      </c>
      <c r="H1097" s="77">
        <f t="shared" si="214"/>
        <v>174.58333333333334</v>
      </c>
      <c r="I1097" s="77">
        <f t="shared" si="214"/>
        <v>0</v>
      </c>
      <c r="J1097" s="77">
        <f t="shared" si="214"/>
        <v>100</v>
      </c>
      <c r="K1097" s="77">
        <f t="shared" si="214"/>
        <v>300</v>
      </c>
      <c r="L1097" s="77">
        <f t="shared" si="214"/>
        <v>1216.5</v>
      </c>
      <c r="M1097" s="79">
        <f t="shared" si="214"/>
        <v>600</v>
      </c>
      <c r="N1097" s="77">
        <f t="shared" si="214"/>
        <v>72.5</v>
      </c>
      <c r="O1097" s="80">
        <f t="shared" si="214"/>
        <v>240</v>
      </c>
      <c r="P1097" s="80">
        <f t="shared" si="214"/>
        <v>110</v>
      </c>
      <c r="Q1097" s="80">
        <f t="shared" si="214"/>
        <v>245</v>
      </c>
      <c r="R1097" s="80">
        <f t="shared" si="214"/>
        <v>100</v>
      </c>
      <c r="S1097" s="77">
        <f t="shared" si="214"/>
        <v>695</v>
      </c>
      <c r="T1097" s="77">
        <f t="shared" si="214"/>
        <v>33.333333333333336</v>
      </c>
      <c r="U1097" s="78"/>
      <c r="V1097" s="78"/>
      <c r="W1097" s="78"/>
      <c r="X1097" s="78"/>
      <c r="Y1097" s="78"/>
      <c r="Z1097" s="78"/>
      <c r="AA1097" s="78"/>
      <c r="AB1097" s="78"/>
      <c r="AC1097" s="78"/>
      <c r="AD1097" s="78"/>
    </row>
    <row r="1098" spans="1:30" ht="15" x14ac:dyDescent="0.2">
      <c r="A1098" s="10">
        <f t="shared" si="210"/>
        <v>2042</v>
      </c>
      <c r="B1098" s="10">
        <f t="shared" si="180"/>
        <v>365</v>
      </c>
      <c r="C1098" s="77">
        <f t="shared" ref="C1098:T1098" si="215">AVERAGE(C360:C371)</f>
        <v>154.75825</v>
      </c>
      <c r="D1098" s="77">
        <f t="shared" si="215"/>
        <v>281.0162499999999</v>
      </c>
      <c r="E1098" s="77">
        <f t="shared" si="215"/>
        <v>109.1005</v>
      </c>
      <c r="F1098" s="77">
        <f t="shared" si="215"/>
        <v>57.041666666666664</v>
      </c>
      <c r="G1098" s="77">
        <f t="shared" si="215"/>
        <v>40</v>
      </c>
      <c r="H1098" s="77">
        <f t="shared" si="215"/>
        <v>174.58333333333334</v>
      </c>
      <c r="I1098" s="77">
        <f t="shared" si="215"/>
        <v>0</v>
      </c>
      <c r="J1098" s="77">
        <f t="shared" si="215"/>
        <v>100</v>
      </c>
      <c r="K1098" s="77">
        <f t="shared" si="215"/>
        <v>300</v>
      </c>
      <c r="L1098" s="77">
        <f t="shared" si="215"/>
        <v>1216.5</v>
      </c>
      <c r="M1098" s="79">
        <f t="shared" si="215"/>
        <v>600</v>
      </c>
      <c r="N1098" s="77">
        <f t="shared" si="215"/>
        <v>72.5</v>
      </c>
      <c r="O1098" s="80">
        <f t="shared" si="215"/>
        <v>240</v>
      </c>
      <c r="P1098" s="80">
        <f t="shared" si="215"/>
        <v>110</v>
      </c>
      <c r="Q1098" s="80">
        <f t="shared" si="215"/>
        <v>245</v>
      </c>
      <c r="R1098" s="80">
        <f t="shared" si="215"/>
        <v>100</v>
      </c>
      <c r="S1098" s="77">
        <f t="shared" si="215"/>
        <v>695</v>
      </c>
      <c r="T1098" s="77">
        <f t="shared" si="215"/>
        <v>33.333333333333336</v>
      </c>
      <c r="U1098" s="78"/>
      <c r="V1098" s="78"/>
      <c r="W1098" s="78"/>
      <c r="X1098" s="78"/>
      <c r="Y1098" s="78"/>
      <c r="Z1098" s="78"/>
      <c r="AA1098" s="78"/>
      <c r="AB1098" s="78"/>
      <c r="AC1098" s="78"/>
      <c r="AD1098" s="78"/>
    </row>
    <row r="1099" spans="1:30" ht="15" x14ac:dyDescent="0.2">
      <c r="A1099" s="10">
        <f t="shared" si="210"/>
        <v>2043</v>
      </c>
      <c r="B1099" s="10">
        <f t="shared" si="180"/>
        <v>365</v>
      </c>
      <c r="C1099" s="77">
        <f t="shared" ref="C1099:T1099" si="216">AVERAGE(C372:C383)</f>
        <v>154.75825</v>
      </c>
      <c r="D1099" s="77">
        <f t="shared" si="216"/>
        <v>281.0162499999999</v>
      </c>
      <c r="E1099" s="77">
        <f t="shared" si="216"/>
        <v>109.1005</v>
      </c>
      <c r="F1099" s="77">
        <f t="shared" si="216"/>
        <v>57.041666666666664</v>
      </c>
      <c r="G1099" s="77">
        <f t="shared" si="216"/>
        <v>40</v>
      </c>
      <c r="H1099" s="77">
        <f t="shared" si="216"/>
        <v>174.58333333333334</v>
      </c>
      <c r="I1099" s="77">
        <f t="shared" si="216"/>
        <v>0</v>
      </c>
      <c r="J1099" s="77">
        <f t="shared" si="216"/>
        <v>100</v>
      </c>
      <c r="K1099" s="77">
        <f t="shared" si="216"/>
        <v>300</v>
      </c>
      <c r="L1099" s="77">
        <f t="shared" si="216"/>
        <v>1216.5</v>
      </c>
      <c r="M1099" s="79">
        <f t="shared" si="216"/>
        <v>600</v>
      </c>
      <c r="N1099" s="77">
        <f t="shared" si="216"/>
        <v>72.5</v>
      </c>
      <c r="O1099" s="80">
        <f t="shared" si="216"/>
        <v>240</v>
      </c>
      <c r="P1099" s="80">
        <f t="shared" si="216"/>
        <v>110</v>
      </c>
      <c r="Q1099" s="80">
        <f t="shared" si="216"/>
        <v>245</v>
      </c>
      <c r="R1099" s="80">
        <f t="shared" si="216"/>
        <v>100</v>
      </c>
      <c r="S1099" s="77">
        <f t="shared" si="216"/>
        <v>695</v>
      </c>
      <c r="T1099" s="77">
        <f t="shared" si="216"/>
        <v>33.333333333333336</v>
      </c>
      <c r="U1099" s="78"/>
      <c r="V1099" s="78"/>
      <c r="W1099" s="78"/>
      <c r="X1099" s="78"/>
      <c r="Y1099" s="78"/>
      <c r="Z1099" s="78"/>
      <c r="AA1099" s="78"/>
      <c r="AB1099" s="78"/>
      <c r="AC1099" s="78"/>
      <c r="AD1099" s="78"/>
    </row>
    <row r="1100" spans="1:30" ht="15" x14ac:dyDescent="0.2">
      <c r="A1100" s="10">
        <f t="shared" si="210"/>
        <v>2044</v>
      </c>
      <c r="B1100" s="10">
        <f t="shared" si="180"/>
        <v>366</v>
      </c>
      <c r="C1100" s="77">
        <f t="shared" ref="C1100:T1100" si="217">AVERAGE(C384:C395)</f>
        <v>154.75825</v>
      </c>
      <c r="D1100" s="77">
        <f t="shared" si="217"/>
        <v>281.0162499999999</v>
      </c>
      <c r="E1100" s="77">
        <f t="shared" si="217"/>
        <v>109.1005</v>
      </c>
      <c r="F1100" s="77">
        <f t="shared" si="217"/>
        <v>57.041666666666664</v>
      </c>
      <c r="G1100" s="77">
        <f t="shared" si="217"/>
        <v>40</v>
      </c>
      <c r="H1100" s="77">
        <f t="shared" si="217"/>
        <v>174.58333333333334</v>
      </c>
      <c r="I1100" s="77">
        <f t="shared" si="217"/>
        <v>0</v>
      </c>
      <c r="J1100" s="77">
        <f t="shared" si="217"/>
        <v>100</v>
      </c>
      <c r="K1100" s="77">
        <f t="shared" si="217"/>
        <v>300</v>
      </c>
      <c r="L1100" s="77">
        <f t="shared" si="217"/>
        <v>1216.5</v>
      </c>
      <c r="M1100" s="79">
        <f t="shared" si="217"/>
        <v>600</v>
      </c>
      <c r="N1100" s="77">
        <f t="shared" si="217"/>
        <v>72.5</v>
      </c>
      <c r="O1100" s="80">
        <f t="shared" si="217"/>
        <v>240</v>
      </c>
      <c r="P1100" s="80">
        <f t="shared" si="217"/>
        <v>110</v>
      </c>
      <c r="Q1100" s="80">
        <f t="shared" si="217"/>
        <v>245</v>
      </c>
      <c r="R1100" s="80">
        <f t="shared" si="217"/>
        <v>100</v>
      </c>
      <c r="S1100" s="77">
        <f t="shared" si="217"/>
        <v>695</v>
      </c>
      <c r="T1100" s="77">
        <f t="shared" si="217"/>
        <v>33.333333333333336</v>
      </c>
      <c r="U1100" s="78"/>
      <c r="V1100" s="78"/>
      <c r="W1100" s="78"/>
      <c r="X1100" s="78"/>
      <c r="Y1100" s="78"/>
      <c r="Z1100" s="78"/>
      <c r="AA1100" s="78"/>
      <c r="AB1100" s="78"/>
      <c r="AC1100" s="78"/>
      <c r="AD1100" s="78"/>
    </row>
    <row r="1101" spans="1:30" ht="15" x14ac:dyDescent="0.2">
      <c r="A1101" s="10">
        <f t="shared" si="210"/>
        <v>2045</v>
      </c>
      <c r="B1101" s="10">
        <f t="shared" ref="B1101:B1132" si="218">DATE(A1101+1,1,1)-DATE(A1101,1,1)</f>
        <v>365</v>
      </c>
      <c r="C1101" s="77">
        <f t="shared" ref="C1101:T1101" si="219">AVERAGE(C396:C407)</f>
        <v>154.75825</v>
      </c>
      <c r="D1101" s="77">
        <f t="shared" si="219"/>
        <v>281.0162499999999</v>
      </c>
      <c r="E1101" s="77">
        <f t="shared" si="219"/>
        <v>109.1005</v>
      </c>
      <c r="F1101" s="77">
        <f t="shared" si="219"/>
        <v>57.041666666666664</v>
      </c>
      <c r="G1101" s="77">
        <f t="shared" si="219"/>
        <v>40</v>
      </c>
      <c r="H1101" s="77">
        <f t="shared" si="219"/>
        <v>174.58333333333334</v>
      </c>
      <c r="I1101" s="77">
        <f t="shared" si="219"/>
        <v>0</v>
      </c>
      <c r="J1101" s="77">
        <f t="shared" si="219"/>
        <v>100</v>
      </c>
      <c r="K1101" s="77">
        <f t="shared" si="219"/>
        <v>300</v>
      </c>
      <c r="L1101" s="77">
        <f t="shared" si="219"/>
        <v>1216.5</v>
      </c>
      <c r="M1101" s="79">
        <f t="shared" si="219"/>
        <v>600</v>
      </c>
      <c r="N1101" s="77">
        <f t="shared" si="219"/>
        <v>72.5</v>
      </c>
      <c r="O1101" s="80">
        <f t="shared" si="219"/>
        <v>240</v>
      </c>
      <c r="P1101" s="80">
        <f t="shared" si="219"/>
        <v>110</v>
      </c>
      <c r="Q1101" s="80">
        <f t="shared" si="219"/>
        <v>245</v>
      </c>
      <c r="R1101" s="80">
        <f t="shared" si="219"/>
        <v>100</v>
      </c>
      <c r="S1101" s="77">
        <f t="shared" si="219"/>
        <v>695</v>
      </c>
      <c r="T1101" s="77">
        <f t="shared" si="219"/>
        <v>33.333333333333336</v>
      </c>
      <c r="U1101" s="78"/>
      <c r="V1101" s="78"/>
      <c r="W1101" s="78"/>
      <c r="X1101" s="78"/>
      <c r="Y1101" s="78"/>
      <c r="Z1101" s="78"/>
      <c r="AA1101" s="78"/>
      <c r="AB1101" s="78"/>
      <c r="AC1101" s="78"/>
      <c r="AD1101" s="78"/>
    </row>
    <row r="1102" spans="1:30" ht="15" x14ac:dyDescent="0.2">
      <c r="A1102" s="10">
        <f t="shared" si="210"/>
        <v>2046</v>
      </c>
      <c r="B1102" s="10">
        <f t="shared" si="218"/>
        <v>365</v>
      </c>
      <c r="C1102" s="77">
        <f t="shared" ref="C1102:T1102" si="220">AVERAGE(C408:C419)</f>
        <v>154.75825</v>
      </c>
      <c r="D1102" s="77">
        <f t="shared" si="220"/>
        <v>281.0162499999999</v>
      </c>
      <c r="E1102" s="77">
        <f t="shared" si="220"/>
        <v>109.1005</v>
      </c>
      <c r="F1102" s="77">
        <f t="shared" si="220"/>
        <v>57.041666666666664</v>
      </c>
      <c r="G1102" s="77">
        <f t="shared" si="220"/>
        <v>40</v>
      </c>
      <c r="H1102" s="77">
        <f t="shared" si="220"/>
        <v>174.58333333333334</v>
      </c>
      <c r="I1102" s="77">
        <f t="shared" si="220"/>
        <v>0</v>
      </c>
      <c r="J1102" s="77">
        <f t="shared" si="220"/>
        <v>100</v>
      </c>
      <c r="K1102" s="77">
        <f t="shared" si="220"/>
        <v>300</v>
      </c>
      <c r="L1102" s="77">
        <f t="shared" si="220"/>
        <v>1216.5</v>
      </c>
      <c r="M1102" s="79">
        <f t="shared" si="220"/>
        <v>600</v>
      </c>
      <c r="N1102" s="77">
        <f t="shared" si="220"/>
        <v>72.5</v>
      </c>
      <c r="O1102" s="80">
        <f t="shared" si="220"/>
        <v>240</v>
      </c>
      <c r="P1102" s="80">
        <f t="shared" si="220"/>
        <v>110</v>
      </c>
      <c r="Q1102" s="80">
        <f t="shared" si="220"/>
        <v>245</v>
      </c>
      <c r="R1102" s="80">
        <f t="shared" si="220"/>
        <v>100</v>
      </c>
      <c r="S1102" s="77">
        <f t="shared" si="220"/>
        <v>695</v>
      </c>
      <c r="T1102" s="77">
        <f t="shared" si="220"/>
        <v>33.333333333333336</v>
      </c>
      <c r="U1102" s="78"/>
      <c r="V1102" s="78"/>
      <c r="W1102" s="78"/>
      <c r="X1102" s="78"/>
      <c r="Y1102" s="78"/>
      <c r="Z1102" s="78"/>
      <c r="AA1102" s="78"/>
      <c r="AB1102" s="78"/>
      <c r="AC1102" s="78"/>
      <c r="AD1102" s="78"/>
    </row>
    <row r="1103" spans="1:30" ht="15" x14ac:dyDescent="0.2">
      <c r="A1103" s="10">
        <f t="shared" si="210"/>
        <v>2047</v>
      </c>
      <c r="B1103" s="10">
        <f t="shared" si="218"/>
        <v>365</v>
      </c>
      <c r="C1103" s="77">
        <f t="shared" ref="C1103:T1103" si="221">AVERAGE(C420:C431)</f>
        <v>154.75825</v>
      </c>
      <c r="D1103" s="77">
        <f t="shared" si="221"/>
        <v>281.0162499999999</v>
      </c>
      <c r="E1103" s="77">
        <f t="shared" si="221"/>
        <v>109.1005</v>
      </c>
      <c r="F1103" s="77">
        <f t="shared" si="221"/>
        <v>57.041666666666664</v>
      </c>
      <c r="G1103" s="77">
        <f t="shared" si="221"/>
        <v>40</v>
      </c>
      <c r="H1103" s="77">
        <f t="shared" si="221"/>
        <v>174.58333333333334</v>
      </c>
      <c r="I1103" s="77">
        <f t="shared" si="221"/>
        <v>0</v>
      </c>
      <c r="J1103" s="77">
        <f t="shared" si="221"/>
        <v>100</v>
      </c>
      <c r="K1103" s="77">
        <f t="shared" si="221"/>
        <v>300</v>
      </c>
      <c r="L1103" s="77">
        <f t="shared" si="221"/>
        <v>1216.5</v>
      </c>
      <c r="M1103" s="79">
        <f t="shared" si="221"/>
        <v>600</v>
      </c>
      <c r="N1103" s="77">
        <f t="shared" si="221"/>
        <v>72.5</v>
      </c>
      <c r="O1103" s="80">
        <f t="shared" si="221"/>
        <v>240</v>
      </c>
      <c r="P1103" s="80">
        <f t="shared" si="221"/>
        <v>110</v>
      </c>
      <c r="Q1103" s="80">
        <f t="shared" si="221"/>
        <v>245</v>
      </c>
      <c r="R1103" s="80">
        <f t="shared" si="221"/>
        <v>100</v>
      </c>
      <c r="S1103" s="77">
        <f t="shared" si="221"/>
        <v>695</v>
      </c>
      <c r="T1103" s="77">
        <f t="shared" si="221"/>
        <v>33.333333333333336</v>
      </c>
      <c r="U1103" s="78"/>
      <c r="V1103" s="78"/>
      <c r="W1103" s="78"/>
      <c r="X1103" s="78"/>
      <c r="Y1103" s="78"/>
      <c r="Z1103" s="78"/>
      <c r="AA1103" s="78"/>
      <c r="AB1103" s="78"/>
      <c r="AC1103" s="78"/>
      <c r="AD1103" s="78"/>
    </row>
    <row r="1104" spans="1:30" ht="15" x14ac:dyDescent="0.2">
      <c r="A1104" s="10">
        <f t="shared" si="210"/>
        <v>2048</v>
      </c>
      <c r="B1104" s="10">
        <f t="shared" si="218"/>
        <v>366</v>
      </c>
      <c r="C1104" s="77">
        <f t="shared" ref="C1104:T1104" si="222">AVERAGE(C432:C443)</f>
        <v>154.75825</v>
      </c>
      <c r="D1104" s="77">
        <f t="shared" si="222"/>
        <v>281.0162499999999</v>
      </c>
      <c r="E1104" s="77">
        <f t="shared" si="222"/>
        <v>109.1005</v>
      </c>
      <c r="F1104" s="77">
        <f t="shared" si="222"/>
        <v>57.041666666666664</v>
      </c>
      <c r="G1104" s="77">
        <f t="shared" si="222"/>
        <v>40</v>
      </c>
      <c r="H1104" s="77">
        <f t="shared" si="222"/>
        <v>174.58333333333334</v>
      </c>
      <c r="I1104" s="77">
        <f t="shared" si="222"/>
        <v>0</v>
      </c>
      <c r="J1104" s="77">
        <f t="shared" si="222"/>
        <v>100</v>
      </c>
      <c r="K1104" s="77">
        <f t="shared" si="222"/>
        <v>300</v>
      </c>
      <c r="L1104" s="77">
        <f t="shared" si="222"/>
        <v>1216.5</v>
      </c>
      <c r="M1104" s="79">
        <f t="shared" si="222"/>
        <v>600</v>
      </c>
      <c r="N1104" s="77">
        <f t="shared" si="222"/>
        <v>72.5</v>
      </c>
      <c r="O1104" s="80">
        <f t="shared" si="222"/>
        <v>240</v>
      </c>
      <c r="P1104" s="80">
        <f t="shared" si="222"/>
        <v>110</v>
      </c>
      <c r="Q1104" s="80">
        <f t="shared" si="222"/>
        <v>245</v>
      </c>
      <c r="R1104" s="80">
        <f t="shared" si="222"/>
        <v>100</v>
      </c>
      <c r="S1104" s="77">
        <f t="shared" si="222"/>
        <v>695</v>
      </c>
      <c r="T1104" s="77">
        <f t="shared" si="222"/>
        <v>33.333333333333336</v>
      </c>
      <c r="U1104" s="78"/>
      <c r="V1104" s="78"/>
      <c r="W1104" s="78"/>
      <c r="X1104" s="78"/>
      <c r="Y1104" s="78"/>
      <c r="Z1104" s="78"/>
      <c r="AA1104" s="78"/>
      <c r="AB1104" s="78"/>
      <c r="AC1104" s="78"/>
      <c r="AD1104" s="78"/>
    </row>
    <row r="1105" spans="1:30" ht="15" x14ac:dyDescent="0.2">
      <c r="A1105" s="10">
        <f t="shared" si="210"/>
        <v>2049</v>
      </c>
      <c r="B1105" s="10">
        <f t="shared" si="218"/>
        <v>365</v>
      </c>
      <c r="C1105" s="77">
        <f t="shared" ref="C1105:T1105" si="223">AVERAGE(C444:C455)</f>
        <v>154.75825</v>
      </c>
      <c r="D1105" s="77">
        <f t="shared" si="223"/>
        <v>281.0162499999999</v>
      </c>
      <c r="E1105" s="77">
        <f t="shared" si="223"/>
        <v>109.1005</v>
      </c>
      <c r="F1105" s="77">
        <f t="shared" si="223"/>
        <v>57.041666666666664</v>
      </c>
      <c r="G1105" s="77">
        <f t="shared" si="223"/>
        <v>40</v>
      </c>
      <c r="H1105" s="77">
        <f t="shared" si="223"/>
        <v>174.58333333333334</v>
      </c>
      <c r="I1105" s="77">
        <f t="shared" si="223"/>
        <v>0</v>
      </c>
      <c r="J1105" s="77">
        <f t="shared" si="223"/>
        <v>100</v>
      </c>
      <c r="K1105" s="77">
        <f t="shared" si="223"/>
        <v>300</v>
      </c>
      <c r="L1105" s="77">
        <f t="shared" si="223"/>
        <v>1216.5</v>
      </c>
      <c r="M1105" s="79">
        <f t="shared" si="223"/>
        <v>600</v>
      </c>
      <c r="N1105" s="77">
        <f t="shared" si="223"/>
        <v>72.5</v>
      </c>
      <c r="O1105" s="80">
        <f t="shared" si="223"/>
        <v>240</v>
      </c>
      <c r="P1105" s="80">
        <f t="shared" si="223"/>
        <v>110</v>
      </c>
      <c r="Q1105" s="80">
        <f t="shared" si="223"/>
        <v>245</v>
      </c>
      <c r="R1105" s="80">
        <f t="shared" si="223"/>
        <v>100</v>
      </c>
      <c r="S1105" s="77">
        <f t="shared" si="223"/>
        <v>695</v>
      </c>
      <c r="T1105" s="77">
        <f t="shared" si="223"/>
        <v>33.333333333333336</v>
      </c>
      <c r="U1105" s="78"/>
      <c r="V1105" s="78"/>
      <c r="W1105" s="78"/>
      <c r="X1105" s="78"/>
      <c r="Y1105" s="78"/>
      <c r="Z1105" s="78"/>
      <c r="AA1105" s="78"/>
      <c r="AB1105" s="78"/>
      <c r="AC1105" s="78"/>
      <c r="AD1105" s="78"/>
    </row>
    <row r="1106" spans="1:30" ht="15" x14ac:dyDescent="0.2">
      <c r="A1106" s="10">
        <f t="shared" si="210"/>
        <v>2050</v>
      </c>
      <c r="B1106" s="10">
        <f t="shared" si="218"/>
        <v>365</v>
      </c>
      <c r="C1106" s="77">
        <f t="shared" ref="C1106:T1106" si="224">AVERAGE(C456:C467)</f>
        <v>154.75825</v>
      </c>
      <c r="D1106" s="77">
        <f t="shared" si="224"/>
        <v>281.0162499999999</v>
      </c>
      <c r="E1106" s="77">
        <f t="shared" si="224"/>
        <v>109.1005</v>
      </c>
      <c r="F1106" s="77">
        <f t="shared" si="224"/>
        <v>57.041666666666664</v>
      </c>
      <c r="G1106" s="77">
        <f t="shared" si="224"/>
        <v>40</v>
      </c>
      <c r="H1106" s="77">
        <f t="shared" si="224"/>
        <v>174.58333333333334</v>
      </c>
      <c r="I1106" s="77">
        <f t="shared" si="224"/>
        <v>0</v>
      </c>
      <c r="J1106" s="77">
        <f t="shared" si="224"/>
        <v>100</v>
      </c>
      <c r="K1106" s="77">
        <f t="shared" si="224"/>
        <v>300</v>
      </c>
      <c r="L1106" s="77">
        <f t="shared" si="224"/>
        <v>1216.5</v>
      </c>
      <c r="M1106" s="79">
        <f t="shared" si="224"/>
        <v>600</v>
      </c>
      <c r="N1106" s="77">
        <f t="shared" si="224"/>
        <v>72.5</v>
      </c>
      <c r="O1106" s="80">
        <f t="shared" si="224"/>
        <v>240</v>
      </c>
      <c r="P1106" s="80">
        <f t="shared" si="224"/>
        <v>110</v>
      </c>
      <c r="Q1106" s="80">
        <f t="shared" si="224"/>
        <v>245</v>
      </c>
      <c r="R1106" s="80">
        <f t="shared" si="224"/>
        <v>100</v>
      </c>
      <c r="S1106" s="77">
        <f t="shared" si="224"/>
        <v>695</v>
      </c>
      <c r="T1106" s="77">
        <f t="shared" si="224"/>
        <v>33.333333333333336</v>
      </c>
      <c r="U1106" s="78"/>
      <c r="V1106" s="78"/>
      <c r="W1106" s="78"/>
      <c r="X1106" s="78"/>
      <c r="Y1106" s="78"/>
      <c r="Z1106" s="78"/>
      <c r="AA1106" s="78"/>
      <c r="AB1106" s="78"/>
      <c r="AC1106" s="78"/>
      <c r="AD1106" s="78"/>
    </row>
    <row r="1107" spans="1:30" ht="15" x14ac:dyDescent="0.2">
      <c r="A1107" s="10">
        <f t="shared" si="210"/>
        <v>2051</v>
      </c>
      <c r="B1107" s="10">
        <f t="shared" si="218"/>
        <v>365</v>
      </c>
      <c r="C1107" s="77">
        <f t="shared" ref="C1107:T1107" si="225">AVERAGE(C468:C479)</f>
        <v>154.75825</v>
      </c>
      <c r="D1107" s="77">
        <f t="shared" si="225"/>
        <v>281.0162499999999</v>
      </c>
      <c r="E1107" s="77">
        <f t="shared" si="225"/>
        <v>109.1005</v>
      </c>
      <c r="F1107" s="77">
        <f t="shared" si="225"/>
        <v>57.041666666666664</v>
      </c>
      <c r="G1107" s="77">
        <f t="shared" si="225"/>
        <v>40</v>
      </c>
      <c r="H1107" s="77">
        <f t="shared" si="225"/>
        <v>174.58333333333334</v>
      </c>
      <c r="I1107" s="77">
        <f t="shared" si="225"/>
        <v>0</v>
      </c>
      <c r="J1107" s="77">
        <f t="shared" si="225"/>
        <v>100</v>
      </c>
      <c r="K1107" s="77">
        <f t="shared" si="225"/>
        <v>300</v>
      </c>
      <c r="L1107" s="77">
        <f t="shared" si="225"/>
        <v>1216.5</v>
      </c>
      <c r="M1107" s="79">
        <f t="shared" si="225"/>
        <v>600</v>
      </c>
      <c r="N1107" s="77">
        <f t="shared" si="225"/>
        <v>72.5</v>
      </c>
      <c r="O1107" s="80">
        <f t="shared" si="225"/>
        <v>240</v>
      </c>
      <c r="P1107" s="80">
        <f t="shared" si="225"/>
        <v>110</v>
      </c>
      <c r="Q1107" s="80">
        <f t="shared" si="225"/>
        <v>245</v>
      </c>
      <c r="R1107" s="80">
        <f t="shared" si="225"/>
        <v>100</v>
      </c>
      <c r="S1107" s="77">
        <f t="shared" si="225"/>
        <v>695</v>
      </c>
      <c r="T1107" s="77">
        <f t="shared" si="225"/>
        <v>33.333333333333336</v>
      </c>
      <c r="U1107" s="78"/>
      <c r="V1107" s="78"/>
      <c r="W1107" s="78"/>
      <c r="X1107" s="78"/>
      <c r="Y1107" s="78"/>
      <c r="Z1107" s="78"/>
      <c r="AA1107" s="78"/>
      <c r="AB1107" s="78"/>
      <c r="AC1107" s="78"/>
      <c r="AD1107" s="78"/>
    </row>
    <row r="1108" spans="1:30" ht="15" x14ac:dyDescent="0.2">
      <c r="A1108" s="10">
        <f t="shared" si="210"/>
        <v>2052</v>
      </c>
      <c r="B1108" s="10">
        <f t="shared" si="218"/>
        <v>366</v>
      </c>
      <c r="C1108" s="77">
        <f t="shared" ref="C1108:T1108" si="226">AVERAGE(C480:C491)</f>
        <v>154.75825</v>
      </c>
      <c r="D1108" s="77">
        <f t="shared" si="226"/>
        <v>281.0162499999999</v>
      </c>
      <c r="E1108" s="77">
        <f t="shared" si="226"/>
        <v>109.1005</v>
      </c>
      <c r="F1108" s="77">
        <f t="shared" si="226"/>
        <v>57.041666666666664</v>
      </c>
      <c r="G1108" s="77">
        <f t="shared" si="226"/>
        <v>40</v>
      </c>
      <c r="H1108" s="77">
        <f t="shared" si="226"/>
        <v>174.58333333333334</v>
      </c>
      <c r="I1108" s="77">
        <f t="shared" si="226"/>
        <v>0</v>
      </c>
      <c r="J1108" s="77">
        <f t="shared" si="226"/>
        <v>100</v>
      </c>
      <c r="K1108" s="77">
        <f t="shared" si="226"/>
        <v>300</v>
      </c>
      <c r="L1108" s="77">
        <f t="shared" si="226"/>
        <v>1216.5</v>
      </c>
      <c r="M1108" s="79">
        <f t="shared" si="226"/>
        <v>600</v>
      </c>
      <c r="N1108" s="77">
        <f t="shared" si="226"/>
        <v>72.5</v>
      </c>
      <c r="O1108" s="80">
        <f t="shared" si="226"/>
        <v>240</v>
      </c>
      <c r="P1108" s="80">
        <f t="shared" si="226"/>
        <v>110</v>
      </c>
      <c r="Q1108" s="80">
        <f t="shared" si="226"/>
        <v>245</v>
      </c>
      <c r="R1108" s="80">
        <f t="shared" si="226"/>
        <v>100</v>
      </c>
      <c r="S1108" s="77">
        <f t="shared" si="226"/>
        <v>695</v>
      </c>
      <c r="T1108" s="77">
        <f t="shared" si="226"/>
        <v>33.333333333333336</v>
      </c>
      <c r="U1108" s="78"/>
      <c r="V1108" s="78"/>
      <c r="W1108" s="78"/>
      <c r="X1108" s="78"/>
      <c r="Y1108" s="78"/>
      <c r="Z1108" s="78"/>
      <c r="AA1108" s="78"/>
      <c r="AB1108" s="78"/>
      <c r="AC1108" s="78"/>
      <c r="AD1108" s="78"/>
    </row>
    <row r="1109" spans="1:30" ht="15" x14ac:dyDescent="0.2">
      <c r="A1109" s="10">
        <f t="shared" si="210"/>
        <v>2053</v>
      </c>
      <c r="B1109" s="10">
        <f t="shared" si="218"/>
        <v>365</v>
      </c>
      <c r="C1109" s="77">
        <f t="shared" ref="C1109:T1109" si="227">AVERAGE(C492:C503)</f>
        <v>154.75825</v>
      </c>
      <c r="D1109" s="77">
        <f t="shared" si="227"/>
        <v>281.0162499999999</v>
      </c>
      <c r="E1109" s="77">
        <f t="shared" si="227"/>
        <v>109.1005</v>
      </c>
      <c r="F1109" s="77">
        <f t="shared" si="227"/>
        <v>57.041666666666664</v>
      </c>
      <c r="G1109" s="77">
        <f t="shared" si="227"/>
        <v>40</v>
      </c>
      <c r="H1109" s="77">
        <f t="shared" si="227"/>
        <v>174.58333333333334</v>
      </c>
      <c r="I1109" s="77">
        <f t="shared" si="227"/>
        <v>0</v>
      </c>
      <c r="J1109" s="77">
        <f t="shared" si="227"/>
        <v>100</v>
      </c>
      <c r="K1109" s="77">
        <f t="shared" si="227"/>
        <v>300</v>
      </c>
      <c r="L1109" s="77">
        <f t="shared" si="227"/>
        <v>1216.5</v>
      </c>
      <c r="M1109" s="79">
        <f t="shared" si="227"/>
        <v>600</v>
      </c>
      <c r="N1109" s="77">
        <f t="shared" si="227"/>
        <v>72.5</v>
      </c>
      <c r="O1109" s="80">
        <f t="shared" si="227"/>
        <v>240</v>
      </c>
      <c r="P1109" s="80">
        <f t="shared" si="227"/>
        <v>110</v>
      </c>
      <c r="Q1109" s="80">
        <f t="shared" si="227"/>
        <v>245</v>
      </c>
      <c r="R1109" s="80">
        <f t="shared" si="227"/>
        <v>100</v>
      </c>
      <c r="S1109" s="77">
        <f t="shared" si="227"/>
        <v>695</v>
      </c>
      <c r="T1109" s="77">
        <f t="shared" si="227"/>
        <v>33.333333333333336</v>
      </c>
      <c r="U1109" s="78"/>
      <c r="V1109" s="78"/>
      <c r="W1109" s="78"/>
      <c r="X1109" s="78"/>
      <c r="Y1109" s="78"/>
      <c r="Z1109" s="78"/>
      <c r="AA1109" s="78"/>
      <c r="AB1109" s="78"/>
      <c r="AC1109" s="78"/>
      <c r="AD1109" s="78"/>
    </row>
    <row r="1110" spans="1:30" ht="15" x14ac:dyDescent="0.2">
      <c r="A1110" s="10">
        <f t="shared" si="210"/>
        <v>2054</v>
      </c>
      <c r="B1110" s="10">
        <f t="shared" si="218"/>
        <v>365</v>
      </c>
      <c r="C1110" s="77">
        <f t="shared" ref="C1110:T1110" si="228">AVERAGE(C504:C515)</f>
        <v>154.75825</v>
      </c>
      <c r="D1110" s="77">
        <f t="shared" si="228"/>
        <v>281.0162499999999</v>
      </c>
      <c r="E1110" s="77">
        <f t="shared" si="228"/>
        <v>109.1005</v>
      </c>
      <c r="F1110" s="77">
        <f t="shared" si="228"/>
        <v>57.041666666666664</v>
      </c>
      <c r="G1110" s="77">
        <f t="shared" si="228"/>
        <v>40</v>
      </c>
      <c r="H1110" s="77">
        <f t="shared" si="228"/>
        <v>174.58333333333334</v>
      </c>
      <c r="I1110" s="77">
        <f t="shared" si="228"/>
        <v>0</v>
      </c>
      <c r="J1110" s="77">
        <f t="shared" si="228"/>
        <v>100</v>
      </c>
      <c r="K1110" s="77">
        <f t="shared" si="228"/>
        <v>300</v>
      </c>
      <c r="L1110" s="77">
        <f t="shared" si="228"/>
        <v>1216.5</v>
      </c>
      <c r="M1110" s="79">
        <f t="shared" si="228"/>
        <v>600</v>
      </c>
      <c r="N1110" s="77">
        <f t="shared" si="228"/>
        <v>72.5</v>
      </c>
      <c r="O1110" s="77">
        <f t="shared" si="228"/>
        <v>240</v>
      </c>
      <c r="P1110" s="77">
        <f t="shared" si="228"/>
        <v>110</v>
      </c>
      <c r="Q1110" s="77">
        <f t="shared" si="228"/>
        <v>245</v>
      </c>
      <c r="R1110" s="77">
        <f t="shared" si="228"/>
        <v>100</v>
      </c>
      <c r="S1110" s="77">
        <f t="shared" si="228"/>
        <v>695</v>
      </c>
      <c r="T1110" s="77">
        <f t="shared" si="228"/>
        <v>33.333333333333336</v>
      </c>
      <c r="U1110" s="78"/>
      <c r="V1110" s="78"/>
      <c r="W1110" s="78"/>
      <c r="X1110" s="78"/>
      <c r="Y1110" s="78"/>
      <c r="Z1110" s="78"/>
      <c r="AA1110" s="78"/>
      <c r="AB1110" s="78"/>
      <c r="AC1110" s="78"/>
      <c r="AD1110" s="78"/>
    </row>
    <row r="1111" spans="1:30" ht="15" x14ac:dyDescent="0.2">
      <c r="A1111" s="10">
        <f t="shared" si="210"/>
        <v>2055</v>
      </c>
      <c r="B1111" s="10">
        <f t="shared" si="218"/>
        <v>365</v>
      </c>
      <c r="C1111" s="77">
        <f t="shared" ref="C1111:T1111" si="229">AVERAGE(C505:C516)</f>
        <v>154.75825</v>
      </c>
      <c r="D1111" s="77">
        <f t="shared" si="229"/>
        <v>281.0162499999999</v>
      </c>
      <c r="E1111" s="77">
        <f t="shared" si="229"/>
        <v>109.1005</v>
      </c>
      <c r="F1111" s="77">
        <f t="shared" si="229"/>
        <v>57.041666666666657</v>
      </c>
      <c r="G1111" s="77">
        <f t="shared" si="229"/>
        <v>40</v>
      </c>
      <c r="H1111" s="77">
        <f t="shared" si="229"/>
        <v>174.58333333333334</v>
      </c>
      <c r="I1111" s="77">
        <f t="shared" si="229"/>
        <v>0</v>
      </c>
      <c r="J1111" s="77">
        <f t="shared" si="229"/>
        <v>100</v>
      </c>
      <c r="K1111" s="77">
        <f t="shared" si="229"/>
        <v>300</v>
      </c>
      <c r="L1111" s="77">
        <f t="shared" si="229"/>
        <v>1216.5</v>
      </c>
      <c r="M1111" s="79">
        <f t="shared" si="229"/>
        <v>600</v>
      </c>
      <c r="N1111" s="77">
        <f t="shared" si="229"/>
        <v>72.5</v>
      </c>
      <c r="O1111" s="77">
        <f t="shared" si="229"/>
        <v>240</v>
      </c>
      <c r="P1111" s="77">
        <f t="shared" si="229"/>
        <v>110</v>
      </c>
      <c r="Q1111" s="77">
        <f t="shared" si="229"/>
        <v>245</v>
      </c>
      <c r="R1111" s="77">
        <f t="shared" si="229"/>
        <v>100</v>
      </c>
      <c r="S1111" s="77">
        <f t="shared" si="229"/>
        <v>695</v>
      </c>
      <c r="T1111" s="77">
        <f t="shared" si="229"/>
        <v>33.333333333333336</v>
      </c>
      <c r="U1111" s="78"/>
      <c r="V1111" s="78"/>
      <c r="W1111" s="78"/>
      <c r="X1111" s="78"/>
      <c r="Y1111" s="78"/>
      <c r="Z1111" s="78"/>
      <c r="AA1111" s="78"/>
      <c r="AB1111" s="78"/>
      <c r="AC1111" s="78"/>
      <c r="AD1111" s="78"/>
    </row>
    <row r="1112" spans="1:30" ht="15" x14ac:dyDescent="0.2">
      <c r="A1112" s="10">
        <f t="shared" si="210"/>
        <v>2056</v>
      </c>
      <c r="B1112" s="10">
        <f t="shared" si="218"/>
        <v>366</v>
      </c>
      <c r="C1112" s="77">
        <f t="shared" ref="C1112:T1112" si="230">AVERAGE(C506:C517)</f>
        <v>154.75824999999998</v>
      </c>
      <c r="D1112" s="77">
        <f t="shared" si="230"/>
        <v>281.0162499999999</v>
      </c>
      <c r="E1112" s="77">
        <f t="shared" si="230"/>
        <v>109.1005</v>
      </c>
      <c r="F1112" s="77">
        <f t="shared" si="230"/>
        <v>57.041666666666664</v>
      </c>
      <c r="G1112" s="77">
        <f t="shared" si="230"/>
        <v>40</v>
      </c>
      <c r="H1112" s="77">
        <f t="shared" si="230"/>
        <v>174.58333333333334</v>
      </c>
      <c r="I1112" s="77">
        <f t="shared" si="230"/>
        <v>0</v>
      </c>
      <c r="J1112" s="77">
        <f t="shared" si="230"/>
        <v>100</v>
      </c>
      <c r="K1112" s="77">
        <f t="shared" si="230"/>
        <v>300</v>
      </c>
      <c r="L1112" s="77">
        <f t="shared" si="230"/>
        <v>1216.5</v>
      </c>
      <c r="M1112" s="79">
        <f t="shared" si="230"/>
        <v>600</v>
      </c>
      <c r="N1112" s="77">
        <f t="shared" si="230"/>
        <v>72.5</v>
      </c>
      <c r="O1112" s="77">
        <f t="shared" si="230"/>
        <v>240</v>
      </c>
      <c r="P1112" s="77">
        <f t="shared" si="230"/>
        <v>110</v>
      </c>
      <c r="Q1112" s="77">
        <f t="shared" si="230"/>
        <v>245</v>
      </c>
      <c r="R1112" s="77">
        <f t="shared" si="230"/>
        <v>100</v>
      </c>
      <c r="S1112" s="77">
        <f t="shared" si="230"/>
        <v>695</v>
      </c>
      <c r="T1112" s="77">
        <f t="shared" si="230"/>
        <v>33.333333333333336</v>
      </c>
      <c r="U1112" s="78"/>
      <c r="V1112" s="78"/>
      <c r="W1112" s="78"/>
      <c r="X1112" s="78"/>
      <c r="Y1112" s="78"/>
      <c r="Z1112" s="78"/>
      <c r="AA1112" s="78"/>
      <c r="AB1112" s="78"/>
      <c r="AC1112" s="78"/>
      <c r="AD1112" s="78"/>
    </row>
    <row r="1113" spans="1:30" ht="15" x14ac:dyDescent="0.2">
      <c r="A1113" s="10">
        <f t="shared" si="210"/>
        <v>2057</v>
      </c>
      <c r="B1113" s="10">
        <f t="shared" si="218"/>
        <v>365</v>
      </c>
      <c r="C1113" s="77">
        <f t="shared" ref="C1113:T1113" si="231">AVERAGE(C507:C518)</f>
        <v>154.75825</v>
      </c>
      <c r="D1113" s="77">
        <f t="shared" si="231"/>
        <v>281.0162499999999</v>
      </c>
      <c r="E1113" s="77">
        <f t="shared" si="231"/>
        <v>109.1005</v>
      </c>
      <c r="F1113" s="77">
        <f t="shared" si="231"/>
        <v>57.041666666666664</v>
      </c>
      <c r="G1113" s="77">
        <f t="shared" si="231"/>
        <v>40</v>
      </c>
      <c r="H1113" s="77">
        <f t="shared" si="231"/>
        <v>174.58333333333334</v>
      </c>
      <c r="I1113" s="77">
        <f t="shared" si="231"/>
        <v>0</v>
      </c>
      <c r="J1113" s="77">
        <f t="shared" si="231"/>
        <v>100</v>
      </c>
      <c r="K1113" s="77">
        <f t="shared" si="231"/>
        <v>300</v>
      </c>
      <c r="L1113" s="77">
        <f t="shared" si="231"/>
        <v>1216.5</v>
      </c>
      <c r="M1113" s="79">
        <f t="shared" si="231"/>
        <v>600</v>
      </c>
      <c r="N1113" s="77">
        <f t="shared" si="231"/>
        <v>72.5</v>
      </c>
      <c r="O1113" s="77">
        <f t="shared" si="231"/>
        <v>240</v>
      </c>
      <c r="P1113" s="77">
        <f t="shared" si="231"/>
        <v>110</v>
      </c>
      <c r="Q1113" s="77">
        <f t="shared" si="231"/>
        <v>245</v>
      </c>
      <c r="R1113" s="77">
        <f t="shared" si="231"/>
        <v>100</v>
      </c>
      <c r="S1113" s="77">
        <f t="shared" si="231"/>
        <v>695</v>
      </c>
      <c r="T1113" s="77">
        <f t="shared" si="231"/>
        <v>33.333333333333336</v>
      </c>
      <c r="U1113" s="78"/>
      <c r="V1113" s="78"/>
      <c r="W1113" s="78"/>
      <c r="X1113" s="78"/>
      <c r="Y1113" s="78"/>
      <c r="Z1113" s="78"/>
      <c r="AA1113" s="78"/>
      <c r="AB1113" s="78"/>
      <c r="AC1113" s="78"/>
      <c r="AD1113" s="78"/>
    </row>
    <row r="1114" spans="1:30" ht="15" x14ac:dyDescent="0.2">
      <c r="A1114" s="10">
        <f t="shared" si="210"/>
        <v>2058</v>
      </c>
      <c r="B1114" s="10">
        <f t="shared" si="218"/>
        <v>365</v>
      </c>
      <c r="C1114" s="77">
        <f t="shared" ref="C1114:T1114" si="232">AVERAGE(C508:C519)</f>
        <v>154.75824999999998</v>
      </c>
      <c r="D1114" s="77">
        <f t="shared" si="232"/>
        <v>281.01624999999996</v>
      </c>
      <c r="E1114" s="77">
        <f t="shared" si="232"/>
        <v>109.10050000000001</v>
      </c>
      <c r="F1114" s="77">
        <f t="shared" si="232"/>
        <v>57.041666666666664</v>
      </c>
      <c r="G1114" s="77">
        <f t="shared" si="232"/>
        <v>40</v>
      </c>
      <c r="H1114" s="77">
        <f t="shared" si="232"/>
        <v>174.58333333333334</v>
      </c>
      <c r="I1114" s="77">
        <f t="shared" si="232"/>
        <v>0</v>
      </c>
      <c r="J1114" s="77">
        <f t="shared" si="232"/>
        <v>100</v>
      </c>
      <c r="K1114" s="77">
        <f t="shared" si="232"/>
        <v>300</v>
      </c>
      <c r="L1114" s="77">
        <f t="shared" si="232"/>
        <v>1216.5</v>
      </c>
      <c r="M1114" s="79">
        <f t="shared" si="232"/>
        <v>600</v>
      </c>
      <c r="N1114" s="77">
        <f t="shared" si="232"/>
        <v>72.5</v>
      </c>
      <c r="O1114" s="77">
        <f t="shared" si="232"/>
        <v>240</v>
      </c>
      <c r="P1114" s="77">
        <f t="shared" si="232"/>
        <v>110</v>
      </c>
      <c r="Q1114" s="77">
        <f t="shared" si="232"/>
        <v>245</v>
      </c>
      <c r="R1114" s="77">
        <f t="shared" si="232"/>
        <v>100</v>
      </c>
      <c r="S1114" s="77">
        <f t="shared" si="232"/>
        <v>695</v>
      </c>
      <c r="T1114" s="77">
        <f t="shared" si="232"/>
        <v>33.333333333333336</v>
      </c>
      <c r="U1114" s="78"/>
      <c r="V1114" s="78"/>
      <c r="W1114" s="78"/>
      <c r="X1114" s="78"/>
      <c r="Y1114" s="78"/>
      <c r="Z1114" s="78"/>
      <c r="AA1114" s="78"/>
      <c r="AB1114" s="78"/>
      <c r="AC1114" s="78"/>
      <c r="AD1114" s="78"/>
    </row>
    <row r="1115" spans="1:30" ht="15" x14ac:dyDescent="0.2">
      <c r="A1115" s="10">
        <f t="shared" si="210"/>
        <v>2059</v>
      </c>
      <c r="B1115" s="10">
        <f t="shared" si="218"/>
        <v>365</v>
      </c>
      <c r="C1115" s="77">
        <f t="shared" ref="C1115:T1115" si="233">AVERAGE(C509:C520)</f>
        <v>154.75824999999998</v>
      </c>
      <c r="D1115" s="77">
        <f t="shared" si="233"/>
        <v>281.01624999999996</v>
      </c>
      <c r="E1115" s="77">
        <f t="shared" si="233"/>
        <v>109.10050000000001</v>
      </c>
      <c r="F1115" s="77">
        <f t="shared" si="233"/>
        <v>57.041666666666664</v>
      </c>
      <c r="G1115" s="77">
        <f t="shared" si="233"/>
        <v>40</v>
      </c>
      <c r="H1115" s="77">
        <f t="shared" si="233"/>
        <v>174.58333333333334</v>
      </c>
      <c r="I1115" s="77">
        <f t="shared" si="233"/>
        <v>0</v>
      </c>
      <c r="J1115" s="77">
        <f t="shared" si="233"/>
        <v>100</v>
      </c>
      <c r="K1115" s="77">
        <f t="shared" si="233"/>
        <v>300</v>
      </c>
      <c r="L1115" s="77">
        <f t="shared" si="233"/>
        <v>1216.5</v>
      </c>
      <c r="M1115" s="79">
        <f t="shared" si="233"/>
        <v>600</v>
      </c>
      <c r="N1115" s="77">
        <f t="shared" si="233"/>
        <v>72.5</v>
      </c>
      <c r="O1115" s="77">
        <f t="shared" si="233"/>
        <v>240</v>
      </c>
      <c r="P1115" s="77">
        <f t="shared" si="233"/>
        <v>110</v>
      </c>
      <c r="Q1115" s="77">
        <f t="shared" si="233"/>
        <v>245</v>
      </c>
      <c r="R1115" s="77">
        <f t="shared" si="233"/>
        <v>100</v>
      </c>
      <c r="S1115" s="77">
        <f t="shared" si="233"/>
        <v>695</v>
      </c>
      <c r="T1115" s="77">
        <f t="shared" si="233"/>
        <v>33.333333333333336</v>
      </c>
      <c r="U1115" s="78"/>
      <c r="V1115" s="78"/>
      <c r="W1115" s="78"/>
      <c r="X1115" s="78"/>
      <c r="Y1115" s="78"/>
      <c r="Z1115" s="78"/>
      <c r="AA1115" s="78"/>
      <c r="AB1115" s="78"/>
      <c r="AC1115" s="78"/>
      <c r="AD1115" s="78"/>
    </row>
    <row r="1116" spans="1:30" ht="15" x14ac:dyDescent="0.2">
      <c r="A1116" s="10">
        <f t="shared" si="210"/>
        <v>2060</v>
      </c>
      <c r="B1116" s="10">
        <f t="shared" si="218"/>
        <v>366</v>
      </c>
      <c r="C1116" s="77">
        <f t="shared" ref="C1116:T1116" si="234">AVERAGE(C510:C521)</f>
        <v>154.75824999999998</v>
      </c>
      <c r="D1116" s="77">
        <f t="shared" si="234"/>
        <v>281.01624999999996</v>
      </c>
      <c r="E1116" s="77">
        <f t="shared" si="234"/>
        <v>109.10050000000001</v>
      </c>
      <c r="F1116" s="77">
        <f t="shared" si="234"/>
        <v>57.041666666666664</v>
      </c>
      <c r="G1116" s="77">
        <f t="shared" si="234"/>
        <v>40</v>
      </c>
      <c r="H1116" s="77">
        <f t="shared" si="234"/>
        <v>174.58333333333334</v>
      </c>
      <c r="I1116" s="77">
        <f t="shared" si="234"/>
        <v>0</v>
      </c>
      <c r="J1116" s="77">
        <f t="shared" si="234"/>
        <v>100</v>
      </c>
      <c r="K1116" s="77">
        <f t="shared" si="234"/>
        <v>300</v>
      </c>
      <c r="L1116" s="77">
        <f t="shared" si="234"/>
        <v>1216.5</v>
      </c>
      <c r="M1116" s="79">
        <f t="shared" si="234"/>
        <v>600</v>
      </c>
      <c r="N1116" s="77">
        <f t="shared" si="234"/>
        <v>72.5</v>
      </c>
      <c r="O1116" s="77">
        <f t="shared" si="234"/>
        <v>240</v>
      </c>
      <c r="P1116" s="77">
        <f t="shared" si="234"/>
        <v>110</v>
      </c>
      <c r="Q1116" s="77">
        <f t="shared" si="234"/>
        <v>245</v>
      </c>
      <c r="R1116" s="77">
        <f t="shared" si="234"/>
        <v>100</v>
      </c>
      <c r="S1116" s="77">
        <f t="shared" si="234"/>
        <v>695</v>
      </c>
      <c r="T1116" s="77">
        <f t="shared" si="234"/>
        <v>33.333333333333336</v>
      </c>
      <c r="U1116" s="78"/>
      <c r="V1116" s="78"/>
      <c r="W1116" s="78"/>
      <c r="X1116" s="78"/>
      <c r="Y1116" s="78"/>
      <c r="Z1116" s="78"/>
      <c r="AA1116" s="78"/>
      <c r="AB1116" s="78"/>
      <c r="AC1116" s="78"/>
      <c r="AD1116" s="78"/>
    </row>
    <row r="1117" spans="1:30" ht="15" x14ac:dyDescent="0.2">
      <c r="A1117" s="10">
        <f t="shared" si="210"/>
        <v>2061</v>
      </c>
      <c r="B1117" s="10">
        <f t="shared" si="218"/>
        <v>365</v>
      </c>
      <c r="C1117" s="77">
        <f t="shared" ref="C1117:T1117" si="235">AVERAGE(C511:C522)</f>
        <v>154.75825</v>
      </c>
      <c r="D1117" s="77">
        <f t="shared" si="235"/>
        <v>281.01624999999996</v>
      </c>
      <c r="E1117" s="77">
        <f t="shared" si="235"/>
        <v>109.10050000000001</v>
      </c>
      <c r="F1117" s="77">
        <f t="shared" si="235"/>
        <v>57.04166666666665</v>
      </c>
      <c r="G1117" s="77">
        <f t="shared" si="235"/>
        <v>40</v>
      </c>
      <c r="H1117" s="77">
        <f t="shared" si="235"/>
        <v>174.58333333333334</v>
      </c>
      <c r="I1117" s="77">
        <f t="shared" si="235"/>
        <v>0</v>
      </c>
      <c r="J1117" s="77">
        <f t="shared" si="235"/>
        <v>100</v>
      </c>
      <c r="K1117" s="77">
        <f t="shared" si="235"/>
        <v>300</v>
      </c>
      <c r="L1117" s="77">
        <f t="shared" si="235"/>
        <v>1216.5</v>
      </c>
      <c r="M1117" s="79">
        <f t="shared" si="235"/>
        <v>600</v>
      </c>
      <c r="N1117" s="77">
        <f t="shared" si="235"/>
        <v>72.5</v>
      </c>
      <c r="O1117" s="77">
        <f t="shared" si="235"/>
        <v>240</v>
      </c>
      <c r="P1117" s="77">
        <f t="shared" si="235"/>
        <v>110</v>
      </c>
      <c r="Q1117" s="77">
        <f t="shared" si="235"/>
        <v>245</v>
      </c>
      <c r="R1117" s="77">
        <f t="shared" si="235"/>
        <v>100</v>
      </c>
      <c r="S1117" s="77">
        <f t="shared" si="235"/>
        <v>695</v>
      </c>
      <c r="T1117" s="77">
        <f t="shared" si="235"/>
        <v>33.333333333333336</v>
      </c>
      <c r="U1117" s="78"/>
      <c r="V1117" s="78"/>
      <c r="W1117" s="78"/>
      <c r="X1117" s="78"/>
      <c r="Y1117" s="78"/>
      <c r="Z1117" s="78"/>
      <c r="AA1117" s="78"/>
      <c r="AB1117" s="78"/>
      <c r="AC1117" s="78"/>
      <c r="AD1117" s="78"/>
    </row>
    <row r="1118" spans="1:30" ht="15" x14ac:dyDescent="0.2">
      <c r="A1118" s="10">
        <f t="shared" si="210"/>
        <v>2062</v>
      </c>
      <c r="B1118" s="10">
        <f t="shared" si="218"/>
        <v>365</v>
      </c>
      <c r="C1118" s="77">
        <f t="shared" ref="C1118:L1127" ca="1" si="236">AVERAGE(OFFSET(C$600,($A1118-$A$1118)*12,0,12,1))</f>
        <v>154.75825</v>
      </c>
      <c r="D1118" s="77">
        <f t="shared" ca="1" si="236"/>
        <v>281.0162499999999</v>
      </c>
      <c r="E1118" s="77">
        <f t="shared" ca="1" si="236"/>
        <v>109.1005</v>
      </c>
      <c r="F1118" s="77">
        <f t="shared" ca="1" si="236"/>
        <v>57.041666666666664</v>
      </c>
      <c r="G1118" s="77">
        <f t="shared" ca="1" si="236"/>
        <v>40</v>
      </c>
      <c r="H1118" s="77">
        <f t="shared" ca="1" si="236"/>
        <v>174.58333333333334</v>
      </c>
      <c r="I1118" s="77">
        <f t="shared" ca="1" si="236"/>
        <v>0</v>
      </c>
      <c r="J1118" s="77">
        <f t="shared" ca="1" si="236"/>
        <v>100</v>
      </c>
      <c r="K1118" s="77">
        <f t="shared" ca="1" si="236"/>
        <v>300</v>
      </c>
      <c r="L1118" s="77">
        <f t="shared" ca="1" si="236"/>
        <v>1216.5</v>
      </c>
      <c r="M1118" s="77">
        <f t="shared" ref="M1118:T1127" ca="1" si="237">AVERAGE(OFFSET(M$600,($A1118-$A$1118)*12,0,12,1))</f>
        <v>600</v>
      </c>
      <c r="N1118" s="77">
        <f t="shared" ca="1" si="237"/>
        <v>72.5</v>
      </c>
      <c r="O1118" s="77">
        <f t="shared" ca="1" si="237"/>
        <v>240</v>
      </c>
      <c r="P1118" s="77">
        <f t="shared" ca="1" si="237"/>
        <v>40</v>
      </c>
      <c r="Q1118" s="77">
        <f t="shared" ca="1" si="237"/>
        <v>315</v>
      </c>
      <c r="R1118" s="77">
        <f t="shared" ca="1" si="237"/>
        <v>100</v>
      </c>
      <c r="S1118" s="77">
        <f t="shared" ca="1" si="237"/>
        <v>695</v>
      </c>
      <c r="T1118" s="77">
        <f t="shared" ca="1" si="237"/>
        <v>33.333333333333336</v>
      </c>
      <c r="U1118" s="78"/>
      <c r="V1118" s="78"/>
      <c r="W1118" s="78"/>
      <c r="X1118" s="78"/>
      <c r="Y1118" s="78"/>
      <c r="Z1118" s="78"/>
      <c r="AA1118" s="78"/>
      <c r="AB1118" s="78"/>
      <c r="AC1118" s="78"/>
      <c r="AD1118" s="78"/>
    </row>
    <row r="1119" spans="1:30" ht="15" x14ac:dyDescent="0.2">
      <c r="A1119" s="10">
        <f t="shared" si="210"/>
        <v>2063</v>
      </c>
      <c r="B1119" s="10">
        <f t="shared" si="218"/>
        <v>365</v>
      </c>
      <c r="C1119" s="77">
        <f t="shared" ca="1" si="236"/>
        <v>154.75825</v>
      </c>
      <c r="D1119" s="77">
        <f t="shared" ca="1" si="236"/>
        <v>281.0162499999999</v>
      </c>
      <c r="E1119" s="77">
        <f t="shared" ca="1" si="236"/>
        <v>109.1005</v>
      </c>
      <c r="F1119" s="77">
        <f t="shared" ca="1" si="236"/>
        <v>57.041666666666664</v>
      </c>
      <c r="G1119" s="77">
        <f t="shared" ca="1" si="236"/>
        <v>40</v>
      </c>
      <c r="H1119" s="77">
        <f t="shared" ca="1" si="236"/>
        <v>174.58333333333334</v>
      </c>
      <c r="I1119" s="77">
        <f t="shared" ca="1" si="236"/>
        <v>0</v>
      </c>
      <c r="J1119" s="77">
        <f t="shared" ca="1" si="236"/>
        <v>100</v>
      </c>
      <c r="K1119" s="77">
        <f t="shared" ca="1" si="236"/>
        <v>300</v>
      </c>
      <c r="L1119" s="77">
        <f t="shared" ca="1" si="236"/>
        <v>1216.5</v>
      </c>
      <c r="M1119" s="77">
        <f t="shared" ca="1" si="237"/>
        <v>600</v>
      </c>
      <c r="N1119" s="77">
        <f t="shared" ca="1" si="237"/>
        <v>72.5</v>
      </c>
      <c r="O1119" s="77">
        <f t="shared" ca="1" si="237"/>
        <v>240</v>
      </c>
      <c r="P1119" s="77">
        <f t="shared" ca="1" si="237"/>
        <v>40</v>
      </c>
      <c r="Q1119" s="77">
        <f t="shared" ca="1" si="237"/>
        <v>315</v>
      </c>
      <c r="R1119" s="77">
        <f t="shared" ca="1" si="237"/>
        <v>100</v>
      </c>
      <c r="S1119" s="77">
        <f t="shared" ca="1" si="237"/>
        <v>695</v>
      </c>
      <c r="T1119" s="77">
        <f t="shared" ca="1" si="237"/>
        <v>33.333333333333336</v>
      </c>
      <c r="U1119" s="78"/>
      <c r="V1119" s="78"/>
      <c r="W1119" s="78"/>
      <c r="X1119" s="78"/>
      <c r="Y1119" s="78"/>
      <c r="Z1119" s="78"/>
      <c r="AA1119" s="78"/>
      <c r="AB1119" s="78"/>
      <c r="AC1119" s="78"/>
      <c r="AD1119" s="78"/>
    </row>
    <row r="1120" spans="1:30" ht="15" x14ac:dyDescent="0.2">
      <c r="A1120" s="10">
        <f t="shared" si="210"/>
        <v>2064</v>
      </c>
      <c r="B1120" s="10">
        <f t="shared" si="218"/>
        <v>366</v>
      </c>
      <c r="C1120" s="77">
        <f t="shared" ca="1" si="236"/>
        <v>154.75825</v>
      </c>
      <c r="D1120" s="77">
        <f t="shared" ca="1" si="236"/>
        <v>281.0162499999999</v>
      </c>
      <c r="E1120" s="77">
        <f t="shared" ca="1" si="236"/>
        <v>109.1005</v>
      </c>
      <c r="F1120" s="77">
        <f t="shared" ca="1" si="236"/>
        <v>57.041666666666664</v>
      </c>
      <c r="G1120" s="77">
        <f t="shared" ca="1" si="236"/>
        <v>40</v>
      </c>
      <c r="H1120" s="77">
        <f t="shared" ca="1" si="236"/>
        <v>174.58333333333334</v>
      </c>
      <c r="I1120" s="77">
        <f t="shared" ca="1" si="236"/>
        <v>0</v>
      </c>
      <c r="J1120" s="77">
        <f t="shared" ca="1" si="236"/>
        <v>100</v>
      </c>
      <c r="K1120" s="77">
        <f t="shared" ca="1" si="236"/>
        <v>300</v>
      </c>
      <c r="L1120" s="77">
        <f t="shared" ca="1" si="236"/>
        <v>1216.5</v>
      </c>
      <c r="M1120" s="77">
        <f t="shared" ca="1" si="237"/>
        <v>600</v>
      </c>
      <c r="N1120" s="77">
        <f t="shared" ca="1" si="237"/>
        <v>72.5</v>
      </c>
      <c r="O1120" s="77">
        <f t="shared" ca="1" si="237"/>
        <v>240</v>
      </c>
      <c r="P1120" s="77">
        <f t="shared" ca="1" si="237"/>
        <v>40</v>
      </c>
      <c r="Q1120" s="77">
        <f t="shared" ca="1" si="237"/>
        <v>315</v>
      </c>
      <c r="R1120" s="77">
        <f t="shared" ca="1" si="237"/>
        <v>100</v>
      </c>
      <c r="S1120" s="77">
        <f t="shared" ca="1" si="237"/>
        <v>695</v>
      </c>
      <c r="T1120" s="77">
        <f t="shared" ca="1" si="237"/>
        <v>33.333333333333336</v>
      </c>
      <c r="U1120" s="78"/>
      <c r="V1120" s="78"/>
      <c r="W1120" s="78"/>
      <c r="X1120" s="78"/>
      <c r="Y1120" s="78"/>
      <c r="Z1120" s="78"/>
      <c r="AA1120" s="78"/>
      <c r="AB1120" s="78"/>
      <c r="AC1120" s="78"/>
      <c r="AD1120" s="78"/>
    </row>
    <row r="1121" spans="1:30" ht="15" x14ac:dyDescent="0.2">
      <c r="A1121" s="10">
        <f t="shared" si="210"/>
        <v>2065</v>
      </c>
      <c r="B1121" s="10">
        <f t="shared" si="218"/>
        <v>365</v>
      </c>
      <c r="C1121" s="77">
        <f t="shared" ca="1" si="236"/>
        <v>154.75825</v>
      </c>
      <c r="D1121" s="77">
        <f t="shared" ca="1" si="236"/>
        <v>281.0162499999999</v>
      </c>
      <c r="E1121" s="77">
        <f t="shared" ca="1" si="236"/>
        <v>109.1005</v>
      </c>
      <c r="F1121" s="77">
        <f t="shared" ca="1" si="236"/>
        <v>57.041666666666664</v>
      </c>
      <c r="G1121" s="77">
        <f t="shared" ca="1" si="236"/>
        <v>40</v>
      </c>
      <c r="H1121" s="77">
        <f t="shared" ca="1" si="236"/>
        <v>174.58333333333334</v>
      </c>
      <c r="I1121" s="77">
        <f t="shared" ca="1" si="236"/>
        <v>0</v>
      </c>
      <c r="J1121" s="77">
        <f t="shared" ca="1" si="236"/>
        <v>100</v>
      </c>
      <c r="K1121" s="77">
        <f t="shared" ca="1" si="236"/>
        <v>300</v>
      </c>
      <c r="L1121" s="77">
        <f t="shared" ca="1" si="236"/>
        <v>1216.5</v>
      </c>
      <c r="M1121" s="77">
        <f t="shared" ca="1" si="237"/>
        <v>600</v>
      </c>
      <c r="N1121" s="77">
        <f t="shared" ca="1" si="237"/>
        <v>72.5</v>
      </c>
      <c r="O1121" s="77">
        <f t="shared" ca="1" si="237"/>
        <v>240</v>
      </c>
      <c r="P1121" s="77">
        <f t="shared" ca="1" si="237"/>
        <v>40</v>
      </c>
      <c r="Q1121" s="77">
        <f t="shared" ca="1" si="237"/>
        <v>315</v>
      </c>
      <c r="R1121" s="77">
        <f t="shared" ca="1" si="237"/>
        <v>100</v>
      </c>
      <c r="S1121" s="77">
        <f t="shared" ca="1" si="237"/>
        <v>695</v>
      </c>
      <c r="T1121" s="77">
        <f t="shared" ca="1" si="237"/>
        <v>33.333333333333336</v>
      </c>
      <c r="U1121" s="78"/>
      <c r="V1121" s="78"/>
      <c r="W1121" s="78"/>
      <c r="X1121" s="78"/>
      <c r="Y1121" s="78"/>
      <c r="Z1121" s="78"/>
      <c r="AA1121" s="78"/>
      <c r="AB1121" s="78"/>
      <c r="AC1121" s="78"/>
      <c r="AD1121" s="78"/>
    </row>
    <row r="1122" spans="1:30" ht="15" x14ac:dyDescent="0.2">
      <c r="A1122" s="10">
        <f t="shared" si="210"/>
        <v>2066</v>
      </c>
      <c r="B1122" s="10">
        <f t="shared" si="218"/>
        <v>365</v>
      </c>
      <c r="C1122" s="77">
        <f t="shared" ca="1" si="236"/>
        <v>154.75825</v>
      </c>
      <c r="D1122" s="77">
        <f t="shared" ca="1" si="236"/>
        <v>281.0162499999999</v>
      </c>
      <c r="E1122" s="77">
        <f t="shared" ca="1" si="236"/>
        <v>109.1005</v>
      </c>
      <c r="F1122" s="77">
        <f t="shared" ca="1" si="236"/>
        <v>57.041666666666664</v>
      </c>
      <c r="G1122" s="77">
        <f t="shared" ca="1" si="236"/>
        <v>40</v>
      </c>
      <c r="H1122" s="77">
        <f t="shared" ca="1" si="236"/>
        <v>174.58333333333334</v>
      </c>
      <c r="I1122" s="77">
        <f t="shared" ca="1" si="236"/>
        <v>0</v>
      </c>
      <c r="J1122" s="77">
        <f t="shared" ca="1" si="236"/>
        <v>100</v>
      </c>
      <c r="K1122" s="77">
        <f t="shared" ca="1" si="236"/>
        <v>300</v>
      </c>
      <c r="L1122" s="77">
        <f t="shared" ca="1" si="236"/>
        <v>1216.5</v>
      </c>
      <c r="M1122" s="77">
        <f t="shared" ca="1" si="237"/>
        <v>600</v>
      </c>
      <c r="N1122" s="77">
        <f t="shared" ca="1" si="237"/>
        <v>72.5</v>
      </c>
      <c r="O1122" s="77">
        <f t="shared" ca="1" si="237"/>
        <v>240</v>
      </c>
      <c r="P1122" s="77">
        <f t="shared" ca="1" si="237"/>
        <v>40</v>
      </c>
      <c r="Q1122" s="77">
        <f t="shared" ca="1" si="237"/>
        <v>315</v>
      </c>
      <c r="R1122" s="77">
        <f t="shared" ca="1" si="237"/>
        <v>100</v>
      </c>
      <c r="S1122" s="77">
        <f t="shared" ca="1" si="237"/>
        <v>695</v>
      </c>
      <c r="T1122" s="77">
        <f t="shared" ca="1" si="237"/>
        <v>33.333333333333336</v>
      </c>
      <c r="U1122" s="78"/>
      <c r="V1122" s="78"/>
      <c r="W1122" s="78"/>
      <c r="X1122" s="78"/>
      <c r="Y1122" s="78"/>
      <c r="Z1122" s="78"/>
      <c r="AA1122" s="78"/>
      <c r="AB1122" s="78"/>
      <c r="AC1122" s="78"/>
      <c r="AD1122" s="78"/>
    </row>
    <row r="1123" spans="1:30" ht="15" x14ac:dyDescent="0.2">
      <c r="A1123" s="10">
        <f t="shared" si="210"/>
        <v>2067</v>
      </c>
      <c r="B1123" s="10">
        <f t="shared" si="218"/>
        <v>365</v>
      </c>
      <c r="C1123" s="77">
        <f t="shared" ca="1" si="236"/>
        <v>154.75825</v>
      </c>
      <c r="D1123" s="77">
        <f t="shared" ca="1" si="236"/>
        <v>281.0162499999999</v>
      </c>
      <c r="E1123" s="77">
        <f t="shared" ca="1" si="236"/>
        <v>109.1005</v>
      </c>
      <c r="F1123" s="77">
        <f t="shared" ca="1" si="236"/>
        <v>57.041666666666664</v>
      </c>
      <c r="G1123" s="77">
        <f t="shared" ca="1" si="236"/>
        <v>40</v>
      </c>
      <c r="H1123" s="77">
        <f t="shared" ca="1" si="236"/>
        <v>174.58333333333334</v>
      </c>
      <c r="I1123" s="77">
        <f t="shared" ca="1" si="236"/>
        <v>0</v>
      </c>
      <c r="J1123" s="77">
        <f t="shared" ca="1" si="236"/>
        <v>100</v>
      </c>
      <c r="K1123" s="77">
        <f t="shared" ca="1" si="236"/>
        <v>300</v>
      </c>
      <c r="L1123" s="77">
        <f t="shared" ca="1" si="236"/>
        <v>1216.5</v>
      </c>
      <c r="M1123" s="77">
        <f t="shared" ca="1" si="237"/>
        <v>600</v>
      </c>
      <c r="N1123" s="77">
        <f t="shared" ca="1" si="237"/>
        <v>72.5</v>
      </c>
      <c r="O1123" s="77">
        <f t="shared" ca="1" si="237"/>
        <v>240</v>
      </c>
      <c r="P1123" s="77">
        <f t="shared" ca="1" si="237"/>
        <v>40</v>
      </c>
      <c r="Q1123" s="77">
        <f t="shared" ca="1" si="237"/>
        <v>315</v>
      </c>
      <c r="R1123" s="77">
        <f t="shared" ca="1" si="237"/>
        <v>100</v>
      </c>
      <c r="S1123" s="77">
        <f t="shared" ca="1" si="237"/>
        <v>695</v>
      </c>
      <c r="T1123" s="77">
        <f t="shared" ca="1" si="237"/>
        <v>33.333333333333336</v>
      </c>
      <c r="U1123" s="78"/>
      <c r="V1123" s="78"/>
      <c r="W1123" s="78"/>
      <c r="X1123" s="78"/>
      <c r="Y1123" s="78"/>
      <c r="Z1123" s="78"/>
      <c r="AA1123" s="78"/>
      <c r="AB1123" s="78"/>
      <c r="AC1123" s="78"/>
      <c r="AD1123" s="78"/>
    </row>
    <row r="1124" spans="1:30" ht="15" x14ac:dyDescent="0.2">
      <c r="A1124" s="10">
        <f t="shared" si="210"/>
        <v>2068</v>
      </c>
      <c r="B1124" s="10">
        <f t="shared" si="218"/>
        <v>366</v>
      </c>
      <c r="C1124" s="77">
        <f t="shared" ca="1" si="236"/>
        <v>154.75825</v>
      </c>
      <c r="D1124" s="77">
        <f t="shared" ca="1" si="236"/>
        <v>281.0162499999999</v>
      </c>
      <c r="E1124" s="77">
        <f t="shared" ca="1" si="236"/>
        <v>109.1005</v>
      </c>
      <c r="F1124" s="77">
        <f t="shared" ca="1" si="236"/>
        <v>57.041666666666664</v>
      </c>
      <c r="G1124" s="77">
        <f t="shared" ca="1" si="236"/>
        <v>40</v>
      </c>
      <c r="H1124" s="77">
        <f t="shared" ca="1" si="236"/>
        <v>174.58333333333334</v>
      </c>
      <c r="I1124" s="77">
        <f t="shared" ca="1" si="236"/>
        <v>0</v>
      </c>
      <c r="J1124" s="77">
        <f t="shared" ca="1" si="236"/>
        <v>100</v>
      </c>
      <c r="K1124" s="77">
        <f t="shared" ca="1" si="236"/>
        <v>300</v>
      </c>
      <c r="L1124" s="77">
        <f t="shared" ca="1" si="236"/>
        <v>1216.5</v>
      </c>
      <c r="M1124" s="77">
        <f t="shared" ca="1" si="237"/>
        <v>600</v>
      </c>
      <c r="N1124" s="77">
        <f t="shared" ca="1" si="237"/>
        <v>72.5</v>
      </c>
      <c r="O1124" s="77">
        <f t="shared" ca="1" si="237"/>
        <v>240</v>
      </c>
      <c r="P1124" s="77">
        <f t="shared" ca="1" si="237"/>
        <v>40</v>
      </c>
      <c r="Q1124" s="77">
        <f t="shared" ca="1" si="237"/>
        <v>315</v>
      </c>
      <c r="R1124" s="77">
        <f t="shared" ca="1" si="237"/>
        <v>100</v>
      </c>
      <c r="S1124" s="77">
        <f t="shared" ca="1" si="237"/>
        <v>695</v>
      </c>
      <c r="T1124" s="77">
        <f t="shared" ca="1" si="237"/>
        <v>33.333333333333336</v>
      </c>
      <c r="U1124" s="78"/>
      <c r="V1124" s="78"/>
      <c r="W1124" s="78"/>
      <c r="X1124" s="78"/>
      <c r="Y1124" s="78"/>
      <c r="Z1124" s="78"/>
      <c r="AA1124" s="78"/>
      <c r="AB1124" s="78"/>
      <c r="AC1124" s="78"/>
      <c r="AD1124" s="78"/>
    </row>
    <row r="1125" spans="1:30" ht="15" x14ac:dyDescent="0.2">
      <c r="A1125" s="10">
        <f t="shared" si="210"/>
        <v>2069</v>
      </c>
      <c r="B1125" s="10">
        <f t="shared" si="218"/>
        <v>365</v>
      </c>
      <c r="C1125" s="77">
        <f t="shared" ca="1" si="236"/>
        <v>154.75825</v>
      </c>
      <c r="D1125" s="77">
        <f t="shared" ca="1" si="236"/>
        <v>281.0162499999999</v>
      </c>
      <c r="E1125" s="77">
        <f t="shared" ca="1" si="236"/>
        <v>109.1005</v>
      </c>
      <c r="F1125" s="77">
        <f t="shared" ca="1" si="236"/>
        <v>57.041666666666664</v>
      </c>
      <c r="G1125" s="77">
        <f t="shared" ca="1" si="236"/>
        <v>40</v>
      </c>
      <c r="H1125" s="77">
        <f t="shared" ca="1" si="236"/>
        <v>174.58333333333334</v>
      </c>
      <c r="I1125" s="77">
        <f t="shared" ca="1" si="236"/>
        <v>0</v>
      </c>
      <c r="J1125" s="77">
        <f t="shared" ca="1" si="236"/>
        <v>100</v>
      </c>
      <c r="K1125" s="77">
        <f t="shared" ca="1" si="236"/>
        <v>300</v>
      </c>
      <c r="L1125" s="77">
        <f t="shared" ca="1" si="236"/>
        <v>1216.5</v>
      </c>
      <c r="M1125" s="77">
        <f t="shared" ca="1" si="237"/>
        <v>600</v>
      </c>
      <c r="N1125" s="77">
        <f t="shared" ca="1" si="237"/>
        <v>72.5</v>
      </c>
      <c r="O1125" s="77">
        <f t="shared" ca="1" si="237"/>
        <v>240</v>
      </c>
      <c r="P1125" s="77">
        <f t="shared" ca="1" si="237"/>
        <v>40</v>
      </c>
      <c r="Q1125" s="77">
        <f t="shared" ca="1" si="237"/>
        <v>315</v>
      </c>
      <c r="R1125" s="77">
        <f t="shared" ca="1" si="237"/>
        <v>100</v>
      </c>
      <c r="S1125" s="77">
        <f t="shared" ca="1" si="237"/>
        <v>695</v>
      </c>
      <c r="T1125" s="77">
        <f t="shared" ca="1" si="237"/>
        <v>33.333333333333336</v>
      </c>
      <c r="U1125" s="78"/>
      <c r="V1125" s="78"/>
      <c r="W1125" s="78"/>
      <c r="X1125" s="78"/>
      <c r="Y1125" s="78"/>
      <c r="Z1125" s="78"/>
      <c r="AA1125" s="78"/>
      <c r="AB1125" s="78"/>
      <c r="AC1125" s="78"/>
      <c r="AD1125" s="78"/>
    </row>
    <row r="1126" spans="1:30" ht="15" x14ac:dyDescent="0.2">
      <c r="A1126" s="10">
        <f t="shared" ref="A1126:A1156" si="238">A1125+1</f>
        <v>2070</v>
      </c>
      <c r="B1126" s="10">
        <f t="shared" si="218"/>
        <v>365</v>
      </c>
      <c r="C1126" s="77">
        <f t="shared" ca="1" si="236"/>
        <v>154.75825</v>
      </c>
      <c r="D1126" s="77">
        <f t="shared" ca="1" si="236"/>
        <v>281.0162499999999</v>
      </c>
      <c r="E1126" s="77">
        <f t="shared" ca="1" si="236"/>
        <v>109.1005</v>
      </c>
      <c r="F1126" s="77">
        <f t="shared" ca="1" si="236"/>
        <v>57.041666666666664</v>
      </c>
      <c r="G1126" s="77">
        <f t="shared" ca="1" si="236"/>
        <v>40</v>
      </c>
      <c r="H1126" s="77">
        <f t="shared" ca="1" si="236"/>
        <v>174.58333333333334</v>
      </c>
      <c r="I1126" s="77">
        <f t="shared" ca="1" si="236"/>
        <v>0</v>
      </c>
      <c r="J1126" s="77">
        <f t="shared" ca="1" si="236"/>
        <v>100</v>
      </c>
      <c r="K1126" s="77">
        <f t="shared" ca="1" si="236"/>
        <v>300</v>
      </c>
      <c r="L1126" s="77">
        <f t="shared" ca="1" si="236"/>
        <v>1216.5</v>
      </c>
      <c r="M1126" s="77">
        <f t="shared" ca="1" si="237"/>
        <v>600</v>
      </c>
      <c r="N1126" s="77">
        <f t="shared" ca="1" si="237"/>
        <v>72.5</v>
      </c>
      <c r="O1126" s="77">
        <f t="shared" ca="1" si="237"/>
        <v>240</v>
      </c>
      <c r="P1126" s="77">
        <f t="shared" ca="1" si="237"/>
        <v>40</v>
      </c>
      <c r="Q1126" s="77">
        <f t="shared" ca="1" si="237"/>
        <v>315</v>
      </c>
      <c r="R1126" s="77">
        <f t="shared" ca="1" si="237"/>
        <v>100</v>
      </c>
      <c r="S1126" s="77">
        <f t="shared" ca="1" si="237"/>
        <v>695</v>
      </c>
      <c r="T1126" s="77">
        <f t="shared" ca="1" si="237"/>
        <v>33.333333333333336</v>
      </c>
      <c r="U1126" s="78"/>
      <c r="V1126" s="78"/>
      <c r="W1126" s="78"/>
      <c r="X1126" s="78"/>
      <c r="Y1126" s="78"/>
      <c r="Z1126" s="78"/>
      <c r="AA1126" s="78"/>
      <c r="AB1126" s="78"/>
      <c r="AC1126" s="78"/>
      <c r="AD1126" s="78"/>
    </row>
    <row r="1127" spans="1:30" ht="15" x14ac:dyDescent="0.2">
      <c r="A1127" s="10">
        <f t="shared" si="238"/>
        <v>2071</v>
      </c>
      <c r="B1127" s="10">
        <f t="shared" si="218"/>
        <v>365</v>
      </c>
      <c r="C1127" s="77">
        <f t="shared" ca="1" si="236"/>
        <v>154.75825</v>
      </c>
      <c r="D1127" s="77">
        <f t="shared" ca="1" si="236"/>
        <v>281.0162499999999</v>
      </c>
      <c r="E1127" s="77">
        <f t="shared" ca="1" si="236"/>
        <v>109.1005</v>
      </c>
      <c r="F1127" s="77">
        <f t="shared" ca="1" si="236"/>
        <v>57.041666666666664</v>
      </c>
      <c r="G1127" s="77">
        <f t="shared" ca="1" si="236"/>
        <v>40</v>
      </c>
      <c r="H1127" s="77">
        <f t="shared" ca="1" si="236"/>
        <v>174.58333333333334</v>
      </c>
      <c r="I1127" s="77">
        <f t="shared" ca="1" si="236"/>
        <v>0</v>
      </c>
      <c r="J1127" s="77">
        <f t="shared" ca="1" si="236"/>
        <v>100</v>
      </c>
      <c r="K1127" s="77">
        <f t="shared" ca="1" si="236"/>
        <v>300</v>
      </c>
      <c r="L1127" s="77">
        <f t="shared" ca="1" si="236"/>
        <v>1216.5</v>
      </c>
      <c r="M1127" s="77">
        <f t="shared" ca="1" si="237"/>
        <v>600</v>
      </c>
      <c r="N1127" s="77">
        <f t="shared" ca="1" si="237"/>
        <v>72.5</v>
      </c>
      <c r="O1127" s="77">
        <f t="shared" ca="1" si="237"/>
        <v>240</v>
      </c>
      <c r="P1127" s="77">
        <f t="shared" ca="1" si="237"/>
        <v>40</v>
      </c>
      <c r="Q1127" s="77">
        <f t="shared" ca="1" si="237"/>
        <v>315</v>
      </c>
      <c r="R1127" s="77">
        <f t="shared" ca="1" si="237"/>
        <v>100</v>
      </c>
      <c r="S1127" s="77">
        <f t="shared" ca="1" si="237"/>
        <v>695</v>
      </c>
      <c r="T1127" s="77">
        <f t="shared" ca="1" si="237"/>
        <v>33.333333333333336</v>
      </c>
      <c r="U1127" s="78"/>
      <c r="V1127" s="78"/>
      <c r="W1127" s="78"/>
      <c r="X1127" s="78"/>
      <c r="Y1127" s="78"/>
      <c r="Z1127" s="78"/>
      <c r="AA1127" s="78"/>
      <c r="AB1127" s="78"/>
      <c r="AC1127" s="78"/>
      <c r="AD1127" s="78"/>
    </row>
    <row r="1128" spans="1:30" ht="15" x14ac:dyDescent="0.2">
      <c r="A1128" s="10">
        <f t="shared" si="238"/>
        <v>2072</v>
      </c>
      <c r="B1128" s="10">
        <f t="shared" si="218"/>
        <v>366</v>
      </c>
      <c r="C1128" s="77">
        <f t="shared" ref="C1128:L1137" ca="1" si="239">AVERAGE(OFFSET(C$600,($A1128-$A$1118)*12,0,12,1))</f>
        <v>154.75825</v>
      </c>
      <c r="D1128" s="77">
        <f t="shared" ca="1" si="239"/>
        <v>281.0162499999999</v>
      </c>
      <c r="E1128" s="77">
        <f t="shared" ca="1" si="239"/>
        <v>109.1005</v>
      </c>
      <c r="F1128" s="77">
        <f t="shared" ca="1" si="239"/>
        <v>57.041666666666664</v>
      </c>
      <c r="G1128" s="77">
        <f t="shared" ca="1" si="239"/>
        <v>40</v>
      </c>
      <c r="H1128" s="77">
        <f t="shared" ca="1" si="239"/>
        <v>174.58333333333334</v>
      </c>
      <c r="I1128" s="77">
        <f t="shared" ca="1" si="239"/>
        <v>0</v>
      </c>
      <c r="J1128" s="77">
        <f t="shared" ca="1" si="239"/>
        <v>100</v>
      </c>
      <c r="K1128" s="77">
        <f t="shared" ca="1" si="239"/>
        <v>300</v>
      </c>
      <c r="L1128" s="77">
        <f t="shared" ca="1" si="239"/>
        <v>1216.5</v>
      </c>
      <c r="M1128" s="77">
        <f t="shared" ref="M1128:T1137" ca="1" si="240">AVERAGE(OFFSET(M$600,($A1128-$A$1118)*12,0,12,1))</f>
        <v>600</v>
      </c>
      <c r="N1128" s="77">
        <f t="shared" ca="1" si="240"/>
        <v>72.5</v>
      </c>
      <c r="O1128" s="77">
        <f t="shared" ca="1" si="240"/>
        <v>240</v>
      </c>
      <c r="P1128" s="77">
        <f t="shared" ca="1" si="240"/>
        <v>40</v>
      </c>
      <c r="Q1128" s="77">
        <f t="shared" ca="1" si="240"/>
        <v>315</v>
      </c>
      <c r="R1128" s="77">
        <f t="shared" ca="1" si="240"/>
        <v>100</v>
      </c>
      <c r="S1128" s="77">
        <f t="shared" ca="1" si="240"/>
        <v>695</v>
      </c>
      <c r="T1128" s="77">
        <f t="shared" ca="1" si="240"/>
        <v>33.333333333333336</v>
      </c>
      <c r="U1128" s="78"/>
      <c r="V1128" s="78"/>
      <c r="W1128" s="78"/>
      <c r="X1128" s="78"/>
      <c r="Y1128" s="78"/>
      <c r="Z1128" s="78"/>
      <c r="AA1128" s="78"/>
      <c r="AB1128" s="78"/>
      <c r="AC1128" s="78"/>
      <c r="AD1128" s="78"/>
    </row>
    <row r="1129" spans="1:30" ht="15" x14ac:dyDescent="0.2">
      <c r="A1129" s="10">
        <f t="shared" si="238"/>
        <v>2073</v>
      </c>
      <c r="B1129" s="10">
        <f t="shared" si="218"/>
        <v>365</v>
      </c>
      <c r="C1129" s="77">
        <f t="shared" ca="1" si="239"/>
        <v>154.75825</v>
      </c>
      <c r="D1129" s="77">
        <f t="shared" ca="1" si="239"/>
        <v>281.0162499999999</v>
      </c>
      <c r="E1129" s="77">
        <f t="shared" ca="1" si="239"/>
        <v>109.1005</v>
      </c>
      <c r="F1129" s="77">
        <f t="shared" ca="1" si="239"/>
        <v>57.041666666666664</v>
      </c>
      <c r="G1129" s="77">
        <f t="shared" ca="1" si="239"/>
        <v>40</v>
      </c>
      <c r="H1129" s="77">
        <f t="shared" ca="1" si="239"/>
        <v>174.58333333333334</v>
      </c>
      <c r="I1129" s="77">
        <f t="shared" ca="1" si="239"/>
        <v>0</v>
      </c>
      <c r="J1129" s="77">
        <f t="shared" ca="1" si="239"/>
        <v>100</v>
      </c>
      <c r="K1129" s="77">
        <f t="shared" ca="1" si="239"/>
        <v>300</v>
      </c>
      <c r="L1129" s="77">
        <f t="shared" ca="1" si="239"/>
        <v>1216.5</v>
      </c>
      <c r="M1129" s="77">
        <f t="shared" ca="1" si="240"/>
        <v>600</v>
      </c>
      <c r="N1129" s="77">
        <f t="shared" ca="1" si="240"/>
        <v>72.5</v>
      </c>
      <c r="O1129" s="77">
        <f t="shared" ca="1" si="240"/>
        <v>240</v>
      </c>
      <c r="P1129" s="77">
        <f t="shared" ca="1" si="240"/>
        <v>40</v>
      </c>
      <c r="Q1129" s="77">
        <f t="shared" ca="1" si="240"/>
        <v>315</v>
      </c>
      <c r="R1129" s="77">
        <f t="shared" ca="1" si="240"/>
        <v>100</v>
      </c>
      <c r="S1129" s="77">
        <f t="shared" ca="1" si="240"/>
        <v>695</v>
      </c>
      <c r="T1129" s="77">
        <f t="shared" ca="1" si="240"/>
        <v>33.333333333333336</v>
      </c>
      <c r="U1129" s="78"/>
      <c r="V1129" s="78"/>
      <c r="W1129" s="78"/>
      <c r="X1129" s="78"/>
      <c r="Y1129" s="78"/>
      <c r="Z1129" s="78"/>
      <c r="AA1129" s="78"/>
      <c r="AB1129" s="78"/>
      <c r="AC1129" s="78"/>
      <c r="AD1129" s="78"/>
    </row>
    <row r="1130" spans="1:30" ht="15" x14ac:dyDescent="0.2">
      <c r="A1130" s="10">
        <f t="shared" si="238"/>
        <v>2074</v>
      </c>
      <c r="B1130" s="10">
        <f t="shared" si="218"/>
        <v>365</v>
      </c>
      <c r="C1130" s="77">
        <f t="shared" ca="1" si="239"/>
        <v>154.75825</v>
      </c>
      <c r="D1130" s="77">
        <f t="shared" ca="1" si="239"/>
        <v>281.0162499999999</v>
      </c>
      <c r="E1130" s="77">
        <f t="shared" ca="1" si="239"/>
        <v>109.1005</v>
      </c>
      <c r="F1130" s="77">
        <f t="shared" ca="1" si="239"/>
        <v>57.041666666666664</v>
      </c>
      <c r="G1130" s="77">
        <f t="shared" ca="1" si="239"/>
        <v>40</v>
      </c>
      <c r="H1130" s="77">
        <f t="shared" ca="1" si="239"/>
        <v>174.58333333333334</v>
      </c>
      <c r="I1130" s="77">
        <f t="shared" ca="1" si="239"/>
        <v>0</v>
      </c>
      <c r="J1130" s="77">
        <f t="shared" ca="1" si="239"/>
        <v>100</v>
      </c>
      <c r="K1130" s="77">
        <f t="shared" ca="1" si="239"/>
        <v>300</v>
      </c>
      <c r="L1130" s="77">
        <f t="shared" ca="1" si="239"/>
        <v>1216.5</v>
      </c>
      <c r="M1130" s="77">
        <f t="shared" ca="1" si="240"/>
        <v>600</v>
      </c>
      <c r="N1130" s="77">
        <f t="shared" ca="1" si="240"/>
        <v>72.5</v>
      </c>
      <c r="O1130" s="77">
        <f t="shared" ca="1" si="240"/>
        <v>240</v>
      </c>
      <c r="P1130" s="77">
        <f t="shared" ca="1" si="240"/>
        <v>40</v>
      </c>
      <c r="Q1130" s="77">
        <f t="shared" ca="1" si="240"/>
        <v>315</v>
      </c>
      <c r="R1130" s="77">
        <f t="shared" ca="1" si="240"/>
        <v>100</v>
      </c>
      <c r="S1130" s="77">
        <f t="shared" ca="1" si="240"/>
        <v>695</v>
      </c>
      <c r="T1130" s="77">
        <f t="shared" ca="1" si="240"/>
        <v>33.333333333333336</v>
      </c>
      <c r="U1130" s="78"/>
      <c r="V1130" s="78"/>
      <c r="W1130" s="78"/>
      <c r="X1130" s="78"/>
      <c r="Y1130" s="78"/>
      <c r="Z1130" s="78"/>
      <c r="AA1130" s="78"/>
      <c r="AB1130" s="78"/>
      <c r="AC1130" s="78"/>
      <c r="AD1130" s="78"/>
    </row>
    <row r="1131" spans="1:30" ht="15" x14ac:dyDescent="0.2">
      <c r="A1131" s="10">
        <f t="shared" si="238"/>
        <v>2075</v>
      </c>
      <c r="B1131" s="10">
        <f t="shared" si="218"/>
        <v>365</v>
      </c>
      <c r="C1131" s="77">
        <f t="shared" ca="1" si="239"/>
        <v>154.75825</v>
      </c>
      <c r="D1131" s="77">
        <f t="shared" ca="1" si="239"/>
        <v>281.0162499999999</v>
      </c>
      <c r="E1131" s="77">
        <f t="shared" ca="1" si="239"/>
        <v>109.1005</v>
      </c>
      <c r="F1131" s="77">
        <f t="shared" ca="1" si="239"/>
        <v>57.041666666666664</v>
      </c>
      <c r="G1131" s="77">
        <f t="shared" ca="1" si="239"/>
        <v>40</v>
      </c>
      <c r="H1131" s="77">
        <f t="shared" ca="1" si="239"/>
        <v>174.58333333333334</v>
      </c>
      <c r="I1131" s="77">
        <f t="shared" ca="1" si="239"/>
        <v>0</v>
      </c>
      <c r="J1131" s="77">
        <f t="shared" ca="1" si="239"/>
        <v>100</v>
      </c>
      <c r="K1131" s="77">
        <f t="shared" ca="1" si="239"/>
        <v>300</v>
      </c>
      <c r="L1131" s="77">
        <f t="shared" ca="1" si="239"/>
        <v>1216.5</v>
      </c>
      <c r="M1131" s="77">
        <f t="shared" ca="1" si="240"/>
        <v>600</v>
      </c>
      <c r="N1131" s="77">
        <f t="shared" ca="1" si="240"/>
        <v>72.5</v>
      </c>
      <c r="O1131" s="77">
        <f t="shared" ca="1" si="240"/>
        <v>240</v>
      </c>
      <c r="P1131" s="77">
        <f t="shared" ca="1" si="240"/>
        <v>40</v>
      </c>
      <c r="Q1131" s="77">
        <f t="shared" ca="1" si="240"/>
        <v>315</v>
      </c>
      <c r="R1131" s="77">
        <f t="shared" ca="1" si="240"/>
        <v>100</v>
      </c>
      <c r="S1131" s="77">
        <f t="shared" ca="1" si="240"/>
        <v>695</v>
      </c>
      <c r="T1131" s="77">
        <f t="shared" ca="1" si="240"/>
        <v>33.333333333333336</v>
      </c>
      <c r="U1131" s="78"/>
      <c r="V1131" s="78"/>
      <c r="W1131" s="78"/>
      <c r="X1131" s="78"/>
      <c r="Y1131" s="78"/>
      <c r="Z1131" s="78"/>
      <c r="AA1131" s="78"/>
      <c r="AB1131" s="78"/>
      <c r="AC1131" s="78"/>
      <c r="AD1131" s="78"/>
    </row>
    <row r="1132" spans="1:30" ht="15" x14ac:dyDescent="0.2">
      <c r="A1132" s="10">
        <f t="shared" si="238"/>
        <v>2076</v>
      </c>
      <c r="B1132" s="10">
        <f t="shared" si="218"/>
        <v>366</v>
      </c>
      <c r="C1132" s="77">
        <f t="shared" ca="1" si="239"/>
        <v>154.75825</v>
      </c>
      <c r="D1132" s="77">
        <f t="shared" ca="1" si="239"/>
        <v>281.0162499999999</v>
      </c>
      <c r="E1132" s="77">
        <f t="shared" ca="1" si="239"/>
        <v>109.1005</v>
      </c>
      <c r="F1132" s="77">
        <f t="shared" ca="1" si="239"/>
        <v>57.041666666666664</v>
      </c>
      <c r="G1132" s="77">
        <f t="shared" ca="1" si="239"/>
        <v>40</v>
      </c>
      <c r="H1132" s="77">
        <f t="shared" ca="1" si="239"/>
        <v>174.58333333333334</v>
      </c>
      <c r="I1132" s="77">
        <f t="shared" ca="1" si="239"/>
        <v>0</v>
      </c>
      <c r="J1132" s="77">
        <f t="shared" ca="1" si="239"/>
        <v>100</v>
      </c>
      <c r="K1132" s="77">
        <f t="shared" ca="1" si="239"/>
        <v>300</v>
      </c>
      <c r="L1132" s="77">
        <f t="shared" ca="1" si="239"/>
        <v>1216.5</v>
      </c>
      <c r="M1132" s="77">
        <f t="shared" ca="1" si="240"/>
        <v>600</v>
      </c>
      <c r="N1132" s="77">
        <f t="shared" ca="1" si="240"/>
        <v>72.5</v>
      </c>
      <c r="O1132" s="77">
        <f t="shared" ca="1" si="240"/>
        <v>240</v>
      </c>
      <c r="P1132" s="77">
        <f t="shared" ca="1" si="240"/>
        <v>40</v>
      </c>
      <c r="Q1132" s="77">
        <f t="shared" ca="1" si="240"/>
        <v>315</v>
      </c>
      <c r="R1132" s="77">
        <f t="shared" ca="1" si="240"/>
        <v>100</v>
      </c>
      <c r="S1132" s="77">
        <f t="shared" ca="1" si="240"/>
        <v>695</v>
      </c>
      <c r="T1132" s="77">
        <f t="shared" ca="1" si="240"/>
        <v>33.333333333333336</v>
      </c>
      <c r="U1132" s="78"/>
      <c r="V1132" s="78"/>
      <c r="W1132" s="78"/>
      <c r="X1132" s="78"/>
      <c r="Y1132" s="78"/>
      <c r="Z1132" s="78"/>
      <c r="AA1132" s="78"/>
      <c r="AB1132" s="78"/>
      <c r="AC1132" s="78"/>
      <c r="AD1132" s="78"/>
    </row>
    <row r="1133" spans="1:30" ht="15" x14ac:dyDescent="0.2">
      <c r="A1133" s="10">
        <f t="shared" si="238"/>
        <v>2077</v>
      </c>
      <c r="B1133" s="10">
        <f t="shared" ref="B1133:B1156" si="241">DATE(A1133+1,1,1)-DATE(A1133,1,1)</f>
        <v>365</v>
      </c>
      <c r="C1133" s="77">
        <f t="shared" ca="1" si="239"/>
        <v>154.75825</v>
      </c>
      <c r="D1133" s="77">
        <f t="shared" ca="1" si="239"/>
        <v>281.0162499999999</v>
      </c>
      <c r="E1133" s="77">
        <f t="shared" ca="1" si="239"/>
        <v>109.1005</v>
      </c>
      <c r="F1133" s="77">
        <f t="shared" ca="1" si="239"/>
        <v>57.041666666666664</v>
      </c>
      <c r="G1133" s="77">
        <f t="shared" ca="1" si="239"/>
        <v>40</v>
      </c>
      <c r="H1133" s="77">
        <f t="shared" ca="1" si="239"/>
        <v>174.58333333333334</v>
      </c>
      <c r="I1133" s="77">
        <f t="shared" ca="1" si="239"/>
        <v>0</v>
      </c>
      <c r="J1133" s="77">
        <f t="shared" ca="1" si="239"/>
        <v>100</v>
      </c>
      <c r="K1133" s="77">
        <f t="shared" ca="1" si="239"/>
        <v>300</v>
      </c>
      <c r="L1133" s="77">
        <f t="shared" ca="1" si="239"/>
        <v>1216.5</v>
      </c>
      <c r="M1133" s="77">
        <f t="shared" ca="1" si="240"/>
        <v>600</v>
      </c>
      <c r="N1133" s="77">
        <f t="shared" ca="1" si="240"/>
        <v>72.5</v>
      </c>
      <c r="O1133" s="77">
        <f t="shared" ca="1" si="240"/>
        <v>240</v>
      </c>
      <c r="P1133" s="77">
        <f t="shared" ca="1" si="240"/>
        <v>40</v>
      </c>
      <c r="Q1133" s="77">
        <f t="shared" ca="1" si="240"/>
        <v>315</v>
      </c>
      <c r="R1133" s="77">
        <f t="shared" ca="1" si="240"/>
        <v>100</v>
      </c>
      <c r="S1133" s="77">
        <f t="shared" ca="1" si="240"/>
        <v>695</v>
      </c>
      <c r="T1133" s="77">
        <f t="shared" ca="1" si="240"/>
        <v>33.333333333333336</v>
      </c>
      <c r="U1133" s="78"/>
      <c r="V1133" s="78"/>
      <c r="W1133" s="78"/>
      <c r="X1133" s="78"/>
      <c r="Y1133" s="78"/>
      <c r="Z1133" s="78"/>
      <c r="AA1133" s="78"/>
      <c r="AB1133" s="78"/>
      <c r="AC1133" s="78"/>
      <c r="AD1133" s="78"/>
    </row>
    <row r="1134" spans="1:30" ht="15" x14ac:dyDescent="0.2">
      <c r="A1134" s="10">
        <f t="shared" si="238"/>
        <v>2078</v>
      </c>
      <c r="B1134" s="10">
        <f t="shared" si="241"/>
        <v>365</v>
      </c>
      <c r="C1134" s="77">
        <f t="shared" ca="1" si="239"/>
        <v>154.75825</v>
      </c>
      <c r="D1134" s="77">
        <f t="shared" ca="1" si="239"/>
        <v>281.0162499999999</v>
      </c>
      <c r="E1134" s="77">
        <f t="shared" ca="1" si="239"/>
        <v>109.1005</v>
      </c>
      <c r="F1134" s="77">
        <f t="shared" ca="1" si="239"/>
        <v>57.041666666666664</v>
      </c>
      <c r="G1134" s="77">
        <f t="shared" ca="1" si="239"/>
        <v>40</v>
      </c>
      <c r="H1134" s="77">
        <f t="shared" ca="1" si="239"/>
        <v>174.58333333333334</v>
      </c>
      <c r="I1134" s="77">
        <f t="shared" ca="1" si="239"/>
        <v>0</v>
      </c>
      <c r="J1134" s="77">
        <f t="shared" ca="1" si="239"/>
        <v>100</v>
      </c>
      <c r="K1134" s="77">
        <f t="shared" ca="1" si="239"/>
        <v>300</v>
      </c>
      <c r="L1134" s="77">
        <f t="shared" ca="1" si="239"/>
        <v>1216.5</v>
      </c>
      <c r="M1134" s="77">
        <f t="shared" ca="1" si="240"/>
        <v>600</v>
      </c>
      <c r="N1134" s="77">
        <f t="shared" ca="1" si="240"/>
        <v>72.5</v>
      </c>
      <c r="O1134" s="77">
        <f t="shared" ca="1" si="240"/>
        <v>240</v>
      </c>
      <c r="P1134" s="77">
        <f t="shared" ca="1" si="240"/>
        <v>40</v>
      </c>
      <c r="Q1134" s="77">
        <f t="shared" ca="1" si="240"/>
        <v>315</v>
      </c>
      <c r="R1134" s="77">
        <f t="shared" ca="1" si="240"/>
        <v>100</v>
      </c>
      <c r="S1134" s="77">
        <f t="shared" ca="1" si="240"/>
        <v>695</v>
      </c>
      <c r="T1134" s="77">
        <f t="shared" ca="1" si="240"/>
        <v>33.333333333333336</v>
      </c>
      <c r="U1134" s="78"/>
      <c r="V1134" s="78"/>
      <c r="W1134" s="78"/>
      <c r="X1134" s="78"/>
      <c r="Y1134" s="78"/>
      <c r="Z1134" s="78"/>
      <c r="AA1134" s="78"/>
      <c r="AB1134" s="78"/>
      <c r="AC1134" s="78"/>
      <c r="AD1134" s="78"/>
    </row>
    <row r="1135" spans="1:30" ht="15" x14ac:dyDescent="0.2">
      <c r="A1135" s="10">
        <f t="shared" si="238"/>
        <v>2079</v>
      </c>
      <c r="B1135" s="10">
        <f t="shared" si="241"/>
        <v>365</v>
      </c>
      <c r="C1135" s="77">
        <f t="shared" ca="1" si="239"/>
        <v>154.75825</v>
      </c>
      <c r="D1135" s="77">
        <f t="shared" ca="1" si="239"/>
        <v>281.0162499999999</v>
      </c>
      <c r="E1135" s="77">
        <f t="shared" ca="1" si="239"/>
        <v>109.1005</v>
      </c>
      <c r="F1135" s="77">
        <f t="shared" ca="1" si="239"/>
        <v>57.041666666666664</v>
      </c>
      <c r="G1135" s="77">
        <f t="shared" ca="1" si="239"/>
        <v>40</v>
      </c>
      <c r="H1135" s="77">
        <f t="shared" ca="1" si="239"/>
        <v>174.58333333333334</v>
      </c>
      <c r="I1135" s="77">
        <f t="shared" ca="1" si="239"/>
        <v>0</v>
      </c>
      <c r="J1135" s="77">
        <f t="shared" ca="1" si="239"/>
        <v>100</v>
      </c>
      <c r="K1135" s="77">
        <f t="shared" ca="1" si="239"/>
        <v>300</v>
      </c>
      <c r="L1135" s="77">
        <f t="shared" ca="1" si="239"/>
        <v>1216.5</v>
      </c>
      <c r="M1135" s="77">
        <f t="shared" ca="1" si="240"/>
        <v>600</v>
      </c>
      <c r="N1135" s="77">
        <f t="shared" ca="1" si="240"/>
        <v>72.5</v>
      </c>
      <c r="O1135" s="77">
        <f t="shared" ca="1" si="240"/>
        <v>240</v>
      </c>
      <c r="P1135" s="77">
        <f t="shared" ca="1" si="240"/>
        <v>40</v>
      </c>
      <c r="Q1135" s="77">
        <f t="shared" ca="1" si="240"/>
        <v>315</v>
      </c>
      <c r="R1135" s="77">
        <f t="shared" ca="1" si="240"/>
        <v>100</v>
      </c>
      <c r="S1135" s="77">
        <f t="shared" ca="1" si="240"/>
        <v>695</v>
      </c>
      <c r="T1135" s="77">
        <f t="shared" ca="1" si="240"/>
        <v>33.333333333333336</v>
      </c>
      <c r="U1135" s="78"/>
      <c r="V1135" s="78"/>
      <c r="W1135" s="78"/>
      <c r="X1135" s="78"/>
      <c r="Y1135" s="78"/>
      <c r="Z1135" s="78"/>
      <c r="AA1135" s="78"/>
      <c r="AB1135" s="78"/>
      <c r="AC1135" s="78"/>
      <c r="AD1135" s="78"/>
    </row>
    <row r="1136" spans="1:30" ht="15" x14ac:dyDescent="0.2">
      <c r="A1136" s="10">
        <f t="shared" si="238"/>
        <v>2080</v>
      </c>
      <c r="B1136" s="10">
        <f t="shared" si="241"/>
        <v>366</v>
      </c>
      <c r="C1136" s="77">
        <f t="shared" ca="1" si="239"/>
        <v>154.75825</v>
      </c>
      <c r="D1136" s="77">
        <f t="shared" ca="1" si="239"/>
        <v>281.0162499999999</v>
      </c>
      <c r="E1136" s="77">
        <f t="shared" ca="1" si="239"/>
        <v>109.1005</v>
      </c>
      <c r="F1136" s="77">
        <f t="shared" ca="1" si="239"/>
        <v>57.041666666666664</v>
      </c>
      <c r="G1136" s="77">
        <f t="shared" ca="1" si="239"/>
        <v>40</v>
      </c>
      <c r="H1136" s="77">
        <f t="shared" ca="1" si="239"/>
        <v>174.58333333333334</v>
      </c>
      <c r="I1136" s="77">
        <f t="shared" ca="1" si="239"/>
        <v>0</v>
      </c>
      <c r="J1136" s="77">
        <f t="shared" ca="1" si="239"/>
        <v>100</v>
      </c>
      <c r="K1136" s="77">
        <f t="shared" ca="1" si="239"/>
        <v>300</v>
      </c>
      <c r="L1136" s="77">
        <f t="shared" ca="1" si="239"/>
        <v>1216.5</v>
      </c>
      <c r="M1136" s="77">
        <f t="shared" ca="1" si="240"/>
        <v>600</v>
      </c>
      <c r="N1136" s="77">
        <f t="shared" ca="1" si="240"/>
        <v>72.5</v>
      </c>
      <c r="O1136" s="77">
        <f t="shared" ca="1" si="240"/>
        <v>240</v>
      </c>
      <c r="P1136" s="77">
        <f t="shared" ca="1" si="240"/>
        <v>40</v>
      </c>
      <c r="Q1136" s="77">
        <f t="shared" ca="1" si="240"/>
        <v>315</v>
      </c>
      <c r="R1136" s="77">
        <f t="shared" ca="1" si="240"/>
        <v>100</v>
      </c>
      <c r="S1136" s="77">
        <f t="shared" ca="1" si="240"/>
        <v>695</v>
      </c>
      <c r="T1136" s="77">
        <f t="shared" ca="1" si="240"/>
        <v>33.333333333333336</v>
      </c>
      <c r="U1136" s="78"/>
      <c r="V1136" s="78"/>
      <c r="W1136" s="78"/>
      <c r="X1136" s="78"/>
      <c r="Y1136" s="78"/>
      <c r="Z1136" s="78"/>
      <c r="AA1136" s="78"/>
      <c r="AB1136" s="78"/>
      <c r="AC1136" s="78"/>
      <c r="AD1136" s="78"/>
    </row>
    <row r="1137" spans="1:30" ht="15" x14ac:dyDescent="0.2">
      <c r="A1137" s="10">
        <f t="shared" si="238"/>
        <v>2081</v>
      </c>
      <c r="B1137" s="10">
        <f t="shared" si="241"/>
        <v>365</v>
      </c>
      <c r="C1137" s="77">
        <f t="shared" ca="1" si="239"/>
        <v>154.75825</v>
      </c>
      <c r="D1137" s="77">
        <f t="shared" ca="1" si="239"/>
        <v>281.0162499999999</v>
      </c>
      <c r="E1137" s="77">
        <f t="shared" ca="1" si="239"/>
        <v>109.1005</v>
      </c>
      <c r="F1137" s="77">
        <f t="shared" ca="1" si="239"/>
        <v>57.041666666666664</v>
      </c>
      <c r="G1137" s="77">
        <f t="shared" ca="1" si="239"/>
        <v>40</v>
      </c>
      <c r="H1137" s="77">
        <f t="shared" ca="1" si="239"/>
        <v>174.58333333333334</v>
      </c>
      <c r="I1137" s="77">
        <f t="shared" ca="1" si="239"/>
        <v>0</v>
      </c>
      <c r="J1137" s="77">
        <f t="shared" ca="1" si="239"/>
        <v>100</v>
      </c>
      <c r="K1137" s="77">
        <f t="shared" ca="1" si="239"/>
        <v>300</v>
      </c>
      <c r="L1137" s="77">
        <f t="shared" ca="1" si="239"/>
        <v>1216.5</v>
      </c>
      <c r="M1137" s="77">
        <f t="shared" ca="1" si="240"/>
        <v>600</v>
      </c>
      <c r="N1137" s="77">
        <f t="shared" ca="1" si="240"/>
        <v>72.5</v>
      </c>
      <c r="O1137" s="77">
        <f t="shared" ca="1" si="240"/>
        <v>240</v>
      </c>
      <c r="P1137" s="77">
        <f t="shared" ca="1" si="240"/>
        <v>40</v>
      </c>
      <c r="Q1137" s="77">
        <f t="shared" ca="1" si="240"/>
        <v>315</v>
      </c>
      <c r="R1137" s="77">
        <f t="shared" ca="1" si="240"/>
        <v>100</v>
      </c>
      <c r="S1137" s="77">
        <f t="shared" ca="1" si="240"/>
        <v>695</v>
      </c>
      <c r="T1137" s="77">
        <f t="shared" ca="1" si="240"/>
        <v>33.333333333333336</v>
      </c>
      <c r="U1137" s="78"/>
      <c r="V1137" s="78"/>
      <c r="W1137" s="78"/>
      <c r="X1137" s="78"/>
      <c r="Y1137" s="78"/>
      <c r="Z1137" s="78"/>
      <c r="AA1137" s="78"/>
      <c r="AB1137" s="78"/>
      <c r="AC1137" s="78"/>
      <c r="AD1137" s="78"/>
    </row>
    <row r="1138" spans="1:30" ht="15" x14ac:dyDescent="0.2">
      <c r="A1138" s="10">
        <f t="shared" si="238"/>
        <v>2082</v>
      </c>
      <c r="B1138" s="10">
        <f t="shared" si="241"/>
        <v>365</v>
      </c>
      <c r="C1138" s="77">
        <f t="shared" ref="C1138:L1147" ca="1" si="242">AVERAGE(OFFSET(C$600,($A1138-$A$1118)*12,0,12,1))</f>
        <v>154.75825</v>
      </c>
      <c r="D1138" s="77">
        <f t="shared" ca="1" si="242"/>
        <v>281.0162499999999</v>
      </c>
      <c r="E1138" s="77">
        <f t="shared" ca="1" si="242"/>
        <v>109.1005</v>
      </c>
      <c r="F1138" s="77">
        <f t="shared" ca="1" si="242"/>
        <v>57.041666666666664</v>
      </c>
      <c r="G1138" s="77">
        <f t="shared" ca="1" si="242"/>
        <v>40</v>
      </c>
      <c r="H1138" s="77">
        <f t="shared" ca="1" si="242"/>
        <v>174.58333333333334</v>
      </c>
      <c r="I1138" s="77">
        <f t="shared" ca="1" si="242"/>
        <v>0</v>
      </c>
      <c r="J1138" s="77">
        <f t="shared" ca="1" si="242"/>
        <v>100</v>
      </c>
      <c r="K1138" s="77">
        <f t="shared" ca="1" si="242"/>
        <v>300</v>
      </c>
      <c r="L1138" s="77">
        <f t="shared" ca="1" si="242"/>
        <v>1216.5</v>
      </c>
      <c r="M1138" s="77">
        <f t="shared" ref="M1138:T1147" ca="1" si="243">AVERAGE(OFFSET(M$600,($A1138-$A$1118)*12,0,12,1))</f>
        <v>600</v>
      </c>
      <c r="N1138" s="77">
        <f t="shared" ca="1" si="243"/>
        <v>72.5</v>
      </c>
      <c r="O1138" s="77">
        <f t="shared" ca="1" si="243"/>
        <v>240</v>
      </c>
      <c r="P1138" s="77">
        <f t="shared" ca="1" si="243"/>
        <v>40</v>
      </c>
      <c r="Q1138" s="77">
        <f t="shared" ca="1" si="243"/>
        <v>315</v>
      </c>
      <c r="R1138" s="77">
        <f t="shared" ca="1" si="243"/>
        <v>100</v>
      </c>
      <c r="S1138" s="77">
        <f t="shared" ca="1" si="243"/>
        <v>695</v>
      </c>
      <c r="T1138" s="77">
        <f t="shared" ca="1" si="243"/>
        <v>33.333333333333336</v>
      </c>
      <c r="U1138" s="78"/>
      <c r="V1138" s="78"/>
      <c r="W1138" s="78"/>
      <c r="X1138" s="78"/>
      <c r="Y1138" s="78"/>
      <c r="Z1138" s="78"/>
      <c r="AA1138" s="78"/>
      <c r="AB1138" s="78"/>
      <c r="AC1138" s="78"/>
      <c r="AD1138" s="78"/>
    </row>
    <row r="1139" spans="1:30" ht="15" x14ac:dyDescent="0.2">
      <c r="A1139" s="10">
        <f t="shared" si="238"/>
        <v>2083</v>
      </c>
      <c r="B1139" s="10">
        <f t="shared" si="241"/>
        <v>365</v>
      </c>
      <c r="C1139" s="77">
        <f t="shared" ca="1" si="242"/>
        <v>154.75825</v>
      </c>
      <c r="D1139" s="77">
        <f t="shared" ca="1" si="242"/>
        <v>281.0162499999999</v>
      </c>
      <c r="E1139" s="77">
        <f t="shared" ca="1" si="242"/>
        <v>109.1005</v>
      </c>
      <c r="F1139" s="77">
        <f t="shared" ca="1" si="242"/>
        <v>57.041666666666664</v>
      </c>
      <c r="G1139" s="77">
        <f t="shared" ca="1" si="242"/>
        <v>40</v>
      </c>
      <c r="H1139" s="77">
        <f t="shared" ca="1" si="242"/>
        <v>174.58333333333334</v>
      </c>
      <c r="I1139" s="77">
        <f t="shared" ca="1" si="242"/>
        <v>0</v>
      </c>
      <c r="J1139" s="77">
        <f t="shared" ca="1" si="242"/>
        <v>100</v>
      </c>
      <c r="K1139" s="77">
        <f t="shared" ca="1" si="242"/>
        <v>300</v>
      </c>
      <c r="L1139" s="77">
        <f t="shared" ca="1" si="242"/>
        <v>1216.5</v>
      </c>
      <c r="M1139" s="77">
        <f t="shared" ca="1" si="243"/>
        <v>600</v>
      </c>
      <c r="N1139" s="77">
        <f t="shared" ca="1" si="243"/>
        <v>72.5</v>
      </c>
      <c r="O1139" s="77">
        <f t="shared" ca="1" si="243"/>
        <v>240</v>
      </c>
      <c r="P1139" s="77">
        <f t="shared" ca="1" si="243"/>
        <v>40</v>
      </c>
      <c r="Q1139" s="77">
        <f t="shared" ca="1" si="243"/>
        <v>315</v>
      </c>
      <c r="R1139" s="77">
        <f t="shared" ca="1" si="243"/>
        <v>100</v>
      </c>
      <c r="S1139" s="77">
        <f t="shared" ca="1" si="243"/>
        <v>695</v>
      </c>
      <c r="T1139" s="77">
        <f t="shared" ca="1" si="243"/>
        <v>33.333333333333336</v>
      </c>
      <c r="U1139" s="78"/>
      <c r="V1139" s="78"/>
      <c r="W1139" s="78"/>
      <c r="X1139" s="78"/>
      <c r="Y1139" s="78"/>
      <c r="Z1139" s="78"/>
      <c r="AA1139" s="78"/>
      <c r="AB1139" s="78"/>
      <c r="AC1139" s="78"/>
      <c r="AD1139" s="78"/>
    </row>
    <row r="1140" spans="1:30" ht="15" x14ac:dyDescent="0.2">
      <c r="A1140" s="10">
        <f t="shared" si="238"/>
        <v>2084</v>
      </c>
      <c r="B1140" s="10">
        <f t="shared" si="241"/>
        <v>366</v>
      </c>
      <c r="C1140" s="77">
        <f t="shared" ca="1" si="242"/>
        <v>154.75825</v>
      </c>
      <c r="D1140" s="77">
        <f t="shared" ca="1" si="242"/>
        <v>281.0162499999999</v>
      </c>
      <c r="E1140" s="77">
        <f t="shared" ca="1" si="242"/>
        <v>109.1005</v>
      </c>
      <c r="F1140" s="77">
        <f t="shared" ca="1" si="242"/>
        <v>57.041666666666664</v>
      </c>
      <c r="G1140" s="77">
        <f t="shared" ca="1" si="242"/>
        <v>40</v>
      </c>
      <c r="H1140" s="77">
        <f t="shared" ca="1" si="242"/>
        <v>174.58333333333334</v>
      </c>
      <c r="I1140" s="77">
        <f t="shared" ca="1" si="242"/>
        <v>0</v>
      </c>
      <c r="J1140" s="77">
        <f t="shared" ca="1" si="242"/>
        <v>100</v>
      </c>
      <c r="K1140" s="77">
        <f t="shared" ca="1" si="242"/>
        <v>300</v>
      </c>
      <c r="L1140" s="77">
        <f t="shared" ca="1" si="242"/>
        <v>1216.5</v>
      </c>
      <c r="M1140" s="77">
        <f t="shared" ca="1" si="243"/>
        <v>600</v>
      </c>
      <c r="N1140" s="77">
        <f t="shared" ca="1" si="243"/>
        <v>72.5</v>
      </c>
      <c r="O1140" s="77">
        <f t="shared" ca="1" si="243"/>
        <v>240</v>
      </c>
      <c r="P1140" s="77">
        <f t="shared" ca="1" si="243"/>
        <v>40</v>
      </c>
      <c r="Q1140" s="77">
        <f t="shared" ca="1" si="243"/>
        <v>315</v>
      </c>
      <c r="R1140" s="77">
        <f t="shared" ca="1" si="243"/>
        <v>100</v>
      </c>
      <c r="S1140" s="77">
        <f t="shared" ca="1" si="243"/>
        <v>695</v>
      </c>
      <c r="T1140" s="77">
        <f t="shared" ca="1" si="243"/>
        <v>33.333333333333336</v>
      </c>
      <c r="U1140" s="78"/>
      <c r="V1140" s="78"/>
      <c r="W1140" s="78"/>
      <c r="X1140" s="78"/>
      <c r="Y1140" s="78"/>
      <c r="Z1140" s="78"/>
      <c r="AA1140" s="78"/>
      <c r="AB1140" s="78"/>
      <c r="AC1140" s="78"/>
      <c r="AD1140" s="78"/>
    </row>
    <row r="1141" spans="1:30" ht="15" x14ac:dyDescent="0.2">
      <c r="A1141" s="10">
        <f t="shared" si="238"/>
        <v>2085</v>
      </c>
      <c r="B1141" s="10">
        <f t="shared" si="241"/>
        <v>365</v>
      </c>
      <c r="C1141" s="77">
        <f t="shared" ca="1" si="242"/>
        <v>154.75825</v>
      </c>
      <c r="D1141" s="77">
        <f t="shared" ca="1" si="242"/>
        <v>281.0162499999999</v>
      </c>
      <c r="E1141" s="77">
        <f t="shared" ca="1" si="242"/>
        <v>109.1005</v>
      </c>
      <c r="F1141" s="77">
        <f t="shared" ca="1" si="242"/>
        <v>57.041666666666664</v>
      </c>
      <c r="G1141" s="77">
        <f t="shared" ca="1" si="242"/>
        <v>40</v>
      </c>
      <c r="H1141" s="77">
        <f t="shared" ca="1" si="242"/>
        <v>174.58333333333334</v>
      </c>
      <c r="I1141" s="77">
        <f t="shared" ca="1" si="242"/>
        <v>0</v>
      </c>
      <c r="J1141" s="77">
        <f t="shared" ca="1" si="242"/>
        <v>100</v>
      </c>
      <c r="K1141" s="77">
        <f t="shared" ca="1" si="242"/>
        <v>300</v>
      </c>
      <c r="L1141" s="77">
        <f t="shared" ca="1" si="242"/>
        <v>1216.5</v>
      </c>
      <c r="M1141" s="77">
        <f t="shared" ca="1" si="243"/>
        <v>600</v>
      </c>
      <c r="N1141" s="77">
        <f t="shared" ca="1" si="243"/>
        <v>72.5</v>
      </c>
      <c r="O1141" s="77">
        <f t="shared" ca="1" si="243"/>
        <v>240</v>
      </c>
      <c r="P1141" s="77">
        <f t="shared" ca="1" si="243"/>
        <v>40</v>
      </c>
      <c r="Q1141" s="77">
        <f t="shared" ca="1" si="243"/>
        <v>315</v>
      </c>
      <c r="R1141" s="77">
        <f t="shared" ca="1" si="243"/>
        <v>100</v>
      </c>
      <c r="S1141" s="77">
        <f t="shared" ca="1" si="243"/>
        <v>695</v>
      </c>
      <c r="T1141" s="77">
        <f t="shared" ca="1" si="243"/>
        <v>33.333333333333336</v>
      </c>
      <c r="U1141" s="78"/>
      <c r="V1141" s="78"/>
      <c r="W1141" s="78"/>
      <c r="X1141" s="78"/>
      <c r="Y1141" s="78"/>
      <c r="Z1141" s="78"/>
      <c r="AA1141" s="78"/>
      <c r="AB1141" s="78"/>
      <c r="AC1141" s="78"/>
      <c r="AD1141" s="78"/>
    </row>
    <row r="1142" spans="1:30" ht="15" x14ac:dyDescent="0.2">
      <c r="A1142" s="10">
        <f t="shared" si="238"/>
        <v>2086</v>
      </c>
      <c r="B1142" s="10">
        <f t="shared" si="241"/>
        <v>365</v>
      </c>
      <c r="C1142" s="77">
        <f t="shared" ca="1" si="242"/>
        <v>154.75825</v>
      </c>
      <c r="D1142" s="77">
        <f t="shared" ca="1" si="242"/>
        <v>281.0162499999999</v>
      </c>
      <c r="E1142" s="77">
        <f t="shared" ca="1" si="242"/>
        <v>109.1005</v>
      </c>
      <c r="F1142" s="77">
        <f t="shared" ca="1" si="242"/>
        <v>57.041666666666664</v>
      </c>
      <c r="G1142" s="77">
        <f t="shared" ca="1" si="242"/>
        <v>40</v>
      </c>
      <c r="H1142" s="77">
        <f t="shared" ca="1" si="242"/>
        <v>174.58333333333334</v>
      </c>
      <c r="I1142" s="77">
        <f t="shared" ca="1" si="242"/>
        <v>0</v>
      </c>
      <c r="J1142" s="77">
        <f t="shared" ca="1" si="242"/>
        <v>100</v>
      </c>
      <c r="K1142" s="77">
        <f t="shared" ca="1" si="242"/>
        <v>300</v>
      </c>
      <c r="L1142" s="77">
        <f t="shared" ca="1" si="242"/>
        <v>1216.5</v>
      </c>
      <c r="M1142" s="77">
        <f t="shared" ca="1" si="243"/>
        <v>600</v>
      </c>
      <c r="N1142" s="77">
        <f t="shared" ca="1" si="243"/>
        <v>72.5</v>
      </c>
      <c r="O1142" s="77">
        <f t="shared" ca="1" si="243"/>
        <v>240</v>
      </c>
      <c r="P1142" s="77">
        <f t="shared" ca="1" si="243"/>
        <v>40</v>
      </c>
      <c r="Q1142" s="77">
        <f t="shared" ca="1" si="243"/>
        <v>315</v>
      </c>
      <c r="R1142" s="77">
        <f t="shared" ca="1" si="243"/>
        <v>100</v>
      </c>
      <c r="S1142" s="77">
        <f t="shared" ca="1" si="243"/>
        <v>695</v>
      </c>
      <c r="T1142" s="77">
        <f t="shared" ca="1" si="243"/>
        <v>33.333333333333336</v>
      </c>
      <c r="U1142" s="78"/>
      <c r="V1142" s="78"/>
      <c r="W1142" s="78"/>
      <c r="X1142" s="78"/>
      <c r="Y1142" s="78"/>
      <c r="Z1142" s="78"/>
      <c r="AA1142" s="78"/>
      <c r="AB1142" s="78"/>
      <c r="AC1142" s="78"/>
      <c r="AD1142" s="78"/>
    </row>
    <row r="1143" spans="1:30" ht="15" x14ac:dyDescent="0.2">
      <c r="A1143" s="10">
        <f t="shared" si="238"/>
        <v>2087</v>
      </c>
      <c r="B1143" s="10">
        <f t="shared" si="241"/>
        <v>365</v>
      </c>
      <c r="C1143" s="77">
        <f t="shared" ca="1" si="242"/>
        <v>154.75825</v>
      </c>
      <c r="D1143" s="77">
        <f t="shared" ca="1" si="242"/>
        <v>281.0162499999999</v>
      </c>
      <c r="E1143" s="77">
        <f t="shared" ca="1" si="242"/>
        <v>109.1005</v>
      </c>
      <c r="F1143" s="77">
        <f t="shared" ca="1" si="242"/>
        <v>57.041666666666664</v>
      </c>
      <c r="G1143" s="77">
        <f t="shared" ca="1" si="242"/>
        <v>40</v>
      </c>
      <c r="H1143" s="77">
        <f t="shared" ca="1" si="242"/>
        <v>174.58333333333334</v>
      </c>
      <c r="I1143" s="77">
        <f t="shared" ca="1" si="242"/>
        <v>0</v>
      </c>
      <c r="J1143" s="77">
        <f t="shared" ca="1" si="242"/>
        <v>100</v>
      </c>
      <c r="K1143" s="77">
        <f t="shared" ca="1" si="242"/>
        <v>300</v>
      </c>
      <c r="L1143" s="77">
        <f t="shared" ca="1" si="242"/>
        <v>1216.5</v>
      </c>
      <c r="M1143" s="77">
        <f t="shared" ca="1" si="243"/>
        <v>600</v>
      </c>
      <c r="N1143" s="77">
        <f t="shared" ca="1" si="243"/>
        <v>72.5</v>
      </c>
      <c r="O1143" s="77">
        <f t="shared" ca="1" si="243"/>
        <v>240</v>
      </c>
      <c r="P1143" s="77">
        <f t="shared" ca="1" si="243"/>
        <v>40</v>
      </c>
      <c r="Q1143" s="77">
        <f t="shared" ca="1" si="243"/>
        <v>315</v>
      </c>
      <c r="R1143" s="77">
        <f t="shared" ca="1" si="243"/>
        <v>100</v>
      </c>
      <c r="S1143" s="77">
        <f t="shared" ca="1" si="243"/>
        <v>695</v>
      </c>
      <c r="T1143" s="77">
        <f t="shared" ca="1" si="243"/>
        <v>33.333333333333336</v>
      </c>
      <c r="U1143" s="78"/>
      <c r="V1143" s="78"/>
      <c r="W1143" s="78"/>
      <c r="X1143" s="78"/>
      <c r="Y1143" s="78"/>
      <c r="Z1143" s="78"/>
      <c r="AA1143" s="78"/>
      <c r="AB1143" s="78"/>
      <c r="AC1143" s="78"/>
      <c r="AD1143" s="78"/>
    </row>
    <row r="1144" spans="1:30" ht="15" x14ac:dyDescent="0.2">
      <c r="A1144" s="10">
        <f t="shared" si="238"/>
        <v>2088</v>
      </c>
      <c r="B1144" s="10">
        <f t="shared" si="241"/>
        <v>366</v>
      </c>
      <c r="C1144" s="77">
        <f t="shared" ca="1" si="242"/>
        <v>154.75825</v>
      </c>
      <c r="D1144" s="77">
        <f t="shared" ca="1" si="242"/>
        <v>281.0162499999999</v>
      </c>
      <c r="E1144" s="77">
        <f t="shared" ca="1" si="242"/>
        <v>109.1005</v>
      </c>
      <c r="F1144" s="77">
        <f t="shared" ca="1" si="242"/>
        <v>57.041666666666664</v>
      </c>
      <c r="G1144" s="77">
        <f t="shared" ca="1" si="242"/>
        <v>40</v>
      </c>
      <c r="H1144" s="77">
        <f t="shared" ca="1" si="242"/>
        <v>174.58333333333334</v>
      </c>
      <c r="I1144" s="77">
        <f t="shared" ca="1" si="242"/>
        <v>0</v>
      </c>
      <c r="J1144" s="77">
        <f t="shared" ca="1" si="242"/>
        <v>100</v>
      </c>
      <c r="K1144" s="77">
        <f t="shared" ca="1" si="242"/>
        <v>300</v>
      </c>
      <c r="L1144" s="77">
        <f t="shared" ca="1" si="242"/>
        <v>1216.5</v>
      </c>
      <c r="M1144" s="77">
        <f t="shared" ca="1" si="243"/>
        <v>600</v>
      </c>
      <c r="N1144" s="77">
        <f t="shared" ca="1" si="243"/>
        <v>72.5</v>
      </c>
      <c r="O1144" s="77">
        <f t="shared" ca="1" si="243"/>
        <v>240</v>
      </c>
      <c r="P1144" s="77">
        <f t="shared" ca="1" si="243"/>
        <v>40</v>
      </c>
      <c r="Q1144" s="77">
        <f t="shared" ca="1" si="243"/>
        <v>315</v>
      </c>
      <c r="R1144" s="77">
        <f t="shared" ca="1" si="243"/>
        <v>100</v>
      </c>
      <c r="S1144" s="77">
        <f t="shared" ca="1" si="243"/>
        <v>695</v>
      </c>
      <c r="T1144" s="77">
        <f t="shared" ca="1" si="243"/>
        <v>33.333333333333336</v>
      </c>
      <c r="U1144" s="78"/>
      <c r="V1144" s="78"/>
      <c r="W1144" s="78"/>
      <c r="X1144" s="78"/>
      <c r="Y1144" s="78"/>
      <c r="Z1144" s="78"/>
      <c r="AA1144" s="78"/>
      <c r="AB1144" s="78"/>
      <c r="AC1144" s="78"/>
      <c r="AD1144" s="78"/>
    </row>
    <row r="1145" spans="1:30" ht="15" x14ac:dyDescent="0.2">
      <c r="A1145" s="10">
        <f t="shared" si="238"/>
        <v>2089</v>
      </c>
      <c r="B1145" s="10">
        <f t="shared" si="241"/>
        <v>365</v>
      </c>
      <c r="C1145" s="77">
        <f t="shared" ca="1" si="242"/>
        <v>154.75825</v>
      </c>
      <c r="D1145" s="77">
        <f t="shared" ca="1" si="242"/>
        <v>281.0162499999999</v>
      </c>
      <c r="E1145" s="77">
        <f t="shared" ca="1" si="242"/>
        <v>109.1005</v>
      </c>
      <c r="F1145" s="77">
        <f t="shared" ca="1" si="242"/>
        <v>57.041666666666664</v>
      </c>
      <c r="G1145" s="77">
        <f t="shared" ca="1" si="242"/>
        <v>40</v>
      </c>
      <c r="H1145" s="77">
        <f t="shared" ca="1" si="242"/>
        <v>174.58333333333334</v>
      </c>
      <c r="I1145" s="77">
        <f t="shared" ca="1" si="242"/>
        <v>0</v>
      </c>
      <c r="J1145" s="77">
        <f t="shared" ca="1" si="242"/>
        <v>100</v>
      </c>
      <c r="K1145" s="77">
        <f t="shared" ca="1" si="242"/>
        <v>300</v>
      </c>
      <c r="L1145" s="77">
        <f t="shared" ca="1" si="242"/>
        <v>1216.5</v>
      </c>
      <c r="M1145" s="77">
        <f t="shared" ca="1" si="243"/>
        <v>600</v>
      </c>
      <c r="N1145" s="77">
        <f t="shared" ca="1" si="243"/>
        <v>72.5</v>
      </c>
      <c r="O1145" s="77">
        <f t="shared" ca="1" si="243"/>
        <v>240</v>
      </c>
      <c r="P1145" s="77">
        <f t="shared" ca="1" si="243"/>
        <v>40</v>
      </c>
      <c r="Q1145" s="77">
        <f t="shared" ca="1" si="243"/>
        <v>315</v>
      </c>
      <c r="R1145" s="77">
        <f t="shared" ca="1" si="243"/>
        <v>100</v>
      </c>
      <c r="S1145" s="77">
        <f t="shared" ca="1" si="243"/>
        <v>695</v>
      </c>
      <c r="T1145" s="77">
        <f t="shared" ca="1" si="243"/>
        <v>33.333333333333336</v>
      </c>
      <c r="U1145" s="78"/>
      <c r="V1145" s="78"/>
      <c r="W1145" s="78"/>
      <c r="X1145" s="78"/>
      <c r="Y1145" s="78"/>
      <c r="Z1145" s="78"/>
      <c r="AA1145" s="78"/>
      <c r="AB1145" s="78"/>
      <c r="AC1145" s="78"/>
      <c r="AD1145" s="78"/>
    </row>
    <row r="1146" spans="1:30" ht="15" x14ac:dyDescent="0.2">
      <c r="A1146" s="10">
        <f t="shared" si="238"/>
        <v>2090</v>
      </c>
      <c r="B1146" s="10">
        <f t="shared" si="241"/>
        <v>365</v>
      </c>
      <c r="C1146" s="77">
        <f t="shared" ca="1" si="242"/>
        <v>154.75825</v>
      </c>
      <c r="D1146" s="77">
        <f t="shared" ca="1" si="242"/>
        <v>281.0162499999999</v>
      </c>
      <c r="E1146" s="77">
        <f t="shared" ca="1" si="242"/>
        <v>109.1005</v>
      </c>
      <c r="F1146" s="77">
        <f t="shared" ca="1" si="242"/>
        <v>57.041666666666664</v>
      </c>
      <c r="G1146" s="77">
        <f t="shared" ca="1" si="242"/>
        <v>40</v>
      </c>
      <c r="H1146" s="77">
        <f t="shared" ca="1" si="242"/>
        <v>174.58333333333334</v>
      </c>
      <c r="I1146" s="77">
        <f t="shared" ca="1" si="242"/>
        <v>0</v>
      </c>
      <c r="J1146" s="77">
        <f t="shared" ca="1" si="242"/>
        <v>100</v>
      </c>
      <c r="K1146" s="77">
        <f t="shared" ca="1" si="242"/>
        <v>300</v>
      </c>
      <c r="L1146" s="77">
        <f t="shared" ca="1" si="242"/>
        <v>1216.5</v>
      </c>
      <c r="M1146" s="77">
        <f t="shared" ca="1" si="243"/>
        <v>600</v>
      </c>
      <c r="N1146" s="77">
        <f t="shared" ca="1" si="243"/>
        <v>72.5</v>
      </c>
      <c r="O1146" s="77">
        <f t="shared" ca="1" si="243"/>
        <v>240</v>
      </c>
      <c r="P1146" s="77">
        <f t="shared" ca="1" si="243"/>
        <v>40</v>
      </c>
      <c r="Q1146" s="77">
        <f t="shared" ca="1" si="243"/>
        <v>315</v>
      </c>
      <c r="R1146" s="77">
        <f t="shared" ca="1" si="243"/>
        <v>100</v>
      </c>
      <c r="S1146" s="77">
        <f t="shared" ca="1" si="243"/>
        <v>695</v>
      </c>
      <c r="T1146" s="77">
        <f t="shared" ca="1" si="243"/>
        <v>33.333333333333336</v>
      </c>
      <c r="U1146" s="78"/>
      <c r="V1146" s="78"/>
      <c r="W1146" s="78"/>
      <c r="X1146" s="78"/>
      <c r="Y1146" s="78"/>
      <c r="Z1146" s="78"/>
      <c r="AA1146" s="78"/>
      <c r="AB1146" s="78"/>
      <c r="AC1146" s="78"/>
      <c r="AD1146" s="78"/>
    </row>
    <row r="1147" spans="1:30" ht="15" x14ac:dyDescent="0.2">
      <c r="A1147" s="10">
        <f t="shared" si="238"/>
        <v>2091</v>
      </c>
      <c r="B1147" s="10">
        <f t="shared" si="241"/>
        <v>365</v>
      </c>
      <c r="C1147" s="77">
        <f t="shared" ca="1" si="242"/>
        <v>154.75825</v>
      </c>
      <c r="D1147" s="77">
        <f t="shared" ca="1" si="242"/>
        <v>281.0162499999999</v>
      </c>
      <c r="E1147" s="77">
        <f t="shared" ca="1" si="242"/>
        <v>109.1005</v>
      </c>
      <c r="F1147" s="77">
        <f t="shared" ca="1" si="242"/>
        <v>57.041666666666664</v>
      </c>
      <c r="G1147" s="77">
        <f t="shared" ca="1" si="242"/>
        <v>40</v>
      </c>
      <c r="H1147" s="77">
        <f t="shared" ca="1" si="242"/>
        <v>174.58333333333334</v>
      </c>
      <c r="I1147" s="77">
        <f t="shared" ca="1" si="242"/>
        <v>0</v>
      </c>
      <c r="J1147" s="77">
        <f t="shared" ca="1" si="242"/>
        <v>100</v>
      </c>
      <c r="K1147" s="77">
        <f t="shared" ca="1" si="242"/>
        <v>300</v>
      </c>
      <c r="L1147" s="77">
        <f t="shared" ca="1" si="242"/>
        <v>1216.5</v>
      </c>
      <c r="M1147" s="77">
        <f t="shared" ca="1" si="243"/>
        <v>600</v>
      </c>
      <c r="N1147" s="77">
        <f t="shared" ca="1" si="243"/>
        <v>72.5</v>
      </c>
      <c r="O1147" s="77">
        <f t="shared" ca="1" si="243"/>
        <v>240</v>
      </c>
      <c r="P1147" s="77">
        <f t="shared" ca="1" si="243"/>
        <v>40</v>
      </c>
      <c r="Q1147" s="77">
        <f t="shared" ca="1" si="243"/>
        <v>315</v>
      </c>
      <c r="R1147" s="77">
        <f t="shared" ca="1" si="243"/>
        <v>100</v>
      </c>
      <c r="S1147" s="77">
        <f t="shared" ca="1" si="243"/>
        <v>695</v>
      </c>
      <c r="T1147" s="77">
        <f t="shared" ca="1" si="243"/>
        <v>33.333333333333336</v>
      </c>
    </row>
    <row r="1148" spans="1:30" ht="15" x14ac:dyDescent="0.2">
      <c r="A1148" s="10">
        <f t="shared" si="238"/>
        <v>2092</v>
      </c>
      <c r="B1148" s="10">
        <f t="shared" si="241"/>
        <v>366</v>
      </c>
      <c r="C1148" s="77">
        <f t="shared" ref="C1148:L1156" ca="1" si="244">AVERAGE(OFFSET(C$600,($A1148-$A$1118)*12,0,12,1))</f>
        <v>154.75825</v>
      </c>
      <c r="D1148" s="77">
        <f t="shared" ca="1" si="244"/>
        <v>281.0162499999999</v>
      </c>
      <c r="E1148" s="77">
        <f t="shared" ca="1" si="244"/>
        <v>109.1005</v>
      </c>
      <c r="F1148" s="77">
        <f t="shared" ca="1" si="244"/>
        <v>57.041666666666664</v>
      </c>
      <c r="G1148" s="77">
        <f t="shared" ca="1" si="244"/>
        <v>40</v>
      </c>
      <c r="H1148" s="77">
        <f t="shared" ca="1" si="244"/>
        <v>174.58333333333334</v>
      </c>
      <c r="I1148" s="77">
        <f t="shared" ca="1" si="244"/>
        <v>0</v>
      </c>
      <c r="J1148" s="77">
        <f t="shared" ca="1" si="244"/>
        <v>100</v>
      </c>
      <c r="K1148" s="77">
        <f t="shared" ca="1" si="244"/>
        <v>300</v>
      </c>
      <c r="L1148" s="77">
        <f t="shared" ca="1" si="244"/>
        <v>1216.5</v>
      </c>
      <c r="M1148" s="77">
        <f t="shared" ref="M1148:T1156" ca="1" si="245">AVERAGE(OFFSET(M$600,($A1148-$A$1118)*12,0,12,1))</f>
        <v>600</v>
      </c>
      <c r="N1148" s="77">
        <f t="shared" ca="1" si="245"/>
        <v>72.5</v>
      </c>
      <c r="O1148" s="77">
        <f t="shared" ca="1" si="245"/>
        <v>240</v>
      </c>
      <c r="P1148" s="77">
        <f t="shared" ca="1" si="245"/>
        <v>40</v>
      </c>
      <c r="Q1148" s="77">
        <f t="shared" ca="1" si="245"/>
        <v>315</v>
      </c>
      <c r="R1148" s="77">
        <f t="shared" ca="1" si="245"/>
        <v>100</v>
      </c>
      <c r="S1148" s="77">
        <f t="shared" ca="1" si="245"/>
        <v>695</v>
      </c>
      <c r="T1148" s="77">
        <f t="shared" ca="1" si="245"/>
        <v>33.333333333333336</v>
      </c>
    </row>
    <row r="1149" spans="1:30" ht="15" x14ac:dyDescent="0.2">
      <c r="A1149" s="10">
        <f t="shared" si="238"/>
        <v>2093</v>
      </c>
      <c r="B1149" s="10">
        <f t="shared" si="241"/>
        <v>365</v>
      </c>
      <c r="C1149" s="77">
        <f t="shared" ca="1" si="244"/>
        <v>154.75825</v>
      </c>
      <c r="D1149" s="77">
        <f t="shared" ca="1" si="244"/>
        <v>281.0162499999999</v>
      </c>
      <c r="E1149" s="77">
        <f t="shared" ca="1" si="244"/>
        <v>109.1005</v>
      </c>
      <c r="F1149" s="77">
        <f t="shared" ca="1" si="244"/>
        <v>57.041666666666664</v>
      </c>
      <c r="G1149" s="77">
        <f t="shared" ca="1" si="244"/>
        <v>40</v>
      </c>
      <c r="H1149" s="77">
        <f t="shared" ca="1" si="244"/>
        <v>174.58333333333334</v>
      </c>
      <c r="I1149" s="77">
        <f t="shared" ca="1" si="244"/>
        <v>0</v>
      </c>
      <c r="J1149" s="77">
        <f t="shared" ca="1" si="244"/>
        <v>100</v>
      </c>
      <c r="K1149" s="77">
        <f t="shared" ca="1" si="244"/>
        <v>300</v>
      </c>
      <c r="L1149" s="77">
        <f t="shared" ca="1" si="244"/>
        <v>1216.5</v>
      </c>
      <c r="M1149" s="77">
        <f t="shared" ca="1" si="245"/>
        <v>600</v>
      </c>
      <c r="N1149" s="77">
        <f t="shared" ca="1" si="245"/>
        <v>72.5</v>
      </c>
      <c r="O1149" s="77">
        <f t="shared" ca="1" si="245"/>
        <v>240</v>
      </c>
      <c r="P1149" s="77">
        <f t="shared" ca="1" si="245"/>
        <v>40</v>
      </c>
      <c r="Q1149" s="77">
        <f t="shared" ca="1" si="245"/>
        <v>315</v>
      </c>
      <c r="R1149" s="77">
        <f t="shared" ca="1" si="245"/>
        <v>100</v>
      </c>
      <c r="S1149" s="77">
        <f t="shared" ca="1" si="245"/>
        <v>695</v>
      </c>
      <c r="T1149" s="77">
        <f t="shared" ca="1" si="245"/>
        <v>33.333333333333336</v>
      </c>
    </row>
    <row r="1150" spans="1:30" ht="15" x14ac:dyDescent="0.2">
      <c r="A1150" s="10">
        <f t="shared" si="238"/>
        <v>2094</v>
      </c>
      <c r="B1150" s="10">
        <f t="shared" si="241"/>
        <v>365</v>
      </c>
      <c r="C1150" s="77">
        <f t="shared" ca="1" si="244"/>
        <v>154.75825</v>
      </c>
      <c r="D1150" s="77">
        <f t="shared" ca="1" si="244"/>
        <v>281.0162499999999</v>
      </c>
      <c r="E1150" s="77">
        <f t="shared" ca="1" si="244"/>
        <v>109.1005</v>
      </c>
      <c r="F1150" s="77">
        <f t="shared" ca="1" si="244"/>
        <v>57.041666666666664</v>
      </c>
      <c r="G1150" s="77">
        <f t="shared" ca="1" si="244"/>
        <v>40</v>
      </c>
      <c r="H1150" s="77">
        <f t="shared" ca="1" si="244"/>
        <v>174.58333333333334</v>
      </c>
      <c r="I1150" s="77">
        <f t="shared" ca="1" si="244"/>
        <v>0</v>
      </c>
      <c r="J1150" s="77">
        <f t="shared" ca="1" si="244"/>
        <v>100</v>
      </c>
      <c r="K1150" s="77">
        <f t="shared" ca="1" si="244"/>
        <v>300</v>
      </c>
      <c r="L1150" s="77">
        <f t="shared" ca="1" si="244"/>
        <v>1216.5</v>
      </c>
      <c r="M1150" s="77">
        <f t="shared" ca="1" si="245"/>
        <v>600</v>
      </c>
      <c r="N1150" s="77">
        <f t="shared" ca="1" si="245"/>
        <v>72.5</v>
      </c>
      <c r="O1150" s="77">
        <f t="shared" ca="1" si="245"/>
        <v>240</v>
      </c>
      <c r="P1150" s="77">
        <f t="shared" ca="1" si="245"/>
        <v>40</v>
      </c>
      <c r="Q1150" s="77">
        <f t="shared" ca="1" si="245"/>
        <v>315</v>
      </c>
      <c r="R1150" s="77">
        <f t="shared" ca="1" si="245"/>
        <v>100</v>
      </c>
      <c r="S1150" s="77">
        <f t="shared" ca="1" si="245"/>
        <v>695</v>
      </c>
      <c r="T1150" s="77">
        <f t="shared" ca="1" si="245"/>
        <v>33.333333333333336</v>
      </c>
    </row>
    <row r="1151" spans="1:30" ht="15" x14ac:dyDescent="0.2">
      <c r="A1151" s="10">
        <f t="shared" si="238"/>
        <v>2095</v>
      </c>
      <c r="B1151" s="10">
        <f t="shared" si="241"/>
        <v>365</v>
      </c>
      <c r="C1151" s="77">
        <f t="shared" ca="1" si="244"/>
        <v>154.75825</v>
      </c>
      <c r="D1151" s="77">
        <f t="shared" ca="1" si="244"/>
        <v>281.0162499999999</v>
      </c>
      <c r="E1151" s="77">
        <f t="shared" ca="1" si="244"/>
        <v>109.1005</v>
      </c>
      <c r="F1151" s="77">
        <f t="shared" ca="1" si="244"/>
        <v>57.041666666666664</v>
      </c>
      <c r="G1151" s="77">
        <f t="shared" ca="1" si="244"/>
        <v>40</v>
      </c>
      <c r="H1151" s="77">
        <f t="shared" ca="1" si="244"/>
        <v>174.58333333333334</v>
      </c>
      <c r="I1151" s="77">
        <f t="shared" ca="1" si="244"/>
        <v>0</v>
      </c>
      <c r="J1151" s="77">
        <f t="shared" ca="1" si="244"/>
        <v>100</v>
      </c>
      <c r="K1151" s="77">
        <f t="shared" ca="1" si="244"/>
        <v>300</v>
      </c>
      <c r="L1151" s="77">
        <f t="shared" ca="1" si="244"/>
        <v>1216.5</v>
      </c>
      <c r="M1151" s="77">
        <f t="shared" ca="1" si="245"/>
        <v>600</v>
      </c>
      <c r="N1151" s="77">
        <f t="shared" ca="1" si="245"/>
        <v>72.5</v>
      </c>
      <c r="O1151" s="77">
        <f t="shared" ca="1" si="245"/>
        <v>240</v>
      </c>
      <c r="P1151" s="77">
        <f t="shared" ca="1" si="245"/>
        <v>40</v>
      </c>
      <c r="Q1151" s="77">
        <f t="shared" ca="1" si="245"/>
        <v>315</v>
      </c>
      <c r="R1151" s="77">
        <f t="shared" ca="1" si="245"/>
        <v>100</v>
      </c>
      <c r="S1151" s="77">
        <f t="shared" ca="1" si="245"/>
        <v>695</v>
      </c>
      <c r="T1151" s="77">
        <f t="shared" ca="1" si="245"/>
        <v>33.333333333333336</v>
      </c>
    </row>
    <row r="1152" spans="1:30" ht="15" x14ac:dyDescent="0.2">
      <c r="A1152" s="10">
        <f t="shared" si="238"/>
        <v>2096</v>
      </c>
      <c r="B1152" s="10">
        <f t="shared" si="241"/>
        <v>366</v>
      </c>
      <c r="C1152" s="77">
        <f t="shared" ca="1" si="244"/>
        <v>154.75825</v>
      </c>
      <c r="D1152" s="77">
        <f t="shared" ca="1" si="244"/>
        <v>281.0162499999999</v>
      </c>
      <c r="E1152" s="77">
        <f t="shared" ca="1" si="244"/>
        <v>109.1005</v>
      </c>
      <c r="F1152" s="77">
        <f t="shared" ca="1" si="244"/>
        <v>57.041666666666664</v>
      </c>
      <c r="G1152" s="77">
        <f t="shared" ca="1" si="244"/>
        <v>40</v>
      </c>
      <c r="H1152" s="77">
        <f t="shared" ca="1" si="244"/>
        <v>174.58333333333334</v>
      </c>
      <c r="I1152" s="77">
        <f t="shared" ca="1" si="244"/>
        <v>0</v>
      </c>
      <c r="J1152" s="77">
        <f t="shared" ca="1" si="244"/>
        <v>100</v>
      </c>
      <c r="K1152" s="77">
        <f t="shared" ca="1" si="244"/>
        <v>300</v>
      </c>
      <c r="L1152" s="77">
        <f t="shared" ca="1" si="244"/>
        <v>1216.5</v>
      </c>
      <c r="M1152" s="77">
        <f t="shared" ca="1" si="245"/>
        <v>600</v>
      </c>
      <c r="N1152" s="77">
        <f t="shared" ca="1" si="245"/>
        <v>72.5</v>
      </c>
      <c r="O1152" s="77">
        <f t="shared" ca="1" si="245"/>
        <v>240</v>
      </c>
      <c r="P1152" s="77">
        <f t="shared" ca="1" si="245"/>
        <v>40</v>
      </c>
      <c r="Q1152" s="77">
        <f t="shared" ca="1" si="245"/>
        <v>315</v>
      </c>
      <c r="R1152" s="77">
        <f t="shared" ca="1" si="245"/>
        <v>100</v>
      </c>
      <c r="S1152" s="77">
        <f t="shared" ca="1" si="245"/>
        <v>695</v>
      </c>
      <c r="T1152" s="77">
        <f t="shared" ca="1" si="245"/>
        <v>33.333333333333336</v>
      </c>
    </row>
    <row r="1153" spans="1:20" ht="15" x14ac:dyDescent="0.2">
      <c r="A1153" s="10">
        <f t="shared" si="238"/>
        <v>2097</v>
      </c>
      <c r="B1153" s="10">
        <f t="shared" si="241"/>
        <v>365</v>
      </c>
      <c r="C1153" s="77">
        <f t="shared" ca="1" si="244"/>
        <v>154.75825</v>
      </c>
      <c r="D1153" s="77">
        <f t="shared" ca="1" si="244"/>
        <v>281.0162499999999</v>
      </c>
      <c r="E1153" s="77">
        <f t="shared" ca="1" si="244"/>
        <v>109.1005</v>
      </c>
      <c r="F1153" s="77">
        <f t="shared" ca="1" si="244"/>
        <v>57.041666666666664</v>
      </c>
      <c r="G1153" s="77">
        <f t="shared" ca="1" si="244"/>
        <v>40</v>
      </c>
      <c r="H1153" s="77">
        <f t="shared" ca="1" si="244"/>
        <v>174.58333333333334</v>
      </c>
      <c r="I1153" s="77">
        <f t="shared" ca="1" si="244"/>
        <v>0</v>
      </c>
      <c r="J1153" s="77">
        <f t="shared" ca="1" si="244"/>
        <v>100</v>
      </c>
      <c r="K1153" s="77">
        <f t="shared" ca="1" si="244"/>
        <v>300</v>
      </c>
      <c r="L1153" s="77">
        <f t="shared" ca="1" si="244"/>
        <v>1216.5</v>
      </c>
      <c r="M1153" s="77">
        <f t="shared" ca="1" si="245"/>
        <v>600</v>
      </c>
      <c r="N1153" s="77">
        <f t="shared" ca="1" si="245"/>
        <v>72.5</v>
      </c>
      <c r="O1153" s="77">
        <f t="shared" ca="1" si="245"/>
        <v>240</v>
      </c>
      <c r="P1153" s="77">
        <f t="shared" ca="1" si="245"/>
        <v>40</v>
      </c>
      <c r="Q1153" s="77">
        <f t="shared" ca="1" si="245"/>
        <v>315</v>
      </c>
      <c r="R1153" s="77">
        <f t="shared" ca="1" si="245"/>
        <v>100</v>
      </c>
      <c r="S1153" s="77">
        <f t="shared" ca="1" si="245"/>
        <v>695</v>
      </c>
      <c r="T1153" s="77">
        <f t="shared" ca="1" si="245"/>
        <v>33.333333333333336</v>
      </c>
    </row>
    <row r="1154" spans="1:20" ht="15" x14ac:dyDescent="0.2">
      <c r="A1154" s="10">
        <f t="shared" si="238"/>
        <v>2098</v>
      </c>
      <c r="B1154" s="10">
        <f t="shared" si="241"/>
        <v>365</v>
      </c>
      <c r="C1154" s="77">
        <f t="shared" ca="1" si="244"/>
        <v>154.75825</v>
      </c>
      <c r="D1154" s="77">
        <f t="shared" ca="1" si="244"/>
        <v>281.0162499999999</v>
      </c>
      <c r="E1154" s="77">
        <f t="shared" ca="1" si="244"/>
        <v>109.1005</v>
      </c>
      <c r="F1154" s="77">
        <f t="shared" ca="1" si="244"/>
        <v>57.041666666666664</v>
      </c>
      <c r="G1154" s="77">
        <f t="shared" ca="1" si="244"/>
        <v>40</v>
      </c>
      <c r="H1154" s="77">
        <f t="shared" ca="1" si="244"/>
        <v>174.58333333333334</v>
      </c>
      <c r="I1154" s="77">
        <f t="shared" ca="1" si="244"/>
        <v>0</v>
      </c>
      <c r="J1154" s="77">
        <f t="shared" ca="1" si="244"/>
        <v>100</v>
      </c>
      <c r="K1154" s="77">
        <f t="shared" ca="1" si="244"/>
        <v>300</v>
      </c>
      <c r="L1154" s="77">
        <f t="shared" ca="1" si="244"/>
        <v>1216.5</v>
      </c>
      <c r="M1154" s="77">
        <f t="shared" ca="1" si="245"/>
        <v>600</v>
      </c>
      <c r="N1154" s="77">
        <f t="shared" ca="1" si="245"/>
        <v>72.5</v>
      </c>
      <c r="O1154" s="77">
        <f t="shared" ca="1" si="245"/>
        <v>240</v>
      </c>
      <c r="P1154" s="77">
        <f t="shared" ca="1" si="245"/>
        <v>40</v>
      </c>
      <c r="Q1154" s="77">
        <f t="shared" ca="1" si="245"/>
        <v>315</v>
      </c>
      <c r="R1154" s="77">
        <f t="shared" ca="1" si="245"/>
        <v>100</v>
      </c>
      <c r="S1154" s="77">
        <f t="shared" ca="1" si="245"/>
        <v>695</v>
      </c>
      <c r="T1154" s="77">
        <f t="shared" ca="1" si="245"/>
        <v>33.333333333333336</v>
      </c>
    </row>
    <row r="1155" spans="1:20" ht="15" x14ac:dyDescent="0.2">
      <c r="A1155" s="10">
        <f t="shared" si="238"/>
        <v>2099</v>
      </c>
      <c r="B1155" s="10">
        <f t="shared" si="241"/>
        <v>365</v>
      </c>
      <c r="C1155" s="77">
        <f t="shared" ca="1" si="244"/>
        <v>154.75825</v>
      </c>
      <c r="D1155" s="77">
        <f t="shared" ca="1" si="244"/>
        <v>281.0162499999999</v>
      </c>
      <c r="E1155" s="77">
        <f t="shared" ca="1" si="244"/>
        <v>109.1005</v>
      </c>
      <c r="F1155" s="77">
        <f t="shared" ca="1" si="244"/>
        <v>57.041666666666664</v>
      </c>
      <c r="G1155" s="77">
        <f t="shared" ca="1" si="244"/>
        <v>40</v>
      </c>
      <c r="H1155" s="77">
        <f t="shared" ca="1" si="244"/>
        <v>174.58333333333334</v>
      </c>
      <c r="I1155" s="77">
        <f t="shared" ca="1" si="244"/>
        <v>0</v>
      </c>
      <c r="J1155" s="77">
        <f t="shared" ca="1" si="244"/>
        <v>100</v>
      </c>
      <c r="K1155" s="77">
        <f t="shared" ca="1" si="244"/>
        <v>300</v>
      </c>
      <c r="L1155" s="77">
        <f t="shared" ca="1" si="244"/>
        <v>1216.5</v>
      </c>
      <c r="M1155" s="77">
        <f t="shared" ca="1" si="245"/>
        <v>600</v>
      </c>
      <c r="N1155" s="77">
        <f t="shared" ca="1" si="245"/>
        <v>72.5</v>
      </c>
      <c r="O1155" s="77">
        <f t="shared" ca="1" si="245"/>
        <v>240</v>
      </c>
      <c r="P1155" s="77">
        <f t="shared" ca="1" si="245"/>
        <v>40</v>
      </c>
      <c r="Q1155" s="77">
        <f t="shared" ca="1" si="245"/>
        <v>315</v>
      </c>
      <c r="R1155" s="77">
        <f t="shared" ca="1" si="245"/>
        <v>100</v>
      </c>
      <c r="S1155" s="77">
        <f t="shared" ca="1" si="245"/>
        <v>695</v>
      </c>
      <c r="T1155" s="77">
        <f t="shared" ca="1" si="245"/>
        <v>33.333333333333336</v>
      </c>
    </row>
    <row r="1156" spans="1:20" ht="15" x14ac:dyDescent="0.2">
      <c r="A1156" s="10">
        <f t="shared" si="238"/>
        <v>2100</v>
      </c>
      <c r="B1156" s="10">
        <f t="shared" si="241"/>
        <v>365</v>
      </c>
      <c r="C1156" s="77">
        <f t="shared" ca="1" si="244"/>
        <v>154.75825</v>
      </c>
      <c r="D1156" s="77">
        <f t="shared" ca="1" si="244"/>
        <v>281.0162499999999</v>
      </c>
      <c r="E1156" s="77">
        <f t="shared" ca="1" si="244"/>
        <v>109.1005</v>
      </c>
      <c r="F1156" s="77">
        <f t="shared" ca="1" si="244"/>
        <v>57.041666666666664</v>
      </c>
      <c r="G1156" s="77">
        <f t="shared" ca="1" si="244"/>
        <v>40</v>
      </c>
      <c r="H1156" s="77">
        <f t="shared" ca="1" si="244"/>
        <v>174.58333333333334</v>
      </c>
      <c r="I1156" s="77">
        <f t="shared" ca="1" si="244"/>
        <v>0</v>
      </c>
      <c r="J1156" s="77">
        <f t="shared" ca="1" si="244"/>
        <v>100</v>
      </c>
      <c r="K1156" s="77">
        <f t="shared" ca="1" si="244"/>
        <v>300</v>
      </c>
      <c r="L1156" s="77">
        <f t="shared" ca="1" si="244"/>
        <v>1216.5</v>
      </c>
      <c r="M1156" s="77">
        <f t="shared" ca="1" si="245"/>
        <v>600</v>
      </c>
      <c r="N1156" s="77">
        <f t="shared" ca="1" si="245"/>
        <v>72.5</v>
      </c>
      <c r="O1156" s="77">
        <f t="shared" ca="1" si="245"/>
        <v>240</v>
      </c>
      <c r="P1156" s="77">
        <f t="shared" ca="1" si="245"/>
        <v>40</v>
      </c>
      <c r="Q1156" s="77">
        <f t="shared" ca="1" si="245"/>
        <v>315</v>
      </c>
      <c r="R1156" s="77">
        <f t="shared" ca="1" si="245"/>
        <v>100</v>
      </c>
      <c r="S1156" s="77">
        <f t="shared" ca="1" si="245"/>
        <v>695</v>
      </c>
      <c r="T1156" s="77">
        <f t="shared" ca="1" si="245"/>
        <v>33.333333333333336</v>
      </c>
    </row>
    <row r="1157" spans="1:20" x14ac:dyDescent="0.2">
      <c r="A1157" s="8"/>
      <c r="B1157" s="8"/>
    </row>
    <row r="1158" spans="1:20" x14ac:dyDescent="0.2">
      <c r="A1158" s="8"/>
      <c r="B1158" s="8"/>
    </row>
    <row r="1159" spans="1:20" x14ac:dyDescent="0.2">
      <c r="A1159" s="8"/>
      <c r="B1159" s="8"/>
    </row>
    <row r="1160" spans="1:20" x14ac:dyDescent="0.2">
      <c r="A1160" s="8"/>
      <c r="B1160" s="8"/>
    </row>
    <row r="1161" spans="1:20" x14ac:dyDescent="0.2">
      <c r="A1161" s="8"/>
      <c r="B1161" s="8"/>
    </row>
    <row r="1162" spans="1:20" x14ac:dyDescent="0.2">
      <c r="A1162" s="8"/>
      <c r="B1162" s="8"/>
    </row>
    <row r="1163" spans="1:20" x14ac:dyDescent="0.2">
      <c r="A1163" s="8"/>
      <c r="B1163" s="8"/>
    </row>
    <row r="1164" spans="1:20" x14ac:dyDescent="0.2">
      <c r="A1164" s="8"/>
      <c r="B1164" s="8"/>
    </row>
    <row r="1165" spans="1:20" x14ac:dyDescent="0.2">
      <c r="A1165" s="8"/>
      <c r="B1165" s="8"/>
    </row>
    <row r="1166" spans="1:20" x14ac:dyDescent="0.2">
      <c r="A1166" s="8"/>
      <c r="B1166" s="8"/>
    </row>
    <row r="1167" spans="1:20" x14ac:dyDescent="0.2">
      <c r="A1167" s="8"/>
      <c r="B1167" s="8"/>
    </row>
    <row r="1168" spans="1:20" x14ac:dyDescent="0.2">
      <c r="A1168" s="8"/>
      <c r="B1168" s="8"/>
    </row>
    <row r="1169" spans="1:2" x14ac:dyDescent="0.2">
      <c r="A1169" s="8"/>
      <c r="B1169" s="8"/>
    </row>
    <row r="1170" spans="1:2" x14ac:dyDescent="0.2">
      <c r="A1170" s="8"/>
      <c r="B1170" s="8"/>
    </row>
    <row r="1171" spans="1:2" x14ac:dyDescent="0.2">
      <c r="A1171" s="8"/>
      <c r="B1171" s="8"/>
    </row>
    <row r="1172" spans="1:2" x14ac:dyDescent="0.2">
      <c r="A1172" s="8"/>
      <c r="B1172" s="8"/>
    </row>
    <row r="1173" spans="1:2" x14ac:dyDescent="0.2">
      <c r="A1173" s="8"/>
      <c r="B1173" s="8"/>
    </row>
    <row r="1174" spans="1:2" x14ac:dyDescent="0.2">
      <c r="A1174" s="8"/>
      <c r="B1174" s="8"/>
    </row>
    <row r="1175" spans="1:2" x14ac:dyDescent="0.2">
      <c r="A1175" s="8"/>
      <c r="B1175" s="8"/>
    </row>
    <row r="1176" spans="1:2" x14ac:dyDescent="0.2">
      <c r="A1176" s="8"/>
      <c r="B1176" s="8"/>
    </row>
  </sheetData>
  <mergeCells count="3">
    <mergeCell ref="C9:F9"/>
    <mergeCell ref="O9:Q9"/>
    <mergeCell ref="I9:K9"/>
  </mergeCells>
  <pageMargins left="0.25" right="0.25" top="0.5" bottom="0.5" header="0.25" footer="0.25"/>
  <pageSetup paperSize="17" scale="55" orientation="landscape" r:id="rId1"/>
  <headerFooter alignWithMargins="0">
    <oddFooter>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CONTROL</vt:lpstr>
      <vt:lpstr>RAP-SOLID FUEL PRICES</vt:lpstr>
      <vt:lpstr>RAP-LIGHT OIL</vt:lpstr>
      <vt:lpstr>RAP-HEAVY OIL&amp;WTI</vt:lpstr>
      <vt:lpstr>RAP-NATURAL GAS PRICES</vt:lpstr>
      <vt:lpstr>RAP TEMPLATE-GAS AVAILABILITY</vt:lpstr>
      <vt:lpstr>'RAP TEMPLATE-GAS AVAILABILITY'!Print_Area</vt:lpstr>
      <vt:lpstr>'RAP-HEAVY OIL&amp;WTI'!Print_Area</vt:lpstr>
      <vt:lpstr>'RAP-LIGHT OIL'!Print_Area</vt:lpstr>
      <vt:lpstr>'RAP-NATURAL GAS PRICES'!Print_Area</vt:lpstr>
      <vt:lpstr>'RAP-SOLID FUEL PRICES'!Print_Area</vt:lpstr>
      <vt:lpstr>'RAP TEMPLATE-GAS AVAILABILITY'!Print_Titles</vt:lpstr>
      <vt:lpstr>'RAP-HEAVY OIL&amp;WTI'!Print_Titles</vt:lpstr>
      <vt:lpstr>'RAP-LIGHT OIL'!Print_Titles</vt:lpstr>
      <vt:lpstr>'RAP-NATURAL GAS PRICES'!Print_Titles</vt:lpstr>
      <vt:lpstr>'RAP-SOLID FUEL PRICES'!Print_Titles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2016-07-29T16:39:59Z</dcterms:created>
  <dcterms:modified xsi:type="dcterms:W3CDTF">2016-07-29T16:40:03Z</dcterms:modified>
</cp:coreProperties>
</file>